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35" yWindow="-210" windowWidth="14895" windowHeight="12705" tabRatio="937" firstSheet="33" activeTab="33"/>
  </bookViews>
  <sheets>
    <sheet name="показатели от 10.06.2019    (3" sheetId="27" state="hidden" r:id="rId1"/>
    <sheet name="показатели  01.01.2020" sheetId="28" state="hidden" r:id="rId2"/>
    <sheet name="показатели  01.01.2020 (2)" sheetId="32" state="hidden" r:id="rId3"/>
    <sheet name="показатели  31.12.2019" sheetId="33" state="hidden" r:id="rId4"/>
    <sheet name="показатели 25.02.2020" sheetId="34" state="hidden" r:id="rId5"/>
    <sheet name="показатели 30.04.2020" sheetId="40" state="hidden" r:id="rId6"/>
    <sheet name="показатели 08.06.2020" sheetId="41" state="hidden" r:id="rId7"/>
    <sheet name="2021-2023" sheetId="42" state="hidden" r:id="rId8"/>
    <sheet name="2021-2023 (2)" sheetId="43" state="hidden" r:id="rId9"/>
    <sheet name="2021-2023 (3)" sheetId="44" state="hidden" r:id="rId10"/>
    <sheet name="добавятся в 2021" sheetId="46" state="hidden" r:id="rId11"/>
    <sheet name="2021-2023 (до 15.02)" sheetId="45" state="hidden" r:id="rId12"/>
    <sheet name="2021-2023 (к 25.02.21)" sheetId="51" state="hidden" r:id="rId13"/>
    <sheet name="пояснительная 25.02.2021" sheetId="52" state="hidden" r:id="rId14"/>
    <sheet name="2021-2023 (утв с 25.02)" sheetId="54" state="hidden" r:id="rId15"/>
    <sheet name="2021-2023 (утв с 10.06)" sheetId="56" state="hidden" r:id="rId16"/>
    <sheet name="2021-2023 (утв с 17.09 до Мероп" sheetId="60" state="hidden" r:id="rId17"/>
    <sheet name="пояснительная 10.06.2021 ФедСуб" sheetId="59" state="hidden" r:id="rId18"/>
    <sheet name="пояснительная 02.06.2021" sheetId="58" state="hidden" r:id="rId19"/>
    <sheet name="пояснительная 16.04.2021" sheetId="55" state="hidden" r:id="rId20"/>
    <sheet name="пояснительная 12.01.21" sheetId="49" state="hidden" r:id="rId21"/>
    <sheet name="доп пояснит 12.01.21" sheetId="50" state="hidden" r:id="rId22"/>
    <sheet name="Лист1 (2)" sheetId="36" state="hidden" r:id="rId23"/>
    <sheet name="Лист1" sheetId="35" state="hidden" r:id="rId24"/>
    <sheet name="отправили для наблюдательного" sheetId="47" state="hidden" r:id="rId25"/>
    <sheet name="пояснительная 10.08.2021 Депут" sheetId="65" state="hidden" r:id="rId26"/>
    <sheet name="2021-2023 (утв с 17.09послМероп" sheetId="68" state="hidden" r:id="rId27"/>
    <sheet name="пояснительная 15.09.21 Деп Кукл" sheetId="67" state="hidden" r:id="rId28"/>
    <sheet name="пояснительная 15.09.21 850т.р" sheetId="70" state="hidden" r:id="rId29"/>
    <sheet name="пояснительная 14.10.2021" sheetId="71" state="hidden" r:id="rId30"/>
    <sheet name="пояснительная 22.10.2021" sheetId="73" state="hidden" r:id="rId31"/>
    <sheet name="пояснительная .2021" sheetId="74" state="hidden" r:id="rId32"/>
    <sheet name="пояснительная 14.10.2021 (2)" sheetId="72" state="hidden" r:id="rId33"/>
    <sheet name="12.Поясн.записка на 12.10.2026" sheetId="137" r:id="rId34"/>
  </sheets>
  <definedNames>
    <definedName name="_FilterDatabase" localSheetId="7" hidden="1">'2021-2023'!$A$9:$F$78</definedName>
    <definedName name="_FilterDatabase" localSheetId="8" hidden="1">'2021-2023 (2)'!$A$9:$F$77</definedName>
    <definedName name="_FilterDatabase" localSheetId="9" hidden="1">'2021-2023 (3)'!$A$9:$F$89</definedName>
    <definedName name="_FilterDatabase" localSheetId="11" hidden="1">'2021-2023 (до 15.02)'!$A$10:$BV$200</definedName>
    <definedName name="_FilterDatabase" localSheetId="12" hidden="1">'2021-2023 (к 25.02.21)'!$A$10:$BV$249</definedName>
    <definedName name="_FilterDatabase" localSheetId="15" hidden="1">'2021-2023 (утв с 10.06)'!$A$10:$BV$316</definedName>
    <definedName name="_FilterDatabase" localSheetId="16" hidden="1">'2021-2023 (утв с 17.09 до Мероп'!$A$10:$BV$391</definedName>
    <definedName name="_FilterDatabase" localSheetId="26" hidden="1">'2021-2023 (утв с 17.09послМероп'!$A$10:$BV$421</definedName>
    <definedName name="_FilterDatabase" localSheetId="14" hidden="1">'2021-2023 (утв с 25.02)'!$A$10:$BV$305</definedName>
    <definedName name="_FilterDatabase" localSheetId="24" hidden="1">'отправили для наблюдательного'!$A$10:$WVD$194</definedName>
    <definedName name="_FilterDatabase" localSheetId="1" hidden="1">'показатели  01.01.2020'!$A$9:$G$73</definedName>
    <definedName name="_FilterDatabase" localSheetId="2" hidden="1">'показатели  01.01.2020 (2)'!$A$9:$G$64</definedName>
    <definedName name="_FilterDatabase" localSheetId="3" hidden="1">'показатели  31.12.2019'!$A$9:$H$65</definedName>
    <definedName name="_FilterDatabase" localSheetId="6" hidden="1">'показатели 08.06.2020'!$A$9:$G$76</definedName>
    <definedName name="_FilterDatabase" localSheetId="4" hidden="1">'показатели 25.02.2020'!$A$9:$G$67</definedName>
    <definedName name="_FilterDatabase" localSheetId="5" hidden="1">'показатели 30.04.2020'!$A$9:$G$71</definedName>
    <definedName name="_FilterDatabase" localSheetId="0" hidden="1">'показатели от 10.06.2019    (3'!$A$9:$H$69</definedName>
    <definedName name="_xlnm._FilterDatabase" localSheetId="15" hidden="1">'2021-2023 (утв с 10.06)'!$A$10:$BV$316</definedName>
    <definedName name="_xlnm._FilterDatabase" localSheetId="16" hidden="1">'2021-2023 (утв с 17.09 до Мероп'!$A$10:$BV$392</definedName>
    <definedName name="_xlnm._FilterDatabase" localSheetId="26" hidden="1">'2021-2023 (утв с 17.09послМероп'!$A$10:$BV$424</definedName>
    <definedName name="Print_Area" localSheetId="7">'2021-2023'!$A$5:$L$78</definedName>
    <definedName name="Print_Area" localSheetId="8">'2021-2023 (2)'!$A$5:$L$77</definedName>
    <definedName name="Print_Area" localSheetId="9">'2021-2023 (3)'!$A$5:$L$89</definedName>
    <definedName name="Print_Area" localSheetId="11">'2021-2023 (до 15.02)'!$F$5:$BT$200</definedName>
    <definedName name="Print_Area" localSheetId="12">'2021-2023 (к 25.02.21)'!$F$5:$BT$247</definedName>
    <definedName name="Print_Area" localSheetId="15">'2021-2023 (утв с 10.06)'!$F$5:$BT$310</definedName>
    <definedName name="Print_Area" localSheetId="16">'2021-2023 (утв с 17.09 до Мероп'!$F$5:$BT$385</definedName>
    <definedName name="Print_Area" localSheetId="26">'2021-2023 (утв с 17.09послМероп'!$F$5:$BT$415</definedName>
    <definedName name="Print_Area" localSheetId="14">'2021-2023 (утв с 25.02)'!$F$5:$BT$299</definedName>
    <definedName name="Print_Area" localSheetId="21">'доп пояснит 12.01.21'!$A$1:$K$35</definedName>
    <definedName name="Print_Area" localSheetId="22">'Лист1 (2)'!$A$1:$J$54</definedName>
    <definedName name="Print_Area" localSheetId="24">'отправили для наблюдательного'!$D$5:$BQ$194</definedName>
    <definedName name="Print_Area" localSheetId="1">'показатели  01.01.2020'!$A$5:$I$73</definedName>
    <definedName name="Print_Area" localSheetId="2">'показатели  01.01.2020 (2)'!$A$5:$I$68</definedName>
    <definedName name="Print_Area" localSheetId="3">'показатели  31.12.2019'!$A$5:$J$69</definedName>
    <definedName name="Print_Area" localSheetId="6">'показатели 08.06.2020'!$A$5:$L$80</definedName>
    <definedName name="Print_Area" localSheetId="4">'показатели 25.02.2020'!$A$5:$L$71</definedName>
    <definedName name="Print_Area" localSheetId="5">'показатели 30.04.2020'!$A$5:$L$75</definedName>
    <definedName name="Print_Area" localSheetId="0">'показатели от 10.06.2019    (3'!$A$5:$O$71</definedName>
    <definedName name="Print_Area" localSheetId="31">'пояснительная .2021'!$A$1:$K$40</definedName>
    <definedName name="Print_Area" localSheetId="18">'пояснительная 02.06.2021'!$A$1:$K$26</definedName>
    <definedName name="Print_Area" localSheetId="17">'пояснительная 10.06.2021 ФедСуб'!$A$1:$K$36</definedName>
    <definedName name="Print_Area" localSheetId="25">'пояснительная 10.08.2021 Депут'!$A$1:$K$38</definedName>
    <definedName name="Print_Area" localSheetId="20">'пояснительная 12.01.21'!$A$1:$K$35</definedName>
    <definedName name="Print_Area" localSheetId="29">'пояснительная 14.10.2021'!$A$1:$K$54</definedName>
    <definedName name="Print_Area" localSheetId="32">'пояснительная 14.10.2021 (2)'!$A$1:$K$51</definedName>
    <definedName name="Print_Area" localSheetId="28">'пояснительная 15.09.21 850т.р'!$A$1:$K$54</definedName>
    <definedName name="Print_Area" localSheetId="27">'пояснительная 15.09.21 Деп Кукл'!$A$1:$K$45</definedName>
    <definedName name="Print_Area" localSheetId="19">'пояснительная 16.04.2021'!$A$1:$K$47</definedName>
    <definedName name="Print_Area" localSheetId="30">'пояснительная 22.10.2021'!$A$1:$K$39</definedName>
    <definedName name="Print_Area" localSheetId="13">'пояснительная 25.02.2021'!$A$1:$K$43</definedName>
    <definedName name="Print_Titles" localSheetId="7">'2021-2023'!$9:$9</definedName>
    <definedName name="Print_Titles" localSheetId="8">'2021-2023 (2)'!$9:$9</definedName>
    <definedName name="Print_Titles" localSheetId="9">'2021-2023 (3)'!$9:$9</definedName>
    <definedName name="Print_Titles" localSheetId="11">'2021-2023 (до 15.02)'!$10:$10</definedName>
    <definedName name="Print_Titles" localSheetId="12">'2021-2023 (к 25.02.21)'!$10:$10</definedName>
    <definedName name="Print_Titles" localSheetId="15">'2021-2023 (утв с 10.06)'!$10:$10</definedName>
    <definedName name="Print_Titles" localSheetId="16">'2021-2023 (утв с 17.09 до Мероп'!$10:$10</definedName>
    <definedName name="Print_Titles" localSheetId="26">'2021-2023 (утв с 17.09послМероп'!$10:$10</definedName>
    <definedName name="Print_Titles" localSheetId="14">'2021-2023 (утв с 25.02)'!$10:$10</definedName>
    <definedName name="Print_Titles" localSheetId="21">'доп пояснит 12.01.21'!$10:$10</definedName>
    <definedName name="Print_Titles" localSheetId="22">'Лист1 (2)'!$16:$16</definedName>
    <definedName name="Print_Titles" localSheetId="24">'отправили для наблюдательного'!$9:$9</definedName>
    <definedName name="Print_Titles" localSheetId="1">'показатели  01.01.2020'!$9:$9</definedName>
    <definedName name="Print_Titles" localSheetId="2">'показатели  01.01.2020 (2)'!$9:$9</definedName>
    <definedName name="Print_Titles" localSheetId="3">'показатели  31.12.2019'!$9:$9</definedName>
    <definedName name="Print_Titles" localSheetId="6">'показатели 08.06.2020'!$9:$9</definedName>
    <definedName name="Print_Titles" localSheetId="4">'показатели 25.02.2020'!$9:$9</definedName>
    <definedName name="Print_Titles" localSheetId="5">'показатели 30.04.2020'!$9:$9</definedName>
    <definedName name="Print_Titles" localSheetId="0">'показатели от 10.06.2019    (3'!$9:$9</definedName>
    <definedName name="Print_Titles" localSheetId="20">'пояснительная 12.01.21'!$10:$10</definedName>
    <definedName name="_xlnm.Print_Area" localSheetId="15">'2021-2023 (утв с 10.06)'!$F$1:$BV$310</definedName>
    <definedName name="_xlnm.Print_Area" localSheetId="16">'2021-2023 (утв с 17.09 до Мероп'!$F$3:$BV$385</definedName>
    <definedName name="_xlnm.Print_Area" localSheetId="26">'2021-2023 (утв с 17.09послМероп'!$F$3:$BV$416</definedName>
    <definedName name="_xlnm.Print_Area" localSheetId="31">'пояснительная .2021'!$A$1:$K$40</definedName>
    <definedName name="_xlnm.Print_Area" localSheetId="29">'пояснительная 14.10.2021'!$A$1:$K$54</definedName>
    <definedName name="_xlnm.Print_Area" localSheetId="32">'пояснительная 14.10.2021 (2)'!$A$1:$K$51</definedName>
    <definedName name="_xlnm.Print_Area" localSheetId="28">'пояснительная 15.09.21 850т.р'!$A$1:$K$54</definedName>
    <definedName name="_xlnm.Print_Area" localSheetId="27">'пояснительная 15.09.21 Деп Кукл'!$A$1:$K$45</definedName>
    <definedName name="_xlnm.Print_Area" localSheetId="30">'пояснительная 22.10.2021'!$A$1:$K$39</definedName>
  </definedNames>
  <calcPr calcId="145621" fullPrecision="0"/>
</workbook>
</file>

<file path=xl/calcChain.xml><?xml version="1.0" encoding="utf-8"?>
<calcChain xmlns="http://schemas.openxmlformats.org/spreadsheetml/2006/main">
  <c r="H12" i="137" l="1"/>
  <c r="G12" i="137"/>
  <c r="H31" i="137"/>
  <c r="I11" i="137"/>
  <c r="H35" i="137" l="1"/>
  <c r="G35" i="137"/>
  <c r="I34" i="137"/>
  <c r="I33" i="137"/>
  <c r="I32" i="137"/>
  <c r="I31" i="137"/>
  <c r="I30" i="137" l="1"/>
  <c r="I29" i="137"/>
  <c r="I28" i="137"/>
  <c r="I27" i="137"/>
  <c r="H24" i="137"/>
  <c r="G24" i="137"/>
  <c r="I10" i="137"/>
  <c r="I12" i="137" s="1"/>
  <c r="K25" i="137"/>
  <c r="I23" i="137"/>
  <c r="I22" i="137"/>
  <c r="I21" i="137"/>
  <c r="I20" i="137"/>
  <c r="I19" i="137"/>
  <c r="H17" i="137"/>
  <c r="G17" i="137"/>
  <c r="I16" i="137"/>
  <c r="I17" i="137" s="1"/>
  <c r="H8" i="137"/>
  <c r="G8" i="137"/>
  <c r="I7" i="137"/>
  <c r="I8" i="137" s="1"/>
  <c r="I35" i="137" l="1"/>
  <c r="I24" i="137"/>
  <c r="J29" i="74" l="1"/>
  <c r="J28" i="74"/>
  <c r="J26" i="74"/>
  <c r="M27" i="74" l="1"/>
  <c r="M24" i="74"/>
  <c r="J25" i="74"/>
  <c r="J17" i="74"/>
  <c r="J23" i="74"/>
  <c r="J22" i="74"/>
  <c r="J21" i="74"/>
  <c r="J20" i="74"/>
  <c r="J19" i="74"/>
  <c r="J18" i="74"/>
  <c r="I24" i="74"/>
  <c r="J24" i="74" l="1"/>
  <c r="H30" i="74"/>
  <c r="H31" i="74" s="1"/>
  <c r="G30" i="74"/>
  <c r="G31" i="74" s="1"/>
  <c r="I27" i="74"/>
  <c r="J27" i="74" s="1"/>
  <c r="I13" i="74"/>
  <c r="H13" i="74"/>
  <c r="G13" i="74"/>
  <c r="J12" i="74"/>
  <c r="J13" i="74" s="1"/>
  <c r="I41" i="74" l="1"/>
  <c r="I30" i="74"/>
  <c r="J30" i="74"/>
  <c r="J31" i="74" s="1"/>
  <c r="N12" i="68"/>
  <c r="I31" i="74" l="1"/>
  <c r="I42" i="74"/>
  <c r="I18" i="73"/>
  <c r="I17" i="73"/>
  <c r="I22" i="73" l="1"/>
  <c r="J26" i="73" l="1"/>
  <c r="J27" i="73"/>
  <c r="J28" i="73"/>
  <c r="J25" i="73"/>
  <c r="G29" i="73"/>
  <c r="L126" i="68"/>
  <c r="L137" i="68"/>
  <c r="O127" i="68"/>
  <c r="AS128" i="68"/>
  <c r="AS129" i="68"/>
  <c r="AS130" i="68"/>
  <c r="AS131" i="68"/>
  <c r="AM128" i="68"/>
  <c r="AO128" i="68" s="1"/>
  <c r="AN128" i="68"/>
  <c r="AP128" i="68"/>
  <c r="AQ128" i="68"/>
  <c r="AR128" i="68" s="1"/>
  <c r="AM129" i="68"/>
  <c r="AO129" i="68" s="1"/>
  <c r="AN129" i="68"/>
  <c r="AP129" i="68"/>
  <c r="AQ129" i="68"/>
  <c r="AM130" i="68"/>
  <c r="AN130" i="68"/>
  <c r="AO130" i="68"/>
  <c r="AP130" i="68"/>
  <c r="AQ130" i="68"/>
  <c r="AM131" i="68"/>
  <c r="AN131" i="68"/>
  <c r="AP131" i="68"/>
  <c r="AR131" i="68" s="1"/>
  <c r="AQ131" i="68"/>
  <c r="O128" i="68"/>
  <c r="O129" i="68"/>
  <c r="O130" i="68"/>
  <c r="O131" i="68"/>
  <c r="I21" i="73"/>
  <c r="J21" i="73" s="1"/>
  <c r="BC208" i="68"/>
  <c r="AC208" i="68" s="1"/>
  <c r="AE208" i="68" s="1"/>
  <c r="AJ208" i="68"/>
  <c r="AI208" i="68"/>
  <c r="AK208" i="68" s="1"/>
  <c r="AG208" i="68"/>
  <c r="AF208" i="68"/>
  <c r="AH208" i="68" s="1"/>
  <c r="AD208" i="68"/>
  <c r="AA208" i="68"/>
  <c r="AN208" i="68" s="1"/>
  <c r="Z208" i="68"/>
  <c r="N87" i="68"/>
  <c r="AS209" i="68"/>
  <c r="AV209" i="68" s="1"/>
  <c r="O209" i="68"/>
  <c r="AR129" i="68" l="1"/>
  <c r="AO131" i="68"/>
  <c r="AQ208" i="68"/>
  <c r="AR130" i="68"/>
  <c r="AM208" i="68"/>
  <c r="AO208" i="68" s="1"/>
  <c r="AB208" i="68"/>
  <c r="AS208" i="68"/>
  <c r="AU208" i="68" s="1"/>
  <c r="O208" i="68"/>
  <c r="AP208" i="68"/>
  <c r="AT208" i="68"/>
  <c r="AR208" i="68" l="1"/>
  <c r="AV208" i="68"/>
  <c r="G23" i="73"/>
  <c r="H23" i="73"/>
  <c r="I23" i="73"/>
  <c r="J18" i="73"/>
  <c r="J12" i="73"/>
  <c r="J13" i="73" s="1"/>
  <c r="H29" i="73"/>
  <c r="J22" i="73"/>
  <c r="J20" i="73"/>
  <c r="J19" i="73"/>
  <c r="J17" i="73"/>
  <c r="I13" i="73"/>
  <c r="H13" i="73"/>
  <c r="G13" i="73"/>
  <c r="G30" i="73" l="1"/>
  <c r="J23" i="73"/>
  <c r="I29" i="73"/>
  <c r="I30" i="73" s="1"/>
  <c r="H30" i="73"/>
  <c r="J29" i="73"/>
  <c r="N73" i="68"/>
  <c r="N49" i="68"/>
  <c r="N52" i="68"/>
  <c r="O86" i="68"/>
  <c r="O121" i="68"/>
  <c r="J30" i="73" l="1"/>
  <c r="BF39" i="68" l="1"/>
  <c r="BB24" i="68"/>
  <c r="BB50" i="68"/>
  <c r="BB41" i="68"/>
  <c r="AZ24" i="68"/>
  <c r="BD376" i="68" l="1"/>
  <c r="O388" i="68" l="1"/>
  <c r="BP263" i="68"/>
  <c r="BO263" i="68"/>
  <c r="BC280" i="68"/>
  <c r="BE280" i="68"/>
  <c r="BI280" i="68"/>
  <c r="BJ280" i="68"/>
  <c r="I38" i="71" l="1"/>
  <c r="I39" i="71"/>
  <c r="I34" i="71"/>
  <c r="I39" i="72"/>
  <c r="I36" i="72"/>
  <c r="I34" i="72"/>
  <c r="J39" i="72" l="1"/>
  <c r="J38" i="72"/>
  <c r="H40" i="72"/>
  <c r="G40" i="72"/>
  <c r="J37" i="72"/>
  <c r="J36" i="72"/>
  <c r="J35" i="72"/>
  <c r="J34" i="72"/>
  <c r="I32" i="72"/>
  <c r="H32" i="72"/>
  <c r="G32" i="72"/>
  <c r="J31" i="72"/>
  <c r="J30" i="72"/>
  <c r="J29" i="72"/>
  <c r="J28" i="72"/>
  <c r="J27" i="72"/>
  <c r="J26" i="72"/>
  <c r="J25" i="72"/>
  <c r="J24" i="72"/>
  <c r="J23" i="72"/>
  <c r="J22" i="72"/>
  <c r="J21" i="72"/>
  <c r="I17" i="72"/>
  <c r="H17" i="72"/>
  <c r="G17" i="72"/>
  <c r="J16" i="72"/>
  <c r="J17" i="72" s="1"/>
  <c r="I14" i="72"/>
  <c r="H14" i="72"/>
  <c r="G14" i="72"/>
  <c r="J13" i="72"/>
  <c r="J12" i="72"/>
  <c r="J38" i="71"/>
  <c r="G41" i="72" l="1"/>
  <c r="H41" i="72"/>
  <c r="J14" i="72"/>
  <c r="J32" i="72"/>
  <c r="I40" i="72"/>
  <c r="I41" i="72" s="1"/>
  <c r="J40" i="72"/>
  <c r="I42" i="71"/>
  <c r="J42" i="71" s="1"/>
  <c r="I41" i="71"/>
  <c r="I40" i="71"/>
  <c r="J40" i="71" s="1"/>
  <c r="J39" i="71"/>
  <c r="L371" i="68"/>
  <c r="J41" i="71"/>
  <c r="H43" i="71"/>
  <c r="G43" i="71"/>
  <c r="J37" i="71"/>
  <c r="J36" i="71"/>
  <c r="J35" i="71"/>
  <c r="J34" i="71"/>
  <c r="I32" i="71"/>
  <c r="H32" i="71"/>
  <c r="G32" i="71"/>
  <c r="J31" i="71"/>
  <c r="J30" i="71"/>
  <c r="J29" i="71"/>
  <c r="J28" i="71"/>
  <c r="J27" i="71"/>
  <c r="J26" i="71"/>
  <c r="J25" i="71"/>
  <c r="J24" i="71"/>
  <c r="J23" i="71"/>
  <c r="J22" i="71"/>
  <c r="J21" i="71"/>
  <c r="H17" i="71"/>
  <c r="G17" i="71"/>
  <c r="J16" i="71"/>
  <c r="I17" i="71"/>
  <c r="I14" i="71"/>
  <c r="H14" i="71"/>
  <c r="G14" i="71"/>
  <c r="J13" i="71"/>
  <c r="J12" i="71"/>
  <c r="J41" i="72" l="1"/>
  <c r="H44" i="71"/>
  <c r="J43" i="71"/>
  <c r="I43" i="71"/>
  <c r="I44" i="71" s="1"/>
  <c r="J32" i="71"/>
  <c r="J14" i="71"/>
  <c r="G44" i="71"/>
  <c r="J17" i="71"/>
  <c r="L50" i="68"/>
  <c r="L49" i="68" s="1"/>
  <c r="J44" i="71" l="1"/>
  <c r="O49" i="68"/>
  <c r="J23" i="70"/>
  <c r="J24" i="70"/>
  <c r="J22" i="70"/>
  <c r="L295" i="68" l="1"/>
  <c r="J30" i="70" l="1"/>
  <c r="J29" i="70"/>
  <c r="H33" i="70" l="1"/>
  <c r="I33" i="70"/>
  <c r="G33" i="70"/>
  <c r="I35" i="70" l="1"/>
  <c r="N358" i="68" l="1"/>
  <c r="BN48" i="68"/>
  <c r="BM48" i="68"/>
  <c r="BO48" i="68" l="1"/>
  <c r="AJ403" i="68" l="1"/>
  <c r="AI403" i="68"/>
  <c r="AG403" i="68"/>
  <c r="AF403" i="68"/>
  <c r="AD403" i="68"/>
  <c r="AC403" i="68"/>
  <c r="AA403" i="68"/>
  <c r="Z403" i="68"/>
  <c r="O403" i="68"/>
  <c r="AJ402" i="68"/>
  <c r="AI402" i="68"/>
  <c r="AG402" i="68"/>
  <c r="AF402" i="68"/>
  <c r="AD402" i="68"/>
  <c r="AC402" i="68"/>
  <c r="AA402" i="68"/>
  <c r="Z402" i="68"/>
  <c r="O402" i="68"/>
  <c r="AJ401" i="68"/>
  <c r="AI401" i="68"/>
  <c r="AG401" i="68"/>
  <c r="AF401" i="68"/>
  <c r="AD401" i="68"/>
  <c r="AC401" i="68"/>
  <c r="AA401" i="68"/>
  <c r="Z401" i="68"/>
  <c r="O401" i="68"/>
  <c r="AJ345" i="68"/>
  <c r="AI345" i="68"/>
  <c r="AG345" i="68"/>
  <c r="AF345" i="68"/>
  <c r="AD345" i="68"/>
  <c r="AC345" i="68"/>
  <c r="AA345" i="68"/>
  <c r="Z345" i="68"/>
  <c r="O345" i="68"/>
  <c r="AJ344" i="68"/>
  <c r="AI344" i="68"/>
  <c r="AG344" i="68"/>
  <c r="AF344" i="68"/>
  <c r="AD344" i="68"/>
  <c r="AC344" i="68"/>
  <c r="AA344" i="68"/>
  <c r="Z344" i="68"/>
  <c r="O344" i="68"/>
  <c r="AJ343" i="68"/>
  <c r="AI343" i="68"/>
  <c r="AG343" i="68"/>
  <c r="AF343" i="68"/>
  <c r="AD343" i="68"/>
  <c r="AC343" i="68"/>
  <c r="AA343" i="68"/>
  <c r="Z343" i="68"/>
  <c r="O343" i="68"/>
  <c r="AJ342" i="68"/>
  <c r="AI342" i="68"/>
  <c r="AG342" i="68"/>
  <c r="AF342" i="68"/>
  <c r="AD342" i="68"/>
  <c r="AC342" i="68"/>
  <c r="AA342" i="68"/>
  <c r="Z342" i="68"/>
  <c r="O342" i="68"/>
  <c r="AJ341" i="68"/>
  <c r="AI341" i="68"/>
  <c r="AG341" i="68"/>
  <c r="AF341" i="68"/>
  <c r="AD341" i="68"/>
  <c r="AC341" i="68"/>
  <c r="AA341" i="68"/>
  <c r="Z341" i="68"/>
  <c r="O341" i="68"/>
  <c r="AJ340" i="68"/>
  <c r="AI340" i="68"/>
  <c r="AG340" i="68"/>
  <c r="AF340" i="68"/>
  <c r="AD340" i="68"/>
  <c r="AC340" i="68"/>
  <c r="AA340" i="68"/>
  <c r="Z340" i="68"/>
  <c r="O340" i="68"/>
  <c r="AJ339" i="68"/>
  <c r="AI339" i="68"/>
  <c r="AG339" i="68"/>
  <c r="AF339" i="68"/>
  <c r="AD339" i="68"/>
  <c r="AC339" i="68"/>
  <c r="AA339" i="68"/>
  <c r="Z339" i="68"/>
  <c r="O339" i="68"/>
  <c r="AJ338" i="68"/>
  <c r="AI338" i="68"/>
  <c r="AG338" i="68"/>
  <c r="AF338" i="68"/>
  <c r="AD338" i="68"/>
  <c r="AC338" i="68"/>
  <c r="AA338" i="68"/>
  <c r="Z338" i="68"/>
  <c r="O338" i="68"/>
  <c r="AJ337" i="68"/>
  <c r="AI337" i="68"/>
  <c r="AG337" i="68"/>
  <c r="AF337" i="68"/>
  <c r="AD337" i="68"/>
  <c r="AC337" i="68"/>
  <c r="AA337" i="68"/>
  <c r="Z337" i="68"/>
  <c r="O337" i="68"/>
  <c r="AJ336" i="68"/>
  <c r="AI336" i="68"/>
  <c r="AG336" i="68"/>
  <c r="AF336" i="68"/>
  <c r="AD336" i="68"/>
  <c r="AC336" i="68"/>
  <c r="AA336" i="68"/>
  <c r="Z336" i="68"/>
  <c r="O336" i="68"/>
  <c r="AJ335" i="68"/>
  <c r="AI335" i="68"/>
  <c r="AG335" i="68"/>
  <c r="AF335" i="68"/>
  <c r="AD335" i="68"/>
  <c r="AC335" i="68"/>
  <c r="AA335" i="68"/>
  <c r="Z335" i="68"/>
  <c r="O335" i="68"/>
  <c r="AJ334" i="68"/>
  <c r="AI334" i="68"/>
  <c r="AG334" i="68"/>
  <c r="AF334" i="68"/>
  <c r="AD334" i="68"/>
  <c r="AC334" i="68"/>
  <c r="AA334" i="68"/>
  <c r="Z334" i="68"/>
  <c r="O334" i="68"/>
  <c r="AL221" i="68"/>
  <c r="M221" i="68"/>
  <c r="T221" i="68"/>
  <c r="U221" i="68"/>
  <c r="AJ310" i="68"/>
  <c r="AI310" i="68"/>
  <c r="AG310" i="68"/>
  <c r="AF310" i="68"/>
  <c r="AD310" i="68"/>
  <c r="AC310" i="68"/>
  <c r="AA310" i="68"/>
  <c r="Z310" i="68"/>
  <c r="O310" i="68"/>
  <c r="BI309" i="68"/>
  <c r="AJ309" i="68"/>
  <c r="AI309" i="68"/>
  <c r="AG309" i="68"/>
  <c r="AF309" i="68"/>
  <c r="AD309" i="68"/>
  <c r="AC309" i="68"/>
  <c r="AA309" i="68"/>
  <c r="Z309" i="68"/>
  <c r="O309" i="68"/>
  <c r="AJ400" i="68"/>
  <c r="AI400" i="68"/>
  <c r="AG400" i="68"/>
  <c r="AF400" i="68"/>
  <c r="AD400" i="68"/>
  <c r="AC400" i="68"/>
  <c r="AA400" i="68"/>
  <c r="Z400" i="68"/>
  <c r="O400" i="68"/>
  <c r="AJ399" i="68"/>
  <c r="AI399" i="68"/>
  <c r="AG399" i="68"/>
  <c r="AF399" i="68"/>
  <c r="AD399" i="68"/>
  <c r="AC399" i="68"/>
  <c r="AA399" i="68"/>
  <c r="Z399" i="68"/>
  <c r="O399" i="68"/>
  <c r="AE402" i="68" l="1"/>
  <c r="AN334" i="68"/>
  <c r="AN342" i="68"/>
  <c r="AK402" i="68"/>
  <c r="AP335" i="68"/>
  <c r="AP343" i="68"/>
  <c r="AN338" i="68"/>
  <c r="AP339" i="68"/>
  <c r="AN401" i="68"/>
  <c r="AH402" i="68"/>
  <c r="AK400" i="68"/>
  <c r="AE401" i="68"/>
  <c r="AK401" i="68"/>
  <c r="AH401" i="68"/>
  <c r="AP399" i="68"/>
  <c r="AT402" i="68"/>
  <c r="AM403" i="68"/>
  <c r="AH400" i="68"/>
  <c r="AM334" i="68"/>
  <c r="AN403" i="68"/>
  <c r="AM400" i="68"/>
  <c r="AH341" i="68"/>
  <c r="AH345" i="68"/>
  <c r="AQ343" i="68"/>
  <c r="AH335" i="68"/>
  <c r="AH338" i="68"/>
  <c r="AH339" i="68"/>
  <c r="AH342" i="68"/>
  <c r="AH343" i="68"/>
  <c r="AQ402" i="68"/>
  <c r="AH334" i="68"/>
  <c r="AM401" i="68"/>
  <c r="AH403" i="68"/>
  <c r="AQ400" i="68"/>
  <c r="AE334" i="68"/>
  <c r="AK334" i="68"/>
  <c r="AB401" i="68"/>
  <c r="AE403" i="68"/>
  <c r="AK403" i="68"/>
  <c r="AM402" i="68"/>
  <c r="AP400" i="68"/>
  <c r="AN402" i="68"/>
  <c r="AB403" i="68"/>
  <c r="AS403" i="68"/>
  <c r="AB402" i="68"/>
  <c r="AS402" i="68"/>
  <c r="AP403" i="68"/>
  <c r="AT403" i="68"/>
  <c r="AP402" i="68"/>
  <c r="AQ403" i="68"/>
  <c r="AM341" i="68"/>
  <c r="AM345" i="68"/>
  <c r="AP310" i="68"/>
  <c r="AE335" i="68"/>
  <c r="AE336" i="68"/>
  <c r="AK336" i="68"/>
  <c r="AE339" i="68"/>
  <c r="AE340" i="68"/>
  <c r="AK340" i="68"/>
  <c r="AE344" i="68"/>
  <c r="AK344" i="68"/>
  <c r="AK337" i="68"/>
  <c r="AE338" i="68"/>
  <c r="AK338" i="68"/>
  <c r="AK341" i="68"/>
  <c r="AP342" i="68"/>
  <c r="AK342" i="68"/>
  <c r="AK345" i="68"/>
  <c r="AM337" i="68"/>
  <c r="AS401" i="68"/>
  <c r="AT335" i="68"/>
  <c r="AN337" i="68"/>
  <c r="AS337" i="68"/>
  <c r="AV337" i="68" s="1"/>
  <c r="AQ338" i="68"/>
  <c r="AT339" i="68"/>
  <c r="AN341" i="68"/>
  <c r="AQ342" i="68"/>
  <c r="AT343" i="68"/>
  <c r="AN345" i="68"/>
  <c r="AP401" i="68"/>
  <c r="AT401" i="68"/>
  <c r="AM336" i="68"/>
  <c r="AB337" i="68"/>
  <c r="AT337" i="68"/>
  <c r="AS338" i="68"/>
  <c r="AV338" i="68" s="1"/>
  <c r="AM340" i="68"/>
  <c r="AB341" i="68"/>
  <c r="AT341" i="68"/>
  <c r="AS342" i="68"/>
  <c r="AV342" i="68" s="1"/>
  <c r="AM344" i="68"/>
  <c r="AB345" i="68"/>
  <c r="AT345" i="68"/>
  <c r="AQ401" i="68"/>
  <c r="AN309" i="68"/>
  <c r="AK335" i="68"/>
  <c r="AQ336" i="68"/>
  <c r="AH336" i="68"/>
  <c r="AE337" i="68"/>
  <c r="AK339" i="68"/>
  <c r="AQ340" i="68"/>
  <c r="AH340" i="68"/>
  <c r="AE341" i="68"/>
  <c r="AK343" i="68"/>
  <c r="AQ344" i="68"/>
  <c r="AH344" i="68"/>
  <c r="AE345" i="68"/>
  <c r="AT338" i="68"/>
  <c r="AN344" i="68"/>
  <c r="AQ335" i="68"/>
  <c r="AR335" i="68" s="1"/>
  <c r="AP338" i="68"/>
  <c r="AQ339" i="68"/>
  <c r="AS341" i="68"/>
  <c r="AT342" i="68"/>
  <c r="AS345" i="68"/>
  <c r="AN335" i="68"/>
  <c r="AP337" i="68"/>
  <c r="AB340" i="68"/>
  <c r="AM342" i="68"/>
  <c r="AE343" i="68"/>
  <c r="AN343" i="68"/>
  <c r="AB344" i="68"/>
  <c r="AB335" i="68"/>
  <c r="AS335" i="68"/>
  <c r="AP336" i="68"/>
  <c r="AT336" i="68"/>
  <c r="AH337" i="68"/>
  <c r="AQ337" i="68"/>
  <c r="AB339" i="68"/>
  <c r="AS339" i="68"/>
  <c r="AP340" i="68"/>
  <c r="AT340" i="68"/>
  <c r="AQ341" i="68"/>
  <c r="AE342" i="68"/>
  <c r="AB343" i="68"/>
  <c r="AS343" i="68"/>
  <c r="AP344" i="68"/>
  <c r="AR344" i="68" s="1"/>
  <c r="AT344" i="68"/>
  <c r="AQ345" i="68"/>
  <c r="AM335" i="68"/>
  <c r="AO335" i="68" s="1"/>
  <c r="AN336" i="68"/>
  <c r="AM339" i="68"/>
  <c r="AN340" i="68"/>
  <c r="AM343" i="68"/>
  <c r="AB336" i="68"/>
  <c r="AS336" i="68"/>
  <c r="AM338" i="68"/>
  <c r="AN339" i="68"/>
  <c r="AS340" i="68"/>
  <c r="AP341" i="68"/>
  <c r="AS344" i="68"/>
  <c r="AP345" i="68"/>
  <c r="AB338" i="68"/>
  <c r="AB342" i="68"/>
  <c r="AE309" i="68"/>
  <c r="AK309" i="68"/>
  <c r="AH310" i="68"/>
  <c r="AH309" i="68"/>
  <c r="AK310" i="68"/>
  <c r="AB309" i="68"/>
  <c r="AE310" i="68"/>
  <c r="AB334" i="68"/>
  <c r="AS334" i="68"/>
  <c r="AP334" i="68"/>
  <c r="AT334" i="68"/>
  <c r="AM309" i="68"/>
  <c r="AQ309" i="68"/>
  <c r="AQ334" i="68"/>
  <c r="AT310" i="68"/>
  <c r="AM310" i="68"/>
  <c r="AQ310" i="68"/>
  <c r="AN310" i="68"/>
  <c r="AB310" i="68"/>
  <c r="AS310" i="68"/>
  <c r="AS309" i="68"/>
  <c r="AP309" i="68"/>
  <c r="AT309" i="68"/>
  <c r="AM399" i="68"/>
  <c r="AE399" i="68"/>
  <c r="AE400" i="68"/>
  <c r="AN400" i="68"/>
  <c r="AQ399" i="68"/>
  <c r="AH399" i="68"/>
  <c r="AB400" i="68"/>
  <c r="AS400" i="68"/>
  <c r="AT400" i="68"/>
  <c r="AK399" i="68"/>
  <c r="AN399" i="68"/>
  <c r="AB399" i="68"/>
  <c r="AS399" i="68"/>
  <c r="AT399" i="68"/>
  <c r="G18" i="70"/>
  <c r="H18" i="70"/>
  <c r="I16" i="70"/>
  <c r="I18" i="70" s="1"/>
  <c r="J17" i="70"/>
  <c r="AO401" i="68" l="1"/>
  <c r="AR343" i="68"/>
  <c r="AO338" i="68"/>
  <c r="AO334" i="68"/>
  <c r="AR339" i="68"/>
  <c r="AO342" i="68"/>
  <c r="AR399" i="68"/>
  <c r="AR336" i="68"/>
  <c r="AR402" i="68"/>
  <c r="AO403" i="68"/>
  <c r="AO400" i="68"/>
  <c r="AO402" i="68"/>
  <c r="AR310" i="68"/>
  <c r="AR340" i="68"/>
  <c r="AO337" i="68"/>
  <c r="AR400" i="68"/>
  <c r="AU337" i="68"/>
  <c r="AO345" i="68"/>
  <c r="AU338" i="68"/>
  <c r="AO341" i="68"/>
  <c r="AO399" i="68"/>
  <c r="AR342" i="68"/>
  <c r="AV403" i="68"/>
  <c r="AU403" i="68"/>
  <c r="AR403" i="68"/>
  <c r="AU402" i="68"/>
  <c r="AV402" i="68"/>
  <c r="AR338" i="68"/>
  <c r="AO309" i="68"/>
  <c r="AU342" i="68"/>
  <c r="AO340" i="68"/>
  <c r="AO336" i="68"/>
  <c r="AO344" i="68"/>
  <c r="AR345" i="68"/>
  <c r="AO343" i="68"/>
  <c r="AR401" i="68"/>
  <c r="AR341" i="68"/>
  <c r="AV401" i="68"/>
  <c r="AU401" i="68"/>
  <c r="AV343" i="68"/>
  <c r="AU343" i="68"/>
  <c r="AV335" i="68"/>
  <c r="AU335" i="68"/>
  <c r="AU344" i="68"/>
  <c r="AV344" i="68"/>
  <c r="AV345" i="68"/>
  <c r="AU345" i="68"/>
  <c r="AO339" i="68"/>
  <c r="AU336" i="68"/>
  <c r="AV336" i="68"/>
  <c r="AV339" i="68"/>
  <c r="AU339" i="68"/>
  <c r="AU340" i="68"/>
  <c r="AV340" i="68"/>
  <c r="AR337" i="68"/>
  <c r="AV341" i="68"/>
  <c r="AU341" i="68"/>
  <c r="AV334" i="68"/>
  <c r="AU334" i="68"/>
  <c r="AR309" i="68"/>
  <c r="AR334" i="68"/>
  <c r="AO310" i="68"/>
  <c r="AV310" i="68"/>
  <c r="AU310" i="68"/>
  <c r="AV309" i="68"/>
  <c r="AU309" i="68"/>
  <c r="AU400" i="68"/>
  <c r="AV400" i="68"/>
  <c r="AU399" i="68"/>
  <c r="AV399" i="68"/>
  <c r="BE284" i="68"/>
  <c r="BF284" i="68"/>
  <c r="J32" i="70" l="1"/>
  <c r="J31" i="70"/>
  <c r="BM28" i="68"/>
  <c r="BN28" i="68"/>
  <c r="AJ28" i="68" l="1"/>
  <c r="AI28" i="68"/>
  <c r="AG28" i="68"/>
  <c r="AF28" i="68"/>
  <c r="AD28" i="68"/>
  <c r="AC28" i="68"/>
  <c r="AA28" i="68"/>
  <c r="Z28" i="68"/>
  <c r="O28" i="68"/>
  <c r="J27" i="70"/>
  <c r="J28" i="70"/>
  <c r="AK28" i="68" l="1"/>
  <c r="AM28" i="68"/>
  <c r="AQ28" i="68"/>
  <c r="AH28" i="68"/>
  <c r="AP28" i="68"/>
  <c r="AT28" i="68"/>
  <c r="AE28" i="68"/>
  <c r="AN28" i="68"/>
  <c r="AB28" i="68"/>
  <c r="AS28" i="68"/>
  <c r="J26" i="70"/>
  <c r="J25" i="70"/>
  <c r="AR28" i="68" l="1"/>
  <c r="AO28" i="68"/>
  <c r="AU28" i="68"/>
  <c r="AV28" i="68"/>
  <c r="AJ398" i="68"/>
  <c r="AI398" i="68"/>
  <c r="AG398" i="68"/>
  <c r="AF398" i="68"/>
  <c r="AD398" i="68"/>
  <c r="AC398" i="68"/>
  <c r="AA398" i="68"/>
  <c r="Z398" i="68"/>
  <c r="O398" i="68"/>
  <c r="AN398" i="68" l="1"/>
  <c r="AE398" i="68"/>
  <c r="AK398" i="68"/>
  <c r="AH398" i="68"/>
  <c r="AQ398" i="68"/>
  <c r="AS398" i="68"/>
  <c r="AV398" i="68" s="1"/>
  <c r="AP398" i="68"/>
  <c r="AT398" i="68"/>
  <c r="AM398" i="68"/>
  <c r="AO398" i="68" s="1"/>
  <c r="AB398" i="68"/>
  <c r="I14" i="70"/>
  <c r="H14" i="70"/>
  <c r="J13" i="70"/>
  <c r="J12" i="70"/>
  <c r="G14" i="70"/>
  <c r="AR398" i="68" l="1"/>
  <c r="AU398" i="68"/>
  <c r="J14" i="70"/>
  <c r="H43" i="70" l="1"/>
  <c r="H44" i="70" s="1"/>
  <c r="G43" i="70"/>
  <c r="G44" i="70" s="1"/>
  <c r="J39" i="70"/>
  <c r="J38" i="70"/>
  <c r="J37" i="70"/>
  <c r="J36" i="70"/>
  <c r="J35" i="70"/>
  <c r="J16" i="70"/>
  <c r="J18" i="70" s="1"/>
  <c r="J42" i="70" l="1"/>
  <c r="J41" i="70"/>
  <c r="I43" i="70"/>
  <c r="I44" i="70" s="1"/>
  <c r="J33" i="70"/>
  <c r="J40" i="70" l="1"/>
  <c r="J43" i="70" s="1"/>
  <c r="J44" i="70" s="1"/>
  <c r="AJ201" i="68"/>
  <c r="AI201" i="68"/>
  <c r="AG201" i="68"/>
  <c r="AF201" i="68"/>
  <c r="AD201" i="68"/>
  <c r="AC201" i="68"/>
  <c r="AA201" i="68"/>
  <c r="Z201" i="68"/>
  <c r="O201" i="68"/>
  <c r="L203" i="68"/>
  <c r="L134" i="68"/>
  <c r="AM201" i="68" l="1"/>
  <c r="AH201" i="68"/>
  <c r="AN201" i="68"/>
  <c r="AE201" i="68"/>
  <c r="AB201" i="68"/>
  <c r="AK201" i="68"/>
  <c r="AS201" i="68"/>
  <c r="AP201" i="68"/>
  <c r="AT201" i="68"/>
  <c r="AQ201" i="68"/>
  <c r="AJ200" i="68"/>
  <c r="AI200" i="68"/>
  <c r="AG200" i="68"/>
  <c r="AF200" i="68"/>
  <c r="AD200" i="68"/>
  <c r="AC200" i="68"/>
  <c r="AA200" i="68"/>
  <c r="Z200" i="68"/>
  <c r="O200" i="68"/>
  <c r="AO201" i="68" l="1"/>
  <c r="AR201" i="68"/>
  <c r="AV201" i="68"/>
  <c r="AU201" i="68"/>
  <c r="AM200" i="68"/>
  <c r="AE200" i="68"/>
  <c r="AH200" i="68"/>
  <c r="AN200" i="68"/>
  <c r="AK200" i="68"/>
  <c r="AB200" i="68"/>
  <c r="AS200" i="68"/>
  <c r="AP200" i="68"/>
  <c r="AT200" i="68"/>
  <c r="AQ200" i="68"/>
  <c r="M258" i="68"/>
  <c r="L260" i="68"/>
  <c r="AO200" i="68" l="1"/>
  <c r="AV200" i="68"/>
  <c r="AU200" i="68"/>
  <c r="AR200" i="68"/>
  <c r="L300" i="68"/>
  <c r="L276" i="68"/>
  <c r="L268" i="68"/>
  <c r="L269" i="68"/>
  <c r="O269" i="68" s="1"/>
  <c r="M253" i="68"/>
  <c r="P12" i="68" s="1"/>
  <c r="L106" i="68"/>
  <c r="L105" i="68" s="1"/>
  <c r="L174" i="68"/>
  <c r="L155" i="68"/>
  <c r="L154" i="68" s="1"/>
  <c r="L192" i="68"/>
  <c r="O416" i="68"/>
  <c r="L416" i="68"/>
  <c r="AL414" i="68"/>
  <c r="Y414" i="68"/>
  <c r="W414" i="68"/>
  <c r="V414" i="68"/>
  <c r="U414" i="68"/>
  <c r="T414" i="68"/>
  <c r="P414" i="68"/>
  <c r="AJ413" i="68"/>
  <c r="AI413" i="68"/>
  <c r="AG413" i="68"/>
  <c r="AF413" i="68"/>
  <c r="AD413" i="68"/>
  <c r="AC413" i="68"/>
  <c r="AA413" i="68"/>
  <c r="Z413" i="68"/>
  <c r="O413" i="68"/>
  <c r="AJ412" i="68"/>
  <c r="AI412" i="68"/>
  <c r="AG412" i="68"/>
  <c r="AF412" i="68"/>
  <c r="AD412" i="68"/>
  <c r="AC412" i="68"/>
  <c r="AA412" i="68"/>
  <c r="Z412" i="68"/>
  <c r="O412" i="68"/>
  <c r="BS411" i="68"/>
  <c r="AI411" i="68" s="1"/>
  <c r="AJ411" i="68"/>
  <c r="AG411" i="68"/>
  <c r="AF411" i="68"/>
  <c r="AD411" i="68"/>
  <c r="AC411" i="68"/>
  <c r="AA411" i="68"/>
  <c r="Z411" i="68"/>
  <c r="O411" i="68"/>
  <c r="BR410" i="68"/>
  <c r="BQ410" i="68"/>
  <c r="BP410" i="68"/>
  <c r="BO410" i="68"/>
  <c r="BN410" i="68"/>
  <c r="BM410" i="68"/>
  <c r="BL410" i="68"/>
  <c r="BK410" i="68"/>
  <c r="BJ410" i="68"/>
  <c r="BI410" i="68"/>
  <c r="BH410" i="68"/>
  <c r="BG410" i="68"/>
  <c r="BF410" i="68"/>
  <c r="BE410" i="68"/>
  <c r="BD410" i="68"/>
  <c r="BC410" i="68"/>
  <c r="BB410" i="68"/>
  <c r="BA410" i="68"/>
  <c r="AZ410" i="68"/>
  <c r="AY410" i="68"/>
  <c r="AX410" i="68"/>
  <c r="AW410" i="68"/>
  <c r="S410" i="68"/>
  <c r="R410" i="68"/>
  <c r="Q410" i="68"/>
  <c r="N410" i="68"/>
  <c r="L410" i="68"/>
  <c r="AJ409" i="68"/>
  <c r="AI409" i="68"/>
  <c r="AG409" i="68"/>
  <c r="AF409" i="68"/>
  <c r="AD409" i="68"/>
  <c r="AC409" i="68"/>
  <c r="AA409" i="68"/>
  <c r="Z409" i="68"/>
  <c r="O409" i="68"/>
  <c r="AJ408" i="68"/>
  <c r="AI408" i="68"/>
  <c r="AG408" i="68"/>
  <c r="AF408" i="68"/>
  <c r="AD408" i="68"/>
  <c r="AC408" i="68"/>
  <c r="AA408" i="68"/>
  <c r="Z408" i="68"/>
  <c r="O408" i="68"/>
  <c r="AJ407" i="68"/>
  <c r="AI407" i="68"/>
  <c r="AG407" i="68"/>
  <c r="AF407" i="68"/>
  <c r="AD407" i="68"/>
  <c r="AC407" i="68"/>
  <c r="AA407" i="68"/>
  <c r="Z407" i="68"/>
  <c r="O407" i="68"/>
  <c r="AJ406" i="68"/>
  <c r="AI406" i="68"/>
  <c r="AG406" i="68"/>
  <c r="AF406" i="68"/>
  <c r="AD406" i="68"/>
  <c r="AC406" i="68"/>
  <c r="AA406" i="68"/>
  <c r="Z406" i="68"/>
  <c r="O406" i="68"/>
  <c r="BS405" i="68"/>
  <c r="BR405" i="68"/>
  <c r="BQ405" i="68"/>
  <c r="BP405" i="68"/>
  <c r="BO405" i="68"/>
  <c r="BN405" i="68"/>
  <c r="BM405" i="68"/>
  <c r="BL405" i="68"/>
  <c r="BK405" i="68"/>
  <c r="BJ405" i="68"/>
  <c r="BI405" i="68"/>
  <c r="BH405" i="68"/>
  <c r="BG405" i="68"/>
  <c r="BF405" i="68"/>
  <c r="BE405" i="68"/>
  <c r="BD405" i="68"/>
  <c r="BC405" i="68"/>
  <c r="BB405" i="68"/>
  <c r="BA405" i="68"/>
  <c r="AZ405" i="68"/>
  <c r="AY405" i="68"/>
  <c r="AX405" i="68"/>
  <c r="AW405" i="68"/>
  <c r="N405" i="68"/>
  <c r="L405" i="68"/>
  <c r="AJ404" i="68"/>
  <c r="AI404" i="68"/>
  <c r="AG404" i="68"/>
  <c r="AF404" i="68"/>
  <c r="AD404" i="68"/>
  <c r="AC404" i="68"/>
  <c r="AA404" i="68"/>
  <c r="Z404" i="68"/>
  <c r="O404" i="68"/>
  <c r="AJ397" i="68"/>
  <c r="AI397" i="68"/>
  <c r="AG397" i="68"/>
  <c r="AF397" i="68"/>
  <c r="AD397" i="68"/>
  <c r="AC397" i="68"/>
  <c r="AA397" i="68"/>
  <c r="Z397" i="68"/>
  <c r="O397" i="68"/>
  <c r="AJ396" i="68"/>
  <c r="AI396" i="68"/>
  <c r="AG396" i="68"/>
  <c r="AF396" i="68"/>
  <c r="AD396" i="68"/>
  <c r="AC396" i="68"/>
  <c r="AA396" i="68"/>
  <c r="Z396" i="68"/>
  <c r="O396" i="68"/>
  <c r="AJ395" i="68"/>
  <c r="AI395" i="68"/>
  <c r="AG395" i="68"/>
  <c r="AF395" i="68"/>
  <c r="AD395" i="68"/>
  <c r="AC395" i="68"/>
  <c r="AA395" i="68"/>
  <c r="Z395" i="68"/>
  <c r="O395" i="68"/>
  <c r="AJ394" i="68"/>
  <c r="AI394" i="68"/>
  <c r="AG394" i="68"/>
  <c r="AF394" i="68"/>
  <c r="AD394" i="68"/>
  <c r="AC394" i="68"/>
  <c r="AA394" i="68"/>
  <c r="Z394" i="68"/>
  <c r="O394" i="68"/>
  <c r="AJ393" i="68"/>
  <c r="AI393" i="68"/>
  <c r="AG393" i="68"/>
  <c r="AF393" i="68"/>
  <c r="AD393" i="68"/>
  <c r="AC393" i="68"/>
  <c r="AA393" i="68"/>
  <c r="Z393" i="68"/>
  <c r="O393" i="68"/>
  <c r="AJ392" i="68"/>
  <c r="AI392" i="68"/>
  <c r="AG392" i="68"/>
  <c r="AF392" i="68"/>
  <c r="AD392" i="68"/>
  <c r="AC392" i="68"/>
  <c r="AA392" i="68"/>
  <c r="Z392" i="68"/>
  <c r="O392" i="68"/>
  <c r="AJ391" i="68"/>
  <c r="AI391" i="68"/>
  <c r="AG391" i="68"/>
  <c r="AF391" i="68"/>
  <c r="AD391" i="68"/>
  <c r="AC391" i="68"/>
  <c r="AA391" i="68"/>
  <c r="Z391" i="68"/>
  <c r="O391" i="68"/>
  <c r="AJ390" i="68"/>
  <c r="AI390" i="68"/>
  <c r="AG390" i="68"/>
  <c r="AF390" i="68"/>
  <c r="AD390" i="68"/>
  <c r="AC390" i="68"/>
  <c r="AA390" i="68"/>
  <c r="Z390" i="68"/>
  <c r="O390" i="68"/>
  <c r="AJ389" i="68"/>
  <c r="AI389" i="68"/>
  <c r="AG389" i="68"/>
  <c r="AF389" i="68"/>
  <c r="AD389" i="68"/>
  <c r="AC389" i="68"/>
  <c r="AA389" i="68"/>
  <c r="Z389" i="68"/>
  <c r="O389" i="68"/>
  <c r="AJ388" i="68"/>
  <c r="AI388" i="68"/>
  <c r="AG388" i="68"/>
  <c r="AF388" i="68"/>
  <c r="AD388" i="68"/>
  <c r="AC388" i="68"/>
  <c r="AA388" i="68"/>
  <c r="Z388" i="68"/>
  <c r="AJ387" i="68"/>
  <c r="AI387" i="68"/>
  <c r="AG387" i="68"/>
  <c r="AF387" i="68"/>
  <c r="AD387" i="68"/>
  <c r="AC387" i="68"/>
  <c r="AA387" i="68"/>
  <c r="Z387" i="68"/>
  <c r="O387" i="68"/>
  <c r="AJ386" i="68"/>
  <c r="AI386" i="68"/>
  <c r="AG386" i="68"/>
  <c r="AF386" i="68"/>
  <c r="AD386" i="68"/>
  <c r="AC386" i="68"/>
  <c r="AA386" i="68"/>
  <c r="Z386" i="68"/>
  <c r="O386" i="68"/>
  <c r="AJ385" i="68"/>
  <c r="AI385" i="68"/>
  <c r="AG385" i="68"/>
  <c r="AF385" i="68"/>
  <c r="AD385" i="68"/>
  <c r="AC385" i="68"/>
  <c r="AA385" i="68"/>
  <c r="Z385" i="68"/>
  <c r="O385" i="68"/>
  <c r="AJ384" i="68"/>
  <c r="AI384" i="68"/>
  <c r="AG384" i="68"/>
  <c r="AF384" i="68"/>
  <c r="AD384" i="68"/>
  <c r="AC384" i="68"/>
  <c r="AA384" i="68"/>
  <c r="Z384" i="68"/>
  <c r="O384" i="68"/>
  <c r="AJ383" i="68"/>
  <c r="AI383" i="68"/>
  <c r="AG383" i="68"/>
  <c r="AF383" i="68"/>
  <c r="AD383" i="68"/>
  <c r="AC383" i="68"/>
  <c r="AA383" i="68"/>
  <c r="Z383" i="68"/>
  <c r="O383" i="68"/>
  <c r="AJ382" i="68"/>
  <c r="AI382" i="68"/>
  <c r="AG382" i="68"/>
  <c r="AF382" i="68"/>
  <c r="AD382" i="68"/>
  <c r="AC382" i="68"/>
  <c r="AA382" i="68"/>
  <c r="Z382" i="68"/>
  <c r="O382" i="68"/>
  <c r="AJ381" i="68"/>
  <c r="AI381" i="68"/>
  <c r="AG381" i="68"/>
  <c r="AF381" i="68"/>
  <c r="AD381" i="68"/>
  <c r="AC381" i="68"/>
  <c r="AA381" i="68"/>
  <c r="Z381" i="68"/>
  <c r="O381" i="68"/>
  <c r="AJ380" i="68"/>
  <c r="AI380" i="68"/>
  <c r="AG380" i="68"/>
  <c r="AF380" i="68"/>
  <c r="AD380" i="68"/>
  <c r="AC380" i="68"/>
  <c r="AA380" i="68"/>
  <c r="Z380" i="68"/>
  <c r="O380" i="68"/>
  <c r="AJ379" i="68"/>
  <c r="AI379" i="68"/>
  <c r="AG379" i="68"/>
  <c r="AF379" i="68"/>
  <c r="AD379" i="68"/>
  <c r="AC379" i="68"/>
  <c r="AA379" i="68"/>
  <c r="Z379" i="68"/>
  <c r="O379" i="68"/>
  <c r="AJ378" i="68"/>
  <c r="AI378" i="68"/>
  <c r="AG378" i="68"/>
  <c r="AF378" i="68"/>
  <c r="AD378" i="68"/>
  <c r="AC378" i="68"/>
  <c r="AA378" i="68"/>
  <c r="Z378" i="68"/>
  <c r="O378" i="68"/>
  <c r="BT377" i="68"/>
  <c r="BS377" i="68"/>
  <c r="BR377" i="68"/>
  <c r="BQ377" i="68"/>
  <c r="BP377" i="68"/>
  <c r="BO377" i="68"/>
  <c r="BN377" i="68"/>
  <c r="BM377" i="68"/>
  <c r="BL377" i="68"/>
  <c r="BK377" i="68"/>
  <c r="BJ377" i="68"/>
  <c r="BI377" i="68"/>
  <c r="BH377" i="68"/>
  <c r="BG377" i="68"/>
  <c r="BF377" i="68"/>
  <c r="BE377" i="68"/>
  <c r="BD377" i="68"/>
  <c r="BC377" i="68"/>
  <c r="BB377" i="68"/>
  <c r="BA377" i="68"/>
  <c r="AZ377" i="68"/>
  <c r="AY377" i="68"/>
  <c r="AX377" i="68"/>
  <c r="AW377" i="68"/>
  <c r="S377" i="68"/>
  <c r="Q377" i="68"/>
  <c r="N377" i="68"/>
  <c r="L377" i="68"/>
  <c r="BC376" i="68"/>
  <c r="AJ376" i="68"/>
  <c r="AI376" i="68"/>
  <c r="AG376" i="68"/>
  <c r="AF376" i="68"/>
  <c r="AD376" i="68"/>
  <c r="AC376" i="68"/>
  <c r="AA376" i="68"/>
  <c r="Z376" i="68"/>
  <c r="O376" i="68"/>
  <c r="AJ375" i="68"/>
  <c r="AI375" i="68"/>
  <c r="AG375" i="68"/>
  <c r="AF375" i="68"/>
  <c r="AD375" i="68"/>
  <c r="AC375" i="68"/>
  <c r="AA375" i="68"/>
  <c r="Z375" i="68"/>
  <c r="O375" i="68"/>
  <c r="AJ374" i="68"/>
  <c r="AI374" i="68"/>
  <c r="AG374" i="68"/>
  <c r="AF374" i="68"/>
  <c r="AD374" i="68"/>
  <c r="AC374" i="68"/>
  <c r="AA374" i="68"/>
  <c r="Z374" i="68"/>
  <c r="O374" i="68"/>
  <c r="AJ373" i="68"/>
  <c r="AI373" i="68"/>
  <c r="AG373" i="68"/>
  <c r="AF373" i="68"/>
  <c r="AD373" i="68"/>
  <c r="AC373" i="68"/>
  <c r="AA373" i="68"/>
  <c r="Z373" i="68"/>
  <c r="O373" i="68"/>
  <c r="AJ372" i="68"/>
  <c r="AI372" i="68"/>
  <c r="AG372" i="68"/>
  <c r="AF372" i="68"/>
  <c r="AD372" i="68"/>
  <c r="AC372" i="68"/>
  <c r="AA372" i="68"/>
  <c r="Z372" i="68"/>
  <c r="O372" i="68"/>
  <c r="BG371" i="68"/>
  <c r="AC371" i="68" s="1"/>
  <c r="AJ371" i="68"/>
  <c r="AI371" i="68"/>
  <c r="AG371" i="68"/>
  <c r="AF371" i="68"/>
  <c r="AD371" i="68"/>
  <c r="AA371" i="68"/>
  <c r="Z371" i="68"/>
  <c r="O371" i="68"/>
  <c r="BS370" i="68"/>
  <c r="BR370" i="68"/>
  <c r="BQ370" i="68"/>
  <c r="BP370" i="68"/>
  <c r="BO370" i="68"/>
  <c r="BN370" i="68"/>
  <c r="BM370" i="68"/>
  <c r="BL370" i="68"/>
  <c r="BK370" i="68"/>
  <c r="BJ370" i="68"/>
  <c r="BI370" i="68"/>
  <c r="BH370" i="68"/>
  <c r="BF370" i="68"/>
  <c r="BE370" i="68"/>
  <c r="BD370" i="68"/>
  <c r="BC370" i="68"/>
  <c r="BB370" i="68"/>
  <c r="BA370" i="68"/>
  <c r="AZ370" i="68"/>
  <c r="AY370" i="68"/>
  <c r="AX370" i="68"/>
  <c r="AW370" i="68"/>
  <c r="S370" i="68"/>
  <c r="R370" i="68"/>
  <c r="R354" i="68" s="1"/>
  <c r="Q370" i="68"/>
  <c r="N370" i="68"/>
  <c r="AJ369" i="68"/>
  <c r="AI369" i="68"/>
  <c r="AG369" i="68"/>
  <c r="AF369" i="68"/>
  <c r="AD369" i="68"/>
  <c r="AC369" i="68"/>
  <c r="AA369" i="68"/>
  <c r="Z369" i="68"/>
  <c r="O369" i="68"/>
  <c r="AJ368" i="68"/>
  <c r="AI368" i="68"/>
  <c r="AG368" i="68"/>
  <c r="AF368" i="68"/>
  <c r="AD368" i="68"/>
  <c r="AC368" i="68"/>
  <c r="AA368" i="68"/>
  <c r="Z368" i="68"/>
  <c r="O368" i="68"/>
  <c r="AJ367" i="68"/>
  <c r="AI367" i="68"/>
  <c r="AG367" i="68"/>
  <c r="AF367" i="68"/>
  <c r="AD367" i="68"/>
  <c r="AC367" i="68"/>
  <c r="AA367" i="68"/>
  <c r="Z367" i="68"/>
  <c r="O367" i="68"/>
  <c r="AJ366" i="68"/>
  <c r="AI366" i="68"/>
  <c r="AG366" i="68"/>
  <c r="AF366" i="68"/>
  <c r="AD366" i="68"/>
  <c r="AC366" i="68"/>
  <c r="AA366" i="68"/>
  <c r="Z366" i="68"/>
  <c r="O366" i="68"/>
  <c r="AJ365" i="68"/>
  <c r="AI365" i="68"/>
  <c r="AG365" i="68"/>
  <c r="AF365" i="68"/>
  <c r="AD365" i="68"/>
  <c r="AC365" i="68"/>
  <c r="AA365" i="68"/>
  <c r="Z365" i="68"/>
  <c r="O365" i="68"/>
  <c r="BG364" i="68"/>
  <c r="AC364" i="68" s="1"/>
  <c r="AJ364" i="68"/>
  <c r="AI364" i="68"/>
  <c r="AG364" i="68"/>
  <c r="AF364" i="68"/>
  <c r="AD364" i="68"/>
  <c r="AA364" i="68"/>
  <c r="Z364" i="68"/>
  <c r="L364" i="68"/>
  <c r="BS363" i="68"/>
  <c r="BR363" i="68"/>
  <c r="BQ363" i="68"/>
  <c r="BP363" i="68"/>
  <c r="BO363" i="68"/>
  <c r="BN363" i="68"/>
  <c r="BM363" i="68"/>
  <c r="BL363" i="68"/>
  <c r="BK363" i="68"/>
  <c r="BJ363" i="68"/>
  <c r="BI363" i="68"/>
  <c r="BH363" i="68"/>
  <c r="BF363" i="68"/>
  <c r="BE363" i="68"/>
  <c r="BD363" i="68"/>
  <c r="BC363" i="68"/>
  <c r="BB363" i="68"/>
  <c r="BA363" i="68"/>
  <c r="AZ363" i="68"/>
  <c r="AY363" i="68"/>
  <c r="AX363" i="68"/>
  <c r="AW363" i="68"/>
  <c r="S363" i="68"/>
  <c r="Q363" i="68"/>
  <c r="N363" i="68"/>
  <c r="AI362" i="68"/>
  <c r="AJ362" i="68"/>
  <c r="AG362" i="68"/>
  <c r="AF362" i="68"/>
  <c r="AD362" i="68"/>
  <c r="AC362" i="68"/>
  <c r="AA362" i="68"/>
  <c r="Z362" i="68"/>
  <c r="O362" i="68"/>
  <c r="BO361" i="68"/>
  <c r="AI361" i="68" s="1"/>
  <c r="BA361" i="68"/>
  <c r="Z361" i="68" s="1"/>
  <c r="AJ361" i="68"/>
  <c r="AG361" i="68"/>
  <c r="AF361" i="68"/>
  <c r="AD361" i="68"/>
  <c r="AC361" i="68"/>
  <c r="AA361" i="68"/>
  <c r="O361" i="68"/>
  <c r="BO360" i="68"/>
  <c r="BA360" i="68"/>
  <c r="Z360" i="68" s="1"/>
  <c r="AJ360" i="68"/>
  <c r="AG360" i="68"/>
  <c r="AF360" i="68"/>
  <c r="AD360" i="68"/>
  <c r="AC360" i="68"/>
  <c r="AA360" i="68"/>
  <c r="O360" i="68"/>
  <c r="BA359" i="68"/>
  <c r="Z359" i="68" s="1"/>
  <c r="AJ359" i="68"/>
  <c r="AI359" i="68"/>
  <c r="AG359" i="68"/>
  <c r="AF359" i="68"/>
  <c r="AD359" i="68"/>
  <c r="AC359" i="68"/>
  <c r="AA359" i="68"/>
  <c r="O359" i="68"/>
  <c r="BT358" i="68"/>
  <c r="BS358" i="68"/>
  <c r="BR358" i="68"/>
  <c r="BQ358" i="68"/>
  <c r="BM358" i="68"/>
  <c r="BK358" i="68"/>
  <c r="BI358" i="68"/>
  <c r="BG358" i="68"/>
  <c r="BE358" i="68"/>
  <c r="BD358" i="68"/>
  <c r="BC358" i="68"/>
  <c r="BB358" i="68"/>
  <c r="AZ358" i="68"/>
  <c r="AY358" i="68"/>
  <c r="AX358" i="68"/>
  <c r="AW358" i="68"/>
  <c r="S358" i="68"/>
  <c r="Q358" i="68"/>
  <c r="L358" i="68"/>
  <c r="O358" i="68" s="1"/>
  <c r="AJ357" i="68"/>
  <c r="AI357" i="68"/>
  <c r="AG357" i="68"/>
  <c r="AF357" i="68"/>
  <c r="AD357" i="68"/>
  <c r="AC357" i="68"/>
  <c r="AA357" i="68"/>
  <c r="Z357" i="68"/>
  <c r="O357" i="68"/>
  <c r="AJ356" i="68"/>
  <c r="AI356" i="68"/>
  <c r="AG356" i="68"/>
  <c r="AF356" i="68"/>
  <c r="AD356" i="68"/>
  <c r="AC356" i="68"/>
  <c r="AA356" i="68"/>
  <c r="Z356" i="68"/>
  <c r="O356" i="68"/>
  <c r="BT355" i="68"/>
  <c r="BT354" i="68" s="1"/>
  <c r="BS355" i="68"/>
  <c r="BS354" i="68" s="1"/>
  <c r="BR355" i="68"/>
  <c r="BR354" i="68" s="1"/>
  <c r="BQ355" i="68"/>
  <c r="BQ354" i="68" s="1"/>
  <c r="BP355" i="68"/>
  <c r="BP354" i="68" s="1"/>
  <c r="BO355" i="68"/>
  <c r="BO354" i="68" s="1"/>
  <c r="BN355" i="68"/>
  <c r="BN354" i="68" s="1"/>
  <c r="BM355" i="68"/>
  <c r="BM354" i="68" s="1"/>
  <c r="BL355" i="68"/>
  <c r="BL354" i="68" s="1"/>
  <c r="BK355" i="68"/>
  <c r="BK354" i="68" s="1"/>
  <c r="BJ355" i="68"/>
  <c r="BI355" i="68"/>
  <c r="BI354" i="68" s="1"/>
  <c r="BH355" i="68"/>
  <c r="BH354" i="68" s="1"/>
  <c r="BG355" i="68"/>
  <c r="BG354" i="68" s="1"/>
  <c r="BF355" i="68"/>
  <c r="BE355" i="68"/>
  <c r="BD355" i="68"/>
  <c r="BD354" i="68" s="1"/>
  <c r="BC355" i="68"/>
  <c r="BC354" i="68" s="1"/>
  <c r="BB355" i="68"/>
  <c r="BB354" i="68" s="1"/>
  <c r="BA355" i="68"/>
  <c r="BA354" i="68" s="1"/>
  <c r="AZ355" i="68"/>
  <c r="AZ354" i="68" s="1"/>
  <c r="AY355" i="68"/>
  <c r="AY354" i="68" s="1"/>
  <c r="AX355" i="68"/>
  <c r="AX354" i="68" s="1"/>
  <c r="AW355" i="68"/>
  <c r="AW354" i="68" s="1"/>
  <c r="N355" i="68"/>
  <c r="N354" i="68" s="1"/>
  <c r="L355" i="68"/>
  <c r="L354" i="68" s="1"/>
  <c r="AJ353" i="68"/>
  <c r="AI353" i="68"/>
  <c r="AG353" i="68"/>
  <c r="AF353" i="68"/>
  <c r="AD353" i="68"/>
  <c r="AC353" i="68"/>
  <c r="AA353" i="68"/>
  <c r="Z353" i="68"/>
  <c r="O353" i="68"/>
  <c r="AJ352" i="68"/>
  <c r="AI352" i="68"/>
  <c r="AG352" i="68"/>
  <c r="AF352" i="68"/>
  <c r="AD352" i="68"/>
  <c r="AC352" i="68"/>
  <c r="AA352" i="68"/>
  <c r="Z352" i="68"/>
  <c r="AJ351" i="68"/>
  <c r="AI351" i="68"/>
  <c r="AG351" i="68"/>
  <c r="AF351" i="68"/>
  <c r="AD351" i="68"/>
  <c r="AC351" i="68"/>
  <c r="AA351" i="68"/>
  <c r="Z351" i="68"/>
  <c r="L351" i="68"/>
  <c r="O351" i="68" s="1"/>
  <c r="BT350" i="68"/>
  <c r="BS350" i="68"/>
  <c r="BR350" i="68"/>
  <c r="BQ350" i="68"/>
  <c r="BP350" i="68"/>
  <c r="BO350" i="68"/>
  <c r="BN350" i="68"/>
  <c r="BM350" i="68"/>
  <c r="BL350" i="68"/>
  <c r="BK350" i="68"/>
  <c r="BJ350" i="68"/>
  <c r="BI350" i="68"/>
  <c r="BH350" i="68"/>
  <c r="BG350" i="68"/>
  <c r="BF350" i="68"/>
  <c r="BE350" i="68"/>
  <c r="BD350" i="68"/>
  <c r="BC350" i="68"/>
  <c r="BB350" i="68"/>
  <c r="BA350" i="68"/>
  <c r="AZ350" i="68"/>
  <c r="AY350" i="68"/>
  <c r="AX350" i="68"/>
  <c r="AW350" i="68"/>
  <c r="S350" i="68"/>
  <c r="Q350" i="68"/>
  <c r="AJ349" i="68"/>
  <c r="AI349" i="68"/>
  <c r="AG349" i="68"/>
  <c r="AF349" i="68"/>
  <c r="AD349" i="68"/>
  <c r="AC349" i="68"/>
  <c r="AA349" i="68"/>
  <c r="Z349" i="68"/>
  <c r="O349" i="68"/>
  <c r="AJ348" i="68"/>
  <c r="AI348" i="68"/>
  <c r="AG348" i="68"/>
  <c r="AF348" i="68"/>
  <c r="AD348" i="68"/>
  <c r="AC348" i="68"/>
  <c r="AA348" i="68"/>
  <c r="Z348" i="68"/>
  <c r="O348" i="68"/>
  <c r="BT347" i="68"/>
  <c r="BS347" i="68"/>
  <c r="BR347" i="68"/>
  <c r="BQ347" i="68"/>
  <c r="BP347" i="68"/>
  <c r="BO347" i="68"/>
  <c r="BN347" i="68"/>
  <c r="BM347" i="68"/>
  <c r="BL347" i="68"/>
  <c r="BK347" i="68"/>
  <c r="BJ347" i="68"/>
  <c r="BI347" i="68"/>
  <c r="BH347" i="68"/>
  <c r="BG347" i="68"/>
  <c r="BF347" i="68"/>
  <c r="BE347" i="68"/>
  <c r="BD347" i="68"/>
  <c r="BC347" i="68"/>
  <c r="BB347" i="68"/>
  <c r="BA347" i="68"/>
  <c r="AZ347" i="68"/>
  <c r="AY347" i="68"/>
  <c r="AX347" i="68"/>
  <c r="AW347" i="68"/>
  <c r="S347" i="68"/>
  <c r="Q347" i="68"/>
  <c r="N347" i="68"/>
  <c r="L347" i="68"/>
  <c r="AJ346" i="68"/>
  <c r="AI346" i="68"/>
  <c r="AG346" i="68"/>
  <c r="AF346" i="68"/>
  <c r="AD346" i="68"/>
  <c r="AC346" i="68"/>
  <c r="AA346" i="68"/>
  <c r="Z346" i="68"/>
  <c r="O346" i="68"/>
  <c r="AJ333" i="68"/>
  <c r="AI333" i="68"/>
  <c r="AG333" i="68"/>
  <c r="AF333" i="68"/>
  <c r="AD333" i="68"/>
  <c r="AC333" i="68"/>
  <c r="AA333" i="68"/>
  <c r="Z333" i="68"/>
  <c r="O333" i="68"/>
  <c r="AJ332" i="68"/>
  <c r="AI332" i="68"/>
  <c r="AG332" i="68"/>
  <c r="AF332" i="68"/>
  <c r="AD332" i="68"/>
  <c r="AC332" i="68"/>
  <c r="AA332" i="68"/>
  <c r="Z332" i="68"/>
  <c r="O332" i="68"/>
  <c r="AJ331" i="68"/>
  <c r="AI331" i="68"/>
  <c r="AG331" i="68"/>
  <c r="AF331" i="68"/>
  <c r="AD331" i="68"/>
  <c r="AC331" i="68"/>
  <c r="AA331" i="68"/>
  <c r="Z331" i="68"/>
  <c r="O331" i="68"/>
  <c r="BC330" i="68"/>
  <c r="AC330" i="68" s="1"/>
  <c r="AJ330" i="68"/>
  <c r="AI330" i="68"/>
  <c r="AG330" i="68"/>
  <c r="AF330" i="68"/>
  <c r="AD330" i="68"/>
  <c r="AA330" i="68"/>
  <c r="Z330" i="68"/>
  <c r="O330" i="68"/>
  <c r="AJ329" i="68"/>
  <c r="AI329" i="68"/>
  <c r="AG329" i="68"/>
  <c r="AF329" i="68"/>
  <c r="AD329" i="68"/>
  <c r="AC329" i="68"/>
  <c r="AA329" i="68"/>
  <c r="Z329" i="68"/>
  <c r="O329" i="68"/>
  <c r="BT328" i="68"/>
  <c r="BS328" i="68"/>
  <c r="BR328" i="68"/>
  <c r="BQ328" i="68"/>
  <c r="BP328" i="68"/>
  <c r="BO328" i="68"/>
  <c r="BN328" i="68"/>
  <c r="BM328" i="68"/>
  <c r="BL328" i="68"/>
  <c r="BK328" i="68"/>
  <c r="BJ328" i="68"/>
  <c r="BI328" i="68"/>
  <c r="BH328" i="68"/>
  <c r="BG328" i="68"/>
  <c r="BF328" i="68"/>
  <c r="BE328" i="68"/>
  <c r="BD328" i="68"/>
  <c r="BB328" i="68"/>
  <c r="BA328" i="68"/>
  <c r="AZ328" i="68"/>
  <c r="AY328" i="68"/>
  <c r="AX328" i="68"/>
  <c r="AW328" i="68"/>
  <c r="S328" i="68"/>
  <c r="Q328" i="68"/>
  <c r="N328" i="68"/>
  <c r="L328" i="68"/>
  <c r="BT327" i="68"/>
  <c r="BS327" i="68"/>
  <c r="BR327" i="68"/>
  <c r="BQ327" i="68"/>
  <c r="BP327" i="68"/>
  <c r="BO327" i="68"/>
  <c r="BN327" i="68"/>
  <c r="BM327" i="68"/>
  <c r="BL327" i="68"/>
  <c r="BK327" i="68"/>
  <c r="BJ327" i="68"/>
  <c r="BI327" i="68"/>
  <c r="BH327" i="68"/>
  <c r="BG327" i="68"/>
  <c r="BF327" i="68"/>
  <c r="BE327" i="68"/>
  <c r="BD327" i="68"/>
  <c r="BC327" i="68"/>
  <c r="BB327" i="68"/>
  <c r="BA327" i="68"/>
  <c r="AZ327" i="68"/>
  <c r="AY327" i="68"/>
  <c r="AX327" i="68"/>
  <c r="AW327" i="68"/>
  <c r="O327" i="68"/>
  <c r="AJ326" i="68"/>
  <c r="AI326" i="68"/>
  <c r="AG326" i="68"/>
  <c r="AF326" i="68"/>
  <c r="AD326" i="68"/>
  <c r="AC326" i="68"/>
  <c r="AA326" i="68"/>
  <c r="Z326" i="68"/>
  <c r="O326" i="68"/>
  <c r="AJ325" i="68"/>
  <c r="AI325" i="68"/>
  <c r="AG325" i="68"/>
  <c r="AF325" i="68"/>
  <c r="AD325" i="68"/>
  <c r="AC325" i="68"/>
  <c r="AA325" i="68"/>
  <c r="Z325" i="68"/>
  <c r="O325" i="68"/>
  <c r="BS324" i="68"/>
  <c r="BS323" i="68" s="1"/>
  <c r="BQ324" i="68"/>
  <c r="BO324" i="68"/>
  <c r="BM324" i="68"/>
  <c r="AF324" i="68" s="1"/>
  <c r="AJ324" i="68"/>
  <c r="AG324" i="68"/>
  <c r="AD324" i="68"/>
  <c r="AC324" i="68"/>
  <c r="AA324" i="68"/>
  <c r="Z324" i="68"/>
  <c r="O324" i="68"/>
  <c r="BT323" i="68"/>
  <c r="BR323" i="68"/>
  <c r="BQ323" i="68"/>
  <c r="BP323" i="68"/>
  <c r="BN323" i="68"/>
  <c r="BL323" i="68"/>
  <c r="BK323" i="68"/>
  <c r="BJ323" i="68"/>
  <c r="BI323" i="68"/>
  <c r="BH323" i="68"/>
  <c r="BG323" i="68"/>
  <c r="BF323" i="68"/>
  <c r="BE323" i="68"/>
  <c r="BD323" i="68"/>
  <c r="BC323" i="68"/>
  <c r="BB323" i="68"/>
  <c r="BA323" i="68"/>
  <c r="AZ323" i="68"/>
  <c r="AY323" i="68"/>
  <c r="AX323" i="68"/>
  <c r="AW323" i="68"/>
  <c r="S323" i="68"/>
  <c r="Q323" i="68"/>
  <c r="N323" i="68"/>
  <c r="L323" i="68"/>
  <c r="AJ322" i="68"/>
  <c r="AI322" i="68"/>
  <c r="AG322" i="68"/>
  <c r="AF322" i="68"/>
  <c r="AD322" i="68"/>
  <c r="AC322" i="68"/>
  <c r="AA322" i="68"/>
  <c r="Z322" i="68"/>
  <c r="O322" i="68"/>
  <c r="AJ321" i="68"/>
  <c r="AI321" i="68"/>
  <c r="AG321" i="68"/>
  <c r="AF321" i="68"/>
  <c r="AD321" i="68"/>
  <c r="AC321" i="68"/>
  <c r="AA321" i="68"/>
  <c r="Z321" i="68"/>
  <c r="O321" i="68"/>
  <c r="AJ320" i="68"/>
  <c r="AI320" i="68"/>
  <c r="AG320" i="68"/>
  <c r="AF320" i="68"/>
  <c r="AD320" i="68"/>
  <c r="AC320" i="68"/>
  <c r="AA320" i="68"/>
  <c r="Z320" i="68"/>
  <c r="O320" i="68"/>
  <c r="AJ319" i="68"/>
  <c r="AI319" i="68"/>
  <c r="AG319" i="68"/>
  <c r="AF319" i="68"/>
  <c r="AD319" i="68"/>
  <c r="AC319" i="68"/>
  <c r="AA319" i="68"/>
  <c r="Z319" i="68"/>
  <c r="O319" i="68"/>
  <c r="AJ318" i="68"/>
  <c r="AI318" i="68"/>
  <c r="AG318" i="68"/>
  <c r="AF318" i="68"/>
  <c r="AD318" i="68"/>
  <c r="AC318" i="68"/>
  <c r="AA318" i="68"/>
  <c r="Z318" i="68"/>
  <c r="O318" i="68"/>
  <c r="AJ317" i="68"/>
  <c r="AI317" i="68"/>
  <c r="AG317" i="68"/>
  <c r="AF317" i="68"/>
  <c r="AD317" i="68"/>
  <c r="AC317" i="68"/>
  <c r="AA317" i="68"/>
  <c r="Z317" i="68"/>
  <c r="O317" i="68"/>
  <c r="AJ316" i="68"/>
  <c r="AI316" i="68"/>
  <c r="AG316" i="68"/>
  <c r="AF316" i="68"/>
  <c r="AD316" i="68"/>
  <c r="AC316" i="68"/>
  <c r="AA316" i="68"/>
  <c r="Z316" i="68"/>
  <c r="O316" i="68"/>
  <c r="AJ315" i="68"/>
  <c r="AI315" i="68"/>
  <c r="AG315" i="68"/>
  <c r="AF315" i="68"/>
  <c r="AD315" i="68"/>
  <c r="AC315" i="68"/>
  <c r="AA315" i="68"/>
  <c r="Z315" i="68"/>
  <c r="O315" i="68"/>
  <c r="AJ314" i="68"/>
  <c r="AI314" i="68"/>
  <c r="AG314" i="68"/>
  <c r="AF314" i="68"/>
  <c r="AD314" i="68"/>
  <c r="AC314" i="68"/>
  <c r="AA314" i="68"/>
  <c r="Z314" i="68"/>
  <c r="O314" i="68"/>
  <c r="BT313" i="68"/>
  <c r="BT312" i="68" s="1"/>
  <c r="BS313" i="68"/>
  <c r="BS312" i="68" s="1"/>
  <c r="BR313" i="68"/>
  <c r="BQ313" i="68"/>
  <c r="BQ312" i="68" s="1"/>
  <c r="BP313" i="68"/>
  <c r="BP312" i="68" s="1"/>
  <c r="BO313" i="68"/>
  <c r="BN313" i="68"/>
  <c r="BN312" i="68" s="1"/>
  <c r="BM313" i="68"/>
  <c r="BM312" i="68" s="1"/>
  <c r="BL313" i="68"/>
  <c r="BL312" i="68" s="1"/>
  <c r="BK313" i="68"/>
  <c r="BK312" i="68" s="1"/>
  <c r="BJ313" i="68"/>
  <c r="BJ312" i="68" s="1"/>
  <c r="BI313" i="68"/>
  <c r="BI312" i="68" s="1"/>
  <c r="BH313" i="68"/>
  <c r="BH312" i="68" s="1"/>
  <c r="BG313" i="68"/>
  <c r="BG312" i="68" s="1"/>
  <c r="BF313" i="68"/>
  <c r="BF312" i="68" s="1"/>
  <c r="BE313" i="68"/>
  <c r="BE312" i="68" s="1"/>
  <c r="BD313" i="68"/>
  <c r="BD312" i="68" s="1"/>
  <c r="BC313" i="68"/>
  <c r="BB313" i="68"/>
  <c r="BB312" i="68" s="1"/>
  <c r="BA313" i="68"/>
  <c r="BA312" i="68" s="1"/>
  <c r="AZ313" i="68"/>
  <c r="AY313" i="68"/>
  <c r="AY312" i="68" s="1"/>
  <c r="AX313" i="68"/>
  <c r="AW313" i="68"/>
  <c r="AW312" i="68" s="1"/>
  <c r="N313" i="68"/>
  <c r="N312" i="68" s="1"/>
  <c r="L313" i="68"/>
  <c r="L312" i="68" s="1"/>
  <c r="S312" i="68"/>
  <c r="Q312" i="68"/>
  <c r="AJ311" i="68"/>
  <c r="AI311" i="68"/>
  <c r="AG311" i="68"/>
  <c r="AF311" i="68"/>
  <c r="AD311" i="68"/>
  <c r="AC311" i="68"/>
  <c r="AA311" i="68"/>
  <c r="Z311" i="68"/>
  <c r="O311" i="68"/>
  <c r="AJ308" i="68"/>
  <c r="AI308" i="68"/>
  <c r="AG308" i="68"/>
  <c r="AF308" i="68"/>
  <c r="AD308" i="68"/>
  <c r="AC308" i="68"/>
  <c r="AA308" i="68"/>
  <c r="Z308" i="68"/>
  <c r="O308" i="68"/>
  <c r="BE307" i="68"/>
  <c r="BC307" i="68"/>
  <c r="AJ307" i="68"/>
  <c r="AI307" i="68"/>
  <c r="AG307" i="68"/>
  <c r="AF307" i="68"/>
  <c r="AD307" i="68"/>
  <c r="AA307" i="68"/>
  <c r="Z307" i="68"/>
  <c r="O307" i="68"/>
  <c r="AJ306" i="68"/>
  <c r="AI306" i="68"/>
  <c r="AG306" i="68"/>
  <c r="AF306" i="68"/>
  <c r="AD306" i="68"/>
  <c r="AC306" i="68"/>
  <c r="AA306" i="68"/>
  <c r="Z306" i="68"/>
  <c r="O306" i="68"/>
  <c r="AJ305" i="68"/>
  <c r="AI305" i="68"/>
  <c r="AG305" i="68"/>
  <c r="AF305" i="68"/>
  <c r="AD305" i="68"/>
  <c r="AC305" i="68"/>
  <c r="AA305" i="68"/>
  <c r="Z305" i="68"/>
  <c r="O305" i="68"/>
  <c r="AJ304" i="68"/>
  <c r="AI304" i="68"/>
  <c r="AG304" i="68"/>
  <c r="AF304" i="68"/>
  <c r="AD304" i="68"/>
  <c r="AC304" i="68"/>
  <c r="AA304" i="68"/>
  <c r="Z304" i="68"/>
  <c r="O304" i="68"/>
  <c r="AJ303" i="68"/>
  <c r="AI303" i="68"/>
  <c r="AG303" i="68"/>
  <c r="AF303" i="68"/>
  <c r="AD303" i="68"/>
  <c r="AC303" i="68"/>
  <c r="AA303" i="68"/>
  <c r="Z303" i="68"/>
  <c r="O303" i="68"/>
  <c r="AJ302" i="68"/>
  <c r="AI302" i="68"/>
  <c r="AG302" i="68"/>
  <c r="AF302" i="68"/>
  <c r="AD302" i="68"/>
  <c r="AC302" i="68"/>
  <c r="AA302" i="68"/>
  <c r="Z302" i="68"/>
  <c r="O302" i="68"/>
  <c r="AJ301" i="68"/>
  <c r="AI301" i="68"/>
  <c r="AG301" i="68"/>
  <c r="AF301" i="68"/>
  <c r="AD301" i="68"/>
  <c r="AC301" i="68"/>
  <c r="AA301" i="68"/>
  <c r="Z301" i="68"/>
  <c r="O301" i="68"/>
  <c r="AJ300" i="68"/>
  <c r="AI300" i="68"/>
  <c r="AG300" i="68"/>
  <c r="AF300" i="68"/>
  <c r="AD300" i="68"/>
  <c r="AC300" i="68"/>
  <c r="AA300" i="68"/>
  <c r="Z300" i="68"/>
  <c r="AJ299" i="68"/>
  <c r="AI299" i="68"/>
  <c r="AG299" i="68"/>
  <c r="AF299" i="68"/>
  <c r="AD299" i="68"/>
  <c r="AC299" i="68"/>
  <c r="AA299" i="68"/>
  <c r="Z299" i="68"/>
  <c r="O299" i="68"/>
  <c r="BS298" i="68"/>
  <c r="AJ298" i="68"/>
  <c r="AG298" i="68"/>
  <c r="AF298" i="68"/>
  <c r="AD298" i="68"/>
  <c r="AC298" i="68"/>
  <c r="AA298" i="68"/>
  <c r="Z298" i="68"/>
  <c r="O298" i="68"/>
  <c r="BM297" i="68"/>
  <c r="BM287" i="68" s="1"/>
  <c r="AJ297" i="68"/>
  <c r="AI297" i="68"/>
  <c r="AG297" i="68"/>
  <c r="AD297" i="68"/>
  <c r="AC297" i="68"/>
  <c r="AA297" i="68"/>
  <c r="Z297" i="68"/>
  <c r="O297" i="68"/>
  <c r="AJ296" i="68"/>
  <c r="AI296" i="68"/>
  <c r="AG296" i="68"/>
  <c r="AF296" i="68"/>
  <c r="AD296" i="68"/>
  <c r="AC296" i="68"/>
  <c r="AA296" i="68"/>
  <c r="Z296" i="68"/>
  <c r="N287" i="68"/>
  <c r="BE295" i="68"/>
  <c r="AJ295" i="68"/>
  <c r="AI295" i="68"/>
  <c r="AG295" i="68"/>
  <c r="AF295" i="68"/>
  <c r="AD295" i="68"/>
  <c r="AA295" i="68"/>
  <c r="Z295" i="68"/>
  <c r="S295" i="68"/>
  <c r="Q295" i="68"/>
  <c r="AJ294" i="68"/>
  <c r="AI294" i="68"/>
  <c r="AG294" i="68"/>
  <c r="AF294" i="68"/>
  <c r="AD294" i="68"/>
  <c r="AC294" i="68"/>
  <c r="AA294" i="68"/>
  <c r="Z294" i="68"/>
  <c r="O294" i="68"/>
  <c r="AJ293" i="68"/>
  <c r="AI293" i="68"/>
  <c r="AG293" i="68"/>
  <c r="AF293" i="68"/>
  <c r="AD293" i="68"/>
  <c r="AC293" i="68"/>
  <c r="AA293" i="68"/>
  <c r="Z293" i="68"/>
  <c r="O293" i="68"/>
  <c r="AJ292" i="68"/>
  <c r="AI292" i="68"/>
  <c r="AG292" i="68"/>
  <c r="AF292" i="68"/>
  <c r="AD292" i="68"/>
  <c r="AC292" i="68"/>
  <c r="AA292" i="68"/>
  <c r="Z292" i="68"/>
  <c r="O292" i="68"/>
  <c r="AJ291" i="68"/>
  <c r="AI291" i="68"/>
  <c r="AG291" i="68"/>
  <c r="AF291" i="68"/>
  <c r="AD291" i="68"/>
  <c r="AC291" i="68"/>
  <c r="AA291" i="68"/>
  <c r="Z291" i="68"/>
  <c r="O291" i="68"/>
  <c r="BS290" i="68"/>
  <c r="AI290" i="68" s="1"/>
  <c r="AJ290" i="68"/>
  <c r="AG290" i="68"/>
  <c r="AF290" i="68"/>
  <c r="AD290" i="68"/>
  <c r="AC290" i="68"/>
  <c r="AA290" i="68"/>
  <c r="Z290" i="68"/>
  <c r="S290" i="68"/>
  <c r="Q290" i="68"/>
  <c r="L290" i="68"/>
  <c r="O290" i="68" s="1"/>
  <c r="AJ289" i="68"/>
  <c r="AI289" i="68"/>
  <c r="AG289" i="68"/>
  <c r="AF289" i="68"/>
  <c r="AD289" i="68"/>
  <c r="AC289" i="68"/>
  <c r="AA289" i="68"/>
  <c r="Z289" i="68"/>
  <c r="O289" i="68"/>
  <c r="AJ288" i="68"/>
  <c r="AI288" i="68"/>
  <c r="AG288" i="68"/>
  <c r="AF288" i="68"/>
  <c r="AD288" i="68"/>
  <c r="AC288" i="68"/>
  <c r="AA288" i="68"/>
  <c r="Z288" i="68"/>
  <c r="O288" i="68"/>
  <c r="BT287" i="68"/>
  <c r="BR287" i="68"/>
  <c r="BQ287" i="68"/>
  <c r="BP287" i="68"/>
  <c r="BO287" i="68"/>
  <c r="BN287" i="68"/>
  <c r="BL287" i="68"/>
  <c r="BK287" i="68"/>
  <c r="BJ287" i="68"/>
  <c r="BI287" i="68"/>
  <c r="BH287" i="68"/>
  <c r="BG287" i="68"/>
  <c r="BF287" i="68"/>
  <c r="BD287" i="68"/>
  <c r="BC287" i="68"/>
  <c r="BB287" i="68"/>
  <c r="BA287" i="68"/>
  <c r="AZ287" i="68"/>
  <c r="AY287" i="68"/>
  <c r="AX287" i="68"/>
  <c r="AW287" i="68"/>
  <c r="BS286" i="68"/>
  <c r="BS285" i="68" s="1"/>
  <c r="BQ286" i="68"/>
  <c r="BQ285" i="68" s="1"/>
  <c r="BO286" i="68"/>
  <c r="AJ286" i="68"/>
  <c r="AG286" i="68"/>
  <c r="AF286" i="68"/>
  <c r="AD286" i="68"/>
  <c r="AC286" i="68"/>
  <c r="AA286" i="68"/>
  <c r="Z286" i="68"/>
  <c r="S286" i="68"/>
  <c r="S285" i="68" s="1"/>
  <c r="Q286" i="68"/>
  <c r="Q285" i="68" s="1"/>
  <c r="L286" i="68"/>
  <c r="L285" i="68" s="1"/>
  <c r="O285" i="68" s="1"/>
  <c r="BT285" i="68"/>
  <c r="BR285" i="68"/>
  <c r="BP285" i="68"/>
  <c r="BN285" i="68"/>
  <c r="BM285" i="68"/>
  <c r="BL285" i="68"/>
  <c r="BK285" i="68"/>
  <c r="BJ285" i="68"/>
  <c r="BI285" i="68"/>
  <c r="BH285" i="68"/>
  <c r="BG285" i="68"/>
  <c r="BF285" i="68"/>
  <c r="BE285" i="68"/>
  <c r="BD285" i="68"/>
  <c r="BC285" i="68"/>
  <c r="BB285" i="68"/>
  <c r="BA285" i="68"/>
  <c r="AZ285" i="68"/>
  <c r="AY285" i="68"/>
  <c r="AX285" i="68"/>
  <c r="AW285" i="68"/>
  <c r="BM284" i="68"/>
  <c r="AF284" i="68" s="1"/>
  <c r="AJ284" i="68"/>
  <c r="AI284" i="68"/>
  <c r="AG284" i="68"/>
  <c r="AD284" i="68"/>
  <c r="AC284" i="68"/>
  <c r="AA284" i="68"/>
  <c r="Z284" i="68"/>
  <c r="O284" i="68"/>
  <c r="BT283" i="68"/>
  <c r="BS283" i="68"/>
  <c r="BR283" i="68"/>
  <c r="BQ283" i="68"/>
  <c r="BP283" i="68"/>
  <c r="BO283" i="68"/>
  <c r="BN283" i="68"/>
  <c r="BL283" i="68"/>
  <c r="BK283" i="68"/>
  <c r="BJ283" i="68"/>
  <c r="BI283" i="68"/>
  <c r="BH283" i="68"/>
  <c r="BG283" i="68"/>
  <c r="BF283" i="68"/>
  <c r="BE283" i="68"/>
  <c r="BD283" i="68"/>
  <c r="BC283" i="68"/>
  <c r="BB283" i="68"/>
  <c r="BA283" i="68"/>
  <c r="AZ283" i="68"/>
  <c r="AY283" i="68"/>
  <c r="AX283" i="68"/>
  <c r="AW283" i="68"/>
  <c r="S283" i="68"/>
  <c r="Q283" i="68"/>
  <c r="N283" i="68"/>
  <c r="L283" i="68"/>
  <c r="AJ282" i="68"/>
  <c r="AI282" i="68"/>
  <c r="AG282" i="68"/>
  <c r="AF282" i="68"/>
  <c r="AD282" i="68"/>
  <c r="AC282" i="68"/>
  <c r="AA282" i="68"/>
  <c r="Z282" i="68"/>
  <c r="O282" i="68"/>
  <c r="BS281" i="68"/>
  <c r="BR281" i="68"/>
  <c r="BQ281" i="68"/>
  <c r="BP281" i="68"/>
  <c r="BO281" i="68"/>
  <c r="BN281" i="68"/>
  <c r="BM281" i="68"/>
  <c r="BL281" i="68"/>
  <c r="BK281" i="68"/>
  <c r="BJ281" i="68"/>
  <c r="BI281" i="68"/>
  <c r="BH281" i="68"/>
  <c r="BG281" i="68"/>
  <c r="BF281" i="68"/>
  <c r="BE281" i="68"/>
  <c r="BD281" i="68"/>
  <c r="BC281" i="68"/>
  <c r="BB281" i="68"/>
  <c r="BA281" i="68"/>
  <c r="AZ281" i="68"/>
  <c r="AY281" i="68"/>
  <c r="AX281" i="68"/>
  <c r="AW281" i="68"/>
  <c r="X281" i="68"/>
  <c r="S281" i="68"/>
  <c r="R281" i="68"/>
  <c r="Q281" i="68"/>
  <c r="L281" i="68"/>
  <c r="O281" i="68" s="1"/>
  <c r="BE275" i="68"/>
  <c r="AJ280" i="68"/>
  <c r="AI280" i="68"/>
  <c r="AG280" i="68"/>
  <c r="AF280" i="68"/>
  <c r="AD280" i="68"/>
  <c r="AA280" i="68"/>
  <c r="Z280" i="68"/>
  <c r="O280" i="68"/>
  <c r="AJ279" i="68"/>
  <c r="AI279" i="68"/>
  <c r="AG279" i="68"/>
  <c r="AF279" i="68"/>
  <c r="AD279" i="68"/>
  <c r="AC279" i="68"/>
  <c r="AA279" i="68"/>
  <c r="Z279" i="68"/>
  <c r="O279" i="68"/>
  <c r="AJ278" i="68"/>
  <c r="AI278" i="68"/>
  <c r="AG278" i="68"/>
  <c r="AF278" i="68"/>
  <c r="AD278" i="68"/>
  <c r="AC278" i="68"/>
  <c r="AA278" i="68"/>
  <c r="Z278" i="68"/>
  <c r="O278" i="68"/>
  <c r="AJ277" i="68"/>
  <c r="AI277" i="68"/>
  <c r="AG277" i="68"/>
  <c r="AF277" i="68"/>
  <c r="AD277" i="68"/>
  <c r="AC277" i="68"/>
  <c r="AA277" i="68"/>
  <c r="Z277" i="68"/>
  <c r="O277" i="68"/>
  <c r="AJ276" i="68"/>
  <c r="AI276" i="68"/>
  <c r="AG276" i="68"/>
  <c r="AF276" i="68"/>
  <c r="AD276" i="68"/>
  <c r="AC276" i="68"/>
  <c r="AA276" i="68"/>
  <c r="Z276" i="68"/>
  <c r="O276" i="68"/>
  <c r="L275" i="68"/>
  <c r="V58" i="68" s="1"/>
  <c r="BS275" i="68"/>
  <c r="BR275" i="68"/>
  <c r="BQ275" i="68"/>
  <c r="BP275" i="68"/>
  <c r="BO275" i="68"/>
  <c r="BN275" i="68"/>
  <c r="BM275" i="68"/>
  <c r="BL275" i="68"/>
  <c r="BK275" i="68"/>
  <c r="BJ275" i="68"/>
  <c r="BI275" i="68"/>
  <c r="BH275" i="68"/>
  <c r="BG275" i="68"/>
  <c r="BF275" i="68"/>
  <c r="BD275" i="68"/>
  <c r="BC275" i="68"/>
  <c r="BB275" i="68"/>
  <c r="BA275" i="68"/>
  <c r="AZ275" i="68"/>
  <c r="AY275" i="68"/>
  <c r="AX275" i="68"/>
  <c r="AW275" i="68"/>
  <c r="S275" i="68"/>
  <c r="R275" i="68"/>
  <c r="Q275" i="68"/>
  <c r="N275" i="68"/>
  <c r="M414" i="68"/>
  <c r="M417" i="68" s="1"/>
  <c r="AJ274" i="68"/>
  <c r="AI274" i="68"/>
  <c r="AG274" i="68"/>
  <c r="AF274" i="68"/>
  <c r="AD274" i="68"/>
  <c r="AC274" i="68"/>
  <c r="AA274" i="68"/>
  <c r="Z274" i="68"/>
  <c r="O274" i="68"/>
  <c r="BT273" i="68"/>
  <c r="BS273" i="68"/>
  <c r="BR273" i="68"/>
  <c r="BQ273" i="68"/>
  <c r="BP273" i="68"/>
  <c r="BO273" i="68"/>
  <c r="BN273" i="68"/>
  <c r="BM273" i="68"/>
  <c r="BL273" i="68"/>
  <c r="BK273" i="68"/>
  <c r="BJ273" i="68"/>
  <c r="BI273" i="68"/>
  <c r="BH273" i="68"/>
  <c r="BG273" i="68"/>
  <c r="BF273" i="68"/>
  <c r="BE273" i="68"/>
  <c r="BD273" i="68"/>
  <c r="BC273" i="68"/>
  <c r="BB273" i="68"/>
  <c r="BA273" i="68"/>
  <c r="AZ273" i="68"/>
  <c r="AY273" i="68"/>
  <c r="AX273" i="68"/>
  <c r="AW273" i="68"/>
  <c r="S273" i="68"/>
  <c r="Q273" i="68"/>
  <c r="L273" i="68"/>
  <c r="AJ272" i="68"/>
  <c r="AI272" i="68"/>
  <c r="AG272" i="68"/>
  <c r="AF272" i="68"/>
  <c r="AD272" i="68"/>
  <c r="AC272" i="68"/>
  <c r="AA272" i="68"/>
  <c r="Z272" i="68"/>
  <c r="O272" i="68"/>
  <c r="AJ271" i="68"/>
  <c r="AI271" i="68"/>
  <c r="AG271" i="68"/>
  <c r="AF271" i="68"/>
  <c r="AD271" i="68"/>
  <c r="AC271" i="68"/>
  <c r="AA271" i="68"/>
  <c r="Z271" i="68"/>
  <c r="O271" i="68"/>
  <c r="BT270" i="68"/>
  <c r="BS270" i="68"/>
  <c r="BR270" i="68"/>
  <c r="BQ270" i="68"/>
  <c r="BP270" i="68"/>
  <c r="BO270" i="68"/>
  <c r="BN270" i="68"/>
  <c r="BM270" i="68"/>
  <c r="BL270" i="68"/>
  <c r="BK270" i="68"/>
  <c r="BJ270" i="68"/>
  <c r="BI270" i="68"/>
  <c r="BH270" i="68"/>
  <c r="BG270" i="68"/>
  <c r="BF270" i="68"/>
  <c r="BE270" i="68"/>
  <c r="BD270" i="68"/>
  <c r="BC270" i="68"/>
  <c r="BB270" i="68"/>
  <c r="BA270" i="68"/>
  <c r="AZ270" i="68"/>
  <c r="AY270" i="68"/>
  <c r="AX270" i="68"/>
  <c r="AW270" i="68"/>
  <c r="S270" i="68"/>
  <c r="Q270" i="68"/>
  <c r="L270" i="68"/>
  <c r="BS269" i="68"/>
  <c r="AJ269" i="68"/>
  <c r="AI269" i="68"/>
  <c r="AG269" i="68"/>
  <c r="AF269" i="68"/>
  <c r="AD269" i="68"/>
  <c r="AC269" i="68"/>
  <c r="AA269" i="68"/>
  <c r="Z269" i="68"/>
  <c r="BS268" i="68"/>
  <c r="BS267" i="68" s="1"/>
  <c r="AJ268" i="68"/>
  <c r="AG268" i="68"/>
  <c r="AF268" i="68"/>
  <c r="AD268" i="68"/>
  <c r="AC268" i="68"/>
  <c r="AA268" i="68"/>
  <c r="Z268" i="68"/>
  <c r="O268" i="68"/>
  <c r="BT267" i="68"/>
  <c r="BR267" i="68"/>
  <c r="BQ267" i="68"/>
  <c r="BP267" i="68"/>
  <c r="BO267" i="68"/>
  <c r="BN267" i="68"/>
  <c r="BM267" i="68"/>
  <c r="BL267" i="68"/>
  <c r="BK267" i="68"/>
  <c r="BJ267" i="68"/>
  <c r="BI267" i="68"/>
  <c r="BH267" i="68"/>
  <c r="BG267" i="68"/>
  <c r="BF267" i="68"/>
  <c r="BE267" i="68"/>
  <c r="BD267" i="68"/>
  <c r="BC267" i="68"/>
  <c r="BB267" i="68"/>
  <c r="BA267" i="68"/>
  <c r="AZ267" i="68"/>
  <c r="AY267" i="68"/>
  <c r="AX267" i="68"/>
  <c r="AW267" i="68"/>
  <c r="S267" i="68"/>
  <c r="Q267" i="68"/>
  <c r="BS266" i="68"/>
  <c r="AI266" i="68" s="1"/>
  <c r="AJ266" i="68"/>
  <c r="AG266" i="68"/>
  <c r="AF266" i="68"/>
  <c r="AD266" i="68"/>
  <c r="AC266" i="68"/>
  <c r="AA266" i="68"/>
  <c r="Z266" i="68"/>
  <c r="O266" i="68"/>
  <c r="AJ265" i="68"/>
  <c r="AI265" i="68"/>
  <c r="AG265" i="68"/>
  <c r="AF265" i="68"/>
  <c r="AD265" i="68"/>
  <c r="AC265" i="68"/>
  <c r="AA265" i="68"/>
  <c r="Z265" i="68"/>
  <c r="O265" i="68"/>
  <c r="AJ264" i="68"/>
  <c r="AI264" i="68"/>
  <c r="AG264" i="68"/>
  <c r="AF264" i="68"/>
  <c r="AD264" i="68"/>
  <c r="AC264" i="68"/>
  <c r="AA264" i="68"/>
  <c r="Z264" i="68"/>
  <c r="O264" i="68"/>
  <c r="AI263" i="68"/>
  <c r="BM263" i="68"/>
  <c r="AF263" i="68" s="1"/>
  <c r="BE263" i="68"/>
  <c r="BC263" i="68"/>
  <c r="BC262" i="68" s="1"/>
  <c r="AJ263" i="68"/>
  <c r="AG263" i="68"/>
  <c r="AD263" i="68"/>
  <c r="AA263" i="68"/>
  <c r="Z263" i="68"/>
  <c r="O263" i="68"/>
  <c r="BT262" i="68"/>
  <c r="BR262" i="68"/>
  <c r="BQ262" i="68"/>
  <c r="BP262" i="68"/>
  <c r="BN262" i="68"/>
  <c r="BM262" i="68"/>
  <c r="BL262" i="68"/>
  <c r="BK262" i="68"/>
  <c r="BJ262" i="68"/>
  <c r="BI262" i="68"/>
  <c r="BH262" i="68"/>
  <c r="BG262" i="68"/>
  <c r="BF262" i="68"/>
  <c r="BE262" i="68"/>
  <c r="BD262" i="68"/>
  <c r="BB262" i="68"/>
  <c r="BA262" i="68"/>
  <c r="AZ262" i="68"/>
  <c r="AY262" i="68"/>
  <c r="AX262" i="68"/>
  <c r="AW262" i="68"/>
  <c r="S262" i="68"/>
  <c r="Q262" i="68"/>
  <c r="L262" i="68"/>
  <c r="AJ261" i="68"/>
  <c r="AI261" i="68"/>
  <c r="AG261" i="68"/>
  <c r="AF261" i="68"/>
  <c r="AD261" i="68"/>
  <c r="AC261" i="68"/>
  <c r="AA261" i="68"/>
  <c r="Z261" i="68"/>
  <c r="O261" i="68"/>
  <c r="BS260" i="68"/>
  <c r="AI260" i="68" s="1"/>
  <c r="AJ260" i="68"/>
  <c r="AG260" i="68"/>
  <c r="AF260" i="68"/>
  <c r="AD260" i="68"/>
  <c r="AC260" i="68"/>
  <c r="AA260" i="68"/>
  <c r="Z260" i="68"/>
  <c r="AJ259" i="68"/>
  <c r="AI259" i="68"/>
  <c r="AG259" i="68"/>
  <c r="AF259" i="68"/>
  <c r="AD259" i="68"/>
  <c r="AC259" i="68"/>
  <c r="AA259" i="68"/>
  <c r="Z259" i="68"/>
  <c r="O259" i="68"/>
  <c r="AJ258" i="68"/>
  <c r="AI258" i="68"/>
  <c r="AG258" i="68"/>
  <c r="AF258" i="68"/>
  <c r="AD258" i="68"/>
  <c r="AC258" i="68"/>
  <c r="AA258" i="68"/>
  <c r="Z258" i="68"/>
  <c r="BM257" i="68"/>
  <c r="BM256" i="68" s="1"/>
  <c r="BF257" i="68"/>
  <c r="BF256" i="68" s="1"/>
  <c r="BE257" i="68"/>
  <c r="AJ257" i="68"/>
  <c r="AI257" i="68"/>
  <c r="AG257" i="68"/>
  <c r="AF257" i="68"/>
  <c r="AD257" i="68"/>
  <c r="AA257" i="68"/>
  <c r="Z257" i="68"/>
  <c r="O257" i="68"/>
  <c r="BT256" i="68"/>
  <c r="BS256" i="68"/>
  <c r="BR256" i="68"/>
  <c r="BQ256" i="68"/>
  <c r="BP256" i="68"/>
  <c r="BO256" i="68"/>
  <c r="BN256" i="68"/>
  <c r="BL256" i="68"/>
  <c r="BK256" i="68"/>
  <c r="BJ256" i="68"/>
  <c r="BI256" i="68"/>
  <c r="BH256" i="68"/>
  <c r="BG256" i="68"/>
  <c r="BD256" i="68"/>
  <c r="BC256" i="68"/>
  <c r="BB256" i="68"/>
  <c r="BA256" i="68"/>
  <c r="AZ256" i="68"/>
  <c r="AY256" i="68"/>
  <c r="AX256" i="68"/>
  <c r="AW256" i="68"/>
  <c r="S256" i="68"/>
  <c r="Q256" i="68"/>
  <c r="N256" i="68"/>
  <c r="L256" i="68"/>
  <c r="AJ255" i="68"/>
  <c r="AI255" i="68"/>
  <c r="AG255" i="68"/>
  <c r="AF255" i="68"/>
  <c r="AD255" i="68"/>
  <c r="AC255" i="68"/>
  <c r="AA255" i="68"/>
  <c r="Z255" i="68"/>
  <c r="L255" i="68"/>
  <c r="L254" i="68" s="1"/>
  <c r="BT254" i="68"/>
  <c r="BS254" i="68"/>
  <c r="BR254" i="68"/>
  <c r="BQ254" i="68"/>
  <c r="BP254" i="68"/>
  <c r="BO254" i="68"/>
  <c r="BN254" i="68"/>
  <c r="BM254" i="68"/>
  <c r="BL254" i="68"/>
  <c r="BK254" i="68"/>
  <c r="BJ254" i="68"/>
  <c r="BI254" i="68"/>
  <c r="BH254" i="68"/>
  <c r="BG254" i="68"/>
  <c r="BF254" i="68"/>
  <c r="BE254" i="68"/>
  <c r="BD254" i="68"/>
  <c r="BC254" i="68"/>
  <c r="BB254" i="68"/>
  <c r="BA254" i="68"/>
  <c r="AZ254" i="68"/>
  <c r="AY254" i="68"/>
  <c r="AX254" i="68"/>
  <c r="AW254" i="68"/>
  <c r="S254" i="68"/>
  <c r="Q254" i="68"/>
  <c r="AJ253" i="68"/>
  <c r="AI253" i="68"/>
  <c r="AG253" i="68"/>
  <c r="AF253" i="68"/>
  <c r="AD253" i="68"/>
  <c r="AC253" i="68"/>
  <c r="AA253" i="68"/>
  <c r="Z253" i="68"/>
  <c r="AT252" i="68"/>
  <c r="AS252" i="68"/>
  <c r="AV252" i="68" s="1"/>
  <c r="AR252" i="68"/>
  <c r="AJ249" i="68"/>
  <c r="AI249" i="68"/>
  <c r="AG249" i="68"/>
  <c r="AF249" i="68"/>
  <c r="AD249" i="68"/>
  <c r="AC249" i="68"/>
  <c r="AA249" i="68"/>
  <c r="Z249" i="68"/>
  <c r="AL247" i="68"/>
  <c r="Y247" i="68"/>
  <c r="X247" i="68"/>
  <c r="W247" i="68"/>
  <c r="V247" i="68"/>
  <c r="U247" i="68"/>
  <c r="T247" i="68"/>
  <c r="R247" i="68"/>
  <c r="P247" i="68"/>
  <c r="M247" i="68"/>
  <c r="AJ246" i="68"/>
  <c r="AI246" i="68"/>
  <c r="AG246" i="68"/>
  <c r="AF246" i="68"/>
  <c r="AD246" i="68"/>
  <c r="AC246" i="68"/>
  <c r="AA246" i="68"/>
  <c r="Z246" i="68"/>
  <c r="O246" i="68"/>
  <c r="AJ245" i="68"/>
  <c r="AI245" i="68"/>
  <c r="AG245" i="68"/>
  <c r="AF245" i="68"/>
  <c r="AD245" i="68"/>
  <c r="AC245" i="68"/>
  <c r="AA245" i="68"/>
  <c r="Z245" i="68"/>
  <c r="O245" i="68"/>
  <c r="AJ244" i="68"/>
  <c r="AI244" i="68"/>
  <c r="AG244" i="68"/>
  <c r="AF244" i="68"/>
  <c r="AD244" i="68"/>
  <c r="AC244" i="68"/>
  <c r="AA244" i="68"/>
  <c r="Z244" i="68"/>
  <c r="O244" i="68"/>
  <c r="BT243" i="68"/>
  <c r="BS243" i="68"/>
  <c r="BR243" i="68"/>
  <c r="BQ243" i="68"/>
  <c r="BP243" i="68"/>
  <c r="BO243" i="68"/>
  <c r="BN243" i="68"/>
  <c r="BM243" i="68"/>
  <c r="BL243" i="68"/>
  <c r="BK243" i="68"/>
  <c r="BJ243" i="68"/>
  <c r="BI243" i="68"/>
  <c r="BH243" i="68"/>
  <c r="BG243" i="68"/>
  <c r="BF243" i="68"/>
  <c r="BE243" i="68"/>
  <c r="BD243" i="68"/>
  <c r="BC243" i="68"/>
  <c r="BB243" i="68"/>
  <c r="BA243" i="68"/>
  <c r="AZ243" i="68"/>
  <c r="AY243" i="68"/>
  <c r="AX243" i="68"/>
  <c r="AW243" i="68"/>
  <c r="S243" i="68"/>
  <c r="Q243" i="68"/>
  <c r="N243" i="68"/>
  <c r="L243" i="68"/>
  <c r="AJ242" i="68"/>
  <c r="AI242" i="68"/>
  <c r="AG242" i="68"/>
  <c r="AF242" i="68"/>
  <c r="AD242" i="68"/>
  <c r="AC242" i="68"/>
  <c r="AA242" i="68"/>
  <c r="Z242" i="68"/>
  <c r="O242" i="68"/>
  <c r="BT241" i="68"/>
  <c r="BS241" i="68"/>
  <c r="BR241" i="68"/>
  <c r="BQ241" i="68"/>
  <c r="BP241" i="68"/>
  <c r="BO241" i="68"/>
  <c r="BN241" i="68"/>
  <c r="BM241" i="68"/>
  <c r="BL241" i="68"/>
  <c r="BK241" i="68"/>
  <c r="BJ241" i="68"/>
  <c r="BI241" i="68"/>
  <c r="BH241" i="68"/>
  <c r="BG241" i="68"/>
  <c r="BF241" i="68"/>
  <c r="BE241" i="68"/>
  <c r="BD241" i="68"/>
  <c r="BC241" i="68"/>
  <c r="BB241" i="68"/>
  <c r="BA241" i="68"/>
  <c r="AZ241" i="68"/>
  <c r="AY241" i="68"/>
  <c r="AX241" i="68"/>
  <c r="AW241" i="68"/>
  <c r="S241" i="68"/>
  <c r="Q241" i="68"/>
  <c r="N241" i="68"/>
  <c r="L241" i="68"/>
  <c r="AJ240" i="68"/>
  <c r="AI240" i="68"/>
  <c r="AG240" i="68"/>
  <c r="AF240" i="68"/>
  <c r="AD240" i="68"/>
  <c r="AC240" i="68"/>
  <c r="AA240" i="68"/>
  <c r="Z240" i="68"/>
  <c r="O240" i="68"/>
  <c r="AJ239" i="68"/>
  <c r="AI239" i="68"/>
  <c r="AG239" i="68"/>
  <c r="AF239" i="68"/>
  <c r="AD239" i="68"/>
  <c r="AC239" i="68"/>
  <c r="AA239" i="68"/>
  <c r="Z239" i="68"/>
  <c r="O239" i="68"/>
  <c r="AJ238" i="68"/>
  <c r="AI238" i="68"/>
  <c r="AG238" i="68"/>
  <c r="AF238" i="68"/>
  <c r="AD238" i="68"/>
  <c r="AC238" i="68"/>
  <c r="AA238" i="68"/>
  <c r="Z238" i="68"/>
  <c r="O238" i="68"/>
  <c r="AJ237" i="68"/>
  <c r="AI237" i="68"/>
  <c r="AG237" i="68"/>
  <c r="AF237" i="68"/>
  <c r="AD237" i="68"/>
  <c r="AC237" i="68"/>
  <c r="AA237" i="68"/>
  <c r="Z237" i="68"/>
  <c r="O237" i="68"/>
  <c r="BT236" i="68"/>
  <c r="BS236" i="68"/>
  <c r="BR236" i="68"/>
  <c r="BQ236" i="68"/>
  <c r="BP236" i="68"/>
  <c r="BO236" i="68"/>
  <c r="BN236" i="68"/>
  <c r="BM236" i="68"/>
  <c r="BL236" i="68"/>
  <c r="BK236" i="68"/>
  <c r="BJ236" i="68"/>
  <c r="BI236" i="68"/>
  <c r="BH236" i="68"/>
  <c r="BG236" i="68"/>
  <c r="BF236" i="68"/>
  <c r="BE236" i="68"/>
  <c r="BD236" i="68"/>
  <c r="BC236" i="68"/>
  <c r="BB236" i="68"/>
  <c r="BA236" i="68"/>
  <c r="AZ236" i="68"/>
  <c r="AY236" i="68"/>
  <c r="AX236" i="68"/>
  <c r="AW236" i="68"/>
  <c r="S236" i="68"/>
  <c r="Q236" i="68"/>
  <c r="N236" i="68"/>
  <c r="L236" i="68"/>
  <c r="AJ235" i="68"/>
  <c r="AI235" i="68"/>
  <c r="AG235" i="68"/>
  <c r="AF235" i="68"/>
  <c r="AD235" i="68"/>
  <c r="AC235" i="68"/>
  <c r="AA235" i="68"/>
  <c r="Z235" i="68"/>
  <c r="O235" i="68"/>
  <c r="AJ234" i="68"/>
  <c r="AI234" i="68"/>
  <c r="AG234" i="68"/>
  <c r="AF234" i="68"/>
  <c r="AD234" i="68"/>
  <c r="AC234" i="68"/>
  <c r="AA234" i="68"/>
  <c r="Z234" i="68"/>
  <c r="O234" i="68"/>
  <c r="AJ233" i="68"/>
  <c r="AI233" i="68"/>
  <c r="AG233" i="68"/>
  <c r="AF233" i="68"/>
  <c r="AD233" i="68"/>
  <c r="AC233" i="68"/>
  <c r="AA233" i="68"/>
  <c r="Z233" i="68"/>
  <c r="O233" i="68"/>
  <c r="BT232" i="68"/>
  <c r="BS232" i="68"/>
  <c r="BR232" i="68"/>
  <c r="BQ232" i="68"/>
  <c r="BP232" i="68"/>
  <c r="BO232" i="68"/>
  <c r="BN232" i="68"/>
  <c r="BM232" i="68"/>
  <c r="BL232" i="68"/>
  <c r="BK232" i="68"/>
  <c r="BJ232" i="68"/>
  <c r="BI232" i="68"/>
  <c r="BH232" i="68"/>
  <c r="BG232" i="68"/>
  <c r="BF232" i="68"/>
  <c r="BE232" i="68"/>
  <c r="BD232" i="68"/>
  <c r="BC232" i="68"/>
  <c r="BB232" i="68"/>
  <c r="BA232" i="68"/>
  <c r="AZ232" i="68"/>
  <c r="AY232" i="68"/>
  <c r="AX232" i="68"/>
  <c r="AW232" i="68"/>
  <c r="S232" i="68"/>
  <c r="Q232" i="68"/>
  <c r="N232" i="68"/>
  <c r="L232" i="68"/>
  <c r="AJ231" i="68"/>
  <c r="AI231" i="68"/>
  <c r="AG231" i="68"/>
  <c r="AF231" i="68"/>
  <c r="AD231" i="68"/>
  <c r="AC231" i="68"/>
  <c r="AA231" i="68"/>
  <c r="Z231" i="68"/>
  <c r="O231" i="68"/>
  <c r="AJ230" i="68"/>
  <c r="AI230" i="68"/>
  <c r="AG230" i="68"/>
  <c r="AF230" i="68"/>
  <c r="AD230" i="68"/>
  <c r="AC230" i="68"/>
  <c r="AA230" i="68"/>
  <c r="Z230" i="68"/>
  <c r="O230" i="68"/>
  <c r="BT229" i="68"/>
  <c r="BS229" i="68"/>
  <c r="BR229" i="68"/>
  <c r="BQ229" i="68"/>
  <c r="BP229" i="68"/>
  <c r="BO229" i="68"/>
  <c r="BN229" i="68"/>
  <c r="BM229" i="68"/>
  <c r="BL229" i="68"/>
  <c r="BK229" i="68"/>
  <c r="BJ229" i="68"/>
  <c r="BI229" i="68"/>
  <c r="BH229" i="68"/>
  <c r="BG229" i="68"/>
  <c r="BF229" i="68"/>
  <c r="BE229" i="68"/>
  <c r="BD229" i="68"/>
  <c r="BC229" i="68"/>
  <c r="BB229" i="68"/>
  <c r="BA229" i="68"/>
  <c r="AZ229" i="68"/>
  <c r="AY229" i="68"/>
  <c r="AX229" i="68"/>
  <c r="AW229" i="68"/>
  <c r="S229" i="68"/>
  <c r="Q229" i="68"/>
  <c r="N229" i="68"/>
  <c r="L229" i="68"/>
  <c r="AJ227" i="68"/>
  <c r="AI227" i="68"/>
  <c r="AG227" i="68"/>
  <c r="AF227" i="68"/>
  <c r="AD227" i="68"/>
  <c r="AC227" i="68"/>
  <c r="AA227" i="68"/>
  <c r="Z227" i="68"/>
  <c r="O227" i="68"/>
  <c r="BT226" i="68"/>
  <c r="BS226" i="68"/>
  <c r="BR226" i="68"/>
  <c r="BQ226" i="68"/>
  <c r="BP226" i="68"/>
  <c r="BO226" i="68"/>
  <c r="BN226" i="68"/>
  <c r="BM226" i="68"/>
  <c r="BL226" i="68"/>
  <c r="BK226" i="68"/>
  <c r="BJ226" i="68"/>
  <c r="BI226" i="68"/>
  <c r="BH226" i="68"/>
  <c r="BG226" i="68"/>
  <c r="BF226" i="68"/>
  <c r="BE226" i="68"/>
  <c r="BD226" i="68"/>
  <c r="BC226" i="68"/>
  <c r="BB226" i="68"/>
  <c r="BA226" i="68"/>
  <c r="AZ226" i="68"/>
  <c r="AY226" i="68"/>
  <c r="AX226" i="68"/>
  <c r="AW226" i="68"/>
  <c r="O226" i="68"/>
  <c r="AV225" i="68"/>
  <c r="X223" i="68"/>
  <c r="AJ222" i="68"/>
  <c r="AI222" i="68"/>
  <c r="AG222" i="68"/>
  <c r="AF222" i="68"/>
  <c r="AD222" i="68"/>
  <c r="AC222" i="68"/>
  <c r="AA222" i="68"/>
  <c r="Z222" i="68"/>
  <c r="AJ220" i="68"/>
  <c r="AI220" i="68"/>
  <c r="AG220" i="68"/>
  <c r="AF220" i="68"/>
  <c r="AD220" i="68"/>
  <c r="AC220" i="68"/>
  <c r="AA220" i="68"/>
  <c r="Z220" i="68"/>
  <c r="O220" i="68"/>
  <c r="BT219" i="68"/>
  <c r="BS219" i="68"/>
  <c r="BR219" i="68"/>
  <c r="BQ219" i="68"/>
  <c r="BP219" i="68"/>
  <c r="BO219" i="68"/>
  <c r="BN219" i="68"/>
  <c r="BM219" i="68"/>
  <c r="BL219" i="68"/>
  <c r="BK219" i="68"/>
  <c r="BJ219" i="68"/>
  <c r="BI219" i="68"/>
  <c r="BH219" i="68"/>
  <c r="BG219" i="68"/>
  <c r="BF219" i="68"/>
  <c r="BE219" i="68"/>
  <c r="BD219" i="68"/>
  <c r="BC219" i="68"/>
  <c r="BB219" i="68"/>
  <c r="BA219" i="68"/>
  <c r="AZ219" i="68"/>
  <c r="AY219" i="68"/>
  <c r="AX219" i="68"/>
  <c r="AW219" i="68"/>
  <c r="N219" i="68"/>
  <c r="L219" i="68"/>
  <c r="AJ218" i="68"/>
  <c r="AI218" i="68"/>
  <c r="AG218" i="68"/>
  <c r="AF218" i="68"/>
  <c r="AD218" i="68"/>
  <c r="AC218" i="68"/>
  <c r="AA218" i="68"/>
  <c r="Z218" i="68"/>
  <c r="O218" i="68"/>
  <c r="BT217" i="68"/>
  <c r="BS217" i="68"/>
  <c r="BR217" i="68"/>
  <c r="BQ217" i="68"/>
  <c r="BP217" i="68"/>
  <c r="BO217" i="68"/>
  <c r="BN217" i="68"/>
  <c r="BM217" i="68"/>
  <c r="BL217" i="68"/>
  <c r="BK217" i="68"/>
  <c r="BJ217" i="68"/>
  <c r="BI217" i="68"/>
  <c r="BH217" i="68"/>
  <c r="BG217" i="68"/>
  <c r="BF217" i="68"/>
  <c r="BE217" i="68"/>
  <c r="BD217" i="68"/>
  <c r="BC217" i="68"/>
  <c r="BB217" i="68"/>
  <c r="BA217" i="68"/>
  <c r="AZ217" i="68"/>
  <c r="AY217" i="68"/>
  <c r="AX217" i="68"/>
  <c r="AW217" i="68"/>
  <c r="N217" i="68"/>
  <c r="L217" i="68"/>
  <c r="AJ216" i="68"/>
  <c r="AI216" i="68"/>
  <c r="AG216" i="68"/>
  <c r="AF216" i="68"/>
  <c r="AD216" i="68"/>
  <c r="AC216" i="68"/>
  <c r="AA216" i="68"/>
  <c r="Z216" i="68"/>
  <c r="O216" i="68"/>
  <c r="BT215" i="68"/>
  <c r="BS215" i="68"/>
  <c r="BR215" i="68"/>
  <c r="BQ215" i="68"/>
  <c r="BP215" i="68"/>
  <c r="BO215" i="68"/>
  <c r="BN215" i="68"/>
  <c r="BM215" i="68"/>
  <c r="BL215" i="68"/>
  <c r="BK215" i="68"/>
  <c r="BJ215" i="68"/>
  <c r="BI215" i="68"/>
  <c r="BH215" i="68"/>
  <c r="BG215" i="68"/>
  <c r="BF215" i="68"/>
  <c r="BE215" i="68"/>
  <c r="BD215" i="68"/>
  <c r="BC215" i="68"/>
  <c r="BB215" i="68"/>
  <c r="BA215" i="68"/>
  <c r="AZ215" i="68"/>
  <c r="AY215" i="68"/>
  <c r="AX215" i="68"/>
  <c r="AW215" i="68"/>
  <c r="N215" i="68"/>
  <c r="L215" i="68"/>
  <c r="AJ214" i="68"/>
  <c r="AI214" i="68"/>
  <c r="AG214" i="68"/>
  <c r="AF214" i="68"/>
  <c r="AD214" i="68"/>
  <c r="AC214" i="68"/>
  <c r="AA214" i="68"/>
  <c r="Z214" i="68"/>
  <c r="P214" i="68"/>
  <c r="O214" i="68"/>
  <c r="AJ213" i="68"/>
  <c r="AI213" i="68"/>
  <c r="AG213" i="68"/>
  <c r="AF213" i="68"/>
  <c r="AD213" i="68"/>
  <c r="AC213" i="68"/>
  <c r="AA213" i="68"/>
  <c r="Z213" i="68"/>
  <c r="O213" i="68"/>
  <c r="AJ212" i="68"/>
  <c r="AI212" i="68"/>
  <c r="AG212" i="68"/>
  <c r="AF212" i="68"/>
  <c r="AD212" i="68"/>
  <c r="AC212" i="68"/>
  <c r="AA212" i="68"/>
  <c r="Z212" i="68"/>
  <c r="L212" i="68"/>
  <c r="AJ211" i="68"/>
  <c r="AI211" i="68"/>
  <c r="AG211" i="68"/>
  <c r="AF211" i="68"/>
  <c r="AD211" i="68"/>
  <c r="AC211" i="68"/>
  <c r="AA211" i="68"/>
  <c r="Z211" i="68"/>
  <c r="O211" i="68"/>
  <c r="AJ210" i="68"/>
  <c r="AI210" i="68"/>
  <c r="AG210" i="68"/>
  <c r="AF210" i="68"/>
  <c r="AD210" i="68"/>
  <c r="AC210" i="68"/>
  <c r="AA210" i="68"/>
  <c r="Z210" i="68"/>
  <c r="AS210" i="68" s="1"/>
  <c r="O210" i="68"/>
  <c r="BC207" i="68"/>
  <c r="AJ207" i="68"/>
  <c r="AI207" i="68"/>
  <c r="AG207" i="68"/>
  <c r="AF207" i="68"/>
  <c r="AD207" i="68"/>
  <c r="AC207" i="68"/>
  <c r="AA207" i="68"/>
  <c r="Z207" i="68"/>
  <c r="L207" i="68"/>
  <c r="L206" i="68" s="1"/>
  <c r="BT206" i="68"/>
  <c r="BS206" i="68"/>
  <c r="BR206" i="68"/>
  <c r="BQ206" i="68"/>
  <c r="BP206" i="68"/>
  <c r="BO206" i="68"/>
  <c r="BN206" i="68"/>
  <c r="BM206" i="68"/>
  <c r="BL206" i="68"/>
  <c r="BK206" i="68"/>
  <c r="BJ206" i="68"/>
  <c r="BI206" i="68"/>
  <c r="BH206" i="68"/>
  <c r="BG206" i="68"/>
  <c r="BF206" i="68"/>
  <c r="BE206" i="68"/>
  <c r="BD206" i="68"/>
  <c r="BC206" i="68"/>
  <c r="BB206" i="68"/>
  <c r="BA206" i="68"/>
  <c r="AZ206" i="68"/>
  <c r="AY206" i="68"/>
  <c r="AX206" i="68"/>
  <c r="AW206" i="68"/>
  <c r="S206" i="68"/>
  <c r="R206" i="68"/>
  <c r="Q206" i="68"/>
  <c r="N206" i="68"/>
  <c r="AJ205" i="68"/>
  <c r="AI205" i="68"/>
  <c r="AG205" i="68"/>
  <c r="AF205" i="68"/>
  <c r="AD205" i="68"/>
  <c r="AC205" i="68"/>
  <c r="AA205" i="68"/>
  <c r="Z205" i="68"/>
  <c r="O205" i="68"/>
  <c r="AJ204" i="68"/>
  <c r="AI204" i="68"/>
  <c r="AG204" i="68"/>
  <c r="AF204" i="68"/>
  <c r="AD204" i="68"/>
  <c r="AC204" i="68"/>
  <c r="AA204" i="68"/>
  <c r="Z204" i="68"/>
  <c r="O204" i="68"/>
  <c r="BT203" i="68"/>
  <c r="BS203" i="68"/>
  <c r="BR203" i="68"/>
  <c r="BQ203" i="68"/>
  <c r="BP203" i="68"/>
  <c r="BO203" i="68"/>
  <c r="BN203" i="68"/>
  <c r="BM203" i="68"/>
  <c r="BL203" i="68"/>
  <c r="BK203" i="68"/>
  <c r="BJ203" i="68"/>
  <c r="BI203" i="68"/>
  <c r="BH203" i="68"/>
  <c r="BG203" i="68"/>
  <c r="BF203" i="68"/>
  <c r="BE203" i="68"/>
  <c r="BD203" i="68"/>
  <c r="BC203" i="68"/>
  <c r="BB203" i="68"/>
  <c r="BA203" i="68"/>
  <c r="AZ203" i="68"/>
  <c r="AY203" i="68"/>
  <c r="AX203" i="68"/>
  <c r="AW203" i="68"/>
  <c r="N203" i="68"/>
  <c r="O203" i="68" s="1"/>
  <c r="AJ202" i="68"/>
  <c r="AI202" i="68"/>
  <c r="AG202" i="68"/>
  <c r="AF202" i="68"/>
  <c r="AD202" i="68"/>
  <c r="AC202" i="68"/>
  <c r="AA202" i="68"/>
  <c r="Z202" i="68"/>
  <c r="O202" i="68"/>
  <c r="AJ199" i="68"/>
  <c r="AI199" i="68"/>
  <c r="AG199" i="68"/>
  <c r="AF199" i="68"/>
  <c r="AD199" i="68"/>
  <c r="AC199" i="68"/>
  <c r="AA199" i="68"/>
  <c r="Z199" i="68"/>
  <c r="O199" i="68"/>
  <c r="AJ198" i="68"/>
  <c r="AI198" i="68"/>
  <c r="AG198" i="68"/>
  <c r="AF198" i="68"/>
  <c r="AD198" i="68"/>
  <c r="AC198" i="68"/>
  <c r="AA198" i="68"/>
  <c r="Z198" i="68"/>
  <c r="O198" i="68"/>
  <c r="AJ197" i="68"/>
  <c r="AI197" i="68"/>
  <c r="AG197" i="68"/>
  <c r="AF197" i="68"/>
  <c r="AD197" i="68"/>
  <c r="AC197" i="68"/>
  <c r="AA197" i="68"/>
  <c r="Z197" i="68"/>
  <c r="O197" i="68"/>
  <c r="AJ196" i="68"/>
  <c r="AI196" i="68"/>
  <c r="AG196" i="68"/>
  <c r="AF196" i="68"/>
  <c r="AD196" i="68"/>
  <c r="AC196" i="68"/>
  <c r="AA196" i="68"/>
  <c r="Z196" i="68"/>
  <c r="O196" i="68"/>
  <c r="AJ195" i="68"/>
  <c r="AI195" i="68"/>
  <c r="AG195" i="68"/>
  <c r="AF195" i="68"/>
  <c r="AD195" i="68"/>
  <c r="AC195" i="68"/>
  <c r="AA195" i="68"/>
  <c r="Z195" i="68"/>
  <c r="O195" i="68"/>
  <c r="AJ194" i="68"/>
  <c r="AI194" i="68"/>
  <c r="AG194" i="68"/>
  <c r="AF194" i="68"/>
  <c r="AD194" i="68"/>
  <c r="AC194" i="68"/>
  <c r="AA194" i="68"/>
  <c r="Z194" i="68"/>
  <c r="O194" i="68"/>
  <c r="BQ193" i="68"/>
  <c r="BQ192" i="68" s="1"/>
  <c r="AJ193" i="68"/>
  <c r="AG193" i="68"/>
  <c r="AF193" i="68"/>
  <c r="AD193" i="68"/>
  <c r="AC193" i="68"/>
  <c r="AA193" i="68"/>
  <c r="Z193" i="68"/>
  <c r="O193" i="68"/>
  <c r="BT192" i="68"/>
  <c r="BS192" i="68"/>
  <c r="BR192" i="68"/>
  <c r="BP192" i="68"/>
  <c r="BO192" i="68"/>
  <c r="BN192" i="68"/>
  <c r="BM192" i="68"/>
  <c r="BL192" i="68"/>
  <c r="BK192" i="68"/>
  <c r="BJ192" i="68"/>
  <c r="BI192" i="68"/>
  <c r="BH192" i="68"/>
  <c r="BG192" i="68"/>
  <c r="BF192" i="68"/>
  <c r="BE192" i="68"/>
  <c r="BD192" i="68"/>
  <c r="BC192" i="68"/>
  <c r="BB192" i="68"/>
  <c r="BA192" i="68"/>
  <c r="AZ192" i="68"/>
  <c r="AY192" i="68"/>
  <c r="AX192" i="68"/>
  <c r="AW192" i="68"/>
  <c r="N192" i="68"/>
  <c r="AJ191" i="68"/>
  <c r="AI191" i="68"/>
  <c r="AG191" i="68"/>
  <c r="AF191" i="68"/>
  <c r="AD191" i="68"/>
  <c r="AC191" i="68"/>
  <c r="AA191" i="68"/>
  <c r="Z191" i="68"/>
  <c r="O191" i="68"/>
  <c r="AJ190" i="68"/>
  <c r="AI190" i="68"/>
  <c r="AG190" i="68"/>
  <c r="AF190" i="68"/>
  <c r="AD190" i="68"/>
  <c r="AC190" i="68"/>
  <c r="AA190" i="68"/>
  <c r="Z190" i="68"/>
  <c r="O190" i="68"/>
  <c r="AJ189" i="68"/>
  <c r="AI189" i="68"/>
  <c r="AG189" i="68"/>
  <c r="AF189" i="68"/>
  <c r="AD189" i="68"/>
  <c r="AC189" i="68"/>
  <c r="AA189" i="68"/>
  <c r="Z189" i="68"/>
  <c r="O189" i="68"/>
  <c r="AJ188" i="68"/>
  <c r="AI188" i="68"/>
  <c r="AG188" i="68"/>
  <c r="AF188" i="68"/>
  <c r="AD188" i="68"/>
  <c r="AC188" i="68"/>
  <c r="AA188" i="68"/>
  <c r="Z188" i="68"/>
  <c r="O188" i="68"/>
  <c r="AJ187" i="68"/>
  <c r="AI187" i="68"/>
  <c r="AG187" i="68"/>
  <c r="AF187" i="68"/>
  <c r="AD187" i="68"/>
  <c r="AC187" i="68"/>
  <c r="AA187" i="68"/>
  <c r="Z187" i="68"/>
  <c r="O187" i="68"/>
  <c r="AJ186" i="68"/>
  <c r="AI186" i="68"/>
  <c r="AG186" i="68"/>
  <c r="AF186" i="68"/>
  <c r="AD186" i="68"/>
  <c r="AC186" i="68"/>
  <c r="AA186" i="68"/>
  <c r="Z186" i="68"/>
  <c r="O186" i="68"/>
  <c r="AJ185" i="68"/>
  <c r="AI185" i="68"/>
  <c r="AG185" i="68"/>
  <c r="AF185" i="68"/>
  <c r="AD185" i="68"/>
  <c r="AC185" i="68"/>
  <c r="AA185" i="68"/>
  <c r="Z185" i="68"/>
  <c r="L185" i="68"/>
  <c r="BT184" i="68"/>
  <c r="BS184" i="68"/>
  <c r="BR184" i="68"/>
  <c r="BQ184" i="68"/>
  <c r="BP184" i="68"/>
  <c r="BO184" i="68"/>
  <c r="BN184" i="68"/>
  <c r="BM184" i="68"/>
  <c r="BL184" i="68"/>
  <c r="BK184" i="68"/>
  <c r="BJ184" i="68"/>
  <c r="BI184" i="68"/>
  <c r="BH184" i="68"/>
  <c r="BG184" i="68"/>
  <c r="BF184" i="68"/>
  <c r="BE184" i="68"/>
  <c r="BD184" i="68"/>
  <c r="BC184" i="68"/>
  <c r="BB184" i="68"/>
  <c r="BA184" i="68"/>
  <c r="AZ184" i="68"/>
  <c r="AY184" i="68"/>
  <c r="AX184" i="68"/>
  <c r="AW184" i="68"/>
  <c r="N184" i="68"/>
  <c r="AJ183" i="68"/>
  <c r="AI183" i="68"/>
  <c r="AG183" i="68"/>
  <c r="AF183" i="68"/>
  <c r="AD183" i="68"/>
  <c r="AC183" i="68"/>
  <c r="AA183" i="68"/>
  <c r="Z183" i="68"/>
  <c r="O183" i="68"/>
  <c r="AJ182" i="68"/>
  <c r="AI182" i="68"/>
  <c r="AG182" i="68"/>
  <c r="AF182" i="68"/>
  <c r="AD182" i="68"/>
  <c r="AC182" i="68"/>
  <c r="AA182" i="68"/>
  <c r="Z182" i="68"/>
  <c r="O182" i="68"/>
  <c r="AJ181" i="68"/>
  <c r="AI181" i="68"/>
  <c r="AG181" i="68"/>
  <c r="AF181" i="68"/>
  <c r="AD181" i="68"/>
  <c r="AC181" i="68"/>
  <c r="AA181" i="68"/>
  <c r="Z181" i="68"/>
  <c r="O181" i="68"/>
  <c r="AJ180" i="68"/>
  <c r="AI180" i="68"/>
  <c r="AG180" i="68"/>
  <c r="AF180" i="68"/>
  <c r="AD180" i="68"/>
  <c r="AC180" i="68"/>
  <c r="AA180" i="68"/>
  <c r="Z180" i="68"/>
  <c r="O180" i="68"/>
  <c r="AJ179" i="68"/>
  <c r="AI179" i="68"/>
  <c r="AG179" i="68"/>
  <c r="AF179" i="68"/>
  <c r="AD179" i="68"/>
  <c r="AC179" i="68"/>
  <c r="AA179" i="68"/>
  <c r="Z179" i="68"/>
  <c r="O179" i="68"/>
  <c r="AJ178" i="68"/>
  <c r="AI178" i="68"/>
  <c r="AG178" i="68"/>
  <c r="AF178" i="68"/>
  <c r="AD178" i="68"/>
  <c r="AC178" i="68"/>
  <c r="AA178" i="68"/>
  <c r="Z178" i="68"/>
  <c r="O178" i="68"/>
  <c r="AJ177" i="68"/>
  <c r="AI177" i="68"/>
  <c r="AG177" i="68"/>
  <c r="AF177" i="68"/>
  <c r="AD177" i="68"/>
  <c r="AC177" i="68"/>
  <c r="AA177" i="68"/>
  <c r="Z177" i="68"/>
  <c r="O177" i="68"/>
  <c r="AJ176" i="68"/>
  <c r="AI176" i="68"/>
  <c r="AG176" i="68"/>
  <c r="AF176" i="68"/>
  <c r="AD176" i="68"/>
  <c r="AC176" i="68"/>
  <c r="AA176" i="68"/>
  <c r="Z176" i="68"/>
  <c r="O176" i="68"/>
  <c r="AJ175" i="68"/>
  <c r="AI175" i="68"/>
  <c r="AG175" i="68"/>
  <c r="AF175" i="68"/>
  <c r="AD175" i="68"/>
  <c r="AC175" i="68"/>
  <c r="AA175" i="68"/>
  <c r="Z175" i="68"/>
  <c r="O175" i="68"/>
  <c r="AJ174" i="68"/>
  <c r="AI174" i="68"/>
  <c r="AG174" i="68"/>
  <c r="AF174" i="68"/>
  <c r="AD174" i="68"/>
  <c r="AC174" i="68"/>
  <c r="AA174" i="68"/>
  <c r="Z174" i="68"/>
  <c r="BT173" i="68"/>
  <c r="BS173" i="68"/>
  <c r="BR173" i="68"/>
  <c r="BQ173" i="68"/>
  <c r="BP173" i="68"/>
  <c r="BO173" i="68"/>
  <c r="BN173" i="68"/>
  <c r="BM173" i="68"/>
  <c r="BL173" i="68"/>
  <c r="BK173" i="68"/>
  <c r="BJ173" i="68"/>
  <c r="BI173" i="68"/>
  <c r="BH173" i="68"/>
  <c r="BG173" i="68"/>
  <c r="BF173" i="68"/>
  <c r="BE173" i="68"/>
  <c r="BD173" i="68"/>
  <c r="BC173" i="68"/>
  <c r="BB173" i="68"/>
  <c r="BA173" i="68"/>
  <c r="AZ173" i="68"/>
  <c r="AY173" i="68"/>
  <c r="AX173" i="68"/>
  <c r="AW173" i="68"/>
  <c r="N173" i="68"/>
  <c r="AJ172" i="68"/>
  <c r="AI172" i="68"/>
  <c r="AG172" i="68"/>
  <c r="AF172" i="68"/>
  <c r="AD172" i="68"/>
  <c r="AC172" i="68"/>
  <c r="AA172" i="68"/>
  <c r="Z172" i="68"/>
  <c r="O172" i="68"/>
  <c r="AJ171" i="68"/>
  <c r="AI171" i="68"/>
  <c r="AG171" i="68"/>
  <c r="AF171" i="68"/>
  <c r="AD171" i="68"/>
  <c r="AC171" i="68"/>
  <c r="AA171" i="68"/>
  <c r="Z171" i="68"/>
  <c r="O171" i="68"/>
  <c r="AJ170" i="68"/>
  <c r="AI170" i="68"/>
  <c r="AG170" i="68"/>
  <c r="AF170" i="68"/>
  <c r="AD170" i="68"/>
  <c r="AC170" i="68"/>
  <c r="AA170" i="68"/>
  <c r="Z170" i="68"/>
  <c r="O170" i="68"/>
  <c r="AJ169" i="68"/>
  <c r="AI169" i="68"/>
  <c r="AG169" i="68"/>
  <c r="AF169" i="68"/>
  <c r="AD169" i="68"/>
  <c r="AC169" i="68"/>
  <c r="AA169" i="68"/>
  <c r="Z169" i="68"/>
  <c r="O169" i="68"/>
  <c r="AJ168" i="68"/>
  <c r="AI168" i="68"/>
  <c r="AG168" i="68"/>
  <c r="AF168" i="68"/>
  <c r="AD168" i="68"/>
  <c r="AC168" i="68"/>
  <c r="AA168" i="68"/>
  <c r="Z168" i="68"/>
  <c r="O168" i="68"/>
  <c r="AJ167" i="68"/>
  <c r="AI167" i="68"/>
  <c r="AG167" i="68"/>
  <c r="AF167" i="68"/>
  <c r="AD167" i="68"/>
  <c r="AC167" i="68"/>
  <c r="AA167" i="68"/>
  <c r="Z167" i="68"/>
  <c r="O167" i="68"/>
  <c r="AJ166" i="68"/>
  <c r="AI166" i="68"/>
  <c r="AG166" i="68"/>
  <c r="AF166" i="68"/>
  <c r="AD166" i="68"/>
  <c r="AC166" i="68"/>
  <c r="AA166" i="68"/>
  <c r="Z166" i="68"/>
  <c r="O166" i="68"/>
  <c r="AJ165" i="68"/>
  <c r="AI165" i="68"/>
  <c r="AG165" i="68"/>
  <c r="AF165" i="68"/>
  <c r="AD165" i="68"/>
  <c r="AC165" i="68"/>
  <c r="AA165" i="68"/>
  <c r="Z165" i="68"/>
  <c r="O165" i="68"/>
  <c r="AJ164" i="68"/>
  <c r="AI164" i="68"/>
  <c r="AG164" i="68"/>
  <c r="AF164" i="68"/>
  <c r="AD164" i="68"/>
  <c r="AC164" i="68"/>
  <c r="AA164" i="68"/>
  <c r="Z164" i="68"/>
  <c r="O164" i="68"/>
  <c r="AJ163" i="68"/>
  <c r="AI163" i="68"/>
  <c r="AG163" i="68"/>
  <c r="AF163" i="68"/>
  <c r="AD163" i="68"/>
  <c r="AC163" i="68"/>
  <c r="AA163" i="68"/>
  <c r="Z163" i="68"/>
  <c r="O163" i="68"/>
  <c r="AJ162" i="68"/>
  <c r="AI162" i="68"/>
  <c r="AG162" i="68"/>
  <c r="AF162" i="68"/>
  <c r="AD162" i="68"/>
  <c r="AC162" i="68"/>
  <c r="AA162" i="68"/>
  <c r="Z162" i="68"/>
  <c r="O162" i="68"/>
  <c r="AJ161" i="68"/>
  <c r="AI161" i="68"/>
  <c r="AG161" i="68"/>
  <c r="AF161" i="68"/>
  <c r="AD161" i="68"/>
  <c r="AC161" i="68"/>
  <c r="AA161" i="68"/>
  <c r="Z161" i="68"/>
  <c r="O161" i="68"/>
  <c r="AJ160" i="68"/>
  <c r="AI160" i="68"/>
  <c r="AG160" i="68"/>
  <c r="AF160" i="68"/>
  <c r="AD160" i="68"/>
  <c r="AC160" i="68"/>
  <c r="AA160" i="68"/>
  <c r="Z160" i="68"/>
  <c r="O160" i="68"/>
  <c r="AJ159" i="68"/>
  <c r="AI159" i="68"/>
  <c r="AG159" i="68"/>
  <c r="AF159" i="68"/>
  <c r="AD159" i="68"/>
  <c r="AC159" i="68"/>
  <c r="AA159" i="68"/>
  <c r="Z159" i="68"/>
  <c r="O159" i="68"/>
  <c r="AJ158" i="68"/>
  <c r="AI158" i="68"/>
  <c r="AG158" i="68"/>
  <c r="AF158" i="68"/>
  <c r="AD158" i="68"/>
  <c r="AC158" i="68"/>
  <c r="AA158" i="68"/>
  <c r="Z158" i="68"/>
  <c r="O158" i="68"/>
  <c r="AJ157" i="68"/>
  <c r="AI157" i="68"/>
  <c r="AG157" i="68"/>
  <c r="AF157" i="68"/>
  <c r="AD157" i="68"/>
  <c r="AC157" i="68"/>
  <c r="AA157" i="68"/>
  <c r="Z157" i="68"/>
  <c r="O157" i="68"/>
  <c r="AJ156" i="68"/>
  <c r="AI156" i="68"/>
  <c r="AG156" i="68"/>
  <c r="AF156" i="68"/>
  <c r="AD156" i="68"/>
  <c r="AC156" i="68"/>
  <c r="AA156" i="68"/>
  <c r="Z156" i="68"/>
  <c r="O156" i="68"/>
  <c r="AJ155" i="68"/>
  <c r="AI155" i="68"/>
  <c r="AG155" i="68"/>
  <c r="AF155" i="68"/>
  <c r="AD155" i="68"/>
  <c r="AC155" i="68"/>
  <c r="AA155" i="68"/>
  <c r="Z155" i="68"/>
  <c r="BT154" i="68"/>
  <c r="BS154" i="68"/>
  <c r="BR154" i="68"/>
  <c r="BQ154" i="68"/>
  <c r="BP154" i="68"/>
  <c r="BO154" i="68"/>
  <c r="BN154" i="68"/>
  <c r="BM154" i="68"/>
  <c r="BL154" i="68"/>
  <c r="BK154" i="68"/>
  <c r="BJ154" i="68"/>
  <c r="BI154" i="68"/>
  <c r="BH154" i="68"/>
  <c r="BG154" i="68"/>
  <c r="BF154" i="68"/>
  <c r="BE154" i="68"/>
  <c r="BC154" i="68"/>
  <c r="BA154" i="68"/>
  <c r="AZ154" i="68"/>
  <c r="AY154" i="68"/>
  <c r="AX154" i="68"/>
  <c r="AW154" i="68"/>
  <c r="S154" i="68"/>
  <c r="S139" i="68" s="1"/>
  <c r="Q154" i="68"/>
  <c r="Q139" i="68" s="1"/>
  <c r="AJ153" i="68"/>
  <c r="AI153" i="68"/>
  <c r="AG153" i="68"/>
  <c r="AF153" i="68"/>
  <c r="AD153" i="68"/>
  <c r="AC153" i="68"/>
  <c r="AA153" i="68"/>
  <c r="Z153" i="68"/>
  <c r="O153" i="68"/>
  <c r="AJ152" i="68"/>
  <c r="AI152" i="68"/>
  <c r="AG152" i="68"/>
  <c r="AF152" i="68"/>
  <c r="AD152" i="68"/>
  <c r="AC152" i="68"/>
  <c r="AA152" i="68"/>
  <c r="Z152" i="68"/>
  <c r="O152" i="68"/>
  <c r="AJ151" i="68"/>
  <c r="AI151" i="68"/>
  <c r="AG151" i="68"/>
  <c r="AF151" i="68"/>
  <c r="AD151" i="68"/>
  <c r="AC151" i="68"/>
  <c r="AA151" i="68"/>
  <c r="Z151" i="68"/>
  <c r="O151" i="68"/>
  <c r="AJ150" i="68"/>
  <c r="AI150" i="68"/>
  <c r="AG150" i="68"/>
  <c r="AF150" i="68"/>
  <c r="AD150" i="68"/>
  <c r="AC150" i="68"/>
  <c r="AA150" i="68"/>
  <c r="Z150" i="68"/>
  <c r="O150" i="68"/>
  <c r="AJ149" i="68"/>
  <c r="AI149" i="68"/>
  <c r="AG149" i="68"/>
  <c r="AF149" i="68"/>
  <c r="AD149" i="68"/>
  <c r="AC149" i="68"/>
  <c r="AA149" i="68"/>
  <c r="Z149" i="68"/>
  <c r="O149" i="68"/>
  <c r="AJ148" i="68"/>
  <c r="AI148" i="68"/>
  <c r="AG148" i="68"/>
  <c r="AF148" i="68"/>
  <c r="AD148" i="68"/>
  <c r="AC148" i="68"/>
  <c r="AA148" i="68"/>
  <c r="Z148" i="68"/>
  <c r="O148" i="68"/>
  <c r="AJ147" i="68"/>
  <c r="AI147" i="68"/>
  <c r="AG147" i="68"/>
  <c r="AF147" i="68"/>
  <c r="AD147" i="68"/>
  <c r="AC147" i="68"/>
  <c r="AA147" i="68"/>
  <c r="Z147" i="68"/>
  <c r="O147" i="68"/>
  <c r="AJ146" i="68"/>
  <c r="AI146" i="68"/>
  <c r="AG146" i="68"/>
  <c r="AF146" i="68"/>
  <c r="AD146" i="68"/>
  <c r="AC146" i="68"/>
  <c r="AA146" i="68"/>
  <c r="Z146" i="68"/>
  <c r="O146" i="68"/>
  <c r="AJ145" i="68"/>
  <c r="AI145" i="68"/>
  <c r="AG145" i="68"/>
  <c r="AF145" i="68"/>
  <c r="AD145" i="68"/>
  <c r="AC145" i="68"/>
  <c r="AA145" i="68"/>
  <c r="Z145" i="68"/>
  <c r="L145" i="68"/>
  <c r="O145" i="68" s="1"/>
  <c r="AJ144" i="68"/>
  <c r="AI144" i="68"/>
  <c r="AG144" i="68"/>
  <c r="AF144" i="68"/>
  <c r="AD144" i="68"/>
  <c r="AC144" i="68"/>
  <c r="AA144" i="68"/>
  <c r="Z144" i="68"/>
  <c r="O144" i="68"/>
  <c r="AJ143" i="68"/>
  <c r="AI143" i="68"/>
  <c r="AG143" i="68"/>
  <c r="AF143" i="68"/>
  <c r="AD143" i="68"/>
  <c r="AC143" i="68"/>
  <c r="AA143" i="68"/>
  <c r="Z143" i="68"/>
  <c r="O143" i="68"/>
  <c r="AJ142" i="68"/>
  <c r="AI142" i="68"/>
  <c r="AG142" i="68"/>
  <c r="AF142" i="68"/>
  <c r="AD142" i="68"/>
  <c r="AC142" i="68"/>
  <c r="AA142" i="68"/>
  <c r="Z142" i="68"/>
  <c r="O142" i="68"/>
  <c r="AJ141" i="68"/>
  <c r="AI141" i="68"/>
  <c r="AG141" i="68"/>
  <c r="AF141" i="68"/>
  <c r="AD141" i="68"/>
  <c r="AC141" i="68"/>
  <c r="AA141" i="68"/>
  <c r="Z141" i="68"/>
  <c r="O141" i="68"/>
  <c r="BT140" i="68"/>
  <c r="BS140" i="68"/>
  <c r="BR140" i="68"/>
  <c r="BQ140" i="68"/>
  <c r="BP140" i="68"/>
  <c r="BO140" i="68"/>
  <c r="BN140" i="68"/>
  <c r="BM140" i="68"/>
  <c r="BL140" i="68"/>
  <c r="BK140" i="68"/>
  <c r="BJ140" i="68"/>
  <c r="BI140" i="68"/>
  <c r="BH140" i="68"/>
  <c r="BG140" i="68"/>
  <c r="BF140" i="68"/>
  <c r="BE140" i="68"/>
  <c r="BD140" i="68"/>
  <c r="BC140" i="68"/>
  <c r="BA140" i="68"/>
  <c r="AY140" i="68"/>
  <c r="AX140" i="68"/>
  <c r="AW140" i="68"/>
  <c r="N140" i="68"/>
  <c r="L140" i="68"/>
  <c r="R139" i="68"/>
  <c r="AJ138" i="68"/>
  <c r="AI138" i="68"/>
  <c r="AG138" i="68"/>
  <c r="AF138" i="68"/>
  <c r="AD138" i="68"/>
  <c r="AC138" i="68"/>
  <c r="AA138" i="68"/>
  <c r="Z138" i="68"/>
  <c r="O138" i="68"/>
  <c r="AJ137" i="68"/>
  <c r="AI137" i="68"/>
  <c r="AG137" i="68"/>
  <c r="AF137" i="68"/>
  <c r="AD137" i="68"/>
  <c r="AC137" i="68"/>
  <c r="AA137" i="68"/>
  <c r="Z137" i="68"/>
  <c r="O137" i="68"/>
  <c r="AJ136" i="68"/>
  <c r="AI136" i="68"/>
  <c r="AG136" i="68"/>
  <c r="AF136" i="68"/>
  <c r="AD136" i="68"/>
  <c r="AC136" i="68"/>
  <c r="AA136" i="68"/>
  <c r="Z136" i="68"/>
  <c r="O136" i="68"/>
  <c r="AJ135" i="68"/>
  <c r="AI135" i="68"/>
  <c r="AG135" i="68"/>
  <c r="AF135" i="68"/>
  <c r="AD135" i="68"/>
  <c r="AC135" i="68"/>
  <c r="AA135" i="68"/>
  <c r="Z135" i="68"/>
  <c r="O135" i="68"/>
  <c r="BT134" i="68"/>
  <c r="BS134" i="68"/>
  <c r="BR134" i="68"/>
  <c r="BQ134" i="68"/>
  <c r="BP134" i="68"/>
  <c r="BO134" i="68"/>
  <c r="BN134" i="68"/>
  <c r="BM134" i="68"/>
  <c r="BL134" i="68"/>
  <c r="BK134" i="68"/>
  <c r="BJ134" i="68"/>
  <c r="BI134" i="68"/>
  <c r="BH134" i="68"/>
  <c r="BG134" i="68"/>
  <c r="BF134" i="68"/>
  <c r="BE134" i="68"/>
  <c r="BD134" i="68"/>
  <c r="BC134" i="68"/>
  <c r="BB134" i="68"/>
  <c r="BA134" i="68"/>
  <c r="AZ134" i="68"/>
  <c r="AY134" i="68"/>
  <c r="AX134" i="68"/>
  <c r="AW134" i="68"/>
  <c r="N134" i="68"/>
  <c r="O134" i="68" s="1"/>
  <c r="AJ133" i="68"/>
  <c r="AI133" i="68"/>
  <c r="AG133" i="68"/>
  <c r="AF133" i="68"/>
  <c r="AD133" i="68"/>
  <c r="AC133" i="68"/>
  <c r="AA133" i="68"/>
  <c r="Z133" i="68"/>
  <c r="O133" i="68"/>
  <c r="AJ132" i="68"/>
  <c r="AI132" i="68"/>
  <c r="AG132" i="68"/>
  <c r="AF132" i="68"/>
  <c r="AD132" i="68"/>
  <c r="AC132" i="68"/>
  <c r="AA132" i="68"/>
  <c r="Z132" i="68"/>
  <c r="O132" i="68"/>
  <c r="AJ127" i="68"/>
  <c r="AI127" i="68"/>
  <c r="AG127" i="68"/>
  <c r="AF127" i="68"/>
  <c r="AD127" i="68"/>
  <c r="AC127" i="68"/>
  <c r="AA127" i="68"/>
  <c r="Z127" i="68"/>
  <c r="BT126" i="68"/>
  <c r="BS126" i="68"/>
  <c r="BR126" i="68"/>
  <c r="BQ126" i="68"/>
  <c r="BP126" i="68"/>
  <c r="BO126" i="68"/>
  <c r="BN126" i="68"/>
  <c r="BM126" i="68"/>
  <c r="BL126" i="68"/>
  <c r="BK126" i="68"/>
  <c r="BJ126" i="68"/>
  <c r="BI126" i="68"/>
  <c r="BH126" i="68"/>
  <c r="BG126" i="68"/>
  <c r="BF126" i="68"/>
  <c r="BE126" i="68"/>
  <c r="BD126" i="68"/>
  <c r="BC126" i="68"/>
  <c r="BB126" i="68"/>
  <c r="BA126" i="68"/>
  <c r="AZ126" i="68"/>
  <c r="AY126" i="68"/>
  <c r="AX126" i="68"/>
  <c r="AW126" i="68"/>
  <c r="N126" i="68"/>
  <c r="AJ125" i="68"/>
  <c r="AI125" i="68"/>
  <c r="AG125" i="68"/>
  <c r="AF125" i="68"/>
  <c r="AD125" i="68"/>
  <c r="AC125" i="68"/>
  <c r="AA125" i="68"/>
  <c r="Z125" i="68"/>
  <c r="O125" i="68"/>
  <c r="AJ124" i="68"/>
  <c r="AI124" i="68"/>
  <c r="AG124" i="68"/>
  <c r="AF124" i="68"/>
  <c r="AD124" i="68"/>
  <c r="AC124" i="68"/>
  <c r="AA124" i="68"/>
  <c r="Z124" i="68"/>
  <c r="O124" i="68"/>
  <c r="AJ123" i="68"/>
  <c r="AI123" i="68"/>
  <c r="AG123" i="68"/>
  <c r="AF123" i="68"/>
  <c r="AD123" i="68"/>
  <c r="AC123" i="68"/>
  <c r="AA123" i="68"/>
  <c r="Z123" i="68"/>
  <c r="O123" i="68"/>
  <c r="AJ122" i="68"/>
  <c r="AI122" i="68"/>
  <c r="AG122" i="68"/>
  <c r="AF122" i="68"/>
  <c r="AD122" i="68"/>
  <c r="AC122" i="68"/>
  <c r="AA122" i="68"/>
  <c r="Z122" i="68"/>
  <c r="O122" i="68"/>
  <c r="AJ121" i="68"/>
  <c r="AI121" i="68"/>
  <c r="AG121" i="68"/>
  <c r="AF121" i="68"/>
  <c r="AD121" i="68"/>
  <c r="AC121" i="68"/>
  <c r="AA121" i="68"/>
  <c r="Z121" i="68"/>
  <c r="AJ120" i="68"/>
  <c r="AI120" i="68"/>
  <c r="AG120" i="68"/>
  <c r="AF120" i="68"/>
  <c r="AD120" i="68"/>
  <c r="AC120" i="68"/>
  <c r="AA120" i="68"/>
  <c r="Z120" i="68"/>
  <c r="O120" i="68"/>
  <c r="AJ119" i="68"/>
  <c r="AI119" i="68"/>
  <c r="AG119" i="68"/>
  <c r="AF119" i="68"/>
  <c r="AD119" i="68"/>
  <c r="AC119" i="68"/>
  <c r="AA119" i="68"/>
  <c r="Z119" i="68"/>
  <c r="O119" i="68"/>
  <c r="AJ118" i="68"/>
  <c r="AI118" i="68"/>
  <c r="AG118" i="68"/>
  <c r="AF118" i="68"/>
  <c r="AD118" i="68"/>
  <c r="AC118" i="68"/>
  <c r="AA118" i="68"/>
  <c r="Z118" i="68"/>
  <c r="O118" i="68"/>
  <c r="AJ117" i="68"/>
  <c r="AI117" i="68"/>
  <c r="AG117" i="68"/>
  <c r="AF117" i="68"/>
  <c r="AD117" i="68"/>
  <c r="AC117" i="68"/>
  <c r="AA117" i="68"/>
  <c r="Z117" i="68"/>
  <c r="O117" i="68"/>
  <c r="AJ116" i="68"/>
  <c r="AI116" i="68"/>
  <c r="AG116" i="68"/>
  <c r="AF116" i="68"/>
  <c r="AD116" i="68"/>
  <c r="AC116" i="68"/>
  <c r="AA116" i="68"/>
  <c r="Z116" i="68"/>
  <c r="O116" i="68"/>
  <c r="AJ115" i="68"/>
  <c r="AI115" i="68"/>
  <c r="AG115" i="68"/>
  <c r="AF115" i="68"/>
  <c r="AD115" i="68"/>
  <c r="AC115" i="68"/>
  <c r="AA115" i="68"/>
  <c r="Z115" i="68"/>
  <c r="O115" i="68"/>
  <c r="AJ114" i="68"/>
  <c r="AI114" i="68"/>
  <c r="AG114" i="68"/>
  <c r="AF114" i="68"/>
  <c r="AD114" i="68"/>
  <c r="AC114" i="68"/>
  <c r="AA114" i="68"/>
  <c r="Z114" i="68"/>
  <c r="O114" i="68"/>
  <c r="AJ113" i="68"/>
  <c r="AI113" i="68"/>
  <c r="AG113" i="68"/>
  <c r="AF113" i="68"/>
  <c r="AD113" i="68"/>
  <c r="AC113" i="68"/>
  <c r="AA113" i="68"/>
  <c r="Z113" i="68"/>
  <c r="O113" i="68"/>
  <c r="AJ112" i="68"/>
  <c r="AI112" i="68"/>
  <c r="AG112" i="68"/>
  <c r="AF112" i="68"/>
  <c r="AD112" i="68"/>
  <c r="AC112" i="68"/>
  <c r="AA112" i="68"/>
  <c r="Z112" i="68"/>
  <c r="L111" i="68"/>
  <c r="BT111" i="68"/>
  <c r="BS111" i="68"/>
  <c r="BR111" i="68"/>
  <c r="BQ111" i="68"/>
  <c r="BP111" i="68"/>
  <c r="BO111" i="68"/>
  <c r="BN111" i="68"/>
  <c r="BM111" i="68"/>
  <c r="BL111" i="68"/>
  <c r="BK111" i="68"/>
  <c r="BJ111" i="68"/>
  <c r="BI111" i="68"/>
  <c r="BH111" i="68"/>
  <c r="BG111" i="68"/>
  <c r="BF111" i="68"/>
  <c r="BE111" i="68"/>
  <c r="BD111" i="68"/>
  <c r="BC111" i="68"/>
  <c r="BB111" i="68"/>
  <c r="BA111" i="68"/>
  <c r="AZ111" i="68"/>
  <c r="AY111" i="68"/>
  <c r="AX111" i="68"/>
  <c r="AW111" i="68"/>
  <c r="N111" i="68"/>
  <c r="AJ110" i="68"/>
  <c r="AI110" i="68"/>
  <c r="AG110" i="68"/>
  <c r="AF110" i="68"/>
  <c r="AD110" i="68"/>
  <c r="AC110" i="68"/>
  <c r="AA110" i="68"/>
  <c r="Z110" i="68"/>
  <c r="O110" i="68"/>
  <c r="AJ109" i="68"/>
  <c r="AI109" i="68"/>
  <c r="AG109" i="68"/>
  <c r="AF109" i="68"/>
  <c r="AD109" i="68"/>
  <c r="AC109" i="68"/>
  <c r="AA109" i="68"/>
  <c r="Z109" i="68"/>
  <c r="O109" i="68"/>
  <c r="AJ108" i="68"/>
  <c r="AI108" i="68"/>
  <c r="AG108" i="68"/>
  <c r="AF108" i="68"/>
  <c r="AD108" i="68"/>
  <c r="AC108" i="68"/>
  <c r="AA108" i="68"/>
  <c r="Z108" i="68"/>
  <c r="O108" i="68"/>
  <c r="AJ107" i="68"/>
  <c r="AI107" i="68"/>
  <c r="AG107" i="68"/>
  <c r="AF107" i="68"/>
  <c r="AD107" i="68"/>
  <c r="AC107" i="68"/>
  <c r="AA107" i="68"/>
  <c r="Z107" i="68"/>
  <c r="O107" i="68"/>
  <c r="AJ106" i="68"/>
  <c r="AI106" i="68"/>
  <c r="AG106" i="68"/>
  <c r="AF106" i="68"/>
  <c r="AD106" i="68"/>
  <c r="AC106" i="68"/>
  <c r="AA106" i="68"/>
  <c r="Z106" i="68"/>
  <c r="BT105" i="68"/>
  <c r="BS105" i="68"/>
  <c r="BR105" i="68"/>
  <c r="BQ105" i="68"/>
  <c r="BP105" i="68"/>
  <c r="BO105" i="68"/>
  <c r="BN105" i="68"/>
  <c r="BM105" i="68"/>
  <c r="BL105" i="68"/>
  <c r="BK105" i="68"/>
  <c r="BJ105" i="68"/>
  <c r="BI105" i="68"/>
  <c r="BH105" i="68"/>
  <c r="BG105" i="68"/>
  <c r="BF105" i="68"/>
  <c r="BE105" i="68"/>
  <c r="BD105" i="68"/>
  <c r="BC105" i="68"/>
  <c r="BB105" i="68"/>
  <c r="BA105" i="68"/>
  <c r="AZ105" i="68"/>
  <c r="AY105" i="68"/>
  <c r="AX105" i="68"/>
  <c r="AW105" i="68"/>
  <c r="N105" i="68"/>
  <c r="O105" i="68" s="1"/>
  <c r="AJ104" i="68"/>
  <c r="AI104" i="68"/>
  <c r="AG104" i="68"/>
  <c r="AF104" i="68"/>
  <c r="AD104" i="68"/>
  <c r="AC104" i="68"/>
  <c r="AA104" i="68"/>
  <c r="Z104" i="68"/>
  <c r="L104" i="68"/>
  <c r="L96" i="68" s="1"/>
  <c r="AJ103" i="68"/>
  <c r="AI103" i="68"/>
  <c r="AG103" i="68"/>
  <c r="AF103" i="68"/>
  <c r="AD103" i="68"/>
  <c r="AC103" i="68"/>
  <c r="AA103" i="68"/>
  <c r="Z103" i="68"/>
  <c r="O103" i="68"/>
  <c r="AJ102" i="68"/>
  <c r="AI102" i="68"/>
  <c r="AG102" i="68"/>
  <c r="AF102" i="68"/>
  <c r="AD102" i="68"/>
  <c r="AC102" i="68"/>
  <c r="AA102" i="68"/>
  <c r="Z102" i="68"/>
  <c r="O102" i="68"/>
  <c r="AJ101" i="68"/>
  <c r="AI101" i="68"/>
  <c r="AG101" i="68"/>
  <c r="AF101" i="68"/>
  <c r="AD101" i="68"/>
  <c r="AC101" i="68"/>
  <c r="AA101" i="68"/>
  <c r="Z101" i="68"/>
  <c r="O101" i="68"/>
  <c r="AJ100" i="68"/>
  <c r="AI100" i="68"/>
  <c r="AG100" i="68"/>
  <c r="AF100" i="68"/>
  <c r="AD100" i="68"/>
  <c r="AC100" i="68"/>
  <c r="AA100" i="68"/>
  <c r="Z100" i="68"/>
  <c r="O100" i="68"/>
  <c r="AJ99" i="68"/>
  <c r="AI99" i="68"/>
  <c r="AG99" i="68"/>
  <c r="AF99" i="68"/>
  <c r="AD99" i="68"/>
  <c r="AC99" i="68"/>
  <c r="AA99" i="68"/>
  <c r="Z99" i="68"/>
  <c r="O99" i="68"/>
  <c r="BG98" i="68"/>
  <c r="AC98" i="68" s="1"/>
  <c r="AJ98" i="68"/>
  <c r="AI98" i="68"/>
  <c r="AG98" i="68"/>
  <c r="AF98" i="68"/>
  <c r="AD98" i="68"/>
  <c r="AA98" i="68"/>
  <c r="Z98" i="68"/>
  <c r="O98" i="68"/>
  <c r="AJ97" i="68"/>
  <c r="AI97" i="68"/>
  <c r="AG97" i="68"/>
  <c r="AF97" i="68"/>
  <c r="AD97" i="68"/>
  <c r="AC97" i="68"/>
  <c r="AA97" i="68"/>
  <c r="Z97" i="68"/>
  <c r="O97" i="68"/>
  <c r="BT96" i="68"/>
  <c r="BS96" i="68"/>
  <c r="BR96" i="68"/>
  <c r="BQ96" i="68"/>
  <c r="BP96" i="68"/>
  <c r="BO96" i="68"/>
  <c r="BN96" i="68"/>
  <c r="BM96" i="68"/>
  <c r="BL96" i="68"/>
  <c r="BK96" i="68"/>
  <c r="BJ96" i="68"/>
  <c r="BI96" i="68"/>
  <c r="BH96" i="68"/>
  <c r="BF96" i="68"/>
  <c r="BE96" i="68"/>
  <c r="BD96" i="68"/>
  <c r="BC96" i="68"/>
  <c r="BB96" i="68"/>
  <c r="BA96" i="68"/>
  <c r="AZ96" i="68"/>
  <c r="AY96" i="68"/>
  <c r="AX96" i="68"/>
  <c r="AW96" i="68"/>
  <c r="S96" i="68"/>
  <c r="Q96" i="68"/>
  <c r="N96" i="68"/>
  <c r="AJ95" i="68"/>
  <c r="AI95" i="68"/>
  <c r="AG95" i="68"/>
  <c r="AF95" i="68"/>
  <c r="AD95" i="68"/>
  <c r="AC95" i="68"/>
  <c r="AA95" i="68"/>
  <c r="Z95" i="68"/>
  <c r="O95" i="68"/>
  <c r="AJ94" i="68"/>
  <c r="AI94" i="68"/>
  <c r="AG94" i="68"/>
  <c r="AF94" i="68"/>
  <c r="AD94" i="68"/>
  <c r="AC94" i="68"/>
  <c r="AA94" i="68"/>
  <c r="Z94" i="68"/>
  <c r="O94" i="68"/>
  <c r="AJ93" i="68"/>
  <c r="AI93" i="68"/>
  <c r="AG93" i="68"/>
  <c r="AF93" i="68"/>
  <c r="AD93" i="68"/>
  <c r="AC93" i="68"/>
  <c r="AA93" i="68"/>
  <c r="Z93" i="68"/>
  <c r="O93" i="68"/>
  <c r="AJ92" i="68"/>
  <c r="AI92" i="68"/>
  <c r="AG92" i="68"/>
  <c r="AF92" i="68"/>
  <c r="AD92" i="68"/>
  <c r="AC92" i="68"/>
  <c r="AA92" i="68"/>
  <c r="Z92" i="68"/>
  <c r="O92" i="68"/>
  <c r="AJ91" i="68"/>
  <c r="AI91" i="68"/>
  <c r="AG91" i="68"/>
  <c r="AF91" i="68"/>
  <c r="AD91" i="68"/>
  <c r="AC91" i="68"/>
  <c r="AA91" i="68"/>
  <c r="Z91" i="68"/>
  <c r="O91" i="68"/>
  <c r="AJ90" i="68"/>
  <c r="AI90" i="68"/>
  <c r="AG90" i="68"/>
  <c r="AF90" i="68"/>
  <c r="AD90" i="68"/>
  <c r="AC90" i="68"/>
  <c r="AA90" i="68"/>
  <c r="Z90" i="68"/>
  <c r="O90" i="68"/>
  <c r="BT89" i="68"/>
  <c r="BS89" i="68"/>
  <c r="BR89" i="68"/>
  <c r="BQ89" i="68"/>
  <c r="BP89" i="68"/>
  <c r="BO89" i="68"/>
  <c r="BN89" i="68"/>
  <c r="BM89" i="68"/>
  <c r="BL89" i="68"/>
  <c r="BK89" i="68"/>
  <c r="BJ89" i="68"/>
  <c r="BI89" i="68"/>
  <c r="BH89" i="68"/>
  <c r="BG89" i="68"/>
  <c r="BF89" i="68"/>
  <c r="BE89" i="68"/>
  <c r="BD89" i="68"/>
  <c r="BC89" i="68"/>
  <c r="BA89" i="68"/>
  <c r="AZ89" i="68"/>
  <c r="AY89" i="68"/>
  <c r="AX89" i="68"/>
  <c r="AW89" i="68"/>
  <c r="N89" i="68"/>
  <c r="L89" i="68"/>
  <c r="S88" i="68"/>
  <c r="Q88" i="68"/>
  <c r="AJ87" i="68"/>
  <c r="AI87" i="68"/>
  <c r="AG87" i="68"/>
  <c r="AF87" i="68"/>
  <c r="AD87" i="68"/>
  <c r="AC87" i="68"/>
  <c r="AA87" i="68"/>
  <c r="Z87" i="68"/>
  <c r="O87" i="68"/>
  <c r="AJ85" i="68"/>
  <c r="AI85" i="68"/>
  <c r="AG85" i="68"/>
  <c r="AF85" i="68"/>
  <c r="AD85" i="68"/>
  <c r="AC85" i="68"/>
  <c r="AA85" i="68"/>
  <c r="Z85" i="68"/>
  <c r="O85" i="68"/>
  <c r="AJ84" i="68"/>
  <c r="AI84" i="68"/>
  <c r="AG84" i="68"/>
  <c r="AF84" i="68"/>
  <c r="AD84" i="68"/>
  <c r="AC84" i="68"/>
  <c r="AA84" i="68"/>
  <c r="Z84" i="68"/>
  <c r="L84" i="68"/>
  <c r="O84" i="68" s="1"/>
  <c r="AJ83" i="68"/>
  <c r="AI83" i="68"/>
  <c r="AG83" i="68"/>
  <c r="AF83" i="68"/>
  <c r="AD83" i="68"/>
  <c r="AC83" i="68"/>
  <c r="AA83" i="68"/>
  <c r="Z83" i="68"/>
  <c r="O83" i="68"/>
  <c r="BS82" i="68"/>
  <c r="AI82" i="68" s="1"/>
  <c r="AJ82" i="68"/>
  <c r="AG82" i="68"/>
  <c r="AF82" i="68"/>
  <c r="AD82" i="68"/>
  <c r="AC82" i="68"/>
  <c r="AA82" i="68"/>
  <c r="Z82" i="68"/>
  <c r="L82" i="68"/>
  <c r="O82" i="68" s="1"/>
  <c r="AJ81" i="68"/>
  <c r="AI81" i="68"/>
  <c r="AG81" i="68"/>
  <c r="AF81" i="68"/>
  <c r="AD81" i="68"/>
  <c r="AC81" i="68"/>
  <c r="AA81" i="68"/>
  <c r="Z81" i="68"/>
  <c r="L81" i="68"/>
  <c r="O81" i="68" s="1"/>
  <c r="BS80" i="68"/>
  <c r="AJ80" i="68"/>
  <c r="AG80" i="68"/>
  <c r="AF80" i="68"/>
  <c r="AD80" i="68"/>
  <c r="AC80" i="68"/>
  <c r="AA80" i="68"/>
  <c r="Z80" i="68"/>
  <c r="O80" i="68"/>
  <c r="AJ79" i="68"/>
  <c r="AI79" i="68"/>
  <c r="AG79" i="68"/>
  <c r="AF79" i="68"/>
  <c r="AD79" i="68"/>
  <c r="AC79" i="68"/>
  <c r="AA79" i="68"/>
  <c r="Z79" i="68"/>
  <c r="O79" i="68"/>
  <c r="AJ78" i="68"/>
  <c r="AI78" i="68"/>
  <c r="AG78" i="68"/>
  <c r="AF78" i="68"/>
  <c r="AD78" i="68"/>
  <c r="AC78" i="68"/>
  <c r="AA78" i="68"/>
  <c r="Z78" i="68"/>
  <c r="O78" i="68"/>
  <c r="AJ77" i="68"/>
  <c r="AI77" i="68"/>
  <c r="AG77" i="68"/>
  <c r="AF77" i="68"/>
  <c r="AD77" i="68"/>
  <c r="AC77" i="68"/>
  <c r="AA77" i="68"/>
  <c r="Z77" i="68"/>
  <c r="O77" i="68"/>
  <c r="BS76" i="68"/>
  <c r="BQ76" i="68"/>
  <c r="BP76" i="68"/>
  <c r="BO76" i="68"/>
  <c r="BL76" i="68"/>
  <c r="AG76" i="68" s="1"/>
  <c r="BK76" i="68"/>
  <c r="AF76" i="68" s="1"/>
  <c r="BC76" i="68"/>
  <c r="BA76" i="68"/>
  <c r="AY76" i="68"/>
  <c r="AD76" i="68"/>
  <c r="AC76" i="68"/>
  <c r="AA76" i="68"/>
  <c r="L76" i="68"/>
  <c r="O76" i="68" s="1"/>
  <c r="BS75" i="68"/>
  <c r="BP75" i="68"/>
  <c r="AJ75" i="68" s="1"/>
  <c r="BO75" i="68"/>
  <c r="BL75" i="68"/>
  <c r="BK75" i="68"/>
  <c r="BK73" i="68" s="1"/>
  <c r="AD75" i="68"/>
  <c r="AC75" i="68"/>
  <c r="AA75" i="68"/>
  <c r="Z75" i="68"/>
  <c r="O75" i="68"/>
  <c r="BS74" i="68"/>
  <c r="BQ74" i="68"/>
  <c r="BQ73" i="68" s="1"/>
  <c r="BO74" i="68"/>
  <c r="BM74" i="68"/>
  <c r="BM73" i="68" s="1"/>
  <c r="BK74" i="68"/>
  <c r="BI74" i="68"/>
  <c r="BI73" i="68" s="1"/>
  <c r="BG74" i="68"/>
  <c r="BG73" i="68" s="1"/>
  <c r="BE74" i="68"/>
  <c r="BE73" i="68" s="1"/>
  <c r="BC74" i="68"/>
  <c r="BC73" i="68" s="1"/>
  <c r="BA74" i="68"/>
  <c r="AY74" i="68"/>
  <c r="AJ74" i="68"/>
  <c r="AG74" i="68"/>
  <c r="AD74" i="68"/>
  <c r="AA74" i="68"/>
  <c r="L74" i="68"/>
  <c r="L73" i="68" s="1"/>
  <c r="O73" i="68" s="1"/>
  <c r="BT73" i="68"/>
  <c r="BR73" i="68"/>
  <c r="BN73" i="68"/>
  <c r="BJ73" i="68"/>
  <c r="BH73" i="68"/>
  <c r="BF73" i="68"/>
  <c r="BD73" i="68"/>
  <c r="BB73" i="68"/>
  <c r="AZ73" i="68"/>
  <c r="AX73" i="68"/>
  <c r="AW73" i="68"/>
  <c r="S73" i="68"/>
  <c r="Q73" i="68"/>
  <c r="BK72" i="68"/>
  <c r="BK71" i="68" s="1"/>
  <c r="BI72" i="68"/>
  <c r="BG72" i="68"/>
  <c r="BG71" i="68" s="1"/>
  <c r="BE72" i="68"/>
  <c r="BE71" i="68" s="1"/>
  <c r="BC72" i="68"/>
  <c r="BB72" i="68"/>
  <c r="AA72" i="68" s="1"/>
  <c r="AY72" i="68"/>
  <c r="AY71" i="68" s="1"/>
  <c r="AJ72" i="68"/>
  <c r="AI72" i="68"/>
  <c r="AG72" i="68"/>
  <c r="AD72" i="68"/>
  <c r="O72" i="68"/>
  <c r="BT71" i="68"/>
  <c r="BS71" i="68"/>
  <c r="BR71" i="68"/>
  <c r="BQ71" i="68"/>
  <c r="BP71" i="68"/>
  <c r="BO71" i="68"/>
  <c r="BN71" i="68"/>
  <c r="BM71" i="68"/>
  <c r="BL71" i="68"/>
  <c r="BJ71" i="68"/>
  <c r="BH71" i="68"/>
  <c r="BF71" i="68"/>
  <c r="BD71" i="68"/>
  <c r="BA71" i="68"/>
  <c r="AZ71" i="68"/>
  <c r="AX71" i="68"/>
  <c r="AW71" i="68"/>
  <c r="S71" i="68"/>
  <c r="Q71" i="68"/>
  <c r="N71" i="68"/>
  <c r="L71" i="68"/>
  <c r="AJ70" i="68"/>
  <c r="AI70" i="68"/>
  <c r="AG70" i="68"/>
  <c r="AF70" i="68"/>
  <c r="AD70" i="68"/>
  <c r="AC70" i="68"/>
  <c r="AA70" i="68"/>
  <c r="Z70" i="68"/>
  <c r="O70" i="68"/>
  <c r="AJ69" i="68"/>
  <c r="AI69" i="68"/>
  <c r="AG69" i="68"/>
  <c r="AF69" i="68"/>
  <c r="AD69" i="68"/>
  <c r="AC69" i="68"/>
  <c r="AA69" i="68"/>
  <c r="Z69" i="68"/>
  <c r="O69" i="68"/>
  <c r="BS68" i="68"/>
  <c r="BR68" i="68"/>
  <c r="BQ68" i="68"/>
  <c r="BP68" i="68"/>
  <c r="BO68" i="68"/>
  <c r="BN68" i="68"/>
  <c r="BM68" i="68"/>
  <c r="BL68" i="68"/>
  <c r="BK68" i="68"/>
  <c r="BJ68" i="68"/>
  <c r="BI68" i="68"/>
  <c r="BH68" i="68"/>
  <c r="BG68" i="68"/>
  <c r="BF68" i="68"/>
  <c r="BE68" i="68"/>
  <c r="BD68" i="68"/>
  <c r="BC68" i="68"/>
  <c r="BB68" i="68"/>
  <c r="BA68" i="68"/>
  <c r="AZ68" i="68"/>
  <c r="AY68" i="68"/>
  <c r="AX68" i="68"/>
  <c r="AW68" i="68"/>
  <c r="S68" i="68"/>
  <c r="Q68" i="68"/>
  <c r="N68" i="68"/>
  <c r="L68" i="68"/>
  <c r="BQ67" i="68"/>
  <c r="AJ67" i="68"/>
  <c r="AG67" i="68"/>
  <c r="AF67" i="68"/>
  <c r="AD67" i="68"/>
  <c r="AC67" i="68"/>
  <c r="AA67" i="68"/>
  <c r="Z67" i="68"/>
  <c r="O67" i="68"/>
  <c r="AJ66" i="68"/>
  <c r="AI66" i="68"/>
  <c r="AG66" i="68"/>
  <c r="AF66" i="68"/>
  <c r="AD66" i="68"/>
  <c r="AC66" i="68"/>
  <c r="AA66" i="68"/>
  <c r="Z66" i="68"/>
  <c r="O66" i="68"/>
  <c r="AJ65" i="68"/>
  <c r="AI65" i="68"/>
  <c r="AG65" i="68"/>
  <c r="AF65" i="68"/>
  <c r="AD65" i="68"/>
  <c r="AC65" i="68"/>
  <c r="AA65" i="68"/>
  <c r="Z65" i="68"/>
  <c r="O65" i="68"/>
  <c r="BC64" i="68"/>
  <c r="AJ64" i="68"/>
  <c r="AI64" i="68"/>
  <c r="AG64" i="68"/>
  <c r="AF64" i="68"/>
  <c r="AD64" i="68"/>
  <c r="AA64" i="68"/>
  <c r="Z64" i="68"/>
  <c r="O64" i="68"/>
  <c r="BT63" i="68"/>
  <c r="BS63" i="68"/>
  <c r="BR63" i="68"/>
  <c r="BP63" i="68"/>
  <c r="BO63" i="68"/>
  <c r="BN63" i="68"/>
  <c r="BM63" i="68"/>
  <c r="BL63" i="68"/>
  <c r="BK63" i="68"/>
  <c r="BJ63" i="68"/>
  <c r="BI63" i="68"/>
  <c r="BH63" i="68"/>
  <c r="BG63" i="68"/>
  <c r="BF63" i="68"/>
  <c r="BE63" i="68"/>
  <c r="BD63" i="68"/>
  <c r="BB63" i="68"/>
  <c r="BA63" i="68"/>
  <c r="AZ63" i="68"/>
  <c r="AY63" i="68"/>
  <c r="AX63" i="68"/>
  <c r="AW63" i="68"/>
  <c r="S63" i="68"/>
  <c r="Q63" i="68"/>
  <c r="N63" i="68"/>
  <c r="L63" i="68"/>
  <c r="BS62" i="68"/>
  <c r="BS58" i="68" s="1"/>
  <c r="BQ62" i="68"/>
  <c r="BQ58" i="68" s="1"/>
  <c r="BO62" i="68"/>
  <c r="AI62" i="68" s="1"/>
  <c r="AJ62" i="68"/>
  <c r="AG62" i="68"/>
  <c r="AF62" i="68"/>
  <c r="AD62" i="68"/>
  <c r="AC62" i="68"/>
  <c r="AA62" i="68"/>
  <c r="Z62" i="68"/>
  <c r="L62" i="68"/>
  <c r="L58" i="68" s="1"/>
  <c r="BM61" i="68"/>
  <c r="AJ61" i="68"/>
  <c r="AI61" i="68"/>
  <c r="AG61" i="68"/>
  <c r="AF61" i="68"/>
  <c r="AD61" i="68"/>
  <c r="AC61" i="68"/>
  <c r="AA61" i="68"/>
  <c r="Z61" i="68"/>
  <c r="O61" i="68"/>
  <c r="BG60" i="68"/>
  <c r="BG58" i="68" s="1"/>
  <c r="BE60" i="68"/>
  <c r="BE58" i="68" s="1"/>
  <c r="BC60" i="68"/>
  <c r="BC58" i="68" s="1"/>
  <c r="BA60" i="68"/>
  <c r="Z60" i="68" s="1"/>
  <c r="AJ60" i="68"/>
  <c r="AI60" i="68"/>
  <c r="AG60" i="68"/>
  <c r="AF60" i="68"/>
  <c r="AD60" i="68"/>
  <c r="AC60" i="68"/>
  <c r="AA60" i="68"/>
  <c r="O60" i="68"/>
  <c r="L60" i="68"/>
  <c r="AJ59" i="68"/>
  <c r="AI59" i="68"/>
  <c r="AG59" i="68"/>
  <c r="AF59" i="68"/>
  <c r="AD59" i="68"/>
  <c r="AC59" i="68"/>
  <c r="AA59" i="68"/>
  <c r="Z59" i="68"/>
  <c r="O59" i="68"/>
  <c r="L59" i="68"/>
  <c r="BT58" i="68"/>
  <c r="BR58" i="68"/>
  <c r="BP58" i="68"/>
  <c r="BN58" i="68"/>
  <c r="BM58" i="68"/>
  <c r="BL58" i="68"/>
  <c r="BK58" i="68"/>
  <c r="BJ58" i="68"/>
  <c r="BI58" i="68"/>
  <c r="BH58" i="68"/>
  <c r="BF58" i="68"/>
  <c r="BD58" i="68"/>
  <c r="BB58" i="68"/>
  <c r="BA58" i="68"/>
  <c r="AZ58" i="68"/>
  <c r="AY58" i="68"/>
  <c r="AX58" i="68"/>
  <c r="AW58" i="68"/>
  <c r="S58" i="68"/>
  <c r="Q58" i="68"/>
  <c r="N58" i="68"/>
  <c r="BS57" i="68"/>
  <c r="AI57" i="68" s="1"/>
  <c r="AJ57" i="68"/>
  <c r="AG57" i="68"/>
  <c r="AF57" i="68"/>
  <c r="AD57" i="68"/>
  <c r="AC57" i="68"/>
  <c r="AA57" i="68"/>
  <c r="Z57" i="68"/>
  <c r="O57" i="68"/>
  <c r="AJ56" i="68"/>
  <c r="AI56" i="68"/>
  <c r="AG56" i="68"/>
  <c r="AF56" i="68"/>
  <c r="AD56" i="68"/>
  <c r="AC56" i="68"/>
  <c r="AA56" i="68"/>
  <c r="Z56" i="68"/>
  <c r="O56" i="68"/>
  <c r="BS55" i="68"/>
  <c r="BP55" i="68"/>
  <c r="AJ55" i="68" s="1"/>
  <c r="BO55" i="68"/>
  <c r="BL55" i="68"/>
  <c r="BL54" i="68" s="1"/>
  <c r="BK55" i="68"/>
  <c r="AF55" i="68" s="1"/>
  <c r="AD55" i="68"/>
  <c r="AC55" i="68"/>
  <c r="AA55" i="68"/>
  <c r="Z55" i="68"/>
  <c r="L55" i="68"/>
  <c r="O55" i="68" s="1"/>
  <c r="BT54" i="68"/>
  <c r="BR54" i="68"/>
  <c r="BQ54" i="68"/>
  <c r="BO54" i="68"/>
  <c r="BN54" i="68"/>
  <c r="BM54" i="68"/>
  <c r="BJ54" i="68"/>
  <c r="BI54" i="68"/>
  <c r="BH54" i="68"/>
  <c r="BG54" i="68"/>
  <c r="BF54" i="68"/>
  <c r="BE54" i="68"/>
  <c r="BD54" i="68"/>
  <c r="BC54" i="68"/>
  <c r="BB54" i="68"/>
  <c r="BA54" i="68"/>
  <c r="AZ54" i="68"/>
  <c r="AY54" i="68"/>
  <c r="AX54" i="68"/>
  <c r="AW54" i="68"/>
  <c r="S54" i="68"/>
  <c r="Q54" i="68"/>
  <c r="BS53" i="68"/>
  <c r="AI53" i="68" s="1"/>
  <c r="AJ53" i="68"/>
  <c r="AG53" i="68"/>
  <c r="AF53" i="68"/>
  <c r="AD53" i="68"/>
  <c r="AC53" i="68"/>
  <c r="AA53" i="68"/>
  <c r="Z53" i="68"/>
  <c r="O53" i="68"/>
  <c r="BT52" i="68"/>
  <c r="BR52" i="68"/>
  <c r="BQ52" i="68"/>
  <c r="BP52" i="68"/>
  <c r="BO52" i="68"/>
  <c r="BN52" i="68"/>
  <c r="BM52" i="68"/>
  <c r="BL52" i="68"/>
  <c r="BK52" i="68"/>
  <c r="BJ52" i="68"/>
  <c r="BI52" i="68"/>
  <c r="BH52" i="68"/>
  <c r="BG52" i="68"/>
  <c r="BF52" i="68"/>
  <c r="BE52" i="68"/>
  <c r="BD52" i="68"/>
  <c r="BC52" i="68"/>
  <c r="BB52" i="68"/>
  <c r="BA52" i="68"/>
  <c r="AZ52" i="68"/>
  <c r="AY52" i="68"/>
  <c r="AX52" i="68"/>
  <c r="AW52" i="68"/>
  <c r="S52" i="68"/>
  <c r="Q52" i="68"/>
  <c r="L52" i="68"/>
  <c r="P52" i="68" s="1"/>
  <c r="BS51" i="68"/>
  <c r="AI51" i="68" s="1"/>
  <c r="BQ51" i="68"/>
  <c r="AJ51" i="68"/>
  <c r="AG51" i="68"/>
  <c r="AF51" i="68"/>
  <c r="AD51" i="68"/>
  <c r="AC51" i="68"/>
  <c r="AA51" i="68"/>
  <c r="Z51" i="68"/>
  <c r="O51" i="68"/>
  <c r="BS50" i="68"/>
  <c r="AI50" i="68" s="1"/>
  <c r="BG50" i="68"/>
  <c r="BG49" i="68" s="1"/>
  <c r="BE50" i="68"/>
  <c r="BE49" i="68" s="1"/>
  <c r="BC50" i="68"/>
  <c r="BA50" i="68"/>
  <c r="BA49" i="68" s="1"/>
  <c r="AY50" i="68"/>
  <c r="AY49" i="68" s="1"/>
  <c r="AJ50" i="68"/>
  <c r="AG50" i="68"/>
  <c r="AF50" i="68"/>
  <c r="AD50" i="68"/>
  <c r="AA50" i="68"/>
  <c r="O50" i="68"/>
  <c r="BT49" i="68"/>
  <c r="BR49" i="68"/>
  <c r="BQ49" i="68"/>
  <c r="BP49" i="68"/>
  <c r="BO49" i="68"/>
  <c r="BN49" i="68"/>
  <c r="BM49" i="68"/>
  <c r="BL49" i="68"/>
  <c r="BK49" i="68"/>
  <c r="BJ49" i="68"/>
  <c r="BI49" i="68"/>
  <c r="BH49" i="68"/>
  <c r="BF49" i="68"/>
  <c r="BD49" i="68"/>
  <c r="BB49" i="68"/>
  <c r="AZ49" i="68"/>
  <c r="AX49" i="68"/>
  <c r="AW49" i="68"/>
  <c r="S49" i="68"/>
  <c r="Q49" i="68"/>
  <c r="BS48" i="68"/>
  <c r="BS46" i="68" s="1"/>
  <c r="BM46" i="68"/>
  <c r="AJ48" i="68"/>
  <c r="AG48" i="68"/>
  <c r="AF48" i="68"/>
  <c r="AD48" i="68"/>
  <c r="AC48" i="68"/>
  <c r="AA48" i="68"/>
  <c r="Z48" i="68"/>
  <c r="O48" i="68"/>
  <c r="AJ47" i="68"/>
  <c r="AI47" i="68"/>
  <c r="AG47" i="68"/>
  <c r="AF47" i="68"/>
  <c r="AD47" i="68"/>
  <c r="AC47" i="68"/>
  <c r="AA47" i="68"/>
  <c r="Z47" i="68"/>
  <c r="L47" i="68"/>
  <c r="L46" i="68" s="1"/>
  <c r="BT46" i="68"/>
  <c r="BR46" i="68"/>
  <c r="BQ46" i="68"/>
  <c r="BP46" i="68"/>
  <c r="BN46" i="68"/>
  <c r="BL46" i="68"/>
  <c r="BK46" i="68"/>
  <c r="BJ46" i="68"/>
  <c r="BI46" i="68"/>
  <c r="BH46" i="68"/>
  <c r="BG46" i="68"/>
  <c r="BF46" i="68"/>
  <c r="BE46" i="68"/>
  <c r="BD46" i="68"/>
  <c r="BC46" i="68"/>
  <c r="BB46" i="68"/>
  <c r="BA46" i="68"/>
  <c r="AZ46" i="68"/>
  <c r="AY46" i="68"/>
  <c r="AX46" i="68"/>
  <c r="AW46" i="68"/>
  <c r="S46" i="68"/>
  <c r="Q46" i="68"/>
  <c r="AJ45" i="68"/>
  <c r="AI45" i="68"/>
  <c r="AG45" i="68"/>
  <c r="AF45" i="68"/>
  <c r="AD45" i="68"/>
  <c r="AC45" i="68"/>
  <c r="AA45" i="68"/>
  <c r="Z45" i="68"/>
  <c r="O45" i="68"/>
  <c r="BP44" i="68"/>
  <c r="BO44" i="68"/>
  <c r="AI44" i="68" s="1"/>
  <c r="BB44" i="68"/>
  <c r="AA44" i="68" s="1"/>
  <c r="BA44" i="68"/>
  <c r="BA40" i="68" s="1"/>
  <c r="AJ44" i="68"/>
  <c r="AG44" i="68"/>
  <c r="AF44" i="68"/>
  <c r="AD44" i="68"/>
  <c r="AC44" i="68"/>
  <c r="O44" i="68"/>
  <c r="BS43" i="68"/>
  <c r="AI43" i="68" s="1"/>
  <c r="AJ43" i="68"/>
  <c r="AG43" i="68"/>
  <c r="AF43" i="68"/>
  <c r="AD43" i="68"/>
  <c r="AC43" i="68"/>
  <c r="AA43" i="68"/>
  <c r="Z43" i="68"/>
  <c r="O43" i="68"/>
  <c r="BS42" i="68"/>
  <c r="AI42" i="68" s="1"/>
  <c r="AJ42" i="68"/>
  <c r="AG42" i="68"/>
  <c r="AF42" i="68"/>
  <c r="AD42" i="68"/>
  <c r="AC42" i="68"/>
  <c r="AA42" i="68"/>
  <c r="Z42" i="68"/>
  <c r="O42" i="68"/>
  <c r="AJ41" i="68"/>
  <c r="AI41" i="68"/>
  <c r="AG41" i="68"/>
  <c r="AF41" i="68"/>
  <c r="AD41" i="68"/>
  <c r="AC41" i="68"/>
  <c r="AA41" i="68"/>
  <c r="Z41" i="68"/>
  <c r="L41" i="68"/>
  <c r="L40" i="68" s="1"/>
  <c r="BT40" i="68"/>
  <c r="BR40" i="68"/>
  <c r="BQ40" i="68"/>
  <c r="BP40" i="68"/>
  <c r="BN40" i="68"/>
  <c r="BM40" i="68"/>
  <c r="BL40" i="68"/>
  <c r="BK40" i="68"/>
  <c r="BJ40" i="68"/>
  <c r="BI40" i="68"/>
  <c r="BH40" i="68"/>
  <c r="BG40" i="68"/>
  <c r="BF40" i="68"/>
  <c r="BE40" i="68"/>
  <c r="BD40" i="68"/>
  <c r="BC40" i="68"/>
  <c r="AZ40" i="68"/>
  <c r="AY40" i="68"/>
  <c r="AX40" i="68"/>
  <c r="AW40" i="68"/>
  <c r="S40" i="68"/>
  <c r="Q40" i="68"/>
  <c r="BS39" i="68"/>
  <c r="BQ39" i="68"/>
  <c r="BO39" i="68"/>
  <c r="BM39" i="68"/>
  <c r="BK39" i="68"/>
  <c r="BI39" i="68"/>
  <c r="BG39" i="68"/>
  <c r="BE39" i="68"/>
  <c r="BC39" i="68"/>
  <c r="BA39" i="68"/>
  <c r="AY39" i="68"/>
  <c r="AJ39" i="68"/>
  <c r="AG39" i="68"/>
  <c r="AD39" i="68"/>
  <c r="AA39" i="68"/>
  <c r="L39" i="68"/>
  <c r="O39" i="68" s="1"/>
  <c r="AJ38" i="68"/>
  <c r="AI38" i="68"/>
  <c r="AG38" i="68"/>
  <c r="AF38" i="68"/>
  <c r="AD38" i="68"/>
  <c r="AC38" i="68"/>
  <c r="AA38" i="68"/>
  <c r="Z38" i="68"/>
  <c r="O38" i="68"/>
  <c r="BK37" i="68"/>
  <c r="AJ37" i="68"/>
  <c r="AI37" i="68"/>
  <c r="AG37" i="68"/>
  <c r="AF37" i="68"/>
  <c r="AD37" i="68"/>
  <c r="AC37" i="68"/>
  <c r="AA37" i="68"/>
  <c r="Z37" i="68"/>
  <c r="O37" i="68"/>
  <c r="BS36" i="68"/>
  <c r="BR36" i="68"/>
  <c r="BQ36" i="68"/>
  <c r="BP36" i="68"/>
  <c r="BO36" i="68"/>
  <c r="BN36" i="68"/>
  <c r="BM36" i="68"/>
  <c r="BL36" i="68"/>
  <c r="BK36" i="68"/>
  <c r="BJ36" i="68"/>
  <c r="BI36" i="68"/>
  <c r="BH36" i="68"/>
  <c r="BG36" i="68"/>
  <c r="BF36" i="68"/>
  <c r="BE36" i="68"/>
  <c r="BD36" i="68"/>
  <c r="BC36" i="68"/>
  <c r="BB36" i="68"/>
  <c r="BA36" i="68"/>
  <c r="AZ36" i="68"/>
  <c r="AY36" i="68"/>
  <c r="AX36" i="68"/>
  <c r="AW36" i="68"/>
  <c r="S36" i="68"/>
  <c r="Q36" i="68"/>
  <c r="N36" i="68"/>
  <c r="L36" i="68"/>
  <c r="AJ35" i="68"/>
  <c r="AI35" i="68"/>
  <c r="AG35" i="68"/>
  <c r="AF35" i="68"/>
  <c r="AD35" i="68"/>
  <c r="AC35" i="68"/>
  <c r="AA35" i="68"/>
  <c r="Z35" i="68"/>
  <c r="O35" i="68"/>
  <c r="AJ34" i="68"/>
  <c r="AI34" i="68"/>
  <c r="AG34" i="68"/>
  <c r="AF34" i="68"/>
  <c r="AD34" i="68"/>
  <c r="AC34" i="68"/>
  <c r="AA34" i="68"/>
  <c r="Z34" i="68"/>
  <c r="O34" i="68"/>
  <c r="AJ33" i="68"/>
  <c r="AI33" i="68"/>
  <c r="AG33" i="68"/>
  <c r="AF33" i="68"/>
  <c r="AD33" i="68"/>
  <c r="AC33" i="68"/>
  <c r="AA33" i="68"/>
  <c r="Z33" i="68"/>
  <c r="O33" i="68"/>
  <c r="AJ32" i="68"/>
  <c r="AI32" i="68"/>
  <c r="AG32" i="68"/>
  <c r="AF32" i="68"/>
  <c r="AD32" i="68"/>
  <c r="AC32" i="68"/>
  <c r="AA32" i="68"/>
  <c r="Z32" i="68"/>
  <c r="S32" i="68"/>
  <c r="Q32" i="68"/>
  <c r="L32" i="68"/>
  <c r="AJ31" i="68"/>
  <c r="AI31" i="68"/>
  <c r="AG31" i="68"/>
  <c r="AF31" i="68"/>
  <c r="AD31" i="68"/>
  <c r="AC31" i="68"/>
  <c r="AA31" i="68"/>
  <c r="Z31" i="68"/>
  <c r="S31" i="68"/>
  <c r="Q31" i="68"/>
  <c r="L31" i="68"/>
  <c r="AJ30" i="68"/>
  <c r="AI30" i="68"/>
  <c r="AG30" i="68"/>
  <c r="AF30" i="68"/>
  <c r="AD30" i="68"/>
  <c r="AC30" i="68"/>
  <c r="AA30" i="68"/>
  <c r="Z30" i="68"/>
  <c r="Q30" i="68"/>
  <c r="O30" i="68"/>
  <c r="BT29" i="68"/>
  <c r="BS29" i="68"/>
  <c r="BR29" i="68"/>
  <c r="BQ29" i="68"/>
  <c r="BP29" i="68"/>
  <c r="BO29" i="68"/>
  <c r="BN29" i="68"/>
  <c r="BM29" i="68"/>
  <c r="BL29" i="68"/>
  <c r="BK29" i="68"/>
  <c r="BJ29" i="68"/>
  <c r="BI29" i="68"/>
  <c r="BH29" i="68"/>
  <c r="BG29" i="68"/>
  <c r="BF29" i="68"/>
  <c r="BE29" i="68"/>
  <c r="BD29" i="68"/>
  <c r="BC29" i="68"/>
  <c r="BB29" i="68"/>
  <c r="BA29" i="68"/>
  <c r="AZ29" i="68"/>
  <c r="AY29" i="68"/>
  <c r="AX29" i="68"/>
  <c r="AW29" i="68"/>
  <c r="BS27" i="68"/>
  <c r="BR27" i="68"/>
  <c r="BQ27" i="68"/>
  <c r="BP27" i="68"/>
  <c r="BO27" i="68"/>
  <c r="BN27" i="68"/>
  <c r="BM27" i="68"/>
  <c r="BL27" i="68"/>
  <c r="BK27" i="68"/>
  <c r="BJ27" i="68"/>
  <c r="AG27" i="68" s="1"/>
  <c r="BI27" i="68"/>
  <c r="BH27" i="68"/>
  <c r="BG27" i="68"/>
  <c r="AD27" i="68"/>
  <c r="BE27" i="68"/>
  <c r="BC27" i="68"/>
  <c r="BA27" i="68"/>
  <c r="Z27" i="68" s="1"/>
  <c r="AJ27" i="68"/>
  <c r="AA27" i="68"/>
  <c r="O27" i="68"/>
  <c r="AJ26" i="68"/>
  <c r="AI26" i="68"/>
  <c r="AG26" i="68"/>
  <c r="AF26" i="68"/>
  <c r="AD26" i="68"/>
  <c r="AC26" i="68"/>
  <c r="AA26" i="68"/>
  <c r="Z26" i="68"/>
  <c r="S26" i="68"/>
  <c r="S23" i="68" s="1"/>
  <c r="Q26" i="68"/>
  <c r="O26" i="68"/>
  <c r="AJ25" i="68"/>
  <c r="AI25" i="68"/>
  <c r="AG25" i="68"/>
  <c r="AF25" i="68"/>
  <c r="AD25" i="68"/>
  <c r="AC25" i="68"/>
  <c r="AA25" i="68"/>
  <c r="Z25" i="68"/>
  <c r="O25" i="68"/>
  <c r="AY24" i="68"/>
  <c r="AY23" i="68" s="1"/>
  <c r="AJ24" i="68"/>
  <c r="AI24" i="68"/>
  <c r="AG24" i="68"/>
  <c r="AF24" i="68"/>
  <c r="AD24" i="68"/>
  <c r="AC24" i="68"/>
  <c r="AA24" i="68"/>
  <c r="O24" i="68"/>
  <c r="BS23" i="68"/>
  <c r="BR23" i="68"/>
  <c r="BQ23" i="68"/>
  <c r="BP23" i="68"/>
  <c r="BO23" i="68"/>
  <c r="BN23" i="68"/>
  <c r="BM23" i="68"/>
  <c r="BL23" i="68"/>
  <c r="BK23" i="68"/>
  <c r="BJ23" i="68"/>
  <c r="BI23" i="68"/>
  <c r="BH23" i="68"/>
  <c r="BG23" i="68"/>
  <c r="BF23" i="68"/>
  <c r="BE23" i="68"/>
  <c r="BD23" i="68"/>
  <c r="BC23" i="68"/>
  <c r="BB23" i="68"/>
  <c r="BA23" i="68"/>
  <c r="AZ23" i="68"/>
  <c r="AX23" i="68"/>
  <c r="AW23" i="68"/>
  <c r="Q23" i="68"/>
  <c r="N23" i="68"/>
  <c r="L23" i="68"/>
  <c r="BO22" i="68"/>
  <c r="BO17" i="68" s="1"/>
  <c r="BI22" i="68"/>
  <c r="AF22" i="68" s="1"/>
  <c r="BC22" i="68"/>
  <c r="AC22" i="68" s="1"/>
  <c r="AJ22" i="68"/>
  <c r="AI22" i="68"/>
  <c r="AG22" i="68"/>
  <c r="AD22" i="68"/>
  <c r="AA22" i="68"/>
  <c r="Z22" i="68"/>
  <c r="S22" i="68"/>
  <c r="Q22" i="68"/>
  <c r="L22" i="68"/>
  <c r="O22" i="68" s="1"/>
  <c r="O21" i="68"/>
  <c r="AJ20" i="68"/>
  <c r="AI20" i="68"/>
  <c r="AG20" i="68"/>
  <c r="AF20" i="68"/>
  <c r="AD20" i="68"/>
  <c r="AC20" i="68"/>
  <c r="AA20" i="68"/>
  <c r="Z20" i="68"/>
  <c r="S20" i="68"/>
  <c r="Q20" i="68"/>
  <c r="L20" i="68"/>
  <c r="AJ19" i="68"/>
  <c r="AI19" i="68"/>
  <c r="AG19" i="68"/>
  <c r="AF19" i="68"/>
  <c r="AD19" i="68"/>
  <c r="AC19" i="68"/>
  <c r="AA19" i="68"/>
  <c r="Z19" i="68"/>
  <c r="S19" i="68"/>
  <c r="Q19" i="68"/>
  <c r="L19" i="68"/>
  <c r="AJ18" i="68"/>
  <c r="AI18" i="68"/>
  <c r="AG18" i="68"/>
  <c r="AF18" i="68"/>
  <c r="AD18" i="68"/>
  <c r="AC18" i="68"/>
  <c r="AA18" i="68"/>
  <c r="Z18" i="68"/>
  <c r="Q18" i="68"/>
  <c r="O18" i="68"/>
  <c r="BT17" i="68"/>
  <c r="BS17" i="68"/>
  <c r="BR17" i="68"/>
  <c r="BQ17" i="68"/>
  <c r="BP17" i="68"/>
  <c r="BN17" i="68"/>
  <c r="BM17" i="68"/>
  <c r="BL17" i="68"/>
  <c r="BK17" i="68"/>
  <c r="BJ17" i="68"/>
  <c r="BH17" i="68"/>
  <c r="BG17" i="68"/>
  <c r="BF17" i="68"/>
  <c r="BE17" i="68"/>
  <c r="BD17" i="68"/>
  <c r="BC17" i="68"/>
  <c r="BB17" i="68"/>
  <c r="BA17" i="68"/>
  <c r="AZ17" i="68"/>
  <c r="AY17" i="68"/>
  <c r="AX17" i="68"/>
  <c r="AW17" i="68"/>
  <c r="N17" i="68"/>
  <c r="AJ16" i="68"/>
  <c r="AI16" i="68"/>
  <c r="AG16" i="68"/>
  <c r="AF16" i="68"/>
  <c r="AD16" i="68"/>
  <c r="AC16" i="68"/>
  <c r="AA16" i="68"/>
  <c r="Z16" i="68"/>
  <c r="O16" i="68"/>
  <c r="AJ15" i="68"/>
  <c r="AI15" i="68"/>
  <c r="AG15" i="68"/>
  <c r="AF15" i="68"/>
  <c r="AD15" i="68"/>
  <c r="AC15" i="68"/>
  <c r="AA15" i="68"/>
  <c r="Z15" i="68"/>
  <c r="O15" i="68"/>
  <c r="BI14" i="68"/>
  <c r="BG14" i="68"/>
  <c r="BE14" i="68"/>
  <c r="BC14" i="68"/>
  <c r="AJ14" i="68"/>
  <c r="AI14" i="68"/>
  <c r="AG14" i="68"/>
  <c r="AD14" i="68"/>
  <c r="AA14" i="68"/>
  <c r="Z14" i="68"/>
  <c r="O14" i="68"/>
  <c r="AJ13" i="68"/>
  <c r="AI13" i="68"/>
  <c r="AG13" i="68"/>
  <c r="AF13" i="68"/>
  <c r="AD13" i="68"/>
  <c r="AC13" i="68"/>
  <c r="AA13" i="68"/>
  <c r="Z13" i="68"/>
  <c r="O13" i="68"/>
  <c r="AY12" i="68"/>
  <c r="AJ12" i="68"/>
  <c r="AG12" i="68"/>
  <c r="AD12" i="68"/>
  <c r="AC12" i="68"/>
  <c r="AA12" i="68"/>
  <c r="O12" i="68"/>
  <c r="BT8" i="68"/>
  <c r="BG8" i="68"/>
  <c r="BR6" i="68"/>
  <c r="BP6" i="68"/>
  <c r="BN6" i="68"/>
  <c r="W5" i="68"/>
  <c r="T5" i="68"/>
  <c r="M5" i="68"/>
  <c r="AJ4" i="68"/>
  <c r="AI4" i="68"/>
  <c r="AK4" i="68" s="1"/>
  <c r="AG4" i="68"/>
  <c r="AF4" i="68"/>
  <c r="AH4" i="68" s="1"/>
  <c r="AD4" i="68"/>
  <c r="AC4" i="68"/>
  <c r="AE4" i="68" s="1"/>
  <c r="AA4" i="68"/>
  <c r="AN4" i="68" s="1"/>
  <c r="Z4" i="68"/>
  <c r="BT3" i="68"/>
  <c r="BS3" i="68"/>
  <c r="BR3" i="68"/>
  <c r="BQ3" i="68"/>
  <c r="BP3" i="68"/>
  <c r="BO3" i="68"/>
  <c r="BN3" i="68"/>
  <c r="BM3" i="68"/>
  <c r="BL3" i="68"/>
  <c r="BK3" i="68"/>
  <c r="BJ3" i="68"/>
  <c r="BI3" i="68"/>
  <c r="AF3" i="68" s="1"/>
  <c r="BH3" i="68"/>
  <c r="BG3" i="68"/>
  <c r="BF3" i="68"/>
  <c r="AD3" i="68" s="1"/>
  <c r="BE3" i="68"/>
  <c r="BD3" i="68"/>
  <c r="BC3" i="68"/>
  <c r="BB3" i="68"/>
  <c r="BA3" i="68"/>
  <c r="AZ3" i="68"/>
  <c r="AY3" i="68"/>
  <c r="AX3" i="68"/>
  <c r="AA3" i="68" s="1"/>
  <c r="AW3" i="68"/>
  <c r="T3" i="68"/>
  <c r="S3" i="68"/>
  <c r="R3" i="68"/>
  <c r="Q3" i="68"/>
  <c r="P3" i="68"/>
  <c r="O3" i="68"/>
  <c r="N3" i="68"/>
  <c r="M3" i="68"/>
  <c r="L3" i="68"/>
  <c r="AJ193" i="60"/>
  <c r="AI193" i="60"/>
  <c r="AG193" i="60"/>
  <c r="AF193" i="60"/>
  <c r="AD193" i="60"/>
  <c r="AC193" i="60"/>
  <c r="AE193" i="60" s="1"/>
  <c r="AA193" i="60"/>
  <c r="Z193" i="60"/>
  <c r="O193" i="60"/>
  <c r="Q17" i="68" l="1"/>
  <c r="Z39" i="68"/>
  <c r="AF72" i="68"/>
  <c r="Z74" i="68"/>
  <c r="AB74" i="68" s="1"/>
  <c r="AI74" i="68"/>
  <c r="AF75" i="68"/>
  <c r="BP73" i="68"/>
  <c r="AM127" i="68"/>
  <c r="O207" i="68"/>
  <c r="BC328" i="68"/>
  <c r="S287" i="68"/>
  <c r="BJ7" i="68"/>
  <c r="BN7" i="68"/>
  <c r="AM193" i="60"/>
  <c r="BS52" i="68"/>
  <c r="BS54" i="68"/>
  <c r="AH193" i="60"/>
  <c r="AC27" i="68"/>
  <c r="AF39" i="68"/>
  <c r="BO58" i="68"/>
  <c r="BG363" i="68"/>
  <c r="AZ312" i="68"/>
  <c r="BH7" i="68"/>
  <c r="BL7" i="68"/>
  <c r="BF7" i="68"/>
  <c r="BP7" i="68"/>
  <c r="AS365" i="68"/>
  <c r="AV365" i="68" s="1"/>
  <c r="R5" i="68"/>
  <c r="AI48" i="68"/>
  <c r="AK48" i="68" s="1"/>
  <c r="BP54" i="68"/>
  <c r="AJ54" i="68" s="1"/>
  <c r="AI76" i="68"/>
  <c r="BS262" i="68"/>
  <c r="BM283" i="68"/>
  <c r="AF283" i="68" s="1"/>
  <c r="AC39" i="68"/>
  <c r="AE39" i="68" s="1"/>
  <c r="Q29" i="68"/>
  <c r="Q221" i="68" s="1"/>
  <c r="Q223" i="68" s="1"/>
  <c r="Q6" i="68" s="1"/>
  <c r="Z50" i="68"/>
  <c r="AB50" i="68" s="1"/>
  <c r="AC50" i="68"/>
  <c r="AE50" i="68" s="1"/>
  <c r="AG55" i="68"/>
  <c r="AQ55" i="68" s="1"/>
  <c r="BB71" i="68"/>
  <c r="AA71" i="68" s="1"/>
  <c r="BL73" i="68"/>
  <c r="AG73" i="68" s="1"/>
  <c r="AJ76" i="68"/>
  <c r="AI286" i="68"/>
  <c r="AK286" i="68" s="1"/>
  <c r="AC307" i="68"/>
  <c r="AM307" i="68" s="1"/>
  <c r="AI27" i="68"/>
  <c r="AK27" i="68" s="1"/>
  <c r="L350" i="68"/>
  <c r="L54" i="68"/>
  <c r="O54" i="68" s="1"/>
  <c r="BA73" i="68"/>
  <c r="AF74" i="68"/>
  <c r="AH74" i="68" s="1"/>
  <c r="AC263" i="68"/>
  <c r="AP263" i="68" s="1"/>
  <c r="AF297" i="68"/>
  <c r="AH297" i="68" s="1"/>
  <c r="AG3" i="68"/>
  <c r="AQ193" i="60"/>
  <c r="AC3" i="68"/>
  <c r="AE3" i="68" s="1"/>
  <c r="AP193" i="60"/>
  <c r="AR193" i="60" s="1"/>
  <c r="Z3" i="68"/>
  <c r="AM4" i="68"/>
  <c r="O47" i="68"/>
  <c r="AI55" i="68"/>
  <c r="AK55" i="68" s="1"/>
  <c r="AN412" i="68"/>
  <c r="AH3" i="68"/>
  <c r="AT4" i="68"/>
  <c r="BI17" i="68"/>
  <c r="AF17" i="68" s="1"/>
  <c r="S17" i="68"/>
  <c r="O41" i="68"/>
  <c r="Z44" i="68"/>
  <c r="AS44" i="68" s="1"/>
  <c r="BK54" i="68"/>
  <c r="AF54" i="68" s="1"/>
  <c r="O62" i="68"/>
  <c r="BI71" i="68"/>
  <c r="AF71" i="68" s="1"/>
  <c r="Z72" i="68"/>
  <c r="AB72" i="68" s="1"/>
  <c r="AG75" i="68"/>
  <c r="AH75" i="68" s="1"/>
  <c r="AI75" i="68"/>
  <c r="AK75" i="68" s="1"/>
  <c r="BG96" i="68"/>
  <c r="AC96" i="68" s="1"/>
  <c r="AI193" i="68"/>
  <c r="AS193" i="68" s="1"/>
  <c r="O296" i="68"/>
  <c r="BG370" i="68"/>
  <c r="BG414" i="68" s="1"/>
  <c r="Z24" i="68"/>
  <c r="AP24" i="68" s="1"/>
  <c r="AI3" i="68"/>
  <c r="AF27" i="68"/>
  <c r="AP27" i="68" s="1"/>
  <c r="AI39" i="68"/>
  <c r="AK39" i="68" s="1"/>
  <c r="AC74" i="68"/>
  <c r="AE74" i="68" s="1"/>
  <c r="Q287" i="68"/>
  <c r="Q414" i="68" s="1"/>
  <c r="Q417" i="68" s="1"/>
  <c r="Q8" i="68" s="1"/>
  <c r="BM323" i="68"/>
  <c r="AF323" i="68" s="1"/>
  <c r="AJ3" i="68"/>
  <c r="S29" i="68"/>
  <c r="BB40" i="68"/>
  <c r="AA40" i="68" s="1"/>
  <c r="AY73" i="68"/>
  <c r="BO262" i="68"/>
  <c r="BS410" i="68"/>
  <c r="AI410" i="68" s="1"/>
  <c r="R221" i="68"/>
  <c r="R248" i="68" s="1"/>
  <c r="AJ358" i="68"/>
  <c r="BT281" i="68"/>
  <c r="AJ281" i="68" s="1"/>
  <c r="AA370" i="68"/>
  <c r="AF358" i="68"/>
  <c r="BA8" i="68"/>
  <c r="AM356" i="68"/>
  <c r="AK413" i="68"/>
  <c r="AN359" i="68"/>
  <c r="AA323" i="68"/>
  <c r="AA354" i="68"/>
  <c r="AF275" i="68"/>
  <c r="AD254" i="68"/>
  <c r="Z262" i="68"/>
  <c r="AQ266" i="68"/>
  <c r="AF410" i="68"/>
  <c r="BM12" i="68"/>
  <c r="BQ12" i="68"/>
  <c r="O192" i="68"/>
  <c r="AE264" i="68"/>
  <c r="AK302" i="68"/>
  <c r="AH316" i="68"/>
  <c r="AE322" i="68"/>
  <c r="V71" i="68"/>
  <c r="X71" i="68" s="1"/>
  <c r="X285" i="68" s="1"/>
  <c r="O126" i="68"/>
  <c r="AJ262" i="68"/>
  <c r="Z267" i="68"/>
  <c r="AF267" i="68"/>
  <c r="AM268" i="68"/>
  <c r="AN279" i="68"/>
  <c r="Z285" i="68"/>
  <c r="AF285" i="68"/>
  <c r="AM302" i="68"/>
  <c r="AM322" i="68"/>
  <c r="AD323" i="68"/>
  <c r="AP346" i="68"/>
  <c r="AN353" i="68"/>
  <c r="AN394" i="68"/>
  <c r="AK263" i="68"/>
  <c r="AE284" i="68"/>
  <c r="AK284" i="68"/>
  <c r="AH286" i="68"/>
  <c r="AH293" i="68"/>
  <c r="AK296" i="68"/>
  <c r="AK299" i="68"/>
  <c r="AK300" i="68"/>
  <c r="AK301" i="68"/>
  <c r="AB302" i="68"/>
  <c r="AE305" i="68"/>
  <c r="AH306" i="68"/>
  <c r="AH315" i="68"/>
  <c r="AK320" i="68"/>
  <c r="AD355" i="68"/>
  <c r="AC358" i="68"/>
  <c r="AE379" i="68"/>
  <c r="AH381" i="68"/>
  <c r="AK390" i="68"/>
  <c r="AH406" i="68"/>
  <c r="AQ407" i="68"/>
  <c r="AK408" i="68"/>
  <c r="AH412" i="68"/>
  <c r="AS413" i="68"/>
  <c r="AH413" i="68"/>
  <c r="AK113" i="68"/>
  <c r="AE137" i="68"/>
  <c r="X58" i="68"/>
  <c r="X275" i="68" s="1"/>
  <c r="X414" i="68" s="1"/>
  <c r="AK117" i="68"/>
  <c r="AA243" i="68"/>
  <c r="AG243" i="68"/>
  <c r="AM244" i="68"/>
  <c r="AB146" i="68"/>
  <c r="AB150" i="68"/>
  <c r="AH175" i="68"/>
  <c r="AH179" i="68"/>
  <c r="AH183" i="68"/>
  <c r="AK185" i="68"/>
  <c r="AB204" i="68"/>
  <c r="AE242" i="68"/>
  <c r="AK242" i="68"/>
  <c r="AK290" i="68"/>
  <c r="AH305" i="68"/>
  <c r="AK307" i="68"/>
  <c r="AE315" i="68"/>
  <c r="AB317" i="68"/>
  <c r="AK325" i="68"/>
  <c r="AE60" i="68"/>
  <c r="AK60" i="68"/>
  <c r="AE62" i="68"/>
  <c r="AK62" i="68"/>
  <c r="AB64" i="68"/>
  <c r="AE66" i="68"/>
  <c r="AK66" i="68"/>
  <c r="AH113" i="68"/>
  <c r="O174" i="68"/>
  <c r="L173" i="68"/>
  <c r="Z54" i="68"/>
  <c r="AD58" i="68"/>
  <c r="AF58" i="68"/>
  <c r="AE59" i="68"/>
  <c r="AA68" i="68"/>
  <c r="AJ71" i="68"/>
  <c r="BT68" i="68"/>
  <c r="AJ68" i="68" s="1"/>
  <c r="AD73" i="68"/>
  <c r="AJ89" i="68"/>
  <c r="AN99" i="68"/>
  <c r="AM100" i="68"/>
  <c r="AN103" i="68"/>
  <c r="AM104" i="68"/>
  <c r="AA236" i="68"/>
  <c r="AF36" i="68"/>
  <c r="AF52" i="68"/>
  <c r="AD54" i="68"/>
  <c r="L88" i="68"/>
  <c r="O96" i="68"/>
  <c r="O111" i="68"/>
  <c r="O185" i="68"/>
  <c r="L184" i="68"/>
  <c r="O184" i="68" s="1"/>
  <c r="AH260" i="68"/>
  <c r="AH261" i="68"/>
  <c r="AJ327" i="68"/>
  <c r="AH114" i="68"/>
  <c r="Z283" i="68"/>
  <c r="AA405" i="68"/>
  <c r="AD405" i="68"/>
  <c r="AG405" i="68"/>
  <c r="AE69" i="68"/>
  <c r="AF111" i="68"/>
  <c r="O217" i="68"/>
  <c r="AH292" i="68"/>
  <c r="AH295" i="68"/>
  <c r="AB353" i="68"/>
  <c r="AE388" i="68"/>
  <c r="AE392" i="68"/>
  <c r="AH408" i="68"/>
  <c r="Z89" i="68"/>
  <c r="AJ111" i="68"/>
  <c r="AB112" i="68"/>
  <c r="AE114" i="68"/>
  <c r="AK147" i="68"/>
  <c r="AF226" i="68"/>
  <c r="AH13" i="68"/>
  <c r="AK24" i="68"/>
  <c r="AH37" i="68"/>
  <c r="AH98" i="68"/>
  <c r="AK99" i="68"/>
  <c r="AK103" i="68"/>
  <c r="AK205" i="68"/>
  <c r="AB211" i="68"/>
  <c r="AK227" i="68"/>
  <c r="Z236" i="68"/>
  <c r="AE237" i="68"/>
  <c r="AE238" i="68"/>
  <c r="AK238" i="68"/>
  <c r="AB239" i="68"/>
  <c r="O241" i="68"/>
  <c r="AD262" i="68"/>
  <c r="AK367" i="68"/>
  <c r="AM368" i="68"/>
  <c r="AB371" i="68"/>
  <c r="AH374" i="68"/>
  <c r="AE376" i="68"/>
  <c r="AK376" i="68"/>
  <c r="AB378" i="68"/>
  <c r="AI275" i="68"/>
  <c r="BS12" i="68"/>
  <c r="AA111" i="68"/>
  <c r="AD111" i="68"/>
  <c r="AG111" i="68"/>
  <c r="AM113" i="68"/>
  <c r="AM115" i="68"/>
  <c r="AN118" i="68"/>
  <c r="AG140" i="68"/>
  <c r="AM141" i="68"/>
  <c r="AQ144" i="68"/>
  <c r="AN149" i="68"/>
  <c r="AA173" i="68"/>
  <c r="AG173" i="68"/>
  <c r="AA203" i="68"/>
  <c r="Z217" i="68"/>
  <c r="AF217" i="68"/>
  <c r="AD219" i="68"/>
  <c r="AA241" i="68"/>
  <c r="AC243" i="68"/>
  <c r="AF243" i="68"/>
  <c r="Z327" i="68"/>
  <c r="AC327" i="68"/>
  <c r="AF327" i="68"/>
  <c r="AA347" i="68"/>
  <c r="AN374" i="68"/>
  <c r="AC377" i="68"/>
  <c r="AF377" i="68"/>
  <c r="AI377" i="68"/>
  <c r="AN378" i="68"/>
  <c r="BK12" i="68"/>
  <c r="BO12" i="68"/>
  <c r="AJ36" i="68"/>
  <c r="AH213" i="68"/>
  <c r="AE214" i="68"/>
  <c r="AJ217" i="68"/>
  <c r="T248" i="68"/>
  <c r="T415" i="68" s="1"/>
  <c r="AK240" i="68"/>
  <c r="AG323" i="68"/>
  <c r="AH362" i="68"/>
  <c r="AH368" i="68"/>
  <c r="AH372" i="68"/>
  <c r="AH375" i="68"/>
  <c r="AE378" i="68"/>
  <c r="BE228" i="68"/>
  <c r="BE247" i="68" s="1"/>
  <c r="BM228" i="68"/>
  <c r="BM247" i="68" s="1"/>
  <c r="AQ38" i="68"/>
  <c r="Z36" i="68"/>
  <c r="AI36" i="68"/>
  <c r="Z40" i="68"/>
  <c r="AG40" i="68"/>
  <c r="AT41" i="68"/>
  <c r="AG17" i="68"/>
  <c r="AJ17" i="68"/>
  <c r="AN20" i="68"/>
  <c r="AH20" i="68"/>
  <c r="AM22" i="68"/>
  <c r="AC23" i="68"/>
  <c r="AH26" i="68"/>
  <c r="AD29" i="68"/>
  <c r="AD241" i="68"/>
  <c r="AG241" i="68"/>
  <c r="AJ241" i="68"/>
  <c r="AI254" i="68"/>
  <c r="AN255" i="68"/>
  <c r="AK42" i="68"/>
  <c r="AE56" i="68"/>
  <c r="AH59" i="68"/>
  <c r="O63" i="68"/>
  <c r="AQ98" i="68"/>
  <c r="AK112" i="68"/>
  <c r="AB116" i="68"/>
  <c r="AB120" i="68"/>
  <c r="AE144" i="68"/>
  <c r="AM146" i="68"/>
  <c r="AK146" i="68"/>
  <c r="AK149" i="68"/>
  <c r="AB188" i="68"/>
  <c r="AE230" i="68"/>
  <c r="AK230" i="68"/>
  <c r="AK235" i="68"/>
  <c r="AD236" i="68"/>
  <c r="AG236" i="68"/>
  <c r="AJ236" i="68"/>
  <c r="AM237" i="68"/>
  <c r="AH259" i="68"/>
  <c r="AK274" i="68"/>
  <c r="R414" i="68"/>
  <c r="AK276" i="68"/>
  <c r="AH278" i="68"/>
  <c r="AT292" i="68"/>
  <c r="AP293" i="68"/>
  <c r="AN329" i="68"/>
  <c r="AH330" i="68"/>
  <c r="AK351" i="68"/>
  <c r="O355" i="68"/>
  <c r="AE367" i="68"/>
  <c r="AB379" i="68"/>
  <c r="AE380" i="68"/>
  <c r="AK380" i="68"/>
  <c r="AH382" i="68"/>
  <c r="AB389" i="68"/>
  <c r="AJ405" i="68"/>
  <c r="AG96" i="68"/>
  <c r="Z232" i="68"/>
  <c r="AC232" i="68"/>
  <c r="AF232" i="68"/>
  <c r="AI232" i="68"/>
  <c r="AN233" i="68"/>
  <c r="AJ283" i="68"/>
  <c r="AN291" i="68"/>
  <c r="AP292" i="68"/>
  <c r="AN293" i="68"/>
  <c r="AM297" i="68"/>
  <c r="AA327" i="68"/>
  <c r="AD327" i="68"/>
  <c r="AN349" i="68"/>
  <c r="AG350" i="68"/>
  <c r="AQ368" i="68"/>
  <c r="AF370" i="68"/>
  <c r="AI370" i="68"/>
  <c r="AA377" i="68"/>
  <c r="AD377" i="68"/>
  <c r="AG377" i="68"/>
  <c r="AJ377" i="68"/>
  <c r="AN379" i="68"/>
  <c r="AN393" i="68"/>
  <c r="AC405" i="68"/>
  <c r="AF405" i="68"/>
  <c r="AI405" i="68"/>
  <c r="AJ52" i="68"/>
  <c r="AA206" i="68"/>
  <c r="AG206" i="68"/>
  <c r="AM214" i="68"/>
  <c r="AA215" i="68"/>
  <c r="AD215" i="68"/>
  <c r="AJ215" i="68"/>
  <c r="Z17" i="68"/>
  <c r="AE20" i="68"/>
  <c r="AK26" i="68"/>
  <c r="Z29" i="68"/>
  <c r="AF29" i="68"/>
  <c r="AB32" i="68"/>
  <c r="AA36" i="68"/>
  <c r="AD36" i="68"/>
  <c r="AG36" i="68"/>
  <c r="AQ37" i="68"/>
  <c r="AM38" i="68"/>
  <c r="AH38" i="68"/>
  <c r="AH43" i="68"/>
  <c r="AH44" i="68"/>
  <c r="AH66" i="68"/>
  <c r="AA73" i="68"/>
  <c r="AC73" i="68"/>
  <c r="AF73" i="68"/>
  <c r="AJ73" i="68"/>
  <c r="AA105" i="68"/>
  <c r="AJ105" i="68"/>
  <c r="AC111" i="68"/>
  <c r="AI111" i="68"/>
  <c r="AN112" i="68"/>
  <c r="AN114" i="68"/>
  <c r="Z134" i="68"/>
  <c r="AC134" i="68"/>
  <c r="AI134" i="68"/>
  <c r="AP136" i="68"/>
  <c r="AN137" i="68"/>
  <c r="Z140" i="68"/>
  <c r="AC140" i="68"/>
  <c r="AF140" i="68"/>
  <c r="AI140" i="68"/>
  <c r="AC154" i="68"/>
  <c r="Z173" i="68"/>
  <c r="AE175" i="68"/>
  <c r="AP176" i="68"/>
  <c r="AE179" i="68"/>
  <c r="AP180" i="68"/>
  <c r="AE183" i="68"/>
  <c r="Z184" i="68"/>
  <c r="AI184" i="68"/>
  <c r="Z192" i="68"/>
  <c r="AC192" i="68"/>
  <c r="AF192" i="68"/>
  <c r="AI192" i="68"/>
  <c r="AP197" i="68"/>
  <c r="AD203" i="68"/>
  <c r="AG203" i="68"/>
  <c r="AJ203" i="68"/>
  <c r="AP205" i="68"/>
  <c r="AK210" i="68"/>
  <c r="AE218" i="68"/>
  <c r="AK231" i="68"/>
  <c r="AE233" i="68"/>
  <c r="AH268" i="68"/>
  <c r="AK278" i="68"/>
  <c r="AE282" i="68"/>
  <c r="AK282" i="68"/>
  <c r="AB384" i="68"/>
  <c r="AH386" i="68"/>
  <c r="AH387" i="68"/>
  <c r="AM395" i="68"/>
  <c r="AN404" i="68"/>
  <c r="AS353" i="68"/>
  <c r="AV353" i="68" s="1"/>
  <c r="AB19" i="68"/>
  <c r="AG71" i="68"/>
  <c r="AH83" i="68"/>
  <c r="AE84" i="68"/>
  <c r="AB87" i="68"/>
  <c r="BB88" i="68"/>
  <c r="BF88" i="68"/>
  <c r="BN88" i="68"/>
  <c r="AJ96" i="68"/>
  <c r="AE102" i="68"/>
  <c r="AS116" i="68"/>
  <c r="AV116" i="68" s="1"/>
  <c r="AS120" i="68"/>
  <c r="AV120" i="68" s="1"/>
  <c r="AB127" i="68"/>
  <c r="Z154" i="68"/>
  <c r="AW228" i="68"/>
  <c r="AW247" i="68" s="1"/>
  <c r="AH31" i="68"/>
  <c r="AG49" i="68"/>
  <c r="Z52" i="68"/>
  <c r="AI52" i="68"/>
  <c r="AT53" i="68"/>
  <c r="AI71" i="68"/>
  <c r="AB80" i="68"/>
  <c r="AH80" i="68"/>
  <c r="AE81" i="68"/>
  <c r="AK83" i="68"/>
  <c r="AK87" i="68"/>
  <c r="BR88" i="68"/>
  <c r="AZ88" i="68"/>
  <c r="BH88" i="68"/>
  <c r="BL88" i="68"/>
  <c r="BP88" i="68"/>
  <c r="BT88" i="68"/>
  <c r="AN91" i="68"/>
  <c r="AH92" i="68"/>
  <c r="AN95" i="68"/>
  <c r="AK104" i="68"/>
  <c r="AE115" i="68"/>
  <c r="AN116" i="68"/>
  <c r="AE119" i="68"/>
  <c r="AN120" i="68"/>
  <c r="AP185" i="68"/>
  <c r="Z206" i="68"/>
  <c r="AC206" i="68"/>
  <c r="AF206" i="68"/>
  <c r="AI206" i="68"/>
  <c r="AP210" i="68"/>
  <c r="AA217" i="68"/>
  <c r="AD217" i="68"/>
  <c r="AG217" i="68"/>
  <c r="AC36" i="68"/>
  <c r="AA23" i="68"/>
  <c r="AG23" i="68"/>
  <c r="AN24" i="68"/>
  <c r="AC40" i="68"/>
  <c r="AF40" i="68"/>
  <c r="AM41" i="68"/>
  <c r="AQ42" i="68"/>
  <c r="AP45" i="68"/>
  <c r="AC46" i="68"/>
  <c r="AK53" i="68"/>
  <c r="AG58" i="68"/>
  <c r="AM61" i="68"/>
  <c r="AN62" i="68"/>
  <c r="AI58" i="68"/>
  <c r="AG63" i="68"/>
  <c r="AQ66" i="68"/>
  <c r="AD68" i="68"/>
  <c r="AG68" i="68"/>
  <c r="AH93" i="68"/>
  <c r="AK116" i="68"/>
  <c r="AH118" i="68"/>
  <c r="AK120" i="68"/>
  <c r="AH122" i="68"/>
  <c r="AK124" i="68"/>
  <c r="AK136" i="68"/>
  <c r="BG139" i="68"/>
  <c r="AH157" i="68"/>
  <c r="AH161" i="68"/>
  <c r="AH165" i="68"/>
  <c r="AH169" i="68"/>
  <c r="AK176" i="68"/>
  <c r="AK180" i="68"/>
  <c r="AE190" i="68"/>
  <c r="AN204" i="68"/>
  <c r="AF219" i="68"/>
  <c r="N228" i="68"/>
  <c r="N247" i="68" s="1"/>
  <c r="AA254" i="68"/>
  <c r="AF328" i="68"/>
  <c r="AE365" i="68"/>
  <c r="AH391" i="68"/>
  <c r="AE220" i="68"/>
  <c r="AH237" i="68"/>
  <c r="AH244" i="68"/>
  <c r="AK246" i="68"/>
  <c r="AB249" i="68"/>
  <c r="AH249" i="68"/>
  <c r="AE261" i="68"/>
  <c r="AH277" i="68"/>
  <c r="AE278" i="68"/>
  <c r="AK280" i="68"/>
  <c r="AE286" i="68"/>
  <c r="AP290" i="68"/>
  <c r="AH290" i="68"/>
  <c r="AE291" i="68"/>
  <c r="AK304" i="68"/>
  <c r="AB308" i="68"/>
  <c r="AS308" i="68"/>
  <c r="AV308" i="68" s="1"/>
  <c r="AH314" i="68"/>
  <c r="AK315" i="68"/>
  <c r="AE316" i="68"/>
  <c r="AH318" i="68"/>
  <c r="AH322" i="68"/>
  <c r="AI327" i="68"/>
  <c r="AK329" i="68"/>
  <c r="AE331" i="68"/>
  <c r="AE332" i="68"/>
  <c r="AK332" i="68"/>
  <c r="AE348" i="68"/>
  <c r="AE359" i="68"/>
  <c r="AA363" i="68"/>
  <c r="AK366" i="68"/>
  <c r="AK371" i="68"/>
  <c r="AH376" i="68"/>
  <c r="Z377" i="68"/>
  <c r="AE383" i="68"/>
  <c r="AT389" i="68"/>
  <c r="AM390" i="68"/>
  <c r="AH395" i="68"/>
  <c r="Z410" i="68"/>
  <c r="AM411" i="68"/>
  <c r="Z243" i="68"/>
  <c r="AI243" i="68"/>
  <c r="AI256" i="68"/>
  <c r="AP261" i="68"/>
  <c r="AA270" i="68"/>
  <c r="AG270" i="68"/>
  <c r="AJ270" i="68"/>
  <c r="AF273" i="68"/>
  <c r="AG275" i="68"/>
  <c r="AN277" i="68"/>
  <c r="AA283" i="68"/>
  <c r="AD283" i="68"/>
  <c r="AG283" i="68"/>
  <c r="AA285" i="68"/>
  <c r="AD285" i="68"/>
  <c r="AG285" i="68"/>
  <c r="AP298" i="68"/>
  <c r="AT299" i="68"/>
  <c r="AT300" i="68"/>
  <c r="AP301" i="68"/>
  <c r="AN308" i="68"/>
  <c r="AM331" i="68"/>
  <c r="AP333" i="68"/>
  <c r="AN346" i="68"/>
  <c r="Z347" i="68"/>
  <c r="Z350" i="68"/>
  <c r="AC350" i="68"/>
  <c r="AF350" i="68"/>
  <c r="AI350" i="68"/>
  <c r="AM351" i="68"/>
  <c r="AN357" i="68"/>
  <c r="AM374" i="68"/>
  <c r="AP381" i="68"/>
  <c r="AN390" i="68"/>
  <c r="AM117" i="68"/>
  <c r="AH117" i="68"/>
  <c r="AE118" i="68"/>
  <c r="AM119" i="68"/>
  <c r="AM121" i="68"/>
  <c r="AE123" i="68"/>
  <c r="AD126" i="68"/>
  <c r="AG126" i="68"/>
  <c r="AJ126" i="68"/>
  <c r="AA134" i="68"/>
  <c r="AD134" i="68"/>
  <c r="AG134" i="68"/>
  <c r="AJ134" i="68"/>
  <c r="AM137" i="68"/>
  <c r="AE157" i="68"/>
  <c r="AE158" i="68"/>
  <c r="AE161" i="68"/>
  <c r="AE162" i="68"/>
  <c r="AE165" i="68"/>
  <c r="AE166" i="68"/>
  <c r="AE169" i="68"/>
  <c r="AE170" i="68"/>
  <c r="AK189" i="68"/>
  <c r="AE193" i="68"/>
  <c r="AK196" i="68"/>
  <c r="AF203" i="68"/>
  <c r="BM139" i="68"/>
  <c r="AI203" i="68"/>
  <c r="O206" i="68"/>
  <c r="O215" i="68"/>
  <c r="AA219" i="68"/>
  <c r="AJ219" i="68"/>
  <c r="AB222" i="68"/>
  <c r="AS231" i="68"/>
  <c r="AV231" i="68" s="1"/>
  <c r="AC241" i="68"/>
  <c r="AI241" i="68"/>
  <c r="AN242" i="68"/>
  <c r="AH246" i="68"/>
  <c r="AK259" i="68"/>
  <c r="AS264" i="68"/>
  <c r="AV264" i="68" s="1"/>
  <c r="AH264" i="68"/>
  <c r="AP269" i="68"/>
  <c r="AK269" i="68"/>
  <c r="AA273" i="68"/>
  <c r="AD273" i="68"/>
  <c r="AG273" i="68"/>
  <c r="AJ273" i="68"/>
  <c r="AM274" i="68"/>
  <c r="AP296" i="68"/>
  <c r="AK297" i="68"/>
  <c r="AH303" i="68"/>
  <c r="AH304" i="68"/>
  <c r="AK305" i="68"/>
  <c r="AE306" i="68"/>
  <c r="AK314" i="68"/>
  <c r="AE317" i="68"/>
  <c r="AE318" i="68"/>
  <c r="AK318" i="68"/>
  <c r="AH325" i="68"/>
  <c r="AK346" i="68"/>
  <c r="AE356" i="68"/>
  <c r="AE361" i="68"/>
  <c r="AK361" i="68"/>
  <c r="AH366" i="68"/>
  <c r="AQ371" i="68"/>
  <c r="AQ381" i="68"/>
  <c r="AE385" i="68"/>
  <c r="AK385" i="68"/>
  <c r="AE390" i="68"/>
  <c r="AH393" i="68"/>
  <c r="AD17" i="68"/>
  <c r="AH18" i="68"/>
  <c r="AH25" i="68"/>
  <c r="AP26" i="68"/>
  <c r="AA29" i="68"/>
  <c r="AJ29" i="68"/>
  <c r="AA46" i="68"/>
  <c r="AG46" i="68"/>
  <c r="AJ46" i="68"/>
  <c r="Z49" i="68"/>
  <c r="AA49" i="68"/>
  <c r="AJ49" i="68"/>
  <c r="AA52" i="68"/>
  <c r="AD52" i="68"/>
  <c r="AG52" i="68"/>
  <c r="AM55" i="68"/>
  <c r="AA58" i="68"/>
  <c r="AM59" i="68"/>
  <c r="AA63" i="68"/>
  <c r="AF63" i="68"/>
  <c r="O68" i="68"/>
  <c r="Z68" i="68"/>
  <c r="AF68" i="68"/>
  <c r="AM69" i="68"/>
  <c r="AK77" i="68"/>
  <c r="AP83" i="68"/>
  <c r="AM84" i="68"/>
  <c r="AP87" i="68"/>
  <c r="AD105" i="68"/>
  <c r="AG105" i="68"/>
  <c r="AE106" i="68"/>
  <c r="AP107" i="68"/>
  <c r="AN108" i="68"/>
  <c r="AE110" i="68"/>
  <c r="Z126" i="68"/>
  <c r="AC126" i="68"/>
  <c r="AF126" i="68"/>
  <c r="AI126" i="68"/>
  <c r="AP142" i="68"/>
  <c r="AN147" i="68"/>
  <c r="AQ148" i="68"/>
  <c r="AP149" i="68"/>
  <c r="AH156" i="68"/>
  <c r="AH160" i="68"/>
  <c r="AH164" i="68"/>
  <c r="BK139" i="68"/>
  <c r="BS139" i="68"/>
  <c r="AS230" i="68"/>
  <c r="AV230" i="68" s="1"/>
  <c r="AA140" i="68"/>
  <c r="AE16" i="68"/>
  <c r="AN18" i="68"/>
  <c r="AN15" i="68"/>
  <c r="AH15" i="68"/>
  <c r="AM16" i="68"/>
  <c r="AE18" i="68"/>
  <c r="AE22" i="68"/>
  <c r="Z23" i="68"/>
  <c r="AF23" i="68"/>
  <c r="AP25" i="68"/>
  <c r="AK25" i="68"/>
  <c r="AC29" i="68"/>
  <c r="AB30" i="68"/>
  <c r="AE48" i="68"/>
  <c r="AF49" i="68"/>
  <c r="AA54" i="68"/>
  <c r="AI54" i="68"/>
  <c r="AN55" i="68"/>
  <c r="AB56" i="68"/>
  <c r="Z63" i="68"/>
  <c r="AN64" i="68"/>
  <c r="AH70" i="68"/>
  <c r="AP77" i="68"/>
  <c r="AP79" i="68"/>
  <c r="AK79" i="68"/>
  <c r="O89" i="68"/>
  <c r="AD96" i="68"/>
  <c r="Z105" i="68"/>
  <c r="AF105" i="68"/>
  <c r="AM106" i="68"/>
  <c r="AE108" i="68"/>
  <c r="AH109" i="68"/>
  <c r="AM110" i="68"/>
  <c r="AK121" i="68"/>
  <c r="AK125" i="68"/>
  <c r="AE133" i="68"/>
  <c r="AZ139" i="68"/>
  <c r="BH139" i="68"/>
  <c r="BL139" i="68"/>
  <c r="BT139" i="68"/>
  <c r="AB143" i="68"/>
  <c r="AH143" i="68"/>
  <c r="AM152" i="68"/>
  <c r="AK156" i="68"/>
  <c r="AE160" i="68"/>
  <c r="AK160" i="68"/>
  <c r="AE164" i="68"/>
  <c r="AK164" i="68"/>
  <c r="AE168" i="68"/>
  <c r="AI23" i="68"/>
  <c r="AM212" i="68"/>
  <c r="AB212" i="68"/>
  <c r="AE12" i="68"/>
  <c r="AK13" i="68"/>
  <c r="AN14" i="68"/>
  <c r="AE37" i="68"/>
  <c r="AE43" i="68"/>
  <c r="AE44" i="68"/>
  <c r="AH51" i="68"/>
  <c r="AH53" i="68"/>
  <c r="AH72" i="68"/>
  <c r="AH78" i="68"/>
  <c r="AB91" i="68"/>
  <c r="AE93" i="68"/>
  <c r="AB95" i="68"/>
  <c r="AH107" i="68"/>
  <c r="AK109" i="68"/>
  <c r="AB124" i="68"/>
  <c r="AH132" i="68"/>
  <c r="AH137" i="68"/>
  <c r="AC173" i="68"/>
  <c r="AB190" i="68"/>
  <c r="AH190" i="68"/>
  <c r="AK213" i="68"/>
  <c r="BG228" i="68"/>
  <c r="BG247" i="68" s="1"/>
  <c r="BK228" i="68"/>
  <c r="BK247" i="68" s="1"/>
  <c r="BS228" i="68"/>
  <c r="BS247" i="68" s="1"/>
  <c r="AM234" i="68"/>
  <c r="AE234" i="68"/>
  <c r="AH240" i="68"/>
  <c r="AK249" i="68"/>
  <c r="AK257" i="68"/>
  <c r="AE259" i="68"/>
  <c r="AK266" i="68"/>
  <c r="AH289" i="68"/>
  <c r="AK321" i="68"/>
  <c r="AE352" i="68"/>
  <c r="AI354" i="68"/>
  <c r="AH168" i="68"/>
  <c r="AI173" i="68"/>
  <c r="AP189" i="68"/>
  <c r="AN194" i="68"/>
  <c r="AP199" i="68"/>
  <c r="AN202" i="68"/>
  <c r="AM211" i="68"/>
  <c r="AP213" i="68"/>
  <c r="AG215" i="68"/>
  <c r="AG219" i="68"/>
  <c r="AJ226" i="68"/>
  <c r="AS227" i="68"/>
  <c r="AV227" i="68" s="1"/>
  <c r="AZ228" i="68"/>
  <c r="AZ247" i="68" s="1"/>
  <c r="AD229" i="68"/>
  <c r="BH228" i="68"/>
  <c r="BH247" i="68" s="1"/>
  <c r="AG229" i="68"/>
  <c r="AJ229" i="68"/>
  <c r="AB231" i="68"/>
  <c r="AC236" i="68"/>
  <c r="AF236" i="68"/>
  <c r="AI236" i="68"/>
  <c r="AN237" i="68"/>
  <c r="AK239" i="68"/>
  <c r="Z241" i="68"/>
  <c r="BA228" i="68"/>
  <c r="BA247" i="68" s="1"/>
  <c r="BQ228" i="68"/>
  <c r="BQ247" i="68" s="1"/>
  <c r="AN245" i="68"/>
  <c r="AP246" i="68"/>
  <c r="AM246" i="68"/>
  <c r="AN249" i="68"/>
  <c r="AE255" i="68"/>
  <c r="AN258" i="68"/>
  <c r="AH258" i="68"/>
  <c r="AF262" i="68"/>
  <c r="AH266" i="68"/>
  <c r="AA267" i="68"/>
  <c r="AD267" i="68"/>
  <c r="AG267" i="68"/>
  <c r="AJ267" i="68"/>
  <c r="AN268" i="68"/>
  <c r="AC270" i="68"/>
  <c r="AF270" i="68"/>
  <c r="AI270" i="68"/>
  <c r="AS272" i="68"/>
  <c r="AV272" i="68" s="1"/>
  <c r="AH272" i="68"/>
  <c r="AA275" i="68"/>
  <c r="AK279" i="68"/>
  <c r="AQ280" i="68"/>
  <c r="Z281" i="68"/>
  <c r="AF281" i="68"/>
  <c r="AM282" i="68"/>
  <c r="AC285" i="68"/>
  <c r="AQ325" i="68"/>
  <c r="AA358" i="68"/>
  <c r="AN388" i="68"/>
  <c r="AB388" i="68"/>
  <c r="AK168" i="68"/>
  <c r="AE172" i="68"/>
  <c r="AK172" i="68"/>
  <c r="AM177" i="68"/>
  <c r="AM181" i="68"/>
  <c r="AA184" i="68"/>
  <c r="AN186" i="68"/>
  <c r="AE188" i="68"/>
  <c r="AE191" i="68"/>
  <c r="AK191" i="68"/>
  <c r="AP194" i="68"/>
  <c r="AK194" i="68"/>
  <c r="AE198" i="68"/>
  <c r="AK198" i="68"/>
  <c r="Z215" i="68"/>
  <c r="AF215" i="68"/>
  <c r="AC217" i="68"/>
  <c r="AI217" i="68"/>
  <c r="Z219" i="68"/>
  <c r="AK222" i="68"/>
  <c r="AI226" i="68"/>
  <c r="AN227" i="68"/>
  <c r="Q228" i="68"/>
  <c r="AA232" i="68"/>
  <c r="AD232" i="68"/>
  <c r="AG232" i="68"/>
  <c r="AJ232" i="68"/>
  <c r="AM233" i="68"/>
  <c r="AB234" i="68"/>
  <c r="AH235" i="68"/>
  <c r="AK237" i="68"/>
  <c r="AN238" i="68"/>
  <c r="AS239" i="68"/>
  <c r="AV239" i="68" s="1"/>
  <c r="AQ240" i="68"/>
  <c r="AQ244" i="68"/>
  <c r="AE245" i="68"/>
  <c r="AK245" i="68"/>
  <c r="AE249" i="68"/>
  <c r="AK253" i="68"/>
  <c r="AJ254" i="68"/>
  <c r="O256" i="68"/>
  <c r="AA256" i="68"/>
  <c r="AB257" i="68"/>
  <c r="AK258" i="68"/>
  <c r="AG262" i="68"/>
  <c r="AK265" i="68"/>
  <c r="AD270" i="68"/>
  <c r="AE271" i="68"/>
  <c r="AK271" i="68"/>
  <c r="AN272" i="68"/>
  <c r="Z273" i="68"/>
  <c r="AK277" i="68"/>
  <c r="AH279" i="68"/>
  <c r="AH280" i="68"/>
  <c r="AA281" i="68"/>
  <c r="AD281" i="68"/>
  <c r="AG281" i="68"/>
  <c r="AN282" i="68"/>
  <c r="AH282" i="68"/>
  <c r="AG287" i="68"/>
  <c r="AP288" i="68"/>
  <c r="AH288" i="68"/>
  <c r="AN289" i="68"/>
  <c r="AK311" i="68"/>
  <c r="AE319" i="68"/>
  <c r="AQ326" i="68"/>
  <c r="AB349" i="68"/>
  <c r="Z354" i="68"/>
  <c r="AM359" i="68"/>
  <c r="AB359" i="68"/>
  <c r="AN380" i="68"/>
  <c r="AB380" i="68"/>
  <c r="AT288" i="68"/>
  <c r="AK288" i="68"/>
  <c r="AP289" i="68"/>
  <c r="AK289" i="68"/>
  <c r="AE294" i="68"/>
  <c r="AB295" i="68"/>
  <c r="AP299" i="68"/>
  <c r="AH299" i="68"/>
  <c r="AH300" i="68"/>
  <c r="AN305" i="68"/>
  <c r="AB307" i="68"/>
  <c r="AM311" i="68"/>
  <c r="AH311" i="68"/>
  <c r="AN315" i="68"/>
  <c r="AN317" i="68"/>
  <c r="AP321" i="68"/>
  <c r="AH321" i="68"/>
  <c r="Z323" i="68"/>
  <c r="AC323" i="68"/>
  <c r="AJ323" i="68"/>
  <c r="AH326" i="68"/>
  <c r="AK331" i="68"/>
  <c r="AB332" i="68"/>
  <c r="AD347" i="68"/>
  <c r="AM348" i="68"/>
  <c r="AT349" i="68"/>
  <c r="AN351" i="68"/>
  <c r="AH351" i="68"/>
  <c r="AM352" i="68"/>
  <c r="AT353" i="68"/>
  <c r="Z355" i="68"/>
  <c r="AT359" i="68"/>
  <c r="AH360" i="68"/>
  <c r="AK368" i="68"/>
  <c r="AK373" i="68"/>
  <c r="AH378" i="68"/>
  <c r="AH379" i="68"/>
  <c r="AT380" i="68"/>
  <c r="AK381" i="68"/>
  <c r="AN384" i="68"/>
  <c r="AE387" i="68"/>
  <c r="AS388" i="68"/>
  <c r="AV388" i="68" s="1"/>
  <c r="AP389" i="68"/>
  <c r="AH390" i="68"/>
  <c r="AK391" i="68"/>
  <c r="AE394" i="68"/>
  <c r="AK394" i="68"/>
  <c r="AE397" i="68"/>
  <c r="AP404" i="68"/>
  <c r="AK404" i="68"/>
  <c r="AK406" i="68"/>
  <c r="AH411" i="68"/>
  <c r="AE412" i="68"/>
  <c r="AK412" i="68"/>
  <c r="AM291" i="68"/>
  <c r="AN297" i="68"/>
  <c r="AN303" i="68"/>
  <c r="AM304" i="68"/>
  <c r="AM306" i="68"/>
  <c r="AG312" i="68"/>
  <c r="AM314" i="68"/>
  <c r="AM316" i="68"/>
  <c r="AM318" i="68"/>
  <c r="AA328" i="68"/>
  <c r="AD328" i="68"/>
  <c r="AG328" i="68"/>
  <c r="AJ328" i="68"/>
  <c r="AP329" i="68"/>
  <c r="AC347" i="68"/>
  <c r="AF347" i="68"/>
  <c r="AI347" i="68"/>
  <c r="AP349" i="68"/>
  <c r="AD363" i="68"/>
  <c r="AM366" i="68"/>
  <c r="AN375" i="68"/>
  <c r="AM376" i="68"/>
  <c r="AM383" i="68"/>
  <c r="AT384" i="68"/>
  <c r="AM385" i="68"/>
  <c r="AN386" i="68"/>
  <c r="AM387" i="68"/>
  <c r="AM393" i="68"/>
  <c r="AN396" i="68"/>
  <c r="AT408" i="68"/>
  <c r="AQ409" i="68"/>
  <c r="AA410" i="68"/>
  <c r="AD410" i="68"/>
  <c r="AG410" i="68"/>
  <c r="AJ410" i="68"/>
  <c r="AT411" i="68"/>
  <c r="AK292" i="68"/>
  <c r="AK293" i="68"/>
  <c r="AK295" i="68"/>
  <c r="AH296" i="68"/>
  <c r="AH301" i="68"/>
  <c r="AK303" i="68"/>
  <c r="AM308" i="68"/>
  <c r="AE308" i="68"/>
  <c r="AH320" i="68"/>
  <c r="AE325" i="68"/>
  <c r="AE326" i="68"/>
  <c r="AH329" i="68"/>
  <c r="AK330" i="68"/>
  <c r="AH331" i="68"/>
  <c r="AH346" i="68"/>
  <c r="O347" i="68"/>
  <c r="AM353" i="68"/>
  <c r="AK353" i="68"/>
  <c r="AH356" i="68"/>
  <c r="AK357" i="68"/>
  <c r="AN361" i="68"/>
  <c r="AM362" i="68"/>
  <c r="AI363" i="68"/>
  <c r="AE369" i="68"/>
  <c r="AK369" i="68"/>
  <c r="AM372" i="68"/>
  <c r="AE375" i="68"/>
  <c r="AK375" i="68"/>
  <c r="AM378" i="68"/>
  <c r="AM379" i="68"/>
  <c r="AE382" i="68"/>
  <c r="AK382" i="68"/>
  <c r="AB383" i="68"/>
  <c r="AS383" i="68"/>
  <c r="AV383" i="68" s="1"/>
  <c r="AP384" i="68"/>
  <c r="AN385" i="68"/>
  <c r="AH385" i="68"/>
  <c r="AE386" i="68"/>
  <c r="AK386" i="68"/>
  <c r="AM388" i="68"/>
  <c r="AE395" i="68"/>
  <c r="AK396" i="68"/>
  <c r="AT406" i="68"/>
  <c r="AK407" i="68"/>
  <c r="AP258" i="68"/>
  <c r="AE258" i="68"/>
  <c r="AK38" i="68"/>
  <c r="AQ39" i="68"/>
  <c r="AD49" i="68"/>
  <c r="O52" i="68"/>
  <c r="AP53" i="68"/>
  <c r="Z71" i="68"/>
  <c r="AK78" i="68"/>
  <c r="AD89" i="68"/>
  <c r="BD88" i="68"/>
  <c r="BD7" i="68" s="1"/>
  <c r="AE90" i="68"/>
  <c r="AE94" i="68"/>
  <c r="AW88" i="68"/>
  <c r="BA88" i="68"/>
  <c r="BE88" i="68"/>
  <c r="BI88" i="68"/>
  <c r="BM88" i="68"/>
  <c r="BQ88" i="68"/>
  <c r="AH100" i="68"/>
  <c r="AK102" i="68"/>
  <c r="AM407" i="68"/>
  <c r="AB407" i="68"/>
  <c r="AE13" i="68"/>
  <c r="AI29" i="68"/>
  <c r="AE30" i="68"/>
  <c r="AK31" i="68"/>
  <c r="AA17" i="68"/>
  <c r="AE25" i="68"/>
  <c r="AM26" i="68"/>
  <c r="AE26" i="68"/>
  <c r="AG29" i="68"/>
  <c r="AN30" i="68"/>
  <c r="AN31" i="68"/>
  <c r="AN32" i="68"/>
  <c r="AN35" i="68"/>
  <c r="AH35" i="68"/>
  <c r="O36" i="68"/>
  <c r="AM37" i="68"/>
  <c r="AK37" i="68"/>
  <c r="AN38" i="68"/>
  <c r="AJ40" i="68"/>
  <c r="AD46" i="68"/>
  <c r="AM47" i="68"/>
  <c r="AQ48" i="68"/>
  <c r="AF46" i="68"/>
  <c r="AM51" i="68"/>
  <c r="AC54" i="68"/>
  <c r="Z58" i="68"/>
  <c r="AK70" i="68"/>
  <c r="AN74" i="68"/>
  <c r="AA96" i="68"/>
  <c r="AX88" i="68"/>
  <c r="AS141" i="68"/>
  <c r="AV141" i="68" s="1"/>
  <c r="BB139" i="68"/>
  <c r="BF139" i="68"/>
  <c r="BJ139" i="68"/>
  <c r="BN139" i="68"/>
  <c r="BR139" i="68"/>
  <c r="Z203" i="68"/>
  <c r="AW139" i="68"/>
  <c r="AC203" i="68"/>
  <c r="BE139" i="68"/>
  <c r="AC52" i="68"/>
  <c r="AS235" i="68"/>
  <c r="AV235" i="68" s="1"/>
  <c r="AP265" i="68"/>
  <c r="AE265" i="68"/>
  <c r="AE32" i="68"/>
  <c r="AC14" i="68"/>
  <c r="AE14" i="68" s="1"/>
  <c r="AM25" i="68"/>
  <c r="AC17" i="68"/>
  <c r="AI17" i="68"/>
  <c r="AK18" i="68"/>
  <c r="AM19" i="68"/>
  <c r="AE19" i="68"/>
  <c r="AK20" i="68"/>
  <c r="AK22" i="68"/>
  <c r="AD23" i="68"/>
  <c r="AJ23" i="68"/>
  <c r="AE24" i="68"/>
  <c r="AN25" i="68"/>
  <c r="AN26" i="68"/>
  <c r="AE31" i="68"/>
  <c r="AM33" i="68"/>
  <c r="AH33" i="68"/>
  <c r="AQ34" i="68"/>
  <c r="AK34" i="68"/>
  <c r="AP35" i="68"/>
  <c r="AN37" i="68"/>
  <c r="AE38" i="68"/>
  <c r="AD40" i="68"/>
  <c r="AK41" i="68"/>
  <c r="AN43" i="68"/>
  <c r="AN45" i="68"/>
  <c r="AH45" i="68"/>
  <c r="Z46" i="68"/>
  <c r="AT47" i="68"/>
  <c r="AM48" i="68"/>
  <c r="AH48" i="68"/>
  <c r="AQ50" i="68"/>
  <c r="AM53" i="68"/>
  <c r="AE53" i="68"/>
  <c r="AN57" i="68"/>
  <c r="AH57" i="68"/>
  <c r="AD63" i="68"/>
  <c r="AJ63" i="68"/>
  <c r="AH64" i="68"/>
  <c r="AE65" i="68"/>
  <c r="AB67" i="68"/>
  <c r="AH67" i="68"/>
  <c r="AK85" i="68"/>
  <c r="AT87" i="68"/>
  <c r="BJ88" i="68"/>
  <c r="AG89" i="68"/>
  <c r="AK92" i="68"/>
  <c r="Z96" i="68"/>
  <c r="AK107" i="68"/>
  <c r="AC184" i="68"/>
  <c r="BC139" i="68"/>
  <c r="AA226" i="68"/>
  <c r="AG226" i="68"/>
  <c r="S228" i="68"/>
  <c r="S247" i="68" s="1"/>
  <c r="S250" i="68" s="1"/>
  <c r="S7" i="68" s="1"/>
  <c r="Z229" i="68"/>
  <c r="AY228" i="68"/>
  <c r="AY247" i="68" s="1"/>
  <c r="AC229" i="68"/>
  <c r="BC228" i="68"/>
  <c r="BC247" i="68" s="1"/>
  <c r="AI229" i="68"/>
  <c r="BO228" i="68"/>
  <c r="BO247" i="68" s="1"/>
  <c r="AN230" i="68"/>
  <c r="AB230" i="68"/>
  <c r="AT239" i="68"/>
  <c r="AY414" i="68"/>
  <c r="Z254" i="68"/>
  <c r="BK414" i="68"/>
  <c r="N414" i="68"/>
  <c r="AM319" i="68"/>
  <c r="AS319" i="68"/>
  <c r="AV319" i="68" s="1"/>
  <c r="AM324" i="68"/>
  <c r="AB324" i="68"/>
  <c r="AP324" i="68"/>
  <c r="AP70" i="68"/>
  <c r="AN76" i="68"/>
  <c r="AM78" i="68"/>
  <c r="AM81" i="68"/>
  <c r="AN82" i="68"/>
  <c r="AS85" i="68"/>
  <c r="AV85" i="68" s="1"/>
  <c r="AA89" i="68"/>
  <c r="AM90" i="68"/>
  <c r="AM92" i="68"/>
  <c r="AM94" i="68"/>
  <c r="AY88" i="68"/>
  <c r="BK88" i="68"/>
  <c r="BO88" i="68"/>
  <c r="BS88" i="68"/>
  <c r="AN97" i="68"/>
  <c r="AM98" i="68"/>
  <c r="AN101" i="68"/>
  <c r="AH101" i="68"/>
  <c r="AM102" i="68"/>
  <c r="AK108" i="68"/>
  <c r="AP109" i="68"/>
  <c r="Z111" i="68"/>
  <c r="AY139" i="68"/>
  <c r="BO139" i="68"/>
  <c r="AF184" i="68"/>
  <c r="AN207" i="68"/>
  <c r="L228" i="68"/>
  <c r="L247" i="68" s="1"/>
  <c r="L250" i="68" s="1"/>
  <c r="L7" i="68" s="1"/>
  <c r="O229" i="68"/>
  <c r="AF229" i="68"/>
  <c r="AP276" i="68"/>
  <c r="AE276" i="68"/>
  <c r="AQ56" i="68"/>
  <c r="AE57" i="68"/>
  <c r="AK57" i="68"/>
  <c r="AJ58" i="68"/>
  <c r="AE67" i="68"/>
  <c r="AK69" i="68"/>
  <c r="AE76" i="68"/>
  <c r="AN81" i="68"/>
  <c r="AE82" i="68"/>
  <c r="AK82" i="68"/>
  <c r="AK84" i="68"/>
  <c r="AN85" i="68"/>
  <c r="AM87" i="68"/>
  <c r="AH87" i="68"/>
  <c r="AC89" i="68"/>
  <c r="AF89" i="68"/>
  <c r="AI89" i="68"/>
  <c r="AN90" i="68"/>
  <c r="AK91" i="68"/>
  <c r="AQ93" i="68"/>
  <c r="AN94" i="68"/>
  <c r="AK95" i="68"/>
  <c r="AP97" i="68"/>
  <c r="AK97" i="68"/>
  <c r="AS99" i="68"/>
  <c r="AV99" i="68" s="1"/>
  <c r="AK100" i="68"/>
  <c r="AE101" i="68"/>
  <c r="AS103" i="68"/>
  <c r="AV103" i="68" s="1"/>
  <c r="AC105" i="68"/>
  <c r="AI105" i="68"/>
  <c r="AM108" i="68"/>
  <c r="AH108" i="68"/>
  <c r="AK127" i="68"/>
  <c r="AE135" i="68"/>
  <c r="AE142" i="68"/>
  <c r="AK142" i="68"/>
  <c r="AN143" i="68"/>
  <c r="AE151" i="68"/>
  <c r="AK151" i="68"/>
  <c r="BA139" i="68"/>
  <c r="AF154" i="68"/>
  <c r="BI139" i="68"/>
  <c r="AI154" i="68"/>
  <c r="BQ139" i="68"/>
  <c r="AB155" i="68"/>
  <c r="AB159" i="68"/>
  <c r="AB163" i="68"/>
  <c r="AB167" i="68"/>
  <c r="AB171" i="68"/>
  <c r="AH177" i="68"/>
  <c r="AH181" i="68"/>
  <c r="AE196" i="68"/>
  <c r="AD226" i="68"/>
  <c r="AF241" i="68"/>
  <c r="BI228" i="68"/>
  <c r="AM266" i="68"/>
  <c r="AB266" i="68"/>
  <c r="AP286" i="68"/>
  <c r="AB286" i="68"/>
  <c r="AN122" i="68"/>
  <c r="AN124" i="68"/>
  <c r="AS124" i="68"/>
  <c r="AV124" i="68" s="1"/>
  <c r="AA126" i="68"/>
  <c r="AM133" i="68"/>
  <c r="AM135" i="68"/>
  <c r="AS135" i="68"/>
  <c r="AV135" i="68" s="1"/>
  <c r="AH138" i="68"/>
  <c r="AT141" i="68"/>
  <c r="AH142" i="68"/>
  <c r="AN145" i="68"/>
  <c r="AH148" i="68"/>
  <c r="AM151" i="68"/>
  <c r="AH151" i="68"/>
  <c r="AQ152" i="68"/>
  <c r="AM158" i="68"/>
  <c r="AM160" i="68"/>
  <c r="AM164" i="68"/>
  <c r="AM166" i="68"/>
  <c r="AM168" i="68"/>
  <c r="AM170" i="68"/>
  <c r="AM172" i="68"/>
  <c r="AF173" i="68"/>
  <c r="AN174" i="68"/>
  <c r="AH174" i="68"/>
  <c r="AS175" i="68"/>
  <c r="AV175" i="68" s="1"/>
  <c r="AN178" i="68"/>
  <c r="AH178" i="68"/>
  <c r="AS179" i="68"/>
  <c r="AV179" i="68" s="1"/>
  <c r="AN182" i="68"/>
  <c r="AH182" i="68"/>
  <c r="AS183" i="68"/>
  <c r="AV183" i="68" s="1"/>
  <c r="AD184" i="68"/>
  <c r="AG184" i="68"/>
  <c r="AJ184" i="68"/>
  <c r="AE186" i="68"/>
  <c r="AM188" i="68"/>
  <c r="AM190" i="68"/>
  <c r="AD192" i="68"/>
  <c r="AJ192" i="68"/>
  <c r="AM196" i="68"/>
  <c r="AS198" i="68"/>
  <c r="AV198" i="68" s="1"/>
  <c r="AM204" i="68"/>
  <c r="AQ210" i="68"/>
  <c r="AH210" i="68"/>
  <c r="AM216" i="68"/>
  <c r="AM220" i="68"/>
  <c r="AT227" i="68"/>
  <c r="BT228" i="68"/>
  <c r="AH231" i="68"/>
  <c r="AH233" i="68"/>
  <c r="AK234" i="68"/>
  <c r="AB235" i="68"/>
  <c r="AT235" i="68"/>
  <c r="AP237" i="68"/>
  <c r="AM238" i="68"/>
  <c r="AQ238" i="68"/>
  <c r="AP239" i="68"/>
  <c r="AM240" i="68"/>
  <c r="AM242" i="68"/>
  <c r="AQ242" i="68"/>
  <c r="AT244" i="68"/>
  <c r="AQ249" i="68"/>
  <c r="AU252" i="68"/>
  <c r="AQ253" i="68"/>
  <c r="AG254" i="68"/>
  <c r="Z256" i="68"/>
  <c r="AF256" i="68"/>
  <c r="AP259" i="68"/>
  <c r="AE260" i="68"/>
  <c r="AA262" i="68"/>
  <c r="AM263" i="68"/>
  <c r="AN264" i="68"/>
  <c r="AN266" i="68"/>
  <c r="AC267" i="68"/>
  <c r="AI267" i="68"/>
  <c r="AB268" i="68"/>
  <c r="AM269" i="68"/>
  <c r="AE269" i="68"/>
  <c r="AD275" i="68"/>
  <c r="AQ279" i="68"/>
  <c r="AT302" i="68"/>
  <c r="AP303" i="68"/>
  <c r="AE303" i="68"/>
  <c r="AX312" i="68"/>
  <c r="AA313" i="68"/>
  <c r="AJ313" i="68"/>
  <c r="BR312" i="68"/>
  <c r="AJ312" i="68" s="1"/>
  <c r="AN321" i="68"/>
  <c r="AQ321" i="68"/>
  <c r="AT321" i="68"/>
  <c r="AH121" i="68"/>
  <c r="AE122" i="68"/>
  <c r="AM123" i="68"/>
  <c r="AM125" i="68"/>
  <c r="AH125" i="68"/>
  <c r="AQ132" i="68"/>
  <c r="AN133" i="68"/>
  <c r="AF134" i="68"/>
  <c r="AN135" i="68"/>
  <c r="AH136" i="68"/>
  <c r="AK137" i="68"/>
  <c r="AE138" i="68"/>
  <c r="AK138" i="68"/>
  <c r="AQ142" i="68"/>
  <c r="AE143" i="68"/>
  <c r="AP144" i="68"/>
  <c r="AE145" i="68"/>
  <c r="AK145" i="68"/>
  <c r="AN151" i="68"/>
  <c r="AT151" i="68"/>
  <c r="AE155" i="68"/>
  <c r="AN156" i="68"/>
  <c r="AK157" i="68"/>
  <c r="AT158" i="68"/>
  <c r="AH158" i="68"/>
  <c r="AE159" i="68"/>
  <c r="AN160" i="68"/>
  <c r="AK161" i="68"/>
  <c r="AT162" i="68"/>
  <c r="AH162" i="68"/>
  <c r="AE163" i="68"/>
  <c r="AN164" i="68"/>
  <c r="AK165" i="68"/>
  <c r="AT166" i="68"/>
  <c r="AH166" i="68"/>
  <c r="AE167" i="68"/>
  <c r="AN168" i="68"/>
  <c r="AK169" i="68"/>
  <c r="AT170" i="68"/>
  <c r="AH170" i="68"/>
  <c r="AE171" i="68"/>
  <c r="AN172" i="68"/>
  <c r="AH172" i="68"/>
  <c r="AD173" i="68"/>
  <c r="AJ173" i="68"/>
  <c r="AE174" i="68"/>
  <c r="AK174" i="68"/>
  <c r="AQ177" i="68"/>
  <c r="AK177" i="68"/>
  <c r="AE178" i="68"/>
  <c r="AK178" i="68"/>
  <c r="AQ181" i="68"/>
  <c r="AK181" i="68"/>
  <c r="AE182" i="68"/>
  <c r="AK182" i="68"/>
  <c r="AB186" i="68"/>
  <c r="AH186" i="68"/>
  <c r="AM186" i="68"/>
  <c r="AE187" i="68"/>
  <c r="AK187" i="68"/>
  <c r="AN190" i="68"/>
  <c r="AK195" i="68"/>
  <c r="AN196" i="68"/>
  <c r="AK197" i="68"/>
  <c r="AN198" i="68"/>
  <c r="AQ199" i="68"/>
  <c r="AP202" i="68"/>
  <c r="AK202" i="68"/>
  <c r="AE210" i="68"/>
  <c r="AK214" i="68"/>
  <c r="AC215" i="68"/>
  <c r="AI215" i="68"/>
  <c r="AN216" i="68"/>
  <c r="AM218" i="68"/>
  <c r="AC219" i="68"/>
  <c r="AI219" i="68"/>
  <c r="AN220" i="68"/>
  <c r="AH220" i="68"/>
  <c r="M248" i="68"/>
  <c r="M415" i="68" s="1"/>
  <c r="AM222" i="68"/>
  <c r="AE222" i="68"/>
  <c r="AP227" i="68"/>
  <c r="AA229" i="68"/>
  <c r="AT231" i="68"/>
  <c r="AP233" i="68"/>
  <c r="AP235" i="68"/>
  <c r="AS238" i="68"/>
  <c r="AV238" i="68" s="1"/>
  <c r="AT240" i="68"/>
  <c r="AS242" i="68"/>
  <c r="AV242" i="68" s="1"/>
  <c r="AD243" i="68"/>
  <c r="AJ243" i="68"/>
  <c r="AS245" i="68"/>
  <c r="AV245" i="68" s="1"/>
  <c r="AT246" i="68"/>
  <c r="AS253" i="68"/>
  <c r="AV253" i="68" s="1"/>
  <c r="AW414" i="68"/>
  <c r="BI414" i="68"/>
  <c r="BQ414" i="68"/>
  <c r="AT257" i="68"/>
  <c r="AM258" i="68"/>
  <c r="AP260" i="68"/>
  <c r="AN263" i="68"/>
  <c r="AT263" i="68"/>
  <c r="AM265" i="68"/>
  <c r="AE268" i="68"/>
  <c r="AT269" i="68"/>
  <c r="AH269" i="68"/>
  <c r="Z270" i="68"/>
  <c r="AQ277" i="68"/>
  <c r="AM279" i="68"/>
  <c r="AB279" i="68"/>
  <c r="AK291" i="68"/>
  <c r="AB297" i="68"/>
  <c r="AB320" i="68"/>
  <c r="AH199" i="68"/>
  <c r="AH205" i="68"/>
  <c r="AE216" i="68"/>
  <c r="AK216" i="68"/>
  <c r="AH218" i="68"/>
  <c r="O219" i="68"/>
  <c r="AN222" i="68"/>
  <c r="AS222" i="68"/>
  <c r="AX228" i="68"/>
  <c r="AX247" i="68" s="1"/>
  <c r="BB228" i="68"/>
  <c r="BB247" i="68" s="1"/>
  <c r="BF228" i="68"/>
  <c r="BF247" i="68" s="1"/>
  <c r="BJ228" i="68"/>
  <c r="BJ247" i="68" s="1"/>
  <c r="BN228" i="68"/>
  <c r="BN247" i="68" s="1"/>
  <c r="BR228" i="68"/>
  <c r="BR247" i="68" s="1"/>
  <c r="AM230" i="68"/>
  <c r="AQ230" i="68"/>
  <c r="AP231" i="68"/>
  <c r="AK233" i="68"/>
  <c r="AN234" i="68"/>
  <c r="AS234" i="68"/>
  <c r="AV234" i="68" s="1"/>
  <c r="AB238" i="68"/>
  <c r="AH239" i="68"/>
  <c r="AE240" i="68"/>
  <c r="AB242" i="68"/>
  <c r="AK244" i="68"/>
  <c r="AH245" i="68"/>
  <c r="AE246" i="68"/>
  <c r="AH255" i="68"/>
  <c r="AG256" i="68"/>
  <c r="AH257" i="68"/>
  <c r="AK261" i="68"/>
  <c r="AK264" i="68"/>
  <c r="AT265" i="68"/>
  <c r="AH265" i="68"/>
  <c r="AE266" i="68"/>
  <c r="AQ268" i="68"/>
  <c r="AM277" i="68"/>
  <c r="AB277" i="68"/>
  <c r="AJ285" i="68"/>
  <c r="AD313" i="68"/>
  <c r="AN320" i="68"/>
  <c r="AT320" i="68"/>
  <c r="AT322" i="68"/>
  <c r="AQ322" i="68"/>
  <c r="O323" i="68"/>
  <c r="BJ354" i="68"/>
  <c r="AG354" i="68" s="1"/>
  <c r="AG355" i="68"/>
  <c r="AN366" i="68"/>
  <c r="AT366" i="68"/>
  <c r="AM271" i="68"/>
  <c r="AC273" i="68"/>
  <c r="AI273" i="68"/>
  <c r="AN274" i="68"/>
  <c r="AH274" i="68"/>
  <c r="Z275" i="68"/>
  <c r="AM276" i="68"/>
  <c r="AS278" i="68"/>
  <c r="AC275" i="68"/>
  <c r="AC281" i="68"/>
  <c r="AI281" i="68"/>
  <c r="O283" i="68"/>
  <c r="AA287" i="68"/>
  <c r="AM289" i="68"/>
  <c r="AE289" i="68"/>
  <c r="AM293" i="68"/>
  <c r="AE293" i="68"/>
  <c r="AP294" i="68"/>
  <c r="AH294" i="68"/>
  <c r="AF287" i="68"/>
  <c r="AM301" i="68"/>
  <c r="AE301" i="68"/>
  <c r="AP302" i="68"/>
  <c r="AB304" i="68"/>
  <c r="AT304" i="68"/>
  <c r="AQ305" i="68"/>
  <c r="AN306" i="68"/>
  <c r="AK308" i="68"/>
  <c r="AT311" i="68"/>
  <c r="Z313" i="68"/>
  <c r="AF313" i="68"/>
  <c r="AC313" i="68"/>
  <c r="AI313" i="68"/>
  <c r="AT314" i="68"/>
  <c r="AQ315" i="68"/>
  <c r="AN316" i="68"/>
  <c r="AK317" i="68"/>
  <c r="AT318" i="68"/>
  <c r="AN319" i="68"/>
  <c r="AH319" i="68"/>
  <c r="AE321" i="68"/>
  <c r="AN324" i="68"/>
  <c r="AT325" i="68"/>
  <c r="AN326" i="68"/>
  <c r="AS332" i="68"/>
  <c r="AV332" i="68" s="1"/>
  <c r="AK333" i="68"/>
  <c r="AK352" i="68"/>
  <c r="AM365" i="68"/>
  <c r="AH367" i="68"/>
  <c r="AS393" i="68"/>
  <c r="AV393" i="68" s="1"/>
  <c r="AN271" i="68"/>
  <c r="AH271" i="68"/>
  <c r="AE272" i="68"/>
  <c r="AK272" i="68"/>
  <c r="AE274" i="68"/>
  <c r="AT276" i="68"/>
  <c r="AH276" i="68"/>
  <c r="AE277" i="68"/>
  <c r="AN278" i="68"/>
  <c r="AE279" i="68"/>
  <c r="AN280" i="68"/>
  <c r="AC283" i="68"/>
  <c r="AI283" i="68"/>
  <c r="AT284" i="68"/>
  <c r="AH284" i="68"/>
  <c r="Z287" i="68"/>
  <c r="AE290" i="68"/>
  <c r="AS291" i="68"/>
  <c r="AE296" i="68"/>
  <c r="AE297" i="68"/>
  <c r="AT298" i="68"/>
  <c r="AM303" i="68"/>
  <c r="AP304" i="68"/>
  <c r="AM305" i="68"/>
  <c r="AP306" i="68"/>
  <c r="AH307" i="68"/>
  <c r="AP311" i="68"/>
  <c r="AD312" i="68"/>
  <c r="AG313" i="68"/>
  <c r="AP314" i="68"/>
  <c r="AM315" i="68"/>
  <c r="AP316" i="68"/>
  <c r="AS317" i="68"/>
  <c r="AV317" i="68" s="1"/>
  <c r="AE320" i="68"/>
  <c r="AT324" i="68"/>
  <c r="AP325" i="68"/>
  <c r="AM326" i="68"/>
  <c r="AK326" i="68"/>
  <c r="AM333" i="68"/>
  <c r="AB333" i="68"/>
  <c r="AS374" i="68"/>
  <c r="AV374" i="68" s="1"/>
  <c r="AM397" i="68"/>
  <c r="AB397" i="68"/>
  <c r="AK294" i="68"/>
  <c r="AH298" i="68"/>
  <c r="AH302" i="68"/>
  <c r="AK306" i="68"/>
  <c r="AT307" i="68"/>
  <c r="AK316" i="68"/>
  <c r="AH317" i="68"/>
  <c r="AK322" i="68"/>
  <c r="AE324" i="68"/>
  <c r="AB348" i="68"/>
  <c r="AS348" i="68"/>
  <c r="AV348" i="68" s="1"/>
  <c r="AC355" i="68"/>
  <c r="BE354" i="68"/>
  <c r="AC354" i="68" s="1"/>
  <c r="AP357" i="68"/>
  <c r="AE357" i="68"/>
  <c r="AE373" i="68"/>
  <c r="AE391" i="68"/>
  <c r="AM392" i="68"/>
  <c r="AP392" i="68"/>
  <c r="AP396" i="68"/>
  <c r="AE396" i="68"/>
  <c r="AM409" i="68"/>
  <c r="AB409" i="68"/>
  <c r="AN331" i="68"/>
  <c r="AN333" i="68"/>
  <c r="AS333" i="68"/>
  <c r="AV333" i="68" s="1"/>
  <c r="AQ346" i="68"/>
  <c r="AG347" i="68"/>
  <c r="AJ347" i="68"/>
  <c r="AM349" i="68"/>
  <c r="AK349" i="68"/>
  <c r="AP351" i="68"/>
  <c r="AB352" i="68"/>
  <c r="AS352" i="68"/>
  <c r="AV352" i="68" s="1"/>
  <c r="AP353" i="68"/>
  <c r="AF354" i="68"/>
  <c r="AJ354" i="68"/>
  <c r="AF355" i="68"/>
  <c r="AI355" i="68"/>
  <c r="AN356" i="68"/>
  <c r="AN362" i="68"/>
  <c r="AK362" i="68"/>
  <c r="Z363" i="68"/>
  <c r="AC363" i="68"/>
  <c r="AF363" i="68"/>
  <c r="AH365" i="68"/>
  <c r="AB366" i="68"/>
  <c r="AE368" i="68"/>
  <c r="AD370" i="68"/>
  <c r="AG370" i="68"/>
  <c r="AJ370" i="68"/>
  <c r="AE371" i="68"/>
  <c r="AE372" i="68"/>
  <c r="AK372" i="68"/>
  <c r="AM373" i="68"/>
  <c r="AB374" i="68"/>
  <c r="AT376" i="68"/>
  <c r="O377" i="68"/>
  <c r="AM381" i="68"/>
  <c r="AM384" i="68"/>
  <c r="AK384" i="68"/>
  <c r="AQ386" i="68"/>
  <c r="AN387" i="68"/>
  <c r="AM389" i="68"/>
  <c r="AK389" i="68"/>
  <c r="AP391" i="68"/>
  <c r="AB393" i="68"/>
  <c r="AN397" i="68"/>
  <c r="AS397" i="68"/>
  <c r="AV397" i="68" s="1"/>
  <c r="AQ406" i="68"/>
  <c r="AN407" i="68"/>
  <c r="AS407" i="68"/>
  <c r="AQ408" i="68"/>
  <c r="AN409" i="68"/>
  <c r="AS409" i="68"/>
  <c r="AV409" i="68" s="1"/>
  <c r="AC410" i="68"/>
  <c r="AE411" i="68"/>
  <c r="AB413" i="68"/>
  <c r="AT413" i="68"/>
  <c r="AG327" i="68"/>
  <c r="Z328" i="68"/>
  <c r="AC328" i="68"/>
  <c r="AI328" i="68"/>
  <c r="AM332" i="68"/>
  <c r="AT333" i="68"/>
  <c r="AM346" i="68"/>
  <c r="AK348" i="68"/>
  <c r="AS349" i="68"/>
  <c r="AV349" i="68" s="1"/>
  <c r="AA350" i="68"/>
  <c r="AD350" i="68"/>
  <c r="AJ350" i="68"/>
  <c r="AQ351" i="68"/>
  <c r="AP352" i="68"/>
  <c r="AQ353" i="68"/>
  <c r="AJ355" i="68"/>
  <c r="AD358" i="68"/>
  <c r="AG358" i="68"/>
  <c r="AK359" i="68"/>
  <c r="AN360" i="68"/>
  <c r="AG363" i="68"/>
  <c r="AJ363" i="68"/>
  <c r="AH364" i="68"/>
  <c r="AS364" i="68"/>
  <c r="AV364" i="68" s="1"/>
  <c r="AE366" i="68"/>
  <c r="AT367" i="68"/>
  <c r="AM369" i="68"/>
  <c r="Z370" i="68"/>
  <c r="AT372" i="68"/>
  <c r="AN373" i="68"/>
  <c r="AH373" i="68"/>
  <c r="AE374" i="68"/>
  <c r="AP375" i="68"/>
  <c r="AN382" i="68"/>
  <c r="AH384" i="68"/>
  <c r="AQ385" i="68"/>
  <c r="AM386" i="68"/>
  <c r="AK388" i="68"/>
  <c r="AN389" i="68"/>
  <c r="AH389" i="68"/>
  <c r="AQ390" i="68"/>
  <c r="AE393" i="68"/>
  <c r="AS394" i="68"/>
  <c r="AV394" i="68" s="1"/>
  <c r="AH394" i="68"/>
  <c r="AM396" i="68"/>
  <c r="AS404" i="68"/>
  <c r="AV404" i="68" s="1"/>
  <c r="AH404" i="68"/>
  <c r="Z405" i="68"/>
  <c r="AM406" i="68"/>
  <c r="AM408" i="68"/>
  <c r="AQ411" i="68"/>
  <c r="AK411" i="68"/>
  <c r="AM412" i="68"/>
  <c r="AP413" i="68"/>
  <c r="AK356" i="68"/>
  <c r="AH357" i="68"/>
  <c r="AE360" i="68"/>
  <c r="AT360" i="68"/>
  <c r="AH361" i="68"/>
  <c r="AS369" i="68"/>
  <c r="AV369" i="68" s="1"/>
  <c r="AH371" i="68"/>
  <c r="AT374" i="68"/>
  <c r="AK387" i="68"/>
  <c r="AK392" i="68"/>
  <c r="AQ393" i="68"/>
  <c r="AT394" i="68"/>
  <c r="AK395" i="68"/>
  <c r="AH396" i="68"/>
  <c r="AK397" i="68"/>
  <c r="AT404" i="68"/>
  <c r="AE407" i="68"/>
  <c r="AE409" i="68"/>
  <c r="AK409" i="68"/>
  <c r="AT27" i="68"/>
  <c r="AT51" i="68"/>
  <c r="AE55" i="68"/>
  <c r="AN56" i="68"/>
  <c r="AH56" i="68"/>
  <c r="AP59" i="68"/>
  <c r="AE61" i="68"/>
  <c r="AT12" i="68"/>
  <c r="AS13" i="68"/>
  <c r="AV13" i="68" s="1"/>
  <c r="AQ14" i="68"/>
  <c r="AE15" i="68"/>
  <c r="AK15" i="68"/>
  <c r="AT16" i="68"/>
  <c r="AH16" i="68"/>
  <c r="AQ18" i="68"/>
  <c r="AK19" i="68"/>
  <c r="AQ20" i="68"/>
  <c r="AN22" i="68"/>
  <c r="AH22" i="68"/>
  <c r="AH24" i="68"/>
  <c r="AE27" i="68"/>
  <c r="AK30" i="68"/>
  <c r="AQ31" i="68"/>
  <c r="AK32" i="68"/>
  <c r="AT33" i="68"/>
  <c r="AM34" i="68"/>
  <c r="AH34" i="68"/>
  <c r="AK35" i="68"/>
  <c r="AH39" i="68"/>
  <c r="AP41" i="68"/>
  <c r="AM42" i="68"/>
  <c r="AH42" i="68"/>
  <c r="AQ43" i="68"/>
  <c r="AK43" i="68"/>
  <c r="AK45" i="68"/>
  <c r="AP47" i="68"/>
  <c r="AK47" i="68"/>
  <c r="AN48" i="68"/>
  <c r="AH50" i="68"/>
  <c r="AK50" i="68"/>
  <c r="AP51" i="68"/>
  <c r="AK51" i="68"/>
  <c r="AM57" i="68"/>
  <c r="AK59" i="68"/>
  <c r="AT60" i="68"/>
  <c r="AH60" i="68"/>
  <c r="AQ61" i="68"/>
  <c r="AP66" i="68"/>
  <c r="AM67" i="68"/>
  <c r="AN69" i="68"/>
  <c r="AT76" i="68"/>
  <c r="AN13" i="68"/>
  <c r="AS15" i="68"/>
  <c r="AV15" i="68" s="1"/>
  <c r="AP16" i="68"/>
  <c r="AM18" i="68"/>
  <c r="AM20" i="68"/>
  <c r="AS30" i="68"/>
  <c r="AV30" i="68" s="1"/>
  <c r="AM31" i="68"/>
  <c r="AS32" i="68"/>
  <c r="AV32" i="68" s="1"/>
  <c r="AP33" i="68"/>
  <c r="AK33" i="68"/>
  <c r="AN34" i="68"/>
  <c r="AM35" i="68"/>
  <c r="AE35" i="68"/>
  <c r="AN42" i="68"/>
  <c r="AM43" i="68"/>
  <c r="AM45" i="68"/>
  <c r="AE45" i="68"/>
  <c r="AK14" i="68"/>
  <c r="AK16" i="68"/>
  <c r="AN19" i="68"/>
  <c r="AS19" i="68"/>
  <c r="AV19" i="68" s="1"/>
  <c r="AH30" i="68"/>
  <c r="AH32" i="68"/>
  <c r="AE34" i="68"/>
  <c r="AN39" i="68"/>
  <c r="AH41" i="68"/>
  <c r="AE42" i="68"/>
  <c r="AM44" i="68"/>
  <c r="AK44" i="68"/>
  <c r="AH47" i="68"/>
  <c r="AN50" i="68"/>
  <c r="AB55" i="68"/>
  <c r="AM56" i="68"/>
  <c r="AK56" i="68"/>
  <c r="AT59" i="68"/>
  <c r="AK65" i="68"/>
  <c r="AK61" i="68"/>
  <c r="AM62" i="68"/>
  <c r="AM65" i="68"/>
  <c r="AS65" i="68"/>
  <c r="AV65" i="68" s="1"/>
  <c r="AN67" i="68"/>
  <c r="AQ67" i="68"/>
  <c r="AQ72" i="68"/>
  <c r="AQ74" i="68"/>
  <c r="AB77" i="68"/>
  <c r="AT77" i="68"/>
  <c r="AN80" i="68"/>
  <c r="AP81" i="68"/>
  <c r="AH81" i="68"/>
  <c r="AM83" i="68"/>
  <c r="AE83" i="68"/>
  <c r="AN84" i="68"/>
  <c r="AP90" i="68"/>
  <c r="AH90" i="68"/>
  <c r="AM91" i="68"/>
  <c r="AE91" i="68"/>
  <c r="AP92" i="68"/>
  <c r="AM93" i="68"/>
  <c r="AK93" i="68"/>
  <c r="AP94" i="68"/>
  <c r="AH94" i="68"/>
  <c r="AM95" i="68"/>
  <c r="AE95" i="68"/>
  <c r="AN98" i="68"/>
  <c r="AB100" i="68"/>
  <c r="AT100" i="68"/>
  <c r="AQ101" i="68"/>
  <c r="AN102" i="68"/>
  <c r="AN104" i="68"/>
  <c r="AS104" i="68"/>
  <c r="AV104" i="68" s="1"/>
  <c r="AB106" i="68"/>
  <c r="AM107" i="68"/>
  <c r="AM109" i="68"/>
  <c r="AE109" i="68"/>
  <c r="AB110" i="68"/>
  <c r="AB113" i="68"/>
  <c r="AT113" i="68"/>
  <c r="AQ114" i="68"/>
  <c r="AN115" i="68"/>
  <c r="AB117" i="68"/>
  <c r="AT117" i="68"/>
  <c r="AQ118" i="68"/>
  <c r="AN119" i="68"/>
  <c r="AB121" i="68"/>
  <c r="AT121" i="68"/>
  <c r="AQ122" i="68"/>
  <c r="AN123" i="68"/>
  <c r="AB125" i="68"/>
  <c r="AT125" i="68"/>
  <c r="AP127" i="68"/>
  <c r="AM132" i="68"/>
  <c r="AK132" i="68"/>
  <c r="AP133" i="68"/>
  <c r="AH133" i="68"/>
  <c r="AB135" i="68"/>
  <c r="AM136" i="68"/>
  <c r="AP138" i="68"/>
  <c r="AB141" i="68"/>
  <c r="AQ143" i="68"/>
  <c r="AH152" i="68"/>
  <c r="AP153" i="68"/>
  <c r="AE153" i="68"/>
  <c r="AH61" i="68"/>
  <c r="AT62" i="68"/>
  <c r="AT64" i="68"/>
  <c r="AK64" i="68"/>
  <c r="AN65" i="68"/>
  <c r="AS69" i="68"/>
  <c r="AV69" i="68" s="1"/>
  <c r="AT70" i="68"/>
  <c r="AK72" i="68"/>
  <c r="AN75" i="68"/>
  <c r="AT78" i="68"/>
  <c r="AM79" i="68"/>
  <c r="AE79" i="68"/>
  <c r="AK81" i="68"/>
  <c r="AM82" i="68"/>
  <c r="AN83" i="68"/>
  <c r="AP84" i="68"/>
  <c r="AH84" i="68"/>
  <c r="AM85" i="68"/>
  <c r="AE85" i="68"/>
  <c r="AK90" i="68"/>
  <c r="AS91" i="68"/>
  <c r="AV91" i="68" s="1"/>
  <c r="AN93" i="68"/>
  <c r="AK94" i="68"/>
  <c r="AS95" i="68"/>
  <c r="AV95" i="68" s="1"/>
  <c r="AM97" i="68"/>
  <c r="AE97" i="68"/>
  <c r="AB98" i="68"/>
  <c r="AK98" i="68"/>
  <c r="AM99" i="68"/>
  <c r="AE99" i="68"/>
  <c r="AP100" i="68"/>
  <c r="AM101" i="68"/>
  <c r="AK101" i="68"/>
  <c r="AP102" i="68"/>
  <c r="AH102" i="68"/>
  <c r="AM103" i="68"/>
  <c r="AE103" i="68"/>
  <c r="AB104" i="68"/>
  <c r="AK106" i="68"/>
  <c r="AB107" i="68"/>
  <c r="AT107" i="68"/>
  <c r="AQ108" i="68"/>
  <c r="AN109" i="68"/>
  <c r="AK110" i="68"/>
  <c r="AM112" i="68"/>
  <c r="AE112" i="68"/>
  <c r="AP113" i="68"/>
  <c r="AM114" i="68"/>
  <c r="AK114" i="68"/>
  <c r="AP115" i="68"/>
  <c r="AH115" i="68"/>
  <c r="AM116" i="68"/>
  <c r="AE116" i="68"/>
  <c r="AP117" i="68"/>
  <c r="AM118" i="68"/>
  <c r="AK118" i="68"/>
  <c r="AP119" i="68"/>
  <c r="AH119" i="68"/>
  <c r="AM120" i="68"/>
  <c r="AE120" i="68"/>
  <c r="AP121" i="68"/>
  <c r="AM122" i="68"/>
  <c r="AK122" i="68"/>
  <c r="AP123" i="68"/>
  <c r="AH123" i="68"/>
  <c r="AM124" i="68"/>
  <c r="AE124" i="68"/>
  <c r="AP125" i="68"/>
  <c r="AN132" i="68"/>
  <c r="AK133" i="68"/>
  <c r="AK135" i="68"/>
  <c r="AB136" i="68"/>
  <c r="AT136" i="68"/>
  <c r="AQ137" i="68"/>
  <c r="AT138" i="68"/>
  <c r="AE141" i="68"/>
  <c r="AH141" i="68"/>
  <c r="AS143" i="68"/>
  <c r="AV143" i="68" s="1"/>
  <c r="AH144" i="68"/>
  <c r="AK115" i="68"/>
  <c r="AK119" i="68"/>
  <c r="AK123" i="68"/>
  <c r="AH127" i="68"/>
  <c r="AE132" i="68"/>
  <c r="AQ141" i="68"/>
  <c r="AM143" i="68"/>
  <c r="AE150" i="68"/>
  <c r="AS150" i="68"/>
  <c r="AV150" i="68" s="1"/>
  <c r="AH79" i="68"/>
  <c r="AM80" i="68"/>
  <c r="AE80" i="68"/>
  <c r="AP82" i="68"/>
  <c r="AH82" i="68"/>
  <c r="AB85" i="68"/>
  <c r="AB92" i="68"/>
  <c r="AT92" i="68"/>
  <c r="AH97" i="68"/>
  <c r="AB99" i="68"/>
  <c r="AB103" i="68"/>
  <c r="AE104" i="68"/>
  <c r="AN106" i="68"/>
  <c r="AS106" i="68"/>
  <c r="AV106" i="68" s="1"/>
  <c r="AN110" i="68"/>
  <c r="AS110" i="68"/>
  <c r="AV110" i="68" s="1"/>
  <c r="AT127" i="68"/>
  <c r="AP148" i="68"/>
  <c r="AB148" i="68"/>
  <c r="AM148" i="68"/>
  <c r="AK144" i="68"/>
  <c r="AP146" i="68"/>
  <c r="AQ146" i="68"/>
  <c r="AM150" i="68"/>
  <c r="AQ150" i="68"/>
  <c r="AE152" i="68"/>
  <c r="AK153" i="68"/>
  <c r="AM155" i="68"/>
  <c r="AQ155" i="68"/>
  <c r="AK155" i="68"/>
  <c r="AS157" i="68"/>
  <c r="AV157" i="68" s="1"/>
  <c r="AP158" i="68"/>
  <c r="AM159" i="68"/>
  <c r="AQ159" i="68"/>
  <c r="AK159" i="68"/>
  <c r="AS161" i="68"/>
  <c r="AV161" i="68" s="1"/>
  <c r="AP162" i="68"/>
  <c r="AM163" i="68"/>
  <c r="AQ163" i="68"/>
  <c r="AK163" i="68"/>
  <c r="AS165" i="68"/>
  <c r="AV165" i="68" s="1"/>
  <c r="AP166" i="68"/>
  <c r="AM167" i="68"/>
  <c r="AQ167" i="68"/>
  <c r="AK167" i="68"/>
  <c r="AS169" i="68"/>
  <c r="AV169" i="68" s="1"/>
  <c r="AP170" i="68"/>
  <c r="AM171" i="68"/>
  <c r="AQ171" i="68"/>
  <c r="AK171" i="68"/>
  <c r="AN175" i="68"/>
  <c r="AN177" i="68"/>
  <c r="AN179" i="68"/>
  <c r="AN181" i="68"/>
  <c r="AN183" i="68"/>
  <c r="AQ185" i="68"/>
  <c r="AH185" i="68"/>
  <c r="AQ188" i="68"/>
  <c r="AK188" i="68"/>
  <c r="AQ189" i="68"/>
  <c r="AH189" i="68"/>
  <c r="AQ195" i="68"/>
  <c r="AP196" i="68"/>
  <c r="AM202" i="68"/>
  <c r="AE202" i="68"/>
  <c r="AE204" i="68"/>
  <c r="AH207" i="68"/>
  <c r="AE212" i="68"/>
  <c r="AN218" i="68"/>
  <c r="AP220" i="68"/>
  <c r="AH146" i="68"/>
  <c r="AE147" i="68"/>
  <c r="AK148" i="68"/>
  <c r="AH150" i="68"/>
  <c r="AK152" i="68"/>
  <c r="AN155" i="68"/>
  <c r="AH155" i="68"/>
  <c r="AN157" i="68"/>
  <c r="AK158" i="68"/>
  <c r="AT159" i="68"/>
  <c r="AH159" i="68"/>
  <c r="AN161" i="68"/>
  <c r="AK162" i="68"/>
  <c r="AT163" i="68"/>
  <c r="AH163" i="68"/>
  <c r="AN165" i="68"/>
  <c r="AK166" i="68"/>
  <c r="AN167" i="68"/>
  <c r="AH167" i="68"/>
  <c r="AN169" i="68"/>
  <c r="AK170" i="68"/>
  <c r="AN171" i="68"/>
  <c r="AH171" i="68"/>
  <c r="AM174" i="68"/>
  <c r="AM176" i="68"/>
  <c r="AE176" i="68"/>
  <c r="AB177" i="68"/>
  <c r="AM178" i="68"/>
  <c r="AM180" i="68"/>
  <c r="AE180" i="68"/>
  <c r="AB181" i="68"/>
  <c r="AM182" i="68"/>
  <c r="AE185" i="68"/>
  <c r="AH187" i="68"/>
  <c r="AT188" i="68"/>
  <c r="AH188" i="68"/>
  <c r="AE189" i="68"/>
  <c r="AH191" i="68"/>
  <c r="AA192" i="68"/>
  <c r="AG192" i="68"/>
  <c r="AH193" i="68"/>
  <c r="AS194" i="68"/>
  <c r="AV194" i="68" s="1"/>
  <c r="AE194" i="68"/>
  <c r="AP195" i="68"/>
  <c r="AH195" i="68"/>
  <c r="AE197" i="68"/>
  <c r="AP198" i="68"/>
  <c r="AK199" i="68"/>
  <c r="AH204" i="68"/>
  <c r="AE205" i="68"/>
  <c r="AE207" i="68"/>
  <c r="AK207" i="68"/>
  <c r="AE211" i="68"/>
  <c r="AT212" i="68"/>
  <c r="AH212" i="68"/>
  <c r="AE213" i="68"/>
  <c r="AP214" i="68"/>
  <c r="AP218" i="68"/>
  <c r="AK220" i="68"/>
  <c r="AH153" i="68"/>
  <c r="AS162" i="68"/>
  <c r="AV162" i="68" s="1"/>
  <c r="AK175" i="68"/>
  <c r="AT176" i="68"/>
  <c r="AH176" i="68"/>
  <c r="AE177" i="68"/>
  <c r="AK179" i="68"/>
  <c r="AT180" i="68"/>
  <c r="AH180" i="68"/>
  <c r="AE181" i="68"/>
  <c r="AK183" i="68"/>
  <c r="AP187" i="68"/>
  <c r="AP191" i="68"/>
  <c r="AP193" i="68"/>
  <c r="AH197" i="68"/>
  <c r="AT211" i="68"/>
  <c r="AH211" i="68"/>
  <c r="AH216" i="68"/>
  <c r="AK218" i="68"/>
  <c r="AK383" i="68"/>
  <c r="AS112" i="68"/>
  <c r="AV112" i="68" s="1"/>
  <c r="O258" i="68"/>
  <c r="P14" i="68"/>
  <c r="P5" i="68" s="1"/>
  <c r="O40" i="68"/>
  <c r="O46" i="68"/>
  <c r="AS3" i="68"/>
  <c r="AO4" i="68"/>
  <c r="AP22" i="68"/>
  <c r="AB27" i="68"/>
  <c r="AM27" i="68"/>
  <c r="AQ44" i="68"/>
  <c r="AT44" i="68"/>
  <c r="AN44" i="68"/>
  <c r="AG54" i="68"/>
  <c r="AC58" i="68"/>
  <c r="AK3" i="68"/>
  <c r="AN3" i="68"/>
  <c r="AQ3" i="68"/>
  <c r="AT3" i="68"/>
  <c r="AP60" i="68"/>
  <c r="AS60" i="68"/>
  <c r="AB60" i="68"/>
  <c r="AM60" i="68"/>
  <c r="AM3" i="68"/>
  <c r="AP3" i="68"/>
  <c r="AB4" i="68"/>
  <c r="AS4" i="68"/>
  <c r="AU4" i="68" s="1"/>
  <c r="AN12" i="68"/>
  <c r="AP13" i="68"/>
  <c r="AT13" i="68"/>
  <c r="AT14" i="68"/>
  <c r="AP15" i="68"/>
  <c r="AT15" i="68"/>
  <c r="AQ16" i="68"/>
  <c r="AP19" i="68"/>
  <c r="AT19" i="68"/>
  <c r="O20" i="68"/>
  <c r="AB22" i="68"/>
  <c r="AS22" i="68"/>
  <c r="AB25" i="68"/>
  <c r="AS25" i="68"/>
  <c r="AB26" i="68"/>
  <c r="AS26" i="68"/>
  <c r="AQ27" i="68"/>
  <c r="AP30" i="68"/>
  <c r="AT30" i="68"/>
  <c r="O31" i="68"/>
  <c r="AP32" i="68"/>
  <c r="AT32" i="68"/>
  <c r="AQ33" i="68"/>
  <c r="AB35" i="68"/>
  <c r="AS35" i="68"/>
  <c r="BO40" i="68"/>
  <c r="BS40" i="68"/>
  <c r="AQ41" i="68"/>
  <c r="AB45" i="68"/>
  <c r="AS45" i="68"/>
  <c r="BO46" i="68"/>
  <c r="AI46" i="68" s="1"/>
  <c r="AQ47" i="68"/>
  <c r="BC49" i="68"/>
  <c r="BS49" i="68"/>
  <c r="AI49" i="68" s="1"/>
  <c r="AQ51" i="68"/>
  <c r="AQ53" i="68"/>
  <c r="AB57" i="68"/>
  <c r="AS57" i="68"/>
  <c r="AQ59" i="68"/>
  <c r="AQ60" i="68"/>
  <c r="AT61" i="68"/>
  <c r="AN61" i="68"/>
  <c r="AP62" i="68"/>
  <c r="AC64" i="68"/>
  <c r="BC63" i="68"/>
  <c r="AC63" i="68" s="1"/>
  <c r="AB65" i="68"/>
  <c r="AN66" i="68"/>
  <c r="AI67" i="68"/>
  <c r="AK67" i="68" s="1"/>
  <c r="BQ63" i="68"/>
  <c r="AI63" i="68" s="1"/>
  <c r="AP69" i="68"/>
  <c r="AE70" i="68"/>
  <c r="BO73" i="68"/>
  <c r="AE75" i="68"/>
  <c r="Z76" i="68"/>
  <c r="AS77" i="68"/>
  <c r="AE77" i="68"/>
  <c r="AE78" i="68"/>
  <c r="AQ78" i="68"/>
  <c r="AQ79" i="68"/>
  <c r="AT79" i="68"/>
  <c r="AN79" i="68"/>
  <c r="AM13" i="68"/>
  <c r="AQ13" i="68"/>
  <c r="AM15" i="68"/>
  <c r="AQ15" i="68"/>
  <c r="AN16" i="68"/>
  <c r="AB18" i="68"/>
  <c r="AS18" i="68"/>
  <c r="AH19" i="68"/>
  <c r="AQ19" i="68"/>
  <c r="AB20" i="68"/>
  <c r="AS20" i="68"/>
  <c r="AT22" i="68"/>
  <c r="O23" i="68"/>
  <c r="AT24" i="68"/>
  <c r="AT25" i="68"/>
  <c r="AT26" i="68"/>
  <c r="AN27" i="68"/>
  <c r="AM30" i="68"/>
  <c r="AQ30" i="68"/>
  <c r="AB31" i="68"/>
  <c r="AS31" i="68"/>
  <c r="AM32" i="68"/>
  <c r="AQ32" i="68"/>
  <c r="AE33" i="68"/>
  <c r="AN33" i="68"/>
  <c r="AB34" i="68"/>
  <c r="AS34" i="68"/>
  <c r="AT35" i="68"/>
  <c r="AB37" i="68"/>
  <c r="AS37" i="68"/>
  <c r="AB38" i="68"/>
  <c r="AS38" i="68"/>
  <c r="AB39" i="68"/>
  <c r="AE41" i="68"/>
  <c r="AN41" i="68"/>
  <c r="AB42" i="68"/>
  <c r="AS42" i="68"/>
  <c r="AB43" i="68"/>
  <c r="AS43" i="68"/>
  <c r="AB44" i="68"/>
  <c r="AT45" i="68"/>
  <c r="AE47" i="68"/>
  <c r="AN47" i="68"/>
  <c r="AB48" i="68"/>
  <c r="AE51" i="68"/>
  <c r="AN51" i="68"/>
  <c r="AN53" i="68"/>
  <c r="AS56" i="68"/>
  <c r="AP57" i="68"/>
  <c r="AT57" i="68"/>
  <c r="AN59" i="68"/>
  <c r="AN60" i="68"/>
  <c r="AB61" i="68"/>
  <c r="AS61" i="68"/>
  <c r="AQ62" i="68"/>
  <c r="AQ64" i="68"/>
  <c r="AH65" i="68"/>
  <c r="AQ70" i="68"/>
  <c r="AT72" i="68"/>
  <c r="AN72" i="68"/>
  <c r="O74" i="68"/>
  <c r="AQ4" i="68"/>
  <c r="AB16" i="68"/>
  <c r="AS16" i="68"/>
  <c r="L17" i="68"/>
  <c r="AP18" i="68"/>
  <c r="AT18" i="68"/>
  <c r="O19" i="68"/>
  <c r="AP20" i="68"/>
  <c r="AT20" i="68"/>
  <c r="AQ22" i="68"/>
  <c r="AQ24" i="68"/>
  <c r="AQ25" i="68"/>
  <c r="AQ26" i="68"/>
  <c r="AP31" i="68"/>
  <c r="AT31" i="68"/>
  <c r="O32" i="68"/>
  <c r="AB33" i="68"/>
  <c r="AS33" i="68"/>
  <c r="AP34" i="68"/>
  <c r="AT34" i="68"/>
  <c r="AQ35" i="68"/>
  <c r="AP37" i="68"/>
  <c r="AT37" i="68"/>
  <c r="AP38" i="68"/>
  <c r="AT38" i="68"/>
  <c r="AT39" i="68"/>
  <c r="AB41" i="68"/>
  <c r="AS41" i="68"/>
  <c r="AP42" i="68"/>
  <c r="AT42" i="68"/>
  <c r="AP43" i="68"/>
  <c r="AT43" i="68"/>
  <c r="AQ45" i="68"/>
  <c r="AB47" i="68"/>
  <c r="AS47" i="68"/>
  <c r="AP48" i="68"/>
  <c r="AT48" i="68"/>
  <c r="AT50" i="68"/>
  <c r="AB51" i="68"/>
  <c r="AS51" i="68"/>
  <c r="AB53" i="68"/>
  <c r="AS53" i="68"/>
  <c r="AP55" i="68"/>
  <c r="AP56" i="68"/>
  <c r="AT56" i="68"/>
  <c r="AQ57" i="68"/>
  <c r="AB59" i="68"/>
  <c r="AS59" i="68"/>
  <c r="AP61" i="68"/>
  <c r="AH62" i="68"/>
  <c r="AP65" i="68"/>
  <c r="AT65" i="68"/>
  <c r="AQ65" i="68"/>
  <c r="AM66" i="68"/>
  <c r="AP67" i="68"/>
  <c r="AB69" i="68"/>
  <c r="AQ69" i="68"/>
  <c r="AH69" i="68"/>
  <c r="AT69" i="68"/>
  <c r="AN70" i="68"/>
  <c r="AS70" i="68"/>
  <c r="O71" i="68"/>
  <c r="AC72" i="68"/>
  <c r="AE72" i="68" s="1"/>
  <c r="BC71" i="68"/>
  <c r="AC71" i="68" s="1"/>
  <c r="AK74" i="68"/>
  <c r="AP75" i="68"/>
  <c r="AB75" i="68"/>
  <c r="AM75" i="68"/>
  <c r="AM77" i="68"/>
  <c r="AH77" i="68"/>
  <c r="AP78" i="68"/>
  <c r="AS78" i="68"/>
  <c r="AB78" i="68"/>
  <c r="AI80" i="68"/>
  <c r="AK80" i="68" s="1"/>
  <c r="BS73" i="68"/>
  <c r="AS98" i="68"/>
  <c r="AE98" i="68"/>
  <c r="AP4" i="68"/>
  <c r="AB3" i="68"/>
  <c r="Z12" i="68"/>
  <c r="AQ12" i="68"/>
  <c r="AB13" i="68"/>
  <c r="AB14" i="68"/>
  <c r="AB15" i="68"/>
  <c r="O58" i="68"/>
  <c r="AS62" i="68"/>
  <c r="AB62" i="68"/>
  <c r="AT66" i="68"/>
  <c r="AC68" i="68"/>
  <c r="AI68" i="68"/>
  <c r="AB70" i="68"/>
  <c r="AM70" i="68"/>
  <c r="AD71" i="68"/>
  <c r="AH76" i="68"/>
  <c r="AN78" i="68"/>
  <c r="AB66" i="68"/>
  <c r="AS66" i="68"/>
  <c r="AT67" i="68"/>
  <c r="AT74" i="68"/>
  <c r="AQ76" i="68"/>
  <c r="AQ77" i="68"/>
  <c r="AB79" i="68"/>
  <c r="AS79" i="68"/>
  <c r="AP80" i="68"/>
  <c r="AT80" i="68"/>
  <c r="AB81" i="68"/>
  <c r="AS81" i="68"/>
  <c r="AB82" i="68"/>
  <c r="AS82" i="68"/>
  <c r="AB83" i="68"/>
  <c r="AS83" i="68"/>
  <c r="AB84" i="68"/>
  <c r="AS84" i="68"/>
  <c r="AP85" i="68"/>
  <c r="AT85" i="68"/>
  <c r="AQ87" i="68"/>
  <c r="AB90" i="68"/>
  <c r="AS90" i="68"/>
  <c r="AP91" i="68"/>
  <c r="AT91" i="68"/>
  <c r="AQ92" i="68"/>
  <c r="AB94" i="68"/>
  <c r="AS94" i="68"/>
  <c r="AP95" i="68"/>
  <c r="AT95" i="68"/>
  <c r="AI96" i="68"/>
  <c r="AB97" i="68"/>
  <c r="AS97" i="68"/>
  <c r="AP98" i="68"/>
  <c r="AT98" i="68"/>
  <c r="AP99" i="68"/>
  <c r="AT99" i="68"/>
  <c r="AQ100" i="68"/>
  <c r="AB102" i="68"/>
  <c r="AS102" i="68"/>
  <c r="AP103" i="68"/>
  <c r="AT103" i="68"/>
  <c r="O104" i="68"/>
  <c r="AP104" i="68"/>
  <c r="AT104" i="68"/>
  <c r="O106" i="68"/>
  <c r="AP106" i="68"/>
  <c r="AT106" i="68"/>
  <c r="AQ107" i="68"/>
  <c r="AB109" i="68"/>
  <c r="AS109" i="68"/>
  <c r="AP110" i="68"/>
  <c r="AT110" i="68"/>
  <c r="O112" i="68"/>
  <c r="AP112" i="68"/>
  <c r="AT112" i="68"/>
  <c r="AQ113" i="68"/>
  <c r="AB115" i="68"/>
  <c r="AS115" i="68"/>
  <c r="AP116" i="68"/>
  <c r="AT116" i="68"/>
  <c r="AQ117" i="68"/>
  <c r="AB119" i="68"/>
  <c r="AS119" i="68"/>
  <c r="AP120" i="68"/>
  <c r="AT120" i="68"/>
  <c r="AQ121" i="68"/>
  <c r="AB123" i="68"/>
  <c r="AS123" i="68"/>
  <c r="AP124" i="68"/>
  <c r="AT124" i="68"/>
  <c r="AQ125" i="68"/>
  <c r="AQ127" i="68"/>
  <c r="AB133" i="68"/>
  <c r="AS133" i="68"/>
  <c r="AP135" i="68"/>
  <c r="AT135" i="68"/>
  <c r="AQ136" i="68"/>
  <c r="AB138" i="68"/>
  <c r="AP141" i="68"/>
  <c r="AK141" i="68"/>
  <c r="AM142" i="68"/>
  <c r="AP143" i="68"/>
  <c r="AK143" i="68"/>
  <c r="AS144" i="68"/>
  <c r="AP145" i="68"/>
  <c r="AE146" i="68"/>
  <c r="AP147" i="68"/>
  <c r="AE148" i="68"/>
  <c r="AT150" i="68"/>
  <c r="AP151" i="68"/>
  <c r="AN152" i="68"/>
  <c r="AS153" i="68"/>
  <c r="AM156" i="68"/>
  <c r="AN77" i="68"/>
  <c r="AQ80" i="68"/>
  <c r="AT81" i="68"/>
  <c r="AT82" i="68"/>
  <c r="AT83" i="68"/>
  <c r="AT84" i="68"/>
  <c r="AH85" i="68"/>
  <c r="AQ85" i="68"/>
  <c r="AE87" i="68"/>
  <c r="AN87" i="68"/>
  <c r="AT90" i="68"/>
  <c r="AH91" i="68"/>
  <c r="AQ91" i="68"/>
  <c r="AE92" i="68"/>
  <c r="AN92" i="68"/>
  <c r="AB93" i="68"/>
  <c r="AS93" i="68"/>
  <c r="AT94" i="68"/>
  <c r="AH95" i="68"/>
  <c r="AQ95" i="68"/>
  <c r="AF96" i="68"/>
  <c r="AT97" i="68"/>
  <c r="AH99" i="68"/>
  <c r="AQ99" i="68"/>
  <c r="AE100" i="68"/>
  <c r="AN100" i="68"/>
  <c r="AB101" i="68"/>
  <c r="AS101" i="68"/>
  <c r="AT102" i="68"/>
  <c r="AH103" i="68"/>
  <c r="AQ103" i="68"/>
  <c r="AH104" i="68"/>
  <c r="AQ104" i="68"/>
  <c r="AH106" i="68"/>
  <c r="AQ106" i="68"/>
  <c r="AE107" i="68"/>
  <c r="AN107" i="68"/>
  <c r="AB108" i="68"/>
  <c r="AS108" i="68"/>
  <c r="AT109" i="68"/>
  <c r="AH110" i="68"/>
  <c r="AQ110" i="68"/>
  <c r="AH112" i="68"/>
  <c r="AQ112" i="68"/>
  <c r="AE113" i="68"/>
  <c r="AN113" i="68"/>
  <c r="AB114" i="68"/>
  <c r="AS114" i="68"/>
  <c r="AT115" i="68"/>
  <c r="AH116" i="68"/>
  <c r="AQ116" i="68"/>
  <c r="AE117" i="68"/>
  <c r="AN117" i="68"/>
  <c r="AB118" i="68"/>
  <c r="AS118" i="68"/>
  <c r="AT119" i="68"/>
  <c r="AH120" i="68"/>
  <c r="AQ120" i="68"/>
  <c r="AE121" i="68"/>
  <c r="AN121" i="68"/>
  <c r="AB122" i="68"/>
  <c r="AS122" i="68"/>
  <c r="AT123" i="68"/>
  <c r="AH124" i="68"/>
  <c r="AQ124" i="68"/>
  <c r="AE125" i="68"/>
  <c r="AN125" i="68"/>
  <c r="AE127" i="68"/>
  <c r="AN127" i="68"/>
  <c r="AB132" i="68"/>
  <c r="AS132" i="68"/>
  <c r="AT133" i="68"/>
  <c r="AH135" i="68"/>
  <c r="AQ135" i="68"/>
  <c r="AE136" i="68"/>
  <c r="AN136" i="68"/>
  <c r="AB137" i="68"/>
  <c r="AS137" i="68"/>
  <c r="AQ138" i="68"/>
  <c r="O140" i="68"/>
  <c r="AT142" i="68"/>
  <c r="AT144" i="68"/>
  <c r="AS145" i="68"/>
  <c r="AM147" i="68"/>
  <c r="AS149" i="68"/>
  <c r="AE149" i="68"/>
  <c r="AT153" i="68"/>
  <c r="AQ153" i="68"/>
  <c r="AN153" i="68"/>
  <c r="AG154" i="68"/>
  <c r="AD154" i="68"/>
  <c r="AJ154" i="68"/>
  <c r="AQ81" i="68"/>
  <c r="AQ82" i="68"/>
  <c r="AQ83" i="68"/>
  <c r="AQ84" i="68"/>
  <c r="AS87" i="68"/>
  <c r="N88" i="68"/>
  <c r="BC88" i="68"/>
  <c r="AQ90" i="68"/>
  <c r="AS92" i="68"/>
  <c r="AP93" i="68"/>
  <c r="AT93" i="68"/>
  <c r="AQ94" i="68"/>
  <c r="AQ97" i="68"/>
  <c r="AS100" i="68"/>
  <c r="AP101" i="68"/>
  <c r="AT101" i="68"/>
  <c r="AQ102" i="68"/>
  <c r="AS107" i="68"/>
  <c r="AP108" i="68"/>
  <c r="AT108" i="68"/>
  <c r="AQ109" i="68"/>
  <c r="AS113" i="68"/>
  <c r="AP114" i="68"/>
  <c r="AT114" i="68"/>
  <c r="AQ115" i="68"/>
  <c r="AS117" i="68"/>
  <c r="AP118" i="68"/>
  <c r="AT118" i="68"/>
  <c r="AQ119" i="68"/>
  <c r="AS121" i="68"/>
  <c r="AP122" i="68"/>
  <c r="AT122" i="68"/>
  <c r="AQ123" i="68"/>
  <c r="AS125" i="68"/>
  <c r="AS127" i="68"/>
  <c r="AP132" i="68"/>
  <c r="AT132" i="68"/>
  <c r="AQ133" i="68"/>
  <c r="AS136" i="68"/>
  <c r="AP137" i="68"/>
  <c r="AT137" i="68"/>
  <c r="AS138" i="68"/>
  <c r="AM138" i="68"/>
  <c r="AD140" i="68"/>
  <c r="BD139" i="68"/>
  <c r="AJ140" i="68"/>
  <c r="BP139" i="68"/>
  <c r="AN142" i="68"/>
  <c r="AN144" i="68"/>
  <c r="AQ145" i="68"/>
  <c r="AH145" i="68"/>
  <c r="AT145" i="68"/>
  <c r="AT146" i="68"/>
  <c r="AS146" i="68"/>
  <c r="AQ147" i="68"/>
  <c r="AH147" i="68"/>
  <c r="AT147" i="68"/>
  <c r="AN148" i="68"/>
  <c r="AS148" i="68"/>
  <c r="AT149" i="68"/>
  <c r="AQ149" i="68"/>
  <c r="AH149" i="68"/>
  <c r="AK150" i="68"/>
  <c r="AS155" i="68"/>
  <c r="AV155" i="68" s="1"/>
  <c r="AE156" i="68"/>
  <c r="AP156" i="68"/>
  <c r="AN138" i="68"/>
  <c r="AS152" i="68"/>
  <c r="AB152" i="68"/>
  <c r="AP152" i="68"/>
  <c r="AA154" i="68"/>
  <c r="AX139" i="68"/>
  <c r="O155" i="68"/>
  <c r="N154" i="68"/>
  <c r="AN141" i="68"/>
  <c r="AB142" i="68"/>
  <c r="AS142" i="68"/>
  <c r="AT143" i="68"/>
  <c r="AM144" i="68"/>
  <c r="AM145" i="68"/>
  <c r="AN146" i="68"/>
  <c r="AB147" i="68"/>
  <c r="AS147" i="68"/>
  <c r="AT148" i="68"/>
  <c r="AM149" i="68"/>
  <c r="AN150" i="68"/>
  <c r="AB151" i="68"/>
  <c r="AS151" i="68"/>
  <c r="AT152" i="68"/>
  <c r="AM153" i="68"/>
  <c r="AB156" i="68"/>
  <c r="AS156" i="68"/>
  <c r="AP157" i="68"/>
  <c r="AT157" i="68"/>
  <c r="AQ158" i="68"/>
  <c r="AN159" i="68"/>
  <c r="AB160" i="68"/>
  <c r="AS160" i="68"/>
  <c r="AP161" i="68"/>
  <c r="AT161" i="68"/>
  <c r="AM162" i="68"/>
  <c r="AQ162" i="68"/>
  <c r="AN163" i="68"/>
  <c r="AB164" i="68"/>
  <c r="AS164" i="68"/>
  <c r="AP165" i="68"/>
  <c r="AT165" i="68"/>
  <c r="AQ166" i="68"/>
  <c r="AB168" i="68"/>
  <c r="AS168" i="68"/>
  <c r="AP169" i="68"/>
  <c r="AT169" i="68"/>
  <c r="AQ170" i="68"/>
  <c r="AB172" i="68"/>
  <c r="AS172" i="68"/>
  <c r="AB174" i="68"/>
  <c r="AS174" i="68"/>
  <c r="AP175" i="68"/>
  <c r="AT175" i="68"/>
  <c r="AQ176" i="68"/>
  <c r="AB178" i="68"/>
  <c r="AS178" i="68"/>
  <c r="AP179" i="68"/>
  <c r="AT179" i="68"/>
  <c r="AQ180" i="68"/>
  <c r="AB182" i="68"/>
  <c r="AS182" i="68"/>
  <c r="AP183" i="68"/>
  <c r="AT183" i="68"/>
  <c r="AM185" i="68"/>
  <c r="AP186" i="68"/>
  <c r="AK186" i="68"/>
  <c r="AQ186" i="68"/>
  <c r="AS187" i="68"/>
  <c r="AP188" i="68"/>
  <c r="AM189" i="68"/>
  <c r="AP190" i="68"/>
  <c r="AK190" i="68"/>
  <c r="AQ190" i="68"/>
  <c r="AS191" i="68"/>
  <c r="AE195" i="68"/>
  <c r="AE199" i="68"/>
  <c r="AP204" i="68"/>
  <c r="AK204" i="68"/>
  <c r="AQ204" i="68"/>
  <c r="AS205" i="68"/>
  <c r="AD206" i="68"/>
  <c r="AJ206" i="68"/>
  <c r="AQ207" i="68"/>
  <c r="AT207" i="68"/>
  <c r="AP211" i="68"/>
  <c r="AK211" i="68"/>
  <c r="AQ211" i="68"/>
  <c r="AP212" i="68"/>
  <c r="AK212" i="68"/>
  <c r="AQ212" i="68"/>
  <c r="AM213" i="68"/>
  <c r="AT156" i="68"/>
  <c r="AM157" i="68"/>
  <c r="AQ157" i="68"/>
  <c r="AN158" i="68"/>
  <c r="AS159" i="68"/>
  <c r="AP160" i="68"/>
  <c r="AT160" i="68"/>
  <c r="AM161" i="68"/>
  <c r="AQ161" i="68"/>
  <c r="AN162" i="68"/>
  <c r="AS163" i="68"/>
  <c r="AP164" i="68"/>
  <c r="AT164" i="68"/>
  <c r="AM165" i="68"/>
  <c r="AQ165" i="68"/>
  <c r="AN166" i="68"/>
  <c r="AS167" i="68"/>
  <c r="AP168" i="68"/>
  <c r="AT168" i="68"/>
  <c r="AM169" i="68"/>
  <c r="AQ169" i="68"/>
  <c r="AN170" i="68"/>
  <c r="AS171" i="68"/>
  <c r="AP172" i="68"/>
  <c r="AT172" i="68"/>
  <c r="AP174" i="68"/>
  <c r="AT174" i="68"/>
  <c r="AM175" i="68"/>
  <c r="AQ175" i="68"/>
  <c r="AN176" i="68"/>
  <c r="AS177" i="68"/>
  <c r="AP178" i="68"/>
  <c r="AT178" i="68"/>
  <c r="AM179" i="68"/>
  <c r="AQ179" i="68"/>
  <c r="AN180" i="68"/>
  <c r="AS181" i="68"/>
  <c r="AP182" i="68"/>
  <c r="AT182" i="68"/>
  <c r="AM183" i="68"/>
  <c r="AQ183" i="68"/>
  <c r="AT185" i="68"/>
  <c r="AS186" i="68"/>
  <c r="AB187" i="68"/>
  <c r="AQ187" i="68"/>
  <c r="AT187" i="68"/>
  <c r="AS188" i="68"/>
  <c r="AT189" i="68"/>
  <c r="AS190" i="68"/>
  <c r="AB191" i="68"/>
  <c r="AQ191" i="68"/>
  <c r="AT191" i="68"/>
  <c r="AB193" i="68"/>
  <c r="AQ193" i="68"/>
  <c r="AT193" i="68"/>
  <c r="AQ197" i="68"/>
  <c r="AS204" i="68"/>
  <c r="AB205" i="68"/>
  <c r="AQ205" i="68"/>
  <c r="AT205" i="68"/>
  <c r="AT210" i="68"/>
  <c r="AS211" i="68"/>
  <c r="AS212" i="68"/>
  <c r="AQ213" i="68"/>
  <c r="AB213" i="68"/>
  <c r="AT213" i="68"/>
  <c r="AB144" i="68"/>
  <c r="AB145" i="68"/>
  <c r="AB149" i="68"/>
  <c r="AP150" i="68"/>
  <c r="AQ151" i="68"/>
  <c r="AB153" i="68"/>
  <c r="AP155" i="68"/>
  <c r="AT155" i="68"/>
  <c r="AQ156" i="68"/>
  <c r="AB158" i="68"/>
  <c r="AS158" i="68"/>
  <c r="AP159" i="68"/>
  <c r="AQ160" i="68"/>
  <c r="AB162" i="68"/>
  <c r="AP163" i="68"/>
  <c r="AQ164" i="68"/>
  <c r="AB166" i="68"/>
  <c r="AS166" i="68"/>
  <c r="AP167" i="68"/>
  <c r="AT167" i="68"/>
  <c r="AQ168" i="68"/>
  <c r="AB170" i="68"/>
  <c r="AS170" i="68"/>
  <c r="AP171" i="68"/>
  <c r="AT171" i="68"/>
  <c r="AQ172" i="68"/>
  <c r="AQ174" i="68"/>
  <c r="AB176" i="68"/>
  <c r="AS176" i="68"/>
  <c r="AP177" i="68"/>
  <c r="AT177" i="68"/>
  <c r="AQ178" i="68"/>
  <c r="AB180" i="68"/>
  <c r="AS180" i="68"/>
  <c r="AP181" i="68"/>
  <c r="AT181" i="68"/>
  <c r="AQ182" i="68"/>
  <c r="AN185" i="68"/>
  <c r="AN187" i="68"/>
  <c r="AN189" i="68"/>
  <c r="AN191" i="68"/>
  <c r="AN193" i="68"/>
  <c r="AB194" i="68"/>
  <c r="AQ194" i="68"/>
  <c r="AH194" i="68"/>
  <c r="AT194" i="68"/>
  <c r="AT195" i="68"/>
  <c r="AS195" i="68"/>
  <c r="AQ196" i="68"/>
  <c r="AH196" i="68"/>
  <c r="AT196" i="68"/>
  <c r="AN197" i="68"/>
  <c r="AS197" i="68"/>
  <c r="AB198" i="68"/>
  <c r="AQ198" i="68"/>
  <c r="AH198" i="68"/>
  <c r="AT198" i="68"/>
  <c r="AT199" i="68"/>
  <c r="AS199" i="68"/>
  <c r="AQ202" i="68"/>
  <c r="AH202" i="68"/>
  <c r="AT202" i="68"/>
  <c r="AN205" i="68"/>
  <c r="AP207" i="68"/>
  <c r="AN210" i="68"/>
  <c r="AS213" i="68"/>
  <c r="AN213" i="68"/>
  <c r="AN214" i="68"/>
  <c r="AQ214" i="68"/>
  <c r="AT214" i="68"/>
  <c r="AB214" i="68"/>
  <c r="AH214" i="68"/>
  <c r="AB157" i="68"/>
  <c r="AB161" i="68"/>
  <c r="AB165" i="68"/>
  <c r="AB169" i="68"/>
  <c r="AB175" i="68"/>
  <c r="AB179" i="68"/>
  <c r="AB183" i="68"/>
  <c r="AB195" i="68"/>
  <c r="AM195" i="68"/>
  <c r="AB197" i="68"/>
  <c r="AM197" i="68"/>
  <c r="AB199" i="68"/>
  <c r="AM199" i="68"/>
  <c r="AS207" i="68"/>
  <c r="O212" i="68"/>
  <c r="AB185" i="68"/>
  <c r="AS185" i="68"/>
  <c r="AT186" i="68"/>
  <c r="AM187" i="68"/>
  <c r="AN188" i="68"/>
  <c r="AB189" i="68"/>
  <c r="AS189" i="68"/>
  <c r="AT190" i="68"/>
  <c r="AM191" i="68"/>
  <c r="AM193" i="68"/>
  <c r="AM194" i="68"/>
  <c r="AN195" i="68"/>
  <c r="AB196" i="68"/>
  <c r="AS196" i="68"/>
  <c r="AT197" i="68"/>
  <c r="AM198" i="68"/>
  <c r="AN199" i="68"/>
  <c r="AB202" i="68"/>
  <c r="AS202" i="68"/>
  <c r="AT204" i="68"/>
  <c r="AM205" i="68"/>
  <c r="AM207" i="68"/>
  <c r="AM210" i="68"/>
  <c r="AN211" i="68"/>
  <c r="AN212" i="68"/>
  <c r="AS214" i="68"/>
  <c r="AB216" i="68"/>
  <c r="AS216" i="68"/>
  <c r="AB218" i="68"/>
  <c r="AS218" i="68"/>
  <c r="AB220" i="68"/>
  <c r="AS220" i="68"/>
  <c r="AP222" i="68"/>
  <c r="AT222" i="68"/>
  <c r="AC226" i="68"/>
  <c r="AH227" i="68"/>
  <c r="AM227" i="68"/>
  <c r="AQ227" i="68"/>
  <c r="BD228" i="68"/>
  <c r="BL228" i="68"/>
  <c r="BL247" i="68" s="1"/>
  <c r="BP228" i="68"/>
  <c r="AP230" i="68"/>
  <c r="AT230" i="68"/>
  <c r="AM231" i="68"/>
  <c r="AQ231" i="68"/>
  <c r="O232" i="68"/>
  <c r="AB233" i="68"/>
  <c r="AS233" i="68"/>
  <c r="AP234" i="68"/>
  <c r="AT234" i="68"/>
  <c r="AM235" i="68"/>
  <c r="AQ235" i="68"/>
  <c r="O236" i="68"/>
  <c r="AB237" i="68"/>
  <c r="AS237" i="68"/>
  <c r="AP238" i="68"/>
  <c r="AT238" i="68"/>
  <c r="AM239" i="68"/>
  <c r="AQ239" i="68"/>
  <c r="AN240" i="68"/>
  <c r="AP242" i="68"/>
  <c r="AT242" i="68"/>
  <c r="AE244" i="68"/>
  <c r="AN244" i="68"/>
  <c r="AB245" i="68"/>
  <c r="AP245" i="68"/>
  <c r="AQ246" i="68"/>
  <c r="AT249" i="68"/>
  <c r="AP253" i="68"/>
  <c r="AP255" i="68"/>
  <c r="AK255" i="68"/>
  <c r="AQ255" i="68"/>
  <c r="AJ256" i="68"/>
  <c r="AC257" i="68"/>
  <c r="BE256" i="68"/>
  <c r="O260" i="68"/>
  <c r="AQ260" i="68"/>
  <c r="O262" i="68"/>
  <c r="AH263" i="68"/>
  <c r="AP216" i="68"/>
  <c r="AT216" i="68"/>
  <c r="AT218" i="68"/>
  <c r="AT220" i="68"/>
  <c r="AH222" i="68"/>
  <c r="AQ222" i="68"/>
  <c r="Z226" i="68"/>
  <c r="AE227" i="68"/>
  <c r="AH230" i="68"/>
  <c r="AE231" i="68"/>
  <c r="AN231" i="68"/>
  <c r="AT233" i="68"/>
  <c r="AH234" i="68"/>
  <c r="AQ234" i="68"/>
  <c r="AE235" i="68"/>
  <c r="AN235" i="68"/>
  <c r="AT237" i="68"/>
  <c r="AH238" i="68"/>
  <c r="AE239" i="68"/>
  <c r="AN239" i="68"/>
  <c r="AB240" i="68"/>
  <c r="AS240" i="68"/>
  <c r="AH242" i="68"/>
  <c r="O243" i="68"/>
  <c r="AB244" i="68"/>
  <c r="AS244" i="68"/>
  <c r="AQ245" i="68"/>
  <c r="AP249" i="68"/>
  <c r="AB253" i="68"/>
  <c r="AC254" i="68"/>
  <c r="AS255" i="68"/>
  <c r="AV255" i="68" s="1"/>
  <c r="AQ257" i="68"/>
  <c r="AQ259" i="68"/>
  <c r="AS260" i="68"/>
  <c r="AV260" i="68" s="1"/>
  <c r="AQ261" i="68"/>
  <c r="AC262" i="68"/>
  <c r="AB207" i="68"/>
  <c r="AB210" i="68"/>
  <c r="AQ216" i="68"/>
  <c r="AQ218" i="68"/>
  <c r="AQ220" i="68"/>
  <c r="AB227" i="68"/>
  <c r="AQ233" i="68"/>
  <c r="AQ237" i="68"/>
  <c r="AP240" i="68"/>
  <c r="AP244" i="68"/>
  <c r="AM245" i="68"/>
  <c r="AS246" i="68"/>
  <c r="AB246" i="68"/>
  <c r="AN246" i="68"/>
  <c r="O253" i="68"/>
  <c r="AE253" i="68"/>
  <c r="AH253" i="68"/>
  <c r="AM253" i="68"/>
  <c r="O254" i="68"/>
  <c r="AF254" i="68"/>
  <c r="AB255" i="68"/>
  <c r="AM255" i="68"/>
  <c r="AD256" i="68"/>
  <c r="AQ258" i="68"/>
  <c r="AT258" i="68"/>
  <c r="AN259" i="68"/>
  <c r="AS259" i="68"/>
  <c r="AN260" i="68"/>
  <c r="AM260" i="68"/>
  <c r="AN261" i="68"/>
  <c r="AS261" i="68"/>
  <c r="O275" i="68"/>
  <c r="AT245" i="68"/>
  <c r="AM249" i="68"/>
  <c r="AS249" i="68"/>
  <c r="AT253" i="68"/>
  <c r="O255" i="68"/>
  <c r="AN257" i="68"/>
  <c r="AB259" i="68"/>
  <c r="AM259" i="68"/>
  <c r="AB260" i="68"/>
  <c r="AK260" i="68"/>
  <c r="AB261" i="68"/>
  <c r="AM261" i="68"/>
  <c r="AN253" i="68"/>
  <c r="S414" i="68"/>
  <c r="S417" i="68" s="1"/>
  <c r="S8" i="68" s="1"/>
  <c r="BB414" i="68"/>
  <c r="BN414" i="68"/>
  <c r="AT255" i="68"/>
  <c r="AB258" i="68"/>
  <c r="AS258" i="68"/>
  <c r="AT259" i="68"/>
  <c r="AT260" i="68"/>
  <c r="AT261" i="68"/>
  <c r="AB263" i="68"/>
  <c r="AP264" i="68"/>
  <c r="AT264" i="68"/>
  <c r="AQ265" i="68"/>
  <c r="AI268" i="68"/>
  <c r="AK268" i="68" s="1"/>
  <c r="AQ269" i="68"/>
  <c r="O270" i="68"/>
  <c r="AB271" i="68"/>
  <c r="AS271" i="68"/>
  <c r="AP272" i="68"/>
  <c r="AT272" i="68"/>
  <c r="O273" i="68"/>
  <c r="AB274" i="68"/>
  <c r="AS274" i="68"/>
  <c r="AQ276" i="68"/>
  <c r="AP278" i="68"/>
  <c r="AT278" i="68"/>
  <c r="AC280" i="68"/>
  <c r="AE280" i="68" s="1"/>
  <c r="AT280" i="68"/>
  <c r="AB282" i="68"/>
  <c r="AS282" i="68"/>
  <c r="AP284" i="68"/>
  <c r="AM284" i="68"/>
  <c r="O286" i="68"/>
  <c r="AN286" i="68"/>
  <c r="AM286" i="68"/>
  <c r="AJ287" i="68"/>
  <c r="AE288" i="68"/>
  <c r="AM290" i="68"/>
  <c r="AP291" i="68"/>
  <c r="AE292" i="68"/>
  <c r="L287" i="68"/>
  <c r="O295" i="68"/>
  <c r="AN295" i="68"/>
  <c r="AM296" i="68"/>
  <c r="AT297" i="68"/>
  <c r="AQ297" i="68"/>
  <c r="AE298" i="68"/>
  <c r="AQ298" i="68"/>
  <c r="AE299" i="68"/>
  <c r="O300" i="68"/>
  <c r="AE300" i="68"/>
  <c r="AQ300" i="68"/>
  <c r="AQ301" i="68"/>
  <c r="AT301" i="68"/>
  <c r="AN301" i="68"/>
  <c r="Z312" i="68"/>
  <c r="AF312" i="68"/>
  <c r="AM264" i="68"/>
  <c r="AQ264" i="68"/>
  <c r="AN265" i="68"/>
  <c r="AS266" i="68"/>
  <c r="AN269" i="68"/>
  <c r="AP271" i="68"/>
  <c r="AT271" i="68"/>
  <c r="AM272" i="68"/>
  <c r="AQ272" i="68"/>
  <c r="AP274" i="68"/>
  <c r="AT274" i="68"/>
  <c r="AN276" i="68"/>
  <c r="AS277" i="68"/>
  <c r="AM278" i="68"/>
  <c r="AQ278" i="68"/>
  <c r="AS279" i="68"/>
  <c r="AP282" i="68"/>
  <c r="AT282" i="68"/>
  <c r="AN284" i="68"/>
  <c r="AS284" i="68"/>
  <c r="AQ288" i="68"/>
  <c r="AB290" i="68"/>
  <c r="AQ290" i="68"/>
  <c r="AT290" i="68"/>
  <c r="AQ292" i="68"/>
  <c r="AQ294" i="68"/>
  <c r="AC295" i="68"/>
  <c r="AE295" i="68" s="1"/>
  <c r="BE287" i="68"/>
  <c r="AC287" i="68" s="1"/>
  <c r="AB296" i="68"/>
  <c r="AQ296" i="68"/>
  <c r="AT296" i="68"/>
  <c r="AQ299" i="68"/>
  <c r="AP300" i="68"/>
  <c r="AS300" i="68"/>
  <c r="AS302" i="68"/>
  <c r="AE302" i="68"/>
  <c r="AZ414" i="68"/>
  <c r="BD414" i="68"/>
  <c r="BH414" i="68"/>
  <c r="BL414" i="68"/>
  <c r="BP414" i="68"/>
  <c r="AQ263" i="68"/>
  <c r="AB265" i="68"/>
  <c r="AS265" i="68"/>
  <c r="AP266" i="68"/>
  <c r="AT266" i="68"/>
  <c r="L267" i="68"/>
  <c r="AP268" i="68"/>
  <c r="AT268" i="68"/>
  <c r="AB269" i="68"/>
  <c r="AS269" i="68"/>
  <c r="AQ271" i="68"/>
  <c r="AQ274" i="68"/>
  <c r="AB276" i="68"/>
  <c r="AS276" i="68"/>
  <c r="AP277" i="68"/>
  <c r="AT277" i="68"/>
  <c r="AP279" i="68"/>
  <c r="AT279" i="68"/>
  <c r="AQ282" i="68"/>
  <c r="AB284" i="68"/>
  <c r="BO285" i="68"/>
  <c r="AI285" i="68" s="1"/>
  <c r="AQ286" i="68"/>
  <c r="AD287" i="68"/>
  <c r="AN288" i="68"/>
  <c r="AS288" i="68"/>
  <c r="AQ289" i="68"/>
  <c r="AT289" i="68"/>
  <c r="AS290" i="68"/>
  <c r="AN290" i="68"/>
  <c r="AB291" i="68"/>
  <c r="AQ291" i="68"/>
  <c r="AH291" i="68"/>
  <c r="AT291" i="68"/>
  <c r="AN292" i="68"/>
  <c r="AS292" i="68"/>
  <c r="AQ293" i="68"/>
  <c r="AT293" i="68"/>
  <c r="AN294" i="68"/>
  <c r="AS294" i="68"/>
  <c r="AT295" i="68"/>
  <c r="AQ295" i="68"/>
  <c r="AS296" i="68"/>
  <c r="AN296" i="68"/>
  <c r="AN298" i="68"/>
  <c r="AM298" i="68"/>
  <c r="AN299" i="68"/>
  <c r="AS299" i="68"/>
  <c r="AN300" i="68"/>
  <c r="AB264" i="68"/>
  <c r="AB272" i="68"/>
  <c r="AB278" i="68"/>
  <c r="AB280" i="68"/>
  <c r="AQ284" i="68"/>
  <c r="AB288" i="68"/>
  <c r="AM288" i="68"/>
  <c r="AB292" i="68"/>
  <c r="AM292" i="68"/>
  <c r="AB294" i="68"/>
  <c r="AM294" i="68"/>
  <c r="AB298" i="68"/>
  <c r="AI298" i="68"/>
  <c r="AK298" i="68" s="1"/>
  <c r="BS287" i="68"/>
  <c r="AI287" i="68" s="1"/>
  <c r="AB299" i="68"/>
  <c r="AM299" i="68"/>
  <c r="AB300" i="68"/>
  <c r="AM300" i="68"/>
  <c r="AT286" i="68"/>
  <c r="AB289" i="68"/>
  <c r="AS289" i="68"/>
  <c r="AB293" i="68"/>
  <c r="AS293" i="68"/>
  <c r="AT294" i="68"/>
  <c r="AB301" i="68"/>
  <c r="AS301" i="68"/>
  <c r="AQ302" i="68"/>
  <c r="AB303" i="68"/>
  <c r="AS303" i="68"/>
  <c r="AQ304" i="68"/>
  <c r="AB306" i="68"/>
  <c r="AS306" i="68"/>
  <c r="AQ307" i="68"/>
  <c r="AP308" i="68"/>
  <c r="AT308" i="68"/>
  <c r="AQ311" i="68"/>
  <c r="BC312" i="68"/>
  <c r="AC312" i="68" s="1"/>
  <c r="BO312" i="68"/>
  <c r="AI312" i="68" s="1"/>
  <c r="O313" i="68"/>
  <c r="AQ314" i="68"/>
  <c r="AB316" i="68"/>
  <c r="AS316" i="68"/>
  <c r="AP317" i="68"/>
  <c r="AT317" i="68"/>
  <c r="AP318" i="68"/>
  <c r="AS318" i="68"/>
  <c r="AN318" i="68"/>
  <c r="AB319" i="68"/>
  <c r="AN322" i="68"/>
  <c r="AN325" i="68"/>
  <c r="AT326" i="68"/>
  <c r="AE329" i="68"/>
  <c r="AN330" i="68"/>
  <c r="AN302" i="68"/>
  <c r="AT303" i="68"/>
  <c r="AE304" i="68"/>
  <c r="AN304" i="68"/>
  <c r="AB305" i="68"/>
  <c r="AS305" i="68"/>
  <c r="AT306" i="68"/>
  <c r="AN307" i="68"/>
  <c r="AH308" i="68"/>
  <c r="AQ308" i="68"/>
  <c r="AE311" i="68"/>
  <c r="AN311" i="68"/>
  <c r="O312" i="68"/>
  <c r="AE314" i="68"/>
  <c r="AN314" i="68"/>
  <c r="AB315" i="68"/>
  <c r="AS315" i="68"/>
  <c r="AT316" i="68"/>
  <c r="AM317" i="68"/>
  <c r="AQ317" i="68"/>
  <c r="AQ318" i="68"/>
  <c r="AP320" i="68"/>
  <c r="AS321" i="68"/>
  <c r="AB321" i="68"/>
  <c r="AP322" i="68"/>
  <c r="AS322" i="68"/>
  <c r="AB322" i="68"/>
  <c r="AM325" i="68"/>
  <c r="AQ329" i="68"/>
  <c r="AT329" i="68"/>
  <c r="AQ303" i="68"/>
  <c r="AS304" i="68"/>
  <c r="AP305" i="68"/>
  <c r="AT305" i="68"/>
  <c r="AQ306" i="68"/>
  <c r="AB311" i="68"/>
  <c r="AS311" i="68"/>
  <c r="AB314" i="68"/>
  <c r="AS314" i="68"/>
  <c r="AP315" i="68"/>
  <c r="AT315" i="68"/>
  <c r="AQ316" i="68"/>
  <c r="AB318" i="68"/>
  <c r="AK319" i="68"/>
  <c r="AM320" i="68"/>
  <c r="AS320" i="68"/>
  <c r="AH324" i="68"/>
  <c r="AM329" i="68"/>
  <c r="AS329" i="68"/>
  <c r="AB329" i="68"/>
  <c r="AE330" i="68"/>
  <c r="AQ330" i="68"/>
  <c r="AQ319" i="68"/>
  <c r="AT319" i="68"/>
  <c r="AM321" i="68"/>
  <c r="AI324" i="68"/>
  <c r="AK324" i="68" s="1"/>
  <c r="BO323" i="68"/>
  <c r="AI323" i="68" s="1"/>
  <c r="AS325" i="68"/>
  <c r="AB325" i="68"/>
  <c r="AP326" i="68"/>
  <c r="AS326" i="68"/>
  <c r="AB326" i="68"/>
  <c r="O328" i="68"/>
  <c r="AM330" i="68"/>
  <c r="AP330" i="68"/>
  <c r="AS330" i="68"/>
  <c r="AB330" i="68"/>
  <c r="AP319" i="68"/>
  <c r="AQ320" i="68"/>
  <c r="AQ324" i="68"/>
  <c r="AB331" i="68"/>
  <c r="AS331" i="68"/>
  <c r="AP332" i="68"/>
  <c r="AT332" i="68"/>
  <c r="AH333" i="68"/>
  <c r="AQ333" i="68"/>
  <c r="AE346" i="68"/>
  <c r="AP348" i="68"/>
  <c r="AT348" i="68"/>
  <c r="AH349" i="68"/>
  <c r="AQ349" i="68"/>
  <c r="O350" i="68"/>
  <c r="AE351" i="68"/>
  <c r="AT352" i="68"/>
  <c r="AH353" i="68"/>
  <c r="O354" i="68"/>
  <c r="AA355" i="68"/>
  <c r="AB356" i="68"/>
  <c r="AS356" i="68"/>
  <c r="AT357" i="68"/>
  <c r="AS359" i="68"/>
  <c r="AM360" i="68"/>
  <c r="AB361" i="68"/>
  <c r="AP362" i="68"/>
  <c r="AS362" i="68"/>
  <c r="AB362" i="68"/>
  <c r="AE362" i="68"/>
  <c r="AQ362" i="68"/>
  <c r="L363" i="68"/>
  <c r="O364" i="68"/>
  <c r="AK364" i="68"/>
  <c r="AP366" i="68"/>
  <c r="AS367" i="68"/>
  <c r="AB367" i="68"/>
  <c r="AQ367" i="68"/>
  <c r="AP368" i="68"/>
  <c r="AS368" i="68"/>
  <c r="AB368" i="68"/>
  <c r="AT330" i="68"/>
  <c r="AP331" i="68"/>
  <c r="AT331" i="68"/>
  <c r="AH332" i="68"/>
  <c r="AQ332" i="68"/>
  <c r="AE333" i="68"/>
  <c r="AB346" i="68"/>
  <c r="AS346" i="68"/>
  <c r="AH348" i="68"/>
  <c r="AQ348" i="68"/>
  <c r="AE349" i="68"/>
  <c r="AB351" i="68"/>
  <c r="AS351" i="68"/>
  <c r="AH352" i="68"/>
  <c r="AQ352" i="68"/>
  <c r="AE353" i="68"/>
  <c r="BF354" i="68"/>
  <c r="BF414" i="68" s="1"/>
  <c r="AP356" i="68"/>
  <c r="AT356" i="68"/>
  <c r="AS357" i="68"/>
  <c r="AM357" i="68"/>
  <c r="BA358" i="68"/>
  <c r="BA414" i="68" s="1"/>
  <c r="AH359" i="68"/>
  <c r="AB360" i="68"/>
  <c r="AP360" i="68"/>
  <c r="AI360" i="68"/>
  <c r="AK360" i="68" s="1"/>
  <c r="BO358" i="68"/>
  <c r="AI358" i="68" s="1"/>
  <c r="AM361" i="68"/>
  <c r="AP361" i="68"/>
  <c r="AT362" i="68"/>
  <c r="AM364" i="68"/>
  <c r="AE364" i="68"/>
  <c r="AK365" i="68"/>
  <c r="AS366" i="68"/>
  <c r="AN367" i="68"/>
  <c r="AN368" i="68"/>
  <c r="AQ331" i="68"/>
  <c r="AN332" i="68"/>
  <c r="AT346" i="68"/>
  <c r="AN348" i="68"/>
  <c r="AT351" i="68"/>
  <c r="AN352" i="68"/>
  <c r="AQ356" i="68"/>
  <c r="AQ364" i="68"/>
  <c r="AT364" i="68"/>
  <c r="AN364" i="68"/>
  <c r="AQ365" i="68"/>
  <c r="AT365" i="68"/>
  <c r="AM367" i="68"/>
  <c r="AB369" i="68"/>
  <c r="AQ369" i="68"/>
  <c r="AT369" i="68"/>
  <c r="AN369" i="68"/>
  <c r="AB357" i="68"/>
  <c r="AQ357" i="68"/>
  <c r="AP359" i="68"/>
  <c r="AQ361" i="68"/>
  <c r="AT361" i="68"/>
  <c r="AS361" i="68"/>
  <c r="AB364" i="68"/>
  <c r="AB365" i="68"/>
  <c r="AN365" i="68"/>
  <c r="AP367" i="68"/>
  <c r="AQ359" i="68"/>
  <c r="AQ360" i="68"/>
  <c r="AP364" i="68"/>
  <c r="AP365" i="68"/>
  <c r="AQ366" i="68"/>
  <c r="AP369" i="68"/>
  <c r="AP371" i="68"/>
  <c r="AS371" i="68"/>
  <c r="AV371" i="68" s="1"/>
  <c r="AM371" i="68"/>
  <c r="AN372" i="68"/>
  <c r="AB373" i="68"/>
  <c r="AN376" i="68"/>
  <c r="AK378" i="68"/>
  <c r="AK379" i="68"/>
  <c r="AM380" i="68"/>
  <c r="AS380" i="68"/>
  <c r="AN381" i="68"/>
  <c r="AT381" i="68"/>
  <c r="AT368" i="68"/>
  <c r="AH369" i="68"/>
  <c r="AT371" i="68"/>
  <c r="AN371" i="68"/>
  <c r="AP372" i="68"/>
  <c r="AS372" i="68"/>
  <c r="AB372" i="68"/>
  <c r="AQ372" i="68"/>
  <c r="AP374" i="68"/>
  <c r="AS375" i="68"/>
  <c r="AB375" i="68"/>
  <c r="AQ375" i="68"/>
  <c r="AP376" i="68"/>
  <c r="AS376" i="68"/>
  <c r="AB376" i="68"/>
  <c r="AQ376" i="68"/>
  <c r="AQ378" i="68"/>
  <c r="AT378" i="68"/>
  <c r="AS378" i="68"/>
  <c r="AQ379" i="68"/>
  <c r="AT379" i="68"/>
  <c r="AS379" i="68"/>
  <c r="AH380" i="68"/>
  <c r="AE381" i="68"/>
  <c r="AT375" i="68"/>
  <c r="L370" i="68"/>
  <c r="AQ373" i="68"/>
  <c r="AT373" i="68"/>
  <c r="AS373" i="68"/>
  <c r="AK374" i="68"/>
  <c r="AM375" i="68"/>
  <c r="AP380" i="68"/>
  <c r="AS381" i="68"/>
  <c r="AB381" i="68"/>
  <c r="AM382" i="68"/>
  <c r="AP382" i="68"/>
  <c r="AS382" i="68"/>
  <c r="AB382" i="68"/>
  <c r="AP373" i="68"/>
  <c r="AQ374" i="68"/>
  <c r="AP378" i="68"/>
  <c r="AP379" i="68"/>
  <c r="AQ380" i="68"/>
  <c r="AP383" i="68"/>
  <c r="AT383" i="68"/>
  <c r="AQ384" i="68"/>
  <c r="AB387" i="68"/>
  <c r="AS387" i="68"/>
  <c r="AP388" i="68"/>
  <c r="AT388" i="68"/>
  <c r="AQ389" i="68"/>
  <c r="AB391" i="68"/>
  <c r="AS391" i="68"/>
  <c r="AQ392" i="68"/>
  <c r="AH392" i="68"/>
  <c r="AT392" i="68"/>
  <c r="AP394" i="68"/>
  <c r="AT395" i="68"/>
  <c r="AT382" i="68"/>
  <c r="AH383" i="68"/>
  <c r="AQ383" i="68"/>
  <c r="AE384" i="68"/>
  <c r="AB385" i="68"/>
  <c r="AS385" i="68"/>
  <c r="AB386" i="68"/>
  <c r="AS386" i="68"/>
  <c r="AP387" i="68"/>
  <c r="AT387" i="68"/>
  <c r="AH388" i="68"/>
  <c r="AQ388" i="68"/>
  <c r="AE389" i="68"/>
  <c r="AB390" i="68"/>
  <c r="AS390" i="68"/>
  <c r="AM391" i="68"/>
  <c r="AN392" i="68"/>
  <c r="AQ395" i="68"/>
  <c r="AQ382" i="68"/>
  <c r="AN383" i="68"/>
  <c r="AS384" i="68"/>
  <c r="AP385" i="68"/>
  <c r="AT385" i="68"/>
  <c r="AP386" i="68"/>
  <c r="AT386" i="68"/>
  <c r="AQ387" i="68"/>
  <c r="AS389" i="68"/>
  <c r="AP390" i="68"/>
  <c r="AT390" i="68"/>
  <c r="AK393" i="68"/>
  <c r="AT391" i="68"/>
  <c r="AN391" i="68"/>
  <c r="AQ391" i="68"/>
  <c r="AP395" i="68"/>
  <c r="AS395" i="68"/>
  <c r="AB395" i="68"/>
  <c r="AB392" i="68"/>
  <c r="AS392" i="68"/>
  <c r="AP393" i="68"/>
  <c r="AT393" i="68"/>
  <c r="AM394" i="68"/>
  <c r="AQ394" i="68"/>
  <c r="AN395" i="68"/>
  <c r="AB396" i="68"/>
  <c r="AS396" i="68"/>
  <c r="AP397" i="68"/>
  <c r="AT397" i="68"/>
  <c r="AM404" i="68"/>
  <c r="AQ404" i="68"/>
  <c r="O405" i="68"/>
  <c r="AE406" i="68"/>
  <c r="AN406" i="68"/>
  <c r="AP407" i="68"/>
  <c r="AT407" i="68"/>
  <c r="AE408" i="68"/>
  <c r="AN408" i="68"/>
  <c r="AP409" i="68"/>
  <c r="AT409" i="68"/>
  <c r="AN411" i="68"/>
  <c r="AB412" i="68"/>
  <c r="AS412" i="68"/>
  <c r="AM413" i="68"/>
  <c r="AQ413" i="68"/>
  <c r="AT396" i="68"/>
  <c r="AH397" i="68"/>
  <c r="AQ397" i="68"/>
  <c r="AE404" i="68"/>
  <c r="AB406" i="68"/>
  <c r="AS406" i="68"/>
  <c r="AH407" i="68"/>
  <c r="AB408" i="68"/>
  <c r="AS408" i="68"/>
  <c r="AH409" i="68"/>
  <c r="O410" i="68"/>
  <c r="AB411" i="68"/>
  <c r="AS411" i="68"/>
  <c r="AP412" i="68"/>
  <c r="AT412" i="68"/>
  <c r="AE413" i="68"/>
  <c r="AN413" i="68"/>
  <c r="AB394" i="68"/>
  <c r="AQ396" i="68"/>
  <c r="AB404" i="68"/>
  <c r="AP406" i="68"/>
  <c r="AP408" i="68"/>
  <c r="AP411" i="68"/>
  <c r="AQ412" i="68"/>
  <c r="AK193" i="60"/>
  <c r="AN193" i="60"/>
  <c r="AO193" i="60" s="1"/>
  <c r="AB193" i="60"/>
  <c r="AS193" i="60"/>
  <c r="AT193" i="60"/>
  <c r="BP75" i="60"/>
  <c r="BP54" i="60"/>
  <c r="BO75" i="60"/>
  <c r="BO54" i="60"/>
  <c r="BP74" i="60"/>
  <c r="BO74" i="60"/>
  <c r="BO43" i="60"/>
  <c r="BP43" i="60"/>
  <c r="BB43" i="60"/>
  <c r="BA43" i="60"/>
  <c r="AZ5" i="68" l="1"/>
  <c r="AZ7" i="68"/>
  <c r="AR3" i="68"/>
  <c r="AA312" i="68"/>
  <c r="AX5" i="68"/>
  <c r="BB7" i="68"/>
  <c r="AX7" i="68"/>
  <c r="AK193" i="68"/>
  <c r="AS48" i="68"/>
  <c r="AN243" i="68"/>
  <c r="AS263" i="68"/>
  <c r="AV263" i="68" s="1"/>
  <c r="AP44" i="68"/>
  <c r="AR44" i="68" s="1"/>
  <c r="AE263" i="68"/>
  <c r="AP297" i="68"/>
  <c r="AT55" i="68"/>
  <c r="AM39" i="68"/>
  <c r="AO39" i="68" s="1"/>
  <c r="AS55" i="68"/>
  <c r="AV55" i="68" s="1"/>
  <c r="AP39" i="68"/>
  <c r="AR189" i="68"/>
  <c r="AH55" i="68"/>
  <c r="AO394" i="68"/>
  <c r="AS286" i="68"/>
  <c r="AU286" i="68" s="1"/>
  <c r="AS297" i="68"/>
  <c r="AV297" i="68" s="1"/>
  <c r="AH358" i="68"/>
  <c r="AE355" i="68"/>
  <c r="AK76" i="68"/>
  <c r="BM5" i="68"/>
  <c r="AO279" i="68"/>
  <c r="AB105" i="68"/>
  <c r="AS75" i="68"/>
  <c r="AV75" i="68" s="1"/>
  <c r="AR266" i="68"/>
  <c r="AS39" i="68"/>
  <c r="AV39" i="68" s="1"/>
  <c r="AO356" i="68"/>
  <c r="AK52" i="68"/>
  <c r="AK405" i="68"/>
  <c r="AI262" i="68"/>
  <c r="AK262" i="68" s="1"/>
  <c r="Z73" i="68"/>
  <c r="AB73" i="68" s="1"/>
  <c r="AR407" i="68"/>
  <c r="BG88" i="68"/>
  <c r="BG221" i="68" s="1"/>
  <c r="BG223" i="68" s="1"/>
  <c r="AM74" i="68"/>
  <c r="AO74" i="68" s="1"/>
  <c r="AP50" i="68"/>
  <c r="AR50" i="68" s="1"/>
  <c r="AS74" i="68"/>
  <c r="AV74" i="68" s="1"/>
  <c r="AS50" i="68"/>
  <c r="AU50" i="68" s="1"/>
  <c r="AB370" i="68"/>
  <c r="AO238" i="68"/>
  <c r="AU227" i="68"/>
  <c r="AM24" i="68"/>
  <c r="AO24" i="68" s="1"/>
  <c r="AS24" i="68"/>
  <c r="AU24" i="68" s="1"/>
  <c r="AO258" i="68"/>
  <c r="AO113" i="68"/>
  <c r="AO100" i="68"/>
  <c r="AP74" i="68"/>
  <c r="AR74" i="68" s="1"/>
  <c r="AB24" i="68"/>
  <c r="Q5" i="68"/>
  <c r="R415" i="68"/>
  <c r="AB354" i="68"/>
  <c r="AU406" i="68"/>
  <c r="AO412" i="68"/>
  <c r="AP307" i="68"/>
  <c r="AR307" i="68" s="1"/>
  <c r="AS307" i="68"/>
  <c r="AV307" i="68" s="1"/>
  <c r="AC370" i="68"/>
  <c r="AE370" i="68" s="1"/>
  <c r="AE307" i="68"/>
  <c r="AR296" i="68"/>
  <c r="AO322" i="68"/>
  <c r="AR409" i="68"/>
  <c r="AM50" i="68"/>
  <c r="AO50" i="68" s="1"/>
  <c r="AB63" i="68"/>
  <c r="AH241" i="68"/>
  <c r="AO378" i="68"/>
  <c r="AR98" i="68"/>
  <c r="AK192" i="68"/>
  <c r="AO141" i="68"/>
  <c r="AE154" i="68"/>
  <c r="S5" i="68"/>
  <c r="AE219" i="68"/>
  <c r="AH173" i="68"/>
  <c r="BI12" i="68"/>
  <c r="BI5" i="68" s="1"/>
  <c r="AO55" i="68"/>
  <c r="AW221" i="68"/>
  <c r="AW223" i="68" s="1"/>
  <c r="AO383" i="68"/>
  <c r="AO382" i="68"/>
  <c r="AO51" i="68"/>
  <c r="AS27" i="68"/>
  <c r="AV27" i="68" s="1"/>
  <c r="AH27" i="68"/>
  <c r="AK354" i="68"/>
  <c r="AM354" i="68"/>
  <c r="AE281" i="68"/>
  <c r="AB219" i="68"/>
  <c r="AN254" i="68"/>
  <c r="AK358" i="68"/>
  <c r="AR181" i="68"/>
  <c r="AQ75" i="68"/>
  <c r="AR75" i="68" s="1"/>
  <c r="AO32" i="68"/>
  <c r="AF228" i="68"/>
  <c r="AF247" i="68" s="1"/>
  <c r="AH267" i="68"/>
  <c r="AR386" i="68"/>
  <c r="AN71" i="68"/>
  <c r="AR346" i="68"/>
  <c r="BM414" i="68"/>
  <c r="AT75" i="68"/>
  <c r="V5" i="68"/>
  <c r="S221" i="68"/>
  <c r="S223" i="68" s="1"/>
  <c r="S6" i="68" s="1"/>
  <c r="BT275" i="68"/>
  <c r="BT5" i="68" s="1"/>
  <c r="AH54" i="68"/>
  <c r="AO359" i="68"/>
  <c r="AR293" i="68"/>
  <c r="AE254" i="68"/>
  <c r="AR242" i="68"/>
  <c r="AN370" i="68"/>
  <c r="AN219" i="68"/>
  <c r="AO374" i="68"/>
  <c r="AE73" i="68"/>
  <c r="AH36" i="68"/>
  <c r="AC139" i="68"/>
  <c r="AZ221" i="68"/>
  <c r="AZ223" i="68" s="1"/>
  <c r="AO245" i="68"/>
  <c r="BN221" i="68"/>
  <c r="BN223" i="68" s="1"/>
  <c r="AY221" i="68"/>
  <c r="AY223" i="68" s="1"/>
  <c r="BP221" i="68"/>
  <c r="BP223" i="68" s="1"/>
  <c r="BR221" i="68"/>
  <c r="BR223" i="68" s="1"/>
  <c r="AR413" i="68"/>
  <c r="BJ221" i="68"/>
  <c r="BJ223" i="68" s="1"/>
  <c r="BA221" i="68"/>
  <c r="BA223" i="68" s="1"/>
  <c r="AR244" i="68"/>
  <c r="AR107" i="68"/>
  <c r="AB363" i="68"/>
  <c r="AK267" i="68"/>
  <c r="AO237" i="68"/>
  <c r="AH68" i="68"/>
  <c r="AH203" i="68"/>
  <c r="AB243" i="68"/>
  <c r="BF221" i="68"/>
  <c r="BF223" i="68" s="1"/>
  <c r="AR194" i="68"/>
  <c r="BC221" i="68"/>
  <c r="BC223" i="68" s="1"/>
  <c r="AH192" i="68"/>
  <c r="AB350" i="68"/>
  <c r="AO409" i="68"/>
  <c r="AE173" i="68"/>
  <c r="AM111" i="68"/>
  <c r="AX221" i="68"/>
  <c r="AX223" i="68" s="1"/>
  <c r="BE221" i="68"/>
  <c r="BE223" i="68" s="1"/>
  <c r="AO388" i="68"/>
  <c r="AH328" i="68"/>
  <c r="AB206" i="68"/>
  <c r="BL221" i="68"/>
  <c r="BL223" i="68" s="1"/>
  <c r="BB221" i="68"/>
  <c r="BB223" i="68" s="1"/>
  <c r="AB203" i="68"/>
  <c r="AN323" i="68"/>
  <c r="AB323" i="68"/>
  <c r="AR289" i="68"/>
  <c r="AO211" i="68"/>
  <c r="AE215" i="68"/>
  <c r="BD221" i="68"/>
  <c r="BD223" i="68" s="1"/>
  <c r="BH221" i="68"/>
  <c r="BH223" i="68" s="1"/>
  <c r="AU333" i="68"/>
  <c r="BS221" i="68"/>
  <c r="BS223" i="68" s="1"/>
  <c r="BQ221" i="68"/>
  <c r="BQ223" i="68" s="1"/>
  <c r="AR391" i="68"/>
  <c r="AR357" i="68"/>
  <c r="AO59" i="68"/>
  <c r="BM221" i="68"/>
  <c r="BM223" i="68" s="1"/>
  <c r="P221" i="68"/>
  <c r="P248" i="68" s="1"/>
  <c r="P415" i="68" s="1"/>
  <c r="AR406" i="68"/>
  <c r="AO408" i="68"/>
  <c r="AR371" i="68"/>
  <c r="AR352" i="68"/>
  <c r="AR159" i="68"/>
  <c r="AR149" i="68"/>
  <c r="AH154" i="68"/>
  <c r="AR70" i="68"/>
  <c r="BO221" i="68"/>
  <c r="BO223" i="68" s="1"/>
  <c r="AR97" i="68"/>
  <c r="AO407" i="68"/>
  <c r="AN350" i="68"/>
  <c r="AB71" i="68"/>
  <c r="AO380" i="68"/>
  <c r="AO352" i="68"/>
  <c r="AR259" i="68"/>
  <c r="AR193" i="68"/>
  <c r="AO176" i="68"/>
  <c r="AU69" i="68"/>
  <c r="AO124" i="68"/>
  <c r="AO289" i="68"/>
  <c r="AO133" i="68"/>
  <c r="AN377" i="68"/>
  <c r="AO348" i="68"/>
  <c r="AO320" i="68"/>
  <c r="AO180" i="68"/>
  <c r="AR94" i="68"/>
  <c r="AH256" i="68"/>
  <c r="AO390" i="68"/>
  <c r="AN46" i="68"/>
  <c r="AM285" i="68"/>
  <c r="AO411" i="68"/>
  <c r="AE140" i="68"/>
  <c r="AM14" i="68"/>
  <c r="AO14" i="68" s="1"/>
  <c r="AB192" i="68"/>
  <c r="AO106" i="68"/>
  <c r="AO346" i="68"/>
  <c r="AE283" i="68"/>
  <c r="AO306" i="68"/>
  <c r="AE323" i="68"/>
  <c r="AN281" i="68"/>
  <c r="AN267" i="68"/>
  <c r="AB241" i="68"/>
  <c r="AH236" i="68"/>
  <c r="AK241" i="68"/>
  <c r="AK134" i="68"/>
  <c r="AR301" i="68"/>
  <c r="AR261" i="68"/>
  <c r="AB46" i="68"/>
  <c r="AO379" i="68"/>
  <c r="AH410" i="68"/>
  <c r="AB355" i="68"/>
  <c r="BJ414" i="68"/>
  <c r="AR83" i="68"/>
  <c r="AU104" i="68"/>
  <c r="AO20" i="68"/>
  <c r="AE273" i="68"/>
  <c r="AR144" i="68"/>
  <c r="AO242" i="68"/>
  <c r="AE40" i="68"/>
  <c r="AN49" i="68"/>
  <c r="AQ46" i="68"/>
  <c r="AH275" i="68"/>
  <c r="AN270" i="68"/>
  <c r="AN203" i="68"/>
  <c r="AP327" i="68"/>
  <c r="AH285" i="68"/>
  <c r="AP267" i="68"/>
  <c r="AR314" i="68"/>
  <c r="AU110" i="68"/>
  <c r="AB254" i="68"/>
  <c r="AB327" i="68"/>
  <c r="AE377" i="68"/>
  <c r="AM327" i="68"/>
  <c r="AM236" i="68"/>
  <c r="AB68" i="68"/>
  <c r="AK54" i="68"/>
  <c r="AP285" i="68"/>
  <c r="AB267" i="68"/>
  <c r="AU278" i="68"/>
  <c r="AO152" i="68"/>
  <c r="AB111" i="68"/>
  <c r="AR61" i="68"/>
  <c r="AR51" i="68"/>
  <c r="AH46" i="68"/>
  <c r="AT40" i="68"/>
  <c r="AB273" i="68"/>
  <c r="AK71" i="68"/>
  <c r="AO318" i="68"/>
  <c r="AU169" i="68"/>
  <c r="AR166" i="68"/>
  <c r="AM63" i="68"/>
  <c r="AK49" i="68"/>
  <c r="AR33" i="68"/>
  <c r="AE58" i="68"/>
  <c r="AO104" i="68"/>
  <c r="AK89" i="68"/>
  <c r="AB328" i="68"/>
  <c r="AE111" i="68"/>
  <c r="AM323" i="68"/>
  <c r="AM267" i="68"/>
  <c r="AU245" i="68"/>
  <c r="AO244" i="68"/>
  <c r="AO194" i="68"/>
  <c r="AR213" i="68"/>
  <c r="AR197" i="68"/>
  <c r="AB154" i="68"/>
  <c r="AO177" i="68"/>
  <c r="AO112" i="68"/>
  <c r="AR66" i="68"/>
  <c r="AU413" i="68"/>
  <c r="AH287" i="68"/>
  <c r="AE184" i="68"/>
  <c r="AH229" i="68"/>
  <c r="AM17" i="68"/>
  <c r="AM173" i="68"/>
  <c r="AB285" i="68"/>
  <c r="AQ73" i="68"/>
  <c r="AU408" i="68"/>
  <c r="AU319" i="68"/>
  <c r="AR290" i="68"/>
  <c r="AP236" i="68"/>
  <c r="AB236" i="68"/>
  <c r="AU222" i="68"/>
  <c r="AR246" i="68"/>
  <c r="AO214" i="68"/>
  <c r="AR205" i="68"/>
  <c r="AR92" i="68"/>
  <c r="AR38" i="68"/>
  <c r="AO116" i="68"/>
  <c r="AO103" i="68"/>
  <c r="AO115" i="68"/>
  <c r="AR210" i="68"/>
  <c r="AH71" i="68"/>
  <c r="AO291" i="68"/>
  <c r="AT323" i="68"/>
  <c r="AH232" i="68"/>
  <c r="AN134" i="68"/>
  <c r="AQ283" i="68"/>
  <c r="AM377" i="68"/>
  <c r="AN241" i="68"/>
  <c r="AO406" i="68"/>
  <c r="AU365" i="68"/>
  <c r="AQ323" i="68"/>
  <c r="AK285" i="68"/>
  <c r="AO395" i="68"/>
  <c r="AU383" i="68"/>
  <c r="AO372" i="68"/>
  <c r="AO368" i="68"/>
  <c r="AR368" i="68"/>
  <c r="AR303" i="68"/>
  <c r="AU272" i="68"/>
  <c r="AU264" i="68"/>
  <c r="AR180" i="68"/>
  <c r="AO146" i="68"/>
  <c r="AR45" i="68"/>
  <c r="AO61" i="68"/>
  <c r="O228" i="68"/>
  <c r="O247" i="68" s="1"/>
  <c r="O250" i="68" s="1"/>
  <c r="O7" i="68" s="1"/>
  <c r="AH323" i="68"/>
  <c r="AH52" i="68"/>
  <c r="AN68" i="68"/>
  <c r="AH40" i="68"/>
  <c r="AH73" i="68"/>
  <c r="AT370" i="68"/>
  <c r="AQ377" i="68"/>
  <c r="AO163" i="68"/>
  <c r="AU106" i="68"/>
  <c r="Q247" i="68"/>
  <c r="Q250" i="68" s="1"/>
  <c r="Q7" i="68" s="1"/>
  <c r="AH270" i="68"/>
  <c r="AU231" i="68"/>
  <c r="AR381" i="68"/>
  <c r="AS347" i="68"/>
  <c r="AV347" i="68" s="1"/>
  <c r="AN363" i="68"/>
  <c r="AO137" i="68"/>
  <c r="AB134" i="68"/>
  <c r="AB232" i="68"/>
  <c r="AT405" i="68"/>
  <c r="AO353" i="68"/>
  <c r="AO268" i="68"/>
  <c r="AO26" i="68"/>
  <c r="AB54" i="68"/>
  <c r="AR100" i="68"/>
  <c r="AR146" i="68"/>
  <c r="AK328" i="68"/>
  <c r="AE410" i="68"/>
  <c r="AO384" i="68"/>
  <c r="AO196" i="68"/>
  <c r="AO160" i="68"/>
  <c r="AN285" i="68"/>
  <c r="AB283" i="68"/>
  <c r="AU411" i="68"/>
  <c r="AU348" i="68"/>
  <c r="AR315" i="68"/>
  <c r="AO302" i="68"/>
  <c r="AR302" i="68"/>
  <c r="AM283" i="68"/>
  <c r="AR298" i="68"/>
  <c r="AP215" i="68"/>
  <c r="AT241" i="68"/>
  <c r="AU238" i="68"/>
  <c r="AO207" i="68"/>
  <c r="AR202" i="68"/>
  <c r="AM219" i="68"/>
  <c r="AU179" i="68"/>
  <c r="AR176" i="68"/>
  <c r="AK140" i="68"/>
  <c r="AS111" i="68"/>
  <c r="AV111" i="68" s="1"/>
  <c r="AP72" i="68"/>
  <c r="AR72" i="68" s="1"/>
  <c r="AO41" i="68"/>
  <c r="AO22" i="68"/>
  <c r="AH370" i="68"/>
  <c r="AO349" i="68"/>
  <c r="AO366" i="68"/>
  <c r="AQ243" i="68"/>
  <c r="AR142" i="68"/>
  <c r="AU235" i="68"/>
  <c r="AK58" i="68"/>
  <c r="AM184" i="68"/>
  <c r="AH17" i="68"/>
  <c r="AO38" i="68"/>
  <c r="AH23" i="68"/>
  <c r="AI12" i="68"/>
  <c r="AK12" i="68" s="1"/>
  <c r="AR304" i="68"/>
  <c r="AO255" i="68"/>
  <c r="AO170" i="68"/>
  <c r="AO204" i="68"/>
  <c r="AB126" i="68"/>
  <c r="AH226" i="68"/>
  <c r="AG88" i="68"/>
  <c r="AN63" i="68"/>
  <c r="AA88" i="68"/>
  <c r="AU353" i="68"/>
  <c r="AO233" i="68"/>
  <c r="AU393" i="68"/>
  <c r="AR389" i="68"/>
  <c r="AR326" i="68"/>
  <c r="AS295" i="68"/>
  <c r="AV295" i="68" s="1"/>
  <c r="AR276" i="68"/>
  <c r="AR249" i="68"/>
  <c r="AO212" i="68"/>
  <c r="AP111" i="68"/>
  <c r="AO84" i="68"/>
  <c r="AO18" i="68"/>
  <c r="AR392" i="68"/>
  <c r="AR367" i="68"/>
  <c r="AO329" i="68"/>
  <c r="AR316" i="68"/>
  <c r="AR269" i="68"/>
  <c r="AQ241" i="68"/>
  <c r="AS219" i="68"/>
  <c r="AO188" i="68"/>
  <c r="AR187" i="68"/>
  <c r="AR119" i="68"/>
  <c r="AU120" i="68"/>
  <c r="AU103" i="68"/>
  <c r="AR77" i="68"/>
  <c r="AR26" i="68"/>
  <c r="AR18" i="68"/>
  <c r="AO120" i="68"/>
  <c r="AO31" i="68"/>
  <c r="AO57" i="68"/>
  <c r="AM405" i="68"/>
  <c r="AK350" i="68"/>
  <c r="AB287" i="68"/>
  <c r="AH283" i="68"/>
  <c r="AO293" i="68"/>
  <c r="AP275" i="68"/>
  <c r="AB270" i="68"/>
  <c r="AS215" i="68"/>
  <c r="AV215" i="68" s="1"/>
  <c r="AO19" i="68"/>
  <c r="AN96" i="68"/>
  <c r="AK111" i="68"/>
  <c r="AH405" i="68"/>
  <c r="AR177" i="68"/>
  <c r="AR123" i="68"/>
  <c r="AR81" i="68"/>
  <c r="AU95" i="68"/>
  <c r="AH105" i="68"/>
  <c r="AH49" i="68"/>
  <c r="AB23" i="68"/>
  <c r="AB140" i="68"/>
  <c r="AQ105" i="68"/>
  <c r="AB49" i="68"/>
  <c r="AR122" i="68"/>
  <c r="AR118" i="68"/>
  <c r="AR114" i="68"/>
  <c r="AO125" i="68"/>
  <c r="AO92" i="68"/>
  <c r="AO143" i="68"/>
  <c r="AK217" i="68"/>
  <c r="AY5" i="68"/>
  <c r="AU141" i="68"/>
  <c r="AN217" i="68"/>
  <c r="AP206" i="68"/>
  <c r="AM192" i="68"/>
  <c r="AN215" i="68"/>
  <c r="AO393" i="68"/>
  <c r="AH377" i="68"/>
  <c r="AM243" i="68"/>
  <c r="AO243" i="68" s="1"/>
  <c r="AB217" i="68"/>
  <c r="AM89" i="68"/>
  <c r="AE405" i="68"/>
  <c r="L139" i="68"/>
  <c r="L221" i="68" s="1"/>
  <c r="AO79" i="68"/>
  <c r="AT58" i="68"/>
  <c r="AQ273" i="68"/>
  <c r="AB410" i="68"/>
  <c r="AO167" i="68"/>
  <c r="AJ88" i="68"/>
  <c r="AP283" i="68"/>
  <c r="AB215" i="68"/>
  <c r="AR231" i="68"/>
  <c r="AJ228" i="68"/>
  <c r="AJ247" i="68" s="1"/>
  <c r="AR163" i="68"/>
  <c r="AR102" i="68"/>
  <c r="AQ63" i="68"/>
  <c r="AR34" i="68"/>
  <c r="AR53" i="68"/>
  <c r="AO99" i="68"/>
  <c r="AK363" i="68"/>
  <c r="AE54" i="68"/>
  <c r="BT221" i="68"/>
  <c r="AN29" i="68"/>
  <c r="AN405" i="68"/>
  <c r="AO48" i="68"/>
  <c r="AO369" i="68"/>
  <c r="AO404" i="68"/>
  <c r="AU409" i="68"/>
  <c r="AO381" i="68"/>
  <c r="AO365" i="68"/>
  <c r="AR333" i="68"/>
  <c r="AR319" i="68"/>
  <c r="AU308" i="68"/>
  <c r="AO278" i="68"/>
  <c r="BR414" i="68"/>
  <c r="AR233" i="68"/>
  <c r="AR238" i="68"/>
  <c r="AO198" i="68"/>
  <c r="AU157" i="68"/>
  <c r="AU143" i="68"/>
  <c r="AR137" i="68"/>
  <c r="AK68" i="68"/>
  <c r="BS8" i="68"/>
  <c r="AQ405" i="68"/>
  <c r="AH313" i="68"/>
  <c r="AE52" i="68"/>
  <c r="AH273" i="68"/>
  <c r="AK327" i="68"/>
  <c r="AH58" i="68"/>
  <c r="O173" i="68"/>
  <c r="AR411" i="68"/>
  <c r="AR396" i="68"/>
  <c r="AR393" i="68"/>
  <c r="AR384" i="68"/>
  <c r="AR263" i="68"/>
  <c r="AR265" i="68"/>
  <c r="AS267" i="68"/>
  <c r="AV267" i="68" s="1"/>
  <c r="AK256" i="68"/>
  <c r="AU242" i="68"/>
  <c r="AM206" i="68"/>
  <c r="AO183" i="68"/>
  <c r="AO175" i="68"/>
  <c r="AO169" i="68"/>
  <c r="AO161" i="68"/>
  <c r="AR170" i="68"/>
  <c r="AO149" i="68"/>
  <c r="AT105" i="68"/>
  <c r="AO118" i="68"/>
  <c r="AT254" i="68"/>
  <c r="AK232" i="68"/>
  <c r="AO315" i="68"/>
  <c r="AO305" i="68"/>
  <c r="AO316" i="68"/>
  <c r="AO186" i="68"/>
  <c r="AP89" i="68"/>
  <c r="AE96" i="68"/>
  <c r="AM23" i="68"/>
  <c r="AK203" i="68"/>
  <c r="AK126" i="68"/>
  <c r="AT283" i="68"/>
  <c r="AE46" i="68"/>
  <c r="AO114" i="68"/>
  <c r="AQ96" i="68"/>
  <c r="AK254" i="68"/>
  <c r="AE29" i="68"/>
  <c r="AR55" i="68"/>
  <c r="AE126" i="68"/>
  <c r="AT126" i="68"/>
  <c r="AQ270" i="68"/>
  <c r="AP58" i="68"/>
  <c r="AO179" i="68"/>
  <c r="AR133" i="68"/>
  <c r="AR125" i="68"/>
  <c r="AO216" i="68"/>
  <c r="AO164" i="68"/>
  <c r="AO135" i="68"/>
  <c r="AO102" i="68"/>
  <c r="AO308" i="68"/>
  <c r="AT410" i="68"/>
  <c r="AQ363" i="68"/>
  <c r="AP347" i="68"/>
  <c r="AO282" i="68"/>
  <c r="AB256" i="68"/>
  <c r="AN275" i="68"/>
  <c r="AQ229" i="68"/>
  <c r="BH5" i="68"/>
  <c r="AK36" i="68"/>
  <c r="AK377" i="68"/>
  <c r="AS243" i="68"/>
  <c r="AV243" i="68" s="1"/>
  <c r="AQ184" i="68"/>
  <c r="AN184" i="68"/>
  <c r="AB184" i="68"/>
  <c r="AS173" i="68"/>
  <c r="AK173" i="68"/>
  <c r="AN347" i="68"/>
  <c r="AB347" i="68"/>
  <c r="AQ275" i="68"/>
  <c r="AQ256" i="68"/>
  <c r="AR240" i="68"/>
  <c r="AE262" i="68"/>
  <c r="AO227" i="68"/>
  <c r="AM328" i="68"/>
  <c r="AP328" i="68"/>
  <c r="AO172" i="68"/>
  <c r="AT68" i="68"/>
  <c r="AQ68" i="68"/>
  <c r="AN23" i="68"/>
  <c r="AQ23" i="68"/>
  <c r="AT203" i="68"/>
  <c r="AQ203" i="68"/>
  <c r="AS192" i="68"/>
  <c r="AV192" i="68" s="1"/>
  <c r="AP192" i="68"/>
  <c r="AH140" i="68"/>
  <c r="AE327" i="68"/>
  <c r="AN327" i="68"/>
  <c r="AM36" i="68"/>
  <c r="AS36" i="68"/>
  <c r="AV36" i="68" s="1"/>
  <c r="AP36" i="68"/>
  <c r="AB36" i="68"/>
  <c r="AS377" i="68"/>
  <c r="AV377" i="68" s="1"/>
  <c r="AO249" i="68"/>
  <c r="AS257" i="68"/>
  <c r="AV257" i="68" s="1"/>
  <c r="AP257" i="68"/>
  <c r="AR257" i="68" s="1"/>
  <c r="AM241" i="68"/>
  <c r="AE241" i="68"/>
  <c r="AQ219" i="68"/>
  <c r="AH134" i="68"/>
  <c r="AQ134" i="68"/>
  <c r="AM347" i="68"/>
  <c r="AE347" i="68"/>
  <c r="AP243" i="68"/>
  <c r="AH243" i="68"/>
  <c r="AT173" i="68"/>
  <c r="AN173" i="68"/>
  <c r="AT111" i="68"/>
  <c r="AQ111" i="68"/>
  <c r="AH111" i="68"/>
  <c r="AR286" i="68"/>
  <c r="AU388" i="68"/>
  <c r="AR379" i="68"/>
  <c r="AB173" i="68"/>
  <c r="AQ173" i="68"/>
  <c r="AR24" i="68"/>
  <c r="AS64" i="68"/>
  <c r="AV64" i="68" s="1"/>
  <c r="AP64" i="68"/>
  <c r="AR64" i="68" s="1"/>
  <c r="AO182" i="68"/>
  <c r="AB275" i="68"/>
  <c r="AT23" i="68"/>
  <c r="AK23" i="68"/>
  <c r="AE203" i="68"/>
  <c r="AM203" i="68"/>
  <c r="AP203" i="68"/>
  <c r="AB40" i="68"/>
  <c r="AQ40" i="68"/>
  <c r="AU352" i="68"/>
  <c r="AO314" i="68"/>
  <c r="AO304" i="68"/>
  <c r="AN287" i="68"/>
  <c r="AR268" i="68"/>
  <c r="AR292" i="68"/>
  <c r="AO272" i="68"/>
  <c r="AO301" i="68"/>
  <c r="AR260" i="68"/>
  <c r="AU230" i="68"/>
  <c r="AR207" i="68"/>
  <c r="AO144" i="68"/>
  <c r="AU150" i="68"/>
  <c r="AR136" i="68"/>
  <c r="AU124" i="68"/>
  <c r="AE68" i="68"/>
  <c r="AR48" i="68"/>
  <c r="AR37" i="68"/>
  <c r="AO53" i="68"/>
  <c r="AR59" i="68"/>
  <c r="AR47" i="68"/>
  <c r="AO123" i="68"/>
  <c r="AO119" i="68"/>
  <c r="AT327" i="68"/>
  <c r="AK410" i="68"/>
  <c r="AO362" i="68"/>
  <c r="AG139" i="68"/>
  <c r="AQ29" i="68"/>
  <c r="AN17" i="68"/>
  <c r="AE89" i="68"/>
  <c r="AR258" i="68"/>
  <c r="AN328" i="68"/>
  <c r="AS355" i="68"/>
  <c r="AV355" i="68" s="1"/>
  <c r="AO351" i="68"/>
  <c r="AH281" i="68"/>
  <c r="AH262" i="68"/>
  <c r="AQ232" i="68"/>
  <c r="AP217" i="68"/>
  <c r="AB281" i="68"/>
  <c r="AE270" i="68"/>
  <c r="AQ267" i="68"/>
  <c r="AK236" i="68"/>
  <c r="AT215" i="68"/>
  <c r="AU198" i="68"/>
  <c r="AO165" i="68"/>
  <c r="AO157" i="68"/>
  <c r="AE206" i="68"/>
  <c r="AR93" i="68"/>
  <c r="AO147" i="68"/>
  <c r="AO107" i="68"/>
  <c r="AH96" i="68"/>
  <c r="AO30" i="68"/>
  <c r="AO15" i="68"/>
  <c r="AO97" i="68"/>
  <c r="AO85" i="68"/>
  <c r="AO82" i="68"/>
  <c r="AO95" i="68"/>
  <c r="AU394" i="68"/>
  <c r="AE363" i="68"/>
  <c r="AQ347" i="68"/>
  <c r="AO331" i="68"/>
  <c r="AO234" i="68"/>
  <c r="AO230" i="68"/>
  <c r="AK243" i="68"/>
  <c r="AO168" i="68"/>
  <c r="AQ226" i="68"/>
  <c r="AF139" i="68"/>
  <c r="AK105" i="68"/>
  <c r="AM46" i="68"/>
  <c r="AO25" i="68"/>
  <c r="AP219" i="68"/>
  <c r="AH217" i="68"/>
  <c r="AS206" i="68"/>
  <c r="AV206" i="68" s="1"/>
  <c r="AT49" i="68"/>
  <c r="AT96" i="68"/>
  <c r="AP154" i="68"/>
  <c r="AP140" i="68"/>
  <c r="AM134" i="68"/>
  <c r="AE36" i="68"/>
  <c r="AM29" i="68"/>
  <c r="AH206" i="68"/>
  <c r="AT377" i="68"/>
  <c r="AQ350" i="68"/>
  <c r="AS232" i="68"/>
  <c r="AV232" i="68" s="1"/>
  <c r="AT236" i="68"/>
  <c r="AE23" i="68"/>
  <c r="AK17" i="68"/>
  <c r="AP40" i="68"/>
  <c r="AN111" i="68"/>
  <c r="AU212" i="68"/>
  <c r="AU175" i="68"/>
  <c r="AR82" i="68"/>
  <c r="AO136" i="68"/>
  <c r="AU116" i="68"/>
  <c r="AR56" i="68"/>
  <c r="AR25" i="68"/>
  <c r="AR79" i="68"/>
  <c r="AO202" i="68"/>
  <c r="AO62" i="68"/>
  <c r="AO45" i="68"/>
  <c r="AE328" i="68"/>
  <c r="AO387" i="68"/>
  <c r="AO276" i="68"/>
  <c r="AK273" i="68"/>
  <c r="AO277" i="68"/>
  <c r="AN229" i="68"/>
  <c r="AN262" i="68"/>
  <c r="AP105" i="68"/>
  <c r="AO98" i="68"/>
  <c r="AR148" i="68"/>
  <c r="AH126" i="68"/>
  <c r="AB58" i="68"/>
  <c r="AQ52" i="68"/>
  <c r="AK29" i="68"/>
  <c r="AT273" i="68"/>
  <c r="AT219" i="68"/>
  <c r="AM350" i="68"/>
  <c r="AT285" i="68"/>
  <c r="AT270" i="68"/>
  <c r="AP410" i="68"/>
  <c r="AR385" i="68"/>
  <c r="AP377" i="68"/>
  <c r="AU374" i="68"/>
  <c r="AO361" i="68"/>
  <c r="AO357" i="68"/>
  <c r="AS350" i="68"/>
  <c r="AV350" i="68" s="1"/>
  <c r="AE350" i="68"/>
  <c r="AU300" i="68"/>
  <c r="AO265" i="68"/>
  <c r="AH312" i="68"/>
  <c r="AQ281" i="68"/>
  <c r="AS273" i="68"/>
  <c r="AV273" i="68" s="1"/>
  <c r="AO260" i="68"/>
  <c r="AP232" i="68"/>
  <c r="AS217" i="68"/>
  <c r="AV217" i="68" s="1"/>
  <c r="AR235" i="68"/>
  <c r="AU239" i="68"/>
  <c r="AR196" i="68"/>
  <c r="AO158" i="68"/>
  <c r="AO150" i="68"/>
  <c r="AM140" i="68"/>
  <c r="AT134" i="68"/>
  <c r="AO127" i="68"/>
  <c r="AO117" i="68"/>
  <c r="AU91" i="68"/>
  <c r="AF88" i="68"/>
  <c r="AR42" i="68"/>
  <c r="AR39" i="68"/>
  <c r="AT36" i="68"/>
  <c r="AU30" i="68"/>
  <c r="AU13" i="68"/>
  <c r="AP46" i="68"/>
  <c r="AP23" i="68"/>
  <c r="AQ36" i="68"/>
  <c r="AO110" i="68"/>
  <c r="AS140" i="68"/>
  <c r="AV140" i="68" s="1"/>
  <c r="AO122" i="68"/>
  <c r="AE134" i="68"/>
  <c r="AK370" i="68"/>
  <c r="AM355" i="68"/>
  <c r="AO303" i="68"/>
  <c r="AK313" i="68"/>
  <c r="AO190" i="68"/>
  <c r="AK184" i="68"/>
  <c r="AO297" i="68"/>
  <c r="AE285" i="68"/>
  <c r="AN36" i="68"/>
  <c r="AM232" i="68"/>
  <c r="AR305" i="68"/>
  <c r="AT350" i="68"/>
  <c r="AN273" i="68"/>
  <c r="AD228" i="68"/>
  <c r="AD247" i="68" s="1"/>
  <c r="AM154" i="68"/>
  <c r="AO121" i="68"/>
  <c r="AR141" i="68"/>
  <c r="AU85" i="68"/>
  <c r="AN73" i="68"/>
  <c r="AR35" i="68"/>
  <c r="AN58" i="68"/>
  <c r="AO33" i="68"/>
  <c r="AM40" i="68"/>
  <c r="AM58" i="68"/>
  <c r="AN105" i="68"/>
  <c r="AO91" i="68"/>
  <c r="AO35" i="68"/>
  <c r="AK283" i="68"/>
  <c r="AH350" i="68"/>
  <c r="AQ236" i="68"/>
  <c r="AK219" i="68"/>
  <c r="AK215" i="68"/>
  <c r="AP134" i="68"/>
  <c r="AQ217" i="68"/>
  <c r="AO108" i="68"/>
  <c r="AI228" i="68"/>
  <c r="AI247" i="68" s="1"/>
  <c r="AK270" i="68"/>
  <c r="AE236" i="68"/>
  <c r="AB405" i="68"/>
  <c r="AQ328" i="68"/>
  <c r="AU317" i="68"/>
  <c r="AR294" i="68"/>
  <c r="AR220" i="68"/>
  <c r="AT262" i="68"/>
  <c r="AS241" i="68"/>
  <c r="AV241" i="68" s="1"/>
  <c r="AS203" i="68"/>
  <c r="AV203" i="68" s="1"/>
  <c r="AR404" i="68"/>
  <c r="AR373" i="68"/>
  <c r="AB377" i="68"/>
  <c r="AO376" i="68"/>
  <c r="AR349" i="68"/>
  <c r="AM363" i="68"/>
  <c r="AH347" i="68"/>
  <c r="AR329" i="68"/>
  <c r="AO311" i="68"/>
  <c r="AN236" i="68"/>
  <c r="AR214" i="68"/>
  <c r="AK206" i="68"/>
  <c r="AU161" i="68"/>
  <c r="AR143" i="68"/>
  <c r="AS134" i="68"/>
  <c r="AV134" i="68" s="1"/>
  <c r="AR113" i="68"/>
  <c r="AK96" i="68"/>
  <c r="AT73" i="68"/>
  <c r="AR43" i="68"/>
  <c r="AS126" i="68"/>
  <c r="AV126" i="68" s="1"/>
  <c r="AS54" i="68"/>
  <c r="AV54" i="68" s="1"/>
  <c r="AQ58" i="68"/>
  <c r="AQ49" i="68"/>
  <c r="AT29" i="68"/>
  <c r="AT217" i="68"/>
  <c r="AR185" i="68"/>
  <c r="AO386" i="68"/>
  <c r="AO274" i="68"/>
  <c r="AR321" i="68"/>
  <c r="AH184" i="68"/>
  <c r="AI88" i="68"/>
  <c r="AQ89" i="68"/>
  <c r="AD88" i="68"/>
  <c r="AH219" i="68"/>
  <c r="AQ140" i="68"/>
  <c r="AO218" i="68"/>
  <c r="AS105" i="68"/>
  <c r="AV105" i="68" s="1"/>
  <c r="AO87" i="68"/>
  <c r="AM96" i="68"/>
  <c r="BN5" i="68"/>
  <c r="AM126" i="68"/>
  <c r="AS63" i="68"/>
  <c r="AV63" i="68" s="1"/>
  <c r="AN52" i="68"/>
  <c r="AT46" i="68"/>
  <c r="AP350" i="68"/>
  <c r="AN283" i="68"/>
  <c r="AO220" i="68"/>
  <c r="AT192" i="68"/>
  <c r="AS154" i="68"/>
  <c r="AV154" i="68" s="1"/>
  <c r="AQ285" i="68"/>
  <c r="AS327" i="68"/>
  <c r="AV327" i="68" s="1"/>
  <c r="AR359" i="68"/>
  <c r="AO330" i="68"/>
  <c r="AO325" i="68"/>
  <c r="AO261" i="68"/>
  <c r="AO259" i="68"/>
  <c r="AQ71" i="68"/>
  <c r="AR78" i="68"/>
  <c r="AU404" i="68"/>
  <c r="AO389" i="68"/>
  <c r="AH354" i="68"/>
  <c r="AO397" i="68"/>
  <c r="AQ254" i="68"/>
  <c r="AS229" i="68"/>
  <c r="AH89" i="68"/>
  <c r="AO181" i="68"/>
  <c r="AM281" i="68"/>
  <c r="Z228" i="68"/>
  <c r="Z247" i="68" s="1"/>
  <c r="AT229" i="68"/>
  <c r="AR199" i="68"/>
  <c r="AS29" i="68"/>
  <c r="AV29" i="68" s="1"/>
  <c r="BR5" i="68"/>
  <c r="BB5" i="68"/>
  <c r="AQ410" i="68"/>
  <c r="AO385" i="68"/>
  <c r="AK347" i="68"/>
  <c r="AT328" i="68"/>
  <c r="AU349" i="68"/>
  <c r="AM410" i="68"/>
  <c r="AS405" i="68"/>
  <c r="AV405" i="68" s="1"/>
  <c r="AR364" i="68"/>
  <c r="AU332" i="68"/>
  <c r="AR324" i="68"/>
  <c r="AS328" i="68"/>
  <c r="AV328" i="68" s="1"/>
  <c r="AO317" i="68"/>
  <c r="AR311" i="68"/>
  <c r="AK287" i="68"/>
  <c r="AP295" i="68"/>
  <c r="AR295" i="68" s="1"/>
  <c r="AR282" i="68"/>
  <c r="AR291" i="68"/>
  <c r="AO286" i="68"/>
  <c r="AR264" i="68"/>
  <c r="AS270" i="68"/>
  <c r="AV270" i="68" s="1"/>
  <c r="AS281" i="68"/>
  <c r="AV281" i="68" s="1"/>
  <c r="AP273" i="68"/>
  <c r="AM254" i="68"/>
  <c r="AS254" i="68"/>
  <c r="AV254" i="68" s="1"/>
  <c r="AS236" i="68"/>
  <c r="AV236" i="68" s="1"/>
  <c r="AT267" i="68"/>
  <c r="AU234" i="68"/>
  <c r="AN232" i="68"/>
  <c r="AO205" i="68"/>
  <c r="AA228" i="68"/>
  <c r="AA247" i="68" s="1"/>
  <c r="AR171" i="68"/>
  <c r="AR150" i="68"/>
  <c r="AP173" i="68"/>
  <c r="AK226" i="68"/>
  <c r="AO159" i="68"/>
  <c r="AR152" i="68"/>
  <c r="AT184" i="68"/>
  <c r="AS89" i="68"/>
  <c r="AV89" i="68" s="1"/>
  <c r="AU162" i="68"/>
  <c r="AU135" i="68"/>
  <c r="AR121" i="68"/>
  <c r="AU99" i="68"/>
  <c r="AR87" i="68"/>
  <c r="AS67" i="68"/>
  <c r="AV67" i="68" s="1"/>
  <c r="AU65" i="68"/>
  <c r="AP126" i="68"/>
  <c r="AN40" i="68"/>
  <c r="AO13" i="68"/>
  <c r="AM105" i="68"/>
  <c r="AK46" i="68"/>
  <c r="AR41" i="68"/>
  <c r="AP29" i="68"/>
  <c r="AU19" i="68"/>
  <c r="AS58" i="68"/>
  <c r="AV58" i="68" s="1"/>
  <c r="AN54" i="68"/>
  <c r="AH215" i="68"/>
  <c r="AQ215" i="68"/>
  <c r="AO171" i="68"/>
  <c r="AE105" i="68"/>
  <c r="AO80" i="68"/>
  <c r="AO43" i="68"/>
  <c r="AE313" i="68"/>
  <c r="AS275" i="68"/>
  <c r="AV275" i="68" s="1"/>
  <c r="AO271" i="68"/>
  <c r="AO263" i="68"/>
  <c r="AE229" i="68"/>
  <c r="AK229" i="68"/>
  <c r="AN410" i="68"/>
  <c r="AT232" i="68"/>
  <c r="AT287" i="68"/>
  <c r="AU364" i="68"/>
  <c r="AR306" i="68"/>
  <c r="AR279" i="68"/>
  <c r="AR288" i="68"/>
  <c r="AM280" i="68"/>
  <c r="AO280" i="68" s="1"/>
  <c r="AR271" i="68"/>
  <c r="AR284" i="68"/>
  <c r="AH254" i="68"/>
  <c r="AO246" i="68"/>
  <c r="AR230" i="68"/>
  <c r="AT226" i="68"/>
  <c r="AR155" i="68"/>
  <c r="AR191" i="68"/>
  <c r="AR204" i="68"/>
  <c r="AE192" i="68"/>
  <c r="AR190" i="68"/>
  <c r="AU165" i="68"/>
  <c r="AO145" i="68"/>
  <c r="AR108" i="68"/>
  <c r="AR101" i="68"/>
  <c r="AR84" i="68"/>
  <c r="AK154" i="68"/>
  <c r="AR153" i="68"/>
  <c r="AR138" i="68"/>
  <c r="AB96" i="68"/>
  <c r="AQ126" i="68"/>
  <c r="AH63" i="68"/>
  <c r="AR20" i="68"/>
  <c r="AE17" i="68"/>
  <c r="AO178" i="68"/>
  <c r="AE217" i="68"/>
  <c r="AR195" i="68"/>
  <c r="AO44" i="68"/>
  <c r="AO69" i="68"/>
  <c r="BI247" i="68"/>
  <c r="AE267" i="68"/>
  <c r="AE232" i="68"/>
  <c r="AM229" i="68"/>
  <c r="AM217" i="68"/>
  <c r="AP405" i="68"/>
  <c r="AO360" i="68"/>
  <c r="AR299" i="68"/>
  <c r="AS283" i="68"/>
  <c r="AV283" i="68" s="1"/>
  <c r="AP270" i="68"/>
  <c r="AT281" i="68"/>
  <c r="AP281" i="68"/>
  <c r="AM273" i="68"/>
  <c r="AU407" i="68"/>
  <c r="AO375" i="68"/>
  <c r="AU369" i="68"/>
  <c r="AR366" i="68"/>
  <c r="AP323" i="68"/>
  <c r="AK312" i="68"/>
  <c r="AO264" i="68"/>
  <c r="AX414" i="68"/>
  <c r="AM270" i="68"/>
  <c r="BP247" i="68"/>
  <c r="AR239" i="68"/>
  <c r="AU194" i="68"/>
  <c r="AO166" i="68"/>
  <c r="AR162" i="68"/>
  <c r="AR127" i="68"/>
  <c r="AB52" i="68"/>
  <c r="AN126" i="68"/>
  <c r="AO16" i="68"/>
  <c r="AT52" i="68"/>
  <c r="AS23" i="68"/>
  <c r="AV23" i="68" s="1"/>
  <c r="AB17" i="68"/>
  <c r="AO101" i="68"/>
  <c r="AO56" i="68"/>
  <c r="AO396" i="68"/>
  <c r="AT363" i="68"/>
  <c r="AQ358" i="68"/>
  <c r="AQ370" i="68"/>
  <c r="AP363" i="68"/>
  <c r="AT347" i="68"/>
  <c r="AO333" i="68"/>
  <c r="AO392" i="68"/>
  <c r="AR325" i="68"/>
  <c r="AN312" i="68"/>
  <c r="AU291" i="68"/>
  <c r="AQ313" i="68"/>
  <c r="AR237" i="68"/>
  <c r="AI139" i="68"/>
  <c r="AC228" i="68"/>
  <c r="AC247" i="68" s="1"/>
  <c r="AT63" i="68"/>
  <c r="AB29" i="68"/>
  <c r="AN313" i="68"/>
  <c r="AR375" i="68"/>
  <c r="AA414" i="68"/>
  <c r="AU249" i="68"/>
  <c r="AG414" i="68"/>
  <c r="AE243" i="68"/>
  <c r="AM275" i="68"/>
  <c r="AB262" i="68"/>
  <c r="AO231" i="68"/>
  <c r="AB229" i="68"/>
  <c r="AR227" i="68"/>
  <c r="AV212" i="68"/>
  <c r="AR198" i="68"/>
  <c r="AR167" i="68"/>
  <c r="AS184" i="68"/>
  <c r="AV184" i="68" s="1"/>
  <c r="AU183" i="68"/>
  <c r="AR158" i="68"/>
  <c r="AN192" i="68"/>
  <c r="AO148" i="68"/>
  <c r="AR115" i="68"/>
  <c r="AR109" i="68"/>
  <c r="AB89" i="68"/>
  <c r="AO78" i="68"/>
  <c r="AP17" i="68"/>
  <c r="AN89" i="68"/>
  <c r="AH29" i="68"/>
  <c r="AS17" i="68"/>
  <c r="AV17" i="68" s="1"/>
  <c r="AT17" i="68"/>
  <c r="AO155" i="68"/>
  <c r="Z139" i="68"/>
  <c r="AR351" i="68"/>
  <c r="AO319" i="68"/>
  <c r="AM215" i="68"/>
  <c r="AO94" i="68"/>
  <c r="BJ5" i="68"/>
  <c r="AO37" i="68"/>
  <c r="AH327" i="68"/>
  <c r="AW5" i="68"/>
  <c r="AN358" i="68"/>
  <c r="AR390" i="68"/>
  <c r="AR378" i="68"/>
  <c r="AR369" i="68"/>
  <c r="AS363" i="68"/>
  <c r="AV363" i="68" s="1"/>
  <c r="AO307" i="68"/>
  <c r="AE312" i="68"/>
  <c r="AU301" i="68"/>
  <c r="AT312" i="68"/>
  <c r="AS287" i="68"/>
  <c r="AR408" i="68"/>
  <c r="AU397" i="68"/>
  <c r="AR383" i="68"/>
  <c r="AR382" i="68"/>
  <c r="AR380" i="68"/>
  <c r="AT358" i="68"/>
  <c r="AO332" i="68"/>
  <c r="AR356" i="68"/>
  <c r="AP354" i="68"/>
  <c r="AU351" i="68"/>
  <c r="AR322" i="68"/>
  <c r="AM313" i="68"/>
  <c r="AP313" i="68"/>
  <c r="AQ312" i="68"/>
  <c r="AV291" i="68"/>
  <c r="AO269" i="68"/>
  <c r="AQ327" i="68"/>
  <c r="AR297" i="68"/>
  <c r="AR218" i="68"/>
  <c r="AQ287" i="68"/>
  <c r="BS414" i="68"/>
  <c r="AK281" i="68"/>
  <c r="AR255" i="68"/>
  <c r="AR245" i="68"/>
  <c r="AT243" i="68"/>
  <c r="AQ192" i="68"/>
  <c r="AR132" i="68"/>
  <c r="AR90" i="68"/>
  <c r="AR117" i="68"/>
  <c r="Z88" i="68"/>
  <c r="AO75" i="68"/>
  <c r="AM71" i="68"/>
  <c r="AR67" i="68"/>
  <c r="AP54" i="68"/>
  <c r="AR31" i="68"/>
  <c r="AT89" i="68"/>
  <c r="AM52" i="68"/>
  <c r="AO47" i="68"/>
  <c r="AK63" i="68"/>
  <c r="AR16" i="68"/>
  <c r="AQ17" i="68"/>
  <c r="AO373" i="68"/>
  <c r="AK355" i="68"/>
  <c r="AR353" i="68"/>
  <c r="AS313" i="68"/>
  <c r="AV313" i="68" s="1"/>
  <c r="AB313" i="68"/>
  <c r="AO222" i="68"/>
  <c r="AO266" i="68"/>
  <c r="AO324" i="68"/>
  <c r="AP241" i="68"/>
  <c r="AP229" i="68"/>
  <c r="AN226" i="68"/>
  <c r="AH363" i="68"/>
  <c r="AE358" i="68"/>
  <c r="AQ262" i="68"/>
  <c r="AO321" i="68"/>
  <c r="AT313" i="68"/>
  <c r="AU302" i="68"/>
  <c r="AR397" i="68"/>
  <c r="AS410" i="68"/>
  <c r="AU386" i="68"/>
  <c r="AR365" i="68"/>
  <c r="AO364" i="68"/>
  <c r="AS354" i="68"/>
  <c r="AV354" i="68" s="1"/>
  <c r="AR318" i="68"/>
  <c r="AR277" i="68"/>
  <c r="AS268" i="68"/>
  <c r="AU268" i="68" s="1"/>
  <c r="AO296" i="68"/>
  <c r="AE275" i="68"/>
  <c r="AO240" i="68"/>
  <c r="AG228" i="68"/>
  <c r="AG247" i="68" s="1"/>
  <c r="AO187" i="68"/>
  <c r="AO197" i="68"/>
  <c r="AQ206" i="68"/>
  <c r="AP184" i="68"/>
  <c r="AR188" i="68"/>
  <c r="AT140" i="68"/>
  <c r="AO156" i="68"/>
  <c r="AO142" i="68"/>
  <c r="AP52" i="68"/>
  <c r="AU32" i="68"/>
  <c r="AM54" i="68"/>
  <c r="AS52" i="68"/>
  <c r="AV52" i="68" s="1"/>
  <c r="AO174" i="68"/>
  <c r="AH355" i="68"/>
  <c r="AP355" i="68"/>
  <c r="AO326" i="68"/>
  <c r="AO151" i="68"/>
  <c r="AO90" i="68"/>
  <c r="AO81" i="68"/>
  <c r="AO210" i="68"/>
  <c r="AR172" i="68"/>
  <c r="AR164" i="68"/>
  <c r="AR135" i="68"/>
  <c r="AR124" i="68"/>
  <c r="AR106" i="68"/>
  <c r="AR104" i="68"/>
  <c r="AR91" i="68"/>
  <c r="AR60" i="68"/>
  <c r="AO93" i="68"/>
  <c r="AO83" i="68"/>
  <c r="AO65" i="68"/>
  <c r="AO213" i="68"/>
  <c r="AR169" i="68"/>
  <c r="AR161" i="68"/>
  <c r="AU20" i="68"/>
  <c r="AR62" i="68"/>
  <c r="AR30" i="68"/>
  <c r="AO109" i="68"/>
  <c r="AO67" i="68"/>
  <c r="AR216" i="68"/>
  <c r="AR165" i="68"/>
  <c r="AR116" i="68"/>
  <c r="AM72" i="68"/>
  <c r="AO72" i="68" s="1"/>
  <c r="AO70" i="68"/>
  <c r="AO132" i="68"/>
  <c r="AR178" i="68"/>
  <c r="AR157" i="68"/>
  <c r="AN206" i="68"/>
  <c r="AO42" i="68"/>
  <c r="AO34" i="68"/>
  <c r="AU112" i="68"/>
  <c r="L414" i="68"/>
  <c r="L417" i="68" s="1"/>
  <c r="L8" i="68" s="1"/>
  <c r="AU392" i="68"/>
  <c r="AV392" i="68"/>
  <c r="AV375" i="68"/>
  <c r="AU375" i="68"/>
  <c r="AV362" i="68"/>
  <c r="AU362" i="68"/>
  <c r="AK323" i="68"/>
  <c r="AS323" i="68"/>
  <c r="AU329" i="68"/>
  <c r="AV329" i="68"/>
  <c r="AV396" i="68"/>
  <c r="AU396" i="68"/>
  <c r="AV384" i="68"/>
  <c r="AU384" i="68"/>
  <c r="AR387" i="68"/>
  <c r="AR394" i="68"/>
  <c r="AV391" i="68"/>
  <c r="AU391" i="68"/>
  <c r="AR388" i="68"/>
  <c r="AV382" i="68"/>
  <c r="AU382" i="68"/>
  <c r="AV381" i="68"/>
  <c r="AU381" i="68"/>
  <c r="AU373" i="68"/>
  <c r="AV373" i="68"/>
  <c r="O370" i="68"/>
  <c r="AR376" i="68"/>
  <c r="AR374" i="68"/>
  <c r="AR372" i="68"/>
  <c r="AO367" i="68"/>
  <c r="AS360" i="68"/>
  <c r="AV366" i="68"/>
  <c r="AU366" i="68"/>
  <c r="AU346" i="68"/>
  <c r="AV346" i="68"/>
  <c r="AR362" i="68"/>
  <c r="AQ355" i="68"/>
  <c r="AT355" i="68"/>
  <c r="AN355" i="68"/>
  <c r="AR348" i="68"/>
  <c r="AV331" i="68"/>
  <c r="AU331" i="68"/>
  <c r="AV311" i="68"/>
  <c r="AU311" i="68"/>
  <c r="AV321" i="68"/>
  <c r="AU321" i="68"/>
  <c r="AU305" i="68"/>
  <c r="AV305" i="68"/>
  <c r="AS324" i="68"/>
  <c r="AU318" i="68"/>
  <c r="AV318" i="68"/>
  <c r="AV316" i="68"/>
  <c r="AU316" i="68"/>
  <c r="AU303" i="68"/>
  <c r="AU289" i="68"/>
  <c r="AV289" i="68"/>
  <c r="AO299" i="68"/>
  <c r="AO294" i="68"/>
  <c r="AM287" i="68"/>
  <c r="AO298" i="68"/>
  <c r="AV288" i="68"/>
  <c r="AU288" i="68"/>
  <c r="AV284" i="68"/>
  <c r="AU284" i="68"/>
  <c r="AU266" i="68"/>
  <c r="AV266" i="68"/>
  <c r="AP312" i="68"/>
  <c r="AS312" i="68"/>
  <c r="AB312" i="68"/>
  <c r="AM312" i="68"/>
  <c r="AO290" i="68"/>
  <c r="AO284" i="68"/>
  <c r="AV282" i="68"/>
  <c r="AU282" i="68"/>
  <c r="AP280" i="68"/>
  <c r="AR280" i="68" s="1"/>
  <c r="AP262" i="68"/>
  <c r="BD247" i="68"/>
  <c r="AU255" i="68"/>
  <c r="BC414" i="68"/>
  <c r="AM295" i="68"/>
  <c r="AO295" i="68" s="1"/>
  <c r="AR253" i="68"/>
  <c r="AO239" i="68"/>
  <c r="AO235" i="68"/>
  <c r="AE226" i="68"/>
  <c r="AO191" i="68"/>
  <c r="AT206" i="68"/>
  <c r="AV180" i="68"/>
  <c r="AU180" i="68"/>
  <c r="AV166" i="68"/>
  <c r="AU166" i="68"/>
  <c r="AV204" i="68"/>
  <c r="AU204" i="68"/>
  <c r="AV190" i="68"/>
  <c r="AU190" i="68"/>
  <c r="AU167" i="68"/>
  <c r="AV167" i="68"/>
  <c r="AU159" i="68"/>
  <c r="AV159" i="68"/>
  <c r="AU205" i="68"/>
  <c r="AV205" i="68"/>
  <c r="AU191" i="68"/>
  <c r="AV191" i="68"/>
  <c r="AO189" i="68"/>
  <c r="AR183" i="68"/>
  <c r="AV168" i="68"/>
  <c r="AU168" i="68"/>
  <c r="AV160" i="68"/>
  <c r="AU160" i="68"/>
  <c r="AV151" i="68"/>
  <c r="AU151" i="68"/>
  <c r="AN154" i="68"/>
  <c r="AQ154" i="68"/>
  <c r="AT154" i="68"/>
  <c r="AV152" i="68"/>
  <c r="AU152" i="68"/>
  <c r="AU155" i="68"/>
  <c r="AV146" i="68"/>
  <c r="AU146" i="68"/>
  <c r="AV125" i="68"/>
  <c r="AU125" i="68"/>
  <c r="AV121" i="68"/>
  <c r="AU121" i="68"/>
  <c r="AV117" i="68"/>
  <c r="AU117" i="68"/>
  <c r="AV113" i="68"/>
  <c r="AU113" i="68"/>
  <c r="AV107" i="68"/>
  <c r="AU107" i="68"/>
  <c r="AV100" i="68"/>
  <c r="AU100" i="68"/>
  <c r="AV87" i="68"/>
  <c r="AU87" i="68"/>
  <c r="AU137" i="68"/>
  <c r="AV137" i="68"/>
  <c r="AU132" i="68"/>
  <c r="AV132" i="68"/>
  <c r="AU118" i="68"/>
  <c r="AV118" i="68"/>
  <c r="AU108" i="68"/>
  <c r="AV108" i="68"/>
  <c r="AU93" i="68"/>
  <c r="AV93" i="68"/>
  <c r="AR145" i="68"/>
  <c r="AV123" i="68"/>
  <c r="AU123" i="68"/>
  <c r="AR120" i="68"/>
  <c r="AV90" i="68"/>
  <c r="AU90" i="68"/>
  <c r="AR85" i="68"/>
  <c r="AV62" i="68"/>
  <c r="AU62" i="68"/>
  <c r="AM12" i="68"/>
  <c r="AB12" i="68"/>
  <c r="AV51" i="68"/>
  <c r="AU51" i="68"/>
  <c r="AS80" i="68"/>
  <c r="AR57" i="68"/>
  <c r="AU38" i="68"/>
  <c r="AV38" i="68"/>
  <c r="AU31" i="68"/>
  <c r="AI73" i="68"/>
  <c r="AR69" i="68"/>
  <c r="AV35" i="68"/>
  <c r="AU35" i="68"/>
  <c r="AR32" i="68"/>
  <c r="AU26" i="68"/>
  <c r="BA5" i="68"/>
  <c r="X5" i="68"/>
  <c r="BL5" i="68"/>
  <c r="AT54" i="68"/>
  <c r="AU15" i="68"/>
  <c r="AO413" i="68"/>
  <c r="AV395" i="68"/>
  <c r="AU395" i="68"/>
  <c r="AO391" i="68"/>
  <c r="AV387" i="68"/>
  <c r="AU387" i="68"/>
  <c r="AO371" i="68"/>
  <c r="AV357" i="68"/>
  <c r="AU357" i="68"/>
  <c r="AV351" i="68"/>
  <c r="AR320" i="68"/>
  <c r="AU306" i="68"/>
  <c r="AU290" i="68"/>
  <c r="AV290" i="68"/>
  <c r="AS298" i="68"/>
  <c r="AU277" i="68"/>
  <c r="AR274" i="68"/>
  <c r="AV300" i="68"/>
  <c r="O287" i="68"/>
  <c r="AU258" i="68"/>
  <c r="AV258" i="68"/>
  <c r="BE414" i="68"/>
  <c r="AU246" i="68"/>
  <c r="AV246" i="68"/>
  <c r="AU244" i="68"/>
  <c r="AV244" i="68"/>
  <c r="AU202" i="68"/>
  <c r="AV202" i="68"/>
  <c r="AM262" i="68"/>
  <c r="AO199" i="68"/>
  <c r="AU213" i="68"/>
  <c r="AV213" i="68"/>
  <c r="AV197" i="68"/>
  <c r="AU197" i="68"/>
  <c r="AV176" i="68"/>
  <c r="AU176" i="68"/>
  <c r="AU177" i="68"/>
  <c r="AV177" i="68"/>
  <c r="AT256" i="68"/>
  <c r="AR211" i="68"/>
  <c r="AR186" i="68"/>
  <c r="AV182" i="68"/>
  <c r="AU182" i="68"/>
  <c r="AR179" i="68"/>
  <c r="AV164" i="68"/>
  <c r="AU164" i="68"/>
  <c r="AO162" i="68"/>
  <c r="AU147" i="68"/>
  <c r="AV147" i="68"/>
  <c r="O154" i="68"/>
  <c r="N139" i="68"/>
  <c r="N221" i="68" s="1"/>
  <c r="AD139" i="68"/>
  <c r="BD5" i="68"/>
  <c r="AU122" i="68"/>
  <c r="AV122" i="68"/>
  <c r="AU153" i="68"/>
  <c r="AV153" i="68"/>
  <c r="AU144" i="68"/>
  <c r="AV144" i="68"/>
  <c r="AV119" i="68"/>
  <c r="AU119" i="68"/>
  <c r="AV84" i="68"/>
  <c r="AU84" i="68"/>
  <c r="AV82" i="68"/>
  <c r="AU82" i="68"/>
  <c r="AV98" i="68"/>
  <c r="AU98" i="68"/>
  <c r="AV70" i="68"/>
  <c r="AU70" i="68"/>
  <c r="AR65" i="68"/>
  <c r="AV33" i="68"/>
  <c r="AU33" i="68"/>
  <c r="AP68" i="68"/>
  <c r="AV61" i="68"/>
  <c r="AU61" i="68"/>
  <c r="AU56" i="68"/>
  <c r="AV56" i="68"/>
  <c r="AU44" i="68"/>
  <c r="AV44" i="68"/>
  <c r="AU42" i="68"/>
  <c r="AV42" i="68"/>
  <c r="AV77" i="68"/>
  <c r="AU77" i="68"/>
  <c r="AP63" i="68"/>
  <c r="AE63" i="68"/>
  <c r="AV57" i="68"/>
  <c r="AU57" i="68"/>
  <c r="AO3" i="68"/>
  <c r="AO60" i="68"/>
  <c r="AS72" i="68"/>
  <c r="AS46" i="68"/>
  <c r="AV31" i="68"/>
  <c r="AV20" i="68"/>
  <c r="AQ54" i="68"/>
  <c r="AR22" i="68"/>
  <c r="AV386" i="68"/>
  <c r="AU361" i="68"/>
  <c r="AV361" i="68"/>
  <c r="AV356" i="68"/>
  <c r="AU356" i="68"/>
  <c r="AV330" i="68"/>
  <c r="AU330" i="68"/>
  <c r="AU322" i="68"/>
  <c r="AV322" i="68"/>
  <c r="AR412" i="68"/>
  <c r="AU412" i="68"/>
  <c r="AR395" i="68"/>
  <c r="AV389" i="68"/>
  <c r="AU389" i="68"/>
  <c r="AU390" i="68"/>
  <c r="AV390" i="68"/>
  <c r="AU378" i="68"/>
  <c r="AV378" i="68"/>
  <c r="AV380" i="68"/>
  <c r="AU380" i="68"/>
  <c r="AU371" i="68"/>
  <c r="AR361" i="68"/>
  <c r="AR360" i="68"/>
  <c r="Z358" i="68"/>
  <c r="AD354" i="68"/>
  <c r="BF5" i="68"/>
  <c r="AR331" i="68"/>
  <c r="AV368" i="68"/>
  <c r="AU368" i="68"/>
  <c r="AV367" i="68"/>
  <c r="AU367" i="68"/>
  <c r="O363" i="68"/>
  <c r="AR330" i="68"/>
  <c r="AV325" i="68"/>
  <c r="AU325" i="68"/>
  <c r="AV314" i="68"/>
  <c r="AU314" i="68"/>
  <c r="AV304" i="68"/>
  <c r="AU304" i="68"/>
  <c r="AU315" i="68"/>
  <c r="AV315" i="68"/>
  <c r="AU293" i="68"/>
  <c r="AV293" i="68"/>
  <c r="AO300" i="68"/>
  <c r="AO292" i="68"/>
  <c r="AO288" i="68"/>
  <c r="AV299" i="68"/>
  <c r="AU299" i="68"/>
  <c r="AV294" i="68"/>
  <c r="AU294" i="68"/>
  <c r="AV292" i="68"/>
  <c r="AU292" i="68"/>
  <c r="AV265" i="68"/>
  <c r="AU265" i="68"/>
  <c r="AR300" i="68"/>
  <c r="AU279" i="68"/>
  <c r="AV274" i="68"/>
  <c r="AU274" i="68"/>
  <c r="AR272" i="68"/>
  <c r="AS285" i="68"/>
  <c r="AO253" i="68"/>
  <c r="BO414" i="68"/>
  <c r="AP254" i="68"/>
  <c r="AS226" i="68"/>
  <c r="AB226" i="68"/>
  <c r="AM226" i="68"/>
  <c r="AP226" i="68"/>
  <c r="AC256" i="68"/>
  <c r="BE5" i="68"/>
  <c r="AF414" i="68"/>
  <c r="AR234" i="68"/>
  <c r="AR222" i="68"/>
  <c r="AU196" i="68"/>
  <c r="AV196" i="68"/>
  <c r="AO193" i="68"/>
  <c r="AU189" i="68"/>
  <c r="AV189" i="68"/>
  <c r="AO195" i="68"/>
  <c r="AU253" i="68"/>
  <c r="AV195" i="68"/>
  <c r="AU195" i="68"/>
  <c r="AV211" i="68"/>
  <c r="AU211" i="68"/>
  <c r="AV188" i="68"/>
  <c r="AU188" i="68"/>
  <c r="AV186" i="68"/>
  <c r="AU186" i="68"/>
  <c r="AR182" i="68"/>
  <c r="AR174" i="68"/>
  <c r="AU171" i="68"/>
  <c r="AV171" i="68"/>
  <c r="AU163" i="68"/>
  <c r="AV163" i="68"/>
  <c r="AN256" i="68"/>
  <c r="AR212" i="68"/>
  <c r="AU210" i="68"/>
  <c r="AV210" i="68"/>
  <c r="AU193" i="68"/>
  <c r="AV193" i="68"/>
  <c r="AU187" i="68"/>
  <c r="AV187" i="68"/>
  <c r="AO185" i="68"/>
  <c r="AV178" i="68"/>
  <c r="AU178" i="68"/>
  <c r="AR175" i="68"/>
  <c r="AV156" i="68"/>
  <c r="AU156" i="68"/>
  <c r="AO153" i="68"/>
  <c r="AR156" i="68"/>
  <c r="AO138" i="68"/>
  <c r="AV136" i="68"/>
  <c r="AU136" i="68"/>
  <c r="AP96" i="68"/>
  <c r="AV92" i="68"/>
  <c r="AU92" i="68"/>
  <c r="AU149" i="68"/>
  <c r="AV149" i="68"/>
  <c r="AU145" i="68"/>
  <c r="AV145" i="68"/>
  <c r="AS96" i="68"/>
  <c r="AR147" i="68"/>
  <c r="AV133" i="68"/>
  <c r="AU133" i="68"/>
  <c r="AV115" i="68"/>
  <c r="AU115" i="68"/>
  <c r="AR112" i="68"/>
  <c r="AR110" i="68"/>
  <c r="AR103" i="68"/>
  <c r="AV97" i="68"/>
  <c r="AU97" i="68"/>
  <c r="AR95" i="68"/>
  <c r="AR80" i="68"/>
  <c r="AS68" i="68"/>
  <c r="AR4" i="68"/>
  <c r="AO77" i="68"/>
  <c r="AO66" i="68"/>
  <c r="AV59" i="68"/>
  <c r="AU59" i="68"/>
  <c r="AV53" i="68"/>
  <c r="AU53" i="68"/>
  <c r="AV47" i="68"/>
  <c r="AU47" i="68"/>
  <c r="AV41" i="68"/>
  <c r="AU41" i="68"/>
  <c r="O17" i="68"/>
  <c r="AU37" i="68"/>
  <c r="AV37" i="68"/>
  <c r="AU34" i="68"/>
  <c r="AV34" i="68"/>
  <c r="AN140" i="68"/>
  <c r="AS76" i="68"/>
  <c r="AB76" i="68"/>
  <c r="AM76" i="68"/>
  <c r="AO76" i="68" s="1"/>
  <c r="AP76" i="68"/>
  <c r="AR76" i="68" s="1"/>
  <c r="AE64" i="68"/>
  <c r="AM64" i="68"/>
  <c r="AO64" i="68" s="1"/>
  <c r="AC49" i="68"/>
  <c r="BC5" i="68"/>
  <c r="BS5" i="68"/>
  <c r="O29" i="68"/>
  <c r="AU25" i="68"/>
  <c r="AV22" i="68"/>
  <c r="AU22" i="68"/>
  <c r="AR19" i="68"/>
  <c r="AR15" i="68"/>
  <c r="AT71" i="68"/>
  <c r="BQ5" i="68"/>
  <c r="AR27" i="68"/>
  <c r="AU385" i="68"/>
  <c r="AV385" i="68"/>
  <c r="AU379" i="68"/>
  <c r="AV379" i="68"/>
  <c r="AU376" i="68"/>
  <c r="AV376" i="68"/>
  <c r="AU372" i="68"/>
  <c r="AV372" i="68"/>
  <c r="AV359" i="68"/>
  <c r="AU359" i="68"/>
  <c r="AR332" i="68"/>
  <c r="AV326" i="68"/>
  <c r="AU326" i="68"/>
  <c r="AV320" i="68"/>
  <c r="AU320" i="68"/>
  <c r="AR317" i="68"/>
  <c r="AR308" i="68"/>
  <c r="AU296" i="68"/>
  <c r="AV296" i="68"/>
  <c r="AV276" i="68"/>
  <c r="AU276" i="68"/>
  <c r="AV269" i="68"/>
  <c r="AU269" i="68"/>
  <c r="O267" i="68"/>
  <c r="AP287" i="68"/>
  <c r="AE287" i="68"/>
  <c r="AR278" i="68"/>
  <c r="AV271" i="68"/>
  <c r="AU271" i="68"/>
  <c r="AV261" i="68"/>
  <c r="AU261" i="68"/>
  <c r="AV259" i="68"/>
  <c r="AU259" i="68"/>
  <c r="AU260" i="68"/>
  <c r="AU240" i="68"/>
  <c r="AV240" i="68"/>
  <c r="AS280" i="68"/>
  <c r="AE257" i="68"/>
  <c r="AM257" i="68"/>
  <c r="AO257" i="68" s="1"/>
  <c r="AV237" i="68"/>
  <c r="AU237" i="68"/>
  <c r="AV233" i="68"/>
  <c r="AU233" i="68"/>
  <c r="AV220" i="68"/>
  <c r="AU220" i="68"/>
  <c r="AV218" i="68"/>
  <c r="AU218" i="68"/>
  <c r="AV216" i="68"/>
  <c r="AU216" i="68"/>
  <c r="AV214" i="68"/>
  <c r="AU214" i="68"/>
  <c r="AU185" i="68"/>
  <c r="AV185" i="68"/>
  <c r="AU207" i="68"/>
  <c r="AV207" i="68"/>
  <c r="AV199" i="68"/>
  <c r="AU199" i="68"/>
  <c r="AV170" i="68"/>
  <c r="AU170" i="68"/>
  <c r="AV158" i="68"/>
  <c r="AU158" i="68"/>
  <c r="AU181" i="68"/>
  <c r="AV181" i="68"/>
  <c r="AR168" i="68"/>
  <c r="AR160" i="68"/>
  <c r="AV174" i="68"/>
  <c r="AU174" i="68"/>
  <c r="AV172" i="68"/>
  <c r="AU172" i="68"/>
  <c r="AU142" i="68"/>
  <c r="AV142" i="68"/>
  <c r="AA139" i="68"/>
  <c r="AV148" i="68"/>
  <c r="AU148" i="68"/>
  <c r="AJ139" i="68"/>
  <c r="BP5" i="68"/>
  <c r="AU138" i="68"/>
  <c r="AV138" i="68"/>
  <c r="AV127" i="68"/>
  <c r="AU127" i="68"/>
  <c r="O88" i="68"/>
  <c r="AU114" i="68"/>
  <c r="AV114" i="68"/>
  <c r="AU101" i="68"/>
  <c r="AV101" i="68"/>
  <c r="AR151" i="68"/>
  <c r="AV109" i="68"/>
  <c r="AU109" i="68"/>
  <c r="AV102" i="68"/>
  <c r="AU102" i="68"/>
  <c r="AR99" i="68"/>
  <c r="AV94" i="68"/>
  <c r="AU94" i="68"/>
  <c r="AV83" i="68"/>
  <c r="AU83" i="68"/>
  <c r="AV81" i="68"/>
  <c r="AU81" i="68"/>
  <c r="AU79" i="68"/>
  <c r="AV79" i="68"/>
  <c r="AU66" i="68"/>
  <c r="AV66" i="68"/>
  <c r="AV78" i="68"/>
  <c r="AU78" i="68"/>
  <c r="AP71" i="68"/>
  <c r="AE71" i="68"/>
  <c r="AS71" i="68"/>
  <c r="AV16" i="68"/>
  <c r="AU16" i="68"/>
  <c r="AU48" i="68"/>
  <c r="AV48" i="68"/>
  <c r="AU43" i="68"/>
  <c r="AV43" i="68"/>
  <c r="AU18" i="68"/>
  <c r="AV18" i="68"/>
  <c r="AV45" i="68"/>
  <c r="AU45" i="68"/>
  <c r="BO5" i="68"/>
  <c r="AI40" i="68"/>
  <c r="AR13" i="68"/>
  <c r="AV60" i="68"/>
  <c r="AU60" i="68"/>
  <c r="AM68" i="68"/>
  <c r="AO27" i="68"/>
  <c r="AU3" i="68"/>
  <c r="AU193" i="60"/>
  <c r="AV193" i="60"/>
  <c r="BM253" i="60"/>
  <c r="BO253" i="60"/>
  <c r="BE253" i="60"/>
  <c r="AU263" i="68" l="1"/>
  <c r="AU55" i="68"/>
  <c r="S248" i="68"/>
  <c r="S415" i="68" s="1"/>
  <c r="AV286" i="68"/>
  <c r="AU297" i="68"/>
  <c r="BG5" i="68"/>
  <c r="AV24" i="68"/>
  <c r="AI414" i="68"/>
  <c r="AU39" i="68"/>
  <c r="AS262" i="68"/>
  <c r="AU262" i="68" s="1"/>
  <c r="AU74" i="68"/>
  <c r="AU75" i="68"/>
  <c r="AO203" i="68"/>
  <c r="AV50" i="68"/>
  <c r="AC88" i="68"/>
  <c r="AC221" i="68" s="1"/>
  <c r="AS370" i="68"/>
  <c r="AV370" i="68" s="1"/>
  <c r="AM370" i="68"/>
  <c r="AO370" i="68" s="1"/>
  <c r="AP370" i="68"/>
  <c r="AR370" i="68" s="1"/>
  <c r="AM73" i="68"/>
  <c r="AO73" i="68" s="1"/>
  <c r="AF12" i="68"/>
  <c r="AH12" i="68" s="1"/>
  <c r="AP73" i="68"/>
  <c r="AR73" i="68" s="1"/>
  <c r="BM8" i="68"/>
  <c r="BI221" i="68"/>
  <c r="BI223" i="68" s="1"/>
  <c r="BK14" i="68"/>
  <c r="BK221" i="68" s="1"/>
  <c r="BK223" i="68" s="1"/>
  <c r="AU307" i="68"/>
  <c r="AO254" i="68"/>
  <c r="N5" i="68"/>
  <c r="AR363" i="68"/>
  <c r="AO71" i="68"/>
  <c r="L5" i="68"/>
  <c r="AU27" i="68"/>
  <c r="AJ275" i="68"/>
  <c r="AT275" i="68" s="1"/>
  <c r="BT414" i="68"/>
  <c r="AO350" i="68"/>
  <c r="AU215" i="68"/>
  <c r="AO219" i="68"/>
  <c r="AO347" i="68"/>
  <c r="AR328" i="68"/>
  <c r="AO111" i="68"/>
  <c r="AO46" i="68"/>
  <c r="AR254" i="68"/>
  <c r="AO206" i="68"/>
  <c r="AK88" i="68"/>
  <c r="AR46" i="68"/>
  <c r="AR327" i="68"/>
  <c r="AU67" i="68"/>
  <c r="AO267" i="68"/>
  <c r="AU281" i="68"/>
  <c r="AR89" i="68"/>
  <c r="AO323" i="68"/>
  <c r="AU111" i="68"/>
  <c r="AO270" i="68"/>
  <c r="AR323" i="68"/>
  <c r="AR105" i="68"/>
  <c r="AO236" i="68"/>
  <c r="AR267" i="68"/>
  <c r="AO281" i="68"/>
  <c r="AO355" i="68"/>
  <c r="AU267" i="68"/>
  <c r="AO241" i="68"/>
  <c r="AU154" i="68"/>
  <c r="AN88" i="68"/>
  <c r="AO285" i="68"/>
  <c r="AO377" i="68"/>
  <c r="AU355" i="68"/>
  <c r="AO215" i="68"/>
  <c r="AR270" i="68"/>
  <c r="AU173" i="68"/>
  <c r="AO275" i="68"/>
  <c r="AU287" i="68"/>
  <c r="AO23" i="68"/>
  <c r="AU219" i="68"/>
  <c r="AQ88" i="68"/>
  <c r="AR232" i="68"/>
  <c r="AD221" i="68"/>
  <c r="AD248" i="68" s="1"/>
  <c r="AU54" i="68"/>
  <c r="AV219" i="68"/>
  <c r="AR206" i="68"/>
  <c r="AO105" i="68"/>
  <c r="AR273" i="68"/>
  <c r="AU405" i="68"/>
  <c r="AO58" i="68"/>
  <c r="AR377" i="68"/>
  <c r="AU377" i="68"/>
  <c r="AR347" i="68"/>
  <c r="AO63" i="68"/>
  <c r="AO68" i="68"/>
  <c r="AU241" i="68"/>
  <c r="AO273" i="68"/>
  <c r="AO134" i="68"/>
  <c r="AO405" i="68"/>
  <c r="AU63" i="68"/>
  <c r="AR281" i="68"/>
  <c r="AO363" i="68"/>
  <c r="AU126" i="68"/>
  <c r="AO96" i="68"/>
  <c r="AR285" i="68"/>
  <c r="AO327" i="68"/>
  <c r="AU410" i="68"/>
  <c r="AO192" i="68"/>
  <c r="AO283" i="68"/>
  <c r="AO29" i="68"/>
  <c r="AR275" i="68"/>
  <c r="AR283" i="68"/>
  <c r="AP139" i="68"/>
  <c r="AO173" i="68"/>
  <c r="AR58" i="68"/>
  <c r="AO184" i="68"/>
  <c r="AR236" i="68"/>
  <c r="O139" i="68"/>
  <c r="O221" i="68" s="1"/>
  <c r="AR410" i="68"/>
  <c r="AR23" i="68"/>
  <c r="AJ221" i="68"/>
  <c r="AJ248" i="68" s="1"/>
  <c r="AU105" i="68"/>
  <c r="AO287" i="68"/>
  <c r="AR192" i="68"/>
  <c r="AU347" i="68"/>
  <c r="AO217" i="68"/>
  <c r="AR217" i="68"/>
  <c r="AO140" i="68"/>
  <c r="AU295" i="68"/>
  <c r="AR52" i="68"/>
  <c r="AR229" i="68"/>
  <c r="AO89" i="68"/>
  <c r="AO229" i="68"/>
  <c r="Q248" i="68"/>
  <c r="Q415" i="68" s="1"/>
  <c r="AR215" i="68"/>
  <c r="AO36" i="68"/>
  <c r="AH139" i="68"/>
  <c r="AO17" i="68"/>
  <c r="AR111" i="68"/>
  <c r="AR241" i="68"/>
  <c r="AR405" i="68"/>
  <c r="AR350" i="68"/>
  <c r="AR40" i="68"/>
  <c r="AR243" i="68"/>
  <c r="AU23" i="68"/>
  <c r="AO328" i="68"/>
  <c r="AG221" i="68"/>
  <c r="AG248" i="68" s="1"/>
  <c r="AG415" i="68" s="1"/>
  <c r="AU64" i="68"/>
  <c r="AO54" i="68"/>
  <c r="AO40" i="68"/>
  <c r="AH88" i="68"/>
  <c r="AU350" i="68"/>
  <c r="AR68" i="68"/>
  <c r="AU283" i="68"/>
  <c r="AU257" i="68"/>
  <c r="AT88" i="68"/>
  <c r="AO126" i="68"/>
  <c r="AV410" i="68"/>
  <c r="AR63" i="68"/>
  <c r="AR184" i="68"/>
  <c r="AU192" i="68"/>
  <c r="AM228" i="68"/>
  <c r="AM247" i="68" s="1"/>
  <c r="AO154" i="68"/>
  <c r="AR29" i="68"/>
  <c r="AU254" i="68"/>
  <c r="AB88" i="68"/>
  <c r="AR154" i="68"/>
  <c r="AU206" i="68"/>
  <c r="AU203" i="68"/>
  <c r="AU36" i="68"/>
  <c r="AR71" i="68"/>
  <c r="AR96" i="68"/>
  <c r="AV173" i="68"/>
  <c r="AU243" i="68"/>
  <c r="AO262" i="68"/>
  <c r="AR203" i="68"/>
  <c r="AH414" i="68"/>
  <c r="AU232" i="68"/>
  <c r="AU29" i="68"/>
  <c r="AU229" i="68"/>
  <c r="AR355" i="68"/>
  <c r="AR36" i="68"/>
  <c r="AR219" i="68"/>
  <c r="AV268" i="68"/>
  <c r="AU58" i="68"/>
  <c r="AB228" i="68"/>
  <c r="AB247" i="68" s="1"/>
  <c r="AS228" i="68"/>
  <c r="AV228" i="68" s="1"/>
  <c r="AR126" i="68"/>
  <c r="AU184" i="68"/>
  <c r="AR173" i="68"/>
  <c r="AU273" i="68"/>
  <c r="AK228" i="68"/>
  <c r="AK247" i="68" s="1"/>
  <c r="AV229" i="68"/>
  <c r="AO52" i="68"/>
  <c r="AO232" i="68"/>
  <c r="AU236" i="68"/>
  <c r="AR140" i="68"/>
  <c r="AQ228" i="68"/>
  <c r="AQ247" i="68" s="1"/>
  <c r="AU140" i="68"/>
  <c r="AU89" i="68"/>
  <c r="AU270" i="68"/>
  <c r="AR134" i="68"/>
  <c r="AN228" i="68"/>
  <c r="AN247" i="68" s="1"/>
  <c r="AU134" i="68"/>
  <c r="AR287" i="68"/>
  <c r="AV287" i="68"/>
  <c r="AO313" i="68"/>
  <c r="AU363" i="68"/>
  <c r="AR54" i="68"/>
  <c r="AO312" i="68"/>
  <c r="AU217" i="68"/>
  <c r="Z221" i="68"/>
  <c r="Z248" i="68" s="1"/>
  <c r="AU327" i="68"/>
  <c r="AU52" i="68"/>
  <c r="AE228" i="68"/>
  <c r="AE247" i="68" s="1"/>
  <c r="AU328" i="68"/>
  <c r="AR313" i="68"/>
  <c r="N248" i="68"/>
  <c r="N415" i="68" s="1"/>
  <c r="AH228" i="68"/>
  <c r="AH247" i="68" s="1"/>
  <c r="AO410" i="68"/>
  <c r="AP228" i="68"/>
  <c r="AP247" i="68" s="1"/>
  <c r="AT228" i="68"/>
  <c r="AU17" i="68"/>
  <c r="AM139" i="68"/>
  <c r="AS139" i="68"/>
  <c r="AV139" i="68" s="1"/>
  <c r="AU313" i="68"/>
  <c r="AR17" i="68"/>
  <c r="AR262" i="68"/>
  <c r="AR312" i="68"/>
  <c r="AE139" i="68"/>
  <c r="AK139" i="68"/>
  <c r="L418" i="68"/>
  <c r="O414" i="68"/>
  <c r="O418" i="68" s="1"/>
  <c r="AE49" i="68"/>
  <c r="AM49" i="68"/>
  <c r="AO49" i="68" s="1"/>
  <c r="AP49" i="68"/>
  <c r="AR49" i="68" s="1"/>
  <c r="AS49" i="68"/>
  <c r="AR226" i="68"/>
  <c r="AV226" i="68"/>
  <c r="AU226" i="68"/>
  <c r="AU46" i="68"/>
  <c r="AV46" i="68"/>
  <c r="AV298" i="68"/>
  <c r="AU298" i="68"/>
  <c r="AK73" i="68"/>
  <c r="AS73" i="68"/>
  <c r="AV360" i="68"/>
  <c r="AU360" i="68"/>
  <c r="AU71" i="68"/>
  <c r="AV71" i="68"/>
  <c r="AT139" i="68"/>
  <c r="AN139" i="68"/>
  <c r="AQ139" i="68"/>
  <c r="AB139" i="68"/>
  <c r="AA221" i="68"/>
  <c r="AA248" i="68" s="1"/>
  <c r="L248" i="68"/>
  <c r="L415" i="68" s="1"/>
  <c r="L223" i="68"/>
  <c r="L6" i="68" s="1"/>
  <c r="AP256" i="68"/>
  <c r="AR256" i="68" s="1"/>
  <c r="AE256" i="68"/>
  <c r="AS256" i="68"/>
  <c r="AC414" i="68"/>
  <c r="AM256" i="68"/>
  <c r="AO226" i="68"/>
  <c r="AU285" i="68"/>
  <c r="AV285" i="68"/>
  <c r="AV72" i="68"/>
  <c r="AU72" i="68"/>
  <c r="AV80" i="68"/>
  <c r="AU80" i="68"/>
  <c r="AU323" i="68"/>
  <c r="AV323" i="68"/>
  <c r="AV280" i="68"/>
  <c r="AU280" i="68"/>
  <c r="AU96" i="68"/>
  <c r="AV96" i="68"/>
  <c r="AM358" i="68"/>
  <c r="AO358" i="68" s="1"/>
  <c r="AP358" i="68"/>
  <c r="AR358" i="68" s="1"/>
  <c r="AS358" i="68"/>
  <c r="AB358" i="68"/>
  <c r="AB414" i="68" s="1"/>
  <c r="AU312" i="68"/>
  <c r="AV312" i="68"/>
  <c r="AK40" i="68"/>
  <c r="AI221" i="68"/>
  <c r="AS40" i="68"/>
  <c r="AV76" i="68"/>
  <c r="AU76" i="68"/>
  <c r="AV68" i="68"/>
  <c r="AU68" i="68"/>
  <c r="Z414" i="68"/>
  <c r="AQ354" i="68"/>
  <c r="AT354" i="68"/>
  <c r="AU354" i="68" s="1"/>
  <c r="AD414" i="68"/>
  <c r="AE354" i="68"/>
  <c r="AN354" i="68"/>
  <c r="AO354" i="68" s="1"/>
  <c r="AO12" i="68"/>
  <c r="AV324" i="68"/>
  <c r="AU324" i="68"/>
  <c r="AJ190" i="60"/>
  <c r="AI190" i="60"/>
  <c r="AG190" i="60"/>
  <c r="AF190" i="60"/>
  <c r="AD190" i="60"/>
  <c r="AC190" i="60"/>
  <c r="AA190" i="60"/>
  <c r="Z190" i="60"/>
  <c r="O190" i="60"/>
  <c r="AJ191" i="60"/>
  <c r="AI191" i="60"/>
  <c r="AG191" i="60"/>
  <c r="AF191" i="60"/>
  <c r="AD191" i="60"/>
  <c r="AC191" i="60"/>
  <c r="AA191" i="60"/>
  <c r="Z191" i="60"/>
  <c r="O191" i="60"/>
  <c r="AJ192" i="60"/>
  <c r="AI192" i="60"/>
  <c r="AG192" i="60"/>
  <c r="AF192" i="60"/>
  <c r="AD192" i="60"/>
  <c r="AC192" i="60"/>
  <c r="AA192" i="60"/>
  <c r="Z192" i="60"/>
  <c r="O192" i="60"/>
  <c r="AJ189" i="60"/>
  <c r="AI189" i="60"/>
  <c r="AG189" i="60"/>
  <c r="AF189" i="60"/>
  <c r="AD189" i="60"/>
  <c r="AC189" i="60"/>
  <c r="AA189" i="60"/>
  <c r="Z189" i="60"/>
  <c r="O189" i="60"/>
  <c r="AJ184" i="60"/>
  <c r="AI184" i="60"/>
  <c r="AG184" i="60"/>
  <c r="AF184" i="60"/>
  <c r="AD184" i="60"/>
  <c r="AC184" i="60"/>
  <c r="AA184" i="60"/>
  <c r="Z184" i="60"/>
  <c r="O184" i="60"/>
  <c r="AJ183" i="60"/>
  <c r="AI183" i="60"/>
  <c r="AG183" i="60"/>
  <c r="AF183" i="60"/>
  <c r="AD183" i="60"/>
  <c r="AC183" i="60"/>
  <c r="AA183" i="60"/>
  <c r="Z183" i="60"/>
  <c r="O183" i="60"/>
  <c r="AJ114" i="60"/>
  <c r="AI114" i="60"/>
  <c r="AG114" i="60"/>
  <c r="AF114" i="60"/>
  <c r="AD114" i="60"/>
  <c r="AC114" i="60"/>
  <c r="AA114" i="60"/>
  <c r="Z114" i="60"/>
  <c r="O114" i="60"/>
  <c r="BL75" i="60"/>
  <c r="BK75" i="60"/>
  <c r="BC75" i="60"/>
  <c r="BL54" i="60"/>
  <c r="BK54" i="60"/>
  <c r="BL74" i="60"/>
  <c r="BK74" i="60"/>
  <c r="AE88" i="68" l="1"/>
  <c r="AE221" i="68" s="1"/>
  <c r="AE248" i="68" s="1"/>
  <c r="AP88" i="68"/>
  <c r="AR88" i="68" s="1"/>
  <c r="AS88" i="68"/>
  <c r="AV88" i="68" s="1"/>
  <c r="AM88" i="68"/>
  <c r="AO88" i="68" s="1"/>
  <c r="AV262" i="68"/>
  <c r="AU370" i="68"/>
  <c r="AP12" i="68"/>
  <c r="AR12" i="68" s="1"/>
  <c r="AS12" i="68"/>
  <c r="AU12" i="68" s="1"/>
  <c r="AF14" i="68"/>
  <c r="AS14" i="68" s="1"/>
  <c r="AK275" i="68"/>
  <c r="AK414" i="68" s="1"/>
  <c r="BK5" i="68"/>
  <c r="AJ414" i="68"/>
  <c r="AJ415" i="68" s="1"/>
  <c r="O5" i="68"/>
  <c r="AN221" i="68"/>
  <c r="AS247" i="68"/>
  <c r="AT221" i="68"/>
  <c r="AQ221" i="68"/>
  <c r="AR139" i="68"/>
  <c r="AO228" i="68"/>
  <c r="AO247" i="68" s="1"/>
  <c r="AB221" i="68"/>
  <c r="AB248" i="68" s="1"/>
  <c r="AB415" i="68" s="1"/>
  <c r="AU228" i="68"/>
  <c r="AU247" i="68" s="1"/>
  <c r="AV247" i="68"/>
  <c r="AU139" i="68"/>
  <c r="Z225" i="68"/>
  <c r="AT247" i="68"/>
  <c r="AO139" i="68"/>
  <c r="AR228" i="68"/>
  <c r="AR247" i="68" s="1"/>
  <c r="AM5" i="68"/>
  <c r="AD415" i="68"/>
  <c r="AK221" i="68"/>
  <c r="AK248" i="68" s="1"/>
  <c r="O417" i="68"/>
  <c r="O8" i="68" s="1"/>
  <c r="AQ414" i="68"/>
  <c r="AR354" i="68"/>
  <c r="AR414" i="68" s="1"/>
  <c r="AU40" i="68"/>
  <c r="AV40" i="68"/>
  <c r="AI248" i="68"/>
  <c r="AI415" i="68" s="1"/>
  <c r="AI225" i="68"/>
  <c r="Z415" i="68"/>
  <c r="AP414" i="68"/>
  <c r="AE414" i="68"/>
  <c r="AA415" i="68"/>
  <c r="AQ248" i="68"/>
  <c r="AN248" i="68"/>
  <c r="AT5" i="68"/>
  <c r="AV49" i="68"/>
  <c r="AU49" i="68"/>
  <c r="AU358" i="68"/>
  <c r="AV358" i="68"/>
  <c r="AO256" i="68"/>
  <c r="AO414" i="68" s="1"/>
  <c r="AM414" i="68"/>
  <c r="L419" i="68"/>
  <c r="AU73" i="68"/>
  <c r="AV73" i="68"/>
  <c r="AC248" i="68"/>
  <c r="AC415" i="68" s="1"/>
  <c r="AC225" i="68"/>
  <c r="O248" i="68"/>
  <c r="O415" i="68" s="1"/>
  <c r="O419" i="68" s="1"/>
  <c r="O223" i="68"/>
  <c r="O6" i="68" s="1"/>
  <c r="AQ5" i="68"/>
  <c r="AU275" i="68"/>
  <c r="AT414" i="68"/>
  <c r="AU256" i="68"/>
  <c r="AV256" i="68"/>
  <c r="AS414" i="68"/>
  <c r="AN5" i="68"/>
  <c r="AN414" i="68"/>
  <c r="AH183" i="60"/>
  <c r="AH190" i="60"/>
  <c r="AH192" i="60"/>
  <c r="AE190" i="60"/>
  <c r="AB184" i="60"/>
  <c r="AN184" i="60"/>
  <c r="AM189" i="60"/>
  <c r="AP191" i="60"/>
  <c r="AN190" i="60"/>
  <c r="AP183" i="60"/>
  <c r="AN189" i="60"/>
  <c r="AM192" i="60"/>
  <c r="AE189" i="60"/>
  <c r="AE183" i="60"/>
  <c r="AH184" i="60"/>
  <c r="AP192" i="60"/>
  <c r="AQ191" i="60"/>
  <c r="AM190" i="60"/>
  <c r="AH189" i="60"/>
  <c r="AK191" i="60"/>
  <c r="AM184" i="60"/>
  <c r="AO184" i="60" s="1"/>
  <c r="AE184" i="60"/>
  <c r="AQ192" i="60"/>
  <c r="AR192" i="60" s="1"/>
  <c r="AM191" i="60"/>
  <c r="AH191" i="60"/>
  <c r="AQ190" i="60"/>
  <c r="AK192" i="60"/>
  <c r="AK190" i="60"/>
  <c r="AK189" i="60"/>
  <c r="AB190" i="60"/>
  <c r="AS190" i="60"/>
  <c r="AP190" i="60"/>
  <c r="AT190" i="60"/>
  <c r="AE191" i="60"/>
  <c r="AN191" i="60"/>
  <c r="AB191" i="60"/>
  <c r="AS191" i="60"/>
  <c r="AT191" i="60"/>
  <c r="AE192" i="60"/>
  <c r="AN192" i="60"/>
  <c r="AB192" i="60"/>
  <c r="AS192" i="60"/>
  <c r="AT192" i="60"/>
  <c r="AB189" i="60"/>
  <c r="AS189" i="60"/>
  <c r="AP189" i="60"/>
  <c r="AT189" i="60"/>
  <c r="AQ189" i="60"/>
  <c r="AK184" i="60"/>
  <c r="AS184" i="60"/>
  <c r="AP184" i="60"/>
  <c r="AT184" i="60"/>
  <c r="AQ184" i="60"/>
  <c r="AT183" i="60"/>
  <c r="AK183" i="60"/>
  <c r="AQ183" i="60"/>
  <c r="AB183" i="60"/>
  <c r="AS183" i="60"/>
  <c r="AM183" i="60"/>
  <c r="AN183" i="60"/>
  <c r="AH114" i="60"/>
  <c r="AK114" i="60"/>
  <c r="AM114" i="60"/>
  <c r="AN114" i="60"/>
  <c r="AB114" i="60"/>
  <c r="AE114" i="60"/>
  <c r="AT114" i="60"/>
  <c r="AS114" i="60"/>
  <c r="AQ114" i="60"/>
  <c r="AP114" i="60"/>
  <c r="AJ344" i="60"/>
  <c r="AI344" i="60"/>
  <c r="AG344" i="60"/>
  <c r="AF344" i="60"/>
  <c r="AD344" i="60"/>
  <c r="AC344" i="60"/>
  <c r="AA344" i="60"/>
  <c r="Z344" i="60"/>
  <c r="O344" i="60"/>
  <c r="N355" i="60"/>
  <c r="AJ373" i="60"/>
  <c r="AI373" i="60"/>
  <c r="AG373" i="60"/>
  <c r="AF373" i="60"/>
  <c r="AD373" i="60"/>
  <c r="AC373" i="60"/>
  <c r="AA373" i="60"/>
  <c r="Z373" i="60"/>
  <c r="O373" i="60"/>
  <c r="AJ372" i="60"/>
  <c r="AI372" i="60"/>
  <c r="AG372" i="60"/>
  <c r="AF372" i="60"/>
  <c r="AD372" i="60"/>
  <c r="AC372" i="60"/>
  <c r="AA372" i="60"/>
  <c r="Z372" i="60"/>
  <c r="O372" i="60"/>
  <c r="AO189" i="60" l="1"/>
  <c r="AK415" i="68"/>
  <c r="AU88" i="68"/>
  <c r="AM221" i="68"/>
  <c r="AO221" i="68"/>
  <c r="AV12" i="68"/>
  <c r="AS221" i="68"/>
  <c r="AS248" i="68" s="1"/>
  <c r="AS415" i="68" s="1"/>
  <c r="AV415" i="68" s="1"/>
  <c r="AH14" i="68"/>
  <c r="AH221" i="68" s="1"/>
  <c r="AH248" i="68" s="1"/>
  <c r="AH415" i="68" s="1"/>
  <c r="AP14" i="68"/>
  <c r="AP5" i="68" s="1"/>
  <c r="AF221" i="68"/>
  <c r="AV14" i="68"/>
  <c r="AS5" i="68"/>
  <c r="AU14" i="68"/>
  <c r="AU221" i="68" s="1"/>
  <c r="AU248" i="68" s="1"/>
  <c r="AT248" i="68"/>
  <c r="AT415" i="68" s="1"/>
  <c r="AV414" i="68"/>
  <c r="AO5" i="68"/>
  <c r="AE415" i="68"/>
  <c r="L421" i="68"/>
  <c r="L420" i="68"/>
  <c r="AU414" i="68"/>
  <c r="AM248" i="68"/>
  <c r="AO248" i="68" s="1"/>
  <c r="AQ415" i="68"/>
  <c r="AN415" i="68"/>
  <c r="O421" i="68"/>
  <c r="O420" i="68"/>
  <c r="AM415" i="68"/>
  <c r="AR183" i="60"/>
  <c r="AR189" i="60"/>
  <c r="AO190" i="60"/>
  <c r="AR190" i="60"/>
  <c r="AO192" i="60"/>
  <c r="AR191" i="60"/>
  <c r="AO191" i="60"/>
  <c r="AH373" i="60"/>
  <c r="AK344" i="60"/>
  <c r="AO183" i="60"/>
  <c r="AR184" i="60"/>
  <c r="AV190" i="60"/>
  <c r="AU190" i="60"/>
  <c r="AU191" i="60"/>
  <c r="AV191" i="60"/>
  <c r="AU192" i="60"/>
  <c r="AV192" i="60"/>
  <c r="AV189" i="60"/>
  <c r="AU189" i="60"/>
  <c r="AV184" i="60"/>
  <c r="AU184" i="60"/>
  <c r="AV183" i="60"/>
  <c r="AU183" i="60"/>
  <c r="AO114" i="60"/>
  <c r="AQ344" i="60"/>
  <c r="AK373" i="60"/>
  <c r="AM344" i="60"/>
  <c r="AH344" i="60"/>
  <c r="AR114" i="60"/>
  <c r="AV114" i="60"/>
  <c r="AU114" i="60"/>
  <c r="AH372" i="60"/>
  <c r="AE373" i="60"/>
  <c r="AK372" i="60"/>
  <c r="AM373" i="60"/>
  <c r="AN373" i="60"/>
  <c r="AP344" i="60"/>
  <c r="AP372" i="60"/>
  <c r="AE344" i="60"/>
  <c r="AN344" i="60"/>
  <c r="AB344" i="60"/>
  <c r="AS344" i="60"/>
  <c r="AT344" i="60"/>
  <c r="AM372" i="60"/>
  <c r="AB373" i="60"/>
  <c r="AS373" i="60"/>
  <c r="AP373" i="60"/>
  <c r="AT373" i="60"/>
  <c r="AQ373" i="60"/>
  <c r="AQ372" i="60"/>
  <c r="AR372" i="60" s="1"/>
  <c r="AE372" i="60"/>
  <c r="AN372" i="60"/>
  <c r="AB372" i="60"/>
  <c r="AS372" i="60"/>
  <c r="AT372" i="60"/>
  <c r="AJ371" i="60"/>
  <c r="AI371" i="60"/>
  <c r="AG371" i="60"/>
  <c r="AF371" i="60"/>
  <c r="AD371" i="60"/>
  <c r="AC371" i="60"/>
  <c r="AA371" i="60"/>
  <c r="Z371" i="60"/>
  <c r="O371" i="60"/>
  <c r="AJ182" i="60"/>
  <c r="AI182" i="60"/>
  <c r="AG182" i="60"/>
  <c r="AF182" i="60"/>
  <c r="AD182" i="60"/>
  <c r="AC182" i="60"/>
  <c r="AA182" i="60"/>
  <c r="Z182" i="60"/>
  <c r="O182" i="60"/>
  <c r="AJ181" i="60"/>
  <c r="AI181" i="60"/>
  <c r="AG181" i="60"/>
  <c r="AF181" i="60"/>
  <c r="AD181" i="60"/>
  <c r="AC181" i="60"/>
  <c r="AA181" i="60"/>
  <c r="Z181" i="60"/>
  <c r="O181" i="60"/>
  <c r="N286" i="60"/>
  <c r="AJ298" i="60"/>
  <c r="AI298" i="60"/>
  <c r="AG298" i="60"/>
  <c r="AF298" i="60"/>
  <c r="AD298" i="60"/>
  <c r="AC298" i="60"/>
  <c r="AA298" i="60"/>
  <c r="Z298" i="60"/>
  <c r="O298" i="60"/>
  <c r="AV5" i="68" l="1"/>
  <c r="AV221" i="68"/>
  <c r="AV248" i="68" s="1"/>
  <c r="AF248" i="68"/>
  <c r="AF225" i="68"/>
  <c r="X225" i="68" s="1"/>
  <c r="AR14" i="68"/>
  <c r="AP221" i="68"/>
  <c r="AU5" i="68"/>
  <c r="AU415" i="68"/>
  <c r="AO415" i="68"/>
  <c r="AR344" i="60"/>
  <c r="AO344" i="60"/>
  <c r="AN298" i="60"/>
  <c r="AP182" i="60"/>
  <c r="AH181" i="60"/>
  <c r="AN181" i="60"/>
  <c r="AM182" i="60"/>
  <c r="AO372" i="60"/>
  <c r="AE181" i="60"/>
  <c r="AK181" i="60"/>
  <c r="AQ182" i="60"/>
  <c r="AM371" i="60"/>
  <c r="AH371" i="60"/>
  <c r="AO373" i="60"/>
  <c r="AU344" i="60"/>
  <c r="AV344" i="60"/>
  <c r="AQ371" i="60"/>
  <c r="AR373" i="60"/>
  <c r="AK371" i="60"/>
  <c r="AV373" i="60"/>
  <c r="AU373" i="60"/>
  <c r="AU372" i="60"/>
  <c r="AV372" i="60"/>
  <c r="AK182" i="60"/>
  <c r="AM181" i="60"/>
  <c r="AP371" i="60"/>
  <c r="AH182" i="60"/>
  <c r="AE371" i="60"/>
  <c r="AN371" i="60"/>
  <c r="AB371" i="60"/>
  <c r="AS371" i="60"/>
  <c r="AT371" i="60"/>
  <c r="AE182" i="60"/>
  <c r="AN182" i="60"/>
  <c r="AB182" i="60"/>
  <c r="AS182" i="60"/>
  <c r="AT182" i="60"/>
  <c r="AB181" i="60"/>
  <c r="AS181" i="60"/>
  <c r="AP181" i="60"/>
  <c r="AT181" i="60"/>
  <c r="AQ181" i="60"/>
  <c r="AE298" i="60"/>
  <c r="AK298" i="60"/>
  <c r="AS298" i="60"/>
  <c r="AV298" i="60" s="1"/>
  <c r="AH298" i="60"/>
  <c r="AP298" i="60"/>
  <c r="AT298" i="60"/>
  <c r="AM298" i="60"/>
  <c r="AQ298" i="60"/>
  <c r="AB298" i="60"/>
  <c r="BS47" i="60"/>
  <c r="BO47" i="60"/>
  <c r="AR221" i="68" l="1"/>
  <c r="AR5" i="68"/>
  <c r="AF415" i="68"/>
  <c r="AP415" i="68" s="1"/>
  <c r="AR415" i="68" s="1"/>
  <c r="AP248" i="68"/>
  <c r="AR248" i="68" s="1"/>
  <c r="AO298" i="60"/>
  <c r="AO182" i="60"/>
  <c r="AR182" i="60"/>
  <c r="AO371" i="60"/>
  <c r="AO181" i="60"/>
  <c r="AR371" i="60"/>
  <c r="AR181" i="60"/>
  <c r="AU371" i="60"/>
  <c r="AV371" i="60"/>
  <c r="AU182" i="60"/>
  <c r="AV182" i="60"/>
  <c r="AV181" i="60"/>
  <c r="AU181" i="60"/>
  <c r="AU298" i="60"/>
  <c r="AR298" i="60"/>
  <c r="BQ187" i="60"/>
  <c r="L187" i="60"/>
  <c r="AJ188" i="60"/>
  <c r="AI188" i="60"/>
  <c r="AG188" i="60"/>
  <c r="AF188" i="60"/>
  <c r="AD188" i="60"/>
  <c r="AC188" i="60"/>
  <c r="AA188" i="60"/>
  <c r="Z188" i="60"/>
  <c r="O188" i="60"/>
  <c r="AM188" i="60" l="1"/>
  <c r="AN188" i="60"/>
  <c r="AE188" i="60"/>
  <c r="AK188" i="60"/>
  <c r="AH188" i="60"/>
  <c r="AB188" i="60"/>
  <c r="AS188" i="60"/>
  <c r="AP188" i="60"/>
  <c r="AT188" i="60"/>
  <c r="AQ188" i="60"/>
  <c r="N149" i="60"/>
  <c r="AO188" i="60" l="1"/>
  <c r="AR188" i="60"/>
  <c r="AV188" i="60"/>
  <c r="AU188" i="60"/>
  <c r="L125" i="60"/>
  <c r="N195" i="60" l="1"/>
  <c r="N186" i="60"/>
  <c r="N178" i="60"/>
  <c r="N134" i="60"/>
  <c r="N128" i="60"/>
  <c r="N124" i="60"/>
  <c r="N109" i="60"/>
  <c r="N103" i="60"/>
  <c r="N87" i="60"/>
  <c r="L104" i="60"/>
  <c r="AF107" i="60"/>
  <c r="AJ107" i="60"/>
  <c r="AI107" i="60"/>
  <c r="AG107" i="60"/>
  <c r="AD107" i="60"/>
  <c r="AC107" i="60"/>
  <c r="AA107" i="60"/>
  <c r="Z107" i="60"/>
  <c r="AE107" i="60" l="1"/>
  <c r="AK107" i="60"/>
  <c r="AM107" i="60"/>
  <c r="AQ107" i="60"/>
  <c r="AH107" i="60"/>
  <c r="AS107" i="60"/>
  <c r="O107" i="60"/>
  <c r="AP107" i="60"/>
  <c r="AT107" i="60"/>
  <c r="AN107" i="60"/>
  <c r="AB107" i="60"/>
  <c r="AR107" i="60" l="1"/>
  <c r="AO107" i="60"/>
  <c r="AU107" i="60"/>
  <c r="AV107" i="60"/>
  <c r="N28" i="60"/>
  <c r="AJ159" i="60" l="1"/>
  <c r="AI159" i="60"/>
  <c r="AG159" i="60"/>
  <c r="AF159" i="60"/>
  <c r="AD159" i="60"/>
  <c r="AC159" i="60"/>
  <c r="AA159" i="60"/>
  <c r="Z159" i="60"/>
  <c r="O159" i="60"/>
  <c r="AJ160" i="60"/>
  <c r="AI160" i="60"/>
  <c r="AG160" i="60"/>
  <c r="AF160" i="60"/>
  <c r="AD160" i="60"/>
  <c r="AC160" i="60"/>
  <c r="AA160" i="60"/>
  <c r="Z160" i="60"/>
  <c r="O160" i="60"/>
  <c r="AH159" i="60" l="1"/>
  <c r="AN160" i="60"/>
  <c r="AE160" i="60"/>
  <c r="AK159" i="60"/>
  <c r="AT159" i="60"/>
  <c r="AK160" i="60"/>
  <c r="AH160" i="60"/>
  <c r="AM160" i="60"/>
  <c r="AO160" i="60" s="1"/>
  <c r="AE159" i="60"/>
  <c r="AP159" i="60"/>
  <c r="AQ159" i="60"/>
  <c r="AN159" i="60"/>
  <c r="AB159" i="60"/>
  <c r="AS159" i="60"/>
  <c r="AM159" i="60"/>
  <c r="AB160" i="60"/>
  <c r="AS160" i="60"/>
  <c r="AP160" i="60"/>
  <c r="AT160" i="60"/>
  <c r="AQ160" i="60"/>
  <c r="L58" i="60"/>
  <c r="L61" i="60"/>
  <c r="BS61" i="60"/>
  <c r="BQ61" i="60"/>
  <c r="AO159" i="60" l="1"/>
  <c r="AR159" i="60"/>
  <c r="AV159" i="60"/>
  <c r="AU159" i="60"/>
  <c r="AR160" i="60"/>
  <c r="AV160" i="60"/>
  <c r="AU160" i="60"/>
  <c r="L110" i="60"/>
  <c r="AJ121" i="60" l="1"/>
  <c r="AI121" i="60"/>
  <c r="AG121" i="60"/>
  <c r="AF121" i="60"/>
  <c r="AD121" i="60"/>
  <c r="AC121" i="60"/>
  <c r="AA121" i="60"/>
  <c r="Z121" i="60"/>
  <c r="O121" i="60"/>
  <c r="AK121" i="60" l="1"/>
  <c r="AE121" i="60"/>
  <c r="AH121" i="60"/>
  <c r="AM121" i="60"/>
  <c r="AN121" i="60"/>
  <c r="AB121" i="60"/>
  <c r="AS121" i="60"/>
  <c r="AP121" i="60"/>
  <c r="AT121" i="60"/>
  <c r="AQ121" i="60"/>
  <c r="BM47" i="60"/>
  <c r="AO121" i="60" l="1"/>
  <c r="AV121" i="60"/>
  <c r="AU121" i="60"/>
  <c r="AR121" i="60"/>
  <c r="L179" i="60"/>
  <c r="AJ180" i="60"/>
  <c r="AI180" i="60"/>
  <c r="AG180" i="60"/>
  <c r="AF180" i="60"/>
  <c r="AD180" i="60"/>
  <c r="AC180" i="60"/>
  <c r="AA180" i="60"/>
  <c r="Z180" i="60"/>
  <c r="O180" i="60"/>
  <c r="AK180" i="60" l="1"/>
  <c r="AE180" i="60"/>
  <c r="AH180" i="60"/>
  <c r="AM180" i="60"/>
  <c r="AN180" i="60"/>
  <c r="AB180" i="60"/>
  <c r="AS180" i="60"/>
  <c r="AP180" i="60"/>
  <c r="AT180" i="60"/>
  <c r="AQ180" i="60"/>
  <c r="AJ111" i="60"/>
  <c r="AI111" i="60"/>
  <c r="AG111" i="60"/>
  <c r="AF111" i="60"/>
  <c r="AD111" i="60"/>
  <c r="AC111" i="60"/>
  <c r="AA111" i="60"/>
  <c r="Z111" i="60"/>
  <c r="O111" i="60"/>
  <c r="AJ112" i="60"/>
  <c r="AI112" i="60"/>
  <c r="AG112" i="60"/>
  <c r="AF112" i="60"/>
  <c r="AD112" i="60"/>
  <c r="AC112" i="60"/>
  <c r="AA112" i="60"/>
  <c r="Z112" i="60"/>
  <c r="O112" i="60"/>
  <c r="AJ113" i="60"/>
  <c r="AI113" i="60"/>
  <c r="AG113" i="60"/>
  <c r="AF113" i="60"/>
  <c r="AD113" i="60"/>
  <c r="AC113" i="60"/>
  <c r="AA113" i="60"/>
  <c r="Z113" i="60"/>
  <c r="O113" i="60"/>
  <c r="AJ115" i="60"/>
  <c r="AI115" i="60"/>
  <c r="AG115" i="60"/>
  <c r="AF115" i="60"/>
  <c r="AD115" i="60"/>
  <c r="AC115" i="60"/>
  <c r="AA115" i="60"/>
  <c r="Z115" i="60"/>
  <c r="O115" i="60"/>
  <c r="AE112" i="60" l="1"/>
  <c r="AK112" i="60"/>
  <c r="AH115" i="60"/>
  <c r="AO180" i="60"/>
  <c r="AE115" i="60"/>
  <c r="AK115" i="60"/>
  <c r="AH112" i="60"/>
  <c r="AK111" i="60"/>
  <c r="AT111" i="60"/>
  <c r="AE113" i="60"/>
  <c r="AH113" i="60"/>
  <c r="AN113" i="60"/>
  <c r="AE111" i="60"/>
  <c r="AP111" i="60"/>
  <c r="AH111" i="60"/>
  <c r="AM115" i="60"/>
  <c r="AM112" i="60"/>
  <c r="AQ112" i="60"/>
  <c r="AQ115" i="60"/>
  <c r="AR180" i="60"/>
  <c r="AV180" i="60"/>
  <c r="AU180" i="60"/>
  <c r="AQ111" i="60"/>
  <c r="AB111" i="60"/>
  <c r="AS111" i="60"/>
  <c r="AM111" i="60"/>
  <c r="AN111" i="60"/>
  <c r="AS113" i="60"/>
  <c r="AV113" i="60" s="1"/>
  <c r="AN112" i="60"/>
  <c r="AB112" i="60"/>
  <c r="AP112" i="60"/>
  <c r="AT112" i="60"/>
  <c r="AS112" i="60"/>
  <c r="AK113" i="60"/>
  <c r="AP113" i="60"/>
  <c r="AT113" i="60"/>
  <c r="AM113" i="60"/>
  <c r="AQ113" i="60"/>
  <c r="AB113" i="60"/>
  <c r="AN115" i="60"/>
  <c r="AO115" i="60" s="1"/>
  <c r="AB115" i="60"/>
  <c r="AP115" i="60"/>
  <c r="AT115" i="60"/>
  <c r="AS115" i="60"/>
  <c r="AO112" i="60" l="1"/>
  <c r="AR111" i="60"/>
  <c r="AO113" i="60"/>
  <c r="AR115" i="60"/>
  <c r="AR113" i="60"/>
  <c r="AR112" i="60"/>
  <c r="AU111" i="60"/>
  <c r="AV111" i="60"/>
  <c r="AO111" i="60"/>
  <c r="AU113" i="60"/>
  <c r="AU112" i="60"/>
  <c r="AV112" i="60"/>
  <c r="AU115" i="60"/>
  <c r="AV115" i="60"/>
  <c r="W5" i="60"/>
  <c r="BM247" i="60" l="1"/>
  <c r="I22" i="67"/>
  <c r="J26" i="67"/>
  <c r="BF274" i="60"/>
  <c r="BE274" i="60"/>
  <c r="BF247" i="60"/>
  <c r="BE247" i="60"/>
  <c r="AJ370" i="60" l="1"/>
  <c r="AI370" i="60"/>
  <c r="AG370" i="60"/>
  <c r="AF370" i="60"/>
  <c r="AD370" i="60"/>
  <c r="AC370" i="60"/>
  <c r="AA370" i="60"/>
  <c r="Z370" i="60"/>
  <c r="O370" i="60"/>
  <c r="AN370" i="60" l="1"/>
  <c r="AE370" i="60"/>
  <c r="AK370" i="60"/>
  <c r="AQ370" i="60"/>
  <c r="AS370" i="60"/>
  <c r="AV370" i="60" s="1"/>
  <c r="AT370" i="60"/>
  <c r="AP370" i="60"/>
  <c r="AH370" i="60"/>
  <c r="AM370" i="60"/>
  <c r="AB370" i="60"/>
  <c r="O313" i="60"/>
  <c r="AJ313" i="60"/>
  <c r="AI313" i="60"/>
  <c r="AG313" i="60"/>
  <c r="AF313" i="60"/>
  <c r="AD313" i="60"/>
  <c r="AC313" i="60"/>
  <c r="AA313" i="60"/>
  <c r="Z313" i="60"/>
  <c r="AO370" i="60" l="1"/>
  <c r="AR370" i="60"/>
  <c r="AU370" i="60"/>
  <c r="AM313" i="60"/>
  <c r="AH313" i="60"/>
  <c r="AE313" i="60"/>
  <c r="AN313" i="60"/>
  <c r="AK313" i="60"/>
  <c r="AP313" i="60"/>
  <c r="AB313" i="60"/>
  <c r="AS313" i="60"/>
  <c r="AT313" i="60"/>
  <c r="AQ313" i="60"/>
  <c r="AL211" i="60"/>
  <c r="U211" i="60"/>
  <c r="T211" i="60"/>
  <c r="M211" i="60"/>
  <c r="AJ203" i="60"/>
  <c r="AI203" i="60"/>
  <c r="AG203" i="60"/>
  <c r="AF203" i="60"/>
  <c r="AD203" i="60"/>
  <c r="AC203" i="60"/>
  <c r="AA203" i="60"/>
  <c r="Z203" i="60"/>
  <c r="O203" i="60"/>
  <c r="AJ84" i="60"/>
  <c r="AI84" i="60"/>
  <c r="AG84" i="60"/>
  <c r="AF84" i="60"/>
  <c r="AD84" i="60"/>
  <c r="AC84" i="60"/>
  <c r="AA84" i="60"/>
  <c r="Z84" i="60"/>
  <c r="O84" i="60"/>
  <c r="J18" i="67"/>
  <c r="J19" i="67"/>
  <c r="N62" i="60"/>
  <c r="N57" i="60"/>
  <c r="H20" i="67"/>
  <c r="G20" i="67"/>
  <c r="I20" i="67"/>
  <c r="AR313" i="60" l="1"/>
  <c r="AO313" i="60"/>
  <c r="AT84" i="60"/>
  <c r="AM203" i="60"/>
  <c r="AK84" i="60"/>
  <c r="AH84" i="60"/>
  <c r="AN203" i="60"/>
  <c r="AV313" i="60"/>
  <c r="AU313" i="60"/>
  <c r="AE84" i="60"/>
  <c r="AE203" i="60"/>
  <c r="AK203" i="60"/>
  <c r="AH203" i="60"/>
  <c r="AB203" i="60"/>
  <c r="AS203" i="60"/>
  <c r="AV203" i="60" s="1"/>
  <c r="AP203" i="60"/>
  <c r="AT203" i="60"/>
  <c r="AQ203" i="60"/>
  <c r="AP84" i="60"/>
  <c r="AM84" i="60"/>
  <c r="AQ84" i="60"/>
  <c r="AN84" i="60"/>
  <c r="AB84" i="60"/>
  <c r="AS84" i="60"/>
  <c r="J17" i="67"/>
  <c r="J20" i="67" s="1"/>
  <c r="AO203" i="60" l="1"/>
  <c r="AR203" i="60"/>
  <c r="AU203" i="60"/>
  <c r="AR84" i="60"/>
  <c r="AO84" i="60"/>
  <c r="AV84" i="60"/>
  <c r="AU84" i="60"/>
  <c r="H28" i="67" l="1"/>
  <c r="I28" i="67"/>
  <c r="G28" i="67"/>
  <c r="J27" i="67"/>
  <c r="J25" i="67"/>
  <c r="J24" i="67"/>
  <c r="J23" i="67"/>
  <c r="J22" i="67"/>
  <c r="J30" i="67"/>
  <c r="J31" i="67"/>
  <c r="J32" i="67"/>
  <c r="J33" i="67"/>
  <c r="G34" i="67"/>
  <c r="H34" i="67"/>
  <c r="I34" i="67"/>
  <c r="J34" i="67" l="1"/>
  <c r="I35" i="67"/>
  <c r="G35" i="67"/>
  <c r="H35" i="67"/>
  <c r="J28" i="67"/>
  <c r="J35" i="67" s="1"/>
  <c r="AL384" i="60" l="1"/>
  <c r="Y384" i="60"/>
  <c r="W384" i="60"/>
  <c r="V384" i="60"/>
  <c r="U384" i="60"/>
  <c r="T384" i="60"/>
  <c r="P384" i="60"/>
  <c r="BT301" i="60" l="1"/>
  <c r="BS301" i="60"/>
  <c r="BS300" i="60" s="1"/>
  <c r="BR301" i="60"/>
  <c r="BQ301" i="60"/>
  <c r="BQ300" i="60" s="1"/>
  <c r="BP301" i="60"/>
  <c r="BP300" i="60" s="1"/>
  <c r="BO301" i="60"/>
  <c r="BO300" i="60" s="1"/>
  <c r="BN301" i="60"/>
  <c r="BN300" i="60" s="1"/>
  <c r="BM301" i="60"/>
  <c r="BM300" i="60" s="1"/>
  <c r="BL301" i="60"/>
  <c r="BL300" i="60" s="1"/>
  <c r="BK301" i="60"/>
  <c r="BK300" i="60" s="1"/>
  <c r="BJ301" i="60"/>
  <c r="BI301" i="60"/>
  <c r="BI300" i="60" s="1"/>
  <c r="BH301" i="60"/>
  <c r="BH300" i="60" s="1"/>
  <c r="BG301" i="60"/>
  <c r="BG300" i="60" s="1"/>
  <c r="BF301" i="60"/>
  <c r="BF300" i="60" s="1"/>
  <c r="BE301" i="60"/>
  <c r="BE300" i="60" s="1"/>
  <c r="BD301" i="60"/>
  <c r="BD300" i="60" s="1"/>
  <c r="BC301" i="60"/>
  <c r="BC300" i="60" s="1"/>
  <c r="BB301" i="60"/>
  <c r="BB300" i="60" s="1"/>
  <c r="BA301" i="60"/>
  <c r="BA300" i="60" s="1"/>
  <c r="AZ301" i="60"/>
  <c r="AZ300" i="60" s="1"/>
  <c r="AY301" i="60"/>
  <c r="AY300" i="60" s="1"/>
  <c r="AX301" i="60"/>
  <c r="AX300" i="60" s="1"/>
  <c r="AW301" i="60"/>
  <c r="AW300" i="60" s="1"/>
  <c r="BT300" i="60"/>
  <c r="BT331" i="60"/>
  <c r="BS331" i="60"/>
  <c r="BS330" i="60" s="1"/>
  <c r="BR331" i="60"/>
  <c r="BR330" i="60" s="1"/>
  <c r="BQ331" i="60"/>
  <c r="BQ330" i="60" s="1"/>
  <c r="BP331" i="60"/>
  <c r="BP330" i="60" s="1"/>
  <c r="BO331" i="60"/>
  <c r="BN331" i="60"/>
  <c r="BN330" i="60" s="1"/>
  <c r="BM331" i="60"/>
  <c r="BM330" i="60" s="1"/>
  <c r="BL331" i="60"/>
  <c r="BL330" i="60" s="1"/>
  <c r="BK331" i="60"/>
  <c r="BK330" i="60" s="1"/>
  <c r="BJ331" i="60"/>
  <c r="BJ330" i="60" s="1"/>
  <c r="BI331" i="60"/>
  <c r="BI330" i="60" s="1"/>
  <c r="BH331" i="60"/>
  <c r="BH330" i="60" s="1"/>
  <c r="BG331" i="60"/>
  <c r="BG330" i="60" s="1"/>
  <c r="BF331" i="60"/>
  <c r="BF330" i="60" s="1"/>
  <c r="BE331" i="60"/>
  <c r="BE330" i="60" s="1"/>
  <c r="BD331" i="60"/>
  <c r="BD330" i="60" s="1"/>
  <c r="BC331" i="60"/>
  <c r="BC330" i="60" s="1"/>
  <c r="BB331" i="60"/>
  <c r="BB330" i="60" s="1"/>
  <c r="BA331" i="60"/>
  <c r="BA330" i="60" s="1"/>
  <c r="AZ331" i="60"/>
  <c r="AZ330" i="60" s="1"/>
  <c r="AY331" i="60"/>
  <c r="AY330" i="60" s="1"/>
  <c r="AX331" i="60"/>
  <c r="AX330" i="60" s="1"/>
  <c r="AW331" i="60"/>
  <c r="AW330" i="60" s="1"/>
  <c r="BT330" i="60"/>
  <c r="N331" i="60"/>
  <c r="N330" i="60" s="1"/>
  <c r="L331" i="60"/>
  <c r="L330" i="60" s="1"/>
  <c r="N301" i="60"/>
  <c r="N300" i="60" s="1"/>
  <c r="L301" i="60"/>
  <c r="L300" i="60" s="1"/>
  <c r="AJ309" i="60"/>
  <c r="AI309" i="60"/>
  <c r="AG309" i="60"/>
  <c r="AF309" i="60"/>
  <c r="AD309" i="60"/>
  <c r="AC309" i="60"/>
  <c r="AA309" i="60"/>
  <c r="Z309" i="60"/>
  <c r="O309" i="60"/>
  <c r="AJ308" i="60"/>
  <c r="AI308" i="60"/>
  <c r="AG308" i="60"/>
  <c r="AF308" i="60"/>
  <c r="AD308" i="60"/>
  <c r="AC308" i="60"/>
  <c r="AA308" i="60"/>
  <c r="Z308" i="60"/>
  <c r="O308" i="60"/>
  <c r="AJ307" i="60"/>
  <c r="AI307" i="60"/>
  <c r="AG307" i="60"/>
  <c r="AF307" i="60"/>
  <c r="AD307" i="60"/>
  <c r="AC307" i="60"/>
  <c r="AA307" i="60"/>
  <c r="Z307" i="60"/>
  <c r="O307" i="60"/>
  <c r="AJ306" i="60"/>
  <c r="AI306" i="60"/>
  <c r="AG306" i="60"/>
  <c r="AF306" i="60"/>
  <c r="AD306" i="60"/>
  <c r="AC306" i="60"/>
  <c r="AA306" i="60"/>
  <c r="Z306" i="60"/>
  <c r="O306" i="60"/>
  <c r="AJ305" i="60"/>
  <c r="AI305" i="60"/>
  <c r="AG305" i="60"/>
  <c r="AF305" i="60"/>
  <c r="AD305" i="60"/>
  <c r="AC305" i="60"/>
  <c r="AA305" i="60"/>
  <c r="Z305" i="60"/>
  <c r="O305" i="60"/>
  <c r="AJ304" i="60"/>
  <c r="AI304" i="60"/>
  <c r="AG304" i="60"/>
  <c r="AF304" i="60"/>
  <c r="AD304" i="60"/>
  <c r="AC304" i="60"/>
  <c r="AA304" i="60"/>
  <c r="Z304" i="60"/>
  <c r="O304" i="60"/>
  <c r="AJ303" i="60"/>
  <c r="AI303" i="60"/>
  <c r="AG303" i="60"/>
  <c r="AF303" i="60"/>
  <c r="AD303" i="60"/>
  <c r="AC303" i="60"/>
  <c r="AA303" i="60"/>
  <c r="Z303" i="60"/>
  <c r="O303" i="60"/>
  <c r="AJ302" i="60"/>
  <c r="AI302" i="60"/>
  <c r="AG302" i="60"/>
  <c r="AF302" i="60"/>
  <c r="AD302" i="60"/>
  <c r="AC302" i="60"/>
  <c r="AA302" i="60"/>
  <c r="Z302" i="60"/>
  <c r="O302" i="60"/>
  <c r="S300" i="60"/>
  <c r="Q300" i="60"/>
  <c r="AJ333" i="60"/>
  <c r="AI333" i="60"/>
  <c r="AG333" i="60"/>
  <c r="AF333" i="60"/>
  <c r="AD333" i="60"/>
  <c r="AC333" i="60"/>
  <c r="AA333" i="60"/>
  <c r="Z333" i="60"/>
  <c r="O333" i="60"/>
  <c r="AJ332" i="60"/>
  <c r="AI332" i="60"/>
  <c r="AG332" i="60"/>
  <c r="AF332" i="60"/>
  <c r="AD332" i="60"/>
  <c r="AC332" i="60"/>
  <c r="AA332" i="60"/>
  <c r="Z332" i="60"/>
  <c r="O332" i="60"/>
  <c r="AG301" i="60" l="1"/>
  <c r="AJ301" i="60"/>
  <c r="AH305" i="60"/>
  <c r="AH309" i="60"/>
  <c r="AH303" i="60"/>
  <c r="AE305" i="60"/>
  <c r="AC331" i="60"/>
  <c r="AH332" i="60"/>
  <c r="AF331" i="60"/>
  <c r="AN333" i="60"/>
  <c r="AK333" i="60"/>
  <c r="AF301" i="60"/>
  <c r="AK309" i="60"/>
  <c r="O331" i="60"/>
  <c r="AK303" i="60"/>
  <c r="AQ304" i="60"/>
  <c r="AM305" i="60"/>
  <c r="AK307" i="60"/>
  <c r="AQ308" i="60"/>
  <c r="AM309" i="60"/>
  <c r="AE304" i="60"/>
  <c r="AK304" i="60"/>
  <c r="AN305" i="60"/>
  <c r="AE308" i="60"/>
  <c r="AK308" i="60"/>
  <c r="AN309" i="60"/>
  <c r="AI331" i="60"/>
  <c r="AE307" i="60"/>
  <c r="BJ300" i="60"/>
  <c r="BR300" i="60"/>
  <c r="AJ331" i="60"/>
  <c r="AN302" i="60"/>
  <c r="AP303" i="60"/>
  <c r="AN306" i="60"/>
  <c r="AH306" i="60"/>
  <c r="AP307" i="60"/>
  <c r="AH307" i="60"/>
  <c r="AE303" i="60"/>
  <c r="AD331" i="60"/>
  <c r="AE331" i="60" s="1"/>
  <c r="AM333" i="60"/>
  <c r="AH333" i="60"/>
  <c r="AE302" i="60"/>
  <c r="AK302" i="60"/>
  <c r="AT303" i="60"/>
  <c r="AH304" i="60"/>
  <c r="AE306" i="60"/>
  <c r="AK306" i="60"/>
  <c r="AM308" i="60"/>
  <c r="AH308" i="60"/>
  <c r="O301" i="60"/>
  <c r="AK305" i="60"/>
  <c r="AC301" i="60"/>
  <c r="Z301" i="60"/>
  <c r="AQ332" i="60"/>
  <c r="AG331" i="60"/>
  <c r="AE332" i="60"/>
  <c r="AK332" i="60"/>
  <c r="AE333" i="60"/>
  <c r="BO330" i="60"/>
  <c r="O300" i="60"/>
  <c r="Z331" i="60"/>
  <c r="AI301" i="60"/>
  <c r="AQ302" i="60"/>
  <c r="AT307" i="60"/>
  <c r="AA331" i="60"/>
  <c r="AM332" i="60"/>
  <c r="AA301" i="60"/>
  <c r="AD301" i="60"/>
  <c r="AS302" i="60"/>
  <c r="AV302" i="60" s="1"/>
  <c r="AM304" i="60"/>
  <c r="AB305" i="60"/>
  <c r="AT305" i="60"/>
  <c r="AS306" i="60"/>
  <c r="AV306" i="60" s="1"/>
  <c r="AB309" i="60"/>
  <c r="AH302" i="60"/>
  <c r="AE309" i="60"/>
  <c r="AP302" i="60"/>
  <c r="AT302" i="60"/>
  <c r="AM303" i="60"/>
  <c r="AQ303" i="60"/>
  <c r="AN304" i="60"/>
  <c r="AS305" i="60"/>
  <c r="AP306" i="60"/>
  <c r="AT306" i="60"/>
  <c r="AM307" i="60"/>
  <c r="AQ307" i="60"/>
  <c r="AN308" i="60"/>
  <c r="AS309" i="60"/>
  <c r="AM302" i="60"/>
  <c r="AN303" i="60"/>
  <c r="AB304" i="60"/>
  <c r="AS304" i="60"/>
  <c r="AP305" i="60"/>
  <c r="AM306" i="60"/>
  <c r="AQ306" i="60"/>
  <c r="AN307" i="60"/>
  <c r="AB308" i="60"/>
  <c r="AS308" i="60"/>
  <c r="AP309" i="60"/>
  <c r="AT309" i="60"/>
  <c r="AB303" i="60"/>
  <c r="AS303" i="60"/>
  <c r="AP304" i="60"/>
  <c r="AT304" i="60"/>
  <c r="AQ305" i="60"/>
  <c r="AB307" i="60"/>
  <c r="AS307" i="60"/>
  <c r="AP308" i="60"/>
  <c r="AT308" i="60"/>
  <c r="AQ309" i="60"/>
  <c r="AB302" i="60"/>
  <c r="AB306" i="60"/>
  <c r="AN332" i="60"/>
  <c r="AB333" i="60"/>
  <c r="AS333" i="60"/>
  <c r="AB332" i="60"/>
  <c r="AS332" i="60"/>
  <c r="AP333" i="60"/>
  <c r="AT333" i="60"/>
  <c r="AP332" i="60"/>
  <c r="AT332" i="60"/>
  <c r="AQ333" i="60"/>
  <c r="I13" i="67"/>
  <c r="H13" i="67"/>
  <c r="G13" i="67"/>
  <c r="J12" i="67"/>
  <c r="J13" i="67" s="1"/>
  <c r="AK331" i="60" l="1"/>
  <c r="AO305" i="60"/>
  <c r="AH301" i="60"/>
  <c r="AO304" i="60"/>
  <c r="AK301" i="60"/>
  <c r="AR308" i="60"/>
  <c r="AB331" i="60"/>
  <c r="AE301" i="60"/>
  <c r="AH331" i="60"/>
  <c r="AQ331" i="60"/>
  <c r="AM301" i="60"/>
  <c r="AR307" i="60"/>
  <c r="AO302" i="60"/>
  <c r="AO308" i="60"/>
  <c r="AP331" i="60"/>
  <c r="AB301" i="60"/>
  <c r="AO309" i="60"/>
  <c r="AO332" i="60"/>
  <c r="AU306" i="60"/>
  <c r="AR303" i="60"/>
  <c r="AO333" i="60"/>
  <c r="AP301" i="60"/>
  <c r="AS331" i="60"/>
  <c r="AV331" i="60" s="1"/>
  <c r="AU302" i="60"/>
  <c r="AM331" i="60"/>
  <c r="AR304" i="60"/>
  <c r="AO307" i="60"/>
  <c r="AR302" i="60"/>
  <c r="AR332" i="60"/>
  <c r="AO306" i="60"/>
  <c r="AT301" i="60"/>
  <c r="AS301" i="60"/>
  <c r="AV301" i="60" s="1"/>
  <c r="AQ301" i="60"/>
  <c r="AN301" i="60"/>
  <c r="AT331" i="60"/>
  <c r="AN331" i="60"/>
  <c r="AV307" i="60"/>
  <c r="AU307" i="60"/>
  <c r="AR309" i="60"/>
  <c r="AR306" i="60"/>
  <c r="AO303" i="60"/>
  <c r="AV303" i="60"/>
  <c r="AU303" i="60"/>
  <c r="AV305" i="60"/>
  <c r="AU305" i="60"/>
  <c r="AR305" i="60"/>
  <c r="AU308" i="60"/>
  <c r="AV308" i="60"/>
  <c r="AU304" i="60"/>
  <c r="AV304" i="60"/>
  <c r="AV309" i="60"/>
  <c r="AU309" i="60"/>
  <c r="AR333" i="60"/>
  <c r="AU332" i="60"/>
  <c r="AV332" i="60"/>
  <c r="AV333" i="60"/>
  <c r="AU333" i="60"/>
  <c r="AJ365" i="60"/>
  <c r="AI365" i="60"/>
  <c r="AG365" i="60"/>
  <c r="AF365" i="60"/>
  <c r="AD365" i="60"/>
  <c r="AC365" i="60"/>
  <c r="AA365" i="60"/>
  <c r="Z365" i="60"/>
  <c r="O365" i="60"/>
  <c r="AU331" i="60" l="1"/>
  <c r="AR331" i="60"/>
  <c r="AO301" i="60"/>
  <c r="AO331" i="60"/>
  <c r="AR301" i="60"/>
  <c r="AK365" i="60"/>
  <c r="AH365" i="60"/>
  <c r="AU301" i="60"/>
  <c r="AQ365" i="60"/>
  <c r="AP365" i="60"/>
  <c r="AM365" i="60"/>
  <c r="AE365" i="60"/>
  <c r="AN365" i="60"/>
  <c r="AB365" i="60"/>
  <c r="AS365" i="60"/>
  <c r="AT365" i="60"/>
  <c r="I27" i="65"/>
  <c r="H27" i="65"/>
  <c r="G27" i="65"/>
  <c r="J26" i="65"/>
  <c r="J27" i="65" s="1"/>
  <c r="I24" i="65"/>
  <c r="I28" i="65" s="1"/>
  <c r="H24" i="65"/>
  <c r="G24" i="65"/>
  <c r="G28" i="65" s="1"/>
  <c r="J23" i="65"/>
  <c r="J22" i="65"/>
  <c r="J21" i="65"/>
  <c r="J20" i="65"/>
  <c r="J19" i="65"/>
  <c r="J18" i="65"/>
  <c r="J17" i="65"/>
  <c r="I13" i="65"/>
  <c r="H13" i="65"/>
  <c r="G13" i="65"/>
  <c r="J12" i="65"/>
  <c r="J13" i="65" s="1"/>
  <c r="J24" i="65" l="1"/>
  <c r="H28" i="65"/>
  <c r="AO365" i="60"/>
  <c r="AR365" i="60"/>
  <c r="AU365" i="60"/>
  <c r="AV365" i="60"/>
  <c r="J28" i="65"/>
  <c r="BT219" i="60" l="1"/>
  <c r="BT222" i="60"/>
  <c r="BT226" i="60"/>
  <c r="BT231" i="60"/>
  <c r="BS231" i="60"/>
  <c r="BR231" i="60"/>
  <c r="BQ231" i="60"/>
  <c r="BP231" i="60"/>
  <c r="BO231" i="60"/>
  <c r="BN231" i="60"/>
  <c r="BM231" i="60"/>
  <c r="BL231" i="60"/>
  <c r="BK231" i="60"/>
  <c r="S231" i="60"/>
  <c r="Q231" i="60"/>
  <c r="AJ232" i="60"/>
  <c r="AI232" i="60"/>
  <c r="AG232" i="60"/>
  <c r="AF232" i="60"/>
  <c r="AD232" i="60"/>
  <c r="AC232" i="60"/>
  <c r="AA232" i="60"/>
  <c r="Z232" i="60"/>
  <c r="AJ230" i="60"/>
  <c r="AI230" i="60"/>
  <c r="AG230" i="60"/>
  <c r="AF230" i="60"/>
  <c r="AD230" i="60"/>
  <c r="AC230" i="60"/>
  <c r="AA230" i="60"/>
  <c r="Z230" i="60"/>
  <c r="AJ229" i="60"/>
  <c r="AI229" i="60"/>
  <c r="AG229" i="60"/>
  <c r="AF229" i="60"/>
  <c r="AD229" i="60"/>
  <c r="AC229" i="60"/>
  <c r="AA229" i="60"/>
  <c r="Z229" i="60"/>
  <c r="AJ228" i="60"/>
  <c r="AI228" i="60"/>
  <c r="AG228" i="60"/>
  <c r="AF228" i="60"/>
  <c r="AD228" i="60"/>
  <c r="AC228" i="60"/>
  <c r="AA228" i="60"/>
  <c r="Z228" i="60"/>
  <c r="AJ227" i="60"/>
  <c r="AI227" i="60"/>
  <c r="AG227" i="60"/>
  <c r="AF227" i="60"/>
  <c r="AD227" i="60"/>
  <c r="AC227" i="60"/>
  <c r="AA227" i="60"/>
  <c r="Z227" i="60"/>
  <c r="AJ225" i="60"/>
  <c r="AI225" i="60"/>
  <c r="AG225" i="60"/>
  <c r="AF225" i="60"/>
  <c r="AD225" i="60"/>
  <c r="AC225" i="60"/>
  <c r="AA225" i="60"/>
  <c r="Z225" i="60"/>
  <c r="AJ224" i="60"/>
  <c r="AI224" i="60"/>
  <c r="AG224" i="60"/>
  <c r="AF224" i="60"/>
  <c r="AD224" i="60"/>
  <c r="AC224" i="60"/>
  <c r="AA224" i="60"/>
  <c r="Z224" i="60"/>
  <c r="AJ223" i="60"/>
  <c r="AI223" i="60"/>
  <c r="AG223" i="60"/>
  <c r="AF223" i="60"/>
  <c r="AD223" i="60"/>
  <c r="AC223" i="60"/>
  <c r="AA223" i="60"/>
  <c r="Z223" i="60"/>
  <c r="AJ221" i="60"/>
  <c r="AI221" i="60"/>
  <c r="AG221" i="60"/>
  <c r="AF221" i="60"/>
  <c r="AD221" i="60"/>
  <c r="AC221" i="60"/>
  <c r="AA221" i="60"/>
  <c r="Z221" i="60"/>
  <c r="AJ220" i="60"/>
  <c r="AI220" i="60"/>
  <c r="AG220" i="60"/>
  <c r="AF220" i="60"/>
  <c r="AD220" i="60"/>
  <c r="AC220" i="60"/>
  <c r="AA220" i="60"/>
  <c r="Z220" i="60"/>
  <c r="AJ236" i="60"/>
  <c r="AI236" i="60"/>
  <c r="AG236" i="60"/>
  <c r="AF236" i="60"/>
  <c r="AD236" i="60"/>
  <c r="AC236" i="60"/>
  <c r="AA236" i="60"/>
  <c r="Z236" i="60"/>
  <c r="AJ235" i="60"/>
  <c r="AI235" i="60"/>
  <c r="AG235" i="60"/>
  <c r="AF235" i="60"/>
  <c r="AD235" i="60"/>
  <c r="AC235" i="60"/>
  <c r="AA235" i="60"/>
  <c r="Z235" i="60"/>
  <c r="AJ234" i="60"/>
  <c r="AI234" i="60"/>
  <c r="AG234" i="60"/>
  <c r="AF234" i="60"/>
  <c r="AD234" i="60"/>
  <c r="AC234" i="60"/>
  <c r="AA234" i="60"/>
  <c r="Z234" i="60"/>
  <c r="AT224" i="60"/>
  <c r="BS219" i="60"/>
  <c r="BR219" i="60"/>
  <c r="BQ219" i="60"/>
  <c r="BP219" i="60"/>
  <c r="BO219" i="60"/>
  <c r="BN219" i="60"/>
  <c r="BM219" i="60"/>
  <c r="BL219" i="60"/>
  <c r="BK219" i="60"/>
  <c r="BJ219" i="60"/>
  <c r="BI219" i="60"/>
  <c r="BH219" i="60"/>
  <c r="BG219" i="60"/>
  <c r="BF219" i="60"/>
  <c r="BE219" i="60"/>
  <c r="BD219" i="60"/>
  <c r="BC219" i="60"/>
  <c r="BB219" i="60"/>
  <c r="BA219" i="60"/>
  <c r="AZ219" i="60"/>
  <c r="AY219" i="60"/>
  <c r="AX219" i="60"/>
  <c r="BS222" i="60"/>
  <c r="BR222" i="60"/>
  <c r="BQ222" i="60"/>
  <c r="BP222" i="60"/>
  <c r="BO222" i="60"/>
  <c r="BN222" i="60"/>
  <c r="BM222" i="60"/>
  <c r="BL222" i="60"/>
  <c r="BK222" i="60"/>
  <c r="BJ222" i="60"/>
  <c r="BI222" i="60"/>
  <c r="BH222" i="60"/>
  <c r="BG222" i="60"/>
  <c r="BF222" i="60"/>
  <c r="BE222" i="60"/>
  <c r="BD222" i="60"/>
  <c r="BC222" i="60"/>
  <c r="BB222" i="60"/>
  <c r="BA222" i="60"/>
  <c r="AZ222" i="60"/>
  <c r="AY222" i="60"/>
  <c r="AX222" i="60"/>
  <c r="BS226" i="60"/>
  <c r="BR226" i="60"/>
  <c r="BQ226" i="60"/>
  <c r="BP226" i="60"/>
  <c r="BO226" i="60"/>
  <c r="BN226" i="60"/>
  <c r="BM226" i="60"/>
  <c r="BL226" i="60"/>
  <c r="BK226" i="60"/>
  <c r="BJ226" i="60"/>
  <c r="BI226" i="60"/>
  <c r="BH226" i="60"/>
  <c r="BG226" i="60"/>
  <c r="BF226" i="60"/>
  <c r="BE226" i="60"/>
  <c r="BD226" i="60"/>
  <c r="BC226" i="60"/>
  <c r="BB226" i="60"/>
  <c r="BA226" i="60"/>
  <c r="AZ226" i="60"/>
  <c r="AY226" i="60"/>
  <c r="AX226" i="60"/>
  <c r="BJ231" i="60"/>
  <c r="BI231" i="60"/>
  <c r="BH231" i="60"/>
  <c r="BG231" i="60"/>
  <c r="BF231" i="60"/>
  <c r="BE231" i="60"/>
  <c r="BD231" i="60"/>
  <c r="BC231" i="60"/>
  <c r="BB231" i="60"/>
  <c r="BA231" i="60"/>
  <c r="AZ231" i="60"/>
  <c r="AY231" i="60"/>
  <c r="AX231" i="60"/>
  <c r="AW219" i="60"/>
  <c r="BM274" i="60"/>
  <c r="N72" i="60"/>
  <c r="AD219" i="60" l="1"/>
  <c r="AJ219" i="60"/>
  <c r="AJ231" i="60"/>
  <c r="AA226" i="60"/>
  <c r="AC231" i="60"/>
  <c r="AG226" i="60"/>
  <c r="AC219" i="60"/>
  <c r="AA231" i="60"/>
  <c r="AI226" i="60"/>
  <c r="BA218" i="60"/>
  <c r="BE218" i="60"/>
  <c r="AF222" i="60"/>
  <c r="BQ218" i="60"/>
  <c r="AY218" i="60"/>
  <c r="BG218" i="60"/>
  <c r="AF219" i="60"/>
  <c r="AD226" i="60"/>
  <c r="AX218" i="60"/>
  <c r="BB218" i="60"/>
  <c r="BF218" i="60"/>
  <c r="AG222" i="60"/>
  <c r="BR218" i="60"/>
  <c r="AZ218" i="60"/>
  <c r="BH218" i="60"/>
  <c r="AG219" i="60"/>
  <c r="AJ226" i="60"/>
  <c r="AC222" i="60"/>
  <c r="AI222" i="60"/>
  <c r="BM218" i="60"/>
  <c r="AF226" i="60"/>
  <c r="AH226" i="60" s="1"/>
  <c r="AD222" i="60"/>
  <c r="BN218" i="60"/>
  <c r="AD231" i="60"/>
  <c r="AC226" i="60"/>
  <c r="AI219" i="60"/>
  <c r="AS220" i="60"/>
  <c r="AT235" i="60"/>
  <c r="AT236" i="60"/>
  <c r="AT220" i="60"/>
  <c r="AT221" i="60"/>
  <c r="AT223" i="60"/>
  <c r="AT225" i="60"/>
  <c r="AS221" i="60"/>
  <c r="AS229" i="60"/>
  <c r="AE234" i="60"/>
  <c r="AS235" i="60"/>
  <c r="AS227" i="60"/>
  <c r="AS230" i="60"/>
  <c r="AS228" i="60"/>
  <c r="AS232" i="60"/>
  <c r="BI218" i="60"/>
  <c r="Z219" i="60"/>
  <c r="AA219" i="60"/>
  <c r="AA222" i="60"/>
  <c r="BC218" i="60"/>
  <c r="BK218" i="60"/>
  <c r="AI231" i="60"/>
  <c r="BS218" i="60"/>
  <c r="BJ218" i="60"/>
  <c r="AB234" i="60"/>
  <c r="AJ222" i="60"/>
  <c r="BD218" i="60"/>
  <c r="AS223" i="60"/>
  <c r="AH223" i="60"/>
  <c r="AS224" i="60"/>
  <c r="AU224" i="60" s="1"/>
  <c r="AH224" i="60"/>
  <c r="AS225" i="60"/>
  <c r="AH225" i="60"/>
  <c r="AT227" i="60"/>
  <c r="AT228" i="60"/>
  <c r="AT229" i="60"/>
  <c r="AT230" i="60"/>
  <c r="AT232" i="60"/>
  <c r="AG231" i="60"/>
  <c r="BP218" i="60"/>
  <c r="BT218" i="60"/>
  <c r="AH234" i="60"/>
  <c r="AH235" i="60"/>
  <c r="AH236" i="60"/>
  <c r="AH220" i="60"/>
  <c r="AH221" i="60"/>
  <c r="AE227" i="60"/>
  <c r="AK227" i="60"/>
  <c r="AE228" i="60"/>
  <c r="AK228" i="60"/>
  <c r="AE229" i="60"/>
  <c r="AK229" i="60"/>
  <c r="AE230" i="60"/>
  <c r="AK230" i="60"/>
  <c r="AE232" i="60"/>
  <c r="AK232" i="60"/>
  <c r="AT234" i="60"/>
  <c r="AK234" i="60"/>
  <c r="AE235" i="60"/>
  <c r="AK235" i="60"/>
  <c r="AE236" i="60"/>
  <c r="AK236" i="60"/>
  <c r="AE220" i="60"/>
  <c r="AK220" i="60"/>
  <c r="AE221" i="60"/>
  <c r="AK221" i="60"/>
  <c r="AH227" i="60"/>
  <c r="AH228" i="60"/>
  <c r="AH229" i="60"/>
  <c r="AH230" i="60"/>
  <c r="AH232" i="60"/>
  <c r="AB227" i="60"/>
  <c r="AB228" i="60"/>
  <c r="AB229" i="60"/>
  <c r="AB230" i="60"/>
  <c r="AB232" i="60"/>
  <c r="AB223" i="60"/>
  <c r="AB224" i="60"/>
  <c r="AB225" i="60"/>
  <c r="AS234" i="60"/>
  <c r="AB235" i="60"/>
  <c r="AB236" i="60"/>
  <c r="AB220" i="60"/>
  <c r="AB221" i="60"/>
  <c r="AE223" i="60"/>
  <c r="AK223" i="60"/>
  <c r="AE224" i="60"/>
  <c r="AK224" i="60"/>
  <c r="AE225" i="60"/>
  <c r="AK225" i="60"/>
  <c r="BO218" i="60"/>
  <c r="AF231" i="60"/>
  <c r="BL218" i="60"/>
  <c r="AS236" i="60"/>
  <c r="L59" i="60"/>
  <c r="BG59" i="60"/>
  <c r="BE59" i="60"/>
  <c r="BC59" i="60"/>
  <c r="BA59" i="60"/>
  <c r="Z59" i="60" s="1"/>
  <c r="AJ59" i="60"/>
  <c r="AI59" i="60"/>
  <c r="AG59" i="60"/>
  <c r="AF59" i="60"/>
  <c r="AD59" i="60"/>
  <c r="AA59" i="60"/>
  <c r="AE231" i="60" l="1"/>
  <c r="AK219" i="60"/>
  <c r="AE219" i="60"/>
  <c r="AK231" i="60"/>
  <c r="AH222" i="60"/>
  <c r="AU223" i="60"/>
  <c r="AE226" i="60"/>
  <c r="AK226" i="60"/>
  <c r="AC218" i="60"/>
  <c r="AU230" i="60"/>
  <c r="AC59" i="60"/>
  <c r="AE59" i="60" s="1"/>
  <c r="AT226" i="60"/>
  <c r="AJ218" i="60"/>
  <c r="AK222" i="60"/>
  <c r="AH219" i="60"/>
  <c r="AG218" i="60"/>
  <c r="AE222" i="60"/>
  <c r="AI218" i="60"/>
  <c r="AT231" i="60"/>
  <c r="AD218" i="60"/>
  <c r="AF218" i="60"/>
  <c r="AS219" i="60"/>
  <c r="AA218" i="60"/>
  <c r="AU235" i="60"/>
  <c r="AU229" i="60"/>
  <c r="AU225" i="60"/>
  <c r="AU221" i="60"/>
  <c r="AU220" i="60"/>
  <c r="AU236" i="60"/>
  <c r="AB219" i="60"/>
  <c r="AU232" i="60"/>
  <c r="AU227" i="60"/>
  <c r="AT222" i="60"/>
  <c r="AU228" i="60"/>
  <c r="AU234" i="60"/>
  <c r="AT219" i="60"/>
  <c r="AH231" i="60"/>
  <c r="AH59" i="60"/>
  <c r="AM59" i="60"/>
  <c r="AN59" i="60"/>
  <c r="AK59" i="60"/>
  <c r="AB59" i="60"/>
  <c r="AS59" i="60"/>
  <c r="AT59" i="60"/>
  <c r="AQ59" i="60"/>
  <c r="O59" i="60"/>
  <c r="AE218" i="60" l="1"/>
  <c r="AP59" i="60"/>
  <c r="AR59" i="60" s="1"/>
  <c r="AK218" i="60"/>
  <c r="AT218" i="60"/>
  <c r="AH218" i="60"/>
  <c r="AU219" i="60"/>
  <c r="AO59" i="60"/>
  <c r="AU59" i="60"/>
  <c r="AV59" i="60"/>
  <c r="N70" i="60" l="1"/>
  <c r="BK71" i="60" l="1"/>
  <c r="L168" i="60" l="1"/>
  <c r="AJ176" i="60"/>
  <c r="AI176" i="60"/>
  <c r="AG176" i="60"/>
  <c r="AF176" i="60"/>
  <c r="AD176" i="60"/>
  <c r="AC176" i="60"/>
  <c r="AA176" i="60"/>
  <c r="Z176" i="60"/>
  <c r="O176" i="60"/>
  <c r="AJ175" i="60"/>
  <c r="AI175" i="60"/>
  <c r="AG175" i="60"/>
  <c r="AF175" i="60"/>
  <c r="AD175" i="60"/>
  <c r="AC175" i="60"/>
  <c r="AA175" i="60"/>
  <c r="Z175" i="60"/>
  <c r="O175" i="60"/>
  <c r="AQ175" i="60" l="1"/>
  <c r="AE175" i="60"/>
  <c r="AK175" i="60"/>
  <c r="AH175" i="60"/>
  <c r="AH176" i="60"/>
  <c r="AQ176" i="60"/>
  <c r="AM175" i="60"/>
  <c r="AK176" i="60"/>
  <c r="AM176" i="60"/>
  <c r="AP176" i="60"/>
  <c r="AE176" i="60"/>
  <c r="AN176" i="60"/>
  <c r="AB176" i="60"/>
  <c r="AS176" i="60"/>
  <c r="AT176" i="60"/>
  <c r="AP175" i="60"/>
  <c r="AN175" i="60"/>
  <c r="AB175" i="60"/>
  <c r="AS175" i="60"/>
  <c r="AT175" i="60"/>
  <c r="BS52" i="60"/>
  <c r="AR176" i="60" l="1"/>
  <c r="AR175" i="60"/>
  <c r="AO175" i="60"/>
  <c r="AO176" i="60"/>
  <c r="AU176" i="60"/>
  <c r="AV176" i="60"/>
  <c r="AU175" i="60"/>
  <c r="AV175" i="60"/>
  <c r="L231" i="60" l="1"/>
  <c r="N226" i="60" l="1"/>
  <c r="N219" i="60"/>
  <c r="N222" i="60"/>
  <c r="N231" i="60"/>
  <c r="O224" i="60"/>
  <c r="O225" i="60"/>
  <c r="AW231" i="60"/>
  <c r="Z231" i="60" s="1"/>
  <c r="AW226" i="60"/>
  <c r="Z226" i="60" s="1"/>
  <c r="S226" i="60"/>
  <c r="Q226" i="60"/>
  <c r="AW222" i="60"/>
  <c r="S222" i="60"/>
  <c r="Q222" i="60"/>
  <c r="S219" i="60"/>
  <c r="Q219" i="60"/>
  <c r="L226" i="60"/>
  <c r="L222" i="60"/>
  <c r="L219" i="60"/>
  <c r="Z222" i="60" l="1"/>
  <c r="AW218" i="60"/>
  <c r="Z218" i="60" s="1"/>
  <c r="AS226" i="60"/>
  <c r="AU226" i="60" s="1"/>
  <c r="AB226" i="60"/>
  <c r="AB231" i="60"/>
  <c r="AS231" i="60"/>
  <c r="AU231" i="60" s="1"/>
  <c r="AN224" i="60"/>
  <c r="AP225" i="60"/>
  <c r="AM225" i="60"/>
  <c r="AQ225" i="60"/>
  <c r="AN225" i="60"/>
  <c r="AQ224" i="60"/>
  <c r="AV224" i="60"/>
  <c r="N218" i="60"/>
  <c r="AP224" i="60"/>
  <c r="AM224" i="60"/>
  <c r="AB218" i="60" l="1"/>
  <c r="AS218" i="60"/>
  <c r="AU218" i="60" s="1"/>
  <c r="AS222" i="60"/>
  <c r="AU222" i="60" s="1"/>
  <c r="AB222" i="60"/>
  <c r="AO224" i="60"/>
  <c r="AR225" i="60"/>
  <c r="AO225" i="60"/>
  <c r="AR224" i="60"/>
  <c r="AV225" i="60"/>
  <c r="O232" i="60"/>
  <c r="O230" i="60"/>
  <c r="O229" i="60"/>
  <c r="O227" i="60"/>
  <c r="O228" i="60"/>
  <c r="O221" i="60"/>
  <c r="O220" i="60"/>
  <c r="AL237" i="60"/>
  <c r="Y237" i="60"/>
  <c r="X237" i="60"/>
  <c r="W237" i="60"/>
  <c r="V237" i="60"/>
  <c r="U237" i="60"/>
  <c r="T237" i="60"/>
  <c r="R237" i="60"/>
  <c r="P237" i="60"/>
  <c r="M237" i="60"/>
  <c r="O223" i="60"/>
  <c r="AP230" i="60" l="1"/>
  <c r="AM227" i="60"/>
  <c r="AM232" i="60"/>
  <c r="AN220" i="60"/>
  <c r="AN221" i="60"/>
  <c r="AN229" i="60"/>
  <c r="AV228" i="60"/>
  <c r="AN223" i="60"/>
  <c r="AN228" i="60"/>
  <c r="AQ227" i="60"/>
  <c r="AQ232" i="60"/>
  <c r="AM220" i="60"/>
  <c r="AM229" i="60"/>
  <c r="AP220" i="60"/>
  <c r="AQ220" i="60"/>
  <c r="AM221" i="60"/>
  <c r="AP221" i="60"/>
  <c r="AQ221" i="60"/>
  <c r="AP228" i="60"/>
  <c r="AN227" i="60"/>
  <c r="AO227" i="60" s="1"/>
  <c r="AM230" i="60"/>
  <c r="AQ230" i="60"/>
  <c r="AN232" i="60"/>
  <c r="AM228" i="60"/>
  <c r="AQ228" i="60"/>
  <c r="AP229" i="60"/>
  <c r="AN230" i="60"/>
  <c r="AP227" i="60"/>
  <c r="AQ229" i="60"/>
  <c r="AP232" i="60"/>
  <c r="AP223" i="60"/>
  <c r="AM223" i="60"/>
  <c r="AV223" i="60"/>
  <c r="AQ223" i="60"/>
  <c r="BS233" i="60"/>
  <c r="BR233" i="60"/>
  <c r="BQ233" i="60"/>
  <c r="BP233" i="60"/>
  <c r="BO233" i="60"/>
  <c r="BN233" i="60"/>
  <c r="BM233" i="60"/>
  <c r="BL233" i="60"/>
  <c r="BK233" i="60"/>
  <c r="BJ233" i="60"/>
  <c r="BI233" i="60"/>
  <c r="BH233" i="60"/>
  <c r="BG233" i="60"/>
  <c r="BF233" i="60"/>
  <c r="BE233" i="60"/>
  <c r="BD233" i="60"/>
  <c r="BC233" i="60"/>
  <c r="BB233" i="60"/>
  <c r="BA233" i="60"/>
  <c r="AZ233" i="60"/>
  <c r="AY233" i="60"/>
  <c r="AX233" i="60"/>
  <c r="AW233" i="60"/>
  <c r="S233" i="60"/>
  <c r="Q233" i="60"/>
  <c r="N233" i="60"/>
  <c r="L233" i="60"/>
  <c r="O235" i="60"/>
  <c r="O234" i="60"/>
  <c r="AG233" i="60" l="1"/>
  <c r="AA233" i="60"/>
  <c r="AC233" i="60"/>
  <c r="AI233" i="60"/>
  <c r="AD233" i="60"/>
  <c r="Z233" i="60"/>
  <c r="AF233" i="60"/>
  <c r="AO232" i="60"/>
  <c r="AO223" i="60"/>
  <c r="AR230" i="60"/>
  <c r="AO220" i="60"/>
  <c r="AR232" i="60"/>
  <c r="AO221" i="60"/>
  <c r="AR220" i="60"/>
  <c r="AO229" i="60"/>
  <c r="AR227" i="60"/>
  <c r="AO228" i="60"/>
  <c r="AR228" i="60"/>
  <c r="AV232" i="60"/>
  <c r="AR229" i="60"/>
  <c r="AR223" i="60"/>
  <c r="AV230" i="60"/>
  <c r="AV227" i="60"/>
  <c r="AV229" i="60"/>
  <c r="AV221" i="60"/>
  <c r="AV220" i="60"/>
  <c r="AR221" i="60"/>
  <c r="AO230" i="60"/>
  <c r="AM235" i="60"/>
  <c r="AN235" i="60"/>
  <c r="AM234" i="60"/>
  <c r="AQ234" i="60"/>
  <c r="AP234" i="60"/>
  <c r="AP235" i="60"/>
  <c r="AQ235" i="60"/>
  <c r="AN234" i="60"/>
  <c r="AB233" i="60" l="1"/>
  <c r="AH233" i="60"/>
  <c r="AE233" i="60"/>
  <c r="AR234" i="60"/>
  <c r="AO234" i="60"/>
  <c r="AO235" i="60"/>
  <c r="AV235" i="60"/>
  <c r="AR235" i="60"/>
  <c r="AV234" i="60"/>
  <c r="BS276" i="60"/>
  <c r="BQ276" i="60"/>
  <c r="BO276" i="60"/>
  <c r="BS79" i="60" l="1"/>
  <c r="O386" i="60" l="1"/>
  <c r="L386" i="60"/>
  <c r="N148" i="60" l="1"/>
  <c r="BS57" i="60" l="1"/>
  <c r="BQ57" i="60"/>
  <c r="BO61" i="60"/>
  <c r="BO57" i="60" s="1"/>
  <c r="L57" i="60"/>
  <c r="BM60" i="60"/>
  <c r="BM57" i="60" s="1"/>
  <c r="AJ60" i="60"/>
  <c r="AI60" i="60"/>
  <c r="AG60" i="60"/>
  <c r="AF60" i="60"/>
  <c r="AD60" i="60"/>
  <c r="AC60" i="60"/>
  <c r="AA60" i="60"/>
  <c r="Z60" i="60"/>
  <c r="O60" i="60"/>
  <c r="BR57" i="60"/>
  <c r="BP57" i="60"/>
  <c r="BN57" i="60"/>
  <c r="BL57" i="60"/>
  <c r="BJ57" i="60"/>
  <c r="BH57" i="60"/>
  <c r="BF57" i="60"/>
  <c r="BD57" i="60"/>
  <c r="BB57" i="60"/>
  <c r="AZ57" i="60"/>
  <c r="AX57" i="60"/>
  <c r="AW57" i="60"/>
  <c r="S57" i="60"/>
  <c r="Q57" i="60"/>
  <c r="AF61" i="60"/>
  <c r="AC61" i="60"/>
  <c r="Z61" i="60"/>
  <c r="AJ61" i="60"/>
  <c r="AG61" i="60"/>
  <c r="AD61" i="60"/>
  <c r="AA61" i="60"/>
  <c r="O61" i="60"/>
  <c r="AE60" i="60" l="1"/>
  <c r="AM60" i="60"/>
  <c r="AH60" i="60"/>
  <c r="AQ60" i="60"/>
  <c r="AK60" i="60"/>
  <c r="AP60" i="60"/>
  <c r="AI61" i="60"/>
  <c r="AK61" i="60" s="1"/>
  <c r="AN60" i="60"/>
  <c r="AO60" i="60" s="1"/>
  <c r="AB60" i="60"/>
  <c r="AS60" i="60"/>
  <c r="AT60" i="60"/>
  <c r="BK57" i="60"/>
  <c r="AE61" i="60"/>
  <c r="AH61" i="60"/>
  <c r="AQ61" i="60"/>
  <c r="AM61" i="60"/>
  <c r="AP61" i="60"/>
  <c r="AB61" i="60"/>
  <c r="AN61" i="60"/>
  <c r="AT61" i="60"/>
  <c r="AR60" i="60" l="1"/>
  <c r="AR61" i="60"/>
  <c r="AS61" i="60"/>
  <c r="AU61" i="60" s="1"/>
  <c r="AU60" i="60"/>
  <c r="AV60" i="60"/>
  <c r="AO61" i="60"/>
  <c r="AV61" i="60" l="1"/>
  <c r="L80" i="60"/>
  <c r="L83" i="60"/>
  <c r="BI299" i="60"/>
  <c r="AJ83" i="60" l="1"/>
  <c r="AI83" i="60"/>
  <c r="AG83" i="60"/>
  <c r="AF83" i="60"/>
  <c r="AD83" i="60"/>
  <c r="AC83" i="60"/>
  <c r="AA83" i="60"/>
  <c r="Z83" i="60"/>
  <c r="O83" i="60"/>
  <c r="AN83" i="60" l="1"/>
  <c r="AE83" i="60"/>
  <c r="AK83" i="60"/>
  <c r="AM83" i="60"/>
  <c r="AH83" i="60"/>
  <c r="AB83" i="60"/>
  <c r="AS83" i="60"/>
  <c r="AP83" i="60"/>
  <c r="AT83" i="60"/>
  <c r="AQ83" i="60"/>
  <c r="BI71" i="60"/>
  <c r="AO83" i="60" l="1"/>
  <c r="AV83" i="60"/>
  <c r="AU83" i="60"/>
  <c r="AR83" i="60"/>
  <c r="N167" i="60"/>
  <c r="N133" i="60" s="1"/>
  <c r="AJ173" i="60"/>
  <c r="AI173" i="60"/>
  <c r="AG173" i="60"/>
  <c r="AF173" i="60"/>
  <c r="AD173" i="60"/>
  <c r="AC173" i="60"/>
  <c r="AA173" i="60"/>
  <c r="Z173" i="60"/>
  <c r="O173" i="60"/>
  <c r="AJ174" i="60"/>
  <c r="AI174" i="60"/>
  <c r="AG174" i="60"/>
  <c r="AF174" i="60"/>
  <c r="AD174" i="60"/>
  <c r="AC174" i="60"/>
  <c r="AA174" i="60"/>
  <c r="Z174" i="60"/>
  <c r="O174" i="60"/>
  <c r="AH173" i="60" l="1"/>
  <c r="AQ173" i="60"/>
  <c r="AE173" i="60"/>
  <c r="AK173" i="60"/>
  <c r="AH174" i="60"/>
  <c r="AK174" i="60"/>
  <c r="AQ174" i="60"/>
  <c r="AM173" i="60"/>
  <c r="AP173" i="60"/>
  <c r="AS173" i="60"/>
  <c r="AN173" i="60"/>
  <c r="AB173" i="60"/>
  <c r="AT173" i="60"/>
  <c r="AP174" i="60"/>
  <c r="AM174" i="60"/>
  <c r="AE174" i="60"/>
  <c r="AN174" i="60"/>
  <c r="AB174" i="60"/>
  <c r="AS174" i="60"/>
  <c r="AT174" i="60"/>
  <c r="AJ106" i="60"/>
  <c r="AI106" i="60"/>
  <c r="AG106" i="60"/>
  <c r="AF106" i="60"/>
  <c r="AD106" i="60"/>
  <c r="AC106" i="60"/>
  <c r="AA106" i="60"/>
  <c r="Z106" i="60"/>
  <c r="O106" i="60"/>
  <c r="BI270" i="60"/>
  <c r="AR173" i="60" l="1"/>
  <c r="AR174" i="60"/>
  <c r="AO173" i="60"/>
  <c r="AU173" i="60"/>
  <c r="AV173" i="60"/>
  <c r="AO174" i="60"/>
  <c r="AU174" i="60"/>
  <c r="AV174" i="60"/>
  <c r="AM106" i="60"/>
  <c r="AH106" i="60"/>
  <c r="AQ106" i="60"/>
  <c r="AK106" i="60"/>
  <c r="AP106" i="60"/>
  <c r="AE106" i="60"/>
  <c r="AN106" i="60"/>
  <c r="AB106" i="60"/>
  <c r="AS106" i="60"/>
  <c r="AT106" i="60"/>
  <c r="AJ165" i="60"/>
  <c r="AI165" i="60"/>
  <c r="AG165" i="60"/>
  <c r="AF165" i="60"/>
  <c r="AD165" i="60"/>
  <c r="AC165" i="60"/>
  <c r="AA165" i="60"/>
  <c r="Z165" i="60"/>
  <c r="O165" i="60"/>
  <c r="AJ171" i="60"/>
  <c r="AI171" i="60"/>
  <c r="AG171" i="60"/>
  <c r="AF171" i="60"/>
  <c r="AD171" i="60"/>
  <c r="AC171" i="60"/>
  <c r="AA171" i="60"/>
  <c r="Z171" i="60"/>
  <c r="O171" i="60"/>
  <c r="AJ172" i="60"/>
  <c r="AI172" i="60"/>
  <c r="AG172" i="60"/>
  <c r="AF172" i="60"/>
  <c r="AD172" i="60"/>
  <c r="AC172" i="60"/>
  <c r="AA172" i="60"/>
  <c r="Z172" i="60"/>
  <c r="O172" i="60"/>
  <c r="AO106" i="60" l="1"/>
  <c r="AR106" i="60"/>
  <c r="AH165" i="60"/>
  <c r="AH171" i="60"/>
  <c r="AU106" i="60"/>
  <c r="AV106" i="60"/>
  <c r="AH172" i="60"/>
  <c r="AQ171" i="60"/>
  <c r="AK171" i="60"/>
  <c r="AT165" i="60"/>
  <c r="AN172" i="60"/>
  <c r="AE172" i="60"/>
  <c r="AK172" i="60"/>
  <c r="AK165" i="60"/>
  <c r="AE165" i="60"/>
  <c r="AP165" i="60"/>
  <c r="AM172" i="60"/>
  <c r="AP171" i="60"/>
  <c r="AB165" i="60"/>
  <c r="AS165" i="60"/>
  <c r="AM165" i="60"/>
  <c r="AQ165" i="60"/>
  <c r="AN165" i="60"/>
  <c r="AT171" i="60"/>
  <c r="AE171" i="60"/>
  <c r="AN171" i="60"/>
  <c r="AB171" i="60"/>
  <c r="AS171" i="60"/>
  <c r="AM171" i="60"/>
  <c r="AB172" i="60"/>
  <c r="AS172" i="60"/>
  <c r="AP172" i="60"/>
  <c r="AT172" i="60"/>
  <c r="AQ172" i="60"/>
  <c r="AR165" i="60" l="1"/>
  <c r="AR171" i="60"/>
  <c r="AO165" i="60"/>
  <c r="AO172" i="60"/>
  <c r="AO171" i="60"/>
  <c r="AR172" i="60"/>
  <c r="AV165" i="60"/>
  <c r="AU165" i="60"/>
  <c r="AU171" i="60"/>
  <c r="AV171" i="60"/>
  <c r="AV172" i="60"/>
  <c r="AU172" i="60"/>
  <c r="AJ105" i="60"/>
  <c r="AI105" i="60"/>
  <c r="AG105" i="60"/>
  <c r="AF105" i="60"/>
  <c r="AD105" i="60"/>
  <c r="AC105" i="60"/>
  <c r="AA105" i="60"/>
  <c r="Z105" i="60"/>
  <c r="O105" i="60"/>
  <c r="AN105" i="60" l="1"/>
  <c r="AE105" i="60"/>
  <c r="AK105" i="60"/>
  <c r="AH105" i="60"/>
  <c r="AM105" i="60"/>
  <c r="AB105" i="60"/>
  <c r="AS105" i="60"/>
  <c r="AP105" i="60"/>
  <c r="AT105" i="60"/>
  <c r="AQ105" i="60"/>
  <c r="AO105" i="60" l="1"/>
  <c r="AR105" i="60"/>
  <c r="AV105" i="60"/>
  <c r="AU105" i="60"/>
  <c r="O236" i="60"/>
  <c r="BT233" i="60"/>
  <c r="AJ233" i="60" s="1"/>
  <c r="AK233" i="60" s="1"/>
  <c r="O233" i="60"/>
  <c r="AM236" i="60" l="1"/>
  <c r="AN236" i="60"/>
  <c r="AP236" i="60"/>
  <c r="AQ236" i="60"/>
  <c r="BQ50" i="60"/>
  <c r="BS50" i="60"/>
  <c r="BS49" i="60"/>
  <c r="BE49" i="60"/>
  <c r="BC49" i="60"/>
  <c r="BA49" i="60"/>
  <c r="AY49" i="60"/>
  <c r="BG49" i="60"/>
  <c r="BM287" i="60"/>
  <c r="AN233" i="60" l="1"/>
  <c r="AM233" i="60"/>
  <c r="AQ233" i="60"/>
  <c r="AT233" i="60"/>
  <c r="AP233" i="60"/>
  <c r="AO236" i="60"/>
  <c r="AS233" i="60"/>
  <c r="AV233" i="60" s="1"/>
  <c r="AV236" i="60"/>
  <c r="AR236" i="60"/>
  <c r="O206" i="60"/>
  <c r="N207" i="60"/>
  <c r="O208" i="60"/>
  <c r="N209" i="60"/>
  <c r="AJ383" i="60"/>
  <c r="AI383" i="60"/>
  <c r="AG383" i="60"/>
  <c r="AF383" i="60"/>
  <c r="AD383" i="60"/>
  <c r="AC383" i="60"/>
  <c r="AA383" i="60"/>
  <c r="Z383" i="60"/>
  <c r="O383" i="60"/>
  <c r="AJ382" i="60"/>
  <c r="AI382" i="60"/>
  <c r="AG382" i="60"/>
  <c r="AF382" i="60"/>
  <c r="AD382" i="60"/>
  <c r="AC382" i="60"/>
  <c r="AA382" i="60"/>
  <c r="Z382" i="60"/>
  <c r="O382" i="60"/>
  <c r="BS381" i="60"/>
  <c r="BS380" i="60" s="1"/>
  <c r="AJ381" i="60"/>
  <c r="AG381" i="60"/>
  <c r="AF381" i="60"/>
  <c r="AD381" i="60"/>
  <c r="AC381" i="60"/>
  <c r="AA381" i="60"/>
  <c r="Z381" i="60"/>
  <c r="O381" i="60"/>
  <c r="BR380" i="60"/>
  <c r="BQ380" i="60"/>
  <c r="BP380" i="60"/>
  <c r="BO380" i="60"/>
  <c r="BN380" i="60"/>
  <c r="BM380" i="60"/>
  <c r="BL380" i="60"/>
  <c r="BK380" i="60"/>
  <c r="BJ380" i="60"/>
  <c r="BI380" i="60"/>
  <c r="BH380" i="60"/>
  <c r="BG380" i="60"/>
  <c r="BF380" i="60"/>
  <c r="BE380" i="60"/>
  <c r="BD380" i="60"/>
  <c r="BC380" i="60"/>
  <c r="BB380" i="60"/>
  <c r="BA380" i="60"/>
  <c r="AZ380" i="60"/>
  <c r="AY380" i="60"/>
  <c r="AX380" i="60"/>
  <c r="AW380" i="60"/>
  <c r="S380" i="60"/>
  <c r="R380" i="60"/>
  <c r="Q380" i="60"/>
  <c r="N380" i="60"/>
  <c r="AJ379" i="60"/>
  <c r="AI379" i="60"/>
  <c r="AG379" i="60"/>
  <c r="AF379" i="60"/>
  <c r="AD379" i="60"/>
  <c r="AC379" i="60"/>
  <c r="AA379" i="60"/>
  <c r="Z379" i="60"/>
  <c r="O379" i="60"/>
  <c r="AJ378" i="60"/>
  <c r="AI378" i="60"/>
  <c r="AG378" i="60"/>
  <c r="AF378" i="60"/>
  <c r="AD378" i="60"/>
  <c r="AC378" i="60"/>
  <c r="AA378" i="60"/>
  <c r="Z378" i="60"/>
  <c r="O378" i="60"/>
  <c r="AJ377" i="60"/>
  <c r="AI377" i="60"/>
  <c r="AG377" i="60"/>
  <c r="AF377" i="60"/>
  <c r="AD377" i="60"/>
  <c r="AC377" i="60"/>
  <c r="AA377" i="60"/>
  <c r="Z377" i="60"/>
  <c r="O377" i="60"/>
  <c r="AJ376" i="60"/>
  <c r="AI376" i="60"/>
  <c r="AG376" i="60"/>
  <c r="AF376" i="60"/>
  <c r="AD376" i="60"/>
  <c r="AC376" i="60"/>
  <c r="AA376" i="60"/>
  <c r="Z376" i="60"/>
  <c r="O376" i="60"/>
  <c r="BS375" i="60"/>
  <c r="BR375" i="60"/>
  <c r="BQ375" i="60"/>
  <c r="BP375" i="60"/>
  <c r="BO375" i="60"/>
  <c r="BN375" i="60"/>
  <c r="BM375" i="60"/>
  <c r="BL375" i="60"/>
  <c r="BK375" i="60"/>
  <c r="BJ375" i="60"/>
  <c r="BI375" i="60"/>
  <c r="BH375" i="60"/>
  <c r="BG375" i="60"/>
  <c r="BF375" i="60"/>
  <c r="BE375" i="60"/>
  <c r="BD375" i="60"/>
  <c r="BC375" i="60"/>
  <c r="BB375" i="60"/>
  <c r="BA375" i="60"/>
  <c r="AZ375" i="60"/>
  <c r="AY375" i="60"/>
  <c r="AX375" i="60"/>
  <c r="AW375" i="60"/>
  <c r="N375" i="60"/>
  <c r="L375" i="60"/>
  <c r="AJ374" i="60"/>
  <c r="AI374" i="60"/>
  <c r="AG374" i="60"/>
  <c r="AF374" i="60"/>
  <c r="AD374" i="60"/>
  <c r="AC374" i="60"/>
  <c r="AA374" i="60"/>
  <c r="Z374" i="60"/>
  <c r="O374" i="60"/>
  <c r="AJ369" i="60"/>
  <c r="AI369" i="60"/>
  <c r="AG369" i="60"/>
  <c r="AF369" i="60"/>
  <c r="AD369" i="60"/>
  <c r="AC369" i="60"/>
  <c r="AA369" i="60"/>
  <c r="Z369" i="60"/>
  <c r="O369" i="60"/>
  <c r="AJ368" i="60"/>
  <c r="AI368" i="60"/>
  <c r="AG368" i="60"/>
  <c r="AF368" i="60"/>
  <c r="AD368" i="60"/>
  <c r="AC368" i="60"/>
  <c r="AA368" i="60"/>
  <c r="Z368" i="60"/>
  <c r="O368" i="60"/>
  <c r="AJ367" i="60"/>
  <c r="AI367" i="60"/>
  <c r="AG367" i="60"/>
  <c r="AF367" i="60"/>
  <c r="AD367" i="60"/>
  <c r="AC367" i="60"/>
  <c r="AA367" i="60"/>
  <c r="Z367" i="60"/>
  <c r="O367" i="60"/>
  <c r="AJ366" i="60"/>
  <c r="AI366" i="60"/>
  <c r="AG366" i="60"/>
  <c r="AF366" i="60"/>
  <c r="AD366" i="60"/>
  <c r="AC366" i="60"/>
  <c r="AA366" i="60"/>
  <c r="Z366" i="60"/>
  <c r="O366" i="60"/>
  <c r="AJ364" i="60"/>
  <c r="AI364" i="60"/>
  <c r="AG364" i="60"/>
  <c r="AF364" i="60"/>
  <c r="AD364" i="60"/>
  <c r="AC364" i="60"/>
  <c r="AA364" i="60"/>
  <c r="Z364" i="60"/>
  <c r="O364" i="60"/>
  <c r="AJ363" i="60"/>
  <c r="AI363" i="60"/>
  <c r="AG363" i="60"/>
  <c r="AF363" i="60"/>
  <c r="AD363" i="60"/>
  <c r="AC363" i="60"/>
  <c r="AA363" i="60"/>
  <c r="Z363" i="60"/>
  <c r="O363" i="60"/>
  <c r="AJ362" i="60"/>
  <c r="AI362" i="60"/>
  <c r="AG362" i="60"/>
  <c r="AF362" i="60"/>
  <c r="AD362" i="60"/>
  <c r="AC362" i="60"/>
  <c r="AA362" i="60"/>
  <c r="Z362" i="60"/>
  <c r="L362" i="60"/>
  <c r="O362" i="60" s="1"/>
  <c r="AJ361" i="60"/>
  <c r="AI361" i="60"/>
  <c r="AG361" i="60"/>
  <c r="AF361" i="60"/>
  <c r="AD361" i="60"/>
  <c r="AC361" i="60"/>
  <c r="AA361" i="60"/>
  <c r="Z361" i="60"/>
  <c r="O361" i="60"/>
  <c r="AJ360" i="60"/>
  <c r="AI360" i="60"/>
  <c r="AG360" i="60"/>
  <c r="AF360" i="60"/>
  <c r="AD360" i="60"/>
  <c r="AC360" i="60"/>
  <c r="AA360" i="60"/>
  <c r="Z360" i="60"/>
  <c r="O360" i="60"/>
  <c r="AJ359" i="60"/>
  <c r="AI359" i="60"/>
  <c r="AG359" i="60"/>
  <c r="AF359" i="60"/>
  <c r="AD359" i="60"/>
  <c r="AC359" i="60"/>
  <c r="AA359" i="60"/>
  <c r="Z359" i="60"/>
  <c r="O359" i="60"/>
  <c r="AJ358" i="60"/>
  <c r="AI358" i="60"/>
  <c r="AG358" i="60"/>
  <c r="AF358" i="60"/>
  <c r="AD358" i="60"/>
  <c r="AC358" i="60"/>
  <c r="AA358" i="60"/>
  <c r="Z358" i="60"/>
  <c r="O358" i="60"/>
  <c r="AJ357" i="60"/>
  <c r="AI357" i="60"/>
  <c r="AG357" i="60"/>
  <c r="AF357" i="60"/>
  <c r="AD357" i="60"/>
  <c r="AC357" i="60"/>
  <c r="AA357" i="60"/>
  <c r="Z357" i="60"/>
  <c r="O357" i="60"/>
  <c r="AJ356" i="60"/>
  <c r="AI356" i="60"/>
  <c r="AG356" i="60"/>
  <c r="AF356" i="60"/>
  <c r="AD356" i="60"/>
  <c r="AC356" i="60"/>
  <c r="AA356" i="60"/>
  <c r="Z356" i="60"/>
  <c r="O356" i="60"/>
  <c r="AJ355" i="60"/>
  <c r="AI355" i="60"/>
  <c r="AG355" i="60"/>
  <c r="AF355" i="60"/>
  <c r="AD355" i="60"/>
  <c r="AC355" i="60"/>
  <c r="AA355" i="60"/>
  <c r="Z355" i="60"/>
  <c r="AJ354" i="60"/>
  <c r="AI354" i="60"/>
  <c r="AG354" i="60"/>
  <c r="AF354" i="60"/>
  <c r="AD354" i="60"/>
  <c r="AC354" i="60"/>
  <c r="AA354" i="60"/>
  <c r="Z354" i="60"/>
  <c r="O354" i="60"/>
  <c r="BT353" i="60"/>
  <c r="BS353" i="60"/>
  <c r="BR353" i="60"/>
  <c r="BQ353" i="60"/>
  <c r="BP353" i="60"/>
  <c r="BO353" i="60"/>
  <c r="BN353" i="60"/>
  <c r="BM353" i="60"/>
  <c r="BL353" i="60"/>
  <c r="BK353" i="60"/>
  <c r="BJ353" i="60"/>
  <c r="BI353" i="60"/>
  <c r="BH353" i="60"/>
  <c r="BG353" i="60"/>
  <c r="BF353" i="60"/>
  <c r="BE353" i="60"/>
  <c r="BD353" i="60"/>
  <c r="BC353" i="60"/>
  <c r="BB353" i="60"/>
  <c r="BA353" i="60"/>
  <c r="AZ353" i="60"/>
  <c r="AY353" i="60"/>
  <c r="AX353" i="60"/>
  <c r="AW353" i="60"/>
  <c r="S353" i="60"/>
  <c r="Q353" i="60"/>
  <c r="N353" i="60"/>
  <c r="BC352" i="60"/>
  <c r="AC352" i="60" s="1"/>
  <c r="AJ352" i="60"/>
  <c r="AI352" i="60"/>
  <c r="AG352" i="60"/>
  <c r="AF352" i="60"/>
  <c r="AD352" i="60"/>
  <c r="AA352" i="60"/>
  <c r="Z352" i="60"/>
  <c r="O352" i="60"/>
  <c r="AJ351" i="60"/>
  <c r="AI351" i="60"/>
  <c r="AG351" i="60"/>
  <c r="AF351" i="60"/>
  <c r="AD351" i="60"/>
  <c r="AC351" i="60"/>
  <c r="AA351" i="60"/>
  <c r="Z351" i="60"/>
  <c r="O351" i="60"/>
  <c r="AJ350" i="60"/>
  <c r="AI350" i="60"/>
  <c r="AG350" i="60"/>
  <c r="AF350" i="60"/>
  <c r="AD350" i="60"/>
  <c r="AC350" i="60"/>
  <c r="AA350" i="60"/>
  <c r="Z350" i="60"/>
  <c r="O350" i="60"/>
  <c r="AJ349" i="60"/>
  <c r="AI349" i="60"/>
  <c r="AG349" i="60"/>
  <c r="AF349" i="60"/>
  <c r="AD349" i="60"/>
  <c r="AC349" i="60"/>
  <c r="AA349" i="60"/>
  <c r="Z349" i="60"/>
  <c r="O349" i="60"/>
  <c r="AJ348" i="60"/>
  <c r="AI348" i="60"/>
  <c r="AG348" i="60"/>
  <c r="AF348" i="60"/>
  <c r="AD348" i="60"/>
  <c r="AC348" i="60"/>
  <c r="AA348" i="60"/>
  <c r="Z348" i="60"/>
  <c r="O348" i="60"/>
  <c r="BG347" i="60"/>
  <c r="AC347" i="60" s="1"/>
  <c r="AJ347" i="60"/>
  <c r="AI347" i="60"/>
  <c r="AG347" i="60"/>
  <c r="AF347" i="60"/>
  <c r="AD347" i="60"/>
  <c r="AA347" i="60"/>
  <c r="Z347" i="60"/>
  <c r="L347" i="60"/>
  <c r="O347" i="60" s="1"/>
  <c r="BS346" i="60"/>
  <c r="BR346" i="60"/>
  <c r="BQ346" i="60"/>
  <c r="BP346" i="60"/>
  <c r="BO346" i="60"/>
  <c r="BN346" i="60"/>
  <c r="BM346" i="60"/>
  <c r="BL346" i="60"/>
  <c r="BK346" i="60"/>
  <c r="BJ346" i="60"/>
  <c r="BI346" i="60"/>
  <c r="BH346" i="60"/>
  <c r="BF346" i="60"/>
  <c r="BE346" i="60"/>
  <c r="BD346" i="60"/>
  <c r="BB346" i="60"/>
  <c r="BA346" i="60"/>
  <c r="AZ346" i="60"/>
  <c r="AY346" i="60"/>
  <c r="AX346" i="60"/>
  <c r="AW346" i="60"/>
  <c r="S346" i="60"/>
  <c r="R346" i="60"/>
  <c r="R330" i="60" s="1"/>
  <c r="Q346" i="60"/>
  <c r="N346" i="60"/>
  <c r="AJ345" i="60"/>
  <c r="AI345" i="60"/>
  <c r="AG345" i="60"/>
  <c r="AF345" i="60"/>
  <c r="AD345" i="60"/>
  <c r="AC345" i="60"/>
  <c r="AA345" i="60"/>
  <c r="Z345" i="60"/>
  <c r="O345" i="60"/>
  <c r="AJ343" i="60"/>
  <c r="AI343" i="60"/>
  <c r="AG343" i="60"/>
  <c r="AF343" i="60"/>
  <c r="AD343" i="60"/>
  <c r="AC343" i="60"/>
  <c r="AA343" i="60"/>
  <c r="Z343" i="60"/>
  <c r="O343" i="60"/>
  <c r="AJ342" i="60"/>
  <c r="AI342" i="60"/>
  <c r="AG342" i="60"/>
  <c r="AF342" i="60"/>
  <c r="AD342" i="60"/>
  <c r="AC342" i="60"/>
  <c r="AA342" i="60"/>
  <c r="Z342" i="60"/>
  <c r="O342" i="60"/>
  <c r="AJ341" i="60"/>
  <c r="AI341" i="60"/>
  <c r="AG341" i="60"/>
  <c r="AF341" i="60"/>
  <c r="AD341" i="60"/>
  <c r="AC341" i="60"/>
  <c r="AA341" i="60"/>
  <c r="Z341" i="60"/>
  <c r="O341" i="60"/>
  <c r="BG340" i="60"/>
  <c r="BG339" i="60" s="1"/>
  <c r="AJ340" i="60"/>
  <c r="AI340" i="60"/>
  <c r="AG340" i="60"/>
  <c r="AF340" i="60"/>
  <c r="AD340" i="60"/>
  <c r="AA340" i="60"/>
  <c r="Z340" i="60"/>
  <c r="L340" i="60"/>
  <c r="BS339" i="60"/>
  <c r="BR339" i="60"/>
  <c r="BQ339" i="60"/>
  <c r="BP339" i="60"/>
  <c r="BO339" i="60"/>
  <c r="BN339" i="60"/>
  <c r="BM339" i="60"/>
  <c r="BL339" i="60"/>
  <c r="BK339" i="60"/>
  <c r="BJ339" i="60"/>
  <c r="BI339" i="60"/>
  <c r="BH339" i="60"/>
  <c r="BF339" i="60"/>
  <c r="BE339" i="60"/>
  <c r="BD339" i="60"/>
  <c r="BC339" i="60"/>
  <c r="BB339" i="60"/>
  <c r="BA339" i="60"/>
  <c r="AZ339" i="60"/>
  <c r="AY339" i="60"/>
  <c r="AX339" i="60"/>
  <c r="AW339" i="60"/>
  <c r="S339" i="60"/>
  <c r="Q339" i="60"/>
  <c r="N339" i="60"/>
  <c r="BQ338" i="60"/>
  <c r="AI338" i="60" s="1"/>
  <c r="AJ338" i="60"/>
  <c r="AG338" i="60"/>
  <c r="AF338" i="60"/>
  <c r="AD338" i="60"/>
  <c r="AC338" i="60"/>
  <c r="AA338" i="60"/>
  <c r="Z338" i="60"/>
  <c r="O338" i="60"/>
  <c r="BO337" i="60"/>
  <c r="AI337" i="60" s="1"/>
  <c r="BA337" i="60"/>
  <c r="Z337" i="60" s="1"/>
  <c r="AJ337" i="60"/>
  <c r="AG337" i="60"/>
  <c r="AF337" i="60"/>
  <c r="AD337" i="60"/>
  <c r="AC337" i="60"/>
  <c r="AA337" i="60"/>
  <c r="O337" i="60"/>
  <c r="BO336" i="60"/>
  <c r="BA336" i="60"/>
  <c r="Z336" i="60" s="1"/>
  <c r="AJ336" i="60"/>
  <c r="AG336" i="60"/>
  <c r="AF336" i="60"/>
  <c r="AD336" i="60"/>
  <c r="AC336" i="60"/>
  <c r="AA336" i="60"/>
  <c r="O336" i="60"/>
  <c r="BA335" i="60"/>
  <c r="Z335" i="60" s="1"/>
  <c r="AJ335" i="60"/>
  <c r="AI335" i="60"/>
  <c r="AG335" i="60"/>
  <c r="AF335" i="60"/>
  <c r="AD335" i="60"/>
  <c r="AC335" i="60"/>
  <c r="AA335" i="60"/>
  <c r="O335" i="60"/>
  <c r="BT334" i="60"/>
  <c r="BS334" i="60"/>
  <c r="BR334" i="60"/>
  <c r="BP334" i="60"/>
  <c r="BN334" i="60"/>
  <c r="BM334" i="60"/>
  <c r="BL334" i="60"/>
  <c r="BK334" i="60"/>
  <c r="BJ334" i="60"/>
  <c r="BI334" i="60"/>
  <c r="BH334" i="60"/>
  <c r="BG334" i="60"/>
  <c r="BF334" i="60"/>
  <c r="BE334" i="60"/>
  <c r="BD334" i="60"/>
  <c r="BC334" i="60"/>
  <c r="BB334" i="60"/>
  <c r="AZ334" i="60"/>
  <c r="AY334" i="60"/>
  <c r="AX334" i="60"/>
  <c r="AW334" i="60"/>
  <c r="S334" i="60"/>
  <c r="Q334" i="60"/>
  <c r="L334" i="60"/>
  <c r="AJ329" i="60"/>
  <c r="AI329" i="60"/>
  <c r="AG329" i="60"/>
  <c r="AF329" i="60"/>
  <c r="AD329" i="60"/>
  <c r="AC329" i="60"/>
  <c r="AA329" i="60"/>
  <c r="Z329" i="60"/>
  <c r="O329" i="60"/>
  <c r="AJ328" i="60"/>
  <c r="AI328" i="60"/>
  <c r="AG328" i="60"/>
  <c r="AF328" i="60"/>
  <c r="AD328" i="60"/>
  <c r="AC328" i="60"/>
  <c r="AA328" i="60"/>
  <c r="Z328" i="60"/>
  <c r="AF327" i="60"/>
  <c r="BG326" i="60"/>
  <c r="AJ327" i="60"/>
  <c r="AI327" i="60"/>
  <c r="AG327" i="60"/>
  <c r="AD327" i="60"/>
  <c r="AA327" i="60"/>
  <c r="Z327" i="60"/>
  <c r="L327" i="60"/>
  <c r="BT326" i="60"/>
  <c r="BS326" i="60"/>
  <c r="BR326" i="60"/>
  <c r="BQ326" i="60"/>
  <c r="BP326" i="60"/>
  <c r="BO326" i="60"/>
  <c r="BN326" i="60"/>
  <c r="BM326" i="60"/>
  <c r="BL326" i="60"/>
  <c r="BK326" i="60"/>
  <c r="BJ326" i="60"/>
  <c r="BH326" i="60"/>
  <c r="BF326" i="60"/>
  <c r="BD326" i="60"/>
  <c r="BC326" i="60"/>
  <c r="BB326" i="60"/>
  <c r="BA326" i="60"/>
  <c r="AZ326" i="60"/>
  <c r="AY326" i="60"/>
  <c r="AX326" i="60"/>
  <c r="AW326" i="60"/>
  <c r="S326" i="60"/>
  <c r="Q326" i="60"/>
  <c r="N326" i="60"/>
  <c r="AJ325" i="60"/>
  <c r="AI325" i="60"/>
  <c r="AG325" i="60"/>
  <c r="AF325" i="60"/>
  <c r="AD325" i="60"/>
  <c r="AC325" i="60"/>
  <c r="AA325" i="60"/>
  <c r="Z325" i="60"/>
  <c r="O325" i="60"/>
  <c r="AJ324" i="60"/>
  <c r="AI324" i="60"/>
  <c r="AG324" i="60"/>
  <c r="AF324" i="60"/>
  <c r="AD324" i="60"/>
  <c r="AC324" i="60"/>
  <c r="AA324" i="60"/>
  <c r="Z324" i="60"/>
  <c r="O324" i="60"/>
  <c r="BT323" i="60"/>
  <c r="BS323" i="60"/>
  <c r="BR323" i="60"/>
  <c r="BQ323" i="60"/>
  <c r="BP323" i="60"/>
  <c r="BO323" i="60"/>
  <c r="BN323" i="60"/>
  <c r="BM323" i="60"/>
  <c r="BL323" i="60"/>
  <c r="BK323" i="60"/>
  <c r="BJ323" i="60"/>
  <c r="BI323" i="60"/>
  <c r="BH323" i="60"/>
  <c r="BG323" i="60"/>
  <c r="BF323" i="60"/>
  <c r="BE323" i="60"/>
  <c r="BD323" i="60"/>
  <c r="BC323" i="60"/>
  <c r="BB323" i="60"/>
  <c r="BA323" i="60"/>
  <c r="AZ323" i="60"/>
  <c r="AY323" i="60"/>
  <c r="AX323" i="60"/>
  <c r="AW323" i="60"/>
  <c r="S323" i="60"/>
  <c r="Q323" i="60"/>
  <c r="N323" i="60"/>
  <c r="L323" i="60"/>
  <c r="AJ322" i="60"/>
  <c r="AI322" i="60"/>
  <c r="AG322" i="60"/>
  <c r="AF322" i="60"/>
  <c r="AD322" i="60"/>
  <c r="AC322" i="60"/>
  <c r="AA322" i="60"/>
  <c r="Z322" i="60"/>
  <c r="O322" i="60"/>
  <c r="AJ321" i="60"/>
  <c r="AI321" i="60"/>
  <c r="AG321" i="60"/>
  <c r="AF321" i="60"/>
  <c r="AD321" i="60"/>
  <c r="AC321" i="60"/>
  <c r="AA321" i="60"/>
  <c r="Z321" i="60"/>
  <c r="O321" i="60"/>
  <c r="AJ320" i="60"/>
  <c r="AI320" i="60"/>
  <c r="AG320" i="60"/>
  <c r="AF320" i="60"/>
  <c r="AD320" i="60"/>
  <c r="AC320" i="60"/>
  <c r="AA320" i="60"/>
  <c r="Z320" i="60"/>
  <c r="O320" i="60"/>
  <c r="AJ319" i="60"/>
  <c r="AI319" i="60"/>
  <c r="AG319" i="60"/>
  <c r="AF319" i="60"/>
  <c r="AD319" i="60"/>
  <c r="AC319" i="60"/>
  <c r="AA319" i="60"/>
  <c r="Z319" i="60"/>
  <c r="O319" i="60"/>
  <c r="BC318" i="60"/>
  <c r="AC318" i="60" s="1"/>
  <c r="AJ318" i="60"/>
  <c r="AI318" i="60"/>
  <c r="AG318" i="60"/>
  <c r="AF318" i="60"/>
  <c r="AD318" i="60"/>
  <c r="AA318" i="60"/>
  <c r="Z318" i="60"/>
  <c r="O318" i="60"/>
  <c r="AJ317" i="60"/>
  <c r="AI317" i="60"/>
  <c r="AG317" i="60"/>
  <c r="AF317" i="60"/>
  <c r="AD317" i="60"/>
  <c r="AC317" i="60"/>
  <c r="AA317" i="60"/>
  <c r="Z317" i="60"/>
  <c r="O317" i="60"/>
  <c r="BT316" i="60"/>
  <c r="BS316" i="60"/>
  <c r="BR316" i="60"/>
  <c r="BQ316" i="60"/>
  <c r="BP316" i="60"/>
  <c r="BO316" i="60"/>
  <c r="BN316" i="60"/>
  <c r="BM316" i="60"/>
  <c r="BL316" i="60"/>
  <c r="BK316" i="60"/>
  <c r="BJ316" i="60"/>
  <c r="BI316" i="60"/>
  <c r="BH316" i="60"/>
  <c r="BG316" i="60"/>
  <c r="BF316" i="60"/>
  <c r="BE316" i="60"/>
  <c r="BD316" i="60"/>
  <c r="BB316" i="60"/>
  <c r="BA316" i="60"/>
  <c r="AZ316" i="60"/>
  <c r="AY316" i="60"/>
  <c r="AX316" i="60"/>
  <c r="AW316" i="60"/>
  <c r="S316" i="60"/>
  <c r="Q316" i="60"/>
  <c r="N316" i="60"/>
  <c r="L316" i="60"/>
  <c r="BT315" i="60"/>
  <c r="BS315" i="60"/>
  <c r="BR315" i="60"/>
  <c r="BQ315" i="60"/>
  <c r="BP315" i="60"/>
  <c r="BO315" i="60"/>
  <c r="BN315" i="60"/>
  <c r="BM315" i="60"/>
  <c r="BL315" i="60"/>
  <c r="BK315" i="60"/>
  <c r="BJ315" i="60"/>
  <c r="BI315" i="60"/>
  <c r="BH315" i="60"/>
  <c r="BG315" i="60"/>
  <c r="BF315" i="60"/>
  <c r="BE315" i="60"/>
  <c r="BD315" i="60"/>
  <c r="BC315" i="60"/>
  <c r="BB315" i="60"/>
  <c r="BA315" i="60"/>
  <c r="AZ315" i="60"/>
  <c r="AY315" i="60"/>
  <c r="AX315" i="60"/>
  <c r="AW315" i="60"/>
  <c r="O315" i="60"/>
  <c r="AJ314" i="60"/>
  <c r="AI314" i="60"/>
  <c r="AG314" i="60"/>
  <c r="AF314" i="60"/>
  <c r="AD314" i="60"/>
  <c r="AC314" i="60"/>
  <c r="AA314" i="60"/>
  <c r="Z314" i="60"/>
  <c r="O314" i="60"/>
  <c r="BS312" i="60"/>
  <c r="BQ312" i="60"/>
  <c r="BQ311" i="60" s="1"/>
  <c r="BO312" i="60"/>
  <c r="BM312" i="60"/>
  <c r="AF312" i="60" s="1"/>
  <c r="AJ312" i="60"/>
  <c r="AG312" i="60"/>
  <c r="AD312" i="60"/>
  <c r="AC312" i="60"/>
  <c r="AA312" i="60"/>
  <c r="Z312" i="60"/>
  <c r="O312" i="60"/>
  <c r="BT311" i="60"/>
  <c r="BS311" i="60"/>
  <c r="BR311" i="60"/>
  <c r="BP311" i="60"/>
  <c r="BN311" i="60"/>
  <c r="BL311" i="60"/>
  <c r="BK311" i="60"/>
  <c r="BJ311" i="60"/>
  <c r="BI311" i="60"/>
  <c r="BH311" i="60"/>
  <c r="BG311" i="60"/>
  <c r="BF311" i="60"/>
  <c r="BE311" i="60"/>
  <c r="BD311" i="60"/>
  <c r="BC311" i="60"/>
  <c r="BB311" i="60"/>
  <c r="BA311" i="60"/>
  <c r="AZ311" i="60"/>
  <c r="AY311" i="60"/>
  <c r="AX311" i="60"/>
  <c r="AW311" i="60"/>
  <c r="S311" i="60"/>
  <c r="Q311" i="60"/>
  <c r="N311" i="60"/>
  <c r="L311" i="60"/>
  <c r="AJ310" i="60"/>
  <c r="AI310" i="60"/>
  <c r="AG310" i="60"/>
  <c r="AF310" i="60"/>
  <c r="AD310" i="60"/>
  <c r="AC310" i="60"/>
  <c r="AA310" i="60"/>
  <c r="Z310" i="60"/>
  <c r="O310" i="60"/>
  <c r="AJ299" i="60"/>
  <c r="AI299" i="60"/>
  <c r="AG299" i="60"/>
  <c r="AF299" i="60"/>
  <c r="AD299" i="60"/>
  <c r="AC299" i="60"/>
  <c r="AA299" i="60"/>
  <c r="Z299" i="60"/>
  <c r="O299" i="60"/>
  <c r="BE297" i="60"/>
  <c r="BC297" i="60"/>
  <c r="BC277" i="60" s="1"/>
  <c r="AJ297" i="60"/>
  <c r="AI297" i="60"/>
  <c r="AG297" i="60"/>
  <c r="AF297" i="60"/>
  <c r="AD297" i="60"/>
  <c r="AA297" i="60"/>
  <c r="Z297" i="60"/>
  <c r="O297" i="60"/>
  <c r="AJ296" i="60"/>
  <c r="AI296" i="60"/>
  <c r="AG296" i="60"/>
  <c r="AF296" i="60"/>
  <c r="AD296" i="60"/>
  <c r="AC296" i="60"/>
  <c r="AA296" i="60"/>
  <c r="Z296" i="60"/>
  <c r="O296" i="60"/>
  <c r="AJ295" i="60"/>
  <c r="AI295" i="60"/>
  <c r="AG295" i="60"/>
  <c r="AF295" i="60"/>
  <c r="AD295" i="60"/>
  <c r="AC295" i="60"/>
  <c r="AA295" i="60"/>
  <c r="Z295" i="60"/>
  <c r="O295" i="60"/>
  <c r="AJ294" i="60"/>
  <c r="AI294" i="60"/>
  <c r="AG294" i="60"/>
  <c r="AF294" i="60"/>
  <c r="AD294" i="60"/>
  <c r="AC294" i="60"/>
  <c r="AA294" i="60"/>
  <c r="Z294" i="60"/>
  <c r="O294" i="60"/>
  <c r="AJ293" i="60"/>
  <c r="AI293" i="60"/>
  <c r="AG293" i="60"/>
  <c r="AF293" i="60"/>
  <c r="AD293" i="60"/>
  <c r="AC293" i="60"/>
  <c r="AA293" i="60"/>
  <c r="Z293" i="60"/>
  <c r="O293" i="60"/>
  <c r="AJ292" i="60"/>
  <c r="AI292" i="60"/>
  <c r="AG292" i="60"/>
  <c r="AF292" i="60"/>
  <c r="AD292" i="60"/>
  <c r="AC292" i="60"/>
  <c r="AA292" i="60"/>
  <c r="Z292" i="60"/>
  <c r="O292" i="60"/>
  <c r="AJ291" i="60"/>
  <c r="AI291" i="60"/>
  <c r="AG291" i="60"/>
  <c r="AF291" i="60"/>
  <c r="AD291" i="60"/>
  <c r="AC291" i="60"/>
  <c r="AA291" i="60"/>
  <c r="Z291" i="60"/>
  <c r="O291" i="60"/>
  <c r="AJ290" i="60"/>
  <c r="AI290" i="60"/>
  <c r="AG290" i="60"/>
  <c r="AF290" i="60"/>
  <c r="AD290" i="60"/>
  <c r="AC290" i="60"/>
  <c r="AA290" i="60"/>
  <c r="Z290" i="60"/>
  <c r="L290" i="60"/>
  <c r="O290" i="60" s="1"/>
  <c r="AJ289" i="60"/>
  <c r="AI289" i="60"/>
  <c r="AG289" i="60"/>
  <c r="AF289" i="60"/>
  <c r="AD289" i="60"/>
  <c r="AC289" i="60"/>
  <c r="AA289" i="60"/>
  <c r="Z289" i="60"/>
  <c r="O289" i="60"/>
  <c r="BS288" i="60"/>
  <c r="AI288" i="60" s="1"/>
  <c r="AJ288" i="60"/>
  <c r="AG288" i="60"/>
  <c r="AF288" i="60"/>
  <c r="AD288" i="60"/>
  <c r="AC288" i="60"/>
  <c r="AA288" i="60"/>
  <c r="Z288" i="60"/>
  <c r="O288" i="60"/>
  <c r="AJ287" i="60"/>
  <c r="AI287" i="60"/>
  <c r="AG287" i="60"/>
  <c r="AF287" i="60"/>
  <c r="AD287" i="60"/>
  <c r="AC287" i="60"/>
  <c r="AA287" i="60"/>
  <c r="Z287" i="60"/>
  <c r="O287" i="60"/>
  <c r="AJ286" i="60"/>
  <c r="AI286" i="60"/>
  <c r="AG286" i="60"/>
  <c r="AF286" i="60"/>
  <c r="AD286" i="60"/>
  <c r="AC286" i="60"/>
  <c r="AA286" i="60"/>
  <c r="Z286" i="60"/>
  <c r="O286" i="60"/>
  <c r="BE285" i="60"/>
  <c r="AJ285" i="60"/>
  <c r="AI285" i="60"/>
  <c r="AG285" i="60"/>
  <c r="AF285" i="60"/>
  <c r="AD285" i="60"/>
  <c r="AA285" i="60"/>
  <c r="Z285" i="60"/>
  <c r="S285" i="60"/>
  <c r="Q285" i="60"/>
  <c r="L285" i="60"/>
  <c r="AJ284" i="60"/>
  <c r="AI284" i="60"/>
  <c r="AG284" i="60"/>
  <c r="AF284" i="60"/>
  <c r="AD284" i="60"/>
  <c r="AC284" i="60"/>
  <c r="AA284" i="60"/>
  <c r="Z284" i="60"/>
  <c r="O284" i="60"/>
  <c r="AJ283" i="60"/>
  <c r="AI283" i="60"/>
  <c r="AG283" i="60"/>
  <c r="AF283" i="60"/>
  <c r="AD283" i="60"/>
  <c r="AC283" i="60"/>
  <c r="AA283" i="60"/>
  <c r="Z283" i="60"/>
  <c r="O283" i="60"/>
  <c r="AJ282" i="60"/>
  <c r="AI282" i="60"/>
  <c r="AG282" i="60"/>
  <c r="AF282" i="60"/>
  <c r="AD282" i="60"/>
  <c r="AC282" i="60"/>
  <c r="AA282" i="60"/>
  <c r="Z282" i="60"/>
  <c r="O282" i="60"/>
  <c r="AJ281" i="60"/>
  <c r="AI281" i="60"/>
  <c r="AG281" i="60"/>
  <c r="AF281" i="60"/>
  <c r="AD281" i="60"/>
  <c r="AC281" i="60"/>
  <c r="AA281" i="60"/>
  <c r="Z281" i="60"/>
  <c r="O281" i="60"/>
  <c r="BS280" i="60"/>
  <c r="AI280" i="60" s="1"/>
  <c r="AJ280" i="60"/>
  <c r="AG280" i="60"/>
  <c r="AF280" i="60"/>
  <c r="AD280" i="60"/>
  <c r="AC280" i="60"/>
  <c r="AA280" i="60"/>
  <c r="Z280" i="60"/>
  <c r="S280" i="60"/>
  <c r="Q280" i="60"/>
  <c r="L280" i="60"/>
  <c r="O280" i="60" s="1"/>
  <c r="AJ279" i="60"/>
  <c r="AI279" i="60"/>
  <c r="AG279" i="60"/>
  <c r="AF279" i="60"/>
  <c r="AD279" i="60"/>
  <c r="AC279" i="60"/>
  <c r="AA279" i="60"/>
  <c r="Z279" i="60"/>
  <c r="O279" i="60"/>
  <c r="AJ278" i="60"/>
  <c r="AI278" i="60"/>
  <c r="AG278" i="60"/>
  <c r="AF278" i="60"/>
  <c r="AD278" i="60"/>
  <c r="AC278" i="60"/>
  <c r="AA278" i="60"/>
  <c r="Z278" i="60"/>
  <c r="O278" i="60"/>
  <c r="BT277" i="60"/>
  <c r="BR277" i="60"/>
  <c r="BQ277" i="60"/>
  <c r="BP277" i="60"/>
  <c r="BO277" i="60"/>
  <c r="BN277" i="60"/>
  <c r="BM277" i="60"/>
  <c r="BL277" i="60"/>
  <c r="BK277" i="60"/>
  <c r="BJ277" i="60"/>
  <c r="BI277" i="60"/>
  <c r="BH277" i="60"/>
  <c r="BG277" i="60"/>
  <c r="BF277" i="60"/>
  <c r="BD277" i="60"/>
  <c r="BB277" i="60"/>
  <c r="BA277" i="60"/>
  <c r="AZ277" i="60"/>
  <c r="AY277" i="60"/>
  <c r="AX277" i="60"/>
  <c r="AW277" i="60"/>
  <c r="N277" i="60"/>
  <c r="M277" i="60"/>
  <c r="AF276" i="60"/>
  <c r="AJ276" i="60"/>
  <c r="AI276" i="60"/>
  <c r="AG276" i="60"/>
  <c r="AD276" i="60"/>
  <c r="AC276" i="60"/>
  <c r="AA276" i="60"/>
  <c r="Z276" i="60"/>
  <c r="S276" i="60"/>
  <c r="S275" i="60" s="1"/>
  <c r="Q276" i="60"/>
  <c r="Q275" i="60" s="1"/>
  <c r="L276" i="60"/>
  <c r="L275" i="60" s="1"/>
  <c r="BT275" i="60"/>
  <c r="BS275" i="60"/>
  <c r="BR275" i="60"/>
  <c r="BQ275" i="60"/>
  <c r="BP275" i="60"/>
  <c r="BO275" i="60"/>
  <c r="BN275" i="60"/>
  <c r="BL275" i="60"/>
  <c r="BK275" i="60"/>
  <c r="BJ275" i="60"/>
  <c r="BI275" i="60"/>
  <c r="BH275" i="60"/>
  <c r="BG275" i="60"/>
  <c r="BF275" i="60"/>
  <c r="BE275" i="60"/>
  <c r="BD275" i="60"/>
  <c r="BC275" i="60"/>
  <c r="BB275" i="60"/>
  <c r="BA275" i="60"/>
  <c r="AZ275" i="60"/>
  <c r="AY275" i="60"/>
  <c r="AX275" i="60"/>
  <c r="AW275" i="60"/>
  <c r="AC274" i="60"/>
  <c r="AJ274" i="60"/>
  <c r="AI274" i="60"/>
  <c r="AG274" i="60"/>
  <c r="AF274" i="60"/>
  <c r="AD274" i="60"/>
  <c r="AA274" i="60"/>
  <c r="Z274" i="60"/>
  <c r="O274" i="60"/>
  <c r="BT273" i="60"/>
  <c r="BS273" i="60"/>
  <c r="BR273" i="60"/>
  <c r="BQ273" i="60"/>
  <c r="BP273" i="60"/>
  <c r="BO273" i="60"/>
  <c r="BN273" i="60"/>
  <c r="BM273" i="60"/>
  <c r="BL273" i="60"/>
  <c r="BK273" i="60"/>
  <c r="BJ273" i="60"/>
  <c r="BI273" i="60"/>
  <c r="BH273" i="60"/>
  <c r="BG273" i="60"/>
  <c r="BF273" i="60"/>
  <c r="BE273" i="60"/>
  <c r="BD273" i="60"/>
  <c r="BC273" i="60"/>
  <c r="BB273" i="60"/>
  <c r="BA273" i="60"/>
  <c r="AZ273" i="60"/>
  <c r="AY273" i="60"/>
  <c r="AX273" i="60"/>
  <c r="AW273" i="60"/>
  <c r="S273" i="60"/>
  <c r="Q273" i="60"/>
  <c r="N273" i="60"/>
  <c r="L273" i="60"/>
  <c r="AJ272" i="60"/>
  <c r="AI272" i="60"/>
  <c r="AG272" i="60"/>
  <c r="AF272" i="60"/>
  <c r="AD272" i="60"/>
  <c r="AC272" i="60"/>
  <c r="AA272" i="60"/>
  <c r="Z272" i="60"/>
  <c r="O272" i="60"/>
  <c r="BS271" i="60"/>
  <c r="BR271" i="60"/>
  <c r="BQ271" i="60"/>
  <c r="BP271" i="60"/>
  <c r="BO271" i="60"/>
  <c r="BN271" i="60"/>
  <c r="BM271" i="60"/>
  <c r="BL271" i="60"/>
  <c r="BK271" i="60"/>
  <c r="BJ271" i="60"/>
  <c r="BI271" i="60"/>
  <c r="BH271" i="60"/>
  <c r="BG271" i="60"/>
  <c r="BF271" i="60"/>
  <c r="BE271" i="60"/>
  <c r="BD271" i="60"/>
  <c r="BC271" i="60"/>
  <c r="BB271" i="60"/>
  <c r="BA271" i="60"/>
  <c r="AZ271" i="60"/>
  <c r="AY271" i="60"/>
  <c r="AX271" i="60"/>
  <c r="AW271" i="60"/>
  <c r="X271" i="60"/>
  <c r="S271" i="60"/>
  <c r="R271" i="60"/>
  <c r="Q271" i="60"/>
  <c r="L271" i="60"/>
  <c r="BE270" i="60"/>
  <c r="AC270" i="60" s="1"/>
  <c r="AJ270" i="60"/>
  <c r="AI270" i="60"/>
  <c r="AG270" i="60"/>
  <c r="AF270" i="60"/>
  <c r="AD270" i="60"/>
  <c r="AA270" i="60"/>
  <c r="Z270" i="60"/>
  <c r="O270" i="60"/>
  <c r="AJ269" i="60"/>
  <c r="AI269" i="60"/>
  <c r="AG269" i="60"/>
  <c r="AF269" i="60"/>
  <c r="AD269" i="60"/>
  <c r="AC269" i="60"/>
  <c r="AA269" i="60"/>
  <c r="Z269" i="60"/>
  <c r="O269" i="60"/>
  <c r="AJ268" i="60"/>
  <c r="AI268" i="60"/>
  <c r="AG268" i="60"/>
  <c r="AF268" i="60"/>
  <c r="AD268" i="60"/>
  <c r="AC268" i="60"/>
  <c r="AA268" i="60"/>
  <c r="Z268" i="60"/>
  <c r="O268" i="60"/>
  <c r="AJ267" i="60"/>
  <c r="AI267" i="60"/>
  <c r="AG267" i="60"/>
  <c r="AF267" i="60"/>
  <c r="AD267" i="60"/>
  <c r="AC267" i="60"/>
  <c r="AA267" i="60"/>
  <c r="Z267" i="60"/>
  <c r="O267" i="60"/>
  <c r="AJ266" i="60"/>
  <c r="AI266" i="60"/>
  <c r="AG266" i="60"/>
  <c r="AF266" i="60"/>
  <c r="AD266" i="60"/>
  <c r="AC266" i="60"/>
  <c r="AA266" i="60"/>
  <c r="Z266" i="60"/>
  <c r="L266" i="60"/>
  <c r="BS265" i="60"/>
  <c r="BR265" i="60"/>
  <c r="BQ265" i="60"/>
  <c r="BP265" i="60"/>
  <c r="BO265" i="60"/>
  <c r="BN265" i="60"/>
  <c r="BM265" i="60"/>
  <c r="BL265" i="60"/>
  <c r="BK265" i="60"/>
  <c r="BJ265" i="60"/>
  <c r="BI265" i="60"/>
  <c r="BH265" i="60"/>
  <c r="BG265" i="60"/>
  <c r="BF265" i="60"/>
  <c r="BD265" i="60"/>
  <c r="BC265" i="60"/>
  <c r="BB265" i="60"/>
  <c r="BA265" i="60"/>
  <c r="AZ265" i="60"/>
  <c r="AY265" i="60"/>
  <c r="AX265" i="60"/>
  <c r="AW265" i="60"/>
  <c r="S265" i="60"/>
  <c r="R265" i="60"/>
  <c r="Q265" i="60"/>
  <c r="N265" i="60"/>
  <c r="M265" i="60"/>
  <c r="AJ264" i="60"/>
  <c r="AI264" i="60"/>
  <c r="AG264" i="60"/>
  <c r="AF264" i="60"/>
  <c r="AD264" i="60"/>
  <c r="AC264" i="60"/>
  <c r="AA264" i="60"/>
  <c r="Z264" i="60"/>
  <c r="O264" i="60"/>
  <c r="BT263" i="60"/>
  <c r="BS263" i="60"/>
  <c r="BR263" i="60"/>
  <c r="BQ263" i="60"/>
  <c r="BP263" i="60"/>
  <c r="BO263" i="60"/>
  <c r="BN263" i="60"/>
  <c r="BM263" i="60"/>
  <c r="BL263" i="60"/>
  <c r="BK263" i="60"/>
  <c r="BJ263" i="60"/>
  <c r="BI263" i="60"/>
  <c r="BH263" i="60"/>
  <c r="BG263" i="60"/>
  <c r="BF263" i="60"/>
  <c r="BE263" i="60"/>
  <c r="BD263" i="60"/>
  <c r="BC263" i="60"/>
  <c r="BB263" i="60"/>
  <c r="BA263" i="60"/>
  <c r="AZ263" i="60"/>
  <c r="AY263" i="60"/>
  <c r="AX263" i="60"/>
  <c r="AW263" i="60"/>
  <c r="S263" i="60"/>
  <c r="Q263" i="60"/>
  <c r="L263" i="60"/>
  <c r="AJ262" i="60"/>
  <c r="AI262" i="60"/>
  <c r="AG262" i="60"/>
  <c r="AF262" i="60"/>
  <c r="AD262" i="60"/>
  <c r="AC262" i="60"/>
  <c r="AA262" i="60"/>
  <c r="Z262" i="60"/>
  <c r="O262" i="60"/>
  <c r="AJ261" i="60"/>
  <c r="AI261" i="60"/>
  <c r="AG261" i="60"/>
  <c r="AF261" i="60"/>
  <c r="AD261" i="60"/>
  <c r="AC261" i="60"/>
  <c r="AA261" i="60"/>
  <c r="Z261" i="60"/>
  <c r="O261" i="60"/>
  <c r="BT260" i="60"/>
  <c r="BS260" i="60"/>
  <c r="BR260" i="60"/>
  <c r="BQ260" i="60"/>
  <c r="BP260" i="60"/>
  <c r="AJ300" i="60" s="1"/>
  <c r="BO260" i="60"/>
  <c r="BN260" i="60"/>
  <c r="BM260" i="60"/>
  <c r="BL260" i="60"/>
  <c r="BK260" i="60"/>
  <c r="BJ260" i="60"/>
  <c r="BI260" i="60"/>
  <c r="BH260" i="60"/>
  <c r="BG260" i="60"/>
  <c r="BF260" i="60"/>
  <c r="BE260" i="60"/>
  <c r="BD260" i="60"/>
  <c r="AD300" i="60" s="1"/>
  <c r="BC260" i="60"/>
  <c r="AC300" i="60" s="1"/>
  <c r="BB260" i="60"/>
  <c r="BA260" i="60"/>
  <c r="AZ260" i="60"/>
  <c r="AY260" i="60"/>
  <c r="AX260" i="60"/>
  <c r="AA300" i="60" s="1"/>
  <c r="AW260" i="60"/>
  <c r="S260" i="60"/>
  <c r="Q260" i="60"/>
  <c r="L260" i="60"/>
  <c r="BS259" i="60"/>
  <c r="AJ259" i="60"/>
  <c r="AI259" i="60"/>
  <c r="AG259" i="60"/>
  <c r="AF259" i="60"/>
  <c r="AD259" i="60"/>
  <c r="AC259" i="60"/>
  <c r="AA259" i="60"/>
  <c r="Z259" i="60"/>
  <c r="L259" i="60"/>
  <c r="BS258" i="60"/>
  <c r="AI258" i="60" s="1"/>
  <c r="AJ258" i="60"/>
  <c r="AG258" i="60"/>
  <c r="AF258" i="60"/>
  <c r="AD258" i="60"/>
  <c r="AC258" i="60"/>
  <c r="AA258" i="60"/>
  <c r="Z258" i="60"/>
  <c r="L258" i="60"/>
  <c r="BT257" i="60"/>
  <c r="BR257" i="60"/>
  <c r="BQ257" i="60"/>
  <c r="BP257" i="60"/>
  <c r="BO257" i="60"/>
  <c r="BN257" i="60"/>
  <c r="BM257" i="60"/>
  <c r="BL257" i="60"/>
  <c r="BK257" i="60"/>
  <c r="BJ257" i="60"/>
  <c r="BI257" i="60"/>
  <c r="BH257" i="60"/>
  <c r="BG257" i="60"/>
  <c r="BF257" i="60"/>
  <c r="BE257" i="60"/>
  <c r="BD257" i="60"/>
  <c r="BC257" i="60"/>
  <c r="BB257" i="60"/>
  <c r="BA257" i="60"/>
  <c r="AZ257" i="60"/>
  <c r="AY257" i="60"/>
  <c r="AX257" i="60"/>
  <c r="AW257" i="60"/>
  <c r="S257" i="60"/>
  <c r="Q257" i="60"/>
  <c r="M257" i="60"/>
  <c r="BS256" i="60"/>
  <c r="AJ256" i="60"/>
  <c r="AG256" i="60"/>
  <c r="AF256" i="60"/>
  <c r="AD256" i="60"/>
  <c r="AC256" i="60"/>
  <c r="AA256" i="60"/>
  <c r="Z256" i="60"/>
  <c r="O256" i="60"/>
  <c r="AJ255" i="60"/>
  <c r="AI255" i="60"/>
  <c r="AG255" i="60"/>
  <c r="AF255" i="60"/>
  <c r="AD255" i="60"/>
  <c r="AC255" i="60"/>
  <c r="AA255" i="60"/>
  <c r="Z255" i="60"/>
  <c r="O255" i="60"/>
  <c r="AJ254" i="60"/>
  <c r="AI254" i="60"/>
  <c r="AG254" i="60"/>
  <c r="AF254" i="60"/>
  <c r="AD254" i="60"/>
  <c r="AC254" i="60"/>
  <c r="AA254" i="60"/>
  <c r="Z254" i="60"/>
  <c r="O254" i="60"/>
  <c r="AI253" i="60"/>
  <c r="AF253" i="60"/>
  <c r="BE252" i="60"/>
  <c r="BC253" i="60"/>
  <c r="BC252" i="60" s="1"/>
  <c r="AJ253" i="60"/>
  <c r="AG253" i="60"/>
  <c r="AD253" i="60"/>
  <c r="AA253" i="60"/>
  <c r="Z253" i="60"/>
  <c r="O253" i="60"/>
  <c r="BT252" i="60"/>
  <c r="BR252" i="60"/>
  <c r="BQ252" i="60"/>
  <c r="BP252" i="60"/>
  <c r="BO252" i="60"/>
  <c r="BN252" i="60"/>
  <c r="BM252" i="60"/>
  <c r="BL252" i="60"/>
  <c r="BJ252" i="60"/>
  <c r="BI252" i="60"/>
  <c r="BH252" i="60"/>
  <c r="BG252" i="60"/>
  <c r="BF252" i="60"/>
  <c r="BD252" i="60"/>
  <c r="BB252" i="60"/>
  <c r="BA252" i="60"/>
  <c r="AZ252" i="60"/>
  <c r="AY252" i="60"/>
  <c r="AX252" i="60"/>
  <c r="AW252" i="60"/>
  <c r="S252" i="60"/>
  <c r="Q252" i="60"/>
  <c r="L252" i="60"/>
  <c r="AJ251" i="60"/>
  <c r="AI251" i="60"/>
  <c r="AG251" i="60"/>
  <c r="AF251" i="60"/>
  <c r="AD251" i="60"/>
  <c r="AC251" i="60"/>
  <c r="AA251" i="60"/>
  <c r="Z251" i="60"/>
  <c r="O251" i="60"/>
  <c r="BS250" i="60"/>
  <c r="AI250" i="60" s="1"/>
  <c r="AJ250" i="60"/>
  <c r="AG250" i="60"/>
  <c r="AF250" i="60"/>
  <c r="AD250" i="60"/>
  <c r="AC250" i="60"/>
  <c r="AA250" i="60"/>
  <c r="Z250" i="60"/>
  <c r="L250" i="60"/>
  <c r="O250" i="60" s="1"/>
  <c r="AJ249" i="60"/>
  <c r="AI249" i="60"/>
  <c r="AG249" i="60"/>
  <c r="AF249" i="60"/>
  <c r="AD249" i="60"/>
  <c r="AC249" i="60"/>
  <c r="AA249" i="60"/>
  <c r="Z249" i="60"/>
  <c r="O249" i="60"/>
  <c r="AJ248" i="60"/>
  <c r="AI248" i="60"/>
  <c r="AG248" i="60"/>
  <c r="AF248" i="60"/>
  <c r="AD248" i="60"/>
  <c r="AC248" i="60"/>
  <c r="AA248" i="60"/>
  <c r="Z248" i="60"/>
  <c r="L248" i="60"/>
  <c r="O248" i="60" s="1"/>
  <c r="AC247" i="60"/>
  <c r="AJ247" i="60"/>
  <c r="AI247" i="60"/>
  <c r="AG247" i="60"/>
  <c r="AF247" i="60"/>
  <c r="AD247" i="60"/>
  <c r="AA247" i="60"/>
  <c r="Z247" i="60"/>
  <c r="O247" i="60"/>
  <c r="BT246" i="60"/>
  <c r="BS246" i="60"/>
  <c r="BR246" i="60"/>
  <c r="BQ246" i="60"/>
  <c r="BP246" i="60"/>
  <c r="BO246" i="60"/>
  <c r="BN246" i="60"/>
  <c r="BM246" i="60"/>
  <c r="BL246" i="60"/>
  <c r="BK246" i="60"/>
  <c r="BJ246" i="60"/>
  <c r="BI246" i="60"/>
  <c r="BH246" i="60"/>
  <c r="BG246" i="60"/>
  <c r="BF246" i="60"/>
  <c r="BD246" i="60"/>
  <c r="BC246" i="60"/>
  <c r="BB246" i="60"/>
  <c r="BA246" i="60"/>
  <c r="AZ246" i="60"/>
  <c r="AY246" i="60"/>
  <c r="AX246" i="60"/>
  <c r="AW246" i="60"/>
  <c r="S246" i="60"/>
  <c r="Q246" i="60"/>
  <c r="N246" i="60"/>
  <c r="L246" i="60"/>
  <c r="AJ245" i="60"/>
  <c r="AI245" i="60"/>
  <c r="AG245" i="60"/>
  <c r="AF245" i="60"/>
  <c r="AD245" i="60"/>
  <c r="AC245" i="60"/>
  <c r="AA245" i="60"/>
  <c r="Z245" i="60"/>
  <c r="L245" i="60"/>
  <c r="L244" i="60" s="1"/>
  <c r="BT244" i="60"/>
  <c r="BS244" i="60"/>
  <c r="BR244" i="60"/>
  <c r="BQ244" i="60"/>
  <c r="BP244" i="60"/>
  <c r="BO244" i="60"/>
  <c r="BN244" i="60"/>
  <c r="BM244" i="60"/>
  <c r="BL244" i="60"/>
  <c r="BK244" i="60"/>
  <c r="BJ244" i="60"/>
  <c r="BI244" i="60"/>
  <c r="BH244" i="60"/>
  <c r="BG244" i="60"/>
  <c r="BF244" i="60"/>
  <c r="BE244" i="60"/>
  <c r="BD244" i="60"/>
  <c r="BC244" i="60"/>
  <c r="BB244" i="60"/>
  <c r="BA244" i="60"/>
  <c r="AZ244" i="60"/>
  <c r="AY244" i="60"/>
  <c r="AX244" i="60"/>
  <c r="AW244" i="60"/>
  <c r="S244" i="60"/>
  <c r="Q244" i="60"/>
  <c r="AJ243" i="60"/>
  <c r="AI243" i="60"/>
  <c r="AG243" i="60"/>
  <c r="AF243" i="60"/>
  <c r="AD243" i="60"/>
  <c r="AC243" i="60"/>
  <c r="AA243" i="60"/>
  <c r="Z243" i="60"/>
  <c r="L243" i="60"/>
  <c r="P12" i="60" s="1"/>
  <c r="AT242" i="60"/>
  <c r="AS242" i="60"/>
  <c r="AV242" i="60" s="1"/>
  <c r="AR242" i="60"/>
  <c r="AJ239" i="60"/>
  <c r="AI239" i="60"/>
  <c r="AG239" i="60"/>
  <c r="AF239" i="60"/>
  <c r="AD239" i="60"/>
  <c r="AC239" i="60"/>
  <c r="AA239" i="60"/>
  <c r="Z239" i="60"/>
  <c r="AJ217" i="60"/>
  <c r="AI217" i="60"/>
  <c r="AG217" i="60"/>
  <c r="AF217" i="60"/>
  <c r="AD217" i="60"/>
  <c r="AC217" i="60"/>
  <c r="AA217" i="60"/>
  <c r="Z217" i="60"/>
  <c r="O217" i="60"/>
  <c r="BT216" i="60"/>
  <c r="BS216" i="60"/>
  <c r="BR216" i="60"/>
  <c r="BQ216" i="60"/>
  <c r="BP216" i="60"/>
  <c r="BO216" i="60"/>
  <c r="BN216" i="60"/>
  <c r="BM216" i="60"/>
  <c r="BL216" i="60"/>
  <c r="BK216" i="60"/>
  <c r="BJ216" i="60"/>
  <c r="BI216" i="60"/>
  <c r="BH216" i="60"/>
  <c r="BG216" i="60"/>
  <c r="BF216" i="60"/>
  <c r="BE216" i="60"/>
  <c r="BD216" i="60"/>
  <c r="BC216" i="60"/>
  <c r="BB216" i="60"/>
  <c r="BA216" i="60"/>
  <c r="AZ216" i="60"/>
  <c r="AY216" i="60"/>
  <c r="AX216" i="60"/>
  <c r="AW216" i="60"/>
  <c r="O216" i="60"/>
  <c r="AV215" i="60"/>
  <c r="X213" i="60"/>
  <c r="AJ212" i="60"/>
  <c r="AI212" i="60"/>
  <c r="AG212" i="60"/>
  <c r="AF212" i="60"/>
  <c r="AD212" i="60"/>
  <c r="AC212" i="60"/>
  <c r="AA212" i="60"/>
  <c r="Z212" i="60"/>
  <c r="AJ210" i="60"/>
  <c r="AI210" i="60"/>
  <c r="AG210" i="60"/>
  <c r="AF210" i="60"/>
  <c r="AD210" i="60"/>
  <c r="AC210" i="60"/>
  <c r="AA210" i="60"/>
  <c r="Z210" i="60"/>
  <c r="O210" i="60"/>
  <c r="BT209" i="60"/>
  <c r="BS209" i="60"/>
  <c r="BR209" i="60"/>
  <c r="BQ209" i="60"/>
  <c r="BP209" i="60"/>
  <c r="BO209" i="60"/>
  <c r="BN209" i="60"/>
  <c r="BM209" i="60"/>
  <c r="BL209" i="60"/>
  <c r="BK209" i="60"/>
  <c r="BJ209" i="60"/>
  <c r="BI209" i="60"/>
  <c r="BH209" i="60"/>
  <c r="BG209" i="60"/>
  <c r="BF209" i="60"/>
  <c r="BE209" i="60"/>
  <c r="BD209" i="60"/>
  <c r="BC209" i="60"/>
  <c r="BB209" i="60"/>
  <c r="BA209" i="60"/>
  <c r="AZ209" i="60"/>
  <c r="AY209" i="60"/>
  <c r="AX209" i="60"/>
  <c r="AW209" i="60"/>
  <c r="L209" i="60"/>
  <c r="AJ208" i="60"/>
  <c r="AI208" i="60"/>
  <c r="AG208" i="60"/>
  <c r="AF208" i="60"/>
  <c r="AD208" i="60"/>
  <c r="AC208" i="60"/>
  <c r="AA208" i="60"/>
  <c r="Z208" i="60"/>
  <c r="BT207" i="60"/>
  <c r="BS207" i="60"/>
  <c r="BR207" i="60"/>
  <c r="BQ207" i="60"/>
  <c r="BP207" i="60"/>
  <c r="BO207" i="60"/>
  <c r="BN207" i="60"/>
  <c r="BM207" i="60"/>
  <c r="BL207" i="60"/>
  <c r="BK207" i="60"/>
  <c r="BJ207" i="60"/>
  <c r="BI207" i="60"/>
  <c r="BH207" i="60"/>
  <c r="BG207" i="60"/>
  <c r="BF207" i="60"/>
  <c r="BE207" i="60"/>
  <c r="BD207" i="60"/>
  <c r="BC207" i="60"/>
  <c r="BB207" i="60"/>
  <c r="BA207" i="60"/>
  <c r="AZ207" i="60"/>
  <c r="AY207" i="60"/>
  <c r="AX207" i="60"/>
  <c r="AW207" i="60"/>
  <c r="L207" i="60"/>
  <c r="AJ206" i="60"/>
  <c r="AI206" i="60"/>
  <c r="AG206" i="60"/>
  <c r="AF206" i="60"/>
  <c r="AD206" i="60"/>
  <c r="AC206" i="60"/>
  <c r="AA206" i="60"/>
  <c r="Z206" i="60"/>
  <c r="BT205" i="60"/>
  <c r="BS205" i="60"/>
  <c r="BR205" i="60"/>
  <c r="BQ205" i="60"/>
  <c r="BP205" i="60"/>
  <c r="BO205" i="60"/>
  <c r="BN205" i="60"/>
  <c r="BM205" i="60"/>
  <c r="BL205" i="60"/>
  <c r="BK205" i="60"/>
  <c r="BJ205" i="60"/>
  <c r="BI205" i="60"/>
  <c r="BH205" i="60"/>
  <c r="BG205" i="60"/>
  <c r="BF205" i="60"/>
  <c r="BE205" i="60"/>
  <c r="BD205" i="60"/>
  <c r="BC205" i="60"/>
  <c r="BB205" i="60"/>
  <c r="BA205" i="60"/>
  <c r="AZ205" i="60"/>
  <c r="AY205" i="60"/>
  <c r="AX205" i="60"/>
  <c r="AW205" i="60"/>
  <c r="N205" i="60"/>
  <c r="L205" i="60"/>
  <c r="AJ204" i="60"/>
  <c r="AI204" i="60"/>
  <c r="AG204" i="60"/>
  <c r="AF204" i="60"/>
  <c r="AD204" i="60"/>
  <c r="AC204" i="60"/>
  <c r="AA204" i="60"/>
  <c r="Z204" i="60"/>
  <c r="P204" i="60"/>
  <c r="O204" i="60"/>
  <c r="AJ202" i="60"/>
  <c r="AI202" i="60"/>
  <c r="AG202" i="60"/>
  <c r="AF202" i="60"/>
  <c r="AD202" i="60"/>
  <c r="AC202" i="60"/>
  <c r="AA202" i="60"/>
  <c r="Z202" i="60"/>
  <c r="L202" i="60"/>
  <c r="O202" i="60" s="1"/>
  <c r="AJ201" i="60"/>
  <c r="AI201" i="60"/>
  <c r="AG201" i="60"/>
  <c r="AF201" i="60"/>
  <c r="AD201" i="60"/>
  <c r="AC201" i="60"/>
  <c r="AA201" i="60"/>
  <c r="Z201" i="60"/>
  <c r="O201" i="60"/>
  <c r="AJ200" i="60"/>
  <c r="AI200" i="60"/>
  <c r="AG200" i="60"/>
  <c r="AF200" i="60"/>
  <c r="AD200" i="60"/>
  <c r="AC200" i="60"/>
  <c r="AA200" i="60"/>
  <c r="Z200" i="60"/>
  <c r="O200" i="60"/>
  <c r="BC199" i="60"/>
  <c r="AC199" i="60" s="1"/>
  <c r="AJ199" i="60"/>
  <c r="AI199" i="60"/>
  <c r="AG199" i="60"/>
  <c r="AF199" i="60"/>
  <c r="AD199" i="60"/>
  <c r="AA199" i="60"/>
  <c r="Z199" i="60"/>
  <c r="L199" i="60"/>
  <c r="L198" i="60" s="1"/>
  <c r="BT198" i="60"/>
  <c r="BS198" i="60"/>
  <c r="BR198" i="60"/>
  <c r="BQ198" i="60"/>
  <c r="BP198" i="60"/>
  <c r="BO198" i="60"/>
  <c r="BN198" i="60"/>
  <c r="BM198" i="60"/>
  <c r="BL198" i="60"/>
  <c r="BK198" i="60"/>
  <c r="BJ198" i="60"/>
  <c r="BI198" i="60"/>
  <c r="BH198" i="60"/>
  <c r="BG198" i="60"/>
  <c r="BF198" i="60"/>
  <c r="BE198" i="60"/>
  <c r="BD198" i="60"/>
  <c r="BB198" i="60"/>
  <c r="BA198" i="60"/>
  <c r="AZ198" i="60"/>
  <c r="AY198" i="60"/>
  <c r="AX198" i="60"/>
  <c r="AW198" i="60"/>
  <c r="S198" i="60"/>
  <c r="R198" i="60"/>
  <c r="Q198" i="60"/>
  <c r="N198" i="60"/>
  <c r="AJ197" i="60"/>
  <c r="AI197" i="60"/>
  <c r="AG197" i="60"/>
  <c r="AF197" i="60"/>
  <c r="AD197" i="60"/>
  <c r="AC197" i="60"/>
  <c r="AA197" i="60"/>
  <c r="Z197" i="60"/>
  <c r="O197" i="60"/>
  <c r="AJ196" i="60"/>
  <c r="AI196" i="60"/>
  <c r="AG196" i="60"/>
  <c r="AF196" i="60"/>
  <c r="AD196" i="60"/>
  <c r="AC196" i="60"/>
  <c r="AA196" i="60"/>
  <c r="Z196" i="60"/>
  <c r="O196" i="60"/>
  <c r="BT195" i="60"/>
  <c r="BS195" i="60"/>
  <c r="BR195" i="60"/>
  <c r="BQ195" i="60"/>
  <c r="BP195" i="60"/>
  <c r="BO195" i="60"/>
  <c r="BN195" i="60"/>
  <c r="BM195" i="60"/>
  <c r="BL195" i="60"/>
  <c r="BK195" i="60"/>
  <c r="BJ195" i="60"/>
  <c r="BI195" i="60"/>
  <c r="BH195" i="60"/>
  <c r="BG195" i="60"/>
  <c r="BF195" i="60"/>
  <c r="BE195" i="60"/>
  <c r="BD195" i="60"/>
  <c r="BC195" i="60"/>
  <c r="BB195" i="60"/>
  <c r="BA195" i="60"/>
  <c r="AZ195" i="60"/>
  <c r="AY195" i="60"/>
  <c r="AX195" i="60"/>
  <c r="AW195" i="60"/>
  <c r="O195" i="60"/>
  <c r="AJ194" i="60"/>
  <c r="AI194" i="60"/>
  <c r="AG194" i="60"/>
  <c r="AF194" i="60"/>
  <c r="AD194" i="60"/>
  <c r="AC194" i="60"/>
  <c r="AA194" i="60"/>
  <c r="Z194" i="60"/>
  <c r="O194" i="60"/>
  <c r="AJ187" i="60"/>
  <c r="AI187" i="60"/>
  <c r="AG187" i="60"/>
  <c r="AF187" i="60"/>
  <c r="AD187" i="60"/>
  <c r="AC187" i="60"/>
  <c r="AA187" i="60"/>
  <c r="Z187" i="60"/>
  <c r="O187" i="60"/>
  <c r="BT186" i="60"/>
  <c r="BS186" i="60"/>
  <c r="BR186" i="60"/>
  <c r="BQ186" i="60"/>
  <c r="BP186" i="60"/>
  <c r="BO186" i="60"/>
  <c r="BN186" i="60"/>
  <c r="BM186" i="60"/>
  <c r="BL186" i="60"/>
  <c r="BK186" i="60"/>
  <c r="BJ186" i="60"/>
  <c r="BI186" i="60"/>
  <c r="BH186" i="60"/>
  <c r="BG186" i="60"/>
  <c r="BF186" i="60"/>
  <c r="BE186" i="60"/>
  <c r="BD186" i="60"/>
  <c r="BC186" i="60"/>
  <c r="BB186" i="60"/>
  <c r="BA186" i="60"/>
  <c r="AZ186" i="60"/>
  <c r="AY186" i="60"/>
  <c r="AX186" i="60"/>
  <c r="AW186" i="60"/>
  <c r="O186" i="60"/>
  <c r="AJ185" i="60"/>
  <c r="AI185" i="60"/>
  <c r="AG185" i="60"/>
  <c r="AF185" i="60"/>
  <c r="AD185" i="60"/>
  <c r="AC185" i="60"/>
  <c r="AA185" i="60"/>
  <c r="Z185" i="60"/>
  <c r="O185" i="60"/>
  <c r="AJ179" i="60"/>
  <c r="AI179" i="60"/>
  <c r="AG179" i="60"/>
  <c r="AF179" i="60"/>
  <c r="AD179" i="60"/>
  <c r="AC179" i="60"/>
  <c r="AA179" i="60"/>
  <c r="Z179" i="60"/>
  <c r="O179" i="60"/>
  <c r="BT178" i="60"/>
  <c r="BS178" i="60"/>
  <c r="BR178" i="60"/>
  <c r="BQ178" i="60"/>
  <c r="BP178" i="60"/>
  <c r="BO178" i="60"/>
  <c r="BN178" i="60"/>
  <c r="BM178" i="60"/>
  <c r="BL178" i="60"/>
  <c r="BK178" i="60"/>
  <c r="BJ178" i="60"/>
  <c r="BI178" i="60"/>
  <c r="BH178" i="60"/>
  <c r="BG178" i="60"/>
  <c r="BF178" i="60"/>
  <c r="BE178" i="60"/>
  <c r="BD178" i="60"/>
  <c r="BC178" i="60"/>
  <c r="BB178" i="60"/>
  <c r="BA178" i="60"/>
  <c r="AZ178" i="60"/>
  <c r="AY178" i="60"/>
  <c r="AX178" i="60"/>
  <c r="AW178" i="60"/>
  <c r="O178" i="60"/>
  <c r="AJ177" i="60"/>
  <c r="AI177" i="60"/>
  <c r="AG177" i="60"/>
  <c r="AF177" i="60"/>
  <c r="AD177" i="60"/>
  <c r="AC177" i="60"/>
  <c r="AA177" i="60"/>
  <c r="Z177" i="60"/>
  <c r="O177" i="60"/>
  <c r="AJ170" i="60"/>
  <c r="AI170" i="60"/>
  <c r="AG170" i="60"/>
  <c r="AF170" i="60"/>
  <c r="AD170" i="60"/>
  <c r="AC170" i="60"/>
  <c r="AA170" i="60"/>
  <c r="Z170" i="60"/>
  <c r="O170" i="60"/>
  <c r="AJ169" i="60"/>
  <c r="AI169" i="60"/>
  <c r="AG169" i="60"/>
  <c r="AF169" i="60"/>
  <c r="AD169" i="60"/>
  <c r="AC169" i="60"/>
  <c r="AA169" i="60"/>
  <c r="Z169" i="60"/>
  <c r="O169" i="60"/>
  <c r="AJ168" i="60"/>
  <c r="AI168" i="60"/>
  <c r="AG168" i="60"/>
  <c r="AF168" i="60"/>
  <c r="AD168" i="60"/>
  <c r="AC168" i="60"/>
  <c r="AA168" i="60"/>
  <c r="Z168" i="60"/>
  <c r="BT167" i="60"/>
  <c r="BS167" i="60"/>
  <c r="BR167" i="60"/>
  <c r="BQ167" i="60"/>
  <c r="BP167" i="60"/>
  <c r="BO167" i="60"/>
  <c r="BN167" i="60"/>
  <c r="BM167" i="60"/>
  <c r="BL167" i="60"/>
  <c r="BK167" i="60"/>
  <c r="BJ167" i="60"/>
  <c r="BI167" i="60"/>
  <c r="BH167" i="60"/>
  <c r="BG167" i="60"/>
  <c r="BF167" i="60"/>
  <c r="BE167" i="60"/>
  <c r="BD167" i="60"/>
  <c r="BC167" i="60"/>
  <c r="BB167" i="60"/>
  <c r="BA167" i="60"/>
  <c r="AZ167" i="60"/>
  <c r="AY167" i="60"/>
  <c r="AX167" i="60"/>
  <c r="AW167" i="60"/>
  <c r="O167" i="60"/>
  <c r="AJ166" i="60"/>
  <c r="AI166" i="60"/>
  <c r="AG166" i="60"/>
  <c r="AF166" i="60"/>
  <c r="AD166" i="60"/>
  <c r="AC166" i="60"/>
  <c r="AA166" i="60"/>
  <c r="Z166" i="60"/>
  <c r="O166" i="60"/>
  <c r="AJ164" i="60"/>
  <c r="AI164" i="60"/>
  <c r="AG164" i="60"/>
  <c r="AF164" i="60"/>
  <c r="AD164" i="60"/>
  <c r="AC164" i="60"/>
  <c r="AA164" i="60"/>
  <c r="Z164" i="60"/>
  <c r="O164" i="60"/>
  <c r="AJ163" i="60"/>
  <c r="AI163" i="60"/>
  <c r="AG163" i="60"/>
  <c r="AF163" i="60"/>
  <c r="AD163" i="60"/>
  <c r="AC163" i="60"/>
  <c r="AA163" i="60"/>
  <c r="Z163" i="60"/>
  <c r="O163" i="60"/>
  <c r="AJ162" i="60"/>
  <c r="AI162" i="60"/>
  <c r="AG162" i="60"/>
  <c r="AF162" i="60"/>
  <c r="AD162" i="60"/>
  <c r="AC162" i="60"/>
  <c r="AA162" i="60"/>
  <c r="Z162" i="60"/>
  <c r="O162" i="60"/>
  <c r="AJ161" i="60"/>
  <c r="AI161" i="60"/>
  <c r="AG161" i="60"/>
  <c r="AF161" i="60"/>
  <c r="AD161" i="60"/>
  <c r="AC161" i="60"/>
  <c r="AA161" i="60"/>
  <c r="Z161" i="60"/>
  <c r="O161" i="60"/>
  <c r="AJ158" i="60"/>
  <c r="AI158" i="60"/>
  <c r="AG158" i="60"/>
  <c r="AF158" i="60"/>
  <c r="AD158" i="60"/>
  <c r="AC158" i="60"/>
  <c r="AA158" i="60"/>
  <c r="Z158" i="60"/>
  <c r="O158" i="60"/>
  <c r="AJ157" i="60"/>
  <c r="AI157" i="60"/>
  <c r="AG157" i="60"/>
  <c r="AF157" i="60"/>
  <c r="AD157" i="60"/>
  <c r="AC157" i="60"/>
  <c r="AA157" i="60"/>
  <c r="Z157" i="60"/>
  <c r="O157" i="60"/>
  <c r="AJ156" i="60"/>
  <c r="AI156" i="60"/>
  <c r="AG156" i="60"/>
  <c r="AF156" i="60"/>
  <c r="AD156" i="60"/>
  <c r="AC156" i="60"/>
  <c r="AA156" i="60"/>
  <c r="Z156" i="60"/>
  <c r="O156" i="60"/>
  <c r="AJ155" i="60"/>
  <c r="AI155" i="60"/>
  <c r="AG155" i="60"/>
  <c r="AF155" i="60"/>
  <c r="AD155" i="60"/>
  <c r="AC155" i="60"/>
  <c r="AA155" i="60"/>
  <c r="Z155" i="60"/>
  <c r="O155" i="60"/>
  <c r="AJ154" i="60"/>
  <c r="AI154" i="60"/>
  <c r="AG154" i="60"/>
  <c r="AF154" i="60"/>
  <c r="AD154" i="60"/>
  <c r="AC154" i="60"/>
  <c r="AA154" i="60"/>
  <c r="Z154" i="60"/>
  <c r="O154" i="60"/>
  <c r="AJ153" i="60"/>
  <c r="AI153" i="60"/>
  <c r="AG153" i="60"/>
  <c r="AF153" i="60"/>
  <c r="AD153" i="60"/>
  <c r="AC153" i="60"/>
  <c r="AA153" i="60"/>
  <c r="Z153" i="60"/>
  <c r="O153" i="60"/>
  <c r="AJ152" i="60"/>
  <c r="AI152" i="60"/>
  <c r="AG152" i="60"/>
  <c r="AF152" i="60"/>
  <c r="AD152" i="60"/>
  <c r="AC152" i="60"/>
  <c r="AA152" i="60"/>
  <c r="Z152" i="60"/>
  <c r="O152" i="60"/>
  <c r="AJ151" i="60"/>
  <c r="AI151" i="60"/>
  <c r="AG151" i="60"/>
  <c r="AF151" i="60"/>
  <c r="AD151" i="60"/>
  <c r="AC151" i="60"/>
  <c r="AA151" i="60"/>
  <c r="Z151" i="60"/>
  <c r="O151" i="60"/>
  <c r="AJ150" i="60"/>
  <c r="AI150" i="60"/>
  <c r="AG150" i="60"/>
  <c r="AF150" i="60"/>
  <c r="AD150" i="60"/>
  <c r="AC150" i="60"/>
  <c r="AA150" i="60"/>
  <c r="Z150" i="60"/>
  <c r="O150" i="60"/>
  <c r="AJ149" i="60"/>
  <c r="AI149" i="60"/>
  <c r="AG149" i="60"/>
  <c r="AF149" i="60"/>
  <c r="AD149" i="60"/>
  <c r="AC149" i="60"/>
  <c r="AA149" i="60"/>
  <c r="Z149" i="60"/>
  <c r="L149" i="60"/>
  <c r="O149" i="60" s="1"/>
  <c r="BT148" i="60"/>
  <c r="BS148" i="60"/>
  <c r="BR148" i="60"/>
  <c r="BQ148" i="60"/>
  <c r="BP148" i="60"/>
  <c r="BO148" i="60"/>
  <c r="BN148" i="60"/>
  <c r="BM148" i="60"/>
  <c r="BL148" i="60"/>
  <c r="BK148" i="60"/>
  <c r="BJ148" i="60"/>
  <c r="BI148" i="60"/>
  <c r="BH148" i="60"/>
  <c r="BG148" i="60"/>
  <c r="BF148" i="60"/>
  <c r="BE148" i="60"/>
  <c r="BD148" i="60"/>
  <c r="BC148" i="60"/>
  <c r="BB148" i="60"/>
  <c r="BA148" i="60"/>
  <c r="AZ148" i="60"/>
  <c r="AY148" i="60"/>
  <c r="AX148" i="60"/>
  <c r="AW148" i="60"/>
  <c r="S148" i="60"/>
  <c r="S133" i="60" s="1"/>
  <c r="Q148" i="60"/>
  <c r="Q133" i="60" s="1"/>
  <c r="O148" i="60"/>
  <c r="AJ147" i="60"/>
  <c r="AI147" i="60"/>
  <c r="AG147" i="60"/>
  <c r="AF147" i="60"/>
  <c r="AD147" i="60"/>
  <c r="AC147" i="60"/>
  <c r="AA147" i="60"/>
  <c r="Z147" i="60"/>
  <c r="O147" i="60"/>
  <c r="AJ146" i="60"/>
  <c r="AI146" i="60"/>
  <c r="AG146" i="60"/>
  <c r="AF146" i="60"/>
  <c r="AD146" i="60"/>
  <c r="AC146" i="60"/>
  <c r="AA146" i="60"/>
  <c r="Z146" i="60"/>
  <c r="O146" i="60"/>
  <c r="AJ145" i="60"/>
  <c r="AI145" i="60"/>
  <c r="AG145" i="60"/>
  <c r="AF145" i="60"/>
  <c r="AD145" i="60"/>
  <c r="AC145" i="60"/>
  <c r="AA145" i="60"/>
  <c r="Z145" i="60"/>
  <c r="O145" i="60"/>
  <c r="AJ144" i="60"/>
  <c r="AI144" i="60"/>
  <c r="AG144" i="60"/>
  <c r="AF144" i="60"/>
  <c r="AD144" i="60"/>
  <c r="AC144" i="60"/>
  <c r="AA144" i="60"/>
  <c r="Z144" i="60"/>
  <c r="O144" i="60"/>
  <c r="AJ143" i="60"/>
  <c r="AI143" i="60"/>
  <c r="AG143" i="60"/>
  <c r="AF143" i="60"/>
  <c r="AD143" i="60"/>
  <c r="AC143" i="60"/>
  <c r="AA143" i="60"/>
  <c r="Z143" i="60"/>
  <c r="O143" i="60"/>
  <c r="AJ142" i="60"/>
  <c r="AI142" i="60"/>
  <c r="AG142" i="60"/>
  <c r="AF142" i="60"/>
  <c r="AD142" i="60"/>
  <c r="AC142" i="60"/>
  <c r="AA142" i="60"/>
  <c r="Z142" i="60"/>
  <c r="O142" i="60"/>
  <c r="AJ141" i="60"/>
  <c r="AI141" i="60"/>
  <c r="AG141" i="60"/>
  <c r="AF141" i="60"/>
  <c r="AD141" i="60"/>
  <c r="AC141" i="60"/>
  <c r="AA141" i="60"/>
  <c r="Z141" i="60"/>
  <c r="O141" i="60"/>
  <c r="AJ140" i="60"/>
  <c r="AI140" i="60"/>
  <c r="AG140" i="60"/>
  <c r="AF140" i="60"/>
  <c r="AD140" i="60"/>
  <c r="AC140" i="60"/>
  <c r="AA140" i="60"/>
  <c r="Z140" i="60"/>
  <c r="O140" i="60"/>
  <c r="AJ139" i="60"/>
  <c r="AI139" i="60"/>
  <c r="AG139" i="60"/>
  <c r="AF139" i="60"/>
  <c r="AD139" i="60"/>
  <c r="AC139" i="60"/>
  <c r="AA139" i="60"/>
  <c r="Z139" i="60"/>
  <c r="L139" i="60"/>
  <c r="L134" i="60" s="1"/>
  <c r="AJ138" i="60"/>
  <c r="AI138" i="60"/>
  <c r="AG138" i="60"/>
  <c r="AF138" i="60"/>
  <c r="AD138" i="60"/>
  <c r="AC138" i="60"/>
  <c r="AA138" i="60"/>
  <c r="Z138" i="60"/>
  <c r="O138" i="60"/>
  <c r="AJ137" i="60"/>
  <c r="AI137" i="60"/>
  <c r="AG137" i="60"/>
  <c r="AF137" i="60"/>
  <c r="AD137" i="60"/>
  <c r="AC137" i="60"/>
  <c r="AA137" i="60"/>
  <c r="Z137" i="60"/>
  <c r="O137" i="60"/>
  <c r="AJ136" i="60"/>
  <c r="AI136" i="60"/>
  <c r="AG136" i="60"/>
  <c r="AF136" i="60"/>
  <c r="AD136" i="60"/>
  <c r="AC136" i="60"/>
  <c r="AA136" i="60"/>
  <c r="Z136" i="60"/>
  <c r="O136" i="60"/>
  <c r="AJ135" i="60"/>
  <c r="AI135" i="60"/>
  <c r="AG135" i="60"/>
  <c r="AF135" i="60"/>
  <c r="AD135" i="60"/>
  <c r="AC135" i="60"/>
  <c r="AA135" i="60"/>
  <c r="Z135" i="60"/>
  <c r="O135" i="60"/>
  <c r="BT134" i="60"/>
  <c r="BS134" i="60"/>
  <c r="BR134" i="60"/>
  <c r="BQ134" i="60"/>
  <c r="BP134" i="60"/>
  <c r="BO134" i="60"/>
  <c r="BN134" i="60"/>
  <c r="BM134" i="60"/>
  <c r="BL134" i="60"/>
  <c r="BK134" i="60"/>
  <c r="BJ134" i="60"/>
  <c r="BI134" i="60"/>
  <c r="BH134" i="60"/>
  <c r="BG134" i="60"/>
  <c r="BF134" i="60"/>
  <c r="BE134" i="60"/>
  <c r="BD134" i="60"/>
  <c r="BC134" i="60"/>
  <c r="BB134" i="60"/>
  <c r="BA134" i="60"/>
  <c r="AZ134" i="60"/>
  <c r="AY134" i="60"/>
  <c r="AX134" i="60"/>
  <c r="AW134" i="60"/>
  <c r="R133" i="60"/>
  <c r="O133" i="60"/>
  <c r="AJ132" i="60"/>
  <c r="AI132" i="60"/>
  <c r="AG132" i="60"/>
  <c r="AF132" i="60"/>
  <c r="AD132" i="60"/>
  <c r="AC132" i="60"/>
  <c r="AA132" i="60"/>
  <c r="Z132" i="60"/>
  <c r="O132" i="60"/>
  <c r="AJ131" i="60"/>
  <c r="AI131" i="60"/>
  <c r="AG131" i="60"/>
  <c r="AF131" i="60"/>
  <c r="AD131" i="60"/>
  <c r="AC131" i="60"/>
  <c r="AA131" i="60"/>
  <c r="Z131" i="60"/>
  <c r="O131" i="60"/>
  <c r="AJ130" i="60"/>
  <c r="AI130" i="60"/>
  <c r="AG130" i="60"/>
  <c r="AF130" i="60"/>
  <c r="AD130" i="60"/>
  <c r="AC130" i="60"/>
  <c r="AA130" i="60"/>
  <c r="Z130" i="60"/>
  <c r="O130" i="60"/>
  <c r="AJ129" i="60"/>
  <c r="AI129" i="60"/>
  <c r="AG129" i="60"/>
  <c r="AF129" i="60"/>
  <c r="AD129" i="60"/>
  <c r="AC129" i="60"/>
  <c r="AA129" i="60"/>
  <c r="Z129" i="60"/>
  <c r="O129" i="60"/>
  <c r="BT128" i="60"/>
  <c r="BS128" i="60"/>
  <c r="BR128" i="60"/>
  <c r="BQ128" i="60"/>
  <c r="BP128" i="60"/>
  <c r="BO128" i="60"/>
  <c r="BN128" i="60"/>
  <c r="BM128" i="60"/>
  <c r="BL128" i="60"/>
  <c r="BK128" i="60"/>
  <c r="BJ128" i="60"/>
  <c r="BI128" i="60"/>
  <c r="BH128" i="60"/>
  <c r="BG128" i="60"/>
  <c r="BF128" i="60"/>
  <c r="BE128" i="60"/>
  <c r="BD128" i="60"/>
  <c r="BC128" i="60"/>
  <c r="BB128" i="60"/>
  <c r="BA128" i="60"/>
  <c r="AZ128" i="60"/>
  <c r="AY128" i="60"/>
  <c r="AX128" i="60"/>
  <c r="AW128" i="60"/>
  <c r="O128" i="60"/>
  <c r="AJ127" i="60"/>
  <c r="AI127" i="60"/>
  <c r="AG127" i="60"/>
  <c r="AF127" i="60"/>
  <c r="AD127" i="60"/>
  <c r="AC127" i="60"/>
  <c r="AA127" i="60"/>
  <c r="Z127" i="60"/>
  <c r="O127" i="60"/>
  <c r="AJ126" i="60"/>
  <c r="AI126" i="60"/>
  <c r="AG126" i="60"/>
  <c r="AF126" i="60"/>
  <c r="AD126" i="60"/>
  <c r="AC126" i="60"/>
  <c r="AA126" i="60"/>
  <c r="Z126" i="60"/>
  <c r="O126" i="60"/>
  <c r="AJ125" i="60"/>
  <c r="AI125" i="60"/>
  <c r="AG125" i="60"/>
  <c r="AF125" i="60"/>
  <c r="AD125" i="60"/>
  <c r="AC125" i="60"/>
  <c r="AA125" i="60"/>
  <c r="Z125" i="60"/>
  <c r="O125" i="60"/>
  <c r="BT124" i="60"/>
  <c r="BS124" i="60"/>
  <c r="BR124" i="60"/>
  <c r="BQ124" i="60"/>
  <c r="BP124" i="60"/>
  <c r="BO124" i="60"/>
  <c r="BN124" i="60"/>
  <c r="BM124" i="60"/>
  <c r="BL124" i="60"/>
  <c r="BK124" i="60"/>
  <c r="BJ124" i="60"/>
  <c r="BI124" i="60"/>
  <c r="BH124" i="60"/>
  <c r="BG124" i="60"/>
  <c r="BF124" i="60"/>
  <c r="BE124" i="60"/>
  <c r="BD124" i="60"/>
  <c r="BC124" i="60"/>
  <c r="BB124" i="60"/>
  <c r="BA124" i="60"/>
  <c r="AZ124" i="60"/>
  <c r="AY124" i="60"/>
  <c r="AX124" i="60"/>
  <c r="AW124" i="60"/>
  <c r="O124" i="60"/>
  <c r="AJ123" i="60"/>
  <c r="AI123" i="60"/>
  <c r="AG123" i="60"/>
  <c r="AF123" i="60"/>
  <c r="AD123" i="60"/>
  <c r="AC123" i="60"/>
  <c r="AA123" i="60"/>
  <c r="Z123" i="60"/>
  <c r="O123" i="60"/>
  <c r="AJ122" i="60"/>
  <c r="AI122" i="60"/>
  <c r="AG122" i="60"/>
  <c r="AF122" i="60"/>
  <c r="AD122" i="60"/>
  <c r="AC122" i="60"/>
  <c r="AA122" i="60"/>
  <c r="Z122" i="60"/>
  <c r="O122" i="60"/>
  <c r="AJ120" i="60"/>
  <c r="AI120" i="60"/>
  <c r="AG120" i="60"/>
  <c r="AF120" i="60"/>
  <c r="AD120" i="60"/>
  <c r="AC120" i="60"/>
  <c r="AA120" i="60"/>
  <c r="Z120" i="60"/>
  <c r="O120" i="60"/>
  <c r="AJ119" i="60"/>
  <c r="AI119" i="60"/>
  <c r="AG119" i="60"/>
  <c r="AF119" i="60"/>
  <c r="AD119" i="60"/>
  <c r="AC119" i="60"/>
  <c r="AA119" i="60"/>
  <c r="Z119" i="60"/>
  <c r="O119" i="60"/>
  <c r="AJ118" i="60"/>
  <c r="AI118" i="60"/>
  <c r="AG118" i="60"/>
  <c r="AF118" i="60"/>
  <c r="AD118" i="60"/>
  <c r="AC118" i="60"/>
  <c r="AA118" i="60"/>
  <c r="Z118" i="60"/>
  <c r="O118" i="60"/>
  <c r="AJ117" i="60"/>
  <c r="AI117" i="60"/>
  <c r="AG117" i="60"/>
  <c r="AF117" i="60"/>
  <c r="AD117" i="60"/>
  <c r="AC117" i="60"/>
  <c r="AA117" i="60"/>
  <c r="Z117" i="60"/>
  <c r="O117" i="60"/>
  <c r="AJ116" i="60"/>
  <c r="AI116" i="60"/>
  <c r="AG116" i="60"/>
  <c r="AF116" i="60"/>
  <c r="AD116" i="60"/>
  <c r="AC116" i="60"/>
  <c r="AA116" i="60"/>
  <c r="Z116" i="60"/>
  <c r="O116" i="60"/>
  <c r="AJ110" i="60"/>
  <c r="AI110" i="60"/>
  <c r="AG110" i="60"/>
  <c r="AF110" i="60"/>
  <c r="AD110" i="60"/>
  <c r="AC110" i="60"/>
  <c r="AA110" i="60"/>
  <c r="Z110" i="60"/>
  <c r="O110" i="60"/>
  <c r="BT109" i="60"/>
  <c r="BS109" i="60"/>
  <c r="BR109" i="60"/>
  <c r="BQ109" i="60"/>
  <c r="BP109" i="60"/>
  <c r="BO109" i="60"/>
  <c r="BN109" i="60"/>
  <c r="BM109" i="60"/>
  <c r="BL109" i="60"/>
  <c r="BK109" i="60"/>
  <c r="BJ109" i="60"/>
  <c r="BI109" i="60"/>
  <c r="BH109" i="60"/>
  <c r="BG109" i="60"/>
  <c r="BF109" i="60"/>
  <c r="BE109" i="60"/>
  <c r="BD109" i="60"/>
  <c r="BC109" i="60"/>
  <c r="BB109" i="60"/>
  <c r="BA109" i="60"/>
  <c r="AZ109" i="60"/>
  <c r="AY109" i="60"/>
  <c r="AX109" i="60"/>
  <c r="AW109" i="60"/>
  <c r="O109" i="60"/>
  <c r="AJ108" i="60"/>
  <c r="AI108" i="60"/>
  <c r="AG108" i="60"/>
  <c r="AF108" i="60"/>
  <c r="AD108" i="60"/>
  <c r="AC108" i="60"/>
  <c r="AA108" i="60"/>
  <c r="Z108" i="60"/>
  <c r="O108" i="60"/>
  <c r="AJ104" i="60"/>
  <c r="AI104" i="60"/>
  <c r="AG104" i="60"/>
  <c r="AF104" i="60"/>
  <c r="AD104" i="60"/>
  <c r="AC104" i="60"/>
  <c r="AA104" i="60"/>
  <c r="Z104" i="60"/>
  <c r="O104" i="60"/>
  <c r="BT103" i="60"/>
  <c r="BS103" i="60"/>
  <c r="BR103" i="60"/>
  <c r="BQ103" i="60"/>
  <c r="BP103" i="60"/>
  <c r="BO103" i="60"/>
  <c r="BN103" i="60"/>
  <c r="BM103" i="60"/>
  <c r="BL103" i="60"/>
  <c r="BK103" i="60"/>
  <c r="BJ103" i="60"/>
  <c r="BI103" i="60"/>
  <c r="BH103" i="60"/>
  <c r="BG103" i="60"/>
  <c r="BF103" i="60"/>
  <c r="BE103" i="60"/>
  <c r="BD103" i="60"/>
  <c r="BC103" i="60"/>
  <c r="BB103" i="60"/>
  <c r="BA103" i="60"/>
  <c r="AZ103" i="60"/>
  <c r="AY103" i="60"/>
  <c r="AX103" i="60"/>
  <c r="AW103" i="60"/>
  <c r="O103" i="60"/>
  <c r="AJ102" i="60"/>
  <c r="AI102" i="60"/>
  <c r="AG102" i="60"/>
  <c r="AF102" i="60"/>
  <c r="AD102" i="60"/>
  <c r="AC102" i="60"/>
  <c r="AA102" i="60"/>
  <c r="Z102" i="60"/>
  <c r="L102" i="60"/>
  <c r="O102" i="60" s="1"/>
  <c r="AJ101" i="60"/>
  <c r="AI101" i="60"/>
  <c r="AG101" i="60"/>
  <c r="AF101" i="60"/>
  <c r="AD101" i="60"/>
  <c r="AC101" i="60"/>
  <c r="AA101" i="60"/>
  <c r="Z101" i="60"/>
  <c r="O101" i="60"/>
  <c r="AJ100" i="60"/>
  <c r="AI100" i="60"/>
  <c r="AG100" i="60"/>
  <c r="AF100" i="60"/>
  <c r="AD100" i="60"/>
  <c r="AC100" i="60"/>
  <c r="AA100" i="60"/>
  <c r="Z100" i="60"/>
  <c r="O100" i="60"/>
  <c r="AJ99" i="60"/>
  <c r="AI99" i="60"/>
  <c r="AG99" i="60"/>
  <c r="AF99" i="60"/>
  <c r="AD99" i="60"/>
  <c r="AC99" i="60"/>
  <c r="AA99" i="60"/>
  <c r="Z99" i="60"/>
  <c r="O99" i="60"/>
  <c r="AJ98" i="60"/>
  <c r="AI98" i="60"/>
  <c r="AG98" i="60"/>
  <c r="AF98" i="60"/>
  <c r="AD98" i="60"/>
  <c r="AC98" i="60"/>
  <c r="AA98" i="60"/>
  <c r="Z98" i="60"/>
  <c r="O98" i="60"/>
  <c r="AJ97" i="60"/>
  <c r="AI97" i="60"/>
  <c r="AG97" i="60"/>
  <c r="AF97" i="60"/>
  <c r="AD97" i="60"/>
  <c r="AC97" i="60"/>
  <c r="AA97" i="60"/>
  <c r="Z97" i="60"/>
  <c r="O97" i="60"/>
  <c r="BG96" i="60"/>
  <c r="AC96" i="60" s="1"/>
  <c r="AJ96" i="60"/>
  <c r="AI96" i="60"/>
  <c r="AG96" i="60"/>
  <c r="AF96" i="60"/>
  <c r="AD96" i="60"/>
  <c r="AA96" i="60"/>
  <c r="Z96" i="60"/>
  <c r="O96" i="60"/>
  <c r="AJ95" i="60"/>
  <c r="AI95" i="60"/>
  <c r="AG95" i="60"/>
  <c r="AF95" i="60"/>
  <c r="AD95" i="60"/>
  <c r="AC95" i="60"/>
  <c r="AA95" i="60"/>
  <c r="Z95" i="60"/>
  <c r="O95" i="60"/>
  <c r="BT94" i="60"/>
  <c r="BS94" i="60"/>
  <c r="BR94" i="60"/>
  <c r="BQ94" i="60"/>
  <c r="BP94" i="60"/>
  <c r="BO94" i="60"/>
  <c r="BN94" i="60"/>
  <c r="BM94" i="60"/>
  <c r="BL94" i="60"/>
  <c r="BK94" i="60"/>
  <c r="BJ94" i="60"/>
  <c r="BI94" i="60"/>
  <c r="BH94" i="60"/>
  <c r="BF94" i="60"/>
  <c r="BE94" i="60"/>
  <c r="BD94" i="60"/>
  <c r="BC94" i="60"/>
  <c r="BB94" i="60"/>
  <c r="BA94" i="60"/>
  <c r="AZ94" i="60"/>
  <c r="AY94" i="60"/>
  <c r="AX94" i="60"/>
  <c r="AW94" i="60"/>
  <c r="S94" i="60"/>
  <c r="Q94" i="60"/>
  <c r="N94" i="60"/>
  <c r="N86" i="60" s="1"/>
  <c r="O86" i="60" s="1"/>
  <c r="AJ93" i="60"/>
  <c r="AI93" i="60"/>
  <c r="AG93" i="60"/>
  <c r="AF93" i="60"/>
  <c r="AD93" i="60"/>
  <c r="AC93" i="60"/>
  <c r="AA93" i="60"/>
  <c r="Z93" i="60"/>
  <c r="O93" i="60"/>
  <c r="AJ92" i="60"/>
  <c r="AI92" i="60"/>
  <c r="AG92" i="60"/>
  <c r="AF92" i="60"/>
  <c r="AD92" i="60"/>
  <c r="AC92" i="60"/>
  <c r="AA92" i="60"/>
  <c r="Z92" i="60"/>
  <c r="O92" i="60"/>
  <c r="AJ91" i="60"/>
  <c r="AI91" i="60"/>
  <c r="AG91" i="60"/>
  <c r="AF91" i="60"/>
  <c r="AD91" i="60"/>
  <c r="AC91" i="60"/>
  <c r="AA91" i="60"/>
  <c r="Z91" i="60"/>
  <c r="O91" i="60"/>
  <c r="AJ90" i="60"/>
  <c r="AI90" i="60"/>
  <c r="AG90" i="60"/>
  <c r="AF90" i="60"/>
  <c r="AD90" i="60"/>
  <c r="AC90" i="60"/>
  <c r="AA90" i="60"/>
  <c r="Z90" i="60"/>
  <c r="O90" i="60"/>
  <c r="AJ89" i="60"/>
  <c r="AI89" i="60"/>
  <c r="AG89" i="60"/>
  <c r="AF89" i="60"/>
  <c r="AD89" i="60"/>
  <c r="AC89" i="60"/>
  <c r="AA89" i="60"/>
  <c r="Z89" i="60"/>
  <c r="O89" i="60"/>
  <c r="AJ88" i="60"/>
  <c r="AI88" i="60"/>
  <c r="AG88" i="60"/>
  <c r="AF88" i="60"/>
  <c r="AD88" i="60"/>
  <c r="AC88" i="60"/>
  <c r="AA88" i="60"/>
  <c r="Z88" i="60"/>
  <c r="O88" i="60"/>
  <c r="BT87" i="60"/>
  <c r="BS87" i="60"/>
  <c r="BR87" i="60"/>
  <c r="BQ87" i="60"/>
  <c r="BP87" i="60"/>
  <c r="BO87" i="60"/>
  <c r="BN87" i="60"/>
  <c r="BM87" i="60"/>
  <c r="BL87" i="60"/>
  <c r="BK87" i="60"/>
  <c r="BJ87" i="60"/>
  <c r="BI87" i="60"/>
  <c r="BH87" i="60"/>
  <c r="BG87" i="60"/>
  <c r="BF87" i="60"/>
  <c r="BE87" i="60"/>
  <c r="BD87" i="60"/>
  <c r="BC87" i="60"/>
  <c r="BB87" i="60"/>
  <c r="BA87" i="60"/>
  <c r="AZ87" i="60"/>
  <c r="AY87" i="60"/>
  <c r="AX87" i="60"/>
  <c r="AW87" i="60"/>
  <c r="L87" i="60"/>
  <c r="S86" i="60"/>
  <c r="Q86" i="60"/>
  <c r="AJ85" i="60"/>
  <c r="AI85" i="60"/>
  <c r="AG85" i="60"/>
  <c r="AF85" i="60"/>
  <c r="AD85" i="60"/>
  <c r="AC85" i="60"/>
  <c r="AA85" i="60"/>
  <c r="Z85" i="60"/>
  <c r="O85" i="60"/>
  <c r="AJ82" i="60"/>
  <c r="AI82" i="60"/>
  <c r="AG82" i="60"/>
  <c r="AF82" i="60"/>
  <c r="AD82" i="60"/>
  <c r="AC82" i="60"/>
  <c r="AA82" i="60"/>
  <c r="Z82" i="60"/>
  <c r="O82" i="60"/>
  <c r="BS81" i="60"/>
  <c r="AI81" i="60" s="1"/>
  <c r="AJ81" i="60"/>
  <c r="AG81" i="60"/>
  <c r="AF81" i="60"/>
  <c r="AD81" i="60"/>
  <c r="AC81" i="60"/>
  <c r="AA81" i="60"/>
  <c r="Z81" i="60"/>
  <c r="L81" i="60"/>
  <c r="O81" i="60" s="1"/>
  <c r="Z80" i="60"/>
  <c r="AJ80" i="60"/>
  <c r="AI80" i="60"/>
  <c r="AG80" i="60"/>
  <c r="AF80" i="60"/>
  <c r="AD80" i="60"/>
  <c r="AC80" i="60"/>
  <c r="AA80" i="60"/>
  <c r="AI79" i="60"/>
  <c r="AJ79" i="60"/>
  <c r="AG79" i="60"/>
  <c r="AF79" i="60"/>
  <c r="AD79" i="60"/>
  <c r="AC79" i="60"/>
  <c r="AA79" i="60"/>
  <c r="Z79" i="60"/>
  <c r="O79" i="60"/>
  <c r="AJ78" i="60"/>
  <c r="AI78" i="60"/>
  <c r="AG78" i="60"/>
  <c r="AF78" i="60"/>
  <c r="AD78" i="60"/>
  <c r="AC78" i="60"/>
  <c r="AA78" i="60"/>
  <c r="Z78" i="60"/>
  <c r="O78" i="60"/>
  <c r="AJ77" i="60"/>
  <c r="AI77" i="60"/>
  <c r="AG77" i="60"/>
  <c r="AF77" i="60"/>
  <c r="AD77" i="60"/>
  <c r="AC77" i="60"/>
  <c r="AA77" i="60"/>
  <c r="Z77" i="60"/>
  <c r="O77" i="60"/>
  <c r="AI76" i="60"/>
  <c r="AJ76" i="60"/>
  <c r="AG76" i="60"/>
  <c r="AF76" i="60"/>
  <c r="AD76" i="60"/>
  <c r="AC76" i="60"/>
  <c r="AA76" i="60"/>
  <c r="Z76" i="60"/>
  <c r="BS75" i="60"/>
  <c r="BQ75" i="60"/>
  <c r="BA75" i="60"/>
  <c r="AY75" i="60"/>
  <c r="AJ75" i="60"/>
  <c r="AG75" i="60"/>
  <c r="AD75" i="60"/>
  <c r="AA75" i="60"/>
  <c r="L75" i="60"/>
  <c r="O75" i="60" s="1"/>
  <c r="BS74" i="60"/>
  <c r="AI74" i="60" s="1"/>
  <c r="AJ74" i="60"/>
  <c r="AG74" i="60"/>
  <c r="AF74" i="60"/>
  <c r="AD74" i="60"/>
  <c r="AC74" i="60"/>
  <c r="AA74" i="60"/>
  <c r="Z74" i="60"/>
  <c r="O74" i="60"/>
  <c r="BS73" i="60"/>
  <c r="BQ73" i="60"/>
  <c r="BO73" i="60"/>
  <c r="BM73" i="60"/>
  <c r="BK73" i="60"/>
  <c r="BI73" i="60"/>
  <c r="BG73" i="60"/>
  <c r="BE73" i="60"/>
  <c r="BC73" i="60"/>
  <c r="BA73" i="60"/>
  <c r="AY73" i="60"/>
  <c r="AJ73" i="60"/>
  <c r="AG73" i="60"/>
  <c r="AD73" i="60"/>
  <c r="AA73" i="60"/>
  <c r="L73" i="60"/>
  <c r="O73" i="60" s="1"/>
  <c r="BT72" i="60"/>
  <c r="BR72" i="60"/>
  <c r="BP72" i="60"/>
  <c r="BN72" i="60"/>
  <c r="BL72" i="60"/>
  <c r="BJ72" i="60"/>
  <c r="BH72" i="60"/>
  <c r="BF72" i="60"/>
  <c r="BD72" i="60"/>
  <c r="BB72" i="60"/>
  <c r="AZ72" i="60"/>
  <c r="AX72" i="60"/>
  <c r="AW72" i="60"/>
  <c r="S72" i="60"/>
  <c r="Q72" i="60"/>
  <c r="BK70" i="60"/>
  <c r="BI70" i="60"/>
  <c r="BG71" i="60"/>
  <c r="BG70" i="60" s="1"/>
  <c r="BE71" i="60"/>
  <c r="BC71" i="60"/>
  <c r="BC70" i="60" s="1"/>
  <c r="BB71" i="60"/>
  <c r="AA71" i="60" s="1"/>
  <c r="BA70" i="60"/>
  <c r="AY71" i="60"/>
  <c r="AY70" i="60" s="1"/>
  <c r="AJ71" i="60"/>
  <c r="AI71" i="60"/>
  <c r="AG71" i="60"/>
  <c r="AD71" i="60"/>
  <c r="O71" i="60"/>
  <c r="BT70" i="60"/>
  <c r="BS70" i="60"/>
  <c r="BR70" i="60"/>
  <c r="BQ70" i="60"/>
  <c r="BP70" i="60"/>
  <c r="BO70" i="60"/>
  <c r="BN70" i="60"/>
  <c r="BM70" i="60"/>
  <c r="BL70" i="60"/>
  <c r="BJ70" i="60"/>
  <c r="BH70" i="60"/>
  <c r="BF70" i="60"/>
  <c r="BD70" i="60"/>
  <c r="AZ70" i="60"/>
  <c r="AX70" i="60"/>
  <c r="AW70" i="60"/>
  <c r="S70" i="60"/>
  <c r="Q70" i="60"/>
  <c r="L70" i="60"/>
  <c r="AJ69" i="60"/>
  <c r="AI69" i="60"/>
  <c r="AG69" i="60"/>
  <c r="AF69" i="60"/>
  <c r="AD69" i="60"/>
  <c r="AC69" i="60"/>
  <c r="AA69" i="60"/>
  <c r="Z69" i="60"/>
  <c r="O69" i="60"/>
  <c r="AJ68" i="60"/>
  <c r="AI68" i="60"/>
  <c r="AG68" i="60"/>
  <c r="AF68" i="60"/>
  <c r="AD68" i="60"/>
  <c r="AC68" i="60"/>
  <c r="AA68" i="60"/>
  <c r="Z68" i="60"/>
  <c r="O68" i="60"/>
  <c r="BS67" i="60"/>
  <c r="BR67" i="60"/>
  <c r="BQ67" i="60"/>
  <c r="BP67" i="60"/>
  <c r="BO67" i="60"/>
  <c r="BN67" i="60"/>
  <c r="BM67" i="60"/>
  <c r="BL67" i="60"/>
  <c r="BK67" i="60"/>
  <c r="BJ67" i="60"/>
  <c r="BI67" i="60"/>
  <c r="BH67" i="60"/>
  <c r="BG67" i="60"/>
  <c r="BF67" i="60"/>
  <c r="BE67" i="60"/>
  <c r="BD67" i="60"/>
  <c r="BC67" i="60"/>
  <c r="BB67" i="60"/>
  <c r="BA67" i="60"/>
  <c r="AZ67" i="60"/>
  <c r="AY67" i="60"/>
  <c r="AX67" i="60"/>
  <c r="AW67" i="60"/>
  <c r="S67" i="60"/>
  <c r="Q67" i="60"/>
  <c r="N67" i="60"/>
  <c r="L67" i="60"/>
  <c r="BQ66" i="60"/>
  <c r="BQ62" i="60" s="1"/>
  <c r="AJ66" i="60"/>
  <c r="AG66" i="60"/>
  <c r="AF66" i="60"/>
  <c r="AD66" i="60"/>
  <c r="AC66" i="60"/>
  <c r="AA66" i="60"/>
  <c r="Z66" i="60"/>
  <c r="O66" i="60"/>
  <c r="BM62" i="60"/>
  <c r="AJ65" i="60"/>
  <c r="AI65" i="60"/>
  <c r="AG65" i="60"/>
  <c r="AD65" i="60"/>
  <c r="AC65" i="60"/>
  <c r="AA65" i="60"/>
  <c r="Z65" i="60"/>
  <c r="O65" i="60"/>
  <c r="AY62" i="60"/>
  <c r="AJ64" i="60"/>
  <c r="AI64" i="60"/>
  <c r="AG64" i="60"/>
  <c r="AF64" i="60"/>
  <c r="AD64" i="60"/>
  <c r="AC64" i="60"/>
  <c r="AA64" i="60"/>
  <c r="Z64" i="60"/>
  <c r="O64" i="60"/>
  <c r="BC63" i="60"/>
  <c r="BC62" i="60" s="1"/>
  <c r="AJ63" i="60"/>
  <c r="AI63" i="60"/>
  <c r="AG63" i="60"/>
  <c r="AF63" i="60"/>
  <c r="AD63" i="60"/>
  <c r="AA63" i="60"/>
  <c r="Z63" i="60"/>
  <c r="O63" i="60"/>
  <c r="BT62" i="60"/>
  <c r="BS62" i="60"/>
  <c r="BR62" i="60"/>
  <c r="BP62" i="60"/>
  <c r="BO62" i="60"/>
  <c r="BN62" i="60"/>
  <c r="BL62" i="60"/>
  <c r="BK62" i="60"/>
  <c r="BJ62" i="60"/>
  <c r="BI62" i="60"/>
  <c r="BH62" i="60"/>
  <c r="BG62" i="60"/>
  <c r="BF62" i="60"/>
  <c r="BE62" i="60"/>
  <c r="BD62" i="60"/>
  <c r="BB62" i="60"/>
  <c r="BA62" i="60"/>
  <c r="AZ62" i="60"/>
  <c r="AX62" i="60"/>
  <c r="AW62" i="60"/>
  <c r="S62" i="60"/>
  <c r="Q62" i="60"/>
  <c r="L62" i="60"/>
  <c r="BG57" i="60"/>
  <c r="BE57" i="60"/>
  <c r="BC57" i="60"/>
  <c r="BA57" i="60"/>
  <c r="AY57" i="60"/>
  <c r="AJ58" i="60"/>
  <c r="AI58" i="60"/>
  <c r="AG58" i="60"/>
  <c r="AD58" i="60"/>
  <c r="AA58" i="60"/>
  <c r="O58" i="60"/>
  <c r="BT57" i="60"/>
  <c r="BS56" i="60"/>
  <c r="AI56" i="60" s="1"/>
  <c r="AJ56" i="60"/>
  <c r="AG56" i="60"/>
  <c r="AF56" i="60"/>
  <c r="AD56" i="60"/>
  <c r="AC56" i="60"/>
  <c r="AA56" i="60"/>
  <c r="Z56" i="60"/>
  <c r="O56" i="60"/>
  <c r="AJ55" i="60"/>
  <c r="AI55" i="60"/>
  <c r="AG55" i="60"/>
  <c r="AF55" i="60"/>
  <c r="AD55" i="60"/>
  <c r="AC55" i="60"/>
  <c r="AA55" i="60"/>
  <c r="Z55" i="60"/>
  <c r="O55" i="60"/>
  <c r="BS54" i="60"/>
  <c r="AI54" i="60" s="1"/>
  <c r="AJ54" i="60"/>
  <c r="AG54" i="60"/>
  <c r="AF54" i="60"/>
  <c r="AD54" i="60"/>
  <c r="AC54" i="60"/>
  <c r="AA54" i="60"/>
  <c r="Z54" i="60"/>
  <c r="L54" i="60"/>
  <c r="O54" i="60" s="1"/>
  <c r="BT53" i="60"/>
  <c r="BR53" i="60"/>
  <c r="BQ53" i="60"/>
  <c r="BP53" i="60"/>
  <c r="BO53" i="60"/>
  <c r="BN53" i="60"/>
  <c r="BM53" i="60"/>
  <c r="BL53" i="60"/>
  <c r="BK53" i="60"/>
  <c r="BJ53" i="60"/>
  <c r="BI53" i="60"/>
  <c r="BH53" i="60"/>
  <c r="BG53" i="60"/>
  <c r="BF53" i="60"/>
  <c r="BE53" i="60"/>
  <c r="BD53" i="60"/>
  <c r="BC53" i="60"/>
  <c r="BB53" i="60"/>
  <c r="BA53" i="60"/>
  <c r="AZ53" i="60"/>
  <c r="AY53" i="60"/>
  <c r="AX53" i="60"/>
  <c r="AW53" i="60"/>
  <c r="S53" i="60"/>
  <c r="Q53" i="60"/>
  <c r="AJ52" i="60"/>
  <c r="AI52" i="60"/>
  <c r="AG52" i="60"/>
  <c r="AF52" i="60"/>
  <c r="AD52" i="60"/>
  <c r="AC52" i="60"/>
  <c r="AA52" i="60"/>
  <c r="Z52" i="60"/>
  <c r="O52" i="60"/>
  <c r="BT51" i="60"/>
  <c r="BS51" i="60"/>
  <c r="BR51" i="60"/>
  <c r="BQ51" i="60"/>
  <c r="BP51" i="60"/>
  <c r="BO51" i="60"/>
  <c r="BN51" i="60"/>
  <c r="BM51" i="60"/>
  <c r="BL51" i="60"/>
  <c r="BK51" i="60"/>
  <c r="BJ51" i="60"/>
  <c r="BI51" i="60"/>
  <c r="BH51" i="60"/>
  <c r="BG51" i="60"/>
  <c r="BF51" i="60"/>
  <c r="BE51" i="60"/>
  <c r="BD51" i="60"/>
  <c r="BC51" i="60"/>
  <c r="BB51" i="60"/>
  <c r="BA51" i="60"/>
  <c r="AZ51" i="60"/>
  <c r="AY51" i="60"/>
  <c r="AX51" i="60"/>
  <c r="AW51" i="60"/>
  <c r="S51" i="60"/>
  <c r="Q51" i="60"/>
  <c r="L51" i="60"/>
  <c r="O51" i="60" s="1"/>
  <c r="AJ50" i="60"/>
  <c r="AI50" i="60"/>
  <c r="AG50" i="60"/>
  <c r="AF50" i="60"/>
  <c r="AD50" i="60"/>
  <c r="AC50" i="60"/>
  <c r="AA50" i="60"/>
  <c r="Z50" i="60"/>
  <c r="O50" i="60"/>
  <c r="AI49" i="60"/>
  <c r="AJ49" i="60"/>
  <c r="AG49" i="60"/>
  <c r="AF49" i="60"/>
  <c r="AD49" i="60"/>
  <c r="AC49" i="60"/>
  <c r="AA49" i="60"/>
  <c r="Z49" i="60"/>
  <c r="O49" i="60"/>
  <c r="BT48" i="60"/>
  <c r="BR48" i="60"/>
  <c r="BQ48" i="60"/>
  <c r="BP48" i="60"/>
  <c r="BO48" i="60"/>
  <c r="BN48" i="60"/>
  <c r="BM48" i="60"/>
  <c r="BL48" i="60"/>
  <c r="BK48" i="60"/>
  <c r="BJ48" i="60"/>
  <c r="BI48" i="60"/>
  <c r="BH48" i="60"/>
  <c r="BG48" i="60"/>
  <c r="BF48" i="60"/>
  <c r="BE48" i="60"/>
  <c r="BD48" i="60"/>
  <c r="BC48" i="60"/>
  <c r="BB48" i="60"/>
  <c r="BA48" i="60"/>
  <c r="AZ48" i="60"/>
  <c r="AY48" i="60"/>
  <c r="AX48" i="60"/>
  <c r="AW48" i="60"/>
  <c r="S48" i="60"/>
  <c r="Q48" i="60"/>
  <c r="L48" i="60"/>
  <c r="O48" i="60" s="1"/>
  <c r="AI47" i="60"/>
  <c r="BK45" i="60"/>
  <c r="BG45" i="60"/>
  <c r="AJ47" i="60"/>
  <c r="AG47" i="60"/>
  <c r="AD47" i="60"/>
  <c r="AA47" i="60"/>
  <c r="Z47" i="60"/>
  <c r="O47" i="60"/>
  <c r="AI46" i="60"/>
  <c r="AF46" i="60"/>
  <c r="AJ46" i="60"/>
  <c r="AG46" i="60"/>
  <c r="AD46" i="60"/>
  <c r="AC46" i="60"/>
  <c r="AA46" i="60"/>
  <c r="Z46" i="60"/>
  <c r="L46" i="60"/>
  <c r="O46" i="60" s="1"/>
  <c r="BT45" i="60"/>
  <c r="BR45" i="60"/>
  <c r="BQ45" i="60"/>
  <c r="BP45" i="60"/>
  <c r="BO45" i="60"/>
  <c r="BN45" i="60"/>
  <c r="BM45" i="60"/>
  <c r="BL45" i="60"/>
  <c r="BJ45" i="60"/>
  <c r="BH45" i="60"/>
  <c r="BF45" i="60"/>
  <c r="BD45" i="60"/>
  <c r="BC45" i="60"/>
  <c r="BB45" i="60"/>
  <c r="BA45" i="60"/>
  <c r="AZ45" i="60"/>
  <c r="AY45" i="60"/>
  <c r="AX45" i="60"/>
  <c r="AW45" i="60"/>
  <c r="S45" i="60"/>
  <c r="Q45" i="60"/>
  <c r="AJ44" i="60"/>
  <c r="AI44" i="60"/>
  <c r="AG44" i="60"/>
  <c r="AF44" i="60"/>
  <c r="AD44" i="60"/>
  <c r="AC44" i="60"/>
  <c r="AA44" i="60"/>
  <c r="Z44" i="60"/>
  <c r="O44" i="60"/>
  <c r="AI43" i="60"/>
  <c r="BI39" i="60"/>
  <c r="AJ43" i="60"/>
  <c r="AG43" i="60"/>
  <c r="AD43" i="60"/>
  <c r="AC43" i="60"/>
  <c r="AA43" i="60"/>
  <c r="Z43" i="60"/>
  <c r="O43" i="60"/>
  <c r="BS42" i="60"/>
  <c r="AI42" i="60" s="1"/>
  <c r="AJ42" i="60"/>
  <c r="AG42" i="60"/>
  <c r="AF42" i="60"/>
  <c r="AD42" i="60"/>
  <c r="AC42" i="60"/>
  <c r="AA42" i="60"/>
  <c r="Z42" i="60"/>
  <c r="O42" i="60"/>
  <c r="BS41" i="60"/>
  <c r="AI41" i="60" s="1"/>
  <c r="AJ41" i="60"/>
  <c r="AG41" i="60"/>
  <c r="AF41" i="60"/>
  <c r="AD41" i="60"/>
  <c r="AC41" i="60"/>
  <c r="AA41" i="60"/>
  <c r="Z41" i="60"/>
  <c r="O41" i="60"/>
  <c r="AJ40" i="60"/>
  <c r="AI40" i="60"/>
  <c r="AG40" i="60"/>
  <c r="AF40" i="60"/>
  <c r="AD40" i="60"/>
  <c r="AC40" i="60"/>
  <c r="AA40" i="60"/>
  <c r="Z40" i="60"/>
  <c r="L40" i="60"/>
  <c r="BT39" i="60"/>
  <c r="BR39" i="60"/>
  <c r="BQ39" i="60"/>
  <c r="BP39" i="60"/>
  <c r="BO39" i="60"/>
  <c r="BN39" i="60"/>
  <c r="BM39" i="60"/>
  <c r="BL39" i="60"/>
  <c r="BK39" i="60"/>
  <c r="BJ39" i="60"/>
  <c r="BH39" i="60"/>
  <c r="BG39" i="60"/>
  <c r="BF39" i="60"/>
  <c r="BE39" i="60"/>
  <c r="BD39" i="60"/>
  <c r="BC39" i="60"/>
  <c r="BB39" i="60"/>
  <c r="BA39" i="60"/>
  <c r="AZ39" i="60"/>
  <c r="AY39" i="60"/>
  <c r="AX39" i="60"/>
  <c r="AW39" i="60"/>
  <c r="S39" i="60"/>
  <c r="Q39" i="60"/>
  <c r="BS38" i="60"/>
  <c r="BQ38" i="60"/>
  <c r="BO38" i="60"/>
  <c r="BM38" i="60"/>
  <c r="BK38" i="60"/>
  <c r="BI38" i="60"/>
  <c r="BG38" i="60"/>
  <c r="BE38" i="60"/>
  <c r="BC38" i="60"/>
  <c r="BA38" i="60"/>
  <c r="AY38" i="60"/>
  <c r="AJ38" i="60"/>
  <c r="AG38" i="60"/>
  <c r="AD38" i="60"/>
  <c r="AA38" i="60"/>
  <c r="L38" i="60"/>
  <c r="O38" i="60" s="1"/>
  <c r="AJ37" i="60"/>
  <c r="AI37" i="60"/>
  <c r="AG37" i="60"/>
  <c r="AF37" i="60"/>
  <c r="AD37" i="60"/>
  <c r="AC37" i="60"/>
  <c r="AA37" i="60"/>
  <c r="Z37" i="60"/>
  <c r="O37" i="60"/>
  <c r="BK36" i="60"/>
  <c r="AF36" i="60" s="1"/>
  <c r="AJ36" i="60"/>
  <c r="AI36" i="60"/>
  <c r="AG36" i="60"/>
  <c r="AD36" i="60"/>
  <c r="AC36" i="60"/>
  <c r="AA36" i="60"/>
  <c r="Z36" i="60"/>
  <c r="O36" i="60"/>
  <c r="BS35" i="60"/>
  <c r="BR35" i="60"/>
  <c r="BQ35" i="60"/>
  <c r="BP35" i="60"/>
  <c r="BO35" i="60"/>
  <c r="BN35" i="60"/>
  <c r="BM35" i="60"/>
  <c r="BL35" i="60"/>
  <c r="BJ35" i="60"/>
  <c r="BI35" i="60"/>
  <c r="BH35" i="60"/>
  <c r="BG35" i="60"/>
  <c r="BF35" i="60"/>
  <c r="BE35" i="60"/>
  <c r="BD35" i="60"/>
  <c r="BC35" i="60"/>
  <c r="BB35" i="60"/>
  <c r="BA35" i="60"/>
  <c r="AZ35" i="60"/>
  <c r="AY35" i="60"/>
  <c r="AX35" i="60"/>
  <c r="AW35" i="60"/>
  <c r="S35" i="60"/>
  <c r="Q35" i="60"/>
  <c r="N35" i="60"/>
  <c r="L35" i="60"/>
  <c r="AJ34" i="60"/>
  <c r="AI34" i="60"/>
  <c r="AG34" i="60"/>
  <c r="AF34" i="60"/>
  <c r="AD34" i="60"/>
  <c r="AC34" i="60"/>
  <c r="AA34" i="60"/>
  <c r="Z34" i="60"/>
  <c r="O34" i="60"/>
  <c r="AJ33" i="60"/>
  <c r="AI33" i="60"/>
  <c r="AG33" i="60"/>
  <c r="AF33" i="60"/>
  <c r="AD33" i="60"/>
  <c r="AC33" i="60"/>
  <c r="AA33" i="60"/>
  <c r="Z33" i="60"/>
  <c r="O33" i="60"/>
  <c r="AJ32" i="60"/>
  <c r="AI32" i="60"/>
  <c r="AG32" i="60"/>
  <c r="AF32" i="60"/>
  <c r="AD32" i="60"/>
  <c r="AC32" i="60"/>
  <c r="AA32" i="60"/>
  <c r="Z32" i="60"/>
  <c r="O32" i="60"/>
  <c r="AJ31" i="60"/>
  <c r="AI31" i="60"/>
  <c r="AG31" i="60"/>
  <c r="AF31" i="60"/>
  <c r="AD31" i="60"/>
  <c r="AC31" i="60"/>
  <c r="AA31" i="60"/>
  <c r="Z31" i="60"/>
  <c r="S31" i="60"/>
  <c r="Q31" i="60"/>
  <c r="L31" i="60"/>
  <c r="O31" i="60" s="1"/>
  <c r="AJ30" i="60"/>
  <c r="AI30" i="60"/>
  <c r="AG30" i="60"/>
  <c r="AF30" i="60"/>
  <c r="AD30" i="60"/>
  <c r="AC30" i="60"/>
  <c r="AA30" i="60"/>
  <c r="Z30" i="60"/>
  <c r="S30" i="60"/>
  <c r="Q30" i="60"/>
  <c r="L30" i="60"/>
  <c r="AJ29" i="60"/>
  <c r="AI29" i="60"/>
  <c r="AG29" i="60"/>
  <c r="AF29" i="60"/>
  <c r="AD29" i="60"/>
  <c r="AC29" i="60"/>
  <c r="AA29" i="60"/>
  <c r="Z29" i="60"/>
  <c r="Q29" i="60"/>
  <c r="O29" i="60"/>
  <c r="BT28" i="60"/>
  <c r="BS28" i="60"/>
  <c r="BR28" i="60"/>
  <c r="BQ28" i="60"/>
  <c r="BP28" i="60"/>
  <c r="BO28" i="60"/>
  <c r="BN28" i="60"/>
  <c r="BM28" i="60"/>
  <c r="BL28" i="60"/>
  <c r="BK28" i="60"/>
  <c r="BJ28" i="60"/>
  <c r="BI28" i="60"/>
  <c r="BH28" i="60"/>
  <c r="BG28" i="60"/>
  <c r="BF28" i="60"/>
  <c r="BE28" i="60"/>
  <c r="BD28" i="60"/>
  <c r="BC28" i="60"/>
  <c r="BB28" i="60"/>
  <c r="BA28" i="60"/>
  <c r="AZ28" i="60"/>
  <c r="AY28" i="60"/>
  <c r="AX28" i="60"/>
  <c r="AW28" i="60"/>
  <c r="BS27" i="60"/>
  <c r="BR27" i="60"/>
  <c r="BQ27" i="60"/>
  <c r="BP27" i="60"/>
  <c r="BO27" i="60"/>
  <c r="BN27" i="60"/>
  <c r="BM27" i="60"/>
  <c r="BL27" i="60"/>
  <c r="BK27" i="60"/>
  <c r="BJ27" i="60"/>
  <c r="BI27" i="60"/>
  <c r="BH27" i="60"/>
  <c r="BG27" i="60"/>
  <c r="BF27" i="60"/>
  <c r="BE27" i="60"/>
  <c r="BD27" i="60"/>
  <c r="BC27" i="60"/>
  <c r="BA27" i="60"/>
  <c r="Z27" i="60" s="1"/>
  <c r="AA27" i="60"/>
  <c r="O27" i="60"/>
  <c r="AJ26" i="60"/>
  <c r="AI26" i="60"/>
  <c r="AG26" i="60"/>
  <c r="AF26" i="60"/>
  <c r="AD26" i="60"/>
  <c r="AC26" i="60"/>
  <c r="AA26" i="60"/>
  <c r="Z26" i="60"/>
  <c r="S26" i="60"/>
  <c r="S23" i="60" s="1"/>
  <c r="Q26" i="60"/>
  <c r="Q23" i="60" s="1"/>
  <c r="O26" i="60"/>
  <c r="AJ25" i="60"/>
  <c r="AI25" i="60"/>
  <c r="AG25" i="60"/>
  <c r="AF25" i="60"/>
  <c r="AD25" i="60"/>
  <c r="AC25" i="60"/>
  <c r="AA25" i="60"/>
  <c r="Z25" i="60"/>
  <c r="O25" i="60"/>
  <c r="AY24" i="60"/>
  <c r="AY23" i="60" s="1"/>
  <c r="AJ24" i="60"/>
  <c r="AI24" i="60"/>
  <c r="AG24" i="60"/>
  <c r="AF24" i="60"/>
  <c r="AD24" i="60"/>
  <c r="AC24" i="60"/>
  <c r="AA24" i="60"/>
  <c r="Z24" i="60"/>
  <c r="O24" i="60"/>
  <c r="BS23" i="60"/>
  <c r="BR23" i="60"/>
  <c r="BQ23" i="60"/>
  <c r="BP23" i="60"/>
  <c r="BO23" i="60"/>
  <c r="BN23" i="60"/>
  <c r="BM23" i="60"/>
  <c r="BL23" i="60"/>
  <c r="BK23" i="60"/>
  <c r="BJ23" i="60"/>
  <c r="BI23" i="60"/>
  <c r="BH23" i="60"/>
  <c r="BG23" i="60"/>
  <c r="BF23" i="60"/>
  <c r="BE23" i="60"/>
  <c r="BD23" i="60"/>
  <c r="BC23" i="60"/>
  <c r="BB23" i="60"/>
  <c r="BA23" i="60"/>
  <c r="AZ23" i="60"/>
  <c r="AX23" i="60"/>
  <c r="AW23" i="60"/>
  <c r="N23" i="60"/>
  <c r="L23" i="60"/>
  <c r="BO22" i="60"/>
  <c r="AI22" i="60" s="1"/>
  <c r="BI22" i="60"/>
  <c r="AF22" i="60" s="1"/>
  <c r="BC22" i="60"/>
  <c r="BC17" i="60" s="1"/>
  <c r="AJ22" i="60"/>
  <c r="AG22" i="60"/>
  <c r="AD22" i="60"/>
  <c r="AA22" i="60"/>
  <c r="Z22" i="60"/>
  <c r="S22" i="60"/>
  <c r="Q22" i="60"/>
  <c r="L22" i="60"/>
  <c r="O22" i="60" s="1"/>
  <c r="O21" i="60"/>
  <c r="AJ20" i="60"/>
  <c r="AI20" i="60"/>
  <c r="AG20" i="60"/>
  <c r="AF20" i="60"/>
  <c r="AD20" i="60"/>
  <c r="AC20" i="60"/>
  <c r="AA20" i="60"/>
  <c r="Z20" i="60"/>
  <c r="S20" i="60"/>
  <c r="Q20" i="60"/>
  <c r="L20" i="60"/>
  <c r="AJ19" i="60"/>
  <c r="AI19" i="60"/>
  <c r="AG19" i="60"/>
  <c r="AF19" i="60"/>
  <c r="AD19" i="60"/>
  <c r="AC19" i="60"/>
  <c r="AA19" i="60"/>
  <c r="Z19" i="60"/>
  <c r="S19" i="60"/>
  <c r="Q19" i="60"/>
  <c r="L19" i="60"/>
  <c r="AJ18" i="60"/>
  <c r="AI18" i="60"/>
  <c r="AG18" i="60"/>
  <c r="AF18" i="60"/>
  <c r="AD18" i="60"/>
  <c r="AC18" i="60"/>
  <c r="AA18" i="60"/>
  <c r="Z18" i="60"/>
  <c r="Q18" i="60"/>
  <c r="O18" i="60"/>
  <c r="BT17" i="60"/>
  <c r="BS17" i="60"/>
  <c r="BR17" i="60"/>
  <c r="BQ17" i="60"/>
  <c r="BP17" i="60"/>
  <c r="BN17" i="60"/>
  <c r="BM17" i="60"/>
  <c r="BL17" i="60"/>
  <c r="BK17" i="60"/>
  <c r="BJ17" i="60"/>
  <c r="BH17" i="60"/>
  <c r="BG17" i="60"/>
  <c r="BF17" i="60"/>
  <c r="BE17" i="60"/>
  <c r="BD17" i="60"/>
  <c r="BB17" i="60"/>
  <c r="BA17" i="60"/>
  <c r="AZ17" i="60"/>
  <c r="AY17" i="60"/>
  <c r="AX17" i="60"/>
  <c r="AW17" i="60"/>
  <c r="N17" i="60"/>
  <c r="AJ16" i="60"/>
  <c r="AI16" i="60"/>
  <c r="AG16" i="60"/>
  <c r="AF16" i="60"/>
  <c r="AD16" i="60"/>
  <c r="AC16" i="60"/>
  <c r="AA16" i="60"/>
  <c r="Z16" i="60"/>
  <c r="O16" i="60"/>
  <c r="AJ15" i="60"/>
  <c r="AI15" i="60"/>
  <c r="AG15" i="60"/>
  <c r="AF15" i="60"/>
  <c r="AD15" i="60"/>
  <c r="AC15" i="60"/>
  <c r="AA15" i="60"/>
  <c r="Z15" i="60"/>
  <c r="O15" i="60"/>
  <c r="BI14" i="60"/>
  <c r="BG14" i="60"/>
  <c r="BE14" i="60"/>
  <c r="BC14" i="60"/>
  <c r="AJ14" i="60"/>
  <c r="AG14" i="60"/>
  <c r="AD14" i="60"/>
  <c r="AA14" i="60"/>
  <c r="Z14" i="60"/>
  <c r="AJ13" i="60"/>
  <c r="AI13" i="60"/>
  <c r="AG13" i="60"/>
  <c r="AF13" i="60"/>
  <c r="AD13" i="60"/>
  <c r="AC13" i="60"/>
  <c r="AA13" i="60"/>
  <c r="Z13" i="60"/>
  <c r="O13" i="60"/>
  <c r="AY12" i="60"/>
  <c r="AJ12" i="60"/>
  <c r="AG12" i="60"/>
  <c r="AD12" i="60"/>
  <c r="AC12" i="60"/>
  <c r="AA12" i="60"/>
  <c r="O12" i="60"/>
  <c r="O14" i="60"/>
  <c r="BT8" i="60"/>
  <c r="BG8" i="60"/>
  <c r="BR6" i="60"/>
  <c r="BP6" i="60"/>
  <c r="BN6" i="60"/>
  <c r="T5" i="60"/>
  <c r="AJ4" i="60"/>
  <c r="AI4" i="60"/>
  <c r="AG4" i="60"/>
  <c r="AF4" i="60"/>
  <c r="AD4" i="60"/>
  <c r="AC4" i="60"/>
  <c r="AA4" i="60"/>
  <c r="Z4" i="60"/>
  <c r="BT3" i="60"/>
  <c r="BS3" i="60"/>
  <c r="BR3" i="60"/>
  <c r="BQ3" i="60"/>
  <c r="BP3" i="60"/>
  <c r="BO3" i="60"/>
  <c r="BN3" i="60"/>
  <c r="BM3" i="60"/>
  <c r="BL3" i="60"/>
  <c r="BK3" i="60"/>
  <c r="BJ3" i="60"/>
  <c r="BI3" i="60"/>
  <c r="BH3" i="60"/>
  <c r="BG3" i="60"/>
  <c r="BF3" i="60"/>
  <c r="BE3" i="60"/>
  <c r="BD3" i="60"/>
  <c r="BC3" i="60"/>
  <c r="BB3" i="60"/>
  <c r="BA3" i="60"/>
  <c r="AZ3" i="60"/>
  <c r="AY3" i="60"/>
  <c r="AX3" i="60"/>
  <c r="AW3" i="60"/>
  <c r="T3" i="60"/>
  <c r="S3" i="60"/>
  <c r="R3" i="60"/>
  <c r="Q3" i="60"/>
  <c r="P3" i="60"/>
  <c r="O3" i="60"/>
  <c r="N3" i="60"/>
  <c r="M3" i="60"/>
  <c r="L3" i="60"/>
  <c r="M5" i="60" l="1"/>
  <c r="N5" i="60"/>
  <c r="R5" i="60"/>
  <c r="R211" i="60"/>
  <c r="R238" i="60" s="1"/>
  <c r="S277" i="60"/>
  <c r="S384" i="60" s="1"/>
  <c r="S387" i="60" s="1"/>
  <c r="S8" i="60" s="1"/>
  <c r="N211" i="60"/>
  <c r="AW384" i="60"/>
  <c r="M384" i="60"/>
  <c r="M387" i="60" s="1"/>
  <c r="AX384" i="60"/>
  <c r="BB384" i="60"/>
  <c r="BF384" i="60"/>
  <c r="BJ384" i="60"/>
  <c r="BN384" i="60"/>
  <c r="BR384" i="60"/>
  <c r="AY384" i="60"/>
  <c r="N384" i="60"/>
  <c r="R384" i="60"/>
  <c r="BM12" i="60"/>
  <c r="AZ384" i="60"/>
  <c r="BD384" i="60"/>
  <c r="BH384" i="60"/>
  <c r="BL384" i="60"/>
  <c r="BP384" i="60"/>
  <c r="AE300" i="60"/>
  <c r="AI256" i="60"/>
  <c r="AS256" i="60" s="1"/>
  <c r="AV256" i="60" s="1"/>
  <c r="AI300" i="60"/>
  <c r="AK300" i="60" s="1"/>
  <c r="Z300" i="60"/>
  <c r="AF300" i="60"/>
  <c r="AN300" i="60"/>
  <c r="AG300" i="60"/>
  <c r="AT300" i="60" s="1"/>
  <c r="BA8" i="60"/>
  <c r="AE4" i="60"/>
  <c r="BI17" i="60"/>
  <c r="BI12" i="60" s="1"/>
  <c r="BE277" i="60"/>
  <c r="AC277" i="60" s="1"/>
  <c r="L380" i="60"/>
  <c r="O380" i="60" s="1"/>
  <c r="AC327" i="60"/>
  <c r="AM327" i="60" s="1"/>
  <c r="Q17" i="60"/>
  <c r="BA72" i="60"/>
  <c r="BQ72" i="60"/>
  <c r="BE72" i="60"/>
  <c r="BM72" i="60"/>
  <c r="AH4" i="60"/>
  <c r="BG72" i="60"/>
  <c r="AI75" i="60"/>
  <c r="AK75" i="60" s="1"/>
  <c r="BC198" i="60"/>
  <c r="AC198" i="60" s="1"/>
  <c r="AD3" i="60"/>
  <c r="AJ27" i="60"/>
  <c r="S28" i="60"/>
  <c r="AC38" i="60"/>
  <c r="AE38" i="60" s="1"/>
  <c r="O94" i="60"/>
  <c r="BS39" i="60"/>
  <c r="Z73" i="60"/>
  <c r="AB73" i="60" s="1"/>
  <c r="BG346" i="60"/>
  <c r="BG384" i="60" s="1"/>
  <c r="AF58" i="60"/>
  <c r="AH58" i="60" s="1"/>
  <c r="BI57" i="60"/>
  <c r="AF57" i="60" s="1"/>
  <c r="BO17" i="60"/>
  <c r="AI17" i="60" s="1"/>
  <c r="AC27" i="60"/>
  <c r="AM27" i="60" s="1"/>
  <c r="AF27" i="60"/>
  <c r="AI27" i="60"/>
  <c r="Q28" i="60"/>
  <c r="BC316" i="60"/>
  <c r="AC316" i="60" s="1"/>
  <c r="AI381" i="60"/>
  <c r="AK381" i="60" s="1"/>
  <c r="AI3" i="60"/>
  <c r="AI312" i="60"/>
  <c r="AK312" i="60" s="1"/>
  <c r="BE326" i="60"/>
  <c r="AC326" i="60" s="1"/>
  <c r="BK12" i="60"/>
  <c r="BS12" i="60"/>
  <c r="BO12" i="60"/>
  <c r="BQ12" i="60"/>
  <c r="AG27" i="60"/>
  <c r="O276" i="60"/>
  <c r="AC73" i="60"/>
  <c r="AE73" i="60" s="1"/>
  <c r="BS72" i="60"/>
  <c r="AC47" i="60"/>
  <c r="AE47" i="60" s="1"/>
  <c r="BG94" i="60"/>
  <c r="AC94" i="60" s="1"/>
  <c r="AC297" i="60"/>
  <c r="AE297" i="60" s="1"/>
  <c r="AD27" i="60"/>
  <c r="AN27" i="60" s="1"/>
  <c r="L28" i="60"/>
  <c r="O28" i="60" s="1"/>
  <c r="AF43" i="60"/>
  <c r="AH43" i="60" s="1"/>
  <c r="BB70" i="60"/>
  <c r="AA70" i="60" s="1"/>
  <c r="BI72" i="60"/>
  <c r="AO233" i="60"/>
  <c r="Z3" i="60"/>
  <c r="AA3" i="60"/>
  <c r="AN3" i="60" s="1"/>
  <c r="AJ3" i="60"/>
  <c r="AT4" i="60"/>
  <c r="AC22" i="60"/>
  <c r="AP22" i="60" s="1"/>
  <c r="AI66" i="60"/>
  <c r="AS66" i="60" s="1"/>
  <c r="AV66" i="60" s="1"/>
  <c r="AC253" i="60"/>
  <c r="AM253" i="60" s="1"/>
  <c r="BI45" i="60"/>
  <c r="AF45" i="60" s="1"/>
  <c r="P14" i="60"/>
  <c r="AR233" i="60"/>
  <c r="AU233" i="60"/>
  <c r="AK266" i="60"/>
  <c r="L346" i="60"/>
  <c r="O346" i="60" s="1"/>
  <c r="AH352" i="60"/>
  <c r="AE355" i="60"/>
  <c r="AK358" i="60"/>
  <c r="AB360" i="60"/>
  <c r="AQ287" i="60"/>
  <c r="AE281" i="60"/>
  <c r="AB285" i="60"/>
  <c r="O207" i="60"/>
  <c r="AK149" i="60"/>
  <c r="AB74" i="60"/>
  <c r="AC375" i="60"/>
  <c r="AC128" i="60"/>
  <c r="AM283" i="60"/>
  <c r="AN317" i="60"/>
  <c r="Z128" i="60"/>
  <c r="AC28" i="60"/>
  <c r="AF28" i="60"/>
  <c r="AI28" i="60"/>
  <c r="AG48" i="60"/>
  <c r="AB138" i="60"/>
  <c r="AG246" i="60"/>
  <c r="AH363" i="60"/>
  <c r="AK364" i="60"/>
  <c r="AK366" i="60"/>
  <c r="AK374" i="60"/>
  <c r="AK377" i="60"/>
  <c r="AB379" i="60"/>
  <c r="AN146" i="60"/>
  <c r="AN151" i="60"/>
  <c r="AN161" i="60"/>
  <c r="AS162" i="60"/>
  <c r="AV162" i="60" s="1"/>
  <c r="AJ195" i="60"/>
  <c r="AH268" i="60"/>
  <c r="AH272" i="60"/>
  <c r="AN278" i="60"/>
  <c r="AP299" i="60"/>
  <c r="AN350" i="60"/>
  <c r="AJ53" i="60"/>
  <c r="AE338" i="60"/>
  <c r="AN345" i="60"/>
  <c r="AH382" i="60"/>
  <c r="AM29" i="60"/>
  <c r="O275" i="60"/>
  <c r="V70" i="60"/>
  <c r="X70" i="60" s="1"/>
  <c r="X275" i="60" s="1"/>
  <c r="BM311" i="60"/>
  <c r="AF311" i="60" s="1"/>
  <c r="AM318" i="60"/>
  <c r="AC3" i="60"/>
  <c r="AE3" i="60" s="1"/>
  <c r="AF3" i="60"/>
  <c r="AB4" i="60"/>
  <c r="AK4" i="60"/>
  <c r="O30" i="60"/>
  <c r="BK35" i="60"/>
  <c r="AF35" i="60" s="1"/>
  <c r="Z38" i="60"/>
  <c r="AB38" i="60" s="1"/>
  <c r="AF38" i="60"/>
  <c r="AH38" i="60" s="1"/>
  <c r="AI38" i="60"/>
  <c r="AK38" i="60" s="1"/>
  <c r="L45" i="60"/>
  <c r="O45" i="60" s="1"/>
  <c r="AF47" i="60"/>
  <c r="BS53" i="60"/>
  <c r="AI53" i="60" s="1"/>
  <c r="AC58" i="60"/>
  <c r="AE58" i="60" s="1"/>
  <c r="AC63" i="60"/>
  <c r="AP63" i="60" s="1"/>
  <c r="AF71" i="60"/>
  <c r="AH71" i="60" s="1"/>
  <c r="AC71" i="60"/>
  <c r="AE71" i="60" s="1"/>
  <c r="L72" i="60"/>
  <c r="O72" i="60" s="1"/>
  <c r="Z75" i="60"/>
  <c r="AB75" i="60" s="1"/>
  <c r="BE265" i="60"/>
  <c r="AC265" i="60" s="1"/>
  <c r="Q277" i="60"/>
  <c r="Q384" i="60" s="1"/>
  <c r="AC285" i="60"/>
  <c r="AE285" i="60" s="1"/>
  <c r="BI326" i="60"/>
  <c r="AF326" i="60" s="1"/>
  <c r="BC346" i="60"/>
  <c r="AF65" i="60"/>
  <c r="AP65" i="60" s="1"/>
  <c r="S17" i="60"/>
  <c r="BE45" i="60"/>
  <c r="AC45" i="60" s="1"/>
  <c r="L53" i="60"/>
  <c r="O53" i="60" s="1"/>
  <c r="AF73" i="60"/>
  <c r="AH73" i="60" s="1"/>
  <c r="AC75" i="60"/>
  <c r="AE75" i="60" s="1"/>
  <c r="AG3" i="60"/>
  <c r="BS45" i="60"/>
  <c r="AI45" i="60" s="1"/>
  <c r="Z58" i="60"/>
  <c r="AY72" i="60"/>
  <c r="BC72" i="60"/>
  <c r="BK72" i="60"/>
  <c r="BO72" i="60"/>
  <c r="AI73" i="60"/>
  <c r="AK73" i="60" s="1"/>
  <c r="AF75" i="60"/>
  <c r="AH75" i="60" s="1"/>
  <c r="BK252" i="60"/>
  <c r="AF252" i="60" s="1"/>
  <c r="BS252" i="60"/>
  <c r="AI252" i="60" s="1"/>
  <c r="BS257" i="60"/>
  <c r="AI257" i="60" s="1"/>
  <c r="BQ334" i="60"/>
  <c r="BQ384" i="60" s="1"/>
  <c r="AD178" i="60"/>
  <c r="AG148" i="60"/>
  <c r="AS153" i="60"/>
  <c r="AN156" i="60"/>
  <c r="AS157" i="60"/>
  <c r="AV157" i="60" s="1"/>
  <c r="AH158" i="60"/>
  <c r="AE162" i="60"/>
  <c r="AK16" i="60"/>
  <c r="AE18" i="60"/>
  <c r="AQ19" i="60"/>
  <c r="AB20" i="60"/>
  <c r="AC23" i="60"/>
  <c r="AF23" i="60"/>
  <c r="AI23" i="60"/>
  <c r="AP24" i="60"/>
  <c r="AK24" i="60"/>
  <c r="AH29" i="60"/>
  <c r="AK37" i="60"/>
  <c r="AE40" i="60"/>
  <c r="AF128" i="60"/>
  <c r="AQ154" i="60"/>
  <c r="AJ167" i="60"/>
  <c r="AH262" i="60"/>
  <c r="AI316" i="60"/>
  <c r="AK41" i="60"/>
  <c r="AI35" i="60"/>
  <c r="AP36" i="60"/>
  <c r="AS37" i="60"/>
  <c r="AV37" i="60" s="1"/>
  <c r="AK78" i="60"/>
  <c r="AK135" i="60"/>
  <c r="AH137" i="60"/>
  <c r="AB164" i="60"/>
  <c r="AA209" i="60"/>
  <c r="AG209" i="60"/>
  <c r="AJ216" i="60"/>
  <c r="AM239" i="60"/>
  <c r="AJ244" i="60"/>
  <c r="AB245" i="60"/>
  <c r="AJ263" i="60"/>
  <c r="AG273" i="60"/>
  <c r="AA316" i="60"/>
  <c r="AD316" i="60"/>
  <c r="AD334" i="60"/>
  <c r="AG334" i="60"/>
  <c r="AM338" i="60"/>
  <c r="AN356" i="60"/>
  <c r="AN379" i="60"/>
  <c r="AA277" i="60"/>
  <c r="AI14" i="60"/>
  <c r="AK14" i="60" s="1"/>
  <c r="AH16" i="60"/>
  <c r="AB18" i="60"/>
  <c r="AE20" i="60"/>
  <c r="AK22" i="60"/>
  <c r="AK25" i="60"/>
  <c r="AK31" i="60"/>
  <c r="AG134" i="60"/>
  <c r="AG198" i="60"/>
  <c r="AE249" i="60"/>
  <c r="AH251" i="60"/>
  <c r="AH358" i="60"/>
  <c r="AH366" i="60"/>
  <c r="AE379" i="60"/>
  <c r="AK379" i="60"/>
  <c r="AH381" i="60"/>
  <c r="AH136" i="60"/>
  <c r="AH143" i="60"/>
  <c r="AB147" i="60"/>
  <c r="AB152" i="60"/>
  <c r="AB156" i="60"/>
  <c r="AA51" i="60"/>
  <c r="AH50" i="60"/>
  <c r="AK74" i="60"/>
  <c r="AK77" i="60"/>
  <c r="AK81" i="60"/>
  <c r="AA103" i="60"/>
  <c r="AD103" i="60"/>
  <c r="AJ103" i="60"/>
  <c r="AM127" i="60"/>
  <c r="AM131" i="60"/>
  <c r="Z380" i="60"/>
  <c r="AC380" i="60"/>
  <c r="AM89" i="60"/>
  <c r="AD94" i="60"/>
  <c r="AC103" i="60"/>
  <c r="AA109" i="60"/>
  <c r="AD109" i="60"/>
  <c r="AG109" i="60"/>
  <c r="AJ109" i="60"/>
  <c r="AM110" i="60"/>
  <c r="AM119" i="60"/>
  <c r="Z124" i="60"/>
  <c r="AC124" i="60"/>
  <c r="AI124" i="60"/>
  <c r="AP126" i="60"/>
  <c r="AB145" i="60"/>
  <c r="AE151" i="60"/>
  <c r="AG178" i="60"/>
  <c r="AS197" i="60"/>
  <c r="AV197" i="60" s="1"/>
  <c r="Z198" i="60"/>
  <c r="AB206" i="60"/>
  <c r="AF207" i="60"/>
  <c r="AK245" i="60"/>
  <c r="AN247" i="60"/>
  <c r="AE262" i="60"/>
  <c r="AK262" i="60"/>
  <c r="AH266" i="60"/>
  <c r="AK267" i="60"/>
  <c r="AC275" i="60"/>
  <c r="AG323" i="60"/>
  <c r="Z326" i="60"/>
  <c r="AM329" i="60"/>
  <c r="AJ334" i="60"/>
  <c r="AJ339" i="60"/>
  <c r="AK363" i="60"/>
  <c r="AH49" i="60"/>
  <c r="AJ57" i="60"/>
  <c r="AG62" i="60"/>
  <c r="AJ62" i="60"/>
  <c r="AP64" i="60"/>
  <c r="AB82" i="60"/>
  <c r="BD86" i="60"/>
  <c r="Z178" i="60"/>
  <c r="AC178" i="60"/>
  <c r="AF178" i="60"/>
  <c r="AI178" i="60"/>
  <c r="AT179" i="60"/>
  <c r="AT194" i="60"/>
  <c r="AD195" i="60"/>
  <c r="AG195" i="60"/>
  <c r="AN197" i="60"/>
  <c r="Z205" i="60"/>
  <c r="AC205" i="60"/>
  <c r="AF205" i="60"/>
  <c r="AH255" i="60"/>
  <c r="AH261" i="60"/>
  <c r="AA271" i="60"/>
  <c r="AD271" i="60"/>
  <c r="AN290" i="60"/>
  <c r="AQ294" i="60"/>
  <c r="Z323" i="60"/>
  <c r="AC323" i="60"/>
  <c r="AF323" i="60"/>
  <c r="AI323" i="60"/>
  <c r="AN324" i="60"/>
  <c r="AM325" i="60"/>
  <c r="AA339" i="60"/>
  <c r="AF339" i="60"/>
  <c r="AI339" i="60"/>
  <c r="AA346" i="60"/>
  <c r="AD346" i="60"/>
  <c r="AG346" i="60"/>
  <c r="AJ346" i="60"/>
  <c r="AN355" i="60"/>
  <c r="AI128" i="60"/>
  <c r="Z167" i="60"/>
  <c r="AD17" i="60"/>
  <c r="AG17" i="60"/>
  <c r="AJ17" i="60"/>
  <c r="AH19" i="60"/>
  <c r="AP26" i="60"/>
  <c r="AK26" i="60"/>
  <c r="AH54" i="60"/>
  <c r="AK58" i="60"/>
  <c r="AK71" i="60"/>
  <c r="AX86" i="60"/>
  <c r="AH118" i="60"/>
  <c r="AH123" i="60"/>
  <c r="AK126" i="60"/>
  <c r="AH131" i="60"/>
  <c r="AE166" i="60"/>
  <c r="AK166" i="60"/>
  <c r="AH168" i="60"/>
  <c r="AB185" i="60"/>
  <c r="AQ206" i="60"/>
  <c r="AG271" i="60"/>
  <c r="AK278" i="60"/>
  <c r="AE290" i="60"/>
  <c r="AH292" i="60"/>
  <c r="AB293" i="60"/>
  <c r="AH293" i="60"/>
  <c r="AE294" i="60"/>
  <c r="AE295" i="60"/>
  <c r="AH297" i="60"/>
  <c r="AG316" i="60"/>
  <c r="AJ316" i="60"/>
  <c r="AH327" i="60"/>
  <c r="AK329" i="60"/>
  <c r="AK335" i="60"/>
  <c r="AK340" i="60"/>
  <c r="AE345" i="60"/>
  <c r="AK345" i="60"/>
  <c r="AH348" i="60"/>
  <c r="AK350" i="60"/>
  <c r="AN360" i="60"/>
  <c r="AH376" i="60"/>
  <c r="AF380" i="60"/>
  <c r="AG39" i="60"/>
  <c r="AI51" i="60"/>
  <c r="AJ72" i="60"/>
  <c r="AQ77" i="60"/>
  <c r="AP78" i="60"/>
  <c r="AQ80" i="60"/>
  <c r="AP85" i="60"/>
  <c r="AQ97" i="60"/>
  <c r="AN99" i="60"/>
  <c r="Z186" i="60"/>
  <c r="AC186" i="60"/>
  <c r="AF186" i="60"/>
  <c r="AI186" i="60"/>
  <c r="AQ187" i="60"/>
  <c r="AJ252" i="60"/>
  <c r="AD260" i="60"/>
  <c r="AG260" i="60"/>
  <c r="AJ260" i="60"/>
  <c r="AM261" i="60"/>
  <c r="AM262" i="60"/>
  <c r="Z263" i="60"/>
  <c r="AC263" i="60"/>
  <c r="AF263" i="60"/>
  <c r="AN264" i="60"/>
  <c r="AK269" i="60"/>
  <c r="AD277" i="60"/>
  <c r="AG277" i="60"/>
  <c r="AM281" i="60"/>
  <c r="AM294" i="60"/>
  <c r="AN314" i="60"/>
  <c r="Z315" i="60"/>
  <c r="AC334" i="60"/>
  <c r="AF334" i="60"/>
  <c r="AP360" i="60"/>
  <c r="AQ362" i="60"/>
  <c r="AN367" i="60"/>
  <c r="AJ39" i="60"/>
  <c r="AC39" i="60"/>
  <c r="AN40" i="60"/>
  <c r="AS41" i="60"/>
  <c r="AV41" i="60" s="1"/>
  <c r="AK47" i="60"/>
  <c r="AQ49" i="60"/>
  <c r="AE52" i="60"/>
  <c r="AH56" i="60"/>
  <c r="AD57" i="60"/>
  <c r="AK65" i="60"/>
  <c r="AN66" i="60"/>
  <c r="AM74" i="60"/>
  <c r="AS77" i="60"/>
  <c r="AV77" i="60" s="1"/>
  <c r="AM81" i="60"/>
  <c r="AN90" i="60"/>
  <c r="AH97" i="60"/>
  <c r="AK99" i="60"/>
  <c r="AH101" i="60"/>
  <c r="AK102" i="60"/>
  <c r="AE131" i="60"/>
  <c r="AH132" i="60"/>
  <c r="AA134" i="60"/>
  <c r="AD134" i="60"/>
  <c r="AJ134" i="60"/>
  <c r="AM151" i="60"/>
  <c r="AE168" i="60"/>
  <c r="AH169" i="60"/>
  <c r="AK185" i="60"/>
  <c r="AH196" i="60"/>
  <c r="AK197" i="60"/>
  <c r="AS199" i="60"/>
  <c r="AV199" i="60" s="1"/>
  <c r="AH199" i="60"/>
  <c r="AE200" i="60"/>
  <c r="AH208" i="60"/>
  <c r="AJ246" i="60"/>
  <c r="AB278" i="60"/>
  <c r="AK289" i="60"/>
  <c r="AE293" i="60"/>
  <c r="AK293" i="60"/>
  <c r="AJ311" i="60"/>
  <c r="AH328" i="60"/>
  <c r="AH329" i="60"/>
  <c r="AE337" i="60"/>
  <c r="AB340" i="60"/>
  <c r="AH343" i="60"/>
  <c r="AB345" i="60"/>
  <c r="AH347" i="60"/>
  <c r="AE347" i="60"/>
  <c r="AK36" i="60"/>
  <c r="AK42" i="60"/>
  <c r="AE44" i="60"/>
  <c r="AK46" i="60"/>
  <c r="AJ48" i="60"/>
  <c r="AK50" i="60"/>
  <c r="AE56" i="60"/>
  <c r="AK64" i="60"/>
  <c r="AB76" i="60"/>
  <c r="AH81" i="60"/>
  <c r="AH284" i="60"/>
  <c r="AB312" i="60"/>
  <c r="AC14" i="60"/>
  <c r="AM14" i="60" s="1"/>
  <c r="AT15" i="60"/>
  <c r="AM16" i="60"/>
  <c r="AN22" i="60"/>
  <c r="AP31" i="60"/>
  <c r="AD35" i="60"/>
  <c r="AJ35" i="60"/>
  <c r="AD39" i="60"/>
  <c r="Z45" i="60"/>
  <c r="AQ46" i="60"/>
  <c r="Z48" i="60"/>
  <c r="AC48" i="60"/>
  <c r="AM49" i="60"/>
  <c r="AM56" i="60"/>
  <c r="AG57" i="60"/>
  <c r="Z67" i="60"/>
  <c r="AC67" i="60"/>
  <c r="AF67" i="60"/>
  <c r="AI67" i="60"/>
  <c r="AA72" i="60"/>
  <c r="AD72" i="60"/>
  <c r="AG72" i="60"/>
  <c r="BT67" i="60"/>
  <c r="AJ67" i="60" s="1"/>
  <c r="AF87" i="60"/>
  <c r="Z134" i="60"/>
  <c r="AW133" i="60"/>
  <c r="AM141" i="60"/>
  <c r="AN144" i="60"/>
  <c r="AM147" i="60"/>
  <c r="AT153" i="60"/>
  <c r="AM154" i="60"/>
  <c r="AK283" i="60"/>
  <c r="AK299" i="60"/>
  <c r="AF316" i="60"/>
  <c r="AH15" i="60"/>
  <c r="AA35" i="60"/>
  <c r="AG35" i="60"/>
  <c r="AK13" i="60"/>
  <c r="AK15" i="60"/>
  <c r="AK19" i="60"/>
  <c r="AE29" i="60"/>
  <c r="AM34" i="60"/>
  <c r="AH34" i="60"/>
  <c r="O35" i="60"/>
  <c r="AJ45" i="60"/>
  <c r="AH46" i="60"/>
  <c r="Z53" i="60"/>
  <c r="AQ54" i="60"/>
  <c r="AA57" i="60"/>
  <c r="AN58" i="60"/>
  <c r="AD70" i="60"/>
  <c r="AI70" i="60"/>
  <c r="AK76" i="60"/>
  <c r="AK89" i="60"/>
  <c r="AP92" i="60"/>
  <c r="AT93" i="60"/>
  <c r="AG94" i="60"/>
  <c r="AP95" i="60"/>
  <c r="AM108" i="60"/>
  <c r="AM117" i="60"/>
  <c r="AM122" i="60"/>
  <c r="AB282" i="60"/>
  <c r="AH287" i="60"/>
  <c r="AH90" i="60"/>
  <c r="AH91" i="60"/>
  <c r="AB95" i="60"/>
  <c r="AH96" i="60"/>
  <c r="AE98" i="60"/>
  <c r="AQ101" i="60"/>
  <c r="AS104" i="60"/>
  <c r="AV104" i="60" s="1"/>
  <c r="AK108" i="60"/>
  <c r="Z109" i="60"/>
  <c r="AC109" i="60"/>
  <c r="AF109" i="60"/>
  <c r="AI109" i="60"/>
  <c r="AN110" i="60"/>
  <c r="AK117" i="60"/>
  <c r="AN119" i="60"/>
  <c r="AK122" i="60"/>
  <c r="AK177" i="60"/>
  <c r="AE179" i="60"/>
  <c r="BM133" i="60"/>
  <c r="AK194" i="60"/>
  <c r="AB201" i="60"/>
  <c r="AK217" i="60"/>
  <c r="AK239" i="60"/>
  <c r="AU242" i="60"/>
  <c r="AE243" i="60"/>
  <c r="AN245" i="60"/>
  <c r="Z252" i="60"/>
  <c r="AC252" i="60"/>
  <c r="AT253" i="60"/>
  <c r="AK253" i="60"/>
  <c r="AM254" i="60"/>
  <c r="AH254" i="60"/>
  <c r="AQ255" i="60"/>
  <c r="AK255" i="60"/>
  <c r="AK256" i="60"/>
  <c r="AB259" i="60"/>
  <c r="Z260" i="60"/>
  <c r="AC260" i="60"/>
  <c r="AF260" i="60"/>
  <c r="AK261" i="60"/>
  <c r="AT262" i="60"/>
  <c r="AA265" i="60"/>
  <c r="AD265" i="60"/>
  <c r="AG265" i="60"/>
  <c r="AK280" i="60"/>
  <c r="AH283" i="60"/>
  <c r="AE284" i="60"/>
  <c r="AK294" i="60"/>
  <c r="AK310" i="60"/>
  <c r="AH314" i="60"/>
  <c r="O316" i="60"/>
  <c r="AK320" i="60"/>
  <c r="AB322" i="60"/>
  <c r="AH324" i="60"/>
  <c r="AK342" i="60"/>
  <c r="Z346" i="60"/>
  <c r="AI346" i="60"/>
  <c r="AE349" i="60"/>
  <c r="AH351" i="60"/>
  <c r="AN358" i="60"/>
  <c r="AH359" i="60"/>
  <c r="AM362" i="60"/>
  <c r="AH367" i="60"/>
  <c r="AK369" i="60"/>
  <c r="AE376" i="60"/>
  <c r="AM377" i="60"/>
  <c r="AH377" i="60"/>
  <c r="AE378" i="60"/>
  <c r="AI380" i="60"/>
  <c r="AQ381" i="60"/>
  <c r="AM166" i="60"/>
  <c r="AA195" i="60"/>
  <c r="Z216" i="60"/>
  <c r="AF216" i="60"/>
  <c r="AA244" i="60"/>
  <c r="AD244" i="60"/>
  <c r="AF246" i="60"/>
  <c r="AI246" i="60"/>
  <c r="AN250" i="60"/>
  <c r="AM251" i="60"/>
  <c r="AA252" i="60"/>
  <c r="AD252" i="60"/>
  <c r="AG252" i="60"/>
  <c r="AH253" i="60"/>
  <c r="AT254" i="60"/>
  <c r="AM255" i="60"/>
  <c r="Z265" i="60"/>
  <c r="AF265" i="60"/>
  <c r="AI265" i="60"/>
  <c r="AM266" i="60"/>
  <c r="AJ273" i="60"/>
  <c r="Z277" i="60"/>
  <c r="AA315" i="60"/>
  <c r="AD315" i="60"/>
  <c r="AN322" i="60"/>
  <c r="AJ323" i="60"/>
  <c r="AN341" i="60"/>
  <c r="AM342" i="60"/>
  <c r="AN359" i="60"/>
  <c r="AP366" i="60"/>
  <c r="AM368" i="60"/>
  <c r="AJ375" i="60"/>
  <c r="AJ380" i="60"/>
  <c r="AK91" i="60"/>
  <c r="AB92" i="60"/>
  <c r="AK96" i="60"/>
  <c r="AE110" i="60"/>
  <c r="AK116" i="60"/>
  <c r="AB117" i="60"/>
  <c r="AE119" i="60"/>
  <c r="AK120" i="60"/>
  <c r="AB122" i="60"/>
  <c r="AB141" i="60"/>
  <c r="AK168" i="60"/>
  <c r="AE169" i="60"/>
  <c r="AH177" i="60"/>
  <c r="AA178" i="60"/>
  <c r="AJ178" i="60"/>
  <c r="AK201" i="60"/>
  <c r="AP210" i="60"/>
  <c r="AH248" i="60"/>
  <c r="AE250" i="60"/>
  <c r="AK254" i="60"/>
  <c r="AK270" i="60"/>
  <c r="AK276" i="60"/>
  <c r="AN289" i="60"/>
  <c r="AH310" i="60"/>
  <c r="AK314" i="60"/>
  <c r="AK318" i="60"/>
  <c r="AK325" i="60"/>
  <c r="AQ329" i="60"/>
  <c r="AE341" i="60"/>
  <c r="AM349" i="60"/>
  <c r="AB354" i="60"/>
  <c r="AB357" i="60"/>
  <c r="AE359" i="60"/>
  <c r="AB364" i="60"/>
  <c r="AM367" i="60"/>
  <c r="AK367" i="60"/>
  <c r="AB369" i="60"/>
  <c r="AH378" i="60"/>
  <c r="AK30" i="60"/>
  <c r="O70" i="60"/>
  <c r="BA133" i="60"/>
  <c r="BE133" i="60"/>
  <c r="BI133" i="60"/>
  <c r="BQ133" i="60"/>
  <c r="AM170" i="60"/>
  <c r="AB170" i="60"/>
  <c r="Z12" i="60"/>
  <c r="AN18" i="60"/>
  <c r="AN20" i="60"/>
  <c r="O23" i="60"/>
  <c r="AP25" i="60"/>
  <c r="AA28" i="60"/>
  <c r="AG28" i="60"/>
  <c r="AJ28" i="60"/>
  <c r="AN29" i="60"/>
  <c r="AS30" i="60"/>
  <c r="AV30" i="60" s="1"/>
  <c r="AQ32" i="60"/>
  <c r="AK32" i="60"/>
  <c r="AP33" i="60"/>
  <c r="AK33" i="60"/>
  <c r="AN38" i="60"/>
  <c r="AF39" i="60"/>
  <c r="AS42" i="60"/>
  <c r="AV42" i="60" s="1"/>
  <c r="AN43" i="60"/>
  <c r="AQ44" i="60"/>
  <c r="Z51" i="60"/>
  <c r="AC51" i="60"/>
  <c r="AF51" i="60"/>
  <c r="AQ52" i="60"/>
  <c r="AK56" i="60"/>
  <c r="Z57" i="60"/>
  <c r="AC62" i="60"/>
  <c r="AF62" i="60"/>
  <c r="AI62" i="60"/>
  <c r="AN63" i="60"/>
  <c r="AP69" i="60"/>
  <c r="AK69" i="60"/>
  <c r="AK80" i="60"/>
  <c r="AM82" i="60"/>
  <c r="AN82" i="60"/>
  <c r="BT86" i="60"/>
  <c r="AH93" i="60"/>
  <c r="Z94" i="60"/>
  <c r="AF94" i="60"/>
  <c r="AK100" i="60"/>
  <c r="Z103" i="60"/>
  <c r="AF103" i="60"/>
  <c r="AI103" i="60"/>
  <c r="AN104" i="60"/>
  <c r="AB104" i="60"/>
  <c r="AN116" i="60"/>
  <c r="AB116" i="60"/>
  <c r="AQ118" i="60"/>
  <c r="AN120" i="60"/>
  <c r="AB120" i="60"/>
  <c r="AQ123" i="60"/>
  <c r="AQ127" i="60"/>
  <c r="AA128" i="60"/>
  <c r="AK140" i="60"/>
  <c r="AC35" i="60"/>
  <c r="AT13" i="60"/>
  <c r="AH13" i="60"/>
  <c r="AE16" i="60"/>
  <c r="Z17" i="60"/>
  <c r="AF17" i="60"/>
  <c r="AT22" i="60"/>
  <c r="AA23" i="60"/>
  <c r="AN24" i="60"/>
  <c r="AM32" i="60"/>
  <c r="AS40" i="60"/>
  <c r="AV40" i="60" s="1"/>
  <c r="AN42" i="60"/>
  <c r="AA45" i="60"/>
  <c r="AD45" i="60"/>
  <c r="AG45" i="60"/>
  <c r="AT50" i="60"/>
  <c r="AA53" i="60"/>
  <c r="AD53" i="60"/>
  <c r="AG53" i="60"/>
  <c r="AM55" i="60"/>
  <c r="AH55" i="60"/>
  <c r="AA62" i="60"/>
  <c r="AD62" i="60"/>
  <c r="AK63" i="60"/>
  <c r="AA67" i="60"/>
  <c r="AG67" i="60"/>
  <c r="AM68" i="60"/>
  <c r="AH68" i="60"/>
  <c r="AS76" i="60"/>
  <c r="AV76" i="60" s="1"/>
  <c r="AT78" i="60"/>
  <c r="AP79" i="60"/>
  <c r="AB89" i="60"/>
  <c r="AN98" i="60"/>
  <c r="AB99" i="60"/>
  <c r="AN102" i="60"/>
  <c r="AF134" i="60"/>
  <c r="AN135" i="60"/>
  <c r="AB204" i="60"/>
  <c r="AN89" i="60"/>
  <c r="AK90" i="60"/>
  <c r="AE96" i="60"/>
  <c r="AE97" i="60"/>
  <c r="AM98" i="60"/>
  <c r="AM100" i="60"/>
  <c r="AH100" i="60"/>
  <c r="AE101" i="60"/>
  <c r="AM102" i="60"/>
  <c r="AH102" i="60"/>
  <c r="AM104" i="60"/>
  <c r="AE104" i="60"/>
  <c r="AA124" i="60"/>
  <c r="AE129" i="60"/>
  <c r="AP130" i="60"/>
  <c r="AN131" i="60"/>
  <c r="AK138" i="60"/>
  <c r="AE143" i="60"/>
  <c r="AK144" i="60"/>
  <c r="AK150" i="60"/>
  <c r="AH151" i="60"/>
  <c r="AE152" i="60"/>
  <c r="AH153" i="60"/>
  <c r="AH154" i="60"/>
  <c r="AQ158" i="60"/>
  <c r="AE161" i="60"/>
  <c r="AK161" i="60"/>
  <c r="AN162" i="60"/>
  <c r="AS163" i="60"/>
  <c r="AV163" i="60" s="1"/>
  <c r="AK164" i="60"/>
  <c r="AN166" i="60"/>
  <c r="AC167" i="60"/>
  <c r="AF167" i="60"/>
  <c r="AI167" i="60"/>
  <c r="AN168" i="60"/>
  <c r="AA186" i="60"/>
  <c r="AG186" i="60"/>
  <c r="AS187" i="60"/>
  <c r="AV187" i="60" s="1"/>
  <c r="AH187" i="60"/>
  <c r="Z195" i="60"/>
  <c r="AF195" i="60"/>
  <c r="AE197" i="60"/>
  <c r="AE199" i="60"/>
  <c r="AS200" i="60"/>
  <c r="AV200" i="60" s="1"/>
  <c r="AH202" i="60"/>
  <c r="AA205" i="60"/>
  <c r="AD205" i="60"/>
  <c r="AG205" i="60"/>
  <c r="AJ205" i="60"/>
  <c r="AK206" i="60"/>
  <c r="AE212" i="60"/>
  <c r="AH243" i="60"/>
  <c r="Z273" i="60"/>
  <c r="AC273" i="60"/>
  <c r="AF273" i="60"/>
  <c r="AI273" i="60"/>
  <c r="AN274" i="60"/>
  <c r="AA275" i="60"/>
  <c r="AI275" i="60"/>
  <c r="AM280" i="60"/>
  <c r="AH294" i="60"/>
  <c r="AE321" i="60"/>
  <c r="AN137" i="60"/>
  <c r="AN140" i="60"/>
  <c r="AN149" i="60"/>
  <c r="AD167" i="60"/>
  <c r="AG167" i="60"/>
  <c r="AS169" i="60"/>
  <c r="AV169" i="60" s="1"/>
  <c r="AM177" i="60"/>
  <c r="AA198" i="60"/>
  <c r="AD198" i="60"/>
  <c r="AJ198" i="60"/>
  <c r="AT202" i="60"/>
  <c r="AA207" i="60"/>
  <c r="AG207" i="60"/>
  <c r="AJ207" i="60"/>
  <c r="Z209" i="60"/>
  <c r="AC209" i="60"/>
  <c r="AF209" i="60"/>
  <c r="AI209" i="60"/>
  <c r="AT210" i="60"/>
  <c r="AQ212" i="60"/>
  <c r="AA216" i="60"/>
  <c r="AD216" i="60"/>
  <c r="AG216" i="60"/>
  <c r="AK250" i="60"/>
  <c r="Z257" i="60"/>
  <c r="AC257" i="60"/>
  <c r="AF257" i="60"/>
  <c r="AQ258" i="60"/>
  <c r="AT259" i="60"/>
  <c r="AG263" i="60"/>
  <c r="AM268" i="60"/>
  <c r="AQ269" i="60"/>
  <c r="Z271" i="60"/>
  <c r="AF271" i="60"/>
  <c r="AM272" i="60"/>
  <c r="AH320" i="60"/>
  <c r="AN85" i="60"/>
  <c r="AA87" i="60"/>
  <c r="BB86" i="60"/>
  <c r="BJ86" i="60"/>
  <c r="BN86" i="60"/>
  <c r="AP88" i="60"/>
  <c r="AH88" i="60"/>
  <c r="AE89" i="60"/>
  <c r="AK92" i="60"/>
  <c r="AN96" i="60"/>
  <c r="AH108" i="60"/>
  <c r="AK125" i="60"/>
  <c r="AB126" i="60"/>
  <c r="AH127" i="60"/>
  <c r="AH130" i="60"/>
  <c r="AK131" i="60"/>
  <c r="AK132" i="60"/>
  <c r="AK136" i="60"/>
  <c r="AE137" i="60"/>
  <c r="AK137" i="60"/>
  <c r="AE139" i="60"/>
  <c r="AH141" i="60"/>
  <c r="AE142" i="60"/>
  <c r="AK142" i="60"/>
  <c r="AH150" i="60"/>
  <c r="AN152" i="60"/>
  <c r="AK156" i="60"/>
  <c r="AK162" i="60"/>
  <c r="AH194" i="60"/>
  <c r="AH197" i="60"/>
  <c r="O198" i="60"/>
  <c r="AF198" i="60"/>
  <c r="AI198" i="60"/>
  <c r="AN199" i="60"/>
  <c r="AM204" i="60"/>
  <c r="AK208" i="60"/>
  <c r="AH210" i="60"/>
  <c r="AE239" i="60"/>
  <c r="AG244" i="60"/>
  <c r="AP248" i="60"/>
  <c r="AN249" i="60"/>
  <c r="AM250" i="60"/>
  <c r="AQ251" i="60"/>
  <c r="AK251" i="60"/>
  <c r="AH256" i="60"/>
  <c r="AA257" i="60"/>
  <c r="AD257" i="60"/>
  <c r="AG257" i="60"/>
  <c r="AJ257" i="60"/>
  <c r="AH258" i="60"/>
  <c r="AK259" i="60"/>
  <c r="AH270" i="60"/>
  <c r="AK279" i="60"/>
  <c r="AK319" i="60"/>
  <c r="AQ352" i="60"/>
  <c r="AE352" i="60"/>
  <c r="AN354" i="60"/>
  <c r="AB355" i="60"/>
  <c r="AM267" i="60"/>
  <c r="AH267" i="60"/>
  <c r="AE268" i="60"/>
  <c r="AD273" i="60"/>
  <c r="AK274" i="60"/>
  <c r="Z275" i="60"/>
  <c r="AJ275" i="60"/>
  <c r="AM279" i="60"/>
  <c r="AH279" i="60"/>
  <c r="AE280" i="60"/>
  <c r="AN281" i="60"/>
  <c r="AK282" i="60"/>
  <c r="AQ284" i="60"/>
  <c r="AK285" i="60"/>
  <c r="AP286" i="60"/>
  <c r="AH286" i="60"/>
  <c r="AK287" i="60"/>
  <c r="AE289" i="60"/>
  <c r="AK290" i="60"/>
  <c r="AE296" i="60"/>
  <c r="AK296" i="60"/>
  <c r="AN310" i="60"/>
  <c r="AE312" i="60"/>
  <c r="AE314" i="60"/>
  <c r="AC315" i="60"/>
  <c r="AF315" i="60"/>
  <c r="AI315" i="60"/>
  <c r="AK317" i="60"/>
  <c r="AM319" i="60"/>
  <c r="AM321" i="60"/>
  <c r="AT322" i="60"/>
  <c r="AK324" i="60"/>
  <c r="AA326" i="60"/>
  <c r="AD326" i="60"/>
  <c r="AG326" i="60"/>
  <c r="AJ326" i="60"/>
  <c r="AB327" i="60"/>
  <c r="AK328" i="60"/>
  <c r="AM336" i="60"/>
  <c r="AH338" i="60"/>
  <c r="Z339" i="60"/>
  <c r="AN340" i="60"/>
  <c r="AQ347" i="60"/>
  <c r="AN348" i="60"/>
  <c r="AM350" i="60"/>
  <c r="AK352" i="60"/>
  <c r="AS356" i="60"/>
  <c r="AV356" i="60" s="1"/>
  <c r="AN357" i="60"/>
  <c r="AK361" i="60"/>
  <c r="AN364" i="60"/>
  <c r="AE368" i="60"/>
  <c r="AP374" i="60"/>
  <c r="AH374" i="60"/>
  <c r="Z375" i="60"/>
  <c r="AF375" i="60"/>
  <c r="AI375" i="60"/>
  <c r="AP376" i="60"/>
  <c r="AK376" i="60"/>
  <c r="AN377" i="60"/>
  <c r="AT379" i="60"/>
  <c r="AE382" i="60"/>
  <c r="AM383" i="60"/>
  <c r="AT292" i="60"/>
  <c r="AM310" i="60"/>
  <c r="AG315" i="60"/>
  <c r="AJ315" i="60"/>
  <c r="AM317" i="60"/>
  <c r="AS317" i="60"/>
  <c r="AV317" i="60" s="1"/>
  <c r="AQ318" i="60"/>
  <c r="AN319" i="60"/>
  <c r="AP322" i="60"/>
  <c r="AN327" i="60"/>
  <c r="AQ328" i="60"/>
  <c r="AN336" i="60"/>
  <c r="AM348" i="60"/>
  <c r="AP351" i="60"/>
  <c r="AA353" i="60"/>
  <c r="AD353" i="60"/>
  <c r="AG353" i="60"/>
  <c r="AJ353" i="60"/>
  <c r="AM358" i="60"/>
  <c r="AQ361" i="60"/>
  <c r="AS363" i="60"/>
  <c r="AV363" i="60" s="1"/>
  <c r="AT364" i="60"/>
  <c r="AT366" i="60"/>
  <c r="AN368" i="60"/>
  <c r="AG380" i="60"/>
  <c r="AE266" i="60"/>
  <c r="AE267" i="60"/>
  <c r="AH269" i="60"/>
  <c r="AK272" i="60"/>
  <c r="AH280" i="60"/>
  <c r="AN282" i="60"/>
  <c r="AN285" i="60"/>
  <c r="AK286" i="60"/>
  <c r="AE288" i="60"/>
  <c r="AK291" i="60"/>
  <c r="AK292" i="60"/>
  <c r="AB296" i="60"/>
  <c r="AH296" i="60"/>
  <c r="AK297" i="60"/>
  <c r="O311" i="60"/>
  <c r="AN312" i="60"/>
  <c r="AE325" i="60"/>
  <c r="AH335" i="60"/>
  <c r="AE336" i="60"/>
  <c r="AB341" i="60"/>
  <c r="AT341" i="60"/>
  <c r="AB350" i="60"/>
  <c r="AT350" i="60"/>
  <c r="AT351" i="60"/>
  <c r="AK351" i="60"/>
  <c r="AE354" i="60"/>
  <c r="AP357" i="60"/>
  <c r="AM361" i="60"/>
  <c r="AK362" i="60"/>
  <c r="O375" i="60"/>
  <c r="AK383" i="60"/>
  <c r="AF277" i="60"/>
  <c r="AE287" i="60"/>
  <c r="AM287" i="60"/>
  <c r="AT24" i="60"/>
  <c r="AB40" i="60"/>
  <c r="AT42" i="60"/>
  <c r="AM44" i="60"/>
  <c r="AK44" i="60"/>
  <c r="AK49" i="60"/>
  <c r="P51" i="60"/>
  <c r="AM52" i="60"/>
  <c r="AK52" i="60"/>
  <c r="AT55" i="60"/>
  <c r="AD87" i="60"/>
  <c r="BF86" i="60"/>
  <c r="AJ87" i="60"/>
  <c r="BR86" i="60"/>
  <c r="AT92" i="60"/>
  <c r="AM96" i="60"/>
  <c r="AM125" i="60"/>
  <c r="AB125" i="60"/>
  <c r="AY133" i="60"/>
  <c r="Z148" i="60"/>
  <c r="AC148" i="60"/>
  <c r="BC133" i="60"/>
  <c r="BG133" i="60"/>
  <c r="AF148" i="60"/>
  <c r="BK133" i="60"/>
  <c r="AI148" i="60"/>
  <c r="BO133" i="60"/>
  <c r="BS133" i="60"/>
  <c r="AM202" i="60"/>
  <c r="AB202" i="60"/>
  <c r="AI205" i="60"/>
  <c r="AT12" i="60"/>
  <c r="AS32" i="60"/>
  <c r="AV32" i="60" s="1"/>
  <c r="AQ13" i="60"/>
  <c r="AT14" i="60"/>
  <c r="AQ15" i="60"/>
  <c r="AN16" i="60"/>
  <c r="AC17" i="60"/>
  <c r="AM18" i="60"/>
  <c r="AQ18" i="60"/>
  <c r="AK18" i="60"/>
  <c r="AM19" i="60"/>
  <c r="AM20" i="60"/>
  <c r="AQ20" i="60"/>
  <c r="AK20" i="60"/>
  <c r="AD23" i="60"/>
  <c r="AG23" i="60"/>
  <c r="AJ23" i="60"/>
  <c r="AS25" i="60"/>
  <c r="AS26" i="60"/>
  <c r="Z28" i="60"/>
  <c r="AP29" i="60"/>
  <c r="AN30" i="60"/>
  <c r="AT30" i="60"/>
  <c r="AM31" i="60"/>
  <c r="AE31" i="60"/>
  <c r="AB32" i="60"/>
  <c r="AS33" i="60"/>
  <c r="Z35" i="60"/>
  <c r="AS36" i="60"/>
  <c r="AV36" i="60" s="1"/>
  <c r="AN37" i="60"/>
  <c r="AT37" i="60"/>
  <c r="Z39" i="60"/>
  <c r="AN41" i="60"/>
  <c r="AT41" i="60"/>
  <c r="AP42" i="60"/>
  <c r="AN44" i="60"/>
  <c r="AS44" i="60"/>
  <c r="AV44" i="60" s="1"/>
  <c r="AM46" i="60"/>
  <c r="AT47" i="60"/>
  <c r="AA48" i="60"/>
  <c r="AT49" i="60"/>
  <c r="AQ50" i="60"/>
  <c r="AN52" i="60"/>
  <c r="AS52" i="60"/>
  <c r="AV52" i="60" s="1"/>
  <c r="AM54" i="60"/>
  <c r="AK54" i="60"/>
  <c r="AI57" i="60"/>
  <c r="AT68" i="60"/>
  <c r="AT73" i="60"/>
  <c r="AQ74" i="60"/>
  <c r="AQ76" i="60"/>
  <c r="AB77" i="60"/>
  <c r="AS78" i="60"/>
  <c r="AV78" i="60" s="1"/>
  <c r="AT79" i="60"/>
  <c r="AT81" i="60"/>
  <c r="AG103" i="60"/>
  <c r="BL86" i="60"/>
  <c r="AM129" i="60"/>
  <c r="AB129" i="60"/>
  <c r="AS129" i="60"/>
  <c r="AV129" i="60" s="1"/>
  <c r="AP217" i="60"/>
  <c r="AE217" i="60"/>
  <c r="O258" i="60"/>
  <c r="L257" i="60"/>
  <c r="O257" i="60" s="1"/>
  <c r="AT43" i="60"/>
  <c r="AD48" i="60"/>
  <c r="AT63" i="60"/>
  <c r="AT66" i="60"/>
  <c r="AA246" i="60"/>
  <c r="AH22" i="60"/>
  <c r="AD28" i="60"/>
  <c r="AN32" i="60"/>
  <c r="AT34" i="60"/>
  <c r="AQ12" i="60"/>
  <c r="AM13" i="60"/>
  <c r="AN14" i="60"/>
  <c r="AM15" i="60"/>
  <c r="AP16" i="60"/>
  <c r="AS18" i="60"/>
  <c r="AV18" i="60" s="1"/>
  <c r="AT19" i="60"/>
  <c r="AS20" i="60"/>
  <c r="AV20" i="60" s="1"/>
  <c r="Z23" i="60"/>
  <c r="AS24" i="60"/>
  <c r="AV24" i="60" s="1"/>
  <c r="AN25" i="60"/>
  <c r="AT25" i="60"/>
  <c r="AN26" i="60"/>
  <c r="AT26" i="60"/>
  <c r="AK29" i="60"/>
  <c r="AP30" i="60"/>
  <c r="AN31" i="60"/>
  <c r="AH31" i="60"/>
  <c r="AE32" i="60"/>
  <c r="AN33" i="60"/>
  <c r="AT33" i="60"/>
  <c r="AQ34" i="60"/>
  <c r="AK34" i="60"/>
  <c r="AN36" i="60"/>
  <c r="AT36" i="60"/>
  <c r="AP37" i="60"/>
  <c r="AT38" i="60"/>
  <c r="AA39" i="60"/>
  <c r="AM40" i="60"/>
  <c r="AQ40" i="60"/>
  <c r="AK40" i="60"/>
  <c r="AP41" i="60"/>
  <c r="AK43" i="60"/>
  <c r="AB44" i="60"/>
  <c r="AT46" i="60"/>
  <c r="AN47" i="60"/>
  <c r="AF48" i="60"/>
  <c r="AM50" i="60"/>
  <c r="AD51" i="60"/>
  <c r="AG51" i="60"/>
  <c r="AJ51" i="60"/>
  <c r="AB52" i="60"/>
  <c r="AC53" i="60"/>
  <c r="AF53" i="60"/>
  <c r="AT54" i="60"/>
  <c r="AQ55" i="60"/>
  <c r="AK55" i="60"/>
  <c r="AN56" i="60"/>
  <c r="AH63" i="60"/>
  <c r="AN64" i="60"/>
  <c r="AT64" i="60"/>
  <c r="AD67" i="60"/>
  <c r="AM69" i="60"/>
  <c r="AE69" i="60"/>
  <c r="AG70" i="60"/>
  <c r="AJ70" i="60"/>
  <c r="AE81" i="60"/>
  <c r="AQ82" i="60"/>
  <c r="AM91" i="60"/>
  <c r="AB91" i="60"/>
  <c r="AT117" i="60"/>
  <c r="AT122" i="60"/>
  <c r="AT126" i="60"/>
  <c r="AT136" i="60"/>
  <c r="AM150" i="60"/>
  <c r="AB150" i="60"/>
  <c r="AP56" i="60"/>
  <c r="Z62" i="60"/>
  <c r="AS64" i="60"/>
  <c r="AV64" i="60" s="1"/>
  <c r="AH64" i="60"/>
  <c r="AN65" i="60"/>
  <c r="AT65" i="60"/>
  <c r="AP66" i="60"/>
  <c r="AQ68" i="60"/>
  <c r="AK68" i="60"/>
  <c r="AN69" i="60"/>
  <c r="AH69" i="60"/>
  <c r="AQ73" i="60"/>
  <c r="AN74" i="60"/>
  <c r="AS74" i="60"/>
  <c r="AV74" i="60" s="1"/>
  <c r="AN76" i="60"/>
  <c r="AH76" i="60"/>
  <c r="AE77" i="60"/>
  <c r="AH78" i="60"/>
  <c r="AH79" i="60"/>
  <c r="AH85" i="60"/>
  <c r="AW86" i="60"/>
  <c r="Z87" i="60"/>
  <c r="BA86" i="60"/>
  <c r="BE86" i="60"/>
  <c r="BI86" i="60"/>
  <c r="BM86" i="60"/>
  <c r="BQ86" i="60"/>
  <c r="AS89" i="60"/>
  <c r="AV89" i="60" s="1"/>
  <c r="AH89" i="60"/>
  <c r="AA94" i="60"/>
  <c r="AZ86" i="60"/>
  <c r="BH86" i="60"/>
  <c r="AJ94" i="60"/>
  <c r="BP86" i="60"/>
  <c r="AK95" i="60"/>
  <c r="AB100" i="60"/>
  <c r="AT100" i="60"/>
  <c r="AE125" i="60"/>
  <c r="AN129" i="60"/>
  <c r="AE132" i="60"/>
  <c r="AP139" i="60"/>
  <c r="AB139" i="60"/>
  <c r="AM139" i="60"/>
  <c r="AN142" i="60"/>
  <c r="AP143" i="60"/>
  <c r="AB143" i="60"/>
  <c r="AM143" i="60"/>
  <c r="AH147" i="60"/>
  <c r="AX133" i="60"/>
  <c r="AA148" i="60"/>
  <c r="BB133" i="60"/>
  <c r="BF133" i="60"/>
  <c r="BJ133" i="60"/>
  <c r="BN133" i="60"/>
  <c r="BR133" i="60"/>
  <c r="AE155" i="60"/>
  <c r="AK155" i="60"/>
  <c r="AH156" i="60"/>
  <c r="AK158" i="60"/>
  <c r="AH162" i="60"/>
  <c r="AH166" i="60"/>
  <c r="AS179" i="60"/>
  <c r="AV179" i="60" s="1"/>
  <c r="AQ202" i="60"/>
  <c r="AT204" i="60"/>
  <c r="AH204" i="60"/>
  <c r="AN267" i="60"/>
  <c r="AB267" i="60"/>
  <c r="AM290" i="60"/>
  <c r="AB290" i="60"/>
  <c r="AQ297" i="60"/>
  <c r="AE74" i="60"/>
  <c r="AN75" i="60"/>
  <c r="AE76" i="60"/>
  <c r="AN77" i="60"/>
  <c r="AH77" i="60"/>
  <c r="AK79" i="60"/>
  <c r="AP80" i="60"/>
  <c r="AH82" i="60"/>
  <c r="AK85" i="60"/>
  <c r="AY86" i="60"/>
  <c r="AE91" i="60"/>
  <c r="AM93" i="60"/>
  <c r="AH117" i="60"/>
  <c r="AE118" i="60"/>
  <c r="AH122" i="60"/>
  <c r="AE123" i="60"/>
  <c r="AK127" i="60"/>
  <c r="AK130" i="60"/>
  <c r="AP136" i="60"/>
  <c r="AB136" i="60"/>
  <c r="AM136" i="60"/>
  <c r="AK139" i="60"/>
  <c r="AK143" i="60"/>
  <c r="AK169" i="60"/>
  <c r="AT170" i="60"/>
  <c r="AH170" i="60"/>
  <c r="AK187" i="60"/>
  <c r="AP194" i="60"/>
  <c r="AE194" i="60"/>
  <c r="AE196" i="60"/>
  <c r="AK196" i="60"/>
  <c r="AT200" i="60"/>
  <c r="AK210" i="60"/>
  <c r="AQ247" i="60"/>
  <c r="AE256" i="60"/>
  <c r="AS258" i="60"/>
  <c r="AV258" i="60" s="1"/>
  <c r="AS259" i="60"/>
  <c r="AE259" i="60"/>
  <c r="AT267" i="60"/>
  <c r="AM291" i="60"/>
  <c r="AB291" i="60"/>
  <c r="AS291" i="60"/>
  <c r="BC86" i="60"/>
  <c r="BK86" i="60"/>
  <c r="BO86" i="60"/>
  <c r="BS86" i="60"/>
  <c r="AN88" i="60"/>
  <c r="AP90" i="60"/>
  <c r="AN91" i="60"/>
  <c r="AK93" i="60"/>
  <c r="AM95" i="60"/>
  <c r="AH95" i="60"/>
  <c r="AQ96" i="60"/>
  <c r="AM97" i="60"/>
  <c r="AK97" i="60"/>
  <c r="AP98" i="60"/>
  <c r="AH98" i="60"/>
  <c r="AM99" i="60"/>
  <c r="AE99" i="60"/>
  <c r="AP100" i="60"/>
  <c r="AM101" i="60"/>
  <c r="AK101" i="60"/>
  <c r="AE102" i="60"/>
  <c r="AK104" i="60"/>
  <c r="AB108" i="60"/>
  <c r="AT108" i="60"/>
  <c r="AP110" i="60"/>
  <c r="AH110" i="60"/>
  <c r="AM116" i="60"/>
  <c r="AE116" i="60"/>
  <c r="AP117" i="60"/>
  <c r="AM118" i="60"/>
  <c r="AK118" i="60"/>
  <c r="AP119" i="60"/>
  <c r="AH119" i="60"/>
  <c r="AM120" i="60"/>
  <c r="AE120" i="60"/>
  <c r="AP122" i="60"/>
  <c r="AM123" i="60"/>
  <c r="AK123" i="60"/>
  <c r="AF124" i="60"/>
  <c r="AN125" i="60"/>
  <c r="AS125" i="60"/>
  <c r="AV125" i="60" s="1"/>
  <c r="AN127" i="60"/>
  <c r="AD128" i="60"/>
  <c r="AG128" i="60"/>
  <c r="AJ128" i="60"/>
  <c r="AM130" i="60"/>
  <c r="AS132" i="60"/>
  <c r="AV132" i="60" s="1"/>
  <c r="AC134" i="60"/>
  <c r="AI134" i="60"/>
  <c r="AP138" i="60"/>
  <c r="AE138" i="60"/>
  <c r="AH139" i="60"/>
  <c r="AS140" i="60"/>
  <c r="AV140" i="60" s="1"/>
  <c r="AS144" i="60"/>
  <c r="AV144" i="60" s="1"/>
  <c r="AP145" i="60"/>
  <c r="AT145" i="60"/>
  <c r="AK145" i="60"/>
  <c r="AH146" i="60"/>
  <c r="AZ133" i="60"/>
  <c r="BH133" i="60"/>
  <c r="BL133" i="60"/>
  <c r="BT133" i="60"/>
  <c r="AH149" i="60"/>
  <c r="AP151" i="60"/>
  <c r="AS152" i="60"/>
  <c r="AV152" i="60" s="1"/>
  <c r="AQ152" i="60"/>
  <c r="AK152" i="60"/>
  <c r="AP153" i="60"/>
  <c r="AK153" i="60"/>
  <c r="AT154" i="60"/>
  <c r="AM155" i="60"/>
  <c r="AH155" i="60"/>
  <c r="AE156" i="60"/>
  <c r="AT157" i="60"/>
  <c r="AH157" i="60"/>
  <c r="AM158" i="60"/>
  <c r="AT163" i="60"/>
  <c r="AH163" i="60"/>
  <c r="AM164" i="60"/>
  <c r="AQ164" i="60"/>
  <c r="AQ168" i="60"/>
  <c r="AT169" i="60"/>
  <c r="AK170" i="60"/>
  <c r="AN177" i="60"/>
  <c r="AT177" i="60"/>
  <c r="AP179" i="60"/>
  <c r="AH179" i="60"/>
  <c r="AM185" i="60"/>
  <c r="AQ185" i="60"/>
  <c r="AN187" i="60"/>
  <c r="AM196" i="60"/>
  <c r="AQ199" i="60"/>
  <c r="AP200" i="60"/>
  <c r="AH200" i="60"/>
  <c r="AM201" i="60"/>
  <c r="AQ201" i="60"/>
  <c r="AK204" i="60"/>
  <c r="AS206" i="60"/>
  <c r="AV206" i="60" s="1"/>
  <c r="AT206" i="60"/>
  <c r="AT208" i="60"/>
  <c r="M238" i="60"/>
  <c r="AH212" i="60"/>
  <c r="AM217" i="60"/>
  <c r="AN239" i="60"/>
  <c r="AH239" i="60"/>
  <c r="AF244" i="60"/>
  <c r="AS245" i="60"/>
  <c r="AV245" i="60" s="1"/>
  <c r="AE245" i="60"/>
  <c r="AD246" i="60"/>
  <c r="AH247" i="60"/>
  <c r="AE247" i="60"/>
  <c r="AM269" i="60"/>
  <c r="AB269" i="60"/>
  <c r="AS269" i="60"/>
  <c r="AQ270" i="60"/>
  <c r="AG87" i="60"/>
  <c r="AK88" i="60"/>
  <c r="AM92" i="60"/>
  <c r="AN93" i="60"/>
  <c r="AI94" i="60"/>
  <c r="AT95" i="60"/>
  <c r="AN97" i="60"/>
  <c r="AK98" i="60"/>
  <c r="AS99" i="60"/>
  <c r="AV99" i="60" s="1"/>
  <c r="AN101" i="60"/>
  <c r="AQ102" i="60"/>
  <c r="AP108" i="60"/>
  <c r="AK110" i="60"/>
  <c r="AS116" i="60"/>
  <c r="AV116" i="60" s="1"/>
  <c r="AN118" i="60"/>
  <c r="AK119" i="60"/>
  <c r="AS120" i="60"/>
  <c r="AV120" i="60" s="1"/>
  <c r="AN123" i="60"/>
  <c r="AD124" i="60"/>
  <c r="AG124" i="60"/>
  <c r="AJ124" i="60"/>
  <c r="AM126" i="60"/>
  <c r="AH126" i="60"/>
  <c r="AE127" i="60"/>
  <c r="AK129" i="60"/>
  <c r="AB130" i="60"/>
  <c r="AT130" i="60"/>
  <c r="AQ131" i="60"/>
  <c r="AQ132" i="60"/>
  <c r="AE135" i="60"/>
  <c r="AH138" i="60"/>
  <c r="AM138" i="60"/>
  <c r="AP141" i="60"/>
  <c r="AT141" i="60"/>
  <c r="AK141" i="60"/>
  <c r="AH142" i="60"/>
  <c r="AH145" i="60"/>
  <c r="AM145" i="60"/>
  <c r="AE146" i="60"/>
  <c r="AK146" i="60"/>
  <c r="AP147" i="60"/>
  <c r="AE147" i="60"/>
  <c r="AK147" i="60"/>
  <c r="AE149" i="60"/>
  <c r="AK151" i="60"/>
  <c r="AH152" i="60"/>
  <c r="AK154" i="60"/>
  <c r="AN155" i="60"/>
  <c r="AS156" i="60"/>
  <c r="AV156" i="60" s="1"/>
  <c r="AQ156" i="60"/>
  <c r="AP157" i="60"/>
  <c r="AK157" i="60"/>
  <c r="AT158" i="60"/>
  <c r="AM161" i="60"/>
  <c r="AH161" i="60"/>
  <c r="AQ162" i="60"/>
  <c r="AP163" i="60"/>
  <c r="AK163" i="60"/>
  <c r="AT164" i="60"/>
  <c r="AH164" i="60"/>
  <c r="AA167" i="60"/>
  <c r="AS168" i="60"/>
  <c r="AV168" i="60" s="1"/>
  <c r="AP169" i="60"/>
  <c r="AQ170" i="60"/>
  <c r="AE177" i="60"/>
  <c r="AK179" i="60"/>
  <c r="AT185" i="60"/>
  <c r="AH185" i="60"/>
  <c r="AD186" i="60"/>
  <c r="AJ186" i="60"/>
  <c r="AE187" i="60"/>
  <c r="AS194" i="60"/>
  <c r="AV194" i="60" s="1"/>
  <c r="AC195" i="60"/>
  <c r="AI195" i="60"/>
  <c r="AN196" i="60"/>
  <c r="AT196" i="60"/>
  <c r="AQ197" i="60"/>
  <c r="AK199" i="60"/>
  <c r="AK200" i="60"/>
  <c r="AT201" i="60"/>
  <c r="AH201" i="60"/>
  <c r="AK202" i="60"/>
  <c r="AQ204" i="60"/>
  <c r="AH206" i="60"/>
  <c r="Z207" i="60"/>
  <c r="AC207" i="60"/>
  <c r="AI207" i="60"/>
  <c r="AP208" i="60"/>
  <c r="T238" i="60"/>
  <c r="T385" i="60" s="1"/>
  <c r="AT212" i="60"/>
  <c r="AC216" i="60"/>
  <c r="AI216" i="60"/>
  <c r="AH217" i="60"/>
  <c r="AP239" i="60"/>
  <c r="AP243" i="60"/>
  <c r="Z244" i="60"/>
  <c r="AH245" i="60"/>
  <c r="Z246" i="60"/>
  <c r="AK248" i="60"/>
  <c r="AH250" i="60"/>
  <c r="AH259" i="60"/>
  <c r="AE261" i="60"/>
  <c r="AP261" i="60"/>
  <c r="AE264" i="60"/>
  <c r="AK264" i="60"/>
  <c r="AK268" i="60"/>
  <c r="AN269" i="60"/>
  <c r="AM289" i="60"/>
  <c r="AB289" i="60"/>
  <c r="AT314" i="60"/>
  <c r="AP274" i="60"/>
  <c r="AH274" i="60"/>
  <c r="BT271" i="60"/>
  <c r="AJ271" i="60" s="1"/>
  <c r="AJ277" i="60"/>
  <c r="AB279" i="60"/>
  <c r="AT279" i="60"/>
  <c r="AB283" i="60"/>
  <c r="AT283" i="60"/>
  <c r="AN291" i="60"/>
  <c r="AH299" i="60"/>
  <c r="AK247" i="60"/>
  <c r="AM248" i="60"/>
  <c r="AQ249" i="60"/>
  <c r="AK249" i="60"/>
  <c r="AN251" i="60"/>
  <c r="AP254" i="60"/>
  <c r="AN255" i="60"/>
  <c r="AM256" i="60"/>
  <c r="AM259" i="60"/>
  <c r="AA260" i="60"/>
  <c r="AA263" i="60"/>
  <c r="AD263" i="60"/>
  <c r="AM264" i="60"/>
  <c r="AN266" i="60"/>
  <c r="AT269" i="60"/>
  <c r="AB272" i="60"/>
  <c r="AT272" i="60"/>
  <c r="AD275" i="60"/>
  <c r="AG275" i="60"/>
  <c r="AM276" i="60"/>
  <c r="AT276" i="60"/>
  <c r="AM278" i="60"/>
  <c r="AE278" i="60"/>
  <c r="AP279" i="60"/>
  <c r="AN280" i="60"/>
  <c r="AP281" i="60"/>
  <c r="AH281" i="60"/>
  <c r="AM282" i="60"/>
  <c r="AE282" i="60"/>
  <c r="AP283" i="60"/>
  <c r="AM284" i="60"/>
  <c r="AK284" i="60"/>
  <c r="AN286" i="60"/>
  <c r="AT287" i="60"/>
  <c r="AM288" i="60"/>
  <c r="AH289" i="60"/>
  <c r="AH290" i="60"/>
  <c r="AT291" i="60"/>
  <c r="AE292" i="60"/>
  <c r="AN293" i="60"/>
  <c r="AT294" i="60"/>
  <c r="AM295" i="60"/>
  <c r="AN296" i="60"/>
  <c r="AT297" i="60"/>
  <c r="AB317" i="60"/>
  <c r="AT317" i="60"/>
  <c r="AH319" i="60"/>
  <c r="AE320" i="60"/>
  <c r="AB321" i="60"/>
  <c r="AS321" i="60"/>
  <c r="AV321" i="60" s="1"/>
  <c r="AP328" i="60"/>
  <c r="AT248" i="60"/>
  <c r="AM249" i="60"/>
  <c r="AH249" i="60"/>
  <c r="AQ250" i="60"/>
  <c r="AE251" i="60"/>
  <c r="AE255" i="60"/>
  <c r="AN256" i="60"/>
  <c r="AK258" i="60"/>
  <c r="AQ259" i="60"/>
  <c r="AQ261" i="60"/>
  <c r="AT264" i="60"/>
  <c r="AP266" i="60"/>
  <c r="AQ267" i="60"/>
  <c r="AE269" i="60"/>
  <c r="AC271" i="60"/>
  <c r="AI271" i="60"/>
  <c r="AP272" i="60"/>
  <c r="AA273" i="60"/>
  <c r="AM274" i="60"/>
  <c r="AE274" i="60"/>
  <c r="AB276" i="60"/>
  <c r="AH276" i="60"/>
  <c r="AS278" i="60"/>
  <c r="AV278" i="60" s="1"/>
  <c r="AP280" i="60"/>
  <c r="AK281" i="60"/>
  <c r="AS282" i="60"/>
  <c r="AV282" i="60" s="1"/>
  <c r="AN284" i="60"/>
  <c r="AE286" i="60"/>
  <c r="AQ286" i="60"/>
  <c r="AN288" i="60"/>
  <c r="AH288" i="60"/>
  <c r="AE291" i="60"/>
  <c r="AM292" i="60"/>
  <c r="AT293" i="60"/>
  <c r="AN295" i="60"/>
  <c r="AH295" i="60"/>
  <c r="AS295" i="60"/>
  <c r="AV295" i="60" s="1"/>
  <c r="AT296" i="60"/>
  <c r="AT299" i="60"/>
  <c r="AQ310" i="60"/>
  <c r="AH312" i="60"/>
  <c r="Z311" i="60"/>
  <c r="AC311" i="60"/>
  <c r="AP318" i="60"/>
  <c r="AQ319" i="60"/>
  <c r="AN320" i="60"/>
  <c r="AK321" i="60"/>
  <c r="AS322" i="60"/>
  <c r="AV322" i="60" s="1"/>
  <c r="AA323" i="60"/>
  <c r="AD323" i="60"/>
  <c r="AM324" i="60"/>
  <c r="AP325" i="60"/>
  <c r="AK327" i="60"/>
  <c r="AT335" i="60"/>
  <c r="AT336" i="60"/>
  <c r="AN337" i="60"/>
  <c r="AT337" i="60"/>
  <c r="AG339" i="60"/>
  <c r="AQ342" i="60"/>
  <c r="AM343" i="60"/>
  <c r="AH345" i="60"/>
  <c r="AF346" i="60"/>
  <c r="Z353" i="60"/>
  <c r="AC353" i="60"/>
  <c r="AF353" i="60"/>
  <c r="AI353" i="60"/>
  <c r="AM356" i="60"/>
  <c r="AE356" i="60"/>
  <c r="AH357" i="60"/>
  <c r="AQ358" i="60"/>
  <c r="AM359" i="60"/>
  <c r="AK359" i="60"/>
  <c r="AE360" i="60"/>
  <c r="AB361" i="60"/>
  <c r="AT361" i="60"/>
  <c r="AB362" i="60"/>
  <c r="AT362" i="60"/>
  <c r="AN363" i="60"/>
  <c r="AB368" i="60"/>
  <c r="AH368" i="60"/>
  <c r="AT369" i="60"/>
  <c r="AT374" i="60"/>
  <c r="AE377" i="60"/>
  <c r="AP378" i="60"/>
  <c r="AK378" i="60"/>
  <c r="AH379" i="60"/>
  <c r="AN381" i="60"/>
  <c r="AT382" i="60"/>
  <c r="AB383" i="60"/>
  <c r="AT383" i="60"/>
  <c r="AK347" i="60"/>
  <c r="AK348" i="60"/>
  <c r="AH354" i="60"/>
  <c r="AH355" i="60"/>
  <c r="AH356" i="60"/>
  <c r="AS360" i="60"/>
  <c r="AV360" i="60" s="1"/>
  <c r="AP361" i="60"/>
  <c r="AP362" i="60"/>
  <c r="AE369" i="60"/>
  <c r="AT378" i="60"/>
  <c r="AE381" i="60"/>
  <c r="AE383" i="60"/>
  <c r="AH336" i="60"/>
  <c r="AM337" i="60"/>
  <c r="AT340" i="60"/>
  <c r="AH342" i="60"/>
  <c r="AP342" i="60"/>
  <c r="AM345" i="60"/>
  <c r="AA311" i="60"/>
  <c r="AD311" i="60"/>
  <c r="AG311" i="60"/>
  <c r="Z316" i="60"/>
  <c r="AP317" i="60"/>
  <c r="AN318" i="60"/>
  <c r="AH318" i="60"/>
  <c r="AP319" i="60"/>
  <c r="AM320" i="60"/>
  <c r="AP321" i="60"/>
  <c r="AM322" i="60"/>
  <c r="AQ322" i="60"/>
  <c r="AK322" i="60"/>
  <c r="AE324" i="60"/>
  <c r="AB325" i="60"/>
  <c r="AS325" i="60"/>
  <c r="AV325" i="60" s="1"/>
  <c r="AI326" i="60"/>
  <c r="AM328" i="60"/>
  <c r="AA334" i="60"/>
  <c r="AE335" i="60"/>
  <c r="AH337" i="60"/>
  <c r="AK337" i="60"/>
  <c r="AK341" i="60"/>
  <c r="AQ343" i="60"/>
  <c r="AK343" i="60"/>
  <c r="AQ348" i="60"/>
  <c r="AB349" i="60"/>
  <c r="AH349" i="60"/>
  <c r="AE350" i="60"/>
  <c r="AM354" i="60"/>
  <c r="AM355" i="60"/>
  <c r="AM357" i="60"/>
  <c r="AQ357" i="60"/>
  <c r="AK357" i="60"/>
  <c r="AE358" i="60"/>
  <c r="AM360" i="60"/>
  <c r="AK360" i="60"/>
  <c r="AN361" i="60"/>
  <c r="AH361" i="60"/>
  <c r="AN362" i="60"/>
  <c r="AH362" i="60"/>
  <c r="AE363" i="60"/>
  <c r="AE364" i="60"/>
  <c r="AN369" i="60"/>
  <c r="AA375" i="60"/>
  <c r="AD375" i="60"/>
  <c r="AG375" i="60"/>
  <c r="AT376" i="60"/>
  <c r="AB377" i="60"/>
  <c r="AT377" i="60"/>
  <c r="AM379" i="60"/>
  <c r="AA380" i="60"/>
  <c r="AD380" i="60"/>
  <c r="AP382" i="60"/>
  <c r="AK382" i="60"/>
  <c r="AN383" i="60"/>
  <c r="AH383" i="60"/>
  <c r="O209" i="60"/>
  <c r="O205" i="60"/>
  <c r="AN4" i="60"/>
  <c r="AP4" i="60"/>
  <c r="AQ4" i="60"/>
  <c r="AM4" i="60"/>
  <c r="AS4" i="60"/>
  <c r="AU4" i="60" s="1"/>
  <c r="AB27" i="60"/>
  <c r="Z70" i="60"/>
  <c r="AN71" i="60"/>
  <c r="AQ71" i="60"/>
  <c r="AT71" i="60"/>
  <c r="AF70" i="60"/>
  <c r="AE12" i="60"/>
  <c r="AN12" i="60"/>
  <c r="AE13" i="60"/>
  <c r="AN13" i="60"/>
  <c r="AQ14" i="60"/>
  <c r="AE15" i="60"/>
  <c r="AN15" i="60"/>
  <c r="AB16" i="60"/>
  <c r="AS16" i="60"/>
  <c r="L17" i="60"/>
  <c r="AP18" i="60"/>
  <c r="AT18" i="60"/>
  <c r="O19" i="60"/>
  <c r="AE19" i="60"/>
  <c r="AN19" i="60"/>
  <c r="AP20" i="60"/>
  <c r="AT20" i="60"/>
  <c r="AQ22" i="60"/>
  <c r="AH24" i="60"/>
  <c r="AM24" i="60"/>
  <c r="AQ24" i="60"/>
  <c r="AH25" i="60"/>
  <c r="AM25" i="60"/>
  <c r="AQ25" i="60"/>
  <c r="AH26" i="60"/>
  <c r="AM26" i="60"/>
  <c r="AQ26" i="60"/>
  <c r="AB29" i="60"/>
  <c r="AS29" i="60"/>
  <c r="AH30" i="60"/>
  <c r="AM30" i="60"/>
  <c r="AQ30" i="60"/>
  <c r="AB31" i="60"/>
  <c r="AS31" i="60"/>
  <c r="AP32" i="60"/>
  <c r="AT32" i="60"/>
  <c r="AH33" i="60"/>
  <c r="AM33" i="60"/>
  <c r="AQ33" i="60"/>
  <c r="AE34" i="60"/>
  <c r="AN34" i="60"/>
  <c r="AH36" i="60"/>
  <c r="AM36" i="60"/>
  <c r="AQ36" i="60"/>
  <c r="AH37" i="60"/>
  <c r="AM37" i="60"/>
  <c r="AQ37" i="60"/>
  <c r="AQ38" i="60"/>
  <c r="O40" i="60"/>
  <c r="AP40" i="60"/>
  <c r="AT40" i="60"/>
  <c r="AH41" i="60"/>
  <c r="AM41" i="60"/>
  <c r="AQ41" i="60"/>
  <c r="AH42" i="60"/>
  <c r="AM42" i="60"/>
  <c r="AQ42" i="60"/>
  <c r="AM43" i="60"/>
  <c r="AQ43" i="60"/>
  <c r="AP44" i="60"/>
  <c r="AT44" i="60"/>
  <c r="AE46" i="60"/>
  <c r="AN46" i="60"/>
  <c r="AQ47" i="60"/>
  <c r="BS48" i="60"/>
  <c r="AE49" i="60"/>
  <c r="AN49" i="60"/>
  <c r="AE50" i="60"/>
  <c r="AN50" i="60"/>
  <c r="AP52" i="60"/>
  <c r="AT52" i="60"/>
  <c r="AE54" i="60"/>
  <c r="AN54" i="60"/>
  <c r="AE55" i="60"/>
  <c r="AN55" i="60"/>
  <c r="AB56" i="60"/>
  <c r="AS56" i="60"/>
  <c r="AQ63" i="60"/>
  <c r="AM64" i="60"/>
  <c r="AQ64" i="60"/>
  <c r="AM65" i="60"/>
  <c r="AQ65" i="60"/>
  <c r="AH66" i="60"/>
  <c r="AM66" i="60"/>
  <c r="AQ66" i="60"/>
  <c r="AE68" i="60"/>
  <c r="AN68" i="60"/>
  <c r="AB69" i="60"/>
  <c r="AS69" i="60"/>
  <c r="BE70" i="60"/>
  <c r="AC70" i="60" s="1"/>
  <c r="AN73" i="60"/>
  <c r="AP74" i="60"/>
  <c r="AT74" i="60"/>
  <c r="O76" i="60"/>
  <c r="AP76" i="60"/>
  <c r="AT76" i="60"/>
  <c r="AP77" i="60"/>
  <c r="AT77" i="60"/>
  <c r="AM78" i="60"/>
  <c r="AQ78" i="60"/>
  <c r="AN79" i="60"/>
  <c r="AQ79" i="60"/>
  <c r="AB80" i="60"/>
  <c r="AH80" i="60"/>
  <c r="AM80" i="60"/>
  <c r="AB81" i="60"/>
  <c r="AQ81" i="60"/>
  <c r="AT82" i="60"/>
  <c r="AE82" i="60"/>
  <c r="AK82" i="60"/>
  <c r="AS85" i="60"/>
  <c r="O87" i="60"/>
  <c r="AS88" i="60"/>
  <c r="AH92" i="60"/>
  <c r="AP93" i="60"/>
  <c r="AS93" i="60"/>
  <c r="AB93" i="60"/>
  <c r="AB13" i="60"/>
  <c r="AS13" i="60"/>
  <c r="AB15" i="60"/>
  <c r="AS15" i="60"/>
  <c r="AT16" i="60"/>
  <c r="AH18" i="60"/>
  <c r="AB19" i="60"/>
  <c r="AS19" i="60"/>
  <c r="AH20" i="60"/>
  <c r="AE24" i="60"/>
  <c r="AE25" i="60"/>
  <c r="AE26" i="60"/>
  <c r="AT29" i="60"/>
  <c r="AE30" i="60"/>
  <c r="AT31" i="60"/>
  <c r="AH32" i="60"/>
  <c r="AE33" i="60"/>
  <c r="AB34" i="60"/>
  <c r="AS34" i="60"/>
  <c r="AE36" i="60"/>
  <c r="AE37" i="60"/>
  <c r="L39" i="60"/>
  <c r="AH40" i="60"/>
  <c r="AE41" i="60"/>
  <c r="AE42" i="60"/>
  <c r="AE43" i="60"/>
  <c r="AH44" i="60"/>
  <c r="AB46" i="60"/>
  <c r="AS46" i="60"/>
  <c r="AB49" i="60"/>
  <c r="AS49" i="60"/>
  <c r="AB50" i="60"/>
  <c r="AS50" i="60"/>
  <c r="AH52" i="60"/>
  <c r="AB54" i="60"/>
  <c r="AS54" i="60"/>
  <c r="AB55" i="60"/>
  <c r="AS55" i="60"/>
  <c r="AT56" i="60"/>
  <c r="AT58" i="60"/>
  <c r="AE64" i="60"/>
  <c r="AE65" i="60"/>
  <c r="AE66" i="60"/>
  <c r="O67" i="60"/>
  <c r="AB68" i="60"/>
  <c r="AS68" i="60"/>
  <c r="AT69" i="60"/>
  <c r="Z71" i="60"/>
  <c r="AH74" i="60"/>
  <c r="AT75" i="60"/>
  <c r="AM76" i="60"/>
  <c r="AM77" i="60"/>
  <c r="AE78" i="60"/>
  <c r="AN78" i="60"/>
  <c r="AB79" i="60"/>
  <c r="AM79" i="60"/>
  <c r="AS79" i="60"/>
  <c r="AN80" i="60"/>
  <c r="AS80" i="60"/>
  <c r="AP13" i="60"/>
  <c r="AB14" i="60"/>
  <c r="AP15" i="60"/>
  <c r="AQ16" i="60"/>
  <c r="AA17" i="60"/>
  <c r="AP19" i="60"/>
  <c r="O20" i="60"/>
  <c r="AB22" i="60"/>
  <c r="AB24" i="60"/>
  <c r="AB25" i="60"/>
  <c r="AB26" i="60"/>
  <c r="AQ29" i="60"/>
  <c r="AB30" i="60"/>
  <c r="AQ31" i="60"/>
  <c r="AB33" i="60"/>
  <c r="AP34" i="60"/>
  <c r="AB36" i="60"/>
  <c r="AB37" i="60"/>
  <c r="AB41" i="60"/>
  <c r="AB42" i="60"/>
  <c r="AB43" i="60"/>
  <c r="AP46" i="60"/>
  <c r="AB47" i="60"/>
  <c r="AP49" i="60"/>
  <c r="AP50" i="60"/>
  <c r="AP54" i="60"/>
  <c r="AP55" i="60"/>
  <c r="AQ56" i="60"/>
  <c r="O57" i="60"/>
  <c r="AQ58" i="60"/>
  <c r="O62" i="60"/>
  <c r="AB63" i="60"/>
  <c r="AB64" i="60"/>
  <c r="AB65" i="60"/>
  <c r="AB66" i="60"/>
  <c r="AP68" i="60"/>
  <c r="AQ69" i="60"/>
  <c r="AQ75" i="60"/>
  <c r="AB78" i="60"/>
  <c r="AE79" i="60"/>
  <c r="O80" i="60"/>
  <c r="AT80" i="60"/>
  <c r="AP81" i="60"/>
  <c r="AN81" i="60"/>
  <c r="AS81" i="60"/>
  <c r="AM85" i="60"/>
  <c r="AE85" i="60"/>
  <c r="AM88" i="60"/>
  <c r="AE88" i="60"/>
  <c r="AP89" i="60"/>
  <c r="AT89" i="60"/>
  <c r="AQ89" i="60"/>
  <c r="AM90" i="60"/>
  <c r="AE90" i="60"/>
  <c r="AS91" i="60"/>
  <c r="AS92" i="60"/>
  <c r="AE92" i="60"/>
  <c r="AE93" i="60"/>
  <c r="AQ93" i="60"/>
  <c r="AE80" i="60"/>
  <c r="AP82" i="60"/>
  <c r="AS82" i="60"/>
  <c r="AB85" i="60"/>
  <c r="AQ85" i="60"/>
  <c r="AT85" i="60"/>
  <c r="AC87" i="60"/>
  <c r="AI87" i="60"/>
  <c r="AB88" i="60"/>
  <c r="AQ88" i="60"/>
  <c r="AT88" i="60"/>
  <c r="AQ90" i="60"/>
  <c r="AT90" i="60"/>
  <c r="AB90" i="60"/>
  <c r="AS90" i="60"/>
  <c r="AP91" i="60"/>
  <c r="AT91" i="60"/>
  <c r="AQ92" i="60"/>
  <c r="AQ95" i="60"/>
  <c r="AB98" i="60"/>
  <c r="AS98" i="60"/>
  <c r="AP99" i="60"/>
  <c r="AT99" i="60"/>
  <c r="AQ100" i="60"/>
  <c r="AP104" i="60"/>
  <c r="AT104" i="60"/>
  <c r="AQ108" i="60"/>
  <c r="AB110" i="60"/>
  <c r="AS110" i="60"/>
  <c r="AP116" i="60"/>
  <c r="AT116" i="60"/>
  <c r="AQ117" i="60"/>
  <c r="AB119" i="60"/>
  <c r="AS119" i="60"/>
  <c r="AP120" i="60"/>
  <c r="AT120" i="60"/>
  <c r="AQ122" i="60"/>
  <c r="AP125" i="60"/>
  <c r="AT125" i="60"/>
  <c r="AQ126" i="60"/>
  <c r="AP129" i="60"/>
  <c r="AT129" i="60"/>
  <c r="AQ130" i="60"/>
  <c r="AB132" i="60"/>
  <c r="AP132" i="60"/>
  <c r="AP135" i="60"/>
  <c r="AE136" i="60"/>
  <c r="AP137" i="60"/>
  <c r="O139" i="60"/>
  <c r="AP140" i="60"/>
  <c r="AE141" i="60"/>
  <c r="AP142" i="60"/>
  <c r="AP144" i="60"/>
  <c r="AE145" i="60"/>
  <c r="AP146" i="60"/>
  <c r="AP149" i="60"/>
  <c r="AQ91" i="60"/>
  <c r="AN92" i="60"/>
  <c r="AE95" i="60"/>
  <c r="AN95" i="60"/>
  <c r="AB96" i="60"/>
  <c r="AS96" i="60"/>
  <c r="AB97" i="60"/>
  <c r="AS97" i="60"/>
  <c r="AT98" i="60"/>
  <c r="AH99" i="60"/>
  <c r="AQ99" i="60"/>
  <c r="AE100" i="60"/>
  <c r="AN100" i="60"/>
  <c r="AB101" i="60"/>
  <c r="AS101" i="60"/>
  <c r="AB102" i="60"/>
  <c r="AS102" i="60"/>
  <c r="AV102" i="60" s="1"/>
  <c r="AH104" i="60"/>
  <c r="AQ104" i="60"/>
  <c r="AE108" i="60"/>
  <c r="AN108" i="60"/>
  <c r="AT110" i="60"/>
  <c r="AH116" i="60"/>
  <c r="AQ116" i="60"/>
  <c r="AE117" i="60"/>
  <c r="AN117" i="60"/>
  <c r="AB118" i="60"/>
  <c r="AS118" i="60"/>
  <c r="AT119" i="60"/>
  <c r="AH120" i="60"/>
  <c r="AQ120" i="60"/>
  <c r="AE122" i="60"/>
  <c r="AN122" i="60"/>
  <c r="AB123" i="60"/>
  <c r="AS123" i="60"/>
  <c r="AH125" i="60"/>
  <c r="AQ125" i="60"/>
  <c r="AE126" i="60"/>
  <c r="AN126" i="60"/>
  <c r="AB127" i="60"/>
  <c r="AS127" i="60"/>
  <c r="AH129" i="60"/>
  <c r="AQ129" i="60"/>
  <c r="AE130" i="60"/>
  <c r="AN130" i="60"/>
  <c r="AB131" i="60"/>
  <c r="AS131" i="60"/>
  <c r="AM135" i="60"/>
  <c r="AQ136" i="60"/>
  <c r="AS137" i="60"/>
  <c r="AQ138" i="60"/>
  <c r="AQ139" i="60"/>
  <c r="AM140" i="60"/>
  <c r="AE140" i="60"/>
  <c r="AQ141" i="60"/>
  <c r="AS142" i="60"/>
  <c r="AQ143" i="60"/>
  <c r="AM144" i="60"/>
  <c r="AE144" i="60"/>
  <c r="AQ145" i="60"/>
  <c r="AS146" i="60"/>
  <c r="AQ147" i="60"/>
  <c r="AS149" i="60"/>
  <c r="AP150" i="60"/>
  <c r="AS150" i="60"/>
  <c r="AQ150" i="60"/>
  <c r="AE150" i="60"/>
  <c r="AS95" i="60"/>
  <c r="AP96" i="60"/>
  <c r="AT96" i="60"/>
  <c r="AP97" i="60"/>
  <c r="AT97" i="60"/>
  <c r="AQ98" i="60"/>
  <c r="AS100" i="60"/>
  <c r="AP101" i="60"/>
  <c r="AT101" i="60"/>
  <c r="AP102" i="60"/>
  <c r="AT102" i="60"/>
  <c r="AS108" i="60"/>
  <c r="AQ110" i="60"/>
  <c r="AS117" i="60"/>
  <c r="AP118" i="60"/>
  <c r="AT118" i="60"/>
  <c r="AQ119" i="60"/>
  <c r="AS122" i="60"/>
  <c r="AP123" i="60"/>
  <c r="AT123" i="60"/>
  <c r="AS126" i="60"/>
  <c r="AP127" i="60"/>
  <c r="AT127" i="60"/>
  <c r="AS130" i="60"/>
  <c r="AP131" i="60"/>
  <c r="AT131" i="60"/>
  <c r="AM132" i="60"/>
  <c r="O134" i="60"/>
  <c r="AQ135" i="60"/>
  <c r="AB135" i="60"/>
  <c r="AH135" i="60"/>
  <c r="AT135" i="60"/>
  <c r="AN136" i="60"/>
  <c r="AS136" i="60"/>
  <c r="AQ137" i="60"/>
  <c r="AT137" i="60"/>
  <c r="AT138" i="60"/>
  <c r="AS138" i="60"/>
  <c r="AT139" i="60"/>
  <c r="AS139" i="60"/>
  <c r="AV139" i="60" s="1"/>
  <c r="AQ140" i="60"/>
  <c r="AB140" i="60"/>
  <c r="AH140" i="60"/>
  <c r="AT140" i="60"/>
  <c r="AN141" i="60"/>
  <c r="AS141" i="60"/>
  <c r="AQ142" i="60"/>
  <c r="AT142" i="60"/>
  <c r="AT143" i="60"/>
  <c r="AS143" i="60"/>
  <c r="AQ144" i="60"/>
  <c r="AB144" i="60"/>
  <c r="AH144" i="60"/>
  <c r="AT144" i="60"/>
  <c r="AN145" i="60"/>
  <c r="AS145" i="60"/>
  <c r="AQ146" i="60"/>
  <c r="AT146" i="60"/>
  <c r="AT147" i="60"/>
  <c r="AS147" i="60"/>
  <c r="AD148" i="60"/>
  <c r="BD133" i="60"/>
  <c r="AJ148" i="60"/>
  <c r="BP133" i="60"/>
  <c r="AQ149" i="60"/>
  <c r="AT149" i="60"/>
  <c r="AT150" i="60"/>
  <c r="AN132" i="60"/>
  <c r="AT132" i="60"/>
  <c r="AS135" i="60"/>
  <c r="AM137" i="60"/>
  <c r="AN138" i="60"/>
  <c r="AN139" i="60"/>
  <c r="AM142" i="60"/>
  <c r="AN143" i="60"/>
  <c r="AM146" i="60"/>
  <c r="AN147" i="60"/>
  <c r="AM149" i="60"/>
  <c r="AN150" i="60"/>
  <c r="AB151" i="60"/>
  <c r="AS151" i="60"/>
  <c r="AP152" i="60"/>
  <c r="AT152" i="60"/>
  <c r="AM153" i="60"/>
  <c r="AQ153" i="60"/>
  <c r="AE154" i="60"/>
  <c r="AN154" i="60"/>
  <c r="AB155" i="60"/>
  <c r="AS155" i="60"/>
  <c r="AP156" i="60"/>
  <c r="AT156" i="60"/>
  <c r="AM157" i="60"/>
  <c r="AQ157" i="60"/>
  <c r="AE158" i="60"/>
  <c r="AN158" i="60"/>
  <c r="AB161" i="60"/>
  <c r="AS161" i="60"/>
  <c r="AP162" i="60"/>
  <c r="AT162" i="60"/>
  <c r="AM163" i="60"/>
  <c r="AQ163" i="60"/>
  <c r="AE164" i="60"/>
  <c r="AN164" i="60"/>
  <c r="AB166" i="60"/>
  <c r="AS166" i="60"/>
  <c r="O168" i="60"/>
  <c r="AP168" i="60"/>
  <c r="AT168" i="60"/>
  <c r="AM169" i="60"/>
  <c r="AQ169" i="60"/>
  <c r="AE170" i="60"/>
  <c r="AN170" i="60"/>
  <c r="AB177" i="60"/>
  <c r="AS177" i="60"/>
  <c r="AM179" i="60"/>
  <c r="AQ179" i="60"/>
  <c r="AE185" i="60"/>
  <c r="AN185" i="60"/>
  <c r="AP187" i="60"/>
  <c r="AT187" i="60"/>
  <c r="AM194" i="60"/>
  <c r="AQ194" i="60"/>
  <c r="AB196" i="60"/>
  <c r="AS196" i="60"/>
  <c r="AP197" i="60"/>
  <c r="AT197" i="60"/>
  <c r="O199" i="60"/>
  <c r="AP199" i="60"/>
  <c r="AT199" i="60"/>
  <c r="AM200" i="60"/>
  <c r="AQ200" i="60"/>
  <c r="AE201" i="60"/>
  <c r="AN201" i="60"/>
  <c r="AE202" i="60"/>
  <c r="AN202" i="60"/>
  <c r="AE204" i="60"/>
  <c r="AN204" i="60"/>
  <c r="AN206" i="60"/>
  <c r="AP206" i="60"/>
  <c r="AE208" i="60"/>
  <c r="AM208" i="60"/>
  <c r="AE210" i="60"/>
  <c r="AP212" i="60"/>
  <c r="AK212" i="60"/>
  <c r="AM247" i="60"/>
  <c r="AT151" i="60"/>
  <c r="AM152" i="60"/>
  <c r="AE153" i="60"/>
  <c r="AN153" i="60"/>
  <c r="AB154" i="60"/>
  <c r="AS154" i="60"/>
  <c r="AP155" i="60"/>
  <c r="AT155" i="60"/>
  <c r="AM156" i="60"/>
  <c r="AE157" i="60"/>
  <c r="AN157" i="60"/>
  <c r="AB158" i="60"/>
  <c r="AS158" i="60"/>
  <c r="AP161" i="60"/>
  <c r="AT161" i="60"/>
  <c r="AM162" i="60"/>
  <c r="AE163" i="60"/>
  <c r="AN163" i="60"/>
  <c r="AS164" i="60"/>
  <c r="AP166" i="60"/>
  <c r="AT166" i="60"/>
  <c r="AM168" i="60"/>
  <c r="AN169" i="60"/>
  <c r="AS170" i="60"/>
  <c r="AP177" i="60"/>
  <c r="AN179" i="60"/>
  <c r="AS185" i="60"/>
  <c r="AM187" i="60"/>
  <c r="AN194" i="60"/>
  <c r="AP196" i="60"/>
  <c r="AM197" i="60"/>
  <c r="AM199" i="60"/>
  <c r="AN200" i="60"/>
  <c r="AS201" i="60"/>
  <c r="AS202" i="60"/>
  <c r="AS204" i="60"/>
  <c r="AQ210" i="60"/>
  <c r="AS212" i="60"/>
  <c r="AQ217" i="60"/>
  <c r="AB217" i="60"/>
  <c r="AT217" i="60"/>
  <c r="AB137" i="60"/>
  <c r="AB142" i="60"/>
  <c r="AB146" i="60"/>
  <c r="AB149" i="60"/>
  <c r="AQ151" i="60"/>
  <c r="AB153" i="60"/>
  <c r="AP154" i="60"/>
  <c r="AQ155" i="60"/>
  <c r="AB157" i="60"/>
  <c r="AP158" i="60"/>
  <c r="AQ161" i="60"/>
  <c r="AB163" i="60"/>
  <c r="AP164" i="60"/>
  <c r="AQ166" i="60"/>
  <c r="AB169" i="60"/>
  <c r="AP170" i="60"/>
  <c r="AQ177" i="60"/>
  <c r="AB179" i="60"/>
  <c r="AP185" i="60"/>
  <c r="AB194" i="60"/>
  <c r="AQ196" i="60"/>
  <c r="AB200" i="60"/>
  <c r="AP201" i="60"/>
  <c r="AP202" i="60"/>
  <c r="AP204" i="60"/>
  <c r="AE206" i="60"/>
  <c r="AM206" i="60"/>
  <c r="AN208" i="60"/>
  <c r="AQ208" i="60"/>
  <c r="AN210" i="60"/>
  <c r="AS210" i="60"/>
  <c r="AB212" i="60"/>
  <c r="AM212" i="60"/>
  <c r="AN217" i="60"/>
  <c r="AB162" i="60"/>
  <c r="AB168" i="60"/>
  <c r="AB187" i="60"/>
  <c r="AB197" i="60"/>
  <c r="AB199" i="60"/>
  <c r="AD207" i="60"/>
  <c r="AB208" i="60"/>
  <c r="AS208" i="60"/>
  <c r="AD209" i="60"/>
  <c r="AJ209" i="60"/>
  <c r="AB210" i="60"/>
  <c r="AM210" i="60"/>
  <c r="AN212" i="60"/>
  <c r="AS217" i="60"/>
  <c r="AB239" i="60"/>
  <c r="AS239" i="60"/>
  <c r="AN243" i="60"/>
  <c r="AC244" i="60"/>
  <c r="O245" i="60"/>
  <c r="AP245" i="60"/>
  <c r="AT245" i="60"/>
  <c r="AQ248" i="60"/>
  <c r="AQ253" i="60"/>
  <c r="AQ254" i="60"/>
  <c r="AB256" i="60"/>
  <c r="AT256" i="60"/>
  <c r="AE258" i="60"/>
  <c r="AT258" i="60"/>
  <c r="O259" i="60"/>
  <c r="AN259" i="60"/>
  <c r="O260" i="60"/>
  <c r="AS261" i="60"/>
  <c r="AB261" i="60"/>
  <c r="AN261" i="60"/>
  <c r="AT261" i="60"/>
  <c r="AP262" i="60"/>
  <c r="AN262" i="60"/>
  <c r="AS262" i="60"/>
  <c r="AI263" i="60"/>
  <c r="AP264" i="60"/>
  <c r="AB266" i="60"/>
  <c r="AP268" i="60"/>
  <c r="AS268" i="60"/>
  <c r="AB268" i="60"/>
  <c r="AP276" i="60"/>
  <c r="AT239" i="60"/>
  <c r="AB243" i="60"/>
  <c r="AS243" i="60"/>
  <c r="AM245" i="60"/>
  <c r="AQ245" i="60"/>
  <c r="O246" i="60"/>
  <c r="AB247" i="60"/>
  <c r="AS247" i="60"/>
  <c r="AE248" i="60"/>
  <c r="AN248" i="60"/>
  <c r="AB249" i="60"/>
  <c r="AS249" i="60"/>
  <c r="AB250" i="60"/>
  <c r="AS250" i="60"/>
  <c r="AV250" i="60" s="1"/>
  <c r="AB251" i="60"/>
  <c r="AS251" i="60"/>
  <c r="AN253" i="60"/>
  <c r="AE254" i="60"/>
  <c r="AN254" i="60"/>
  <c r="AB255" i="60"/>
  <c r="AS255" i="60"/>
  <c r="AP256" i="60"/>
  <c r="AP258" i="60"/>
  <c r="AI260" i="60"/>
  <c r="AQ264" i="60"/>
  <c r="L265" i="60"/>
  <c r="O266" i="60"/>
  <c r="AT268" i="60"/>
  <c r="AP270" i="60"/>
  <c r="AS270" i="60"/>
  <c r="AB270" i="60"/>
  <c r="AM270" i="60"/>
  <c r="AQ239" i="60"/>
  <c r="O243" i="60"/>
  <c r="AK243" i="60"/>
  <c r="AT243" i="60"/>
  <c r="O244" i="60"/>
  <c r="AI244" i="60"/>
  <c r="AJ330" i="60"/>
  <c r="BE246" i="60"/>
  <c r="AP247" i="60"/>
  <c r="AT247" i="60"/>
  <c r="AB248" i="60"/>
  <c r="AS248" i="60"/>
  <c r="AP249" i="60"/>
  <c r="AT249" i="60"/>
  <c r="AP250" i="60"/>
  <c r="AT250" i="60"/>
  <c r="AP251" i="60"/>
  <c r="AT251" i="60"/>
  <c r="O252" i="60"/>
  <c r="AB253" i="60"/>
  <c r="AB254" i="60"/>
  <c r="AS254" i="60"/>
  <c r="AP255" i="60"/>
  <c r="AT255" i="60"/>
  <c r="AQ256" i="60"/>
  <c r="AN258" i="60"/>
  <c r="AP259" i="60"/>
  <c r="AB262" i="60"/>
  <c r="AQ262" i="60"/>
  <c r="AH264" i="60"/>
  <c r="AS267" i="60"/>
  <c r="AQ268" i="60"/>
  <c r="AT270" i="60"/>
  <c r="AK288" i="60"/>
  <c r="AS288" i="60"/>
  <c r="AM243" i="60"/>
  <c r="AQ243" i="60"/>
  <c r="AB258" i="60"/>
  <c r="AM258" i="60"/>
  <c r="O263" i="60"/>
  <c r="AS264" i="60"/>
  <c r="AB264" i="60"/>
  <c r="AQ266" i="60"/>
  <c r="AT266" i="60"/>
  <c r="AE270" i="60"/>
  <c r="AS266" i="60"/>
  <c r="AP267" i="60"/>
  <c r="AN268" i="60"/>
  <c r="AP269" i="60"/>
  <c r="AN270" i="60"/>
  <c r="O271" i="60"/>
  <c r="AQ272" i="60"/>
  <c r="O273" i="60"/>
  <c r="AB274" i="60"/>
  <c r="AS274" i="60"/>
  <c r="BM275" i="60"/>
  <c r="AF275" i="60" s="1"/>
  <c r="AQ276" i="60"/>
  <c r="L277" i="60"/>
  <c r="AP278" i="60"/>
  <c r="AT278" i="60"/>
  <c r="AQ279" i="60"/>
  <c r="AB280" i="60"/>
  <c r="AS280" i="60"/>
  <c r="AB281" i="60"/>
  <c r="AS281" i="60"/>
  <c r="AP282" i="60"/>
  <c r="AT282" i="60"/>
  <c r="AQ283" i="60"/>
  <c r="AT285" i="60"/>
  <c r="AN287" i="60"/>
  <c r="AB288" i="60"/>
  <c r="AQ289" i="60"/>
  <c r="AT289" i="60"/>
  <c r="AS289" i="60"/>
  <c r="AQ290" i="60"/>
  <c r="AT290" i="60"/>
  <c r="AS290" i="60"/>
  <c r="AH291" i="60"/>
  <c r="AN294" i="60"/>
  <c r="AB295" i="60"/>
  <c r="AN297" i="60"/>
  <c r="AS299" i="60"/>
  <c r="AB299" i="60"/>
  <c r="AQ299" i="60"/>
  <c r="AP310" i="60"/>
  <c r="AS310" i="60"/>
  <c r="AB310" i="60"/>
  <c r="AE310" i="60"/>
  <c r="AM312" i="60"/>
  <c r="AQ314" i="60"/>
  <c r="AE272" i="60"/>
  <c r="AN272" i="60"/>
  <c r="AT274" i="60"/>
  <c r="AE276" i="60"/>
  <c r="AN276" i="60"/>
  <c r="AH278" i="60"/>
  <c r="AQ278" i="60"/>
  <c r="AE279" i="60"/>
  <c r="AN279" i="60"/>
  <c r="AT280" i="60"/>
  <c r="AT281" i="60"/>
  <c r="AH282" i="60"/>
  <c r="AQ282" i="60"/>
  <c r="AE283" i="60"/>
  <c r="AN283" i="60"/>
  <c r="AB284" i="60"/>
  <c r="AS284" i="60"/>
  <c r="AH285" i="60"/>
  <c r="AQ285" i="60"/>
  <c r="AS286" i="60"/>
  <c r="AB286" i="60"/>
  <c r="AP287" i="60"/>
  <c r="AS287" i="60"/>
  <c r="AB287" i="60"/>
  <c r="AN292" i="60"/>
  <c r="AP293" i="60"/>
  <c r="AP294" i="60"/>
  <c r="AS294" i="60"/>
  <c r="AB294" i="60"/>
  <c r="AP296" i="60"/>
  <c r="AB297" i="60"/>
  <c r="AN299" i="60"/>
  <c r="AT310" i="60"/>
  <c r="AM314" i="60"/>
  <c r="AS272" i="60"/>
  <c r="AQ274" i="60"/>
  <c r="AS276" i="60"/>
  <c r="BS277" i="60"/>
  <c r="AI277" i="60" s="1"/>
  <c r="AS279" i="60"/>
  <c r="AQ280" i="60"/>
  <c r="AQ281" i="60"/>
  <c r="AS283" i="60"/>
  <c r="AP284" i="60"/>
  <c r="AT284" i="60"/>
  <c r="O285" i="60"/>
  <c r="AT286" i="60"/>
  <c r="AP291" i="60"/>
  <c r="AP292" i="60"/>
  <c r="AS292" i="60"/>
  <c r="AB292" i="60"/>
  <c r="AQ292" i="60"/>
  <c r="AM293" i="60"/>
  <c r="AS293" i="60"/>
  <c r="AK295" i="60"/>
  <c r="AM296" i="60"/>
  <c r="AS296" i="60"/>
  <c r="AE299" i="60"/>
  <c r="AM299" i="60"/>
  <c r="AT312" i="60"/>
  <c r="AP312" i="60"/>
  <c r="AP314" i="60"/>
  <c r="AK338" i="60"/>
  <c r="AS338" i="60"/>
  <c r="AM286" i="60"/>
  <c r="AQ288" i="60"/>
  <c r="AT288" i="60"/>
  <c r="AQ295" i="60"/>
  <c r="AT295" i="60"/>
  <c r="AP288" i="60"/>
  <c r="AP289" i="60"/>
  <c r="AP290" i="60"/>
  <c r="AQ291" i="60"/>
  <c r="AQ293" i="60"/>
  <c r="AP295" i="60"/>
  <c r="AQ296" i="60"/>
  <c r="AQ312" i="60"/>
  <c r="AH317" i="60"/>
  <c r="AQ317" i="60"/>
  <c r="AE318" i="60"/>
  <c r="AE319" i="60"/>
  <c r="AB320" i="60"/>
  <c r="AS320" i="60"/>
  <c r="AT321" i="60"/>
  <c r="AH322" i="60"/>
  <c r="O323" i="60"/>
  <c r="AB324" i="60"/>
  <c r="AS324" i="60"/>
  <c r="AT325" i="60"/>
  <c r="AQ327" i="60"/>
  <c r="AN328" i="60"/>
  <c r="AT328" i="60"/>
  <c r="AT329" i="60"/>
  <c r="BA334" i="60"/>
  <c r="Z334" i="60" s="1"/>
  <c r="AS335" i="60"/>
  <c r="AB335" i="60"/>
  <c r="AQ335" i="60"/>
  <c r="AQ336" i="60"/>
  <c r="AI336" i="60"/>
  <c r="BO334" i="60"/>
  <c r="AS337" i="60"/>
  <c r="AC339" i="60"/>
  <c r="AM341" i="60"/>
  <c r="AS341" i="60"/>
  <c r="AN342" i="60"/>
  <c r="AT342" i="60"/>
  <c r="AT343" i="60"/>
  <c r="BO311" i="60"/>
  <c r="AI311" i="60" s="1"/>
  <c r="AB314" i="60"/>
  <c r="AS314" i="60"/>
  <c r="AE317" i="60"/>
  <c r="AB318" i="60"/>
  <c r="AS318" i="60"/>
  <c r="AB319" i="60"/>
  <c r="AS319" i="60"/>
  <c r="AP320" i="60"/>
  <c r="AT320" i="60"/>
  <c r="AH321" i="60"/>
  <c r="AQ321" i="60"/>
  <c r="AE322" i="60"/>
  <c r="AP324" i="60"/>
  <c r="AT324" i="60"/>
  <c r="AH325" i="60"/>
  <c r="AQ325" i="60"/>
  <c r="AT327" i="60"/>
  <c r="AE328" i="60"/>
  <c r="AN335" i="60"/>
  <c r="AB336" i="60"/>
  <c r="AH340" i="60"/>
  <c r="AH341" i="60"/>
  <c r="AE342" i="60"/>
  <c r="AQ345" i="60"/>
  <c r="AT345" i="60"/>
  <c r="AS345" i="60"/>
  <c r="AT318" i="60"/>
  <c r="AT319" i="60"/>
  <c r="AQ320" i="60"/>
  <c r="AN321" i="60"/>
  <c r="AQ324" i="60"/>
  <c r="AN325" i="60"/>
  <c r="AN329" i="60"/>
  <c r="AM335" i="60"/>
  <c r="AQ338" i="60"/>
  <c r="AT338" i="60"/>
  <c r="L339" i="60"/>
  <c r="AN343" i="60"/>
  <c r="L326" i="60"/>
  <c r="O327" i="60"/>
  <c r="AS328" i="60"/>
  <c r="AB328" i="60"/>
  <c r="AP329" i="60"/>
  <c r="AS329" i="60"/>
  <c r="AB329" i="60"/>
  <c r="AE329" i="60"/>
  <c r="AP335" i="60"/>
  <c r="AP336" i="60"/>
  <c r="AB337" i="60"/>
  <c r="AP337" i="60"/>
  <c r="AB338" i="60"/>
  <c r="AN338" i="60"/>
  <c r="AD339" i="60"/>
  <c r="O340" i="60"/>
  <c r="AC340" i="60"/>
  <c r="AP341" i="60"/>
  <c r="AS342" i="60"/>
  <c r="AB342" i="60"/>
  <c r="AP343" i="60"/>
  <c r="AS343" i="60"/>
  <c r="AB343" i="60"/>
  <c r="AE343" i="60"/>
  <c r="AP347" i="60"/>
  <c r="AS347" i="60"/>
  <c r="AB347" i="60"/>
  <c r="AM347" i="60"/>
  <c r="AQ337" i="60"/>
  <c r="AP338" i="60"/>
  <c r="AQ340" i="60"/>
  <c r="AQ341" i="60"/>
  <c r="AP345" i="60"/>
  <c r="AT347" i="60"/>
  <c r="AP348" i="60"/>
  <c r="AS348" i="60"/>
  <c r="AB348" i="60"/>
  <c r="AE348" i="60"/>
  <c r="AP349" i="60"/>
  <c r="AP350" i="60"/>
  <c r="AS351" i="60"/>
  <c r="AB351" i="60"/>
  <c r="AQ351" i="60"/>
  <c r="AP352" i="60"/>
  <c r="AS352" i="60"/>
  <c r="AB352" i="60"/>
  <c r="AP354" i="60"/>
  <c r="L353" i="60"/>
  <c r="O355" i="60"/>
  <c r="AP355" i="60"/>
  <c r="AB356" i="60"/>
  <c r="AT357" i="60"/>
  <c r="O334" i="60"/>
  <c r="AN347" i="60"/>
  <c r="AT348" i="60"/>
  <c r="AK349" i="60"/>
  <c r="AQ350" i="60"/>
  <c r="AS350" i="60"/>
  <c r="AN351" i="60"/>
  <c r="AT352" i="60"/>
  <c r="AM352" i="60"/>
  <c r="AK354" i="60"/>
  <c r="AK355" i="60"/>
  <c r="AP356" i="60"/>
  <c r="AS357" i="60"/>
  <c r="AE357" i="60"/>
  <c r="AQ349" i="60"/>
  <c r="AT349" i="60"/>
  <c r="AS349" i="60"/>
  <c r="AH350" i="60"/>
  <c r="AE351" i="60"/>
  <c r="AM351" i="60"/>
  <c r="AN352" i="60"/>
  <c r="AQ354" i="60"/>
  <c r="AT354" i="60"/>
  <c r="AS354" i="60"/>
  <c r="AQ355" i="60"/>
  <c r="AT355" i="60"/>
  <c r="AS355" i="60"/>
  <c r="AK356" i="60"/>
  <c r="AN349" i="60"/>
  <c r="AQ356" i="60"/>
  <c r="AT356" i="60"/>
  <c r="AB359" i="60"/>
  <c r="AS359" i="60"/>
  <c r="AT360" i="60"/>
  <c r="AQ363" i="60"/>
  <c r="AT363" i="60"/>
  <c r="AP364" i="60"/>
  <c r="AS366" i="60"/>
  <c r="AB366" i="60"/>
  <c r="AQ366" i="60"/>
  <c r="AP367" i="60"/>
  <c r="AS367" i="60"/>
  <c r="AB367" i="60"/>
  <c r="AE367" i="60"/>
  <c r="AQ367" i="60"/>
  <c r="AP369" i="60"/>
  <c r="AS374" i="60"/>
  <c r="AB374" i="60"/>
  <c r="AQ374" i="60"/>
  <c r="AB358" i="60"/>
  <c r="AS358" i="60"/>
  <c r="AP359" i="60"/>
  <c r="AT359" i="60"/>
  <c r="AH360" i="60"/>
  <c r="AQ360" i="60"/>
  <c r="AE361" i="60"/>
  <c r="AE362" i="60"/>
  <c r="AB363" i="60"/>
  <c r="AM364" i="60"/>
  <c r="AS364" i="60"/>
  <c r="AN366" i="60"/>
  <c r="AT367" i="60"/>
  <c r="AK368" i="60"/>
  <c r="AM369" i="60"/>
  <c r="AS369" i="60"/>
  <c r="AN374" i="60"/>
  <c r="AP358" i="60"/>
  <c r="AT358" i="60"/>
  <c r="AQ359" i="60"/>
  <c r="AS361" i="60"/>
  <c r="AS362" i="60"/>
  <c r="AH364" i="60"/>
  <c r="AE366" i="60"/>
  <c r="AM366" i="60"/>
  <c r="AQ368" i="60"/>
  <c r="AT368" i="60"/>
  <c r="AS368" i="60"/>
  <c r="AH369" i="60"/>
  <c r="AE374" i="60"/>
  <c r="AM374" i="60"/>
  <c r="AM363" i="60"/>
  <c r="AP363" i="60"/>
  <c r="AM376" i="60"/>
  <c r="AQ376" i="60"/>
  <c r="AS377" i="60"/>
  <c r="AM378" i="60"/>
  <c r="AQ378" i="60"/>
  <c r="AS379" i="60"/>
  <c r="AP381" i="60"/>
  <c r="AT381" i="60"/>
  <c r="AM382" i="60"/>
  <c r="AQ382" i="60"/>
  <c r="AS383" i="60"/>
  <c r="AN376" i="60"/>
  <c r="AP377" i="60"/>
  <c r="AN378" i="60"/>
  <c r="AP379" i="60"/>
  <c r="AM381" i="60"/>
  <c r="AN382" i="60"/>
  <c r="AP383" i="60"/>
  <c r="AQ364" i="60"/>
  <c r="AP368" i="60"/>
  <c r="AQ369" i="60"/>
  <c r="AB376" i="60"/>
  <c r="AS376" i="60"/>
  <c r="AQ377" i="60"/>
  <c r="AB378" i="60"/>
  <c r="AS378" i="60"/>
  <c r="AQ379" i="60"/>
  <c r="AB382" i="60"/>
  <c r="AS382" i="60"/>
  <c r="AQ383" i="60"/>
  <c r="AB381" i="60"/>
  <c r="AJ153" i="56"/>
  <c r="AI153" i="56"/>
  <c r="AG153" i="56"/>
  <c r="AF153" i="56"/>
  <c r="AH153" i="56" s="1"/>
  <c r="AD153" i="56"/>
  <c r="AC153" i="56"/>
  <c r="AA153" i="56"/>
  <c r="Z153" i="56"/>
  <c r="O153" i="56"/>
  <c r="AK3" i="60" l="1"/>
  <c r="AK153" i="56"/>
  <c r="AW5" i="60"/>
  <c r="P5" i="60"/>
  <c r="AB3" i="60"/>
  <c r="AZ5" i="60"/>
  <c r="AP327" i="60"/>
  <c r="BN5" i="60"/>
  <c r="BF5" i="60"/>
  <c r="BH5" i="60"/>
  <c r="BR5" i="60"/>
  <c r="AY5" i="60"/>
  <c r="BO5" i="60"/>
  <c r="BA5" i="60"/>
  <c r="BP5" i="60"/>
  <c r="BL5" i="60"/>
  <c r="BJ5" i="60"/>
  <c r="AX5" i="60"/>
  <c r="BD5" i="60"/>
  <c r="BC5" i="60"/>
  <c r="BM5" i="60"/>
  <c r="BE5" i="60"/>
  <c r="BQ5" i="60"/>
  <c r="BS5" i="60"/>
  <c r="BB5" i="60"/>
  <c r="AE327" i="60"/>
  <c r="BI5" i="60"/>
  <c r="Z72" i="60"/>
  <c r="AB72" i="60" s="1"/>
  <c r="AW211" i="60"/>
  <c r="AW213" i="60" s="1"/>
  <c r="BF211" i="60"/>
  <c r="BF213" i="60" s="1"/>
  <c r="L384" i="60"/>
  <c r="L387" i="60" s="1"/>
  <c r="L8" i="60" s="1"/>
  <c r="P211" i="60"/>
  <c r="P238" i="60" s="1"/>
  <c r="P385" i="60" s="1"/>
  <c r="BP211" i="60"/>
  <c r="BP213" i="60" s="1"/>
  <c r="BB211" i="60"/>
  <c r="BB213" i="60" s="1"/>
  <c r="BH211" i="60"/>
  <c r="BH213" i="60" s="1"/>
  <c r="BR211" i="60"/>
  <c r="BR213" i="60" s="1"/>
  <c r="AZ211" i="60"/>
  <c r="AZ213" i="60" s="1"/>
  <c r="BN211" i="60"/>
  <c r="BN213" i="60" s="1"/>
  <c r="BC211" i="60"/>
  <c r="BC213" i="60" s="1"/>
  <c r="BL211" i="60"/>
  <c r="BL213" i="60" s="1"/>
  <c r="BJ211" i="60"/>
  <c r="BJ213" i="60" s="1"/>
  <c r="AX211" i="60"/>
  <c r="AX213" i="60" s="1"/>
  <c r="BD211" i="60"/>
  <c r="BD213" i="60" s="1"/>
  <c r="BA211" i="60"/>
  <c r="BA213" i="60" s="1"/>
  <c r="BQ211" i="60"/>
  <c r="BQ213" i="60" s="1"/>
  <c r="L211" i="60"/>
  <c r="BI211" i="60"/>
  <c r="BI213" i="60" s="1"/>
  <c r="S211" i="60"/>
  <c r="BO211" i="60"/>
  <c r="BO213" i="60" s="1"/>
  <c r="AS327" i="60"/>
  <c r="AU327" i="60" s="1"/>
  <c r="BE384" i="60"/>
  <c r="BS211" i="60"/>
  <c r="BS213" i="60" s="1"/>
  <c r="Q211" i="60"/>
  <c r="Q213" i="60" s="1"/>
  <c r="Q6" i="60" s="1"/>
  <c r="BM211" i="60"/>
  <c r="BM213" i="60" s="1"/>
  <c r="BT211" i="60"/>
  <c r="BE211" i="60"/>
  <c r="BE213" i="60" s="1"/>
  <c r="AY211" i="60"/>
  <c r="AY213" i="60" s="1"/>
  <c r="BK384" i="60"/>
  <c r="BM384" i="60"/>
  <c r="BS384" i="60"/>
  <c r="BC384" i="60"/>
  <c r="BA384" i="60"/>
  <c r="BO384" i="60"/>
  <c r="BI384" i="60"/>
  <c r="O330" i="60"/>
  <c r="AG330" i="60"/>
  <c r="AG384" i="60" s="1"/>
  <c r="AH300" i="60"/>
  <c r="AQ300" i="60"/>
  <c r="AS300" i="60"/>
  <c r="AP300" i="60"/>
  <c r="AM300" i="60"/>
  <c r="AO300" i="60" s="1"/>
  <c r="AB300" i="60"/>
  <c r="AD330" i="60"/>
  <c r="AD384" i="60" s="1"/>
  <c r="AA330" i="60"/>
  <c r="AA384" i="60" s="1"/>
  <c r="AM12" i="60"/>
  <c r="AO12" i="60" s="1"/>
  <c r="AC72" i="60"/>
  <c r="AE72" i="60" s="1"/>
  <c r="AK27" i="60"/>
  <c r="AR295" i="60"/>
  <c r="AS312" i="60"/>
  <c r="AV312" i="60" s="1"/>
  <c r="AS43" i="60"/>
  <c r="AV43" i="60" s="1"/>
  <c r="AP43" i="60"/>
  <c r="AR43" i="60" s="1"/>
  <c r="AI39" i="60"/>
  <c r="AK39" i="60" s="1"/>
  <c r="AC346" i="60"/>
  <c r="AM346" i="60" s="1"/>
  <c r="AP27" i="60"/>
  <c r="AE103" i="60"/>
  <c r="AO69" i="60"/>
  <c r="AS27" i="60"/>
  <c r="AV27" i="60" s="1"/>
  <c r="AT3" i="60"/>
  <c r="AQ3" i="60"/>
  <c r="AS381" i="60"/>
  <c r="AU381" i="60" s="1"/>
  <c r="AH3" i="60"/>
  <c r="AH27" i="60"/>
  <c r="AO317" i="60"/>
  <c r="AS22" i="60"/>
  <c r="AV22" i="60" s="1"/>
  <c r="AI72" i="60"/>
  <c r="AK72" i="60" s="1"/>
  <c r="AM22" i="60"/>
  <c r="AO22" i="60" s="1"/>
  <c r="BM8" i="60"/>
  <c r="BK14" i="60"/>
  <c r="AF14" i="60" s="1"/>
  <c r="AH14" i="60" s="1"/>
  <c r="AF12" i="60"/>
  <c r="AE22" i="60"/>
  <c r="AM73" i="60"/>
  <c r="AO73" i="60" s="1"/>
  <c r="AI12" i="60"/>
  <c r="BS8" i="60"/>
  <c r="AK53" i="60"/>
  <c r="BG86" i="60"/>
  <c r="BG211" i="60" s="1"/>
  <c r="AM297" i="60"/>
  <c r="AO297" i="60" s="1"/>
  <c r="AK66" i="60"/>
  <c r="AF72" i="60"/>
  <c r="AS253" i="60"/>
  <c r="AV253" i="60" s="1"/>
  <c r="AE27" i="60"/>
  <c r="AS297" i="60"/>
  <c r="AU297" i="60" s="1"/>
  <c r="AP297" i="60"/>
  <c r="AR297" i="60" s="1"/>
  <c r="AM47" i="60"/>
  <c r="AO47" i="60" s="1"/>
  <c r="AO338" i="60"/>
  <c r="AP253" i="60"/>
  <c r="AR253" i="60" s="1"/>
  <c r="AK339" i="60"/>
  <c r="AE253" i="60"/>
  <c r="AQ27" i="60"/>
  <c r="AT27" i="60"/>
  <c r="AR204" i="60"/>
  <c r="AO187" i="60"/>
  <c r="AP47" i="60"/>
  <c r="AR47" i="60" s="1"/>
  <c r="AN153" i="56"/>
  <c r="AE153" i="56"/>
  <c r="AK67" i="60"/>
  <c r="AR108" i="60"/>
  <c r="AH198" i="60"/>
  <c r="AU325" i="60"/>
  <c r="AI334" i="60"/>
  <c r="AE63" i="60"/>
  <c r="AO27" i="60"/>
  <c r="AO161" i="60"/>
  <c r="AH47" i="60"/>
  <c r="AR24" i="60"/>
  <c r="AM38" i="60"/>
  <c r="AO38" i="60" s="1"/>
  <c r="AM63" i="60"/>
  <c r="AO63" i="60" s="1"/>
  <c r="AS47" i="60"/>
  <c r="AV47" i="60" s="1"/>
  <c r="AS63" i="60"/>
  <c r="AV63" i="60" s="1"/>
  <c r="AR170" i="60"/>
  <c r="AR162" i="60"/>
  <c r="AO36" i="60"/>
  <c r="AR79" i="60"/>
  <c r="AR374" i="60"/>
  <c r="AU278" i="60"/>
  <c r="AO278" i="60"/>
  <c r="AU200" i="60"/>
  <c r="AR52" i="60"/>
  <c r="AK28" i="60"/>
  <c r="AM94" i="60"/>
  <c r="AR25" i="60"/>
  <c r="AE375" i="60"/>
  <c r="AO318" i="60"/>
  <c r="AE195" i="60"/>
  <c r="AB128" i="60"/>
  <c r="AE178" i="60"/>
  <c r="AR287" i="60"/>
  <c r="AR251" i="60"/>
  <c r="AO156" i="60"/>
  <c r="AH323" i="60"/>
  <c r="AR63" i="60"/>
  <c r="AO55" i="60"/>
  <c r="AN178" i="60"/>
  <c r="AH128" i="60"/>
  <c r="AU162" i="60"/>
  <c r="AU18" i="60"/>
  <c r="AP38" i="60"/>
  <c r="AR38" i="60" s="1"/>
  <c r="AH48" i="60"/>
  <c r="AE109" i="60"/>
  <c r="AE326" i="60"/>
  <c r="AM128" i="60"/>
  <c r="AE17" i="60"/>
  <c r="AS65" i="60"/>
  <c r="AV65" i="60" s="1"/>
  <c r="AH62" i="60"/>
  <c r="AK109" i="60"/>
  <c r="AR201" i="60"/>
  <c r="AU132" i="60"/>
  <c r="AU144" i="60"/>
  <c r="AO383" i="60"/>
  <c r="AB375" i="60"/>
  <c r="AB271" i="60"/>
  <c r="AR179" i="60"/>
  <c r="AO146" i="60"/>
  <c r="AO138" i="60"/>
  <c r="AR131" i="60"/>
  <c r="AB380" i="60"/>
  <c r="AO324" i="60"/>
  <c r="AE198" i="60"/>
  <c r="AO29" i="60"/>
  <c r="AO256" i="60"/>
  <c r="AB315" i="60"/>
  <c r="AH334" i="60"/>
  <c r="AO251" i="60"/>
  <c r="AK195" i="60"/>
  <c r="AE334" i="60"/>
  <c r="AO99" i="60"/>
  <c r="AE28" i="60"/>
  <c r="AE128" i="60"/>
  <c r="AP128" i="60"/>
  <c r="AO283" i="60"/>
  <c r="AK148" i="60"/>
  <c r="AP75" i="60"/>
  <c r="AR75" i="60" s="1"/>
  <c r="AS58" i="60"/>
  <c r="AU58" i="60" s="1"/>
  <c r="AR294" i="60"/>
  <c r="AR210" i="60"/>
  <c r="AK57" i="60"/>
  <c r="AH148" i="60"/>
  <c r="AO250" i="60"/>
  <c r="AB205" i="60"/>
  <c r="AH246" i="60"/>
  <c r="AO345" i="60"/>
  <c r="AM285" i="60"/>
  <c r="AO285" i="60" s="1"/>
  <c r="AO280" i="60"/>
  <c r="AP28" i="60"/>
  <c r="AO350" i="60"/>
  <c r="AH28" i="60"/>
  <c r="AK35" i="60"/>
  <c r="AO151" i="60"/>
  <c r="AE167" i="60"/>
  <c r="AR368" i="60"/>
  <c r="AH167" i="60"/>
  <c r="AO245" i="60"/>
  <c r="Q387" i="60"/>
  <c r="Q8" i="60" s="1"/>
  <c r="AT195" i="60"/>
  <c r="AK316" i="60"/>
  <c r="AU293" i="60"/>
  <c r="AP73" i="60"/>
  <c r="AR73" i="60" s="1"/>
  <c r="AR54" i="60"/>
  <c r="AR31" i="60"/>
  <c r="AS73" i="60"/>
  <c r="AV73" i="60" s="1"/>
  <c r="AP58" i="60"/>
  <c r="AR58" i="60" s="1"/>
  <c r="AO281" i="60"/>
  <c r="AN45" i="60"/>
  <c r="AH252" i="60"/>
  <c r="AR299" i="60"/>
  <c r="AR247" i="60"/>
  <c r="AR50" i="60"/>
  <c r="AH316" i="60"/>
  <c r="AE67" i="60"/>
  <c r="AS38" i="60"/>
  <c r="AV38" i="60" s="1"/>
  <c r="AO239" i="60"/>
  <c r="AO147" i="60"/>
  <c r="AM58" i="60"/>
  <c r="AO58" i="60" s="1"/>
  <c r="AS285" i="60"/>
  <c r="AV285" i="60" s="1"/>
  <c r="AO369" i="60"/>
  <c r="AR366" i="60"/>
  <c r="AK263" i="60"/>
  <c r="AR154" i="60"/>
  <c r="AO117" i="60"/>
  <c r="AU89" i="60"/>
  <c r="AE14" i="60"/>
  <c r="AR36" i="60"/>
  <c r="AB58" i="60"/>
  <c r="AP3" i="60"/>
  <c r="AO255" i="60"/>
  <c r="AU157" i="60"/>
  <c r="AU30" i="60"/>
  <c r="AH23" i="60"/>
  <c r="AO341" i="60"/>
  <c r="AU54" i="60"/>
  <c r="AM75" i="60"/>
  <c r="AO75" i="60" s="1"/>
  <c r="AE316" i="60"/>
  <c r="AP285" i="60"/>
  <c r="AR285" i="60" s="1"/>
  <c r="AR158" i="60"/>
  <c r="AO247" i="60"/>
  <c r="AR123" i="60"/>
  <c r="AR85" i="60"/>
  <c r="AB17" i="60"/>
  <c r="AH65" i="60"/>
  <c r="AR26" i="60"/>
  <c r="AS75" i="60"/>
  <c r="AU75" i="60" s="1"/>
  <c r="AM3" i="60"/>
  <c r="AO3" i="60" s="1"/>
  <c r="AB323" i="60"/>
  <c r="AE124" i="60"/>
  <c r="AU163" i="60"/>
  <c r="AG133" i="60"/>
  <c r="AM23" i="60"/>
  <c r="AE23" i="60"/>
  <c r="AK346" i="60"/>
  <c r="AQ316" i="60"/>
  <c r="AS3" i="60"/>
  <c r="AU3" i="60" s="1"/>
  <c r="AH39" i="60"/>
  <c r="AN134" i="60"/>
  <c r="AS128" i="60"/>
  <c r="AV128" i="60" s="1"/>
  <c r="AN195" i="60"/>
  <c r="AH94" i="60"/>
  <c r="AB57" i="60"/>
  <c r="AH186" i="60"/>
  <c r="AU179" i="60"/>
  <c r="AB178" i="60"/>
  <c r="AH207" i="60"/>
  <c r="AO89" i="60"/>
  <c r="AU153" i="60"/>
  <c r="AO197" i="60"/>
  <c r="AO150" i="60"/>
  <c r="AR64" i="60"/>
  <c r="AO264" i="60"/>
  <c r="AO96" i="60"/>
  <c r="AH380" i="60"/>
  <c r="AK315" i="60"/>
  <c r="AK167" i="60"/>
  <c r="AN70" i="60"/>
  <c r="AO329" i="60"/>
  <c r="AR19" i="60"/>
  <c r="AQ70" i="60"/>
  <c r="AO56" i="60"/>
  <c r="AK45" i="60"/>
  <c r="AK23" i="60"/>
  <c r="Z133" i="60"/>
  <c r="AV153" i="60"/>
  <c r="AB87" i="60"/>
  <c r="AM205" i="60"/>
  <c r="AM326" i="60"/>
  <c r="AM198" i="60"/>
  <c r="AO312" i="60"/>
  <c r="AR44" i="60"/>
  <c r="R385" i="60"/>
  <c r="AO40" i="60"/>
  <c r="AO368" i="60"/>
  <c r="AQ244" i="60"/>
  <c r="AH273" i="60"/>
  <c r="AE35" i="60"/>
  <c r="AH35" i="60"/>
  <c r="AH178" i="60"/>
  <c r="AM380" i="60"/>
  <c r="AN316" i="60"/>
  <c r="AU169" i="60"/>
  <c r="AR101" i="60"/>
  <c r="AK17" i="60"/>
  <c r="AR77" i="60"/>
  <c r="AU363" i="60"/>
  <c r="AR347" i="60"/>
  <c r="AU322" i="60"/>
  <c r="BT265" i="60"/>
  <c r="BT5" i="60" s="1"/>
  <c r="AO262" i="60"/>
  <c r="AP198" i="60"/>
  <c r="AO170" i="60"/>
  <c r="AU168" i="60"/>
  <c r="AR118" i="60"/>
  <c r="AR126" i="60"/>
  <c r="AO85" i="60"/>
  <c r="AO42" i="60"/>
  <c r="AO24" i="60"/>
  <c r="AM28" i="60"/>
  <c r="AO379" i="60"/>
  <c r="AE53" i="60"/>
  <c r="AO20" i="60"/>
  <c r="AO358" i="60"/>
  <c r="AB195" i="60"/>
  <c r="AK246" i="60"/>
  <c r="AO349" i="60"/>
  <c r="AR255" i="60"/>
  <c r="AR97" i="60"/>
  <c r="AE70" i="60"/>
  <c r="AO381" i="60"/>
  <c r="AU356" i="60"/>
  <c r="AR352" i="60"/>
  <c r="AU292" i="60"/>
  <c r="AK244" i="60"/>
  <c r="AU258" i="60"/>
  <c r="AE244" i="60"/>
  <c r="AU199" i="60"/>
  <c r="AU197" i="60"/>
  <c r="AR127" i="60"/>
  <c r="AO140" i="60"/>
  <c r="AO122" i="60"/>
  <c r="AO90" i="60"/>
  <c r="AR46" i="60"/>
  <c r="AO66" i="60"/>
  <c r="AR32" i="60"/>
  <c r="AO266" i="60"/>
  <c r="AN260" i="60"/>
  <c r="AO127" i="60"/>
  <c r="AU259" i="60"/>
  <c r="AO290" i="60"/>
  <c r="AH67" i="60"/>
  <c r="AO367" i="60"/>
  <c r="AE260" i="60"/>
  <c r="AO119" i="60"/>
  <c r="AR319" i="60"/>
  <c r="AO91" i="60"/>
  <c r="AT70" i="60"/>
  <c r="AR286" i="60"/>
  <c r="AQ273" i="60"/>
  <c r="AB246" i="60"/>
  <c r="AR119" i="60"/>
  <c r="AR145" i="60"/>
  <c r="AR322" i="60"/>
  <c r="AO166" i="60"/>
  <c r="AO74" i="60"/>
  <c r="AT316" i="60"/>
  <c r="AT346" i="60"/>
  <c r="AK323" i="60"/>
  <c r="AU194" i="60"/>
  <c r="AP178" i="60"/>
  <c r="AB124" i="60"/>
  <c r="AH209" i="60"/>
  <c r="AH17" i="60"/>
  <c r="AN346" i="60"/>
  <c r="AP323" i="60"/>
  <c r="AQ195" i="60"/>
  <c r="AN35" i="60"/>
  <c r="AO49" i="60"/>
  <c r="AU266" i="60"/>
  <c r="AU267" i="60"/>
  <c r="AR248" i="60"/>
  <c r="AN216" i="60"/>
  <c r="AQ209" i="60"/>
  <c r="AR200" i="60"/>
  <c r="AR29" i="60"/>
  <c r="AR13" i="60"/>
  <c r="AR78" i="60"/>
  <c r="AO65" i="60"/>
  <c r="AE94" i="60"/>
  <c r="AH134" i="60"/>
  <c r="AO276" i="60"/>
  <c r="AR279" i="60"/>
  <c r="AM178" i="60"/>
  <c r="AO164" i="60"/>
  <c r="AO357" i="60"/>
  <c r="AH346" i="60"/>
  <c r="AK134" i="60"/>
  <c r="AU36" i="60"/>
  <c r="AU41" i="60"/>
  <c r="AB134" i="60"/>
  <c r="AR362" i="60"/>
  <c r="AP205" i="60"/>
  <c r="AS178" i="60"/>
  <c r="AV178" i="60" s="1"/>
  <c r="AP326" i="60"/>
  <c r="AS124" i="60"/>
  <c r="AV124" i="60" s="1"/>
  <c r="AO110" i="60"/>
  <c r="AQ109" i="60"/>
  <c r="AO279" i="60"/>
  <c r="AO328" i="60"/>
  <c r="AO294" i="60"/>
  <c r="AO142" i="60"/>
  <c r="AR122" i="60"/>
  <c r="AR22" i="60"/>
  <c r="AO19" i="60"/>
  <c r="AO13" i="60"/>
  <c r="AM17" i="60"/>
  <c r="AQ334" i="60"/>
  <c r="AK186" i="60"/>
  <c r="AJ86" i="60"/>
  <c r="AN94" i="60"/>
  <c r="AM45" i="60"/>
  <c r="AU66" i="60"/>
  <c r="AQ103" i="60"/>
  <c r="AO125" i="60"/>
  <c r="AN275" i="60"/>
  <c r="AN205" i="60"/>
  <c r="AM167" i="60"/>
  <c r="AO131" i="60"/>
  <c r="AU78" i="60"/>
  <c r="AB45" i="60"/>
  <c r="AH103" i="60"/>
  <c r="AB277" i="60"/>
  <c r="AH260" i="60"/>
  <c r="AQ72" i="60"/>
  <c r="AP67" i="60"/>
  <c r="AQ271" i="60"/>
  <c r="AT103" i="60"/>
  <c r="AU376" i="60"/>
  <c r="AU383" i="60"/>
  <c r="AR381" i="60"/>
  <c r="AP380" i="60"/>
  <c r="AR358" i="60"/>
  <c r="AR341" i="60"/>
  <c r="AO325" i="60"/>
  <c r="AR283" i="60"/>
  <c r="AU202" i="60"/>
  <c r="AO199" i="60"/>
  <c r="AO152" i="60"/>
  <c r="AT134" i="60"/>
  <c r="AR100" i="60"/>
  <c r="AK87" i="60"/>
  <c r="AO81" i="60"/>
  <c r="AO79" i="60"/>
  <c r="AR33" i="60"/>
  <c r="AO355" i="60"/>
  <c r="AM316" i="60"/>
  <c r="AO249" i="60"/>
  <c r="AT271" i="60"/>
  <c r="AO52" i="60"/>
  <c r="AO44" i="60"/>
  <c r="AS375" i="60"/>
  <c r="AV375" i="60" s="1"/>
  <c r="AO348" i="60"/>
  <c r="AK198" i="60"/>
  <c r="AH271" i="60"/>
  <c r="AH263" i="60"/>
  <c r="AM257" i="60"/>
  <c r="AK207" i="60"/>
  <c r="AB273" i="60"/>
  <c r="AO104" i="60"/>
  <c r="AQ62" i="60"/>
  <c r="AP103" i="60"/>
  <c r="AK62" i="60"/>
  <c r="AM51" i="60"/>
  <c r="AK178" i="60"/>
  <c r="AN315" i="60"/>
  <c r="AT273" i="60"/>
  <c r="AE265" i="60"/>
  <c r="AT252" i="60"/>
  <c r="AB216" i="60"/>
  <c r="AK380" i="60"/>
  <c r="AN265" i="60"/>
  <c r="AS109" i="60"/>
  <c r="AV109" i="60" s="1"/>
  <c r="AM39" i="60"/>
  <c r="AE277" i="60"/>
  <c r="AE263" i="60"/>
  <c r="AS186" i="60"/>
  <c r="AV186" i="60" s="1"/>
  <c r="AR343" i="60"/>
  <c r="AU282" i="60"/>
  <c r="AN273" i="60"/>
  <c r="AB12" i="60"/>
  <c r="AO68" i="60"/>
  <c r="AO37" i="60"/>
  <c r="AQ186" i="60"/>
  <c r="AQ134" i="60"/>
  <c r="AU42" i="60"/>
  <c r="AR329" i="60"/>
  <c r="AU295" i="60"/>
  <c r="AO293" i="60"/>
  <c r="AO292" i="60"/>
  <c r="AO363" i="60"/>
  <c r="AQ346" i="60"/>
  <c r="AO261" i="60"/>
  <c r="AP167" i="60"/>
  <c r="AR49" i="60"/>
  <c r="AQ35" i="60"/>
  <c r="AO359" i="60"/>
  <c r="AO356" i="60"/>
  <c r="AO116" i="60"/>
  <c r="AE51" i="60"/>
  <c r="AT39" i="60"/>
  <c r="AU37" i="60"/>
  <c r="AH277" i="60"/>
  <c r="AK252" i="60"/>
  <c r="AO50" i="60"/>
  <c r="AR335" i="60"/>
  <c r="AS323" i="60"/>
  <c r="AV323" i="60" s="1"/>
  <c r="AB346" i="60"/>
  <c r="AO299" i="60"/>
  <c r="AO314" i="60"/>
  <c r="AB265" i="60"/>
  <c r="AP271" i="60"/>
  <c r="AK209" i="60"/>
  <c r="AO149" i="60"/>
  <c r="AT178" i="60"/>
  <c r="AN124" i="60"/>
  <c r="AN109" i="60"/>
  <c r="AR41" i="60"/>
  <c r="AO33" i="60"/>
  <c r="AO26" i="60"/>
  <c r="AS23" i="60"/>
  <c r="AV23" i="60" s="1"/>
  <c r="AB28" i="60"/>
  <c r="AR342" i="60"/>
  <c r="AO177" i="60"/>
  <c r="AE39" i="60"/>
  <c r="AN87" i="60"/>
  <c r="AH326" i="60"/>
  <c r="AN271" i="60"/>
  <c r="AK375" i="60"/>
  <c r="AB252" i="60"/>
  <c r="AO16" i="60"/>
  <c r="AT57" i="60"/>
  <c r="AU378" i="60"/>
  <c r="AO374" i="60"/>
  <c r="AR360" i="60"/>
  <c r="AN334" i="60"/>
  <c r="AU317" i="60"/>
  <c r="AQ277" i="60"/>
  <c r="AO287" i="60"/>
  <c r="AQ252" i="60"/>
  <c r="AO168" i="60"/>
  <c r="AR187" i="60"/>
  <c r="AR157" i="60"/>
  <c r="AQ124" i="60"/>
  <c r="AP186" i="60"/>
  <c r="AQ178" i="60"/>
  <c r="AB109" i="60"/>
  <c r="AS198" i="60"/>
  <c r="AV198" i="60" s="1"/>
  <c r="AR130" i="60"/>
  <c r="AR88" i="60"/>
  <c r="AR55" i="60"/>
  <c r="AR16" i="60"/>
  <c r="AT109" i="60"/>
  <c r="AR42" i="60"/>
  <c r="AU64" i="60"/>
  <c r="AP23" i="60"/>
  <c r="AB39" i="60"/>
  <c r="AS28" i="60"/>
  <c r="AV28" i="60" s="1"/>
  <c r="AE380" i="60"/>
  <c r="AK326" i="60"/>
  <c r="AN311" i="60"/>
  <c r="AO274" i="60"/>
  <c r="AE271" i="60"/>
  <c r="AO284" i="60"/>
  <c r="AK124" i="60"/>
  <c r="AK94" i="60"/>
  <c r="AO267" i="60"/>
  <c r="AM323" i="60"/>
  <c r="AO336" i="60"/>
  <c r="AP375" i="60"/>
  <c r="AT326" i="60"/>
  <c r="AO310" i="60"/>
  <c r="AQ257" i="60"/>
  <c r="AH205" i="60"/>
  <c r="AK103" i="60"/>
  <c r="AM124" i="60"/>
  <c r="AN103" i="60"/>
  <c r="AU360" i="60"/>
  <c r="AO342" i="60"/>
  <c r="AR292" i="60"/>
  <c r="AO210" i="60"/>
  <c r="AE216" i="60"/>
  <c r="AO141" i="60"/>
  <c r="AO136" i="60"/>
  <c r="AH195" i="60"/>
  <c r="AQ28" i="60"/>
  <c r="AR74" i="60"/>
  <c r="AR66" i="60"/>
  <c r="AR30" i="60"/>
  <c r="AO327" i="60"/>
  <c r="AE275" i="60"/>
  <c r="AB148" i="60"/>
  <c r="AM103" i="60"/>
  <c r="AO103" i="60" s="1"/>
  <c r="AH109" i="60"/>
  <c r="AP45" i="60"/>
  <c r="AM275" i="60"/>
  <c r="AN375" i="60"/>
  <c r="AU296" i="60"/>
  <c r="AR250" i="60"/>
  <c r="AM271" i="60"/>
  <c r="AK260" i="60"/>
  <c r="AN277" i="60"/>
  <c r="AP263" i="60"/>
  <c r="AR194" i="60"/>
  <c r="AM216" i="60"/>
  <c r="AU140" i="60"/>
  <c r="AP109" i="60"/>
  <c r="AR102" i="60"/>
  <c r="AR98" i="60"/>
  <c r="AM186" i="60"/>
  <c r="AO130" i="60"/>
  <c r="AR95" i="60"/>
  <c r="AR82" i="60"/>
  <c r="AU77" i="60"/>
  <c r="AN57" i="60"/>
  <c r="AO360" i="60"/>
  <c r="AR361" i="60"/>
  <c r="AO289" i="60"/>
  <c r="AP207" i="60"/>
  <c r="AU269" i="60"/>
  <c r="AH244" i="60"/>
  <c r="AQ48" i="60"/>
  <c r="AK205" i="60"/>
  <c r="AO282" i="60"/>
  <c r="AB353" i="60"/>
  <c r="AR328" i="60"/>
  <c r="AT315" i="60"/>
  <c r="AN326" i="60"/>
  <c r="AO319" i="60"/>
  <c r="AP315" i="60"/>
  <c r="AH257" i="60"/>
  <c r="AS209" i="60"/>
  <c r="AV209" i="60" s="1"/>
  <c r="AT198" i="60"/>
  <c r="AQ57" i="60"/>
  <c r="AS380" i="60"/>
  <c r="AV380" i="60" s="1"/>
  <c r="AM375" i="60"/>
  <c r="AO343" i="60"/>
  <c r="AE315" i="60"/>
  <c r="AO321" i="60"/>
  <c r="AR325" i="60"/>
  <c r="AS326" i="60"/>
  <c r="AV326" i="60" s="1"/>
  <c r="AM260" i="60"/>
  <c r="AO217" i="60"/>
  <c r="AR185" i="60"/>
  <c r="AM263" i="60"/>
  <c r="AR217" i="60"/>
  <c r="AR169" i="60"/>
  <c r="AO154" i="60"/>
  <c r="AU152" i="60"/>
  <c r="AP216" i="60"/>
  <c r="AB186" i="60"/>
  <c r="AU104" i="60"/>
  <c r="AT94" i="60"/>
  <c r="AR90" i="60"/>
  <c r="AO54" i="60"/>
  <c r="AO46" i="60"/>
  <c r="AH57" i="60"/>
  <c r="AQ67" i="60"/>
  <c r="AT277" i="60"/>
  <c r="AF86" i="60"/>
  <c r="AK70" i="60"/>
  <c r="AF133" i="60"/>
  <c r="AQ45" i="60"/>
  <c r="AO364" i="60"/>
  <c r="AR249" i="60"/>
  <c r="AR239" i="60"/>
  <c r="AS271" i="60"/>
  <c r="AV271" i="60" s="1"/>
  <c r="AR270" i="60"/>
  <c r="AM265" i="60"/>
  <c r="AR206" i="60"/>
  <c r="AT35" i="60"/>
  <c r="AT23" i="60"/>
  <c r="AO34" i="60"/>
  <c r="AB51" i="60"/>
  <c r="AE353" i="60"/>
  <c r="AR80" i="60"/>
  <c r="AT67" i="60"/>
  <c r="AK273" i="60"/>
  <c r="AM277" i="60"/>
  <c r="AP265" i="60"/>
  <c r="AH216" i="60"/>
  <c r="AO377" i="60"/>
  <c r="AO362" i="60"/>
  <c r="AM53" i="60"/>
  <c r="AM48" i="60"/>
  <c r="AN39" i="60"/>
  <c r="AM339" i="60"/>
  <c r="AE252" i="60"/>
  <c r="AR363" i="60"/>
  <c r="AT380" i="60"/>
  <c r="AR364" i="60"/>
  <c r="AQ353" i="60"/>
  <c r="AO335" i="60"/>
  <c r="AR317" i="60"/>
  <c r="AS265" i="60"/>
  <c r="AV265" i="60" s="1"/>
  <c r="AB260" i="60"/>
  <c r="AP252" i="60"/>
  <c r="AB198" i="60"/>
  <c r="AQ216" i="60"/>
  <c r="AB209" i="60"/>
  <c r="AM207" i="60"/>
  <c r="AQ148" i="60"/>
  <c r="AO144" i="60"/>
  <c r="AC133" i="60"/>
  <c r="AB103" i="60"/>
  <c r="AR92" i="60"/>
  <c r="AR81" i="60"/>
  <c r="AO76" i="60"/>
  <c r="AU46" i="60"/>
  <c r="AU76" i="60"/>
  <c r="AT62" i="60"/>
  <c r="AQ39" i="60"/>
  <c r="AN67" i="60"/>
  <c r="AB311" i="60"/>
  <c r="AO295" i="60"/>
  <c r="AS216" i="60"/>
  <c r="AR208" i="60"/>
  <c r="AN167" i="60"/>
  <c r="AE48" i="60"/>
  <c r="AR351" i="60"/>
  <c r="AO98" i="60"/>
  <c r="AN252" i="60"/>
  <c r="AQ265" i="60"/>
  <c r="AR310" i="60"/>
  <c r="AS207" i="60"/>
  <c r="AV207" i="60" s="1"/>
  <c r="AR136" i="60"/>
  <c r="AO126" i="60"/>
  <c r="AO108" i="60"/>
  <c r="AO92" i="60"/>
  <c r="AU116" i="60"/>
  <c r="AE87" i="60"/>
  <c r="AR68" i="60"/>
  <c r="AP53" i="60"/>
  <c r="AB53" i="60"/>
  <c r="AM67" i="60"/>
  <c r="AU20" i="60"/>
  <c r="AO15" i="60"/>
  <c r="AH70" i="60"/>
  <c r="AP39" i="60"/>
  <c r="AB35" i="60"/>
  <c r="AO322" i="60"/>
  <c r="AH87" i="60"/>
  <c r="AO101" i="60"/>
  <c r="AH265" i="60"/>
  <c r="AT72" i="60"/>
  <c r="AH53" i="60"/>
  <c r="AO32" i="60"/>
  <c r="AO202" i="60"/>
  <c r="AT87" i="60"/>
  <c r="AT205" i="60"/>
  <c r="AN186" i="60"/>
  <c r="AT53" i="60"/>
  <c r="AN23" i="60"/>
  <c r="AP17" i="60"/>
  <c r="AP94" i="60"/>
  <c r="AE62" i="60"/>
  <c r="AP51" i="60"/>
  <c r="AT28" i="60"/>
  <c r="AP260" i="60"/>
  <c r="AO320" i="60"/>
  <c r="AO123" i="60"/>
  <c r="AQ380" i="60"/>
  <c r="AN353" i="60"/>
  <c r="AM315" i="60"/>
  <c r="AO268" i="60"/>
  <c r="AO248" i="60"/>
  <c r="AR254" i="60"/>
  <c r="AN380" i="60"/>
  <c r="AR336" i="60"/>
  <c r="AT353" i="60"/>
  <c r="AB339" i="60"/>
  <c r="AR281" i="60"/>
  <c r="AO272" i="60"/>
  <c r="AT216" i="60"/>
  <c r="AK257" i="60"/>
  <c r="AO254" i="60"/>
  <c r="AM252" i="60"/>
  <c r="AR164" i="60"/>
  <c r="AR151" i="60"/>
  <c r="AU187" i="60"/>
  <c r="AR156" i="60"/>
  <c r="AO145" i="60"/>
  <c r="AO135" i="60"/>
  <c r="AO100" i="60"/>
  <c r="AU81" i="60"/>
  <c r="AB67" i="60"/>
  <c r="AR56" i="60"/>
  <c r="AN72" i="60"/>
  <c r="AO30" i="60"/>
  <c r="AS67" i="60"/>
  <c r="AO361" i="60"/>
  <c r="AO354" i="60"/>
  <c r="AO120" i="60"/>
  <c r="AA86" i="60"/>
  <c r="AS252" i="60"/>
  <c r="AV252" i="60" s="1"/>
  <c r="AU33" i="60"/>
  <c r="AN257" i="60"/>
  <c r="AP209" i="60"/>
  <c r="AB207" i="60"/>
  <c r="AN198" i="60"/>
  <c r="AK275" i="60"/>
  <c r="AN244" i="60"/>
  <c r="AM109" i="60"/>
  <c r="AC246" i="60"/>
  <c r="AE246" i="60" s="1"/>
  <c r="AH353" i="60"/>
  <c r="AS353" i="60"/>
  <c r="AV353" i="60" s="1"/>
  <c r="AH339" i="60"/>
  <c r="AT339" i="60"/>
  <c r="AE323" i="60"/>
  <c r="AP134" i="60"/>
  <c r="AS134" i="60"/>
  <c r="AV134" i="60" s="1"/>
  <c r="AE134" i="60"/>
  <c r="AK128" i="60"/>
  <c r="AT128" i="60"/>
  <c r="AK336" i="60"/>
  <c r="AS336" i="60"/>
  <c r="AV336" i="60" s="1"/>
  <c r="AQ323" i="60"/>
  <c r="AK51" i="60"/>
  <c r="AT51" i="60"/>
  <c r="AS257" i="60"/>
  <c r="AO88" i="60"/>
  <c r="AM244" i="60"/>
  <c r="AR345" i="60"/>
  <c r="AR280" i="60"/>
  <c r="AM134" i="60"/>
  <c r="AU125" i="60"/>
  <c r="AQ311" i="60"/>
  <c r="AT311" i="60"/>
  <c r="AH311" i="60"/>
  <c r="Z86" i="60"/>
  <c r="AP62" i="60"/>
  <c r="AM62" i="60"/>
  <c r="AR321" i="60"/>
  <c r="AO296" i="60"/>
  <c r="AR284" i="60"/>
  <c r="AR153" i="60"/>
  <c r="AQ23" i="60"/>
  <c r="AP87" i="60"/>
  <c r="AO43" i="60"/>
  <c r="AU40" i="60"/>
  <c r="AR37" i="60"/>
  <c r="AO25" i="60"/>
  <c r="AS51" i="60"/>
  <c r="AV51" i="60" s="1"/>
  <c r="AB23" i="60"/>
  <c r="AV33" i="60"/>
  <c r="AS35" i="60"/>
  <c r="AR357" i="60"/>
  <c r="AR378" i="60"/>
  <c r="AT323" i="60"/>
  <c r="AQ315" i="60"/>
  <c r="AT257" i="60"/>
  <c r="AH51" i="60"/>
  <c r="AO18" i="60"/>
  <c r="AD86" i="60"/>
  <c r="AE273" i="60"/>
  <c r="AT45" i="60"/>
  <c r="AO82" i="60"/>
  <c r="AT48" i="60"/>
  <c r="AR212" i="60"/>
  <c r="AM209" i="60"/>
  <c r="AQ205" i="60"/>
  <c r="AQ198" i="60"/>
  <c r="AR117" i="60"/>
  <c r="AU362" i="60"/>
  <c r="AR348" i="60"/>
  <c r="AU321" i="60"/>
  <c r="AQ326" i="60"/>
  <c r="AB326" i="60"/>
  <c r="AR314" i="60"/>
  <c r="AP273" i="60"/>
  <c r="AS315" i="60"/>
  <c r="AV315" i="60" s="1"/>
  <c r="AB275" i="60"/>
  <c r="AR269" i="60"/>
  <c r="AR266" i="60"/>
  <c r="AB257" i="60"/>
  <c r="AR155" i="60"/>
  <c r="AR199" i="60"/>
  <c r="AO185" i="60"/>
  <c r="AN209" i="60"/>
  <c r="AS167" i="60"/>
  <c r="AV167" i="60" s="1"/>
  <c r="AR110" i="60"/>
  <c r="AO95" i="60"/>
  <c r="AS87" i="60"/>
  <c r="AV87" i="60" s="1"/>
  <c r="AR69" i="60"/>
  <c r="AB48" i="60"/>
  <c r="AN53" i="60"/>
  <c r="AU44" i="60"/>
  <c r="AR40" i="60"/>
  <c r="AR18" i="60"/>
  <c r="AQ53" i="60"/>
  <c r="AP35" i="60"/>
  <c r="AR318" i="60"/>
  <c r="AQ263" i="60"/>
  <c r="AP277" i="60"/>
  <c r="AO269" i="60"/>
  <c r="AH124" i="60"/>
  <c r="AU291" i="60"/>
  <c r="AV259" i="60"/>
  <c r="AE205" i="60"/>
  <c r="AO93" i="60"/>
  <c r="AA133" i="60"/>
  <c r="AR143" i="60"/>
  <c r="AE45" i="60"/>
  <c r="AG86" i="60"/>
  <c r="AE257" i="60"/>
  <c r="AM273" i="60"/>
  <c r="AO162" i="60"/>
  <c r="AO139" i="60"/>
  <c r="AS103" i="60"/>
  <c r="AV103" i="60" s="1"/>
  <c r="AU377" i="60"/>
  <c r="AR383" i="60"/>
  <c r="AR376" i="60"/>
  <c r="AQ339" i="60"/>
  <c r="AS273" i="60"/>
  <c r="AV273" i="60" s="1"/>
  <c r="AR258" i="60"/>
  <c r="AO259" i="60"/>
  <c r="AU256" i="60"/>
  <c r="AT244" i="60"/>
  <c r="AQ207" i="60"/>
  <c r="AO204" i="60"/>
  <c r="AO158" i="60"/>
  <c r="AO143" i="60"/>
  <c r="AO137" i="60"/>
  <c r="AR150" i="60"/>
  <c r="AR34" i="60"/>
  <c r="AR76" i="60"/>
  <c r="AR65" i="60"/>
  <c r="AM35" i="60"/>
  <c r="AT375" i="60"/>
  <c r="AP316" i="60"/>
  <c r="AK353" i="60"/>
  <c r="AO253" i="60"/>
  <c r="AU206" i="60"/>
  <c r="AO201" i="60"/>
  <c r="AQ246" i="60"/>
  <c r="AH315" i="60"/>
  <c r="AP257" i="60"/>
  <c r="AO102" i="60"/>
  <c r="AN62" i="60"/>
  <c r="AP124" i="60"/>
  <c r="AB263" i="60"/>
  <c r="AS148" i="60"/>
  <c r="AV148" i="60" s="1"/>
  <c r="AP148" i="60"/>
  <c r="AQ375" i="60"/>
  <c r="AO351" i="60"/>
  <c r="AP353" i="60"/>
  <c r="AR289" i="60"/>
  <c r="AQ275" i="60"/>
  <c r="AB316" i="60"/>
  <c r="AP311" i="60"/>
  <c r="AR267" i="60"/>
  <c r="AN263" i="60"/>
  <c r="AB244" i="60"/>
  <c r="AV266" i="60"/>
  <c r="AR259" i="60"/>
  <c r="AR276" i="60"/>
  <c r="AP244" i="60"/>
  <c r="AT246" i="60"/>
  <c r="AV202" i="60"/>
  <c r="AO169" i="60"/>
  <c r="AR152" i="60"/>
  <c r="AS195" i="60"/>
  <c r="AN148" i="60"/>
  <c r="AO132" i="60"/>
  <c r="AQ128" i="60"/>
  <c r="AT167" i="60"/>
  <c r="AU156" i="60"/>
  <c r="AU129" i="60"/>
  <c r="AR116" i="60"/>
  <c r="AQ51" i="60"/>
  <c r="AS53" i="60"/>
  <c r="AV53" i="60" s="1"/>
  <c r="AS45" i="60"/>
  <c r="AO64" i="60"/>
  <c r="AO41" i="60"/>
  <c r="AI86" i="60"/>
  <c r="AB62" i="60"/>
  <c r="AH45" i="60"/>
  <c r="AN48" i="60"/>
  <c r="AO337" i="60"/>
  <c r="AO288" i="60"/>
  <c r="AK271" i="60"/>
  <c r="AQ260" i="60"/>
  <c r="AT260" i="60"/>
  <c r="AR261" i="60"/>
  <c r="AO118" i="60"/>
  <c r="AS94" i="60"/>
  <c r="AU26" i="60"/>
  <c r="AI133" i="60"/>
  <c r="AQ87" i="60"/>
  <c r="AP48" i="60"/>
  <c r="AN28" i="60"/>
  <c r="AU382" i="60"/>
  <c r="AR382" i="60"/>
  <c r="AO352" i="60"/>
  <c r="AO286" i="60"/>
  <c r="AR274" i="60"/>
  <c r="AP195" i="60"/>
  <c r="AT186" i="60"/>
  <c r="AR96" i="60"/>
  <c r="AR147" i="60"/>
  <c r="AR139" i="60"/>
  <c r="AQ167" i="60"/>
  <c r="AR132" i="60"/>
  <c r="AR89" i="60"/>
  <c r="AR15" i="60"/>
  <c r="AO77" i="60"/>
  <c r="AU52" i="60"/>
  <c r="AU32" i="60"/>
  <c r="AS62" i="60"/>
  <c r="AV62" i="60" s="1"/>
  <c r="AU24" i="60"/>
  <c r="M385" i="60"/>
  <c r="AO196" i="60"/>
  <c r="AO291" i="60"/>
  <c r="AB94" i="60"/>
  <c r="AE186" i="60"/>
  <c r="AO129" i="60"/>
  <c r="AQ94" i="60"/>
  <c r="AU25" i="60"/>
  <c r="AS205" i="60"/>
  <c r="AT334" i="60"/>
  <c r="AR349" i="60"/>
  <c r="AR337" i="60"/>
  <c r="AM353" i="60"/>
  <c r="AK277" i="60"/>
  <c r="AN323" i="60"/>
  <c r="AS316" i="60"/>
  <c r="AV316" i="60" s="1"/>
  <c r="AM311" i="60"/>
  <c r="AN246" i="60"/>
  <c r="AT263" i="60"/>
  <c r="AU212" i="60"/>
  <c r="AR163" i="60"/>
  <c r="AM148" i="60"/>
  <c r="AH375" i="60"/>
  <c r="AT275" i="60"/>
  <c r="AR272" i="60"/>
  <c r="AO258" i="60"/>
  <c r="AS260" i="60"/>
  <c r="AU245" i="60"/>
  <c r="AB167" i="60"/>
  <c r="AO206" i="60"/>
  <c r="AR202" i="60"/>
  <c r="AK216" i="60"/>
  <c r="AR197" i="60"/>
  <c r="AR168" i="60"/>
  <c r="AO163" i="60"/>
  <c r="AO153" i="60"/>
  <c r="AE209" i="60"/>
  <c r="AM195" i="60"/>
  <c r="AR141" i="60"/>
  <c r="AR138" i="60"/>
  <c r="AT124" i="60"/>
  <c r="AR149" i="60"/>
  <c r="AR125" i="60"/>
  <c r="AU120" i="60"/>
  <c r="AU99" i="60"/>
  <c r="AR91" i="60"/>
  <c r="AU19" i="60"/>
  <c r="AU74" i="60"/>
  <c r="AR20" i="60"/>
  <c r="AO14" i="60"/>
  <c r="AE311" i="60"/>
  <c r="AO155" i="60"/>
  <c r="AO97" i="60"/>
  <c r="AN51" i="60"/>
  <c r="AN128" i="60"/>
  <c r="AO31" i="60"/>
  <c r="AM334" i="60"/>
  <c r="AB334" i="60"/>
  <c r="AP334" i="60"/>
  <c r="AH275" i="60"/>
  <c r="AP275" i="60"/>
  <c r="AS275" i="60"/>
  <c r="AO378" i="60"/>
  <c r="AR367" i="60"/>
  <c r="AV359" i="60"/>
  <c r="AU359" i="60"/>
  <c r="AV351" i="60"/>
  <c r="AU351" i="60"/>
  <c r="AU345" i="60"/>
  <c r="AV345" i="60"/>
  <c r="AR324" i="60"/>
  <c r="AE339" i="60"/>
  <c r="AS339" i="60"/>
  <c r="AV276" i="60"/>
  <c r="AU276" i="60"/>
  <c r="AR379" i="60"/>
  <c r="AU368" i="60"/>
  <c r="AV368" i="60"/>
  <c r="AO366" i="60"/>
  <c r="AV361" i="60"/>
  <c r="AU361" i="60"/>
  <c r="AV364" i="60"/>
  <c r="AU364" i="60"/>
  <c r="AR359" i="60"/>
  <c r="AU355" i="60"/>
  <c r="AV355" i="60"/>
  <c r="AV350" i="60"/>
  <c r="AU350" i="60"/>
  <c r="O353" i="60"/>
  <c r="AR350" i="60"/>
  <c r="AV348" i="60"/>
  <c r="AU348" i="60"/>
  <c r="AO347" i="60"/>
  <c r="AE340" i="60"/>
  <c r="AP340" i="60"/>
  <c r="AR340" i="60" s="1"/>
  <c r="AS340" i="60"/>
  <c r="AV329" i="60"/>
  <c r="AU329" i="60"/>
  <c r="O339" i="60"/>
  <c r="AK311" i="60"/>
  <c r="AS311" i="60"/>
  <c r="AV341" i="60"/>
  <c r="AU341" i="60"/>
  <c r="AP339" i="60"/>
  <c r="AV335" i="60"/>
  <c r="AU335" i="60"/>
  <c r="AR327" i="60"/>
  <c r="AV320" i="60"/>
  <c r="AU320" i="60"/>
  <c r="AR290" i="60"/>
  <c r="AN339" i="60"/>
  <c r="AR291" i="60"/>
  <c r="AV279" i="60"/>
  <c r="AU279" i="60"/>
  <c r="AR296" i="60"/>
  <c r="AR293" i="60"/>
  <c r="AV281" i="60"/>
  <c r="AU281" i="60"/>
  <c r="AV264" i="60"/>
  <c r="AU264" i="60"/>
  <c r="Z330" i="60"/>
  <c r="Z384" i="60" s="1"/>
  <c r="AV254" i="60"/>
  <c r="AU254" i="60"/>
  <c r="AO270" i="60"/>
  <c r="AU268" i="60"/>
  <c r="AR264" i="60"/>
  <c r="AO212" i="60"/>
  <c r="AU201" i="60"/>
  <c r="AV201" i="60"/>
  <c r="AR177" i="60"/>
  <c r="AR161" i="60"/>
  <c r="AU154" i="60"/>
  <c r="AV154" i="60"/>
  <c r="AV196" i="60"/>
  <c r="AU196" i="60"/>
  <c r="AO194" i="60"/>
  <c r="AV177" i="60"/>
  <c r="AU177" i="60"/>
  <c r="AT209" i="60"/>
  <c r="AT148" i="60"/>
  <c r="AV143" i="60"/>
  <c r="AU143" i="60"/>
  <c r="AV141" i="60"/>
  <c r="AU141" i="60"/>
  <c r="AV138" i="60"/>
  <c r="AU138" i="60"/>
  <c r="AV136" i="60"/>
  <c r="AU136" i="60"/>
  <c r="AV130" i="60"/>
  <c r="AU130" i="60"/>
  <c r="AV126" i="60"/>
  <c r="AU126" i="60"/>
  <c r="AV122" i="60"/>
  <c r="AU122" i="60"/>
  <c r="AV117" i="60"/>
  <c r="AU117" i="60"/>
  <c r="AU127" i="60"/>
  <c r="AV127" i="60"/>
  <c r="AU102" i="60"/>
  <c r="AR144" i="60"/>
  <c r="AR135" i="60"/>
  <c r="AR129" i="60"/>
  <c r="AV110" i="60"/>
  <c r="AU110" i="60"/>
  <c r="AR104" i="60"/>
  <c r="AV91" i="60"/>
  <c r="AU91" i="60"/>
  <c r="AV79" i="60"/>
  <c r="AU79" i="60"/>
  <c r="AU68" i="60"/>
  <c r="AV68" i="60"/>
  <c r="O39" i="60"/>
  <c r="AU34" i="60"/>
  <c r="AV34" i="60"/>
  <c r="AU15" i="60"/>
  <c r="AV15" i="60"/>
  <c r="AU85" i="60"/>
  <c r="AV85" i="60"/>
  <c r="AV81" i="60"/>
  <c r="AV56" i="60"/>
  <c r="AU56" i="60"/>
  <c r="AV54" i="60"/>
  <c r="AV31" i="60"/>
  <c r="AU31" i="60"/>
  <c r="AV16" i="60"/>
  <c r="AU16" i="60"/>
  <c r="AO4" i="60"/>
  <c r="AU358" i="60"/>
  <c r="AV358" i="60"/>
  <c r="AR354" i="60"/>
  <c r="AV283" i="60"/>
  <c r="AU283" i="60"/>
  <c r="O277" i="60"/>
  <c r="AR256" i="60"/>
  <c r="AU251" i="60"/>
  <c r="AV251" i="60"/>
  <c r="AU249" i="60"/>
  <c r="AV249" i="60"/>
  <c r="AU247" i="60"/>
  <c r="AV247" i="60"/>
  <c r="AR268" i="60"/>
  <c r="AR262" i="60"/>
  <c r="AV261" i="60"/>
  <c r="AU261" i="60"/>
  <c r="AU239" i="60"/>
  <c r="AS263" i="60"/>
  <c r="AU185" i="60"/>
  <c r="AV185" i="60"/>
  <c r="AU170" i="60"/>
  <c r="AV170" i="60"/>
  <c r="AU158" i="60"/>
  <c r="AV158" i="60"/>
  <c r="AN207" i="60"/>
  <c r="AJ133" i="60"/>
  <c r="AV100" i="60"/>
  <c r="AU100" i="60"/>
  <c r="AU150" i="60"/>
  <c r="AV150" i="60"/>
  <c r="AU131" i="60"/>
  <c r="AV131" i="60"/>
  <c r="AU97" i="60"/>
  <c r="AV97" i="60"/>
  <c r="AR142" i="60"/>
  <c r="AS71" i="60"/>
  <c r="AB71" i="60"/>
  <c r="AM71" i="60"/>
  <c r="AO71" i="60" s="1"/>
  <c r="AP71" i="60"/>
  <c r="AR71" i="60" s="1"/>
  <c r="AU55" i="60"/>
  <c r="AV55" i="60"/>
  <c r="AU50" i="60"/>
  <c r="AV50" i="60"/>
  <c r="AU13" i="60"/>
  <c r="AV13" i="60"/>
  <c r="AV93" i="60"/>
  <c r="AU93" i="60"/>
  <c r="AU88" i="60"/>
  <c r="AV88" i="60"/>
  <c r="AO78" i="60"/>
  <c r="AV29" i="60"/>
  <c r="AU29" i="60"/>
  <c r="AV19" i="60"/>
  <c r="AM87" i="60"/>
  <c r="AV379" i="60"/>
  <c r="AU379" i="60"/>
  <c r="AV374" i="60"/>
  <c r="AU374" i="60"/>
  <c r="AV357" i="60"/>
  <c r="AU357" i="60"/>
  <c r="O326" i="60"/>
  <c r="AU318" i="60"/>
  <c r="AV318" i="60"/>
  <c r="AU284" i="60"/>
  <c r="AV284" i="60"/>
  <c r="AR377" i="60"/>
  <c r="AO382" i="60"/>
  <c r="AO376" i="60"/>
  <c r="AR369" i="60"/>
  <c r="AV367" i="60"/>
  <c r="AU367" i="60"/>
  <c r="AV366" i="60"/>
  <c r="AU366" i="60"/>
  <c r="AU349" i="60"/>
  <c r="AV349" i="60"/>
  <c r="AV362" i="60"/>
  <c r="AR356" i="60"/>
  <c r="AR355" i="60"/>
  <c r="AR338" i="60"/>
  <c r="AV347" i="60"/>
  <c r="AU347" i="60"/>
  <c r="AV342" i="60"/>
  <c r="AU342" i="60"/>
  <c r="AR320" i="60"/>
  <c r="AU314" i="60"/>
  <c r="AV314" i="60"/>
  <c r="AM340" i="60"/>
  <c r="AO340" i="60" s="1"/>
  <c r="AV337" i="60"/>
  <c r="AU337" i="60"/>
  <c r="AV324" i="60"/>
  <c r="AU324" i="60"/>
  <c r="AR288" i="60"/>
  <c r="AR312" i="60"/>
  <c r="AU294" i="60"/>
  <c r="AV294" i="60"/>
  <c r="AV286" i="60"/>
  <c r="AU286" i="60"/>
  <c r="AV310" i="60"/>
  <c r="AU310" i="60"/>
  <c r="AV299" i="60"/>
  <c r="AU299" i="60"/>
  <c r="AU289" i="60"/>
  <c r="AV289" i="60"/>
  <c r="AV280" i="60"/>
  <c r="AU280" i="60"/>
  <c r="AR278" i="60"/>
  <c r="AV274" i="60"/>
  <c r="AU274" i="60"/>
  <c r="AU270" i="60"/>
  <c r="AV270" i="60"/>
  <c r="AU255" i="60"/>
  <c r="AV255" i="60"/>
  <c r="AU243" i="60"/>
  <c r="AR245" i="60"/>
  <c r="AV243" i="60"/>
  <c r="AV210" i="60"/>
  <c r="AU210" i="60"/>
  <c r="AU204" i="60"/>
  <c r="AV204" i="60"/>
  <c r="AR196" i="60"/>
  <c r="AR166" i="60"/>
  <c r="AS244" i="60"/>
  <c r="AO179" i="60"/>
  <c r="AV166" i="60"/>
  <c r="AU166" i="60"/>
  <c r="AV161" i="60"/>
  <c r="AU161" i="60"/>
  <c r="AV155" i="60"/>
  <c r="AU155" i="60"/>
  <c r="AV151" i="60"/>
  <c r="AU151" i="60"/>
  <c r="AU135" i="60"/>
  <c r="AV135" i="60"/>
  <c r="AT207" i="60"/>
  <c r="AE207" i="60"/>
  <c r="AV147" i="60"/>
  <c r="AU147" i="60"/>
  <c r="AV145" i="60"/>
  <c r="AU145" i="60"/>
  <c r="AU139" i="60"/>
  <c r="AU142" i="60"/>
  <c r="AV142" i="60"/>
  <c r="AU118" i="60"/>
  <c r="AV118" i="60"/>
  <c r="AU101" i="60"/>
  <c r="AV101" i="60"/>
  <c r="AR146" i="60"/>
  <c r="AR137" i="60"/>
  <c r="AR120" i="60"/>
  <c r="AR99" i="60"/>
  <c r="AU90" i="60"/>
  <c r="AV90" i="60"/>
  <c r="AV82" i="60"/>
  <c r="AU82" i="60"/>
  <c r="AN17" i="60"/>
  <c r="AQ17" i="60"/>
  <c r="AT17" i="60"/>
  <c r="AU80" i="60"/>
  <c r="AR93" i="60"/>
  <c r="AV69" i="60"/>
  <c r="AU69" i="60"/>
  <c r="AV80" i="60"/>
  <c r="AS17" i="60"/>
  <c r="AV17" i="60" s="1"/>
  <c r="AR4" i="60"/>
  <c r="AV369" i="60"/>
  <c r="AU369" i="60"/>
  <c r="AU354" i="60"/>
  <c r="AV354" i="60"/>
  <c r="AV352" i="60"/>
  <c r="AU352" i="60"/>
  <c r="AV343" i="60"/>
  <c r="AU343" i="60"/>
  <c r="AV328" i="60"/>
  <c r="AU328" i="60"/>
  <c r="AU319" i="60"/>
  <c r="AV319" i="60"/>
  <c r="AU338" i="60"/>
  <c r="AV338" i="60"/>
  <c r="AV272" i="60"/>
  <c r="AU272" i="60"/>
  <c r="AU287" i="60"/>
  <c r="AV287" i="60"/>
  <c r="AU290" i="60"/>
  <c r="AV290" i="60"/>
  <c r="AR282" i="60"/>
  <c r="AS277" i="60"/>
  <c r="AO243" i="60"/>
  <c r="AU288" i="60"/>
  <c r="AV288" i="60"/>
  <c r="AV248" i="60"/>
  <c r="AU248" i="60"/>
  <c r="O265" i="60"/>
  <c r="V57" i="60"/>
  <c r="V5" i="60" s="1"/>
  <c r="AU250" i="60"/>
  <c r="AV262" i="60"/>
  <c r="AU262" i="60"/>
  <c r="AU217" i="60"/>
  <c r="AV217" i="60"/>
  <c r="AV208" i="60"/>
  <c r="AU208" i="60"/>
  <c r="AU164" i="60"/>
  <c r="AV164" i="60"/>
  <c r="AR243" i="60"/>
  <c r="AO208" i="60"/>
  <c r="AO200" i="60"/>
  <c r="AO157" i="60"/>
  <c r="AD133" i="60"/>
  <c r="AV108" i="60"/>
  <c r="AU108" i="60"/>
  <c r="AV95" i="60"/>
  <c r="AU95" i="60"/>
  <c r="AU149" i="60"/>
  <c r="AV149" i="60"/>
  <c r="AU146" i="60"/>
  <c r="AV146" i="60"/>
  <c r="AU137" i="60"/>
  <c r="AV137" i="60"/>
  <c r="AU123" i="60"/>
  <c r="AV123" i="60"/>
  <c r="AU96" i="60"/>
  <c r="AV96" i="60"/>
  <c r="AR140" i="60"/>
  <c r="AV119" i="60"/>
  <c r="AU119" i="60"/>
  <c r="AV98" i="60"/>
  <c r="AU98" i="60"/>
  <c r="AV92" i="60"/>
  <c r="AU92" i="60"/>
  <c r="AU49" i="60"/>
  <c r="AV49" i="60"/>
  <c r="AE148" i="60"/>
  <c r="AO80" i="60"/>
  <c r="AI48" i="60"/>
  <c r="AV46" i="60"/>
  <c r="O17" i="60"/>
  <c r="AM70" i="60"/>
  <c r="AP70" i="60"/>
  <c r="AS70" i="60"/>
  <c r="AB70" i="60"/>
  <c r="AC57" i="60"/>
  <c r="AM153" i="56"/>
  <c r="AO153" i="56" s="1"/>
  <c r="AB153" i="56"/>
  <c r="AS153" i="56"/>
  <c r="AP153" i="56"/>
  <c r="AT153" i="56"/>
  <c r="AQ153" i="56"/>
  <c r="BG262" i="56"/>
  <c r="BK5" i="60" l="1"/>
  <c r="BG5" i="60"/>
  <c r="AG211" i="60"/>
  <c r="O211" i="60"/>
  <c r="AV327" i="60"/>
  <c r="AM72" i="60"/>
  <c r="AO72" i="60" s="1"/>
  <c r="Z211" i="60"/>
  <c r="Z215" i="60" s="1"/>
  <c r="BK211" i="60"/>
  <c r="BK213" i="60" s="1"/>
  <c r="AJ265" i="60"/>
  <c r="AJ384" i="60" s="1"/>
  <c r="BT384" i="60"/>
  <c r="O384" i="60"/>
  <c r="O388" i="60" s="1"/>
  <c r="AP72" i="60"/>
  <c r="AR72" i="60" s="1"/>
  <c r="AR300" i="60"/>
  <c r="AU300" i="60"/>
  <c r="AV300" i="60"/>
  <c r="AB330" i="60"/>
  <c r="AB384" i="60" s="1"/>
  <c r="AI330" i="60"/>
  <c r="AC330" i="60"/>
  <c r="AE330" i="60" s="1"/>
  <c r="AF330" i="60"/>
  <c r="AQ330" i="60"/>
  <c r="AQ384" i="60" s="1"/>
  <c r="AT330" i="60"/>
  <c r="AN330" i="60"/>
  <c r="AN384" i="60" s="1"/>
  <c r="AA211" i="60"/>
  <c r="AD211" i="60"/>
  <c r="AJ211" i="60"/>
  <c r="AH12" i="60"/>
  <c r="AF211" i="60"/>
  <c r="AK12" i="60"/>
  <c r="AI211" i="60"/>
  <c r="AU312" i="60"/>
  <c r="AS346" i="60"/>
  <c r="AU346" i="60" s="1"/>
  <c r="AR3" i="60"/>
  <c r="AE346" i="60"/>
  <c r="AP346" i="60"/>
  <c r="AR346" i="60" s="1"/>
  <c r="AU43" i="60"/>
  <c r="AC86" i="60"/>
  <c r="AM86" i="60" s="1"/>
  <c r="AS39" i="60"/>
  <c r="AU22" i="60"/>
  <c r="AU27" i="60"/>
  <c r="AR27" i="60"/>
  <c r="BG213" i="60"/>
  <c r="AO178" i="60"/>
  <c r="AS72" i="60"/>
  <c r="AU72" i="60" s="1"/>
  <c r="AP14" i="60"/>
  <c r="AR14" i="60" s="1"/>
  <c r="AP12" i="60"/>
  <c r="AS12" i="60"/>
  <c r="AS14" i="60"/>
  <c r="AV14" i="60" s="1"/>
  <c r="AH72" i="60"/>
  <c r="AV75" i="60"/>
  <c r="AU253" i="60"/>
  <c r="AU73" i="60"/>
  <c r="AR28" i="60"/>
  <c r="AV297" i="60"/>
  <c r="AU47" i="60"/>
  <c r="AR153" i="56"/>
  <c r="AS334" i="60"/>
  <c r="AV334" i="60" s="1"/>
  <c r="AK334" i="60"/>
  <c r="AU124" i="60"/>
  <c r="AO35" i="60"/>
  <c r="AR273" i="60"/>
  <c r="AR103" i="60"/>
  <c r="AU63" i="60"/>
  <c r="S213" i="60"/>
  <c r="S6" i="60" s="1"/>
  <c r="AU209" i="60"/>
  <c r="AR334" i="60"/>
  <c r="AU128" i="60"/>
  <c r="AO128" i="60"/>
  <c r="AO94" i="60"/>
  <c r="AO207" i="60"/>
  <c r="AO265" i="60"/>
  <c r="AU38" i="60"/>
  <c r="AU65" i="60"/>
  <c r="AO70" i="60"/>
  <c r="AR128" i="60"/>
  <c r="AO195" i="60"/>
  <c r="AV58" i="60"/>
  <c r="AB133" i="60"/>
  <c r="AR195" i="60"/>
  <c r="AR62" i="60"/>
  <c r="AR209" i="60"/>
  <c r="AH133" i="60"/>
  <c r="AH86" i="60"/>
  <c r="AR48" i="60"/>
  <c r="AO39" i="60"/>
  <c r="AO346" i="60"/>
  <c r="AO315" i="60"/>
  <c r="AO316" i="60"/>
  <c r="AR277" i="60"/>
  <c r="AR134" i="60"/>
  <c r="AU28" i="60"/>
  <c r="AR339" i="60"/>
  <c r="AO23" i="60"/>
  <c r="AU195" i="60"/>
  <c r="AU316" i="60"/>
  <c r="AO167" i="60"/>
  <c r="AP133" i="60"/>
  <c r="AR326" i="60"/>
  <c r="AO134" i="60"/>
  <c r="AR216" i="60"/>
  <c r="AO216" i="60"/>
  <c r="AO45" i="60"/>
  <c r="AU285" i="60"/>
  <c r="AR53" i="60"/>
  <c r="AV216" i="60"/>
  <c r="AR316" i="60"/>
  <c r="AO375" i="60"/>
  <c r="AR70" i="60"/>
  <c r="AO198" i="60"/>
  <c r="AO326" i="60"/>
  <c r="AR51" i="60"/>
  <c r="AR244" i="60"/>
  <c r="AR39" i="60"/>
  <c r="AO260" i="60"/>
  <c r="AO205" i="60"/>
  <c r="AU336" i="60"/>
  <c r="AR198" i="60"/>
  <c r="AU62" i="60"/>
  <c r="AR67" i="60"/>
  <c r="AR207" i="60"/>
  <c r="AO28" i="60"/>
  <c r="AO380" i="60"/>
  <c r="AR178" i="60"/>
  <c r="AU277" i="60"/>
  <c r="AK86" i="60"/>
  <c r="AO273" i="60"/>
  <c r="AR315" i="60"/>
  <c r="AU23" i="60"/>
  <c r="AO334" i="60"/>
  <c r="AR375" i="60"/>
  <c r="AU87" i="60"/>
  <c r="AU323" i="60"/>
  <c r="AR323" i="60"/>
  <c r="AO257" i="60"/>
  <c r="AR17" i="60"/>
  <c r="AR167" i="60"/>
  <c r="AU375" i="60"/>
  <c r="AO53" i="60"/>
  <c r="AO186" i="60"/>
  <c r="AO67" i="60"/>
  <c r="AR252" i="60"/>
  <c r="AR109" i="60"/>
  <c r="AU178" i="60"/>
  <c r="AR271" i="60"/>
  <c r="AO263" i="60"/>
  <c r="AU271" i="60"/>
  <c r="AU103" i="60"/>
  <c r="AO339" i="60"/>
  <c r="AU339" i="60"/>
  <c r="AO51" i="60"/>
  <c r="AR148" i="60"/>
  <c r="AO109" i="60"/>
  <c r="AO275" i="60"/>
  <c r="AR45" i="60"/>
  <c r="AU326" i="60"/>
  <c r="AR35" i="60"/>
  <c r="AO311" i="60"/>
  <c r="AR257" i="60"/>
  <c r="AR205" i="60"/>
  <c r="AU35" i="60"/>
  <c r="AR380" i="60"/>
  <c r="AU315" i="60"/>
  <c r="AU186" i="60"/>
  <c r="AK133" i="60"/>
  <c r="AV35" i="60"/>
  <c r="AR94" i="60"/>
  <c r="AR260" i="60"/>
  <c r="AU45" i="60"/>
  <c r="AR124" i="60"/>
  <c r="AO277" i="60"/>
  <c r="AU198" i="60"/>
  <c r="AU252" i="60"/>
  <c r="AR265" i="60"/>
  <c r="AO271" i="60"/>
  <c r="AR23" i="60"/>
  <c r="AU109" i="60"/>
  <c r="AR186" i="60"/>
  <c r="AO48" i="60"/>
  <c r="AO124" i="60"/>
  <c r="AV195" i="60"/>
  <c r="AO87" i="60"/>
  <c r="AR275" i="60"/>
  <c r="AS133" i="60"/>
  <c r="AV133" i="60" s="1"/>
  <c r="AO323" i="60"/>
  <c r="AO148" i="60"/>
  <c r="AO209" i="60"/>
  <c r="AM133" i="60"/>
  <c r="AU134" i="60"/>
  <c r="AU167" i="60"/>
  <c r="AP246" i="60"/>
  <c r="AR246" i="60" s="1"/>
  <c r="AS246" i="60"/>
  <c r="AM246" i="60"/>
  <c r="AO246" i="60" s="1"/>
  <c r="AU380" i="60"/>
  <c r="AR87" i="60"/>
  <c r="AQ86" i="60"/>
  <c r="AO353" i="60"/>
  <c r="AU207" i="60"/>
  <c r="AO252" i="60"/>
  <c r="AU53" i="60"/>
  <c r="AR311" i="60"/>
  <c r="AR353" i="60"/>
  <c r="AU216" i="60"/>
  <c r="L388" i="60"/>
  <c r="AO62" i="60"/>
  <c r="AO244" i="60"/>
  <c r="AU67" i="60"/>
  <c r="AV67" i="60"/>
  <c r="AB86" i="60"/>
  <c r="AV45" i="60"/>
  <c r="AU260" i="60"/>
  <c r="AT86" i="60"/>
  <c r="AU353" i="60"/>
  <c r="AR263" i="60"/>
  <c r="AU257" i="60"/>
  <c r="AN86" i="60"/>
  <c r="AU51" i="60"/>
  <c r="AV260" i="60"/>
  <c r="AU273" i="60"/>
  <c r="AV257" i="60"/>
  <c r="AU17" i="60"/>
  <c r="AU148" i="60"/>
  <c r="AU205" i="60"/>
  <c r="AV205" i="60"/>
  <c r="AU94" i="60"/>
  <c r="AV94" i="60"/>
  <c r="AE57" i="60"/>
  <c r="AM57" i="60"/>
  <c r="AP57" i="60"/>
  <c r="AS57" i="60"/>
  <c r="AQ133" i="60"/>
  <c r="AN133" i="60"/>
  <c r="AT133" i="60"/>
  <c r="X57" i="60"/>
  <c r="AV71" i="60"/>
  <c r="AU71" i="60"/>
  <c r="AU263" i="60"/>
  <c r="AV263" i="60"/>
  <c r="AV277" i="60"/>
  <c r="AO17" i="60"/>
  <c r="AE133" i="60"/>
  <c r="AU340" i="60"/>
  <c r="AV340" i="60"/>
  <c r="L213" i="60"/>
  <c r="L6" i="60" s="1"/>
  <c r="AV70" i="60"/>
  <c r="AU70" i="60"/>
  <c r="AK48" i="60"/>
  <c r="AS48" i="60"/>
  <c r="AU244" i="60"/>
  <c r="AV244" i="60"/>
  <c r="AU311" i="60"/>
  <c r="AV311" i="60"/>
  <c r="AV339" i="60"/>
  <c r="AV275" i="60"/>
  <c r="AU275" i="60"/>
  <c r="AV153" i="56"/>
  <c r="AU153" i="56"/>
  <c r="L285" i="56"/>
  <c r="AJ298" i="56"/>
  <c r="AI298" i="56"/>
  <c r="AG298" i="56"/>
  <c r="AF298" i="56"/>
  <c r="AD298" i="56"/>
  <c r="AC298" i="56"/>
  <c r="AA298" i="56"/>
  <c r="Z298" i="56"/>
  <c r="O298" i="56"/>
  <c r="AB211" i="60" l="1"/>
  <c r="AV39" i="60"/>
  <c r="AM211" i="60"/>
  <c r="AN211" i="60"/>
  <c r="AT211" i="60"/>
  <c r="AQ211" i="60"/>
  <c r="AT265" i="60"/>
  <c r="AT384" i="60" s="1"/>
  <c r="AK265" i="60"/>
  <c r="AE384" i="60"/>
  <c r="AK330" i="60"/>
  <c r="AI384" i="60"/>
  <c r="AV246" i="60"/>
  <c r="AC384" i="60"/>
  <c r="AH330" i="60"/>
  <c r="AH384" i="60" s="1"/>
  <c r="AF384" i="60"/>
  <c r="AS330" i="60"/>
  <c r="AS384" i="60" s="1"/>
  <c r="AP330" i="60"/>
  <c r="AM330" i="60"/>
  <c r="AO330" i="60" s="1"/>
  <c r="AO384" i="60" s="1"/>
  <c r="AR12" i="60"/>
  <c r="AI215" i="60"/>
  <c r="AF215" i="60"/>
  <c r="AK211" i="60"/>
  <c r="AH211" i="60"/>
  <c r="AU12" i="60"/>
  <c r="AC211" i="60"/>
  <c r="AV346" i="60"/>
  <c r="AP86" i="60"/>
  <c r="AR86" i="60" s="1"/>
  <c r="AE86" i="60"/>
  <c r="AE211" i="60" s="1"/>
  <c r="AS86" i="60"/>
  <c r="AV86" i="60" s="1"/>
  <c r="AU39" i="60"/>
  <c r="AV12" i="60"/>
  <c r="AV72" i="60"/>
  <c r="AR133" i="60"/>
  <c r="AU14" i="60"/>
  <c r="AU334" i="60"/>
  <c r="AU246" i="60"/>
  <c r="AU133" i="60"/>
  <c r="AO133" i="60"/>
  <c r="AN5" i="60"/>
  <c r="O387" i="60"/>
  <c r="O8" i="60" s="1"/>
  <c r="AO86" i="60"/>
  <c r="X265" i="60"/>
  <c r="X384" i="60" s="1"/>
  <c r="AR57" i="60"/>
  <c r="AQ5" i="60"/>
  <c r="AU57" i="60"/>
  <c r="AV57" i="60"/>
  <c r="O213" i="60"/>
  <c r="O6" i="60" s="1"/>
  <c r="AO57" i="60"/>
  <c r="AV48" i="60"/>
  <c r="AU48" i="60"/>
  <c r="AB298" i="56"/>
  <c r="AH298" i="56"/>
  <c r="AK298" i="56"/>
  <c r="AN298" i="56"/>
  <c r="AE298" i="56"/>
  <c r="AM298" i="56"/>
  <c r="AS298" i="56"/>
  <c r="AP298" i="56"/>
  <c r="AT298" i="56"/>
  <c r="AQ298" i="56"/>
  <c r="BK47" i="56"/>
  <c r="BG47" i="56"/>
  <c r="AS5" i="60" l="1"/>
  <c r="AM5" i="60"/>
  <c r="X5" i="60"/>
  <c r="AT5" i="60"/>
  <c r="AU265" i="60"/>
  <c r="AK384" i="60"/>
  <c r="AO211" i="60"/>
  <c r="AR211" i="60"/>
  <c r="AP211" i="60"/>
  <c r="AS211" i="60"/>
  <c r="AV211" i="60"/>
  <c r="AR330" i="60"/>
  <c r="AR384" i="60" s="1"/>
  <c r="AP384" i="60"/>
  <c r="AM384" i="60"/>
  <c r="AV330" i="60"/>
  <c r="AU330" i="60"/>
  <c r="AC215" i="60"/>
  <c r="X215" i="60" s="1"/>
  <c r="AU86" i="60"/>
  <c r="AU211" i="60" s="1"/>
  <c r="AP5" i="60"/>
  <c r="AO5" i="60"/>
  <c r="AO298" i="56"/>
  <c r="AR298" i="56"/>
  <c r="AV298" i="56"/>
  <c r="AU298" i="56"/>
  <c r="BG200" i="56"/>
  <c r="AU5" i="60" l="1"/>
  <c r="AR5" i="60"/>
  <c r="AU384" i="60"/>
  <c r="AV384" i="60"/>
  <c r="BG271" i="56"/>
  <c r="BI47" i="56" l="1"/>
  <c r="BS47" i="56"/>
  <c r="BI262" i="56" l="1"/>
  <c r="H25" i="59" l="1"/>
  <c r="I25" i="59"/>
  <c r="G25" i="59"/>
  <c r="H16" i="59"/>
  <c r="I16" i="59"/>
  <c r="G12" i="59"/>
  <c r="G16" i="59" s="1"/>
  <c r="J12" i="59" l="1"/>
  <c r="J21" i="59" l="1"/>
  <c r="J20" i="59"/>
  <c r="N12" i="56"/>
  <c r="N14" i="56" s="1"/>
  <c r="AJ274" i="56" l="1"/>
  <c r="AI274" i="56"/>
  <c r="AG274" i="56"/>
  <c r="AF274" i="56"/>
  <c r="AD274" i="56"/>
  <c r="AC274" i="56"/>
  <c r="AA274" i="56"/>
  <c r="Z274" i="56"/>
  <c r="O274" i="56"/>
  <c r="AP274" i="56" l="1"/>
  <c r="AQ274" i="56"/>
  <c r="AH274" i="56"/>
  <c r="AK274" i="56"/>
  <c r="AM274" i="56"/>
  <c r="AE274" i="56"/>
  <c r="AN274" i="56"/>
  <c r="AB274" i="56"/>
  <c r="AS274" i="56"/>
  <c r="AT274" i="56"/>
  <c r="BS227" i="56"/>
  <c r="AR274" i="56" l="1"/>
  <c r="AO274" i="56"/>
  <c r="AU274" i="56"/>
  <c r="AV274" i="56"/>
  <c r="J24" i="59"/>
  <c r="J23" i="59"/>
  <c r="J22" i="59"/>
  <c r="J25" i="59" s="1"/>
  <c r="J15" i="59"/>
  <c r="J14" i="59"/>
  <c r="J13" i="59"/>
  <c r="J16" i="59" l="1"/>
  <c r="BK200" i="56"/>
  <c r="BI43" i="56" l="1"/>
  <c r="BS35" i="56" l="1"/>
  <c r="BR35" i="56"/>
  <c r="BQ35" i="56"/>
  <c r="BP35" i="56"/>
  <c r="BO35" i="56"/>
  <c r="BN35" i="56"/>
  <c r="BM35" i="56"/>
  <c r="BL35" i="56"/>
  <c r="BJ35" i="56"/>
  <c r="BI35" i="56"/>
  <c r="BH35" i="56"/>
  <c r="BG35" i="56"/>
  <c r="BF35" i="56"/>
  <c r="BE35" i="56"/>
  <c r="BD35" i="56"/>
  <c r="BC35" i="56"/>
  <c r="BB35" i="56"/>
  <c r="BA35" i="56"/>
  <c r="AZ35" i="56"/>
  <c r="AY35" i="56"/>
  <c r="AX35" i="56"/>
  <c r="AW35" i="56"/>
  <c r="BK36" i="56"/>
  <c r="BK35" i="56" s="1"/>
  <c r="S35" i="56"/>
  <c r="Q35" i="56"/>
  <c r="N35" i="56"/>
  <c r="L35" i="56"/>
  <c r="O37" i="56"/>
  <c r="O36" i="56"/>
  <c r="AJ37" i="56"/>
  <c r="AI37" i="56"/>
  <c r="AG37" i="56"/>
  <c r="AF37" i="56"/>
  <c r="AD37" i="56"/>
  <c r="AC37" i="56"/>
  <c r="AA37" i="56"/>
  <c r="Z37" i="56"/>
  <c r="AJ36" i="56"/>
  <c r="AI36" i="56"/>
  <c r="AG36" i="56"/>
  <c r="AD36" i="56"/>
  <c r="AC36" i="56"/>
  <c r="AA36" i="56"/>
  <c r="Z36" i="56"/>
  <c r="AF36" i="56" l="1"/>
  <c r="AS36" i="56" s="1"/>
  <c r="O35" i="56"/>
  <c r="AT37" i="56"/>
  <c r="AE36" i="56"/>
  <c r="AM36" i="56"/>
  <c r="AQ37" i="56"/>
  <c r="AQ36" i="56"/>
  <c r="AH36" i="56"/>
  <c r="AH37" i="56"/>
  <c r="AK36" i="56"/>
  <c r="AE37" i="56"/>
  <c r="AK37" i="56"/>
  <c r="AP37" i="56"/>
  <c r="AM37" i="56"/>
  <c r="AN37" i="56"/>
  <c r="AB37" i="56"/>
  <c r="AS37" i="56"/>
  <c r="AN36" i="56"/>
  <c r="AB36" i="56"/>
  <c r="AP36" i="56"/>
  <c r="AT36" i="56"/>
  <c r="AR36" i="56" l="1"/>
  <c r="AU37" i="56"/>
  <c r="AV37" i="56"/>
  <c r="AR37" i="56"/>
  <c r="AU36" i="56"/>
  <c r="AV36" i="56"/>
  <c r="AO36" i="56"/>
  <c r="AO37" i="56"/>
  <c r="BS76" i="56" l="1"/>
  <c r="AJ76" i="56"/>
  <c r="AI76" i="56"/>
  <c r="AG76" i="56"/>
  <c r="AF76" i="56"/>
  <c r="AD76" i="56"/>
  <c r="AC76" i="56"/>
  <c r="AA76" i="56"/>
  <c r="Z76" i="56"/>
  <c r="O76" i="56"/>
  <c r="BI46" i="56"/>
  <c r="AH76" i="56" l="1"/>
  <c r="AE76" i="56"/>
  <c r="AK76" i="56"/>
  <c r="AQ76" i="56"/>
  <c r="AM76" i="56"/>
  <c r="AP76" i="56"/>
  <c r="AN76" i="56"/>
  <c r="AB76" i="56"/>
  <c r="AS76" i="56"/>
  <c r="AT76" i="56"/>
  <c r="I15" i="58"/>
  <c r="H15" i="58"/>
  <c r="G15" i="58"/>
  <c r="J14" i="58"/>
  <c r="J13" i="58"/>
  <c r="J12" i="58"/>
  <c r="J11" i="58"/>
  <c r="J15" i="58" l="1"/>
  <c r="AR76" i="56"/>
  <c r="AO76" i="56"/>
  <c r="AU76" i="56"/>
  <c r="AV76" i="56"/>
  <c r="L151" i="56"/>
  <c r="AJ152" i="56"/>
  <c r="AI152" i="56"/>
  <c r="AG152" i="56"/>
  <c r="AF152" i="56"/>
  <c r="AD152" i="56"/>
  <c r="AC152" i="56"/>
  <c r="AA152" i="56"/>
  <c r="Z152" i="56"/>
  <c r="AK152" i="56" l="1"/>
  <c r="AE152" i="56"/>
  <c r="AB152" i="56"/>
  <c r="AH152" i="56"/>
  <c r="AN152" i="56"/>
  <c r="AM152" i="56"/>
  <c r="AS152" i="56"/>
  <c r="O152" i="56"/>
  <c r="AP152" i="56"/>
  <c r="AT152" i="56"/>
  <c r="AQ152" i="56"/>
  <c r="BS58" i="56"/>
  <c r="BA58" i="56"/>
  <c r="BG58" i="56"/>
  <c r="AO152" i="56" l="1"/>
  <c r="AU152" i="56"/>
  <c r="AR152" i="56"/>
  <c r="AV152" i="56"/>
  <c r="L232" i="56"/>
  <c r="AI234" i="56"/>
  <c r="AC234" i="56"/>
  <c r="AJ234" i="56"/>
  <c r="AG234" i="56"/>
  <c r="AF234" i="56"/>
  <c r="AD234" i="56"/>
  <c r="AA234" i="56"/>
  <c r="Z234" i="56"/>
  <c r="AH234" i="56" l="1"/>
  <c r="AK234" i="56"/>
  <c r="AN234" i="56"/>
  <c r="AB234" i="56"/>
  <c r="AT234" i="56"/>
  <c r="AS234" i="56"/>
  <c r="AE234" i="56"/>
  <c r="AP234" i="56"/>
  <c r="AM234" i="56"/>
  <c r="AQ234" i="56"/>
  <c r="O234" i="56"/>
  <c r="AO234" i="56" l="1"/>
  <c r="AU234" i="56"/>
  <c r="AV234" i="56"/>
  <c r="AR234" i="56"/>
  <c r="BE262" i="56" l="1"/>
  <c r="BE47" i="56"/>
  <c r="AJ148" i="56" l="1"/>
  <c r="AI148" i="56"/>
  <c r="AG148" i="56"/>
  <c r="AF148" i="56"/>
  <c r="AD148" i="56"/>
  <c r="AC148" i="56"/>
  <c r="AA148" i="56"/>
  <c r="Z148" i="56"/>
  <c r="O148" i="56"/>
  <c r="AH148" i="56" l="1"/>
  <c r="AK148" i="56"/>
  <c r="AT148" i="56"/>
  <c r="AP148" i="56"/>
  <c r="AE148" i="56"/>
  <c r="AM148" i="56"/>
  <c r="AN148" i="56"/>
  <c r="AB148" i="56"/>
  <c r="AS148" i="56"/>
  <c r="AQ148" i="56"/>
  <c r="BE200" i="56"/>
  <c r="AO148" i="56" l="1"/>
  <c r="AR148" i="56"/>
  <c r="AU148" i="56"/>
  <c r="AV148" i="56"/>
  <c r="AJ147" i="56"/>
  <c r="AI147" i="56"/>
  <c r="AG147" i="56"/>
  <c r="AF147" i="56"/>
  <c r="AD147" i="56"/>
  <c r="AC147" i="56"/>
  <c r="AA147" i="56"/>
  <c r="Z147" i="56"/>
  <c r="O147" i="56"/>
  <c r="AN147" i="56" l="1"/>
  <c r="AH147" i="56"/>
  <c r="AK147" i="56"/>
  <c r="AE147" i="56"/>
  <c r="AM147" i="56"/>
  <c r="AO147" i="56" s="1"/>
  <c r="AB147" i="56"/>
  <c r="AS147" i="56"/>
  <c r="AP147" i="56"/>
  <c r="AT147" i="56"/>
  <c r="AQ147" i="56"/>
  <c r="BE221" i="56"/>
  <c r="BE194" i="56"/>
  <c r="AR147" i="56" l="1"/>
  <c r="AV147" i="56"/>
  <c r="AU147" i="56"/>
  <c r="BE232" i="56"/>
  <c r="BK285" i="56" l="1"/>
  <c r="AJ297" i="56"/>
  <c r="AI297" i="56"/>
  <c r="AG297" i="56"/>
  <c r="AF297" i="56"/>
  <c r="AD297" i="56"/>
  <c r="AC297" i="56"/>
  <c r="AA297" i="56"/>
  <c r="Z297" i="56"/>
  <c r="O297" i="56"/>
  <c r="AH297" i="56" l="1"/>
  <c r="AN297" i="56"/>
  <c r="AE297" i="56"/>
  <c r="AK297" i="56"/>
  <c r="AM297" i="56"/>
  <c r="AB297" i="56"/>
  <c r="AS297" i="56"/>
  <c r="AP297" i="56"/>
  <c r="AT297" i="56"/>
  <c r="AQ297" i="56"/>
  <c r="AO297" i="56" l="1"/>
  <c r="AV297" i="56"/>
  <c r="AU297" i="56"/>
  <c r="AR297" i="56"/>
  <c r="BS134" i="56"/>
  <c r="BR134" i="56"/>
  <c r="BQ134" i="56"/>
  <c r="BP134" i="56"/>
  <c r="BO134" i="56"/>
  <c r="BN134" i="56"/>
  <c r="BM134" i="56"/>
  <c r="BL134" i="56"/>
  <c r="BK134" i="56"/>
  <c r="BJ134" i="56"/>
  <c r="BI134" i="56"/>
  <c r="BH134" i="56"/>
  <c r="BG134" i="56"/>
  <c r="BF134" i="56"/>
  <c r="BE134" i="56"/>
  <c r="BD134" i="56"/>
  <c r="BC134" i="56"/>
  <c r="BB134" i="56"/>
  <c r="BA134" i="56"/>
  <c r="AZ134" i="56"/>
  <c r="AY134" i="56"/>
  <c r="AX134" i="56"/>
  <c r="BS164" i="56"/>
  <c r="BR164" i="56"/>
  <c r="BQ164" i="56"/>
  <c r="BP164" i="56"/>
  <c r="BO164" i="56"/>
  <c r="BN164" i="56"/>
  <c r="BM164" i="56"/>
  <c r="BL164" i="56"/>
  <c r="BK164" i="56"/>
  <c r="BJ164" i="56"/>
  <c r="BI164" i="56"/>
  <c r="BH164" i="56"/>
  <c r="BG164" i="56"/>
  <c r="BF164" i="56"/>
  <c r="BE164" i="56"/>
  <c r="BD164" i="56"/>
  <c r="BB164" i="56"/>
  <c r="BA164" i="56"/>
  <c r="AZ164" i="56"/>
  <c r="AY164" i="56"/>
  <c r="AX164" i="56"/>
  <c r="BS197" i="56"/>
  <c r="AI197" i="56" s="1"/>
  <c r="BS205" i="56"/>
  <c r="BE244" i="56"/>
  <c r="BE224" i="56" s="1"/>
  <c r="L306" i="56"/>
  <c r="L292" i="56"/>
  <c r="O292" i="56" s="1"/>
  <c r="L64" i="56"/>
  <c r="N64" i="56"/>
  <c r="AL309" i="56"/>
  <c r="Y309" i="56"/>
  <c r="W309" i="56"/>
  <c r="V309" i="56"/>
  <c r="U309" i="56"/>
  <c r="T309" i="56"/>
  <c r="P309" i="56"/>
  <c r="AJ308" i="56"/>
  <c r="AI308" i="56"/>
  <c r="AG308" i="56"/>
  <c r="AF308" i="56"/>
  <c r="AD308" i="56"/>
  <c r="AC308" i="56"/>
  <c r="AA308" i="56"/>
  <c r="Z308" i="56"/>
  <c r="O308" i="56"/>
  <c r="AJ307" i="56"/>
  <c r="AI307" i="56"/>
  <c r="AG307" i="56"/>
  <c r="AF307" i="56"/>
  <c r="AD307" i="56"/>
  <c r="AC307" i="56"/>
  <c r="AA307" i="56"/>
  <c r="Z307" i="56"/>
  <c r="O307" i="56"/>
  <c r="BS306" i="56"/>
  <c r="AI306" i="56" s="1"/>
  <c r="AJ306" i="56"/>
  <c r="AG306" i="56"/>
  <c r="AF306" i="56"/>
  <c r="AD306" i="56"/>
  <c r="AC306" i="56"/>
  <c r="AA306" i="56"/>
  <c r="Z306" i="56"/>
  <c r="O306" i="56"/>
  <c r="BR305" i="56"/>
  <c r="BQ305" i="56"/>
  <c r="BP305" i="56"/>
  <c r="BO305" i="56"/>
  <c r="BN305" i="56"/>
  <c r="BM305" i="56"/>
  <c r="BL305" i="56"/>
  <c r="BK305" i="56"/>
  <c r="BJ305" i="56"/>
  <c r="BI305" i="56"/>
  <c r="BH305" i="56"/>
  <c r="BG305" i="56"/>
  <c r="BF305" i="56"/>
  <c r="BE305" i="56"/>
  <c r="BD305" i="56"/>
  <c r="BC305" i="56"/>
  <c r="BB305" i="56"/>
  <c r="BA305" i="56"/>
  <c r="AZ305" i="56"/>
  <c r="AY305" i="56"/>
  <c r="AX305" i="56"/>
  <c r="AW305" i="56"/>
  <c r="S305" i="56"/>
  <c r="R305" i="56"/>
  <c r="Q305" i="56"/>
  <c r="N305" i="56"/>
  <c r="L305" i="56"/>
  <c r="AJ304" i="56"/>
  <c r="AI304" i="56"/>
  <c r="AG304" i="56"/>
  <c r="AF304" i="56"/>
  <c r="AD304" i="56"/>
  <c r="AC304" i="56"/>
  <c r="AA304" i="56"/>
  <c r="Z304" i="56"/>
  <c r="O304" i="56"/>
  <c r="AJ303" i="56"/>
  <c r="AI303" i="56"/>
  <c r="AG303" i="56"/>
  <c r="AF303" i="56"/>
  <c r="AD303" i="56"/>
  <c r="AC303" i="56"/>
  <c r="AA303" i="56"/>
  <c r="Z303" i="56"/>
  <c r="O303" i="56"/>
  <c r="AJ302" i="56"/>
  <c r="AI302" i="56"/>
  <c r="AG302" i="56"/>
  <c r="AF302" i="56"/>
  <c r="AD302" i="56"/>
  <c r="AC302" i="56"/>
  <c r="AA302" i="56"/>
  <c r="Z302" i="56"/>
  <c r="O302" i="56"/>
  <c r="AJ301" i="56"/>
  <c r="AI301" i="56"/>
  <c r="AG301" i="56"/>
  <c r="AF301" i="56"/>
  <c r="AD301" i="56"/>
  <c r="AC301" i="56"/>
  <c r="AA301" i="56"/>
  <c r="Z301" i="56"/>
  <c r="O301" i="56"/>
  <c r="BS300" i="56"/>
  <c r="BR300" i="56"/>
  <c r="BQ300" i="56"/>
  <c r="BP300" i="56"/>
  <c r="BO300" i="56"/>
  <c r="BN300" i="56"/>
  <c r="BM300" i="56"/>
  <c r="BL300" i="56"/>
  <c r="BK300" i="56"/>
  <c r="BJ300" i="56"/>
  <c r="BI300" i="56"/>
  <c r="BH300" i="56"/>
  <c r="BG300" i="56"/>
  <c r="BF300" i="56"/>
  <c r="BE300" i="56"/>
  <c r="BD300" i="56"/>
  <c r="BC300" i="56"/>
  <c r="BB300" i="56"/>
  <c r="BA300" i="56"/>
  <c r="AZ300" i="56"/>
  <c r="AY300" i="56"/>
  <c r="AX300" i="56"/>
  <c r="AW300" i="56"/>
  <c r="N300" i="56"/>
  <c r="L300" i="56"/>
  <c r="AJ299" i="56"/>
  <c r="AI299" i="56"/>
  <c r="AG299" i="56"/>
  <c r="AF299" i="56"/>
  <c r="AD299" i="56"/>
  <c r="AC299" i="56"/>
  <c r="AA299" i="56"/>
  <c r="Z299" i="56"/>
  <c r="O299" i="56"/>
  <c r="AJ296" i="56"/>
  <c r="AI296" i="56"/>
  <c r="AG296" i="56"/>
  <c r="AF296" i="56"/>
  <c r="AD296" i="56"/>
  <c r="AC296" i="56"/>
  <c r="AA296" i="56"/>
  <c r="Z296" i="56"/>
  <c r="O296" i="56"/>
  <c r="AJ295" i="56"/>
  <c r="AI295" i="56"/>
  <c r="AG295" i="56"/>
  <c r="AF295" i="56"/>
  <c r="AD295" i="56"/>
  <c r="AC295" i="56"/>
  <c r="AA295" i="56"/>
  <c r="Z295" i="56"/>
  <c r="O295" i="56"/>
  <c r="AJ294" i="56"/>
  <c r="AI294" i="56"/>
  <c r="AG294" i="56"/>
  <c r="AF294" i="56"/>
  <c r="AD294" i="56"/>
  <c r="AC294" i="56"/>
  <c r="AA294" i="56"/>
  <c r="Z294" i="56"/>
  <c r="O294" i="56"/>
  <c r="AJ293" i="56"/>
  <c r="AI293" i="56"/>
  <c r="AG293" i="56"/>
  <c r="AF293" i="56"/>
  <c r="AD293" i="56"/>
  <c r="AC293" i="56"/>
  <c r="AA293" i="56"/>
  <c r="Z293" i="56"/>
  <c r="O293" i="56"/>
  <c r="AJ292" i="56"/>
  <c r="AI292" i="56"/>
  <c r="AG292" i="56"/>
  <c r="AF292" i="56"/>
  <c r="AD292" i="56"/>
  <c r="AC292" i="56"/>
  <c r="AA292" i="56"/>
  <c r="Z292" i="56"/>
  <c r="AJ291" i="56"/>
  <c r="AI291" i="56"/>
  <c r="AG291" i="56"/>
  <c r="AF291" i="56"/>
  <c r="AD291" i="56"/>
  <c r="AC291" i="56"/>
  <c r="AA291" i="56"/>
  <c r="Z291" i="56"/>
  <c r="O291" i="56"/>
  <c r="AJ290" i="56"/>
  <c r="AI290" i="56"/>
  <c r="AG290" i="56"/>
  <c r="AF290" i="56"/>
  <c r="AD290" i="56"/>
  <c r="AC290" i="56"/>
  <c r="AA290" i="56"/>
  <c r="Z290" i="56"/>
  <c r="O290" i="56"/>
  <c r="AJ289" i="56"/>
  <c r="AI289" i="56"/>
  <c r="AG289" i="56"/>
  <c r="AF289" i="56"/>
  <c r="AD289" i="56"/>
  <c r="AC289" i="56"/>
  <c r="AA289" i="56"/>
  <c r="Z289" i="56"/>
  <c r="O289" i="56"/>
  <c r="AJ288" i="56"/>
  <c r="AI288" i="56"/>
  <c r="AG288" i="56"/>
  <c r="AF288" i="56"/>
  <c r="AD288" i="56"/>
  <c r="AC288" i="56"/>
  <c r="AA288" i="56"/>
  <c r="Z288" i="56"/>
  <c r="O288" i="56"/>
  <c r="AJ287" i="56"/>
  <c r="AI287" i="56"/>
  <c r="AG287" i="56"/>
  <c r="AF287" i="56"/>
  <c r="AD287" i="56"/>
  <c r="AC287" i="56"/>
  <c r="AA287" i="56"/>
  <c r="Z287" i="56"/>
  <c r="O287" i="56"/>
  <c r="AJ286" i="56"/>
  <c r="AI286" i="56"/>
  <c r="AG286" i="56"/>
  <c r="AF286" i="56"/>
  <c r="AD286" i="56"/>
  <c r="AC286" i="56"/>
  <c r="AA286" i="56"/>
  <c r="Z286" i="56"/>
  <c r="O286" i="56"/>
  <c r="AJ285" i="56"/>
  <c r="AI285" i="56"/>
  <c r="AG285" i="56"/>
  <c r="AF285" i="56"/>
  <c r="AD285" i="56"/>
  <c r="AC285" i="56"/>
  <c r="AA285" i="56"/>
  <c r="Z285" i="56"/>
  <c r="O285" i="56"/>
  <c r="AJ284" i="56"/>
  <c r="AI284" i="56"/>
  <c r="AG284" i="56"/>
  <c r="AF284" i="56"/>
  <c r="AD284" i="56"/>
  <c r="AC284" i="56"/>
  <c r="AA284" i="56"/>
  <c r="Z284" i="56"/>
  <c r="O284" i="56"/>
  <c r="BT283" i="56"/>
  <c r="BS283" i="56"/>
  <c r="BR283" i="56"/>
  <c r="BQ283" i="56"/>
  <c r="BP283" i="56"/>
  <c r="BO283" i="56"/>
  <c r="BN283" i="56"/>
  <c r="BM283" i="56"/>
  <c r="BL283" i="56"/>
  <c r="BK283" i="56"/>
  <c r="BJ283" i="56"/>
  <c r="BI283" i="56"/>
  <c r="BH283" i="56"/>
  <c r="BG283" i="56"/>
  <c r="BF283" i="56"/>
  <c r="BE283" i="56"/>
  <c r="BD283" i="56"/>
  <c r="BC283" i="56"/>
  <c r="BB283" i="56"/>
  <c r="BA283" i="56"/>
  <c r="AZ283" i="56"/>
  <c r="AY283" i="56"/>
  <c r="AX283" i="56"/>
  <c r="AW283" i="56"/>
  <c r="S283" i="56"/>
  <c r="Q283" i="56"/>
  <c r="N283" i="56"/>
  <c r="BC282" i="56"/>
  <c r="AC282" i="56" s="1"/>
  <c r="AJ282" i="56"/>
  <c r="AI282" i="56"/>
  <c r="AG282" i="56"/>
  <c r="AF282" i="56"/>
  <c r="AD282" i="56"/>
  <c r="AA282" i="56"/>
  <c r="Z282" i="56"/>
  <c r="O282" i="56"/>
  <c r="AJ281" i="56"/>
  <c r="AI281" i="56"/>
  <c r="AG281" i="56"/>
  <c r="AF281" i="56"/>
  <c r="AD281" i="56"/>
  <c r="AC281" i="56"/>
  <c r="AA281" i="56"/>
  <c r="Z281" i="56"/>
  <c r="O281" i="56"/>
  <c r="AJ280" i="56"/>
  <c r="AI280" i="56"/>
  <c r="AG280" i="56"/>
  <c r="AF280" i="56"/>
  <c r="AD280" i="56"/>
  <c r="AC280" i="56"/>
  <c r="AA280" i="56"/>
  <c r="Z280" i="56"/>
  <c r="O280" i="56"/>
  <c r="AJ279" i="56"/>
  <c r="AI279" i="56"/>
  <c r="AG279" i="56"/>
  <c r="AF279" i="56"/>
  <c r="AD279" i="56"/>
  <c r="AC279" i="56"/>
  <c r="AA279" i="56"/>
  <c r="Z279" i="56"/>
  <c r="O279" i="56"/>
  <c r="AJ278" i="56"/>
  <c r="AI278" i="56"/>
  <c r="AG278" i="56"/>
  <c r="AF278" i="56"/>
  <c r="AD278" i="56"/>
  <c r="AC278" i="56"/>
  <c r="AA278" i="56"/>
  <c r="Z278" i="56"/>
  <c r="O278" i="56"/>
  <c r="BG277" i="56"/>
  <c r="AC277" i="56" s="1"/>
  <c r="AJ277" i="56"/>
  <c r="AI277" i="56"/>
  <c r="AG277" i="56"/>
  <c r="AF277" i="56"/>
  <c r="AD277" i="56"/>
  <c r="AA277" i="56"/>
  <c r="Z277" i="56"/>
  <c r="L277" i="56"/>
  <c r="O277" i="56" s="1"/>
  <c r="BS276" i="56"/>
  <c r="BR276" i="56"/>
  <c r="BQ276" i="56"/>
  <c r="BP276" i="56"/>
  <c r="BO276" i="56"/>
  <c r="BN276" i="56"/>
  <c r="BM276" i="56"/>
  <c r="BL276" i="56"/>
  <c r="BK276" i="56"/>
  <c r="BJ276" i="56"/>
  <c r="BI276" i="56"/>
  <c r="BH276" i="56"/>
  <c r="BF276" i="56"/>
  <c r="BE276" i="56"/>
  <c r="BD276" i="56"/>
  <c r="BC276" i="56"/>
  <c r="BB276" i="56"/>
  <c r="BA276" i="56"/>
  <c r="AZ276" i="56"/>
  <c r="AY276" i="56"/>
  <c r="AX276" i="56"/>
  <c r="AW276" i="56"/>
  <c r="S276" i="56"/>
  <c r="R276" i="56"/>
  <c r="Q276" i="56"/>
  <c r="N276" i="56"/>
  <c r="AJ275" i="56"/>
  <c r="AI275" i="56"/>
  <c r="AG275" i="56"/>
  <c r="AF275" i="56"/>
  <c r="AD275" i="56"/>
  <c r="AC275" i="56"/>
  <c r="AA275" i="56"/>
  <c r="Z275" i="56"/>
  <c r="O275" i="56"/>
  <c r="AJ273" i="56"/>
  <c r="AI273" i="56"/>
  <c r="AG273" i="56"/>
  <c r="AF273" i="56"/>
  <c r="AD273" i="56"/>
  <c r="AC273" i="56"/>
  <c r="AA273" i="56"/>
  <c r="Z273" i="56"/>
  <c r="O273" i="56"/>
  <c r="AJ272" i="56"/>
  <c r="AI272" i="56"/>
  <c r="AG272" i="56"/>
  <c r="AF272" i="56"/>
  <c r="AD272" i="56"/>
  <c r="AC272" i="56"/>
  <c r="AA272" i="56"/>
  <c r="Z272" i="56"/>
  <c r="O272" i="56"/>
  <c r="AJ271" i="56"/>
  <c r="AI271" i="56"/>
  <c r="AG271" i="56"/>
  <c r="AF271" i="56"/>
  <c r="AD271" i="56"/>
  <c r="AC271" i="56"/>
  <c r="AA271" i="56"/>
  <c r="Z271" i="56"/>
  <c r="L271" i="56"/>
  <c r="L270" i="56" s="1"/>
  <c r="BS270" i="56"/>
  <c r="BR270" i="56"/>
  <c r="BQ270" i="56"/>
  <c r="BP270" i="56"/>
  <c r="BO270" i="56"/>
  <c r="BN270" i="56"/>
  <c r="BM270" i="56"/>
  <c r="BL270" i="56"/>
  <c r="BK270" i="56"/>
  <c r="BJ270" i="56"/>
  <c r="BI270" i="56"/>
  <c r="BH270" i="56"/>
  <c r="BG270" i="56"/>
  <c r="BF270" i="56"/>
  <c r="BE270" i="56"/>
  <c r="BD270" i="56"/>
  <c r="BC270" i="56"/>
  <c r="BB270" i="56"/>
  <c r="BA270" i="56"/>
  <c r="AZ270" i="56"/>
  <c r="AY270" i="56"/>
  <c r="AX270" i="56"/>
  <c r="AW270" i="56"/>
  <c r="S270" i="56"/>
  <c r="Q270" i="56"/>
  <c r="N270" i="56"/>
  <c r="BQ269" i="56"/>
  <c r="AJ269" i="56"/>
  <c r="AI269" i="56"/>
  <c r="AG269" i="56"/>
  <c r="AF269" i="56"/>
  <c r="AD269" i="56"/>
  <c r="AC269" i="56"/>
  <c r="AA269" i="56"/>
  <c r="Z269" i="56"/>
  <c r="O269" i="56"/>
  <c r="BO268" i="56"/>
  <c r="AI268" i="56" s="1"/>
  <c r="BA268" i="56"/>
  <c r="Z268" i="56" s="1"/>
  <c r="AJ268" i="56"/>
  <c r="AG268" i="56"/>
  <c r="AF268" i="56"/>
  <c r="AD268" i="56"/>
  <c r="AC268" i="56"/>
  <c r="AA268" i="56"/>
  <c r="O268" i="56"/>
  <c r="BO267" i="56"/>
  <c r="AI267" i="56" s="1"/>
  <c r="BA267" i="56"/>
  <c r="Z267" i="56" s="1"/>
  <c r="AJ267" i="56"/>
  <c r="AG267" i="56"/>
  <c r="AF267" i="56"/>
  <c r="AD267" i="56"/>
  <c r="AC267" i="56"/>
  <c r="AA267" i="56"/>
  <c r="O267" i="56"/>
  <c r="BA266" i="56"/>
  <c r="Z266" i="56" s="1"/>
  <c r="AJ266" i="56"/>
  <c r="AI266" i="56"/>
  <c r="AG266" i="56"/>
  <c r="AF266" i="56"/>
  <c r="AD266" i="56"/>
  <c r="AC266" i="56"/>
  <c r="AA266" i="56"/>
  <c r="O266" i="56"/>
  <c r="BT265" i="56"/>
  <c r="BS265" i="56"/>
  <c r="BR265" i="56"/>
  <c r="BQ265" i="56"/>
  <c r="BP265" i="56"/>
  <c r="BN265" i="56"/>
  <c r="BM265" i="56"/>
  <c r="BL265" i="56"/>
  <c r="BK265" i="56"/>
  <c r="BJ265" i="56"/>
  <c r="BI265" i="56"/>
  <c r="BH265" i="56"/>
  <c r="BG265" i="56"/>
  <c r="BF265" i="56"/>
  <c r="BE265" i="56"/>
  <c r="BD265" i="56"/>
  <c r="BC265" i="56"/>
  <c r="BB265" i="56"/>
  <c r="AZ265" i="56"/>
  <c r="AY265" i="56"/>
  <c r="AX265" i="56"/>
  <c r="AW265" i="56"/>
  <c r="S265" i="56"/>
  <c r="Q265" i="56"/>
  <c r="L265" i="56"/>
  <c r="O265" i="56" s="1"/>
  <c r="AJ264" i="56"/>
  <c r="AI264" i="56"/>
  <c r="AG264" i="56"/>
  <c r="AF264" i="56"/>
  <c r="AD264" i="56"/>
  <c r="AC264" i="56"/>
  <c r="AA264" i="56"/>
  <c r="Z264" i="56"/>
  <c r="O264" i="56"/>
  <c r="AJ263" i="56"/>
  <c r="AI263" i="56"/>
  <c r="AG263" i="56"/>
  <c r="AF263" i="56"/>
  <c r="AD263" i="56"/>
  <c r="AC263" i="56"/>
  <c r="AA263" i="56"/>
  <c r="Z263" i="56"/>
  <c r="AF262" i="56"/>
  <c r="AJ262" i="56"/>
  <c r="AI262" i="56"/>
  <c r="AG262" i="56"/>
  <c r="AD262" i="56"/>
  <c r="AC262" i="56"/>
  <c r="AA262" i="56"/>
  <c r="Z262" i="56"/>
  <c r="L262" i="56"/>
  <c r="O262" i="56" s="1"/>
  <c r="BT261" i="56"/>
  <c r="BS261" i="56"/>
  <c r="BR261" i="56"/>
  <c r="BQ261" i="56"/>
  <c r="BP261" i="56"/>
  <c r="BO261" i="56"/>
  <c r="BN261" i="56"/>
  <c r="BM261" i="56"/>
  <c r="BL261" i="56"/>
  <c r="BK261" i="56"/>
  <c r="BJ261" i="56"/>
  <c r="BH261" i="56"/>
  <c r="BG261" i="56"/>
  <c r="BF261" i="56"/>
  <c r="BE261" i="56"/>
  <c r="BD261" i="56"/>
  <c r="BC261" i="56"/>
  <c r="BB261" i="56"/>
  <c r="BA261" i="56"/>
  <c r="AZ261" i="56"/>
  <c r="AY261" i="56"/>
  <c r="AX261" i="56"/>
  <c r="AW261" i="56"/>
  <c r="S261" i="56"/>
  <c r="Q261" i="56"/>
  <c r="N261" i="56"/>
  <c r="AJ260" i="56"/>
  <c r="AI260" i="56"/>
  <c r="AG260" i="56"/>
  <c r="AF260" i="56"/>
  <c r="AD260" i="56"/>
  <c r="AC260" i="56"/>
  <c r="AA260" i="56"/>
  <c r="Z260" i="56"/>
  <c r="O260" i="56"/>
  <c r="AJ259" i="56"/>
  <c r="AI259" i="56"/>
  <c r="AG259" i="56"/>
  <c r="AF259" i="56"/>
  <c r="AD259" i="56"/>
  <c r="AC259" i="56"/>
  <c r="AA259" i="56"/>
  <c r="Z259" i="56"/>
  <c r="O259" i="56"/>
  <c r="BT258" i="56"/>
  <c r="BS258" i="56"/>
  <c r="BR258" i="56"/>
  <c r="BQ258" i="56"/>
  <c r="BP258" i="56"/>
  <c r="BO258" i="56"/>
  <c r="BN258" i="56"/>
  <c r="BM258" i="56"/>
  <c r="BL258" i="56"/>
  <c r="BK258" i="56"/>
  <c r="BJ258" i="56"/>
  <c r="BI258" i="56"/>
  <c r="BH258" i="56"/>
  <c r="BG258" i="56"/>
  <c r="BF258" i="56"/>
  <c r="BE258" i="56"/>
  <c r="BD258" i="56"/>
  <c r="BC258" i="56"/>
  <c r="BB258" i="56"/>
  <c r="BA258" i="56"/>
  <c r="AZ258" i="56"/>
  <c r="AY258" i="56"/>
  <c r="AX258" i="56"/>
  <c r="AW258" i="56"/>
  <c r="S258" i="56"/>
  <c r="Q258" i="56"/>
  <c r="N258" i="56"/>
  <c r="L258" i="56"/>
  <c r="AJ257" i="56"/>
  <c r="AI257" i="56"/>
  <c r="AG257" i="56"/>
  <c r="AF257" i="56"/>
  <c r="AD257" i="56"/>
  <c r="AC257" i="56"/>
  <c r="AA257" i="56"/>
  <c r="Z257" i="56"/>
  <c r="O257" i="56"/>
  <c r="AJ256" i="56"/>
  <c r="AI256" i="56"/>
  <c r="AG256" i="56"/>
  <c r="AF256" i="56"/>
  <c r="AD256" i="56"/>
  <c r="AC256" i="56"/>
  <c r="AA256" i="56"/>
  <c r="Z256" i="56"/>
  <c r="O256" i="56"/>
  <c r="AJ255" i="56"/>
  <c r="AI255" i="56"/>
  <c r="AG255" i="56"/>
  <c r="AF255" i="56"/>
  <c r="AD255" i="56"/>
  <c r="AC255" i="56"/>
  <c r="AA255" i="56"/>
  <c r="Z255" i="56"/>
  <c r="O255" i="56"/>
  <c r="AJ254" i="56"/>
  <c r="AI254" i="56"/>
  <c r="AG254" i="56"/>
  <c r="AF254" i="56"/>
  <c r="AD254" i="56"/>
  <c r="AC254" i="56"/>
  <c r="AA254" i="56"/>
  <c r="Z254" i="56"/>
  <c r="O254" i="56"/>
  <c r="BC253" i="56"/>
  <c r="BC251" i="56" s="1"/>
  <c r="AJ253" i="56"/>
  <c r="AI253" i="56"/>
  <c r="AG253" i="56"/>
  <c r="AF253" i="56"/>
  <c r="AD253" i="56"/>
  <c r="AA253" i="56"/>
  <c r="Z253" i="56"/>
  <c r="O253" i="56"/>
  <c r="AJ252" i="56"/>
  <c r="AI252" i="56"/>
  <c r="AG252" i="56"/>
  <c r="AF252" i="56"/>
  <c r="AD252" i="56"/>
  <c r="AC252" i="56"/>
  <c r="AA252" i="56"/>
  <c r="Z252" i="56"/>
  <c r="O252" i="56"/>
  <c r="BT251" i="56"/>
  <c r="BS251" i="56"/>
  <c r="BR251" i="56"/>
  <c r="BQ251" i="56"/>
  <c r="BP251" i="56"/>
  <c r="BO251" i="56"/>
  <c r="BN251" i="56"/>
  <c r="BM251" i="56"/>
  <c r="BL251" i="56"/>
  <c r="BK251" i="56"/>
  <c r="BJ251" i="56"/>
  <c r="BI251" i="56"/>
  <c r="BH251" i="56"/>
  <c r="BG251" i="56"/>
  <c r="BF251" i="56"/>
  <c r="BE251" i="56"/>
  <c r="BD251" i="56"/>
  <c r="BB251" i="56"/>
  <c r="BA251" i="56"/>
  <c r="AZ251" i="56"/>
  <c r="AY251" i="56"/>
  <c r="AX251" i="56"/>
  <c r="AW251" i="56"/>
  <c r="S251" i="56"/>
  <c r="Q251" i="56"/>
  <c r="N251" i="56"/>
  <c r="L251" i="56"/>
  <c r="BT250" i="56"/>
  <c r="BS250" i="56"/>
  <c r="BR250" i="56"/>
  <c r="BQ250" i="56"/>
  <c r="BP250" i="56"/>
  <c r="BO250" i="56"/>
  <c r="BN250" i="56"/>
  <c r="BM250" i="56"/>
  <c r="BL250" i="56"/>
  <c r="BK250" i="56"/>
  <c r="BJ250" i="56"/>
  <c r="BI250" i="56"/>
  <c r="BH250" i="56"/>
  <c r="BG250" i="56"/>
  <c r="BF250" i="56"/>
  <c r="BE250" i="56"/>
  <c r="BD250" i="56"/>
  <c r="BC250" i="56"/>
  <c r="BB250" i="56"/>
  <c r="BA250" i="56"/>
  <c r="AZ250" i="56"/>
  <c r="AY250" i="56"/>
  <c r="AX250" i="56"/>
  <c r="AW250" i="56"/>
  <c r="O250" i="56"/>
  <c r="AJ249" i="56"/>
  <c r="AI249" i="56"/>
  <c r="AG249" i="56"/>
  <c r="AF249" i="56"/>
  <c r="AD249" i="56"/>
  <c r="AC249" i="56"/>
  <c r="AA249" i="56"/>
  <c r="Z249" i="56"/>
  <c r="O249" i="56"/>
  <c r="BS248" i="56"/>
  <c r="BS247" i="56" s="1"/>
  <c r="BQ248" i="56"/>
  <c r="BQ247" i="56" s="1"/>
  <c r="BO248" i="56"/>
  <c r="BM248" i="56"/>
  <c r="BM247" i="56" s="1"/>
  <c r="AJ248" i="56"/>
  <c r="AG248" i="56"/>
  <c r="AD248" i="56"/>
  <c r="AC248" i="56"/>
  <c r="AA248" i="56"/>
  <c r="Z248" i="56"/>
  <c r="O248" i="56"/>
  <c r="BT247" i="56"/>
  <c r="BR247" i="56"/>
  <c r="BP247" i="56"/>
  <c r="BN247" i="56"/>
  <c r="BL247" i="56"/>
  <c r="BK247" i="56"/>
  <c r="BJ247" i="56"/>
  <c r="BI247" i="56"/>
  <c r="BH247" i="56"/>
  <c r="BG247" i="56"/>
  <c r="BF247" i="56"/>
  <c r="BE247" i="56"/>
  <c r="BD247" i="56"/>
  <c r="BC247" i="56"/>
  <c r="BB247" i="56"/>
  <c r="BA247" i="56"/>
  <c r="AZ247" i="56"/>
  <c r="AY247" i="56"/>
  <c r="AX247" i="56"/>
  <c r="AW247" i="56"/>
  <c r="S247" i="56"/>
  <c r="Q247" i="56"/>
  <c r="N247" i="56"/>
  <c r="L247" i="56"/>
  <c r="AJ246" i="56"/>
  <c r="AI246" i="56"/>
  <c r="AG246" i="56"/>
  <c r="AF246" i="56"/>
  <c r="AD246" i="56"/>
  <c r="AC246" i="56"/>
  <c r="AA246" i="56"/>
  <c r="Z246" i="56"/>
  <c r="O246" i="56"/>
  <c r="AJ245" i="56"/>
  <c r="AI245" i="56"/>
  <c r="AG245" i="56"/>
  <c r="AF245" i="56"/>
  <c r="AD245" i="56"/>
  <c r="AC245" i="56"/>
  <c r="AA245" i="56"/>
  <c r="Z245" i="56"/>
  <c r="O245" i="56"/>
  <c r="BC244" i="56"/>
  <c r="AC244" i="56" s="1"/>
  <c r="AJ244" i="56"/>
  <c r="AI244" i="56"/>
  <c r="AG244" i="56"/>
  <c r="AF244" i="56"/>
  <c r="AD244" i="56"/>
  <c r="AA244" i="56"/>
  <c r="Z244" i="56"/>
  <c r="O244" i="56"/>
  <c r="AJ243" i="56"/>
  <c r="AI243" i="56"/>
  <c r="AG243" i="56"/>
  <c r="AF243" i="56"/>
  <c r="AD243" i="56"/>
  <c r="AC243" i="56"/>
  <c r="AA243" i="56"/>
  <c r="Z243" i="56"/>
  <c r="O243" i="56"/>
  <c r="AJ242" i="56"/>
  <c r="AI242" i="56"/>
  <c r="AG242" i="56"/>
  <c r="AF242" i="56"/>
  <c r="AD242" i="56"/>
  <c r="AC242" i="56"/>
  <c r="AA242" i="56"/>
  <c r="Z242" i="56"/>
  <c r="O242" i="56"/>
  <c r="AJ241" i="56"/>
  <c r="AI241" i="56"/>
  <c r="AG241" i="56"/>
  <c r="AF241" i="56"/>
  <c r="AD241" i="56"/>
  <c r="AC241" i="56"/>
  <c r="AA241" i="56"/>
  <c r="Z241" i="56"/>
  <c r="O241" i="56"/>
  <c r="AJ240" i="56"/>
  <c r="AI240" i="56"/>
  <c r="AG240" i="56"/>
  <c r="AF240" i="56"/>
  <c r="AD240" i="56"/>
  <c r="AC240" i="56"/>
  <c r="AA240" i="56"/>
  <c r="Z240" i="56"/>
  <c r="O240" i="56"/>
  <c r="AJ239" i="56"/>
  <c r="AI239" i="56"/>
  <c r="AG239" i="56"/>
  <c r="AF239" i="56"/>
  <c r="AD239" i="56"/>
  <c r="AC239" i="56"/>
  <c r="AA239" i="56"/>
  <c r="Z239" i="56"/>
  <c r="O239" i="56"/>
  <c r="AJ238" i="56"/>
  <c r="AI238" i="56"/>
  <c r="AG238" i="56"/>
  <c r="AF238" i="56"/>
  <c r="AD238" i="56"/>
  <c r="AC238" i="56"/>
  <c r="AA238" i="56"/>
  <c r="Z238" i="56"/>
  <c r="O238" i="56"/>
  <c r="AJ237" i="56"/>
  <c r="AI237" i="56"/>
  <c r="AG237" i="56"/>
  <c r="AF237" i="56"/>
  <c r="AD237" i="56"/>
  <c r="AC237" i="56"/>
  <c r="AA237" i="56"/>
  <c r="Z237" i="56"/>
  <c r="L237" i="56"/>
  <c r="AJ236" i="56"/>
  <c r="AI236" i="56"/>
  <c r="AG236" i="56"/>
  <c r="AF236" i="56"/>
  <c r="AD236" i="56"/>
  <c r="AC236" i="56"/>
  <c r="AA236" i="56"/>
  <c r="Z236" i="56"/>
  <c r="O236" i="56"/>
  <c r="BS235" i="56"/>
  <c r="AI235" i="56" s="1"/>
  <c r="AJ235" i="56"/>
  <c r="AG235" i="56"/>
  <c r="AF235" i="56"/>
  <c r="AD235" i="56"/>
  <c r="AC235" i="56"/>
  <c r="AA235" i="56"/>
  <c r="Z235" i="56"/>
  <c r="O235" i="56"/>
  <c r="AJ233" i="56"/>
  <c r="AI233" i="56"/>
  <c r="AG233" i="56"/>
  <c r="AF233" i="56"/>
  <c r="AD233" i="56"/>
  <c r="AC233" i="56"/>
  <c r="AA233" i="56"/>
  <c r="Z233" i="56"/>
  <c r="O233" i="56"/>
  <c r="AJ232" i="56"/>
  <c r="AI232" i="56"/>
  <c r="AG232" i="56"/>
  <c r="AF232" i="56"/>
  <c r="AD232" i="56"/>
  <c r="AC232" i="56"/>
  <c r="AA232" i="56"/>
  <c r="Z232" i="56"/>
  <c r="S232" i="56"/>
  <c r="Q232" i="56"/>
  <c r="O232" i="56"/>
  <c r="AJ231" i="56"/>
  <c r="AI231" i="56"/>
  <c r="AG231" i="56"/>
  <c r="AF231" i="56"/>
  <c r="AD231" i="56"/>
  <c r="AC231" i="56"/>
  <c r="AA231" i="56"/>
  <c r="Z231" i="56"/>
  <c r="O231" i="56"/>
  <c r="AJ230" i="56"/>
  <c r="AI230" i="56"/>
  <c r="AG230" i="56"/>
  <c r="AF230" i="56"/>
  <c r="AD230" i="56"/>
  <c r="AC230" i="56"/>
  <c r="AA230" i="56"/>
  <c r="Z230" i="56"/>
  <c r="O230" i="56"/>
  <c r="AJ229" i="56"/>
  <c r="AI229" i="56"/>
  <c r="AG229" i="56"/>
  <c r="AF229" i="56"/>
  <c r="AD229" i="56"/>
  <c r="AC229" i="56"/>
  <c r="AA229" i="56"/>
  <c r="Z229" i="56"/>
  <c r="O229" i="56"/>
  <c r="AJ228" i="56"/>
  <c r="AI228" i="56"/>
  <c r="AG228" i="56"/>
  <c r="AF228" i="56"/>
  <c r="AD228" i="56"/>
  <c r="AC228" i="56"/>
  <c r="AA228" i="56"/>
  <c r="Z228" i="56"/>
  <c r="O228" i="56"/>
  <c r="AI227" i="56"/>
  <c r="AJ227" i="56"/>
  <c r="AG227" i="56"/>
  <c r="AF227" i="56"/>
  <c r="AD227" i="56"/>
  <c r="AC227" i="56"/>
  <c r="AA227" i="56"/>
  <c r="Z227" i="56"/>
  <c r="S227" i="56"/>
  <c r="Q227" i="56"/>
  <c r="L227" i="56"/>
  <c r="O227" i="56" s="1"/>
  <c r="AJ226" i="56"/>
  <c r="AI226" i="56"/>
  <c r="AG226" i="56"/>
  <c r="AF226" i="56"/>
  <c r="AD226" i="56"/>
  <c r="AC226" i="56"/>
  <c r="AA226" i="56"/>
  <c r="Z226" i="56"/>
  <c r="O226" i="56"/>
  <c r="AJ225" i="56"/>
  <c r="AI225" i="56"/>
  <c r="AG225" i="56"/>
  <c r="AF225" i="56"/>
  <c r="AD225" i="56"/>
  <c r="AC225" i="56"/>
  <c r="AA225" i="56"/>
  <c r="Z225" i="56"/>
  <c r="O225" i="56"/>
  <c r="BT224" i="56"/>
  <c r="BR224" i="56"/>
  <c r="BQ224" i="56"/>
  <c r="BP224" i="56"/>
  <c r="BO224" i="56"/>
  <c r="BN224" i="56"/>
  <c r="BM224" i="56"/>
  <c r="BL224" i="56"/>
  <c r="BK224" i="56"/>
  <c r="BJ224" i="56"/>
  <c r="BI224" i="56"/>
  <c r="BH224" i="56"/>
  <c r="BG224" i="56"/>
  <c r="BF224" i="56"/>
  <c r="BD224" i="56"/>
  <c r="BB224" i="56"/>
  <c r="BA224" i="56"/>
  <c r="AZ224" i="56"/>
  <c r="AY224" i="56"/>
  <c r="AX224" i="56"/>
  <c r="AW224" i="56"/>
  <c r="Q224" i="56"/>
  <c r="N224" i="56"/>
  <c r="M224" i="56"/>
  <c r="BM223" i="56"/>
  <c r="BK223" i="56"/>
  <c r="BK222" i="56" s="1"/>
  <c r="AJ223" i="56"/>
  <c r="AI223" i="56"/>
  <c r="AG223" i="56"/>
  <c r="AD223" i="56"/>
  <c r="AC223" i="56"/>
  <c r="AA223" i="56"/>
  <c r="Z223" i="56"/>
  <c r="S223" i="56"/>
  <c r="S222" i="56" s="1"/>
  <c r="Q223" i="56"/>
  <c r="Q222" i="56" s="1"/>
  <c r="L223" i="56"/>
  <c r="O223" i="56" s="1"/>
  <c r="BT222" i="56"/>
  <c r="BS222" i="56"/>
  <c r="BR222" i="56"/>
  <c r="BQ222" i="56"/>
  <c r="BP222" i="56"/>
  <c r="BO222" i="56"/>
  <c r="BN222" i="56"/>
  <c r="BL222" i="56"/>
  <c r="BJ222" i="56"/>
  <c r="BI222" i="56"/>
  <c r="BH222" i="56"/>
  <c r="BG222" i="56"/>
  <c r="BF222" i="56"/>
  <c r="BE222" i="56"/>
  <c r="BD222" i="56"/>
  <c r="BC222" i="56"/>
  <c r="BB222" i="56"/>
  <c r="BA222" i="56"/>
  <c r="AZ222" i="56"/>
  <c r="AY222" i="56"/>
  <c r="AX222" i="56"/>
  <c r="AW222" i="56"/>
  <c r="AJ221" i="56"/>
  <c r="AI221" i="56"/>
  <c r="AG221" i="56"/>
  <c r="AF221" i="56"/>
  <c r="AD221" i="56"/>
  <c r="AC221" i="56"/>
  <c r="AA221" i="56"/>
  <c r="Z221" i="56"/>
  <c r="O221" i="56"/>
  <c r="BT220" i="56"/>
  <c r="BS220" i="56"/>
  <c r="BR220" i="56"/>
  <c r="BQ220" i="56"/>
  <c r="BP220" i="56"/>
  <c r="BO220" i="56"/>
  <c r="BN220" i="56"/>
  <c r="BM220" i="56"/>
  <c r="BL220" i="56"/>
  <c r="BK220" i="56"/>
  <c r="BJ220" i="56"/>
  <c r="BI220" i="56"/>
  <c r="BH220" i="56"/>
  <c r="BG220" i="56"/>
  <c r="BF220" i="56"/>
  <c r="BE220" i="56"/>
  <c r="BD220" i="56"/>
  <c r="BC220" i="56"/>
  <c r="BB220" i="56"/>
  <c r="BA220" i="56"/>
  <c r="AZ220" i="56"/>
  <c r="AY220" i="56"/>
  <c r="AX220" i="56"/>
  <c r="AW220" i="56"/>
  <c r="S220" i="56"/>
  <c r="Q220" i="56"/>
  <c r="N220" i="56"/>
  <c r="L220" i="56"/>
  <c r="AJ219" i="56"/>
  <c r="AI219" i="56"/>
  <c r="AG219" i="56"/>
  <c r="AF219" i="56"/>
  <c r="AD219" i="56"/>
  <c r="AC219" i="56"/>
  <c r="AA219" i="56"/>
  <c r="Z219" i="56"/>
  <c r="O219" i="56"/>
  <c r="BS218" i="56"/>
  <c r="BR218" i="56"/>
  <c r="BQ218" i="56"/>
  <c r="BP218" i="56"/>
  <c r="BO218" i="56"/>
  <c r="BN218" i="56"/>
  <c r="BM218" i="56"/>
  <c r="BL218" i="56"/>
  <c r="BK218" i="56"/>
  <c r="BJ218" i="56"/>
  <c r="BI218" i="56"/>
  <c r="BH218" i="56"/>
  <c r="BG218" i="56"/>
  <c r="BF218" i="56"/>
  <c r="BE218" i="56"/>
  <c r="BD218" i="56"/>
  <c r="BC218" i="56"/>
  <c r="BB218" i="56"/>
  <c r="BA218" i="56"/>
  <c r="AZ218" i="56"/>
  <c r="AY218" i="56"/>
  <c r="AX218" i="56"/>
  <c r="AW218" i="56"/>
  <c r="X218" i="56"/>
  <c r="S218" i="56"/>
  <c r="R218" i="56"/>
  <c r="Q218" i="56"/>
  <c r="L218" i="56"/>
  <c r="O218" i="56" s="1"/>
  <c r="BG217" i="56"/>
  <c r="BE217" i="56"/>
  <c r="BE212" i="56" s="1"/>
  <c r="AJ217" i="56"/>
  <c r="AI217" i="56"/>
  <c r="AG217" i="56"/>
  <c r="AF217" i="56"/>
  <c r="AD217" i="56"/>
  <c r="AA217" i="56"/>
  <c r="Z217" i="56"/>
  <c r="O217" i="56"/>
  <c r="AJ216" i="56"/>
  <c r="AI216" i="56"/>
  <c r="AG216" i="56"/>
  <c r="AF216" i="56"/>
  <c r="AD216" i="56"/>
  <c r="AC216" i="56"/>
  <c r="AA216" i="56"/>
  <c r="Z216" i="56"/>
  <c r="O216" i="56"/>
  <c r="AJ215" i="56"/>
  <c r="AI215" i="56"/>
  <c r="AG215" i="56"/>
  <c r="AF215" i="56"/>
  <c r="AD215" i="56"/>
  <c r="AC215" i="56"/>
  <c r="AA215" i="56"/>
  <c r="Z215" i="56"/>
  <c r="O215" i="56"/>
  <c r="AJ214" i="56"/>
  <c r="AI214" i="56"/>
  <c r="AG214" i="56"/>
  <c r="AF214" i="56"/>
  <c r="AD214" i="56"/>
  <c r="AC214" i="56"/>
  <c r="AA214" i="56"/>
  <c r="Z214" i="56"/>
  <c r="O214" i="56"/>
  <c r="AI213" i="56"/>
  <c r="AJ213" i="56"/>
  <c r="AG213" i="56"/>
  <c r="AF213" i="56"/>
  <c r="AD213" i="56"/>
  <c r="AC213" i="56"/>
  <c r="AA213" i="56"/>
  <c r="Z213" i="56"/>
  <c r="L213" i="56"/>
  <c r="O213" i="56" s="1"/>
  <c r="BS212" i="56"/>
  <c r="BR212" i="56"/>
  <c r="BQ212" i="56"/>
  <c r="BP212" i="56"/>
  <c r="BN212" i="56"/>
  <c r="BM212" i="56"/>
  <c r="BL212" i="56"/>
  <c r="BK212" i="56"/>
  <c r="BJ212" i="56"/>
  <c r="BI212" i="56"/>
  <c r="BH212" i="56"/>
  <c r="BG212" i="56"/>
  <c r="BF212" i="56"/>
  <c r="BD212" i="56"/>
  <c r="BC212" i="56"/>
  <c r="BB212" i="56"/>
  <c r="BA212" i="56"/>
  <c r="AZ212" i="56"/>
  <c r="AY212" i="56"/>
  <c r="AX212" i="56"/>
  <c r="AW212" i="56"/>
  <c r="S212" i="56"/>
  <c r="R212" i="56"/>
  <c r="Q212" i="56"/>
  <c r="N212" i="56"/>
  <c r="M212" i="56"/>
  <c r="AJ211" i="56"/>
  <c r="AI211" i="56"/>
  <c r="AG211" i="56"/>
  <c r="AF211" i="56"/>
  <c r="AD211" i="56"/>
  <c r="AC211" i="56"/>
  <c r="AA211" i="56"/>
  <c r="Z211" i="56"/>
  <c r="O211" i="56"/>
  <c r="BT210" i="56"/>
  <c r="BS210" i="56"/>
  <c r="BR210" i="56"/>
  <c r="BQ210" i="56"/>
  <c r="BP210" i="56"/>
  <c r="BO210" i="56"/>
  <c r="BN210" i="56"/>
  <c r="BM210" i="56"/>
  <c r="BL210" i="56"/>
  <c r="BK210" i="56"/>
  <c r="BJ210" i="56"/>
  <c r="BI210" i="56"/>
  <c r="BH210" i="56"/>
  <c r="BG210" i="56"/>
  <c r="BF210" i="56"/>
  <c r="BE210" i="56"/>
  <c r="BD210" i="56"/>
  <c r="BC210" i="56"/>
  <c r="BB210" i="56"/>
  <c r="BA210" i="56"/>
  <c r="AZ210" i="56"/>
  <c r="AY210" i="56"/>
  <c r="AX210" i="56"/>
  <c r="AW210" i="56"/>
  <c r="S210" i="56"/>
  <c r="Q210" i="56"/>
  <c r="L210" i="56"/>
  <c r="O210" i="56" s="1"/>
  <c r="AJ209" i="56"/>
  <c r="AI209" i="56"/>
  <c r="AG209" i="56"/>
  <c r="AF209" i="56"/>
  <c r="AD209" i="56"/>
  <c r="AC209" i="56"/>
  <c r="AA209" i="56"/>
  <c r="Z209" i="56"/>
  <c r="O209" i="56"/>
  <c r="AJ208" i="56"/>
  <c r="AI208" i="56"/>
  <c r="AG208" i="56"/>
  <c r="AF208" i="56"/>
  <c r="AD208" i="56"/>
  <c r="AC208" i="56"/>
  <c r="AA208" i="56"/>
  <c r="Z208" i="56"/>
  <c r="O208" i="56"/>
  <c r="BT207" i="56"/>
  <c r="BS207" i="56"/>
  <c r="BR207" i="56"/>
  <c r="BQ207" i="56"/>
  <c r="BP207" i="56"/>
  <c r="BO207" i="56"/>
  <c r="BN207" i="56"/>
  <c r="BM207" i="56"/>
  <c r="BL207" i="56"/>
  <c r="BK207" i="56"/>
  <c r="BJ207" i="56"/>
  <c r="BI207" i="56"/>
  <c r="BH207" i="56"/>
  <c r="BG207" i="56"/>
  <c r="BF207" i="56"/>
  <c r="BE207" i="56"/>
  <c r="BD207" i="56"/>
  <c r="BC207" i="56"/>
  <c r="BB207" i="56"/>
  <c r="BA207" i="56"/>
  <c r="AZ207" i="56"/>
  <c r="AY207" i="56"/>
  <c r="AX207" i="56"/>
  <c r="AW207" i="56"/>
  <c r="S207" i="56"/>
  <c r="Q207" i="56"/>
  <c r="L207" i="56"/>
  <c r="O207" i="56" s="1"/>
  <c r="BS206" i="56"/>
  <c r="BS204" i="56" s="1"/>
  <c r="AJ206" i="56"/>
  <c r="AG206" i="56"/>
  <c r="AF206" i="56"/>
  <c r="AD206" i="56"/>
  <c r="AC206" i="56"/>
  <c r="AA206" i="56"/>
  <c r="Z206" i="56"/>
  <c r="L206" i="56"/>
  <c r="O206" i="56" s="1"/>
  <c r="AJ205" i="56"/>
  <c r="AI205" i="56"/>
  <c r="AG205" i="56"/>
  <c r="AF205" i="56"/>
  <c r="AD205" i="56"/>
  <c r="AC205" i="56"/>
  <c r="AA205" i="56"/>
  <c r="Z205" i="56"/>
  <c r="L205" i="56"/>
  <c r="BT204" i="56"/>
  <c r="BR204" i="56"/>
  <c r="BQ204" i="56"/>
  <c r="BP204" i="56"/>
  <c r="BO204" i="56"/>
  <c r="BN204" i="56"/>
  <c r="BM204" i="56"/>
  <c r="BL204" i="56"/>
  <c r="BK204" i="56"/>
  <c r="BJ204" i="56"/>
  <c r="BI204" i="56"/>
  <c r="BH204" i="56"/>
  <c r="BG204" i="56"/>
  <c r="BF204" i="56"/>
  <c r="BE204" i="56"/>
  <c r="BD204" i="56"/>
  <c r="BC204" i="56"/>
  <c r="BB204" i="56"/>
  <c r="BA204" i="56"/>
  <c r="AZ204" i="56"/>
  <c r="AY204" i="56"/>
  <c r="AX204" i="56"/>
  <c r="AW204" i="56"/>
  <c r="S204" i="56"/>
  <c r="Q204" i="56"/>
  <c r="M204" i="56"/>
  <c r="BS203" i="56"/>
  <c r="AJ203" i="56"/>
  <c r="AI203" i="56"/>
  <c r="AG203" i="56"/>
  <c r="AF203" i="56"/>
  <c r="AD203" i="56"/>
  <c r="AC203" i="56"/>
  <c r="AA203" i="56"/>
  <c r="Z203" i="56"/>
  <c r="O203" i="56"/>
  <c r="AJ202" i="56"/>
  <c r="AI202" i="56"/>
  <c r="AG202" i="56"/>
  <c r="AF202" i="56"/>
  <c r="AD202" i="56"/>
  <c r="AC202" i="56"/>
  <c r="AA202" i="56"/>
  <c r="Z202" i="56"/>
  <c r="O202" i="56"/>
  <c r="AJ201" i="56"/>
  <c r="AI201" i="56"/>
  <c r="AG201" i="56"/>
  <c r="AF201" i="56"/>
  <c r="AD201" i="56"/>
  <c r="AC201" i="56"/>
  <c r="AA201" i="56"/>
  <c r="Z201" i="56"/>
  <c r="O201" i="56"/>
  <c r="BS200" i="56"/>
  <c r="BS199" i="56" s="1"/>
  <c r="AF200" i="56"/>
  <c r="BC200" i="56"/>
  <c r="AC200" i="56" s="1"/>
  <c r="AJ200" i="56"/>
  <c r="AG200" i="56"/>
  <c r="AD200" i="56"/>
  <c r="AA200" i="56"/>
  <c r="Z200" i="56"/>
  <c r="O200" i="56"/>
  <c r="BT199" i="56"/>
  <c r="BR199" i="56"/>
  <c r="BQ199" i="56"/>
  <c r="BP199" i="56"/>
  <c r="BO199" i="56"/>
  <c r="BN199" i="56"/>
  <c r="BM199" i="56"/>
  <c r="BL199" i="56"/>
  <c r="BK199" i="56"/>
  <c r="BJ199" i="56"/>
  <c r="BI199" i="56"/>
  <c r="BH199" i="56"/>
  <c r="BG199" i="56"/>
  <c r="BF199" i="56"/>
  <c r="BE199" i="56"/>
  <c r="BD199" i="56"/>
  <c r="BB199" i="56"/>
  <c r="BA199" i="56"/>
  <c r="AZ199" i="56"/>
  <c r="AY199" i="56"/>
  <c r="AX199" i="56"/>
  <c r="AW199" i="56"/>
  <c r="S199" i="56"/>
  <c r="Q199" i="56"/>
  <c r="L199" i="56"/>
  <c r="AJ198" i="56"/>
  <c r="AI198" i="56"/>
  <c r="AG198" i="56"/>
  <c r="AF198" i="56"/>
  <c r="AD198" i="56"/>
  <c r="AC198" i="56"/>
  <c r="AA198" i="56"/>
  <c r="Z198" i="56"/>
  <c r="O198" i="56"/>
  <c r="AJ197" i="56"/>
  <c r="AG197" i="56"/>
  <c r="AF197" i="56"/>
  <c r="AD197" i="56"/>
  <c r="AC197" i="56"/>
  <c r="AA197" i="56"/>
  <c r="Z197" i="56"/>
  <c r="L197" i="56"/>
  <c r="AJ196" i="56"/>
  <c r="AI196" i="56"/>
  <c r="AG196" i="56"/>
  <c r="AF196" i="56"/>
  <c r="AD196" i="56"/>
  <c r="AC196" i="56"/>
  <c r="AA196" i="56"/>
  <c r="Z196" i="56"/>
  <c r="O196" i="56"/>
  <c r="AJ195" i="56"/>
  <c r="AI195" i="56"/>
  <c r="AG195" i="56"/>
  <c r="AF195" i="56"/>
  <c r="AD195" i="56"/>
  <c r="AC195" i="56"/>
  <c r="AA195" i="56"/>
  <c r="Z195" i="56"/>
  <c r="L195" i="56"/>
  <c r="O195" i="56" s="1"/>
  <c r="AJ194" i="56"/>
  <c r="AI194" i="56"/>
  <c r="AG194" i="56"/>
  <c r="AF194" i="56"/>
  <c r="AD194" i="56"/>
  <c r="AC194" i="56"/>
  <c r="AA194" i="56"/>
  <c r="Z194" i="56"/>
  <c r="O194" i="56"/>
  <c r="BT193" i="56"/>
  <c r="BS193" i="56"/>
  <c r="BR193" i="56"/>
  <c r="BQ193" i="56"/>
  <c r="BP193" i="56"/>
  <c r="BO193" i="56"/>
  <c r="BN193" i="56"/>
  <c r="BM193" i="56"/>
  <c r="BL193" i="56"/>
  <c r="BK193" i="56"/>
  <c r="BJ193" i="56"/>
  <c r="BI193" i="56"/>
  <c r="BH193" i="56"/>
  <c r="BG193" i="56"/>
  <c r="BF193" i="56"/>
  <c r="BE193" i="56"/>
  <c r="BD193" i="56"/>
  <c r="BC193" i="56"/>
  <c r="BB193" i="56"/>
  <c r="BA193" i="56"/>
  <c r="AZ193" i="56"/>
  <c r="AY193" i="56"/>
  <c r="AX193" i="56"/>
  <c r="AW193" i="56"/>
  <c r="S193" i="56"/>
  <c r="Q193" i="56"/>
  <c r="N193" i="56"/>
  <c r="L193" i="56"/>
  <c r="AJ192" i="56"/>
  <c r="AI192" i="56"/>
  <c r="AG192" i="56"/>
  <c r="AF192" i="56"/>
  <c r="AD192" i="56"/>
  <c r="AC192" i="56"/>
  <c r="AA192" i="56"/>
  <c r="Z192" i="56"/>
  <c r="L192" i="56"/>
  <c r="BT191" i="56"/>
  <c r="BS191" i="56"/>
  <c r="BR191" i="56"/>
  <c r="BQ191" i="56"/>
  <c r="BP191" i="56"/>
  <c r="BO191" i="56"/>
  <c r="BN191" i="56"/>
  <c r="BM191" i="56"/>
  <c r="BL191" i="56"/>
  <c r="BK191" i="56"/>
  <c r="BJ191" i="56"/>
  <c r="BI191" i="56"/>
  <c r="BH191" i="56"/>
  <c r="BG191" i="56"/>
  <c r="BF191" i="56"/>
  <c r="BE191" i="56"/>
  <c r="BD191" i="56"/>
  <c r="BC191" i="56"/>
  <c r="BB191" i="56"/>
  <c r="BA191" i="56"/>
  <c r="AZ191" i="56"/>
  <c r="AY191" i="56"/>
  <c r="AX191" i="56"/>
  <c r="AW191" i="56"/>
  <c r="S191" i="56"/>
  <c r="Q191" i="56"/>
  <c r="AJ190" i="56"/>
  <c r="AI190" i="56"/>
  <c r="AG190" i="56"/>
  <c r="AF190" i="56"/>
  <c r="AD190" i="56"/>
  <c r="AC190" i="56"/>
  <c r="AA190" i="56"/>
  <c r="Z190" i="56"/>
  <c r="L190" i="56"/>
  <c r="O190" i="56" s="1"/>
  <c r="AT189" i="56"/>
  <c r="AS189" i="56"/>
  <c r="AV189" i="56" s="1"/>
  <c r="AR189" i="56"/>
  <c r="AJ186" i="56"/>
  <c r="AI186" i="56"/>
  <c r="AG186" i="56"/>
  <c r="AF186" i="56"/>
  <c r="AD186" i="56"/>
  <c r="AC186" i="56"/>
  <c r="AA186" i="56"/>
  <c r="Z186" i="56"/>
  <c r="T184" i="56"/>
  <c r="S184" i="56"/>
  <c r="R184" i="56"/>
  <c r="Q184" i="56"/>
  <c r="P184" i="56"/>
  <c r="N184" i="56"/>
  <c r="M184" i="56"/>
  <c r="L184" i="56"/>
  <c r="AJ183" i="56"/>
  <c r="AI183" i="56"/>
  <c r="AG183" i="56"/>
  <c r="AF183" i="56"/>
  <c r="AD183" i="56"/>
  <c r="AC183" i="56"/>
  <c r="AA183" i="56"/>
  <c r="Z183" i="56"/>
  <c r="O183" i="56"/>
  <c r="BT182" i="56"/>
  <c r="BS182" i="56"/>
  <c r="BR182" i="56"/>
  <c r="BQ182" i="56"/>
  <c r="BP182" i="56"/>
  <c r="BO182" i="56"/>
  <c r="BN182" i="56"/>
  <c r="BM182" i="56"/>
  <c r="BL182" i="56"/>
  <c r="BK182" i="56"/>
  <c r="BJ182" i="56"/>
  <c r="BI182" i="56"/>
  <c r="BH182" i="56"/>
  <c r="BG182" i="56"/>
  <c r="BF182" i="56"/>
  <c r="BE182" i="56"/>
  <c r="BD182" i="56"/>
  <c r="BC182" i="56"/>
  <c r="BB182" i="56"/>
  <c r="BA182" i="56"/>
  <c r="AZ182" i="56"/>
  <c r="AY182" i="56"/>
  <c r="AX182" i="56"/>
  <c r="AW182" i="56"/>
  <c r="O182" i="56"/>
  <c r="O184" i="56" s="1"/>
  <c r="AV181" i="56"/>
  <c r="X179" i="56"/>
  <c r="AJ178" i="56"/>
  <c r="AI178" i="56"/>
  <c r="AG178" i="56"/>
  <c r="AF178" i="56"/>
  <c r="AD178" i="56"/>
  <c r="AC178" i="56"/>
  <c r="AA178" i="56"/>
  <c r="Z178" i="56"/>
  <c r="AL177" i="56"/>
  <c r="AK177" i="56"/>
  <c r="AJ177" i="56"/>
  <c r="AI177" i="56"/>
  <c r="AH177" i="56"/>
  <c r="AG177" i="56"/>
  <c r="AF177" i="56"/>
  <c r="AE177" i="56"/>
  <c r="AD177" i="56"/>
  <c r="AC177" i="56"/>
  <c r="AC181" i="56" s="1"/>
  <c r="AB177" i="56"/>
  <c r="AA177" i="56"/>
  <c r="Z177" i="56"/>
  <c r="Z181" i="56" s="1"/>
  <c r="U177" i="56"/>
  <c r="T177" i="56"/>
  <c r="M177" i="56"/>
  <c r="AJ176" i="56"/>
  <c r="AI176" i="56"/>
  <c r="AG176" i="56"/>
  <c r="AF176" i="56"/>
  <c r="AD176" i="56"/>
  <c r="AC176" i="56"/>
  <c r="AA176" i="56"/>
  <c r="Z176" i="56"/>
  <c r="O176" i="56"/>
  <c r="BT175" i="56"/>
  <c r="BS175" i="56"/>
  <c r="BR175" i="56"/>
  <c r="BQ175" i="56"/>
  <c r="BP175" i="56"/>
  <c r="BO175" i="56"/>
  <c r="BN175" i="56"/>
  <c r="BM175" i="56"/>
  <c r="BL175" i="56"/>
  <c r="BK175" i="56"/>
  <c r="BJ175" i="56"/>
  <c r="BI175" i="56"/>
  <c r="BH175" i="56"/>
  <c r="BG175" i="56"/>
  <c r="BF175" i="56"/>
  <c r="BE175" i="56"/>
  <c r="BD175" i="56"/>
  <c r="BC175" i="56"/>
  <c r="BB175" i="56"/>
  <c r="BA175" i="56"/>
  <c r="AZ175" i="56"/>
  <c r="AY175" i="56"/>
  <c r="AX175" i="56"/>
  <c r="AW175" i="56"/>
  <c r="N175" i="56"/>
  <c r="L175" i="56"/>
  <c r="AJ174" i="56"/>
  <c r="AI174" i="56"/>
  <c r="AG174" i="56"/>
  <c r="AF174" i="56"/>
  <c r="AD174" i="56"/>
  <c r="AC174" i="56"/>
  <c r="AA174" i="56"/>
  <c r="Z174" i="56"/>
  <c r="O174" i="56"/>
  <c r="BT173" i="56"/>
  <c r="BS173" i="56"/>
  <c r="BR173" i="56"/>
  <c r="BQ173" i="56"/>
  <c r="BP173" i="56"/>
  <c r="BO173" i="56"/>
  <c r="BN173" i="56"/>
  <c r="BM173" i="56"/>
  <c r="BL173" i="56"/>
  <c r="BK173" i="56"/>
  <c r="BJ173" i="56"/>
  <c r="BI173" i="56"/>
  <c r="BH173" i="56"/>
  <c r="BG173" i="56"/>
  <c r="BF173" i="56"/>
  <c r="BE173" i="56"/>
  <c r="BD173" i="56"/>
  <c r="BC173" i="56"/>
  <c r="BB173" i="56"/>
  <c r="BA173" i="56"/>
  <c r="AZ173" i="56"/>
  <c r="AY173" i="56"/>
  <c r="AX173" i="56"/>
  <c r="AW173" i="56"/>
  <c r="N173" i="56"/>
  <c r="L173" i="56"/>
  <c r="AJ172" i="56"/>
  <c r="AI172" i="56"/>
  <c r="AG172" i="56"/>
  <c r="AF172" i="56"/>
  <c r="AD172" i="56"/>
  <c r="AC172" i="56"/>
  <c r="AA172" i="56"/>
  <c r="Z172" i="56"/>
  <c r="O172" i="56"/>
  <c r="BT171" i="56"/>
  <c r="BS171" i="56"/>
  <c r="BR171" i="56"/>
  <c r="BQ171" i="56"/>
  <c r="BP171" i="56"/>
  <c r="BO171" i="56"/>
  <c r="BN171" i="56"/>
  <c r="BM171" i="56"/>
  <c r="BL171" i="56"/>
  <c r="BK171" i="56"/>
  <c r="BJ171" i="56"/>
  <c r="BI171" i="56"/>
  <c r="BH171" i="56"/>
  <c r="BG171" i="56"/>
  <c r="BF171" i="56"/>
  <c r="BE171" i="56"/>
  <c r="BD171" i="56"/>
  <c r="BC171" i="56"/>
  <c r="BB171" i="56"/>
  <c r="BA171" i="56"/>
  <c r="AZ171" i="56"/>
  <c r="AY171" i="56"/>
  <c r="AX171" i="56"/>
  <c r="AW171" i="56"/>
  <c r="N171" i="56"/>
  <c r="L171" i="56"/>
  <c r="AJ170" i="56"/>
  <c r="AI170" i="56"/>
  <c r="AG170" i="56"/>
  <c r="AF170" i="56"/>
  <c r="AD170" i="56"/>
  <c r="AC170" i="56"/>
  <c r="AA170" i="56"/>
  <c r="Z170" i="56"/>
  <c r="P170" i="56"/>
  <c r="O170" i="56"/>
  <c r="AJ169" i="56"/>
  <c r="AI169" i="56"/>
  <c r="AG169" i="56"/>
  <c r="AF169" i="56"/>
  <c r="AD169" i="56"/>
  <c r="AC169" i="56"/>
  <c r="AA169" i="56"/>
  <c r="Z169" i="56"/>
  <c r="L169" i="56"/>
  <c r="O169" i="56" s="1"/>
  <c r="AJ168" i="56"/>
  <c r="AI168" i="56"/>
  <c r="AG168" i="56"/>
  <c r="AF168" i="56"/>
  <c r="AD168" i="56"/>
  <c r="AC168" i="56"/>
  <c r="AA168" i="56"/>
  <c r="Z168" i="56"/>
  <c r="O168" i="56"/>
  <c r="AJ167" i="56"/>
  <c r="AI167" i="56"/>
  <c r="AG167" i="56"/>
  <c r="AF167" i="56"/>
  <c r="AD167" i="56"/>
  <c r="AC167" i="56"/>
  <c r="AA167" i="56"/>
  <c r="Z167" i="56"/>
  <c r="O167" i="56"/>
  <c r="AJ166" i="56"/>
  <c r="AI166" i="56"/>
  <c r="AG166" i="56"/>
  <c r="AF166" i="56"/>
  <c r="AD166" i="56"/>
  <c r="AC166" i="56"/>
  <c r="AA166" i="56"/>
  <c r="Z166" i="56"/>
  <c r="O166" i="56"/>
  <c r="BC165" i="56"/>
  <c r="AC165" i="56" s="1"/>
  <c r="AJ165" i="56"/>
  <c r="AI165" i="56"/>
  <c r="AG165" i="56"/>
  <c r="AF165" i="56"/>
  <c r="AD165" i="56"/>
  <c r="AA165" i="56"/>
  <c r="Z165" i="56"/>
  <c r="L165" i="56"/>
  <c r="O165" i="56" s="1"/>
  <c r="BT164" i="56"/>
  <c r="AW164" i="56"/>
  <c r="S164" i="56"/>
  <c r="R164" i="56"/>
  <c r="Q164" i="56"/>
  <c r="N164" i="56"/>
  <c r="AJ163" i="56"/>
  <c r="AI163" i="56"/>
  <c r="AG163" i="56"/>
  <c r="AF163" i="56"/>
  <c r="AD163" i="56"/>
  <c r="AC163" i="56"/>
  <c r="AA163" i="56"/>
  <c r="Z163" i="56"/>
  <c r="O163" i="56"/>
  <c r="AJ162" i="56"/>
  <c r="AI162" i="56"/>
  <c r="AG162" i="56"/>
  <c r="AF162" i="56"/>
  <c r="AD162" i="56"/>
  <c r="AC162" i="56"/>
  <c r="AA162" i="56"/>
  <c r="Z162" i="56"/>
  <c r="O162" i="56"/>
  <c r="BT161" i="56"/>
  <c r="BS161" i="56"/>
  <c r="BR161" i="56"/>
  <c r="BQ161" i="56"/>
  <c r="BP161" i="56"/>
  <c r="BO161" i="56"/>
  <c r="BN161" i="56"/>
  <c r="BM161" i="56"/>
  <c r="BL161" i="56"/>
  <c r="BK161" i="56"/>
  <c r="BJ161" i="56"/>
  <c r="BI161" i="56"/>
  <c r="BH161" i="56"/>
  <c r="BG161" i="56"/>
  <c r="BF161" i="56"/>
  <c r="BE161" i="56"/>
  <c r="BD161" i="56"/>
  <c r="BC161" i="56"/>
  <c r="BB161" i="56"/>
  <c r="BA161" i="56"/>
  <c r="AZ161" i="56"/>
  <c r="AY161" i="56"/>
  <c r="AX161" i="56"/>
  <c r="AW161" i="56"/>
  <c r="O161" i="56"/>
  <c r="AJ160" i="56"/>
  <c r="AI160" i="56"/>
  <c r="AG160" i="56"/>
  <c r="AF160" i="56"/>
  <c r="AD160" i="56"/>
  <c r="AC160" i="56"/>
  <c r="AA160" i="56"/>
  <c r="Z160" i="56"/>
  <c r="O160" i="56"/>
  <c r="AJ159" i="56"/>
  <c r="AI159" i="56"/>
  <c r="AG159" i="56"/>
  <c r="AF159" i="56"/>
  <c r="AD159" i="56"/>
  <c r="AC159" i="56"/>
  <c r="AA159" i="56"/>
  <c r="Z159" i="56"/>
  <c r="O159" i="56"/>
  <c r="BT158" i="56"/>
  <c r="BS158" i="56"/>
  <c r="BR158" i="56"/>
  <c r="BQ158" i="56"/>
  <c r="BP158" i="56"/>
  <c r="BO158" i="56"/>
  <c r="BN158" i="56"/>
  <c r="BM158" i="56"/>
  <c r="BL158" i="56"/>
  <c r="BK158" i="56"/>
  <c r="BJ158" i="56"/>
  <c r="BI158" i="56"/>
  <c r="BH158" i="56"/>
  <c r="BG158" i="56"/>
  <c r="BF158" i="56"/>
  <c r="BE158" i="56"/>
  <c r="BD158" i="56"/>
  <c r="BC158" i="56"/>
  <c r="BB158" i="56"/>
  <c r="BA158" i="56"/>
  <c r="AZ158" i="56"/>
  <c r="AY158" i="56"/>
  <c r="AX158" i="56"/>
  <c r="AW158" i="56"/>
  <c r="O158" i="56"/>
  <c r="AJ157" i="56"/>
  <c r="AI157" i="56"/>
  <c r="AG157" i="56"/>
  <c r="AF157" i="56"/>
  <c r="AD157" i="56"/>
  <c r="AC157" i="56"/>
  <c r="AA157" i="56"/>
  <c r="Z157" i="56"/>
  <c r="O157" i="56"/>
  <c r="AJ156" i="56"/>
  <c r="AI156" i="56"/>
  <c r="AG156" i="56"/>
  <c r="AF156" i="56"/>
  <c r="AD156" i="56"/>
  <c r="AC156" i="56"/>
  <c r="AA156" i="56"/>
  <c r="Z156" i="56"/>
  <c r="O156" i="56"/>
  <c r="BT155" i="56"/>
  <c r="BS155" i="56"/>
  <c r="BR155" i="56"/>
  <c r="BQ155" i="56"/>
  <c r="BP155" i="56"/>
  <c r="BO155" i="56"/>
  <c r="BN155" i="56"/>
  <c r="BM155" i="56"/>
  <c r="BL155" i="56"/>
  <c r="BK155" i="56"/>
  <c r="BJ155" i="56"/>
  <c r="BI155" i="56"/>
  <c r="BH155" i="56"/>
  <c r="BG155" i="56"/>
  <c r="BF155" i="56"/>
  <c r="BE155" i="56"/>
  <c r="BD155" i="56"/>
  <c r="BC155" i="56"/>
  <c r="BB155" i="56"/>
  <c r="BA155" i="56"/>
  <c r="AZ155" i="56"/>
  <c r="AY155" i="56"/>
  <c r="AX155" i="56"/>
  <c r="AW155" i="56"/>
  <c r="O155" i="56"/>
  <c r="AJ154" i="56"/>
  <c r="AI154" i="56"/>
  <c r="AG154" i="56"/>
  <c r="AF154" i="56"/>
  <c r="AD154" i="56"/>
  <c r="AC154" i="56"/>
  <c r="AA154" i="56"/>
  <c r="Z154" i="56"/>
  <c r="O154" i="56"/>
  <c r="AJ151" i="56"/>
  <c r="AI151" i="56"/>
  <c r="AG151" i="56"/>
  <c r="AF151" i="56"/>
  <c r="AD151" i="56"/>
  <c r="AC151" i="56"/>
  <c r="AA151" i="56"/>
  <c r="Z151" i="56"/>
  <c r="BT150" i="56"/>
  <c r="BS150" i="56"/>
  <c r="BR150" i="56"/>
  <c r="BQ150" i="56"/>
  <c r="BP150" i="56"/>
  <c r="BO150" i="56"/>
  <c r="BN150" i="56"/>
  <c r="BM150" i="56"/>
  <c r="BL150" i="56"/>
  <c r="BK150" i="56"/>
  <c r="BJ150" i="56"/>
  <c r="BI150" i="56"/>
  <c r="BH150" i="56"/>
  <c r="BG150" i="56"/>
  <c r="BF150" i="56"/>
  <c r="BE150" i="56"/>
  <c r="BD150" i="56"/>
  <c r="BC150" i="56"/>
  <c r="BB150" i="56"/>
  <c r="BA150" i="56"/>
  <c r="AZ150" i="56"/>
  <c r="AY150" i="56"/>
  <c r="AX150" i="56"/>
  <c r="AW150" i="56"/>
  <c r="O150" i="56"/>
  <c r="AJ149" i="56"/>
  <c r="AI149" i="56"/>
  <c r="AG149" i="56"/>
  <c r="AF149" i="56"/>
  <c r="AD149" i="56"/>
  <c r="AC149" i="56"/>
  <c r="AA149" i="56"/>
  <c r="Z149" i="56"/>
  <c r="O149" i="56"/>
  <c r="AJ146" i="56"/>
  <c r="AI146" i="56"/>
  <c r="AG146" i="56"/>
  <c r="AF146" i="56"/>
  <c r="AD146" i="56"/>
  <c r="AC146" i="56"/>
  <c r="AA146" i="56"/>
  <c r="Z146" i="56"/>
  <c r="O146" i="56"/>
  <c r="AJ145" i="56"/>
  <c r="AI145" i="56"/>
  <c r="AG145" i="56"/>
  <c r="AF145" i="56"/>
  <c r="AD145" i="56"/>
  <c r="AC145" i="56"/>
  <c r="AA145" i="56"/>
  <c r="Z145" i="56"/>
  <c r="O145" i="56"/>
  <c r="AJ144" i="56"/>
  <c r="AI144" i="56"/>
  <c r="AG144" i="56"/>
  <c r="AF144" i="56"/>
  <c r="AD144" i="56"/>
  <c r="AC144" i="56"/>
  <c r="AA144" i="56"/>
  <c r="Z144" i="56"/>
  <c r="O144" i="56"/>
  <c r="AJ143" i="56"/>
  <c r="AI143" i="56"/>
  <c r="AG143" i="56"/>
  <c r="AF143" i="56"/>
  <c r="AD143" i="56"/>
  <c r="AC143" i="56"/>
  <c r="AA143" i="56"/>
  <c r="Z143" i="56"/>
  <c r="O143" i="56"/>
  <c r="AJ142" i="56"/>
  <c r="AI142" i="56"/>
  <c r="AG142" i="56"/>
  <c r="AF142" i="56"/>
  <c r="AD142" i="56"/>
  <c r="AC142" i="56"/>
  <c r="AA142" i="56"/>
  <c r="Z142" i="56"/>
  <c r="O142" i="56"/>
  <c r="AJ141" i="56"/>
  <c r="AI141" i="56"/>
  <c r="AG141" i="56"/>
  <c r="AF141" i="56"/>
  <c r="AD141" i="56"/>
  <c r="AC141" i="56"/>
  <c r="AA141" i="56"/>
  <c r="Z141" i="56"/>
  <c r="O141" i="56"/>
  <c r="AJ140" i="56"/>
  <c r="AI140" i="56"/>
  <c r="AG140" i="56"/>
  <c r="AF140" i="56"/>
  <c r="AD140" i="56"/>
  <c r="AC140" i="56"/>
  <c r="AA140" i="56"/>
  <c r="Z140" i="56"/>
  <c r="O140" i="56"/>
  <c r="AJ139" i="56"/>
  <c r="AI139" i="56"/>
  <c r="AG139" i="56"/>
  <c r="AF139" i="56"/>
  <c r="AD139" i="56"/>
  <c r="AC139" i="56"/>
  <c r="AA139" i="56"/>
  <c r="Z139" i="56"/>
  <c r="O139" i="56"/>
  <c r="AJ138" i="56"/>
  <c r="AI138" i="56"/>
  <c r="AG138" i="56"/>
  <c r="AF138" i="56"/>
  <c r="AD138" i="56"/>
  <c r="AC138" i="56"/>
  <c r="AA138" i="56"/>
  <c r="Z138" i="56"/>
  <c r="O138" i="56"/>
  <c r="AJ137" i="56"/>
  <c r="AI137" i="56"/>
  <c r="AG137" i="56"/>
  <c r="AF137" i="56"/>
  <c r="AD137" i="56"/>
  <c r="AC137" i="56"/>
  <c r="AA137" i="56"/>
  <c r="Z137" i="56"/>
  <c r="O137" i="56"/>
  <c r="AJ136" i="56"/>
  <c r="AI136" i="56"/>
  <c r="AG136" i="56"/>
  <c r="AF136" i="56"/>
  <c r="AD136" i="56"/>
  <c r="AC136" i="56"/>
  <c r="AA136" i="56"/>
  <c r="Z136" i="56"/>
  <c r="O136" i="56"/>
  <c r="AJ135" i="56"/>
  <c r="AI135" i="56"/>
  <c r="AG135" i="56"/>
  <c r="AF135" i="56"/>
  <c r="AD135" i="56"/>
  <c r="AC135" i="56"/>
  <c r="AA135" i="56"/>
  <c r="Z135" i="56"/>
  <c r="L135" i="56"/>
  <c r="O135" i="56" s="1"/>
  <c r="BT134" i="56"/>
  <c r="AW134" i="56"/>
  <c r="S134" i="56"/>
  <c r="S119" i="56" s="1"/>
  <c r="Q134" i="56"/>
  <c r="Q119" i="56" s="1"/>
  <c r="O134" i="56"/>
  <c r="AJ133" i="56"/>
  <c r="AI133" i="56"/>
  <c r="AG133" i="56"/>
  <c r="AF133" i="56"/>
  <c r="AD133" i="56"/>
  <c r="AC133" i="56"/>
  <c r="AA133" i="56"/>
  <c r="Z133" i="56"/>
  <c r="O133" i="56"/>
  <c r="AJ132" i="56"/>
  <c r="AI132" i="56"/>
  <c r="AG132" i="56"/>
  <c r="AF132" i="56"/>
  <c r="AD132" i="56"/>
  <c r="AC132" i="56"/>
  <c r="AA132" i="56"/>
  <c r="Z132" i="56"/>
  <c r="O132" i="56"/>
  <c r="AJ131" i="56"/>
  <c r="AI131" i="56"/>
  <c r="AG131" i="56"/>
  <c r="AF131" i="56"/>
  <c r="AD131" i="56"/>
  <c r="AC131" i="56"/>
  <c r="AA131" i="56"/>
  <c r="Z131" i="56"/>
  <c r="O131" i="56"/>
  <c r="AJ130" i="56"/>
  <c r="AI130" i="56"/>
  <c r="AG130" i="56"/>
  <c r="AF130" i="56"/>
  <c r="AD130" i="56"/>
  <c r="AC130" i="56"/>
  <c r="AA130" i="56"/>
  <c r="Z130" i="56"/>
  <c r="O130" i="56"/>
  <c r="AJ129" i="56"/>
  <c r="AI129" i="56"/>
  <c r="AG129" i="56"/>
  <c r="AF129" i="56"/>
  <c r="AD129" i="56"/>
  <c r="AC129" i="56"/>
  <c r="AA129" i="56"/>
  <c r="Z129" i="56"/>
  <c r="O129" i="56"/>
  <c r="AJ128" i="56"/>
  <c r="AI128" i="56"/>
  <c r="AG128" i="56"/>
  <c r="AF128" i="56"/>
  <c r="AD128" i="56"/>
  <c r="AC128" i="56"/>
  <c r="AA128" i="56"/>
  <c r="Z128" i="56"/>
  <c r="O128" i="56"/>
  <c r="AJ127" i="56"/>
  <c r="AI127" i="56"/>
  <c r="AG127" i="56"/>
  <c r="AF127" i="56"/>
  <c r="AD127" i="56"/>
  <c r="AC127" i="56"/>
  <c r="AA127" i="56"/>
  <c r="Z127" i="56"/>
  <c r="O127" i="56"/>
  <c r="AJ126" i="56"/>
  <c r="AI126" i="56"/>
  <c r="AG126" i="56"/>
  <c r="AF126" i="56"/>
  <c r="AD126" i="56"/>
  <c r="AC126" i="56"/>
  <c r="AA126" i="56"/>
  <c r="Z126" i="56"/>
  <c r="O126" i="56"/>
  <c r="AJ125" i="56"/>
  <c r="AI125" i="56"/>
  <c r="AG125" i="56"/>
  <c r="AF125" i="56"/>
  <c r="AD125" i="56"/>
  <c r="AC125" i="56"/>
  <c r="AA125" i="56"/>
  <c r="Z125" i="56"/>
  <c r="L125" i="56"/>
  <c r="AJ124" i="56"/>
  <c r="AI124" i="56"/>
  <c r="AG124" i="56"/>
  <c r="AF124" i="56"/>
  <c r="AD124" i="56"/>
  <c r="AC124" i="56"/>
  <c r="AA124" i="56"/>
  <c r="Z124" i="56"/>
  <c r="O124" i="56"/>
  <c r="AJ123" i="56"/>
  <c r="AI123" i="56"/>
  <c r="AG123" i="56"/>
  <c r="AF123" i="56"/>
  <c r="AD123" i="56"/>
  <c r="AC123" i="56"/>
  <c r="AA123" i="56"/>
  <c r="Z123" i="56"/>
  <c r="O123" i="56"/>
  <c r="AJ122" i="56"/>
  <c r="AI122" i="56"/>
  <c r="AG122" i="56"/>
  <c r="AF122" i="56"/>
  <c r="AD122" i="56"/>
  <c r="AC122" i="56"/>
  <c r="AA122" i="56"/>
  <c r="Z122" i="56"/>
  <c r="O122" i="56"/>
  <c r="AJ121" i="56"/>
  <c r="AI121" i="56"/>
  <c r="AG121" i="56"/>
  <c r="AF121" i="56"/>
  <c r="AD121" i="56"/>
  <c r="AC121" i="56"/>
  <c r="AA121" i="56"/>
  <c r="Z121" i="56"/>
  <c r="O121" i="56"/>
  <c r="BT120" i="56"/>
  <c r="BS120" i="56"/>
  <c r="BR120" i="56"/>
  <c r="BQ120" i="56"/>
  <c r="BP120" i="56"/>
  <c r="BO120" i="56"/>
  <c r="BN120" i="56"/>
  <c r="BM120" i="56"/>
  <c r="BL120" i="56"/>
  <c r="BK120" i="56"/>
  <c r="BJ120" i="56"/>
  <c r="BI120" i="56"/>
  <c r="BH120" i="56"/>
  <c r="BG120" i="56"/>
  <c r="BF120" i="56"/>
  <c r="BE120" i="56"/>
  <c r="BD120" i="56"/>
  <c r="BC120" i="56"/>
  <c r="BB120" i="56"/>
  <c r="BA120" i="56"/>
  <c r="AZ120" i="56"/>
  <c r="AY120" i="56"/>
  <c r="AX120" i="56"/>
  <c r="AW120" i="56"/>
  <c r="L120" i="56"/>
  <c r="O120" i="56" s="1"/>
  <c r="R119" i="56"/>
  <c r="O119" i="56"/>
  <c r="AJ118" i="56"/>
  <c r="AI118" i="56"/>
  <c r="AG118" i="56"/>
  <c r="AF118" i="56"/>
  <c r="AD118" i="56"/>
  <c r="AC118" i="56"/>
  <c r="AA118" i="56"/>
  <c r="Z118" i="56"/>
  <c r="O118" i="56"/>
  <c r="AJ117" i="56"/>
  <c r="AI117" i="56"/>
  <c r="AG117" i="56"/>
  <c r="AF117" i="56"/>
  <c r="AD117" i="56"/>
  <c r="AC117" i="56"/>
  <c r="AA117" i="56"/>
  <c r="Z117" i="56"/>
  <c r="O117" i="56"/>
  <c r="AJ116" i="56"/>
  <c r="AI116" i="56"/>
  <c r="AG116" i="56"/>
  <c r="AF116" i="56"/>
  <c r="AD116" i="56"/>
  <c r="AC116" i="56"/>
  <c r="AA116" i="56"/>
  <c r="Z116" i="56"/>
  <c r="O116" i="56"/>
  <c r="AJ115" i="56"/>
  <c r="AI115" i="56"/>
  <c r="AG115" i="56"/>
  <c r="AF115" i="56"/>
  <c r="AD115" i="56"/>
  <c r="AC115" i="56"/>
  <c r="AA115" i="56"/>
  <c r="Z115" i="56"/>
  <c r="O115" i="56"/>
  <c r="BT114" i="56"/>
  <c r="BS114" i="56"/>
  <c r="BR114" i="56"/>
  <c r="BQ114" i="56"/>
  <c r="BP114" i="56"/>
  <c r="BO114" i="56"/>
  <c r="BN114" i="56"/>
  <c r="BM114" i="56"/>
  <c r="BL114" i="56"/>
  <c r="BK114" i="56"/>
  <c r="BJ114" i="56"/>
  <c r="BI114" i="56"/>
  <c r="BH114" i="56"/>
  <c r="BG114" i="56"/>
  <c r="BF114" i="56"/>
  <c r="BE114" i="56"/>
  <c r="BD114" i="56"/>
  <c r="BC114" i="56"/>
  <c r="BB114" i="56"/>
  <c r="BA114" i="56"/>
  <c r="AZ114" i="56"/>
  <c r="AY114" i="56"/>
  <c r="AX114" i="56"/>
  <c r="AW114" i="56"/>
  <c r="O114" i="56"/>
  <c r="AJ113" i="56"/>
  <c r="AI113" i="56"/>
  <c r="AG113" i="56"/>
  <c r="AF113" i="56"/>
  <c r="AD113" i="56"/>
  <c r="AC113" i="56"/>
  <c r="AA113" i="56"/>
  <c r="Z113" i="56"/>
  <c r="O113" i="56"/>
  <c r="AJ112" i="56"/>
  <c r="AI112" i="56"/>
  <c r="AG112" i="56"/>
  <c r="AF112" i="56"/>
  <c r="AD112" i="56"/>
  <c r="AC112" i="56"/>
  <c r="AA112" i="56"/>
  <c r="Z112" i="56"/>
  <c r="O112" i="56"/>
  <c r="AJ111" i="56"/>
  <c r="AI111" i="56"/>
  <c r="AG111" i="56"/>
  <c r="AF111" i="56"/>
  <c r="AD111" i="56"/>
  <c r="AC111" i="56"/>
  <c r="AA111" i="56"/>
  <c r="Z111" i="56"/>
  <c r="O111" i="56"/>
  <c r="BT110" i="56"/>
  <c r="BS110" i="56"/>
  <c r="BR110" i="56"/>
  <c r="BQ110" i="56"/>
  <c r="BP110" i="56"/>
  <c r="BO110" i="56"/>
  <c r="BN110" i="56"/>
  <c r="BM110" i="56"/>
  <c r="BL110" i="56"/>
  <c r="BK110" i="56"/>
  <c r="BJ110" i="56"/>
  <c r="BI110" i="56"/>
  <c r="BH110" i="56"/>
  <c r="BG110" i="56"/>
  <c r="BF110" i="56"/>
  <c r="BE110" i="56"/>
  <c r="BD110" i="56"/>
  <c r="BC110" i="56"/>
  <c r="BB110" i="56"/>
  <c r="BA110" i="56"/>
  <c r="AZ110" i="56"/>
  <c r="AY110" i="56"/>
  <c r="AX110" i="56"/>
  <c r="AW110" i="56"/>
  <c r="O110" i="56"/>
  <c r="AJ109" i="56"/>
  <c r="AI109" i="56"/>
  <c r="AG109" i="56"/>
  <c r="AF109" i="56"/>
  <c r="AD109" i="56"/>
  <c r="AC109" i="56"/>
  <c r="AA109" i="56"/>
  <c r="Z109" i="56"/>
  <c r="O109" i="56"/>
  <c r="AJ108" i="56"/>
  <c r="AI108" i="56"/>
  <c r="AG108" i="56"/>
  <c r="AF108" i="56"/>
  <c r="AD108" i="56"/>
  <c r="AC108" i="56"/>
  <c r="AA108" i="56"/>
  <c r="Z108" i="56"/>
  <c r="O108" i="56"/>
  <c r="AJ107" i="56"/>
  <c r="AI107" i="56"/>
  <c r="AG107" i="56"/>
  <c r="AF107" i="56"/>
  <c r="AD107" i="56"/>
  <c r="AC107" i="56"/>
  <c r="AA107" i="56"/>
  <c r="Z107" i="56"/>
  <c r="O107" i="56"/>
  <c r="AJ106" i="56"/>
  <c r="AI106" i="56"/>
  <c r="AG106" i="56"/>
  <c r="AF106" i="56"/>
  <c r="AD106" i="56"/>
  <c r="AC106" i="56"/>
  <c r="AA106" i="56"/>
  <c r="Z106" i="56"/>
  <c r="O106" i="56"/>
  <c r="AJ105" i="56"/>
  <c r="AI105" i="56"/>
  <c r="AG105" i="56"/>
  <c r="AF105" i="56"/>
  <c r="AD105" i="56"/>
  <c r="AC105" i="56"/>
  <c r="AA105" i="56"/>
  <c r="Z105" i="56"/>
  <c r="O105" i="56"/>
  <c r="AJ104" i="56"/>
  <c r="AI104" i="56"/>
  <c r="AG104" i="56"/>
  <c r="AF104" i="56"/>
  <c r="AD104" i="56"/>
  <c r="AC104" i="56"/>
  <c r="AA104" i="56"/>
  <c r="Z104" i="56"/>
  <c r="O104" i="56"/>
  <c r="AJ103" i="56"/>
  <c r="AI103" i="56"/>
  <c r="AG103" i="56"/>
  <c r="AF103" i="56"/>
  <c r="AD103" i="56"/>
  <c r="AC103" i="56"/>
  <c r="AA103" i="56"/>
  <c r="Z103" i="56"/>
  <c r="O103" i="56"/>
  <c r="AJ102" i="56"/>
  <c r="AI102" i="56"/>
  <c r="AG102" i="56"/>
  <c r="AF102" i="56"/>
  <c r="AD102" i="56"/>
  <c r="AC102" i="56"/>
  <c r="AA102" i="56"/>
  <c r="Z102" i="56"/>
  <c r="O102" i="56"/>
  <c r="BT101" i="56"/>
  <c r="BS101" i="56"/>
  <c r="BR101" i="56"/>
  <c r="BQ101" i="56"/>
  <c r="BP101" i="56"/>
  <c r="BO101" i="56"/>
  <c r="BN101" i="56"/>
  <c r="BM101" i="56"/>
  <c r="BL101" i="56"/>
  <c r="BK101" i="56"/>
  <c r="BJ101" i="56"/>
  <c r="BI101" i="56"/>
  <c r="BH101" i="56"/>
  <c r="BG101" i="56"/>
  <c r="BF101" i="56"/>
  <c r="BE101" i="56"/>
  <c r="BD101" i="56"/>
  <c r="BC101" i="56"/>
  <c r="BB101" i="56"/>
  <c r="BA101" i="56"/>
  <c r="AZ101" i="56"/>
  <c r="AY101" i="56"/>
  <c r="AX101" i="56"/>
  <c r="AW101" i="56"/>
  <c r="O101" i="56"/>
  <c r="AJ100" i="56"/>
  <c r="AI100" i="56"/>
  <c r="AG100" i="56"/>
  <c r="AF100" i="56"/>
  <c r="AD100" i="56"/>
  <c r="AC100" i="56"/>
  <c r="AA100" i="56"/>
  <c r="Z100" i="56"/>
  <c r="O100" i="56"/>
  <c r="AJ99" i="56"/>
  <c r="AI99" i="56"/>
  <c r="AG99" i="56"/>
  <c r="AF99" i="56"/>
  <c r="AD99" i="56"/>
  <c r="AC99" i="56"/>
  <c r="AA99" i="56"/>
  <c r="Z99" i="56"/>
  <c r="O99" i="56"/>
  <c r="BT98" i="56"/>
  <c r="BS98" i="56"/>
  <c r="BR98" i="56"/>
  <c r="BQ98" i="56"/>
  <c r="BP98" i="56"/>
  <c r="BO98" i="56"/>
  <c r="BN98" i="56"/>
  <c r="BM98" i="56"/>
  <c r="BL98" i="56"/>
  <c r="BK98" i="56"/>
  <c r="BJ98" i="56"/>
  <c r="BI98" i="56"/>
  <c r="BH98" i="56"/>
  <c r="BG98" i="56"/>
  <c r="BF98" i="56"/>
  <c r="BE98" i="56"/>
  <c r="BD98" i="56"/>
  <c r="BC98" i="56"/>
  <c r="BB98" i="56"/>
  <c r="BA98" i="56"/>
  <c r="AZ98" i="56"/>
  <c r="AY98" i="56"/>
  <c r="AX98" i="56"/>
  <c r="AW98" i="56"/>
  <c r="O98" i="56"/>
  <c r="AJ97" i="56"/>
  <c r="AI97" i="56"/>
  <c r="AG97" i="56"/>
  <c r="AF97" i="56"/>
  <c r="AD97" i="56"/>
  <c r="AC97" i="56"/>
  <c r="AA97" i="56"/>
  <c r="Z97" i="56"/>
  <c r="L97" i="56"/>
  <c r="O97" i="56" s="1"/>
  <c r="AJ96" i="56"/>
  <c r="AI96" i="56"/>
  <c r="AG96" i="56"/>
  <c r="AF96" i="56"/>
  <c r="AD96" i="56"/>
  <c r="AC96" i="56"/>
  <c r="AA96" i="56"/>
  <c r="Z96" i="56"/>
  <c r="O96" i="56"/>
  <c r="AJ95" i="56"/>
  <c r="AI95" i="56"/>
  <c r="AG95" i="56"/>
  <c r="AF95" i="56"/>
  <c r="AD95" i="56"/>
  <c r="AC95" i="56"/>
  <c r="AA95" i="56"/>
  <c r="Z95" i="56"/>
  <c r="O95" i="56"/>
  <c r="AJ94" i="56"/>
  <c r="AI94" i="56"/>
  <c r="AG94" i="56"/>
  <c r="AF94" i="56"/>
  <c r="AD94" i="56"/>
  <c r="AC94" i="56"/>
  <c r="AA94" i="56"/>
  <c r="Z94" i="56"/>
  <c r="O94" i="56"/>
  <c r="AJ93" i="56"/>
  <c r="AI93" i="56"/>
  <c r="AG93" i="56"/>
  <c r="AF93" i="56"/>
  <c r="AD93" i="56"/>
  <c r="AC93" i="56"/>
  <c r="AA93" i="56"/>
  <c r="Z93" i="56"/>
  <c r="O93" i="56"/>
  <c r="AJ92" i="56"/>
  <c r="AI92" i="56"/>
  <c r="AG92" i="56"/>
  <c r="AF92" i="56"/>
  <c r="AD92" i="56"/>
  <c r="AC92" i="56"/>
  <c r="AA92" i="56"/>
  <c r="Z92" i="56"/>
  <c r="O92" i="56"/>
  <c r="BG91" i="56"/>
  <c r="AC91" i="56" s="1"/>
  <c r="AJ91" i="56"/>
  <c r="AI91" i="56"/>
  <c r="AG91" i="56"/>
  <c r="AF91" i="56"/>
  <c r="AD91" i="56"/>
  <c r="AA91" i="56"/>
  <c r="Z91" i="56"/>
  <c r="O91" i="56"/>
  <c r="AJ90" i="56"/>
  <c r="AI90" i="56"/>
  <c r="AG90" i="56"/>
  <c r="AF90" i="56"/>
  <c r="AD90" i="56"/>
  <c r="AC90" i="56"/>
  <c r="AA90" i="56"/>
  <c r="Z90" i="56"/>
  <c r="O90" i="56"/>
  <c r="BT89" i="56"/>
  <c r="BS89" i="56"/>
  <c r="BR89" i="56"/>
  <c r="BQ89" i="56"/>
  <c r="BP89" i="56"/>
  <c r="BO89" i="56"/>
  <c r="BN89" i="56"/>
  <c r="BM89" i="56"/>
  <c r="BL89" i="56"/>
  <c r="BK89" i="56"/>
  <c r="BJ89" i="56"/>
  <c r="BI89" i="56"/>
  <c r="BH89" i="56"/>
  <c r="BF89" i="56"/>
  <c r="BE89" i="56"/>
  <c r="BD89" i="56"/>
  <c r="BC89" i="56"/>
  <c r="BB89" i="56"/>
  <c r="BA89" i="56"/>
  <c r="AZ89" i="56"/>
  <c r="AY89" i="56"/>
  <c r="AX89" i="56"/>
  <c r="AW89" i="56"/>
  <c r="S89" i="56"/>
  <c r="Q89" i="56"/>
  <c r="N89" i="56"/>
  <c r="O89" i="56" s="1"/>
  <c r="AJ88" i="56"/>
  <c r="AI88" i="56"/>
  <c r="AG88" i="56"/>
  <c r="AF88" i="56"/>
  <c r="AD88" i="56"/>
  <c r="AC88" i="56"/>
  <c r="AA88" i="56"/>
  <c r="Z88" i="56"/>
  <c r="O88" i="56"/>
  <c r="AJ87" i="56"/>
  <c r="AI87" i="56"/>
  <c r="AG87" i="56"/>
  <c r="AF87" i="56"/>
  <c r="AD87" i="56"/>
  <c r="AC87" i="56"/>
  <c r="AA87" i="56"/>
  <c r="Z87" i="56"/>
  <c r="O87" i="56"/>
  <c r="AJ86" i="56"/>
  <c r="AI86" i="56"/>
  <c r="AG86" i="56"/>
  <c r="AF86" i="56"/>
  <c r="AD86" i="56"/>
  <c r="AC86" i="56"/>
  <c r="AA86" i="56"/>
  <c r="Z86" i="56"/>
  <c r="O86" i="56"/>
  <c r="AJ85" i="56"/>
  <c r="AI85" i="56"/>
  <c r="AG85" i="56"/>
  <c r="AF85" i="56"/>
  <c r="AD85" i="56"/>
  <c r="AC85" i="56"/>
  <c r="AA85" i="56"/>
  <c r="Z85" i="56"/>
  <c r="O85" i="56"/>
  <c r="AJ84" i="56"/>
  <c r="AI84" i="56"/>
  <c r="AG84" i="56"/>
  <c r="AF84" i="56"/>
  <c r="AD84" i="56"/>
  <c r="AC84" i="56"/>
  <c r="AA84" i="56"/>
  <c r="Z84" i="56"/>
  <c r="O84" i="56"/>
  <c r="AJ83" i="56"/>
  <c r="AI83" i="56"/>
  <c r="AG83" i="56"/>
  <c r="AF83" i="56"/>
  <c r="AD83" i="56"/>
  <c r="AC83" i="56"/>
  <c r="AA83" i="56"/>
  <c r="Z83" i="56"/>
  <c r="O83" i="56"/>
  <c r="BT82" i="56"/>
  <c r="BS82" i="56"/>
  <c r="BR82" i="56"/>
  <c r="BQ82" i="56"/>
  <c r="BP82" i="56"/>
  <c r="BO82" i="56"/>
  <c r="BN82" i="56"/>
  <c r="BM82" i="56"/>
  <c r="BL82" i="56"/>
  <c r="BK82" i="56"/>
  <c r="BJ82" i="56"/>
  <c r="BI82" i="56"/>
  <c r="BH82" i="56"/>
  <c r="BG82" i="56"/>
  <c r="BF82" i="56"/>
  <c r="BE82" i="56"/>
  <c r="BD82" i="56"/>
  <c r="BC82" i="56"/>
  <c r="BB82" i="56"/>
  <c r="BA82" i="56"/>
  <c r="AZ82" i="56"/>
  <c r="AY82" i="56"/>
  <c r="AX82" i="56"/>
  <c r="AW82" i="56"/>
  <c r="L82" i="56"/>
  <c r="O82" i="56" s="1"/>
  <c r="S81" i="56"/>
  <c r="Q81" i="56"/>
  <c r="O81" i="56"/>
  <c r="AJ80" i="56"/>
  <c r="AI80" i="56"/>
  <c r="AG80" i="56"/>
  <c r="AF80" i="56"/>
  <c r="AD80" i="56"/>
  <c r="AC80" i="56"/>
  <c r="AA80" i="56"/>
  <c r="Z80" i="56"/>
  <c r="O80" i="56"/>
  <c r="AJ79" i="56"/>
  <c r="AI79" i="56"/>
  <c r="AG79" i="56"/>
  <c r="AF79" i="56"/>
  <c r="AD79" i="56"/>
  <c r="AC79" i="56"/>
  <c r="AA79" i="56"/>
  <c r="Z79" i="56"/>
  <c r="O79" i="56"/>
  <c r="BS78" i="56"/>
  <c r="AJ78" i="56"/>
  <c r="AI78" i="56"/>
  <c r="AG78" i="56"/>
  <c r="AF78" i="56"/>
  <c r="AD78" i="56"/>
  <c r="AC78" i="56"/>
  <c r="AA78" i="56"/>
  <c r="Z78" i="56"/>
  <c r="L78" i="56"/>
  <c r="O78" i="56" s="1"/>
  <c r="AY77" i="56"/>
  <c r="AJ77" i="56"/>
  <c r="AI77" i="56"/>
  <c r="AG77" i="56"/>
  <c r="AF77" i="56"/>
  <c r="AD77" i="56"/>
  <c r="AC77" i="56"/>
  <c r="AA77" i="56"/>
  <c r="Z77" i="56"/>
  <c r="L77" i="56"/>
  <c r="O77" i="56" s="1"/>
  <c r="AJ75" i="56"/>
  <c r="AI75" i="56"/>
  <c r="AG75" i="56"/>
  <c r="AF75" i="56"/>
  <c r="AD75" i="56"/>
  <c r="AC75" i="56"/>
  <c r="AA75" i="56"/>
  <c r="Z75" i="56"/>
  <c r="O75" i="56"/>
  <c r="AJ74" i="56"/>
  <c r="AI74" i="56"/>
  <c r="AG74" i="56"/>
  <c r="AF74" i="56"/>
  <c r="AD74" i="56"/>
  <c r="AC74" i="56"/>
  <c r="AA74" i="56"/>
  <c r="Z74" i="56"/>
  <c r="O74" i="56"/>
  <c r="BO73" i="56"/>
  <c r="AI73" i="56" s="1"/>
  <c r="AJ73" i="56"/>
  <c r="AG73" i="56"/>
  <c r="AF73" i="56"/>
  <c r="AD73" i="56"/>
  <c r="AC73" i="56"/>
  <c r="AA73" i="56"/>
  <c r="Z73" i="56"/>
  <c r="L73" i="56"/>
  <c r="O73" i="56" s="1"/>
  <c r="BS72" i="56"/>
  <c r="BQ72" i="56"/>
  <c r="BO72" i="56"/>
  <c r="BM72" i="56"/>
  <c r="BK72" i="56"/>
  <c r="BI72" i="56"/>
  <c r="BG72" i="56"/>
  <c r="BE72" i="56"/>
  <c r="AC72" i="56" s="1"/>
  <c r="BC72" i="56"/>
  <c r="BA72" i="56"/>
  <c r="AY72" i="56"/>
  <c r="AJ72" i="56"/>
  <c r="AG72" i="56"/>
  <c r="AD72" i="56"/>
  <c r="AA72" i="56"/>
  <c r="L72" i="56"/>
  <c r="O72" i="56" s="1"/>
  <c r="BS71" i="56"/>
  <c r="AI71" i="56" s="1"/>
  <c r="AJ71" i="56"/>
  <c r="AG71" i="56"/>
  <c r="AF71" i="56"/>
  <c r="AD71" i="56"/>
  <c r="AC71" i="56"/>
  <c r="AA71" i="56"/>
  <c r="Z71" i="56"/>
  <c r="O71" i="56"/>
  <c r="BS70" i="56"/>
  <c r="BQ70" i="56"/>
  <c r="BO70" i="56"/>
  <c r="BM70" i="56"/>
  <c r="BK70" i="56"/>
  <c r="BI70" i="56"/>
  <c r="BG70" i="56"/>
  <c r="BG69" i="56" s="1"/>
  <c r="BE70" i="56"/>
  <c r="BC70" i="56"/>
  <c r="BA70" i="56"/>
  <c r="AY70" i="56"/>
  <c r="Z70" i="56" s="1"/>
  <c r="AJ70" i="56"/>
  <c r="AG70" i="56"/>
  <c r="AD70" i="56"/>
  <c r="AA70" i="56"/>
  <c r="L70" i="56"/>
  <c r="BT69" i="56"/>
  <c r="BR69" i="56"/>
  <c r="BP69" i="56"/>
  <c r="BN69" i="56"/>
  <c r="BL69" i="56"/>
  <c r="BK69" i="56"/>
  <c r="BJ69" i="56"/>
  <c r="BH69" i="56"/>
  <c r="BF69" i="56"/>
  <c r="BD69" i="56"/>
  <c r="BC69" i="56"/>
  <c r="BB69" i="56"/>
  <c r="AZ69" i="56"/>
  <c r="AX69" i="56"/>
  <c r="AW69" i="56"/>
  <c r="S69" i="56"/>
  <c r="Q69" i="56"/>
  <c r="BK68" i="56"/>
  <c r="BK67" i="56" s="1"/>
  <c r="BI68" i="56"/>
  <c r="BI67" i="56" s="1"/>
  <c r="BG68" i="56"/>
  <c r="BG67" i="56" s="1"/>
  <c r="BE68" i="56"/>
  <c r="BC68" i="56"/>
  <c r="BC67" i="56" s="1"/>
  <c r="BB68" i="56"/>
  <c r="AA68" i="56" s="1"/>
  <c r="BA68" i="56"/>
  <c r="BA67" i="56" s="1"/>
  <c r="AY68" i="56"/>
  <c r="AY67" i="56" s="1"/>
  <c r="AJ68" i="56"/>
  <c r="AI68" i="56"/>
  <c r="AG68" i="56"/>
  <c r="AD68" i="56"/>
  <c r="O68" i="56"/>
  <c r="BT67" i="56"/>
  <c r="BS67" i="56"/>
  <c r="BR67" i="56"/>
  <c r="BQ67" i="56"/>
  <c r="BP67" i="56"/>
  <c r="BO67" i="56"/>
  <c r="BN67" i="56"/>
  <c r="BM67" i="56"/>
  <c r="BL67" i="56"/>
  <c r="BJ67" i="56"/>
  <c r="BH67" i="56"/>
  <c r="BF67" i="56"/>
  <c r="BD67" i="56"/>
  <c r="AZ67" i="56"/>
  <c r="AX67" i="56"/>
  <c r="AW67" i="56"/>
  <c r="S67" i="56"/>
  <c r="Q67" i="56"/>
  <c r="L67" i="56"/>
  <c r="AJ66" i="56"/>
  <c r="AI66" i="56"/>
  <c r="AG66" i="56"/>
  <c r="AF66" i="56"/>
  <c r="AD66" i="56"/>
  <c r="AC66" i="56"/>
  <c r="AA66" i="56"/>
  <c r="Z66" i="56"/>
  <c r="O66" i="56"/>
  <c r="AJ65" i="56"/>
  <c r="AI65" i="56"/>
  <c r="AG65" i="56"/>
  <c r="AF65" i="56"/>
  <c r="AD65" i="56"/>
  <c r="AC65" i="56"/>
  <c r="AA65" i="56"/>
  <c r="Z65" i="56"/>
  <c r="O65" i="56"/>
  <c r="BS64" i="56"/>
  <c r="BR64" i="56"/>
  <c r="BQ64" i="56"/>
  <c r="BP64" i="56"/>
  <c r="BO64" i="56"/>
  <c r="BN64" i="56"/>
  <c r="BM64" i="56"/>
  <c r="BL64" i="56"/>
  <c r="BK64" i="56"/>
  <c r="BJ64" i="56"/>
  <c r="BI64" i="56"/>
  <c r="BH64" i="56"/>
  <c r="BG64" i="56"/>
  <c r="BF64" i="56"/>
  <c r="BE64" i="56"/>
  <c r="BD64" i="56"/>
  <c r="BC64" i="56"/>
  <c r="BB64" i="56"/>
  <c r="BA64" i="56"/>
  <c r="AZ64" i="56"/>
  <c r="AY64" i="56"/>
  <c r="AX64" i="56"/>
  <c r="AW64" i="56"/>
  <c r="S64" i="56"/>
  <c r="Q64" i="56"/>
  <c r="BQ63" i="56"/>
  <c r="AI63" i="56" s="1"/>
  <c r="AJ63" i="56"/>
  <c r="AG63" i="56"/>
  <c r="AF63" i="56"/>
  <c r="AD63" i="56"/>
  <c r="AC63" i="56"/>
  <c r="AA63" i="56"/>
  <c r="Z63" i="56"/>
  <c r="O63" i="56"/>
  <c r="BM62" i="56"/>
  <c r="AF62" i="56" s="1"/>
  <c r="AJ62" i="56"/>
  <c r="AI62" i="56"/>
  <c r="AG62" i="56"/>
  <c r="AD62" i="56"/>
  <c r="AC62" i="56"/>
  <c r="AA62" i="56"/>
  <c r="Z62" i="56"/>
  <c r="O62" i="56"/>
  <c r="AY61" i="56"/>
  <c r="Z61" i="56" s="1"/>
  <c r="AJ61" i="56"/>
  <c r="AI61" i="56"/>
  <c r="AG61" i="56"/>
  <c r="AF61" i="56"/>
  <c r="AD61" i="56"/>
  <c r="AC61" i="56"/>
  <c r="AA61" i="56"/>
  <c r="O61" i="56"/>
  <c r="BC60" i="56"/>
  <c r="AC60" i="56" s="1"/>
  <c r="AJ60" i="56"/>
  <c r="AI60" i="56"/>
  <c r="AG60" i="56"/>
  <c r="AF60" i="56"/>
  <c r="AD60" i="56"/>
  <c r="AA60" i="56"/>
  <c r="Z60" i="56"/>
  <c r="O60" i="56"/>
  <c r="BT59" i="56"/>
  <c r="BS59" i="56"/>
  <c r="BR59" i="56"/>
  <c r="BP59" i="56"/>
  <c r="BO59" i="56"/>
  <c r="BN59" i="56"/>
  <c r="BM59" i="56"/>
  <c r="BL59" i="56"/>
  <c r="BK59" i="56"/>
  <c r="BJ59" i="56"/>
  <c r="BI59" i="56"/>
  <c r="BH59" i="56"/>
  <c r="BG59" i="56"/>
  <c r="BF59" i="56"/>
  <c r="BE59" i="56"/>
  <c r="BD59" i="56"/>
  <c r="BB59" i="56"/>
  <c r="BA59" i="56"/>
  <c r="AZ59" i="56"/>
  <c r="AX59" i="56"/>
  <c r="AW59" i="56"/>
  <c r="S59" i="56"/>
  <c r="Q59" i="56"/>
  <c r="L59" i="56"/>
  <c r="BM58" i="56"/>
  <c r="BM57" i="56" s="1"/>
  <c r="BK58" i="56"/>
  <c r="BK57" i="56" s="1"/>
  <c r="BI58" i="56"/>
  <c r="BG57" i="56"/>
  <c r="BE58" i="56"/>
  <c r="BE57" i="56" s="1"/>
  <c r="BC58" i="56"/>
  <c r="AY58" i="56"/>
  <c r="AY57" i="56" s="1"/>
  <c r="AJ58" i="56"/>
  <c r="AI58" i="56"/>
  <c r="AG58" i="56"/>
  <c r="AD58" i="56"/>
  <c r="AA58" i="56"/>
  <c r="O58" i="56"/>
  <c r="BT57" i="56"/>
  <c r="BS57" i="56"/>
  <c r="BR57" i="56"/>
  <c r="BQ57" i="56"/>
  <c r="BP57" i="56"/>
  <c r="BO57" i="56"/>
  <c r="BN57" i="56"/>
  <c r="BL57" i="56"/>
  <c r="BJ57" i="56"/>
  <c r="BI57" i="56"/>
  <c r="BH57" i="56"/>
  <c r="BF57" i="56"/>
  <c r="BD57" i="56"/>
  <c r="BB57" i="56"/>
  <c r="BA57" i="56"/>
  <c r="AZ57" i="56"/>
  <c r="AX57" i="56"/>
  <c r="AW57" i="56"/>
  <c r="S57" i="56"/>
  <c r="Q57" i="56"/>
  <c r="L57" i="56"/>
  <c r="BS56" i="56"/>
  <c r="AI56" i="56" s="1"/>
  <c r="AJ56" i="56"/>
  <c r="AG56" i="56"/>
  <c r="AF56" i="56"/>
  <c r="AD56" i="56"/>
  <c r="AC56" i="56"/>
  <c r="AA56" i="56"/>
  <c r="Z56" i="56"/>
  <c r="O56" i="56"/>
  <c r="AC55" i="56"/>
  <c r="AJ55" i="56"/>
  <c r="AI55" i="56"/>
  <c r="AG55" i="56"/>
  <c r="AF55" i="56"/>
  <c r="AD55" i="56"/>
  <c r="AA55" i="56"/>
  <c r="Z55" i="56"/>
  <c r="O55" i="56"/>
  <c r="BS54" i="56"/>
  <c r="AI54" i="56" s="1"/>
  <c r="AJ54" i="56"/>
  <c r="AG54" i="56"/>
  <c r="AF54" i="56"/>
  <c r="AD54" i="56"/>
  <c r="AC54" i="56"/>
  <c r="AA54" i="56"/>
  <c r="Z54" i="56"/>
  <c r="L54" i="56"/>
  <c r="O54" i="56" s="1"/>
  <c r="BT53" i="56"/>
  <c r="BR53" i="56"/>
  <c r="BQ53" i="56"/>
  <c r="BP53" i="56"/>
  <c r="BO53" i="56"/>
  <c r="BN53" i="56"/>
  <c r="BM53" i="56"/>
  <c r="BL53" i="56"/>
  <c r="BK53" i="56"/>
  <c r="BJ53" i="56"/>
  <c r="BI53" i="56"/>
  <c r="BH53" i="56"/>
  <c r="BG53" i="56"/>
  <c r="BF53" i="56"/>
  <c r="BE53" i="56"/>
  <c r="BD53" i="56"/>
  <c r="BC53" i="56"/>
  <c r="BB53" i="56"/>
  <c r="BA53" i="56"/>
  <c r="AZ53" i="56"/>
  <c r="AY53" i="56"/>
  <c r="AX53" i="56"/>
  <c r="AW53" i="56"/>
  <c r="S53" i="56"/>
  <c r="Q53" i="56"/>
  <c r="AJ52" i="56"/>
  <c r="AI52" i="56"/>
  <c r="AG52" i="56"/>
  <c r="AF52" i="56"/>
  <c r="AD52" i="56"/>
  <c r="AC52" i="56"/>
  <c r="AA52" i="56"/>
  <c r="Z52" i="56"/>
  <c r="O52" i="56"/>
  <c r="BT51" i="56"/>
  <c r="BS51" i="56"/>
  <c r="BR51" i="56"/>
  <c r="BQ51" i="56"/>
  <c r="BP51" i="56"/>
  <c r="BO51" i="56"/>
  <c r="BN51" i="56"/>
  <c r="BM51" i="56"/>
  <c r="BL51" i="56"/>
  <c r="BK51" i="56"/>
  <c r="BJ51" i="56"/>
  <c r="BI51" i="56"/>
  <c r="BH51" i="56"/>
  <c r="BG51" i="56"/>
  <c r="BF51" i="56"/>
  <c r="BE51" i="56"/>
  <c r="BD51" i="56"/>
  <c r="BC51" i="56"/>
  <c r="BB51" i="56"/>
  <c r="BA51" i="56"/>
  <c r="AZ51" i="56"/>
  <c r="AY51" i="56"/>
  <c r="AX51" i="56"/>
  <c r="AW51" i="56"/>
  <c r="S51" i="56"/>
  <c r="Q51" i="56"/>
  <c r="L51" i="56"/>
  <c r="O51" i="56" s="1"/>
  <c r="AJ50" i="56"/>
  <c r="AI50" i="56"/>
  <c r="AG50" i="56"/>
  <c r="AF50" i="56"/>
  <c r="AD50" i="56"/>
  <c r="AC50" i="56"/>
  <c r="AA50" i="56"/>
  <c r="Z50" i="56"/>
  <c r="O50" i="56"/>
  <c r="BS49" i="56"/>
  <c r="AI49" i="56" s="1"/>
  <c r="AJ49" i="56"/>
  <c r="AG49" i="56"/>
  <c r="AF49" i="56"/>
  <c r="AD49" i="56"/>
  <c r="AC49" i="56"/>
  <c r="AA49" i="56"/>
  <c r="Z49" i="56"/>
  <c r="O49" i="56"/>
  <c r="BT48" i="56"/>
  <c r="BR48" i="56"/>
  <c r="BQ48" i="56"/>
  <c r="BP48" i="56"/>
  <c r="BO48" i="56"/>
  <c r="BN48" i="56"/>
  <c r="BM48" i="56"/>
  <c r="BL48" i="56"/>
  <c r="BK48" i="56"/>
  <c r="BJ48" i="56"/>
  <c r="BI48" i="56"/>
  <c r="BH48" i="56"/>
  <c r="BG48" i="56"/>
  <c r="BF48" i="56"/>
  <c r="BE48" i="56"/>
  <c r="BD48" i="56"/>
  <c r="BC48" i="56"/>
  <c r="BB48" i="56"/>
  <c r="BA48" i="56"/>
  <c r="AZ48" i="56"/>
  <c r="AY48" i="56"/>
  <c r="AX48" i="56"/>
  <c r="AW48" i="56"/>
  <c r="S48" i="56"/>
  <c r="Q48" i="56"/>
  <c r="L48" i="56"/>
  <c r="O48" i="56" s="1"/>
  <c r="BC47" i="56"/>
  <c r="AC47" i="56" s="1"/>
  <c r="AJ47" i="56"/>
  <c r="AI47" i="56"/>
  <c r="AG47" i="56"/>
  <c r="AF47" i="56"/>
  <c r="AD47" i="56"/>
  <c r="AA47" i="56"/>
  <c r="Z47" i="56"/>
  <c r="O47" i="56"/>
  <c r="BS46" i="56"/>
  <c r="AI46" i="56" s="1"/>
  <c r="AJ46" i="56"/>
  <c r="AG46" i="56"/>
  <c r="AF46" i="56"/>
  <c r="AD46" i="56"/>
  <c r="AC46" i="56"/>
  <c r="AA46" i="56"/>
  <c r="Z46" i="56"/>
  <c r="L46" i="56"/>
  <c r="L45" i="56" s="1"/>
  <c r="BT45" i="56"/>
  <c r="BR45" i="56"/>
  <c r="BQ45" i="56"/>
  <c r="BP45" i="56"/>
  <c r="BO45" i="56"/>
  <c r="BN45" i="56"/>
  <c r="BM45" i="56"/>
  <c r="BL45" i="56"/>
  <c r="BK45" i="56"/>
  <c r="BJ45" i="56"/>
  <c r="BI45" i="56"/>
  <c r="BH45" i="56"/>
  <c r="BG45" i="56"/>
  <c r="BF45" i="56"/>
  <c r="BE45" i="56"/>
  <c r="BD45" i="56"/>
  <c r="BB45" i="56"/>
  <c r="BA45" i="56"/>
  <c r="AZ45" i="56"/>
  <c r="AY45" i="56"/>
  <c r="AX45" i="56"/>
  <c r="AW45" i="56"/>
  <c r="S45" i="56"/>
  <c r="Q45" i="56"/>
  <c r="AJ44" i="56"/>
  <c r="AI44" i="56"/>
  <c r="AG44" i="56"/>
  <c r="AF44" i="56"/>
  <c r="AD44" i="56"/>
  <c r="AC44" i="56"/>
  <c r="AA44" i="56"/>
  <c r="Z44" i="56"/>
  <c r="O44" i="56"/>
  <c r="BS43" i="56"/>
  <c r="AI43" i="56" s="1"/>
  <c r="AJ43" i="56"/>
  <c r="AG43" i="56"/>
  <c r="AF43" i="56"/>
  <c r="AD43" i="56"/>
  <c r="AC43" i="56"/>
  <c r="AA43" i="56"/>
  <c r="Z43" i="56"/>
  <c r="O43" i="56"/>
  <c r="BS42" i="56"/>
  <c r="AI42" i="56" s="1"/>
  <c r="AJ42" i="56"/>
  <c r="AG42" i="56"/>
  <c r="AF42" i="56"/>
  <c r="AD42" i="56"/>
  <c r="AC42" i="56"/>
  <c r="AA42" i="56"/>
  <c r="Z42" i="56"/>
  <c r="O42" i="56"/>
  <c r="BS41" i="56"/>
  <c r="AI41" i="56" s="1"/>
  <c r="AJ41" i="56"/>
  <c r="AG41" i="56"/>
  <c r="AF41" i="56"/>
  <c r="AD41" i="56"/>
  <c r="AC41" i="56"/>
  <c r="AA41" i="56"/>
  <c r="Z41" i="56"/>
  <c r="O41" i="56"/>
  <c r="AJ40" i="56"/>
  <c r="AI40" i="56"/>
  <c r="AG40" i="56"/>
  <c r="AF40" i="56"/>
  <c r="AD40" i="56"/>
  <c r="AC40" i="56"/>
  <c r="AA40" i="56"/>
  <c r="Z40" i="56"/>
  <c r="L40" i="56"/>
  <c r="L39" i="56" s="1"/>
  <c r="BT39" i="56"/>
  <c r="BR39" i="56"/>
  <c r="BQ39" i="56"/>
  <c r="BP39" i="56"/>
  <c r="BO39" i="56"/>
  <c r="BN39" i="56"/>
  <c r="BM39" i="56"/>
  <c r="BL39" i="56"/>
  <c r="BK39" i="56"/>
  <c r="BJ39" i="56"/>
  <c r="BI39" i="56"/>
  <c r="BH39" i="56"/>
  <c r="BG39" i="56"/>
  <c r="BF39" i="56"/>
  <c r="BE39" i="56"/>
  <c r="BD39" i="56"/>
  <c r="BC39" i="56"/>
  <c r="BB39" i="56"/>
  <c r="BA39" i="56"/>
  <c r="AZ39" i="56"/>
  <c r="AY39" i="56"/>
  <c r="AX39" i="56"/>
  <c r="AW39" i="56"/>
  <c r="S39" i="56"/>
  <c r="Q39" i="56"/>
  <c r="BS38" i="56"/>
  <c r="BQ38" i="56"/>
  <c r="BO38" i="56"/>
  <c r="BM38" i="56"/>
  <c r="BK38" i="56"/>
  <c r="BI38" i="56"/>
  <c r="BG38" i="56"/>
  <c r="BE38" i="56"/>
  <c r="BC38" i="56"/>
  <c r="BA38" i="56"/>
  <c r="AY38" i="56"/>
  <c r="AJ38" i="56"/>
  <c r="AG38" i="56"/>
  <c r="AD38" i="56"/>
  <c r="AA38" i="56"/>
  <c r="L38" i="56"/>
  <c r="O38" i="56" s="1"/>
  <c r="AJ35" i="56"/>
  <c r="AI35" i="56"/>
  <c r="AG35" i="56"/>
  <c r="AF35" i="56"/>
  <c r="AD35" i="56"/>
  <c r="AC35" i="56"/>
  <c r="AA35" i="56"/>
  <c r="Z35" i="56"/>
  <c r="AJ34" i="56"/>
  <c r="AI34" i="56"/>
  <c r="AG34" i="56"/>
  <c r="AF34" i="56"/>
  <c r="AD34" i="56"/>
  <c r="AC34" i="56"/>
  <c r="AA34" i="56"/>
  <c r="Z34" i="56"/>
  <c r="O34" i="56"/>
  <c r="AJ33" i="56"/>
  <c r="AI33" i="56"/>
  <c r="AG33" i="56"/>
  <c r="AF33" i="56"/>
  <c r="AD33" i="56"/>
  <c r="AC33" i="56"/>
  <c r="AA33" i="56"/>
  <c r="Z33" i="56"/>
  <c r="O33" i="56"/>
  <c r="AJ32" i="56"/>
  <c r="AI32" i="56"/>
  <c r="AG32" i="56"/>
  <c r="AF32" i="56"/>
  <c r="AD32" i="56"/>
  <c r="AC32" i="56"/>
  <c r="AA32" i="56"/>
  <c r="Z32" i="56"/>
  <c r="O32" i="56"/>
  <c r="AJ31" i="56"/>
  <c r="AI31" i="56"/>
  <c r="AG31" i="56"/>
  <c r="AF31" i="56"/>
  <c r="AD31" i="56"/>
  <c r="AC31" i="56"/>
  <c r="AA31" i="56"/>
  <c r="Z31" i="56"/>
  <c r="S31" i="56"/>
  <c r="Q31" i="56"/>
  <c r="L31" i="56"/>
  <c r="AJ30" i="56"/>
  <c r="AI30" i="56"/>
  <c r="AG30" i="56"/>
  <c r="AF30" i="56"/>
  <c r="AD30" i="56"/>
  <c r="AC30" i="56"/>
  <c r="AA30" i="56"/>
  <c r="Z30" i="56"/>
  <c r="S30" i="56"/>
  <c r="Q30" i="56"/>
  <c r="L30" i="56"/>
  <c r="L28" i="56" s="1"/>
  <c r="AJ29" i="56"/>
  <c r="AI29" i="56"/>
  <c r="AG29" i="56"/>
  <c r="AF29" i="56"/>
  <c r="AD29" i="56"/>
  <c r="AC29" i="56"/>
  <c r="AA29" i="56"/>
  <c r="Z29" i="56"/>
  <c r="Q29" i="56"/>
  <c r="O29" i="56"/>
  <c r="BT28" i="56"/>
  <c r="BS28" i="56"/>
  <c r="BR28" i="56"/>
  <c r="BQ28" i="56"/>
  <c r="BP28" i="56"/>
  <c r="BO28" i="56"/>
  <c r="BN28" i="56"/>
  <c r="BM28" i="56"/>
  <c r="BL28" i="56"/>
  <c r="BK28" i="56"/>
  <c r="BJ28" i="56"/>
  <c r="BI28" i="56"/>
  <c r="BH28" i="56"/>
  <c r="BG28" i="56"/>
  <c r="BF28" i="56"/>
  <c r="BE28" i="56"/>
  <c r="BD28" i="56"/>
  <c r="BC28" i="56"/>
  <c r="BB28" i="56"/>
  <c r="BA28" i="56"/>
  <c r="AZ28" i="56"/>
  <c r="AY28" i="56"/>
  <c r="AX28" i="56"/>
  <c r="AW28" i="56"/>
  <c r="BS27" i="56"/>
  <c r="BR27" i="56"/>
  <c r="BQ27" i="56"/>
  <c r="BP27" i="56"/>
  <c r="BO27" i="56"/>
  <c r="BN27" i="56"/>
  <c r="BM27" i="56"/>
  <c r="BL27" i="56"/>
  <c r="BK27" i="56"/>
  <c r="BJ27" i="56"/>
  <c r="BI27" i="56"/>
  <c r="BH27" i="56"/>
  <c r="BG27" i="56"/>
  <c r="BF27" i="56"/>
  <c r="BE27" i="56"/>
  <c r="BD27" i="56"/>
  <c r="BC27" i="56"/>
  <c r="BA27" i="56"/>
  <c r="Z27" i="56" s="1"/>
  <c r="AA27" i="56"/>
  <c r="O27" i="56"/>
  <c r="AJ26" i="56"/>
  <c r="AI26" i="56"/>
  <c r="AG26" i="56"/>
  <c r="AF26" i="56"/>
  <c r="AD26" i="56"/>
  <c r="AC26" i="56"/>
  <c r="AA26" i="56"/>
  <c r="Z26" i="56"/>
  <c r="S26" i="56"/>
  <c r="S23" i="56" s="1"/>
  <c r="Q26" i="56"/>
  <c r="Q23" i="56" s="1"/>
  <c r="O26" i="56"/>
  <c r="AJ25" i="56"/>
  <c r="AI25" i="56"/>
  <c r="AG25" i="56"/>
  <c r="AF25" i="56"/>
  <c r="AD25" i="56"/>
  <c r="AC25" i="56"/>
  <c r="AA25" i="56"/>
  <c r="Z25" i="56"/>
  <c r="O25" i="56"/>
  <c r="AY24" i="56"/>
  <c r="AY23" i="56" s="1"/>
  <c r="AJ24" i="56"/>
  <c r="AI24" i="56"/>
  <c r="AG24" i="56"/>
  <c r="AF24" i="56"/>
  <c r="AD24" i="56"/>
  <c r="AC24" i="56"/>
  <c r="AA24" i="56"/>
  <c r="Z24" i="56"/>
  <c r="O24" i="56"/>
  <c r="BS23" i="56"/>
  <c r="BR23" i="56"/>
  <c r="BQ23" i="56"/>
  <c r="BP23" i="56"/>
  <c r="BO23" i="56"/>
  <c r="BN23" i="56"/>
  <c r="BM23" i="56"/>
  <c r="BL23" i="56"/>
  <c r="BK23" i="56"/>
  <c r="BJ23" i="56"/>
  <c r="BI23" i="56"/>
  <c r="BH23" i="56"/>
  <c r="BG23" i="56"/>
  <c r="BF23" i="56"/>
  <c r="BE23" i="56"/>
  <c r="BD23" i="56"/>
  <c r="BC23" i="56"/>
  <c r="BB23" i="56"/>
  <c r="BA23" i="56"/>
  <c r="AZ23" i="56"/>
  <c r="AX23" i="56"/>
  <c r="AW23" i="56"/>
  <c r="N23" i="56"/>
  <c r="L23" i="56"/>
  <c r="BO22" i="56"/>
  <c r="AI22" i="56" s="1"/>
  <c r="BI22" i="56"/>
  <c r="BI17" i="56" s="1"/>
  <c r="BC22" i="56"/>
  <c r="BC17" i="56" s="1"/>
  <c r="AJ22" i="56"/>
  <c r="AG22" i="56"/>
  <c r="AD22" i="56"/>
  <c r="AA22" i="56"/>
  <c r="Z22" i="56"/>
  <c r="S22" i="56"/>
  <c r="Q22" i="56"/>
  <c r="L22" i="56"/>
  <c r="O21" i="56"/>
  <c r="AJ20" i="56"/>
  <c r="AI20" i="56"/>
  <c r="AG20" i="56"/>
  <c r="AF20" i="56"/>
  <c r="AD20" i="56"/>
  <c r="AC20" i="56"/>
  <c r="AA20" i="56"/>
  <c r="Z20" i="56"/>
  <c r="S20" i="56"/>
  <c r="Q20" i="56"/>
  <c r="L20" i="56"/>
  <c r="O20" i="56" s="1"/>
  <c r="AJ19" i="56"/>
  <c r="AI19" i="56"/>
  <c r="AG19" i="56"/>
  <c r="AF19" i="56"/>
  <c r="AD19" i="56"/>
  <c r="AC19" i="56"/>
  <c r="AA19" i="56"/>
  <c r="Z19" i="56"/>
  <c r="S19" i="56"/>
  <c r="S17" i="56" s="1"/>
  <c r="Q19" i="56"/>
  <c r="L19" i="56"/>
  <c r="L17" i="56" s="1"/>
  <c r="AJ18" i="56"/>
  <c r="AI18" i="56"/>
  <c r="AG18" i="56"/>
  <c r="AF18" i="56"/>
  <c r="AD18" i="56"/>
  <c r="AC18" i="56"/>
  <c r="AA18" i="56"/>
  <c r="Z18" i="56"/>
  <c r="Q18" i="56"/>
  <c r="O18" i="56"/>
  <c r="BT17" i="56"/>
  <c r="BS17" i="56"/>
  <c r="BR17" i="56"/>
  <c r="BQ17" i="56"/>
  <c r="BP17" i="56"/>
  <c r="BN17" i="56"/>
  <c r="BM17" i="56"/>
  <c r="BL17" i="56"/>
  <c r="BK17" i="56"/>
  <c r="BJ17" i="56"/>
  <c r="BH17" i="56"/>
  <c r="BG17" i="56"/>
  <c r="BF17" i="56"/>
  <c r="BE17" i="56"/>
  <c r="BD17" i="56"/>
  <c r="BB17" i="56"/>
  <c r="BA17" i="56"/>
  <c r="AZ17" i="56"/>
  <c r="AY17" i="56"/>
  <c r="AX17" i="56"/>
  <c r="AW17" i="56"/>
  <c r="N17" i="56"/>
  <c r="AJ16" i="56"/>
  <c r="AI16" i="56"/>
  <c r="AG16" i="56"/>
  <c r="AF16" i="56"/>
  <c r="AD16" i="56"/>
  <c r="AC16" i="56"/>
  <c r="AA16" i="56"/>
  <c r="Z16" i="56"/>
  <c r="O16" i="56"/>
  <c r="AJ15" i="56"/>
  <c r="AI15" i="56"/>
  <c r="AG15" i="56"/>
  <c r="AF15" i="56"/>
  <c r="AD15" i="56"/>
  <c r="AC15" i="56"/>
  <c r="AA15" i="56"/>
  <c r="Z15" i="56"/>
  <c r="O15" i="56"/>
  <c r="BS14" i="56"/>
  <c r="BQ14" i="56"/>
  <c r="BM14" i="56"/>
  <c r="BK14" i="56"/>
  <c r="BI14" i="56"/>
  <c r="BG14" i="56"/>
  <c r="BE14" i="56"/>
  <c r="BC14" i="56"/>
  <c r="AJ14" i="56"/>
  <c r="AG14" i="56"/>
  <c r="AD14" i="56"/>
  <c r="AA14" i="56"/>
  <c r="Z14" i="56"/>
  <c r="O14" i="56"/>
  <c r="AJ13" i="56"/>
  <c r="AI13" i="56"/>
  <c r="AG13" i="56"/>
  <c r="AF13" i="56"/>
  <c r="AD13" i="56"/>
  <c r="AC13" i="56"/>
  <c r="AA13" i="56"/>
  <c r="Z13" i="56"/>
  <c r="O13" i="56"/>
  <c r="AY12" i="56"/>
  <c r="Z12" i="56" s="1"/>
  <c r="AJ12" i="56"/>
  <c r="AI12" i="56"/>
  <c r="AG12" i="56"/>
  <c r="AF12" i="56"/>
  <c r="AD12" i="56"/>
  <c r="AC12" i="56"/>
  <c r="AA12" i="56"/>
  <c r="O12" i="56"/>
  <c r="BT8" i="56"/>
  <c r="BS8" i="56" s="1"/>
  <c r="BM8" i="56"/>
  <c r="BG8" i="56"/>
  <c r="BR6" i="56"/>
  <c r="BP6" i="56"/>
  <c r="BN6" i="56"/>
  <c r="W5" i="56"/>
  <c r="T5" i="56"/>
  <c r="AJ4" i="56"/>
  <c r="AI4" i="56"/>
  <c r="AG4" i="56"/>
  <c r="AF4" i="56"/>
  <c r="AD4" i="56"/>
  <c r="AC4" i="56"/>
  <c r="AA4" i="56"/>
  <c r="Z4" i="56"/>
  <c r="AM4" i="56" s="1"/>
  <c r="BT3" i="56"/>
  <c r="BS3" i="56"/>
  <c r="BR3" i="56"/>
  <c r="BQ3" i="56"/>
  <c r="BP3" i="56"/>
  <c r="BO3" i="56"/>
  <c r="BN3" i="56"/>
  <c r="BM3" i="56"/>
  <c r="BL3" i="56"/>
  <c r="BK3" i="56"/>
  <c r="BJ3" i="56"/>
  <c r="BI3" i="56"/>
  <c r="BH3" i="56"/>
  <c r="BG3" i="56"/>
  <c r="BF3" i="56"/>
  <c r="BE3" i="56"/>
  <c r="AC3" i="56" s="1"/>
  <c r="BD3" i="56"/>
  <c r="BC3" i="56"/>
  <c r="BB3" i="56"/>
  <c r="BA3" i="56"/>
  <c r="AZ3" i="56"/>
  <c r="AY3" i="56"/>
  <c r="AX3" i="56"/>
  <c r="AW3" i="56"/>
  <c r="T3" i="56"/>
  <c r="S3" i="56"/>
  <c r="R3" i="56"/>
  <c r="Q3" i="56"/>
  <c r="P3" i="56"/>
  <c r="O3" i="56"/>
  <c r="N3" i="56"/>
  <c r="M3" i="56"/>
  <c r="L3" i="56"/>
  <c r="AF22" i="56" l="1"/>
  <c r="L69" i="56"/>
  <c r="BC59" i="56"/>
  <c r="AF72" i="56"/>
  <c r="AH72" i="56" s="1"/>
  <c r="L222" i="56"/>
  <c r="O222" i="56" s="1"/>
  <c r="S224" i="56"/>
  <c r="AF248" i="56"/>
  <c r="L283" i="56"/>
  <c r="O283" i="56" s="1"/>
  <c r="AF38" i="56"/>
  <c r="AJ27" i="56"/>
  <c r="S28" i="56"/>
  <c r="AY59" i="56"/>
  <c r="AK4" i="56"/>
  <c r="O40" i="56"/>
  <c r="BM69" i="56"/>
  <c r="AG3" i="56"/>
  <c r="AQ3" i="56" s="1"/>
  <c r="BS305" i="56"/>
  <c r="O19" i="56"/>
  <c r="BE69" i="56"/>
  <c r="BO69" i="56"/>
  <c r="AD3" i="56"/>
  <c r="AE3" i="56" s="1"/>
  <c r="AC27" i="56"/>
  <c r="AI200" i="56"/>
  <c r="AC217" i="56"/>
  <c r="AM217" i="56" s="1"/>
  <c r="AC253" i="56"/>
  <c r="Z58" i="56"/>
  <c r="AF68" i="56"/>
  <c r="Z72" i="56"/>
  <c r="AS72" i="56" s="1"/>
  <c r="AI72" i="56"/>
  <c r="Q28" i="56"/>
  <c r="BC164" i="56"/>
  <c r="AC164" i="56" s="1"/>
  <c r="AJ3" i="56"/>
  <c r="AQ4" i="56"/>
  <c r="AF27" i="56"/>
  <c r="AA3" i="56"/>
  <c r="BS53" i="56"/>
  <c r="AI53" i="56" s="1"/>
  <c r="BG89" i="56"/>
  <c r="L164" i="56"/>
  <c r="AG134" i="56"/>
  <c r="AI134" i="56"/>
  <c r="AD134" i="56"/>
  <c r="AF164" i="56"/>
  <c r="AC134" i="56"/>
  <c r="AD27" i="56"/>
  <c r="AG27" i="56"/>
  <c r="AH27" i="56" s="1"/>
  <c r="AC38" i="56"/>
  <c r="AE38" i="56" s="1"/>
  <c r="BQ59" i="56"/>
  <c r="AI59" i="56" s="1"/>
  <c r="AY69" i="56"/>
  <c r="BS69" i="56"/>
  <c r="BC199" i="56"/>
  <c r="AC199" i="56" s="1"/>
  <c r="BC224" i="56"/>
  <c r="AC224" i="56" s="1"/>
  <c r="L261" i="56"/>
  <c r="O261" i="56" s="1"/>
  <c r="BS224" i="56"/>
  <c r="AN4" i="56"/>
  <c r="AO4" i="56" s="1"/>
  <c r="AS4" i="56"/>
  <c r="Q17" i="56"/>
  <c r="Q177" i="56" s="1"/>
  <c r="Z3" i="56"/>
  <c r="AF3" i="56"/>
  <c r="AI3" i="56"/>
  <c r="AB4" i="56"/>
  <c r="AT4" i="56"/>
  <c r="AI27" i="56"/>
  <c r="AS27" i="56" s="1"/>
  <c r="BC45" i="56"/>
  <c r="AC45" i="56" s="1"/>
  <c r="BS45" i="56"/>
  <c r="AI45" i="56" s="1"/>
  <c r="L53" i="56"/>
  <c r="AC70" i="56"/>
  <c r="AF70" i="56"/>
  <c r="AH70" i="56" s="1"/>
  <c r="BO212" i="56"/>
  <c r="AI212" i="56" s="1"/>
  <c r="BA265" i="56"/>
  <c r="Z265" i="56" s="1"/>
  <c r="AE4" i="56"/>
  <c r="Z38" i="56"/>
  <c r="AB38" i="56" s="1"/>
  <c r="AI38" i="56"/>
  <c r="AK38" i="56" s="1"/>
  <c r="AF58" i="56"/>
  <c r="AH58" i="56" s="1"/>
  <c r="BA69" i="56"/>
  <c r="BI69" i="56"/>
  <c r="AF69" i="56" s="1"/>
  <c r="BQ69" i="56"/>
  <c r="O64" i="56"/>
  <c r="AI164" i="56"/>
  <c r="AN286" i="56"/>
  <c r="AQ290" i="56"/>
  <c r="AF305" i="56"/>
  <c r="AF134" i="56"/>
  <c r="AH134" i="56" s="1"/>
  <c r="AP287" i="56"/>
  <c r="AG247" i="56"/>
  <c r="AF276" i="56"/>
  <c r="S5" i="56"/>
  <c r="AG48" i="56"/>
  <c r="AD48" i="56"/>
  <c r="AD53" i="56"/>
  <c r="AD120" i="56"/>
  <c r="AJ120" i="56"/>
  <c r="AM121" i="56"/>
  <c r="AP125" i="56"/>
  <c r="AN128" i="56"/>
  <c r="AC218" i="56"/>
  <c r="AF218" i="56"/>
  <c r="AI218" i="56"/>
  <c r="AK128" i="56"/>
  <c r="AJ247" i="56"/>
  <c r="AD250" i="56"/>
  <c r="AG250" i="56"/>
  <c r="AB211" i="56"/>
  <c r="M5" i="56"/>
  <c r="AN58" i="56"/>
  <c r="Z57" i="56"/>
  <c r="AD114" i="56"/>
  <c r="AJ69" i="56"/>
  <c r="V67" i="56"/>
  <c r="X67" i="56" s="1"/>
  <c r="X222" i="56" s="1"/>
  <c r="AJ250" i="56"/>
  <c r="AK257" i="56"/>
  <c r="AE269" i="56"/>
  <c r="AE273" i="56"/>
  <c r="AB308" i="56"/>
  <c r="Z222" i="56"/>
  <c r="AH104" i="56"/>
  <c r="AH108" i="56"/>
  <c r="O271" i="56"/>
  <c r="AE275" i="56"/>
  <c r="BA119" i="56"/>
  <c r="AP149" i="56"/>
  <c r="AA150" i="56"/>
  <c r="AD150" i="56"/>
  <c r="AJ150" i="56"/>
  <c r="AF161" i="56"/>
  <c r="AI251" i="56"/>
  <c r="AA258" i="56"/>
  <c r="AD258" i="56"/>
  <c r="AG258" i="56"/>
  <c r="AJ258" i="56"/>
  <c r="AI276" i="56"/>
  <c r="AD300" i="56"/>
  <c r="AG300" i="56"/>
  <c r="AA305" i="56"/>
  <c r="AG305" i="56"/>
  <c r="AJ45" i="56"/>
  <c r="Z59" i="56"/>
  <c r="AC64" i="56"/>
  <c r="AI64" i="56"/>
  <c r="AG67" i="56"/>
  <c r="AD69" i="56"/>
  <c r="AT75" i="56"/>
  <c r="AD110" i="56"/>
  <c r="Z134" i="56"/>
  <c r="AK136" i="56"/>
  <c r="R5" i="56"/>
  <c r="AK262" i="56"/>
  <c r="AB263" i="56"/>
  <c r="AK306" i="56"/>
  <c r="AH30" i="56"/>
  <c r="AN38" i="56"/>
  <c r="AH68" i="56"/>
  <c r="AK100" i="56"/>
  <c r="AH12" i="56"/>
  <c r="AJ175" i="56"/>
  <c r="AH183" i="56"/>
  <c r="AH186" i="56"/>
  <c r="AJ193" i="56"/>
  <c r="AJ199" i="56"/>
  <c r="AI210" i="56"/>
  <c r="AE223" i="56"/>
  <c r="AJ300" i="56"/>
  <c r="AA28" i="56"/>
  <c r="AG28" i="56"/>
  <c r="AQ29" i="56"/>
  <c r="AS30" i="56"/>
  <c r="AV30" i="56" s="1"/>
  <c r="AF39" i="56"/>
  <c r="AJ59" i="56"/>
  <c r="AI67" i="56"/>
  <c r="AQ80" i="56"/>
  <c r="AA101" i="56"/>
  <c r="BJ81" i="56"/>
  <c r="AM102" i="56"/>
  <c r="AN105" i="56"/>
  <c r="AM106" i="56"/>
  <c r="AN109" i="56"/>
  <c r="Z110" i="56"/>
  <c r="AF110" i="56"/>
  <c r="AT116" i="56"/>
  <c r="AG155" i="56"/>
  <c r="AC161" i="56"/>
  <c r="AI161" i="56"/>
  <c r="Z171" i="56"/>
  <c r="AF171" i="56"/>
  <c r="AA173" i="56"/>
  <c r="AD173" i="56"/>
  <c r="AG173" i="56"/>
  <c r="AJ173" i="56"/>
  <c r="T185" i="56"/>
  <c r="T310" i="56" s="1"/>
  <c r="AC182" i="56"/>
  <c r="AC184" i="56" s="1"/>
  <c r="AJ220" i="56"/>
  <c r="AC222" i="56"/>
  <c r="AD23" i="56"/>
  <c r="AD28" i="56"/>
  <c r="AJ28" i="56"/>
  <c r="AC39" i="56"/>
  <c r="AH13" i="56"/>
  <c r="AD98" i="56"/>
  <c r="AC101" i="56"/>
  <c r="AF101" i="56"/>
  <c r="AI101" i="56"/>
  <c r="AQ104" i="56"/>
  <c r="AQ108" i="56"/>
  <c r="AP109" i="56"/>
  <c r="AK113" i="56"/>
  <c r="AK116" i="56"/>
  <c r="AE130" i="56"/>
  <c r="AS137" i="56"/>
  <c r="AV137" i="56" s="1"/>
  <c r="AH166" i="56"/>
  <c r="AE202" i="56"/>
  <c r="BS119" i="56"/>
  <c r="AA250" i="56"/>
  <c r="AK15" i="56"/>
  <c r="N5" i="56"/>
  <c r="AK18" i="56"/>
  <c r="AK20" i="56"/>
  <c r="AH33" i="56"/>
  <c r="AK50" i="56"/>
  <c r="AN55" i="56"/>
  <c r="AH56" i="56"/>
  <c r="AE62" i="56"/>
  <c r="AH71" i="56"/>
  <c r="AH80" i="56"/>
  <c r="AE97" i="56"/>
  <c r="AP105" i="56"/>
  <c r="AK105" i="56"/>
  <c r="AK112" i="56"/>
  <c r="AQ118" i="56"/>
  <c r="AM146" i="56"/>
  <c r="AI150" i="56"/>
  <c r="AP168" i="56"/>
  <c r="AD247" i="56"/>
  <c r="AH252" i="56"/>
  <c r="AJ283" i="56"/>
  <c r="AH296" i="56"/>
  <c r="AH302" i="56"/>
  <c r="AG82" i="56"/>
  <c r="BE119" i="56"/>
  <c r="BI119" i="56"/>
  <c r="BM119" i="56"/>
  <c r="BQ119" i="56"/>
  <c r="AH159" i="56"/>
  <c r="AU189" i="56"/>
  <c r="AK201" i="56"/>
  <c r="AG212" i="56"/>
  <c r="AG251" i="56"/>
  <c r="AM252" i="56"/>
  <c r="Z258" i="56"/>
  <c r="AI258" i="56"/>
  <c r="AF265" i="56"/>
  <c r="AJ265" i="56"/>
  <c r="Z270" i="56"/>
  <c r="AF270" i="56"/>
  <c r="AI270" i="56"/>
  <c r="AM280" i="56"/>
  <c r="AF51" i="56"/>
  <c r="AH47" i="56"/>
  <c r="AB52" i="56"/>
  <c r="AE61" i="56"/>
  <c r="AK61" i="56"/>
  <c r="AE63" i="56"/>
  <c r="AK63" i="56"/>
  <c r="AA69" i="56"/>
  <c r="BT64" i="56"/>
  <c r="AJ64" i="56" s="1"/>
  <c r="AK74" i="56"/>
  <c r="AK80" i="56"/>
  <c r="AK86" i="56"/>
  <c r="AH90" i="56"/>
  <c r="AK95" i="56"/>
  <c r="AH125" i="56"/>
  <c r="AK127" i="56"/>
  <c r="M185" i="56"/>
  <c r="AC204" i="56"/>
  <c r="AF204" i="56"/>
  <c r="AI207" i="56"/>
  <c r="AC251" i="56"/>
  <c r="AH299" i="56"/>
  <c r="O300" i="56"/>
  <c r="AA164" i="56"/>
  <c r="Z45" i="56"/>
  <c r="AZ81" i="56"/>
  <c r="AA120" i="56"/>
  <c r="AY119" i="56"/>
  <c r="BG119" i="56"/>
  <c r="AF150" i="56"/>
  <c r="Z158" i="56"/>
  <c r="AC158" i="56"/>
  <c r="AF158" i="56"/>
  <c r="AE160" i="56"/>
  <c r="AK172" i="56"/>
  <c r="AM195" i="56"/>
  <c r="AE196" i="56"/>
  <c r="AB209" i="56"/>
  <c r="Z210" i="56"/>
  <c r="AC210" i="56"/>
  <c r="AD220" i="56"/>
  <c r="AH227" i="56"/>
  <c r="AE236" i="56"/>
  <c r="AE237" i="56"/>
  <c r="AK237" i="56"/>
  <c r="AH239" i="56"/>
  <c r="AH243" i="56"/>
  <c r="AH244" i="56"/>
  <c r="AK252" i="56"/>
  <c r="AA270" i="56"/>
  <c r="AD270" i="56"/>
  <c r="AG270" i="56"/>
  <c r="AJ270" i="56"/>
  <c r="AN273" i="56"/>
  <c r="AJ305" i="56"/>
  <c r="AE307" i="56"/>
  <c r="AK308" i="56"/>
  <c r="P14" i="56"/>
  <c r="AE135" i="56"/>
  <c r="AF14" i="56"/>
  <c r="AH14" i="56" s="1"/>
  <c r="Z17" i="56"/>
  <c r="AP19" i="56"/>
  <c r="Z23" i="56"/>
  <c r="AF23" i="56"/>
  <c r="Z82" i="56"/>
  <c r="AC82" i="56"/>
  <c r="AF82" i="56"/>
  <c r="AI82" i="56"/>
  <c r="AQ85" i="56"/>
  <c r="AK85" i="56"/>
  <c r="AP86" i="56"/>
  <c r="AA89" i="56"/>
  <c r="AG89" i="56"/>
  <c r="AM90" i="56"/>
  <c r="AA161" i="56"/>
  <c r="AJ161" i="56"/>
  <c r="AM162" i="56"/>
  <c r="AN169" i="56"/>
  <c r="AA171" i="56"/>
  <c r="AD171" i="56"/>
  <c r="AG171" i="56"/>
  <c r="AJ171" i="56"/>
  <c r="AN178" i="56"/>
  <c r="AA182" i="56"/>
  <c r="AA184" i="56" s="1"/>
  <c r="AA185" i="56" s="1"/>
  <c r="AG182" i="56"/>
  <c r="AG184" i="56" s="1"/>
  <c r="AG185" i="56" s="1"/>
  <c r="AM183" i="56"/>
  <c r="AM186" i="56"/>
  <c r="AX309" i="56"/>
  <c r="BB309" i="56"/>
  <c r="BF309" i="56"/>
  <c r="BJ309" i="56"/>
  <c r="BN309" i="56"/>
  <c r="Z207" i="56"/>
  <c r="AC207" i="56"/>
  <c r="AP209" i="56"/>
  <c r="AA218" i="56"/>
  <c r="AC220" i="56"/>
  <c r="AF251" i="56"/>
  <c r="AN252" i="56"/>
  <c r="AN254" i="56"/>
  <c r="AA283" i="56"/>
  <c r="AD283" i="56"/>
  <c r="AG283" i="56"/>
  <c r="AP284" i="56"/>
  <c r="AP288" i="56"/>
  <c r="AN293" i="56"/>
  <c r="AP294" i="56"/>
  <c r="AM307" i="56"/>
  <c r="Z251" i="56"/>
  <c r="AH22" i="56"/>
  <c r="AH26" i="56"/>
  <c r="AA45" i="56"/>
  <c r="AD45" i="56"/>
  <c r="AG45" i="56"/>
  <c r="AN47" i="56"/>
  <c r="AA59" i="56"/>
  <c r="AD59" i="56"/>
  <c r="AG59" i="56"/>
  <c r="AN61" i="56"/>
  <c r="AA64" i="56"/>
  <c r="AG64" i="56"/>
  <c r="BH81" i="56"/>
  <c r="AN84" i="56"/>
  <c r="AM85" i="56"/>
  <c r="AN88" i="56"/>
  <c r="AK92" i="56"/>
  <c r="AK96" i="56"/>
  <c r="AW119" i="56"/>
  <c r="AE121" i="56"/>
  <c r="AE122" i="56"/>
  <c r="AQ125" i="56"/>
  <c r="AK126" i="56"/>
  <c r="AK129" i="56"/>
  <c r="AN130" i="56"/>
  <c r="AP131" i="56"/>
  <c r="AH131" i="56"/>
  <c r="AN132" i="56"/>
  <c r="AK137" i="56"/>
  <c r="AH149" i="56"/>
  <c r="AE151" i="56"/>
  <c r="AJ155" i="56"/>
  <c r="Z164" i="56"/>
  <c r="AE166" i="56"/>
  <c r="AK166" i="56"/>
  <c r="AH167" i="56"/>
  <c r="AH168" i="56"/>
  <c r="AK169" i="56"/>
  <c r="O171" i="56"/>
  <c r="AK195" i="56"/>
  <c r="AH197" i="56"/>
  <c r="AE205" i="56"/>
  <c r="AH208" i="56"/>
  <c r="AE227" i="56"/>
  <c r="AH228" i="56"/>
  <c r="AH229" i="56"/>
  <c r="AE232" i="56"/>
  <c r="AH233" i="56"/>
  <c r="AE235" i="56"/>
  <c r="AE254" i="56"/>
  <c r="AK254" i="56"/>
  <c r="AB256" i="56"/>
  <c r="AH256" i="56"/>
  <c r="AE264" i="56"/>
  <c r="AK280" i="56"/>
  <c r="AH286" i="56"/>
  <c r="AB291" i="56"/>
  <c r="AK303" i="56"/>
  <c r="AN304" i="56"/>
  <c r="AG164" i="56"/>
  <c r="AA134" i="56"/>
  <c r="AJ134" i="56"/>
  <c r="BB81" i="56"/>
  <c r="BF81" i="56"/>
  <c r="BN81" i="56"/>
  <c r="BR81" i="56"/>
  <c r="AK118" i="56"/>
  <c r="AH124" i="56"/>
  <c r="AI158" i="56"/>
  <c r="AK16" i="56"/>
  <c r="AA23" i="56"/>
  <c r="AG23" i="56"/>
  <c r="BL81" i="56"/>
  <c r="AJ82" i="56"/>
  <c r="BP81" i="56"/>
  <c r="BT81" i="56"/>
  <c r="BC81" i="56"/>
  <c r="AK139" i="56"/>
  <c r="AK143" i="56"/>
  <c r="AK149" i="56"/>
  <c r="AS12" i="56"/>
  <c r="AV12" i="56" s="1"/>
  <c r="AN12" i="56"/>
  <c r="AM16" i="56"/>
  <c r="AH16" i="56"/>
  <c r="AK24" i="56"/>
  <c r="AH25" i="56"/>
  <c r="AJ48" i="56"/>
  <c r="AE49" i="56"/>
  <c r="AC150" i="56"/>
  <c r="BC119" i="56"/>
  <c r="O67" i="56"/>
  <c r="AE157" i="56"/>
  <c r="AA39" i="56"/>
  <c r="AD39" i="56"/>
  <c r="AG39" i="56"/>
  <c r="AE40" i="56"/>
  <c r="AK43" i="56"/>
  <c r="Z48" i="56"/>
  <c r="AC48" i="56"/>
  <c r="AA51" i="56"/>
  <c r="AD51" i="56"/>
  <c r="AG51" i="56"/>
  <c r="AJ51" i="56"/>
  <c r="AA53" i="56"/>
  <c r="AG53" i="56"/>
  <c r="AJ53" i="56"/>
  <c r="AH54" i="56"/>
  <c r="AH55" i="56"/>
  <c r="AE55" i="56"/>
  <c r="AG69" i="56"/>
  <c r="AK77" i="56"/>
  <c r="AM80" i="56"/>
  <c r="AA110" i="56"/>
  <c r="AG110" i="56"/>
  <c r="AJ110" i="56"/>
  <c r="AS111" i="56"/>
  <c r="AV111" i="56" s="1"/>
  <c r="Z114" i="56"/>
  <c r="AF114" i="56"/>
  <c r="AK115" i="56"/>
  <c r="AN117" i="56"/>
  <c r="AS122" i="56"/>
  <c r="AV122" i="56" s="1"/>
  <c r="AK123" i="56"/>
  <c r="AQ133" i="56"/>
  <c r="AM135" i="56"/>
  <c r="AH138" i="56"/>
  <c r="AE140" i="56"/>
  <c r="AP141" i="56"/>
  <c r="AT142" i="56"/>
  <c r="AE144" i="56"/>
  <c r="AP145" i="56"/>
  <c r="AN146" i="56"/>
  <c r="Z155" i="56"/>
  <c r="AC155" i="56"/>
  <c r="AF155" i="56"/>
  <c r="AI155" i="56"/>
  <c r="AH156" i="56"/>
  <c r="AM157" i="56"/>
  <c r="AD161" i="56"/>
  <c r="AG161" i="56"/>
  <c r="AJ23" i="56"/>
  <c r="AN24" i="56"/>
  <c r="AK25" i="56"/>
  <c r="AK26" i="56"/>
  <c r="Z28" i="56"/>
  <c r="AF28" i="56"/>
  <c r="AM31" i="56"/>
  <c r="AM35" i="56"/>
  <c r="AM43" i="56"/>
  <c r="AQ44" i="56"/>
  <c r="AH50" i="56"/>
  <c r="Z51" i="56"/>
  <c r="AC51" i="56"/>
  <c r="AE52" i="56"/>
  <c r="Z53" i="56"/>
  <c r="AC53" i="56"/>
  <c r="AF53" i="56"/>
  <c r="AF59" i="56"/>
  <c r="AN60" i="56"/>
  <c r="AN62" i="56"/>
  <c r="AN63" i="56"/>
  <c r="Z64" i="56"/>
  <c r="AF64" i="56"/>
  <c r="AQ65" i="56"/>
  <c r="AE66" i="56"/>
  <c r="AF67" i="56"/>
  <c r="AM75" i="56"/>
  <c r="AQ77" i="56"/>
  <c r="Z89" i="56"/>
  <c r="AC89" i="56"/>
  <c r="AQ90" i="56"/>
  <c r="AP91" i="56"/>
  <c r="AH92" i="56"/>
  <c r="AP94" i="56"/>
  <c r="AK94" i="56"/>
  <c r="AT95" i="56"/>
  <c r="AH96" i="56"/>
  <c r="AA98" i="56"/>
  <c r="AG98" i="56"/>
  <c r="AJ98" i="56"/>
  <c r="AS99" i="56"/>
  <c r="AV99" i="56" s="1"/>
  <c r="AQ100" i="56"/>
  <c r="AH112" i="56"/>
  <c r="AA114" i="56"/>
  <c r="AG114" i="56"/>
  <c r="AJ114" i="56"/>
  <c r="AS115" i="56"/>
  <c r="AV115" i="56" s="1"/>
  <c r="AK117" i="56"/>
  <c r="AS123" i="56"/>
  <c r="AV123" i="56" s="1"/>
  <c r="AQ131" i="56"/>
  <c r="AK132" i="56"/>
  <c r="AH133" i="56"/>
  <c r="AM138" i="56"/>
  <c r="AM144" i="56"/>
  <c r="AD155" i="56"/>
  <c r="AP156" i="56"/>
  <c r="AK156" i="56"/>
  <c r="AN157" i="56"/>
  <c r="AZ119" i="56"/>
  <c r="BH119" i="56"/>
  <c r="AG158" i="56"/>
  <c r="BT119" i="56"/>
  <c r="AE159" i="56"/>
  <c r="AM160" i="56"/>
  <c r="AT223" i="56"/>
  <c r="AI224" i="56"/>
  <c r="AH301" i="56"/>
  <c r="AN165" i="56"/>
  <c r="AA175" i="56"/>
  <c r="AD175" i="56"/>
  <c r="AG175" i="56"/>
  <c r="AE176" i="56"/>
  <c r="AK176" i="56"/>
  <c r="AP178" i="56"/>
  <c r="AK178" i="56"/>
  <c r="Z182" i="56"/>
  <c r="Z184" i="56" s="1"/>
  <c r="Z185" i="56" s="1"/>
  <c r="AF182" i="56"/>
  <c r="AF184" i="56" s="1"/>
  <c r="AF185" i="56" s="1"/>
  <c r="AI182" i="56"/>
  <c r="AI184" i="56" s="1"/>
  <c r="AI185" i="56" s="1"/>
  <c r="AT183" i="56"/>
  <c r="AI191" i="56"/>
  <c r="AH195" i="56"/>
  <c r="AP196" i="56"/>
  <c r="AN202" i="56"/>
  <c r="AH202" i="56"/>
  <c r="AA204" i="56"/>
  <c r="AD204" i="56"/>
  <c r="AG204" i="56"/>
  <c r="AF210" i="56"/>
  <c r="AN211" i="56"/>
  <c r="Z212" i="56"/>
  <c r="AC212" i="56"/>
  <c r="AF212" i="56"/>
  <c r="AM214" i="56"/>
  <c r="AK216" i="56"/>
  <c r="AK219" i="56"/>
  <c r="AK223" i="56"/>
  <c r="AD224" i="56"/>
  <c r="AP230" i="56"/>
  <c r="AQ231" i="56"/>
  <c r="AM236" i="56"/>
  <c r="AH236" i="56"/>
  <c r="AK242" i="56"/>
  <c r="AQ245" i="56"/>
  <c r="AP246" i="56"/>
  <c r="AH249" i="56"/>
  <c r="AQ256" i="56"/>
  <c r="AM257" i="56"/>
  <c r="AH257" i="56"/>
  <c r="AI261" i="56"/>
  <c r="AQ264" i="56"/>
  <c r="AQ266" i="56"/>
  <c r="AK269" i="56"/>
  <c r="AK272" i="56"/>
  <c r="AN275" i="56"/>
  <c r="AA276" i="56"/>
  <c r="AP277" i="56"/>
  <c r="AE278" i="56"/>
  <c r="AP279" i="56"/>
  <c r="AK279" i="56"/>
  <c r="AN280" i="56"/>
  <c r="AH282" i="56"/>
  <c r="AH292" i="56"/>
  <c r="AC300" i="56"/>
  <c r="AI300" i="56"/>
  <c r="AM302" i="56"/>
  <c r="AE303" i="56"/>
  <c r="AT308" i="56"/>
  <c r="AQ162" i="56"/>
  <c r="AP163" i="56"/>
  <c r="O164" i="56"/>
  <c r="AK170" i="56"/>
  <c r="Z173" i="56"/>
  <c r="AF173" i="56"/>
  <c r="Z175" i="56"/>
  <c r="AF175" i="56"/>
  <c r="AQ190" i="56"/>
  <c r="AD199" i="56"/>
  <c r="AG199" i="56"/>
  <c r="Z204" i="56"/>
  <c r="AI204" i="56"/>
  <c r="AA207" i="56"/>
  <c r="AD207" i="56"/>
  <c r="AG207" i="56"/>
  <c r="AJ207" i="56"/>
  <c r="AA210" i="56"/>
  <c r="AD210" i="56"/>
  <c r="AG210" i="56"/>
  <c r="AJ210" i="56"/>
  <c r="AD212" i="56"/>
  <c r="AN214" i="56"/>
  <c r="AM219" i="56"/>
  <c r="Z224" i="56"/>
  <c r="AH237" i="56"/>
  <c r="AM241" i="56"/>
  <c r="AE243" i="56"/>
  <c r="AQ244" i="56"/>
  <c r="AH245" i="56"/>
  <c r="AA247" i="56"/>
  <c r="Z250" i="56"/>
  <c r="AC250" i="56"/>
  <c r="AF250" i="56"/>
  <c r="AI250" i="56"/>
  <c r="AE253" i="56"/>
  <c r="AK253" i="56"/>
  <c r="AH254" i="56"/>
  <c r="O258" i="56"/>
  <c r="AC258" i="56"/>
  <c r="AF258" i="56"/>
  <c r="AB260" i="56"/>
  <c r="Z261" i="56"/>
  <c r="AC261" i="56"/>
  <c r="AG261" i="56"/>
  <c r="AJ261" i="56"/>
  <c r="AT263" i="56"/>
  <c r="AS264" i="56"/>
  <c r="AV264" i="56" s="1"/>
  <c r="AH264" i="56"/>
  <c r="AA265" i="56"/>
  <c r="AD265" i="56"/>
  <c r="AG265" i="56"/>
  <c r="AH266" i="56"/>
  <c r="AQ267" i="56"/>
  <c r="AE268" i="56"/>
  <c r="O270" i="56"/>
  <c r="AK271" i="56"/>
  <c r="AK275" i="56"/>
  <c r="Z276" i="56"/>
  <c r="AH285" i="56"/>
  <c r="AH289" i="56"/>
  <c r="AS293" i="56"/>
  <c r="AV293" i="56" s="1"/>
  <c r="AP295" i="56"/>
  <c r="AN296" i="56"/>
  <c r="AN302" i="56"/>
  <c r="AH303" i="56"/>
  <c r="AD305" i="56"/>
  <c r="AQ306" i="56"/>
  <c r="O175" i="56"/>
  <c r="AE190" i="56"/>
  <c r="AK190" i="56"/>
  <c r="AE195" i="56"/>
  <c r="AK202" i="56"/>
  <c r="AH206" i="56"/>
  <c r="AK209" i="56"/>
  <c r="AK211" i="56"/>
  <c r="AH213" i="56"/>
  <c r="BT218" i="56"/>
  <c r="BT212" i="56" s="1"/>
  <c r="AJ212" i="56" s="1"/>
  <c r="AE240" i="56"/>
  <c r="AK240" i="56"/>
  <c r="AK249" i="56"/>
  <c r="AE259" i="56"/>
  <c r="AH269" i="56"/>
  <c r="AH273" i="56"/>
  <c r="AK281" i="56"/>
  <c r="AT282" i="56"/>
  <c r="AK282" i="56"/>
  <c r="AH294" i="56"/>
  <c r="Z305" i="56"/>
  <c r="AC305" i="56"/>
  <c r="AI305" i="56"/>
  <c r="AP306" i="56"/>
  <c r="AH306" i="56"/>
  <c r="AH307" i="56"/>
  <c r="AS308" i="56"/>
  <c r="AW81" i="56"/>
  <c r="BA81" i="56"/>
  <c r="BE81" i="56"/>
  <c r="BI81" i="56"/>
  <c r="AF98" i="56"/>
  <c r="BM81" i="56"/>
  <c r="BQ81" i="56"/>
  <c r="AN122" i="56"/>
  <c r="AB122" i="56"/>
  <c r="AP132" i="56"/>
  <c r="AE132" i="56"/>
  <c r="AD158" i="56"/>
  <c r="BD119" i="56"/>
  <c r="AJ158" i="56"/>
  <c r="BP119" i="56"/>
  <c r="AG17" i="56"/>
  <c r="AE25" i="56"/>
  <c r="AE26" i="56"/>
  <c r="AK29" i="56"/>
  <c r="AJ39" i="56"/>
  <c r="AM41" i="56"/>
  <c r="AK41" i="56"/>
  <c r="AK44" i="56"/>
  <c r="AE46" i="56"/>
  <c r="AE50" i="56"/>
  <c r="AS93" i="56"/>
  <c r="AV93" i="56" s="1"/>
  <c r="AN136" i="56"/>
  <c r="AB136" i="56"/>
  <c r="BA8" i="56"/>
  <c r="AP15" i="56"/>
  <c r="AN16" i="56"/>
  <c r="AM20" i="56"/>
  <c r="AC23" i="56"/>
  <c r="AI23" i="56"/>
  <c r="AS25" i="56"/>
  <c r="AS26" i="56"/>
  <c r="AC28" i="56"/>
  <c r="AI28" i="56"/>
  <c r="AM29" i="56"/>
  <c r="AN30" i="56"/>
  <c r="AN32" i="56"/>
  <c r="AS33" i="56"/>
  <c r="AV33" i="56" s="1"/>
  <c r="Z39" i="56"/>
  <c r="AQ42" i="56"/>
  <c r="AK42" i="56"/>
  <c r="AB43" i="56"/>
  <c r="AM44" i="56"/>
  <c r="AA48" i="56"/>
  <c r="AH49" i="56"/>
  <c r="AM52" i="56"/>
  <c r="AQ52" i="56"/>
  <c r="AP56" i="56"/>
  <c r="AA57" i="56"/>
  <c r="AG57" i="56"/>
  <c r="AI57" i="56"/>
  <c r="AF57" i="56"/>
  <c r="AK60" i="56"/>
  <c r="AM65" i="56"/>
  <c r="AJ67" i="56"/>
  <c r="Z67" i="56"/>
  <c r="AK72" i="56"/>
  <c r="AT73" i="56"/>
  <c r="AX81" i="56"/>
  <c r="AY81" i="56"/>
  <c r="AI89" i="56"/>
  <c r="BB119" i="56"/>
  <c r="BN119" i="56"/>
  <c r="P12" i="56"/>
  <c r="AE12" i="56"/>
  <c r="AN13" i="56"/>
  <c r="AQ14" i="56"/>
  <c r="AC14" i="56"/>
  <c r="AE14" i="56" s="1"/>
  <c r="S177" i="56"/>
  <c r="S179" i="56" s="1"/>
  <c r="AF17" i="56"/>
  <c r="AH18" i="56"/>
  <c r="AN20" i="56"/>
  <c r="AH20" i="56"/>
  <c r="AE24" i="56"/>
  <c r="AN25" i="56"/>
  <c r="AN26" i="56"/>
  <c r="AQ31" i="56"/>
  <c r="AK31" i="56"/>
  <c r="AE32" i="56"/>
  <c r="AK32" i="56"/>
  <c r="AQ35" i="56"/>
  <c r="AK35" i="56"/>
  <c r="AH38" i="56"/>
  <c r="AM40" i="56"/>
  <c r="AB41" i="56"/>
  <c r="AM42" i="56"/>
  <c r="AF45" i="56"/>
  <c r="AH46" i="56"/>
  <c r="AE47" i="56"/>
  <c r="AF48" i="56"/>
  <c r="AN50" i="56"/>
  <c r="P51" i="56"/>
  <c r="AI51" i="56"/>
  <c r="AN52" i="56"/>
  <c r="AH52" i="56"/>
  <c r="O57" i="56"/>
  <c r="AM62" i="56"/>
  <c r="AP66" i="56"/>
  <c r="AQ70" i="56"/>
  <c r="AH74" i="56"/>
  <c r="AH75" i="56"/>
  <c r="AK79" i="56"/>
  <c r="AT80" i="56"/>
  <c r="AD82" i="56"/>
  <c r="BD81" i="56"/>
  <c r="BL119" i="56"/>
  <c r="Z120" i="56"/>
  <c r="BF119" i="56"/>
  <c r="BR119" i="56"/>
  <c r="AH139" i="56"/>
  <c r="AH143" i="56"/>
  <c r="AS144" i="56"/>
  <c r="AV144" i="56" s="1"/>
  <c r="AM192" i="56"/>
  <c r="AB192" i="56"/>
  <c r="AH205" i="56"/>
  <c r="AE208" i="56"/>
  <c r="AQ83" i="56"/>
  <c r="AP84" i="56"/>
  <c r="AQ87" i="56"/>
  <c r="AP88" i="56"/>
  <c r="AF89" i="56"/>
  <c r="AN93" i="56"/>
  <c r="AM97" i="56"/>
  <c r="AC98" i="56"/>
  <c r="BG81" i="56"/>
  <c r="BK81" i="56"/>
  <c r="AI98" i="56"/>
  <c r="BS81" i="56"/>
  <c r="AN99" i="56"/>
  <c r="AM100" i="56"/>
  <c r="AD101" i="56"/>
  <c r="AG101" i="56"/>
  <c r="AJ101" i="56"/>
  <c r="AN103" i="56"/>
  <c r="AM104" i="56"/>
  <c r="AN107" i="56"/>
  <c r="AM108" i="56"/>
  <c r="AC110" i="56"/>
  <c r="AI110" i="56"/>
  <c r="AM112" i="56"/>
  <c r="AC114" i="56"/>
  <c r="AI114" i="56"/>
  <c r="BO119" i="56"/>
  <c r="AC120" i="56"/>
  <c r="AF120" i="56"/>
  <c r="AI120" i="56"/>
  <c r="AQ127" i="56"/>
  <c r="AM132" i="56"/>
  <c r="AP133" i="56"/>
  <c r="AQ135" i="56"/>
  <c r="AB137" i="56"/>
  <c r="AK138" i="56"/>
  <c r="AK142" i="56"/>
  <c r="AP143" i="56"/>
  <c r="AN144" i="56"/>
  <c r="AQ146" i="56"/>
  <c r="AK146" i="56"/>
  <c r="AS157" i="56"/>
  <c r="AV157" i="56" s="1"/>
  <c r="S309" i="56"/>
  <c r="S312" i="56" s="1"/>
  <c r="AN192" i="56"/>
  <c r="AN195" i="56"/>
  <c r="AT213" i="56"/>
  <c r="AM73" i="56"/>
  <c r="AH73" i="56"/>
  <c r="AQ74" i="56"/>
  <c r="AK75" i="56"/>
  <c r="AH77" i="56"/>
  <c r="AP78" i="56"/>
  <c r="AK78" i="56"/>
  <c r="AS79" i="56"/>
  <c r="AV79" i="56" s="1"/>
  <c r="AA82" i="56"/>
  <c r="AM83" i="56"/>
  <c r="AH83" i="56"/>
  <c r="AN86" i="56"/>
  <c r="AM87" i="56"/>
  <c r="AH87" i="56"/>
  <c r="AD89" i="56"/>
  <c r="AJ89" i="56"/>
  <c r="AN91" i="56"/>
  <c r="AE93" i="56"/>
  <c r="AM95" i="56"/>
  <c r="AH95" i="56"/>
  <c r="AK99" i="56"/>
  <c r="AH100" i="56"/>
  <c r="Z101" i="56"/>
  <c r="AQ102" i="56"/>
  <c r="AK102" i="56"/>
  <c r="AP103" i="56"/>
  <c r="AK103" i="56"/>
  <c r="AQ106" i="56"/>
  <c r="AK106" i="56"/>
  <c r="AP107" i="56"/>
  <c r="AK107" i="56"/>
  <c r="AK111" i="56"/>
  <c r="AT112" i="56"/>
  <c r="AM113" i="56"/>
  <c r="AH113" i="56"/>
  <c r="R177" i="56"/>
  <c r="R185" i="56" s="1"/>
  <c r="R187" i="56" s="1"/>
  <c r="BK119" i="56"/>
  <c r="AG120" i="56"/>
  <c r="AM122" i="56"/>
  <c r="AQ122" i="56"/>
  <c r="AK122" i="56"/>
  <c r="AN126" i="56"/>
  <c r="AS130" i="56"/>
  <c r="AV130" i="56" s="1"/>
  <c r="AK130" i="56"/>
  <c r="AK131" i="56"/>
  <c r="AB141" i="56"/>
  <c r="AM142" i="56"/>
  <c r="AH142" i="56"/>
  <c r="AB145" i="56"/>
  <c r="AH146" i="56"/>
  <c r="AE170" i="56"/>
  <c r="AT178" i="56"/>
  <c r="AA191" i="56"/>
  <c r="AH196" i="56"/>
  <c r="AJ204" i="56"/>
  <c r="O205" i="56"/>
  <c r="L204" i="56"/>
  <c r="O204" i="56" s="1"/>
  <c r="L212" i="56"/>
  <c r="V57" i="56" s="1"/>
  <c r="AI222" i="56"/>
  <c r="AE146" i="56"/>
  <c r="AG150" i="56"/>
  <c r="AB154" i="56"/>
  <c r="AA158" i="56"/>
  <c r="AK159" i="56"/>
  <c r="AH160" i="56"/>
  <c r="Z161" i="56"/>
  <c r="AE162" i="56"/>
  <c r="AE165" i="56"/>
  <c r="AP166" i="56"/>
  <c r="AE167" i="56"/>
  <c r="AM170" i="56"/>
  <c r="AC171" i="56"/>
  <c r="AI171" i="56"/>
  <c r="AN172" i="56"/>
  <c r="AI173" i="56"/>
  <c r="AM176" i="56"/>
  <c r="AH176" i="56"/>
  <c r="AD182" i="56"/>
  <c r="AD184" i="56" s="1"/>
  <c r="AD185" i="56" s="1"/>
  <c r="AJ182" i="56"/>
  <c r="AT186" i="56"/>
  <c r="AZ309" i="56"/>
  <c r="AJ191" i="56"/>
  <c r="AT192" i="56"/>
  <c r="N309" i="56"/>
  <c r="AC193" i="56"/>
  <c r="AA199" i="56"/>
  <c r="AB201" i="56"/>
  <c r="AH203" i="56"/>
  <c r="AM208" i="56"/>
  <c r="AH215" i="56"/>
  <c r="AM216" i="56"/>
  <c r="O237" i="56"/>
  <c r="L224" i="56"/>
  <c r="O224" i="56" s="1"/>
  <c r="Z150" i="56"/>
  <c r="AP154" i="56"/>
  <c r="AK154" i="56"/>
  <c r="AA155" i="56"/>
  <c r="AN159" i="56"/>
  <c r="AE163" i="56"/>
  <c r="AK163" i="56"/>
  <c r="AQ166" i="56"/>
  <c r="AM167" i="56"/>
  <c r="AN170" i="56"/>
  <c r="AH170" i="56"/>
  <c r="AK174" i="56"/>
  <c r="AC175" i="56"/>
  <c r="AI175" i="56"/>
  <c r="AN176" i="56"/>
  <c r="AS178" i="56"/>
  <c r="AQ183" i="56"/>
  <c r="AK183" i="56"/>
  <c r="AW309" i="56"/>
  <c r="BA309" i="56"/>
  <c r="BE309" i="56"/>
  <c r="AF191" i="56"/>
  <c r="AA193" i="56"/>
  <c r="AD193" i="56"/>
  <c r="AG193" i="56"/>
  <c r="AP194" i="56"/>
  <c r="AH194" i="56"/>
  <c r="AP195" i="56"/>
  <c r="AH198" i="56"/>
  <c r="Z199" i="56"/>
  <c r="AF199" i="56"/>
  <c r="AI199" i="56"/>
  <c r="AP203" i="56"/>
  <c r="AK203" i="56"/>
  <c r="M309" i="56"/>
  <c r="AM205" i="56"/>
  <c r="AE206" i="56"/>
  <c r="AF207" i="56"/>
  <c r="AA212" i="56"/>
  <c r="AK214" i="56"/>
  <c r="Z218" i="56"/>
  <c r="AA220" i="56"/>
  <c r="AG220" i="56"/>
  <c r="AM221" i="56"/>
  <c r="AA222" i="56"/>
  <c r="AD222" i="56"/>
  <c r="AG222" i="56"/>
  <c r="AM223" i="56"/>
  <c r="AM233" i="56"/>
  <c r="AQ238" i="56"/>
  <c r="AP242" i="56"/>
  <c r="AN243" i="56"/>
  <c r="AB243" i="56"/>
  <c r="Z247" i="56"/>
  <c r="AF247" i="56"/>
  <c r="AP248" i="56"/>
  <c r="AT277" i="56"/>
  <c r="AF224" i="56"/>
  <c r="AN226" i="56"/>
  <c r="AN227" i="56"/>
  <c r="AB230" i="56"/>
  <c r="AT230" i="56"/>
  <c r="AH231" i="56"/>
  <c r="AK260" i="56"/>
  <c r="AK264" i="56"/>
  <c r="AF300" i="56"/>
  <c r="AH214" i="56"/>
  <c r="AP215" i="56"/>
  <c r="AK215" i="56"/>
  <c r="AD218" i="56"/>
  <c r="AG218" i="56"/>
  <c r="Z220" i="56"/>
  <c r="AF220" i="56"/>
  <c r="AI220" i="56"/>
  <c r="AN221" i="56"/>
  <c r="AA224" i="56"/>
  <c r="AG224" i="56"/>
  <c r="AK228" i="56"/>
  <c r="AN229" i="56"/>
  <c r="AE231" i="56"/>
  <c r="AM232" i="56"/>
  <c r="AM235" i="56"/>
  <c r="AH235" i="56"/>
  <c r="AT239" i="56"/>
  <c r="AQ240" i="56"/>
  <c r="AM243" i="56"/>
  <c r="AQ243" i="56"/>
  <c r="AP255" i="56"/>
  <c r="AK256" i="56"/>
  <c r="AE257" i="56"/>
  <c r="AQ260" i="56"/>
  <c r="AH260" i="56"/>
  <c r="AA261" i="56"/>
  <c r="AD261" i="56"/>
  <c r="AE263" i="56"/>
  <c r="AK263" i="56"/>
  <c r="AN264" i="56"/>
  <c r="AC265" i="56"/>
  <c r="AH267" i="56"/>
  <c r="AK267" i="56"/>
  <c r="AK268" i="56"/>
  <c r="AM272" i="56"/>
  <c r="AP275" i="56"/>
  <c r="AH275" i="56"/>
  <c r="AB277" i="56"/>
  <c r="AK277" i="56"/>
  <c r="AP278" i="56"/>
  <c r="AH281" i="56"/>
  <c r="AP282" i="56"/>
  <c r="AQ285" i="56"/>
  <c r="AK285" i="56"/>
  <c r="AE286" i="56"/>
  <c r="AK286" i="56"/>
  <c r="AQ289" i="56"/>
  <c r="AK289" i="56"/>
  <c r="AS290" i="56"/>
  <c r="AV290" i="56" s="1"/>
  <c r="AK290" i="56"/>
  <c r="AT292" i="56"/>
  <c r="AK296" i="56"/>
  <c r="AK299" i="56"/>
  <c r="AE301" i="56"/>
  <c r="AK301" i="56"/>
  <c r="AQ307" i="56"/>
  <c r="AE308" i="56"/>
  <c r="AA251" i="56"/>
  <c r="AD251" i="56"/>
  <c r="AJ251" i="56"/>
  <c r="AS254" i="56"/>
  <c r="AV254" i="56" s="1"/>
  <c r="AT257" i="56"/>
  <c r="AN262" i="56"/>
  <c r="AN267" i="56"/>
  <c r="AT267" i="56"/>
  <c r="AP269" i="56"/>
  <c r="AC270" i="56"/>
  <c r="AQ271" i="56"/>
  <c r="AT271" i="56"/>
  <c r="AM273" i="56"/>
  <c r="AG276" i="56"/>
  <c r="AJ276" i="56"/>
  <c r="AQ277" i="56"/>
  <c r="AP281" i="56"/>
  <c r="AC283" i="56"/>
  <c r="AF283" i="56"/>
  <c r="AQ284" i="56"/>
  <c r="AM285" i="56"/>
  <c r="AQ288" i="56"/>
  <c r="AM289" i="56"/>
  <c r="AQ291" i="56"/>
  <c r="AP292" i="56"/>
  <c r="AM296" i="56"/>
  <c r="Z300" i="56"/>
  <c r="AT306" i="56"/>
  <c r="AH219" i="56"/>
  <c r="AK221" i="56"/>
  <c r="AE225" i="56"/>
  <c r="AK226" i="56"/>
  <c r="AK227" i="56"/>
  <c r="AE229" i="56"/>
  <c r="AK230" i="56"/>
  <c r="AE233" i="56"/>
  <c r="AK235" i="56"/>
  <c r="AH238" i="56"/>
  <c r="AH241" i="56"/>
  <c r="AE255" i="56"/>
  <c r="AK255" i="56"/>
  <c r="AT259" i="56"/>
  <c r="AH259" i="56"/>
  <c r="AE262" i="56"/>
  <c r="AK266" i="56"/>
  <c r="AE267" i="56"/>
  <c r="AQ268" i="56"/>
  <c r="AH268" i="56"/>
  <c r="AT269" i="56"/>
  <c r="AE271" i="56"/>
  <c r="AS275" i="56"/>
  <c r="AV275" i="56" s="1"/>
  <c r="AD276" i="56"/>
  <c r="AH277" i="56"/>
  <c r="AH280" i="56"/>
  <c r="AK284" i="56"/>
  <c r="AE287" i="56"/>
  <c r="AK288" i="56"/>
  <c r="AK291" i="56"/>
  <c r="AE294" i="56"/>
  <c r="AK295" i="56"/>
  <c r="AA300" i="56"/>
  <c r="AK302" i="56"/>
  <c r="AM304" i="56"/>
  <c r="AH304" i="56"/>
  <c r="AE306" i="56"/>
  <c r="AK307" i="56"/>
  <c r="AN308" i="56"/>
  <c r="AH308" i="56"/>
  <c r="AE13" i="56"/>
  <c r="AK13" i="56"/>
  <c r="AM15" i="56"/>
  <c r="AE15" i="56"/>
  <c r="AB16" i="56"/>
  <c r="AM18" i="56"/>
  <c r="AK19" i="56"/>
  <c r="AE20" i="56"/>
  <c r="AN22" i="56"/>
  <c r="AK22" i="56"/>
  <c r="AK12" i="56"/>
  <c r="AS13" i="56"/>
  <c r="AV13" i="56" s="1"/>
  <c r="AN14" i="56"/>
  <c r="AT15" i="56"/>
  <c r="AH15" i="56"/>
  <c r="AE16" i="56"/>
  <c r="AN18" i="56"/>
  <c r="AM19" i="56"/>
  <c r="AE19" i="56"/>
  <c r="AQ22" i="56"/>
  <c r="AH24" i="56"/>
  <c r="AB29" i="56"/>
  <c r="AB31" i="56"/>
  <c r="AP34" i="56"/>
  <c r="AE34" i="56"/>
  <c r="AQ16" i="56"/>
  <c r="AE18" i="56"/>
  <c r="AT19" i="56"/>
  <c r="AH19" i="56"/>
  <c r="AE29" i="56"/>
  <c r="AE30" i="56"/>
  <c r="AK30" i="56"/>
  <c r="AE31" i="56"/>
  <c r="AH32" i="56"/>
  <c r="AE33" i="56"/>
  <c r="AK33" i="56"/>
  <c r="AT34" i="56"/>
  <c r="AH34" i="56"/>
  <c r="AE35" i="56"/>
  <c r="AQ38" i="56"/>
  <c r="AK40" i="56"/>
  <c r="AN41" i="56"/>
  <c r="AH41" i="56"/>
  <c r="AE42" i="56"/>
  <c r="AN43" i="56"/>
  <c r="AH43" i="56"/>
  <c r="AE44" i="56"/>
  <c r="AS47" i="56"/>
  <c r="AV47" i="56" s="1"/>
  <c r="AS50" i="56"/>
  <c r="AV50" i="56" s="1"/>
  <c r="AP55" i="56"/>
  <c r="AT56" i="56"/>
  <c r="AB58" i="56"/>
  <c r="AS60" i="56"/>
  <c r="AV60" i="56" s="1"/>
  <c r="AK62" i="56"/>
  <c r="AE65" i="56"/>
  <c r="AQ66" i="56"/>
  <c r="AH66" i="56"/>
  <c r="AK71" i="56"/>
  <c r="AE72" i="56"/>
  <c r="AK73" i="56"/>
  <c r="AE74" i="56"/>
  <c r="AE77" i="56"/>
  <c r="AK83" i="56"/>
  <c r="AH84" i="56"/>
  <c r="AE85" i="56"/>
  <c r="AT86" i="56"/>
  <c r="AK87" i="56"/>
  <c r="AH88" i="56"/>
  <c r="AK90" i="56"/>
  <c r="AH91" i="56"/>
  <c r="AP92" i="56"/>
  <c r="AM93" i="56"/>
  <c r="AQ93" i="56"/>
  <c r="AK93" i="56"/>
  <c r="AP96" i="56"/>
  <c r="AK97" i="56"/>
  <c r="AE102" i="56"/>
  <c r="AT103" i="56"/>
  <c r="AK104" i="56"/>
  <c r="AH105" i="56"/>
  <c r="AE106" i="56"/>
  <c r="AT107" i="56"/>
  <c r="AK108" i="56"/>
  <c r="AH109" i="56"/>
  <c r="AP111" i="56"/>
  <c r="AP113" i="56"/>
  <c r="AH117" i="56"/>
  <c r="AK121" i="56"/>
  <c r="AP126" i="56"/>
  <c r="AE126" i="56"/>
  <c r="AP139" i="56"/>
  <c r="AE139" i="56"/>
  <c r="AN140" i="56"/>
  <c r="AT99" i="56"/>
  <c r="AM118" i="56"/>
  <c r="AB118" i="56"/>
  <c r="AS118" i="56"/>
  <c r="AV118" i="56" s="1"/>
  <c r="AT137" i="56"/>
  <c r="AP137" i="56"/>
  <c r="AM151" i="56"/>
  <c r="AB151" i="56"/>
  <c r="AS24" i="56"/>
  <c r="AV24" i="56" s="1"/>
  <c r="AN29" i="56"/>
  <c r="AH29" i="56"/>
  <c r="AN31" i="56"/>
  <c r="AH31" i="56"/>
  <c r="AN33" i="56"/>
  <c r="AK34" i="56"/>
  <c r="AN35" i="56"/>
  <c r="AH35" i="56"/>
  <c r="AT40" i="56"/>
  <c r="AH40" i="56"/>
  <c r="AE41" i="56"/>
  <c r="AN42" i="56"/>
  <c r="AH42" i="56"/>
  <c r="AE43" i="56"/>
  <c r="AN44" i="56"/>
  <c r="AH44" i="56"/>
  <c r="AS46" i="56"/>
  <c r="AV46" i="56" s="1"/>
  <c r="AK46" i="56"/>
  <c r="AQ47" i="56"/>
  <c r="AK47" i="56"/>
  <c r="AS49" i="56"/>
  <c r="AV49" i="56" s="1"/>
  <c r="AK49" i="56"/>
  <c r="AT54" i="56"/>
  <c r="AK55" i="56"/>
  <c r="AQ58" i="56"/>
  <c r="AH62" i="56"/>
  <c r="AP62" i="56"/>
  <c r="AS65" i="56"/>
  <c r="AV65" i="56" s="1"/>
  <c r="AK66" i="56"/>
  <c r="AQ68" i="56"/>
  <c r="AE71" i="56"/>
  <c r="AT72" i="56"/>
  <c r="AE73" i="56"/>
  <c r="AM74" i="56"/>
  <c r="AE75" i="56"/>
  <c r="AM77" i="56"/>
  <c r="AS78" i="56"/>
  <c r="AV78" i="56" s="1"/>
  <c r="AH78" i="56"/>
  <c r="AN79" i="56"/>
  <c r="AT79" i="56"/>
  <c r="AT83" i="56"/>
  <c r="AK84" i="56"/>
  <c r="AN85" i="56"/>
  <c r="AS85" i="56"/>
  <c r="AV85" i="56" s="1"/>
  <c r="AT87" i="56"/>
  <c r="AK88" i="56"/>
  <c r="AT90" i="56"/>
  <c r="AK91" i="56"/>
  <c r="AM92" i="56"/>
  <c r="AE92" i="56"/>
  <c r="AB93" i="56"/>
  <c r="AS94" i="56"/>
  <c r="AV94" i="56" s="1"/>
  <c r="AM96" i="56"/>
  <c r="AE96" i="56"/>
  <c r="AN97" i="56"/>
  <c r="AH97" i="56"/>
  <c r="AP99" i="56"/>
  <c r="AN102" i="56"/>
  <c r="AS102" i="56"/>
  <c r="AV102" i="56" s="1"/>
  <c r="AT104" i="56"/>
  <c r="AN106" i="56"/>
  <c r="AS106" i="56"/>
  <c r="AV106" i="56" s="1"/>
  <c r="AT108" i="56"/>
  <c r="AK109" i="56"/>
  <c r="AE113" i="56"/>
  <c r="AN115" i="56"/>
  <c r="AT115" i="56"/>
  <c r="AQ116" i="56"/>
  <c r="AP117" i="56"/>
  <c r="AE117" i="56"/>
  <c r="AN118" i="56"/>
  <c r="AK141" i="56"/>
  <c r="AK145" i="56"/>
  <c r="AM32" i="56"/>
  <c r="AM34" i="56"/>
  <c r="AB35" i="56"/>
  <c r="AP40" i="56"/>
  <c r="AQ41" i="56"/>
  <c r="AB42" i="56"/>
  <c r="AQ43" i="56"/>
  <c r="AB44" i="56"/>
  <c r="AN46" i="56"/>
  <c r="AN49" i="56"/>
  <c r="AP54" i="56"/>
  <c r="AN65" i="56"/>
  <c r="AQ71" i="56"/>
  <c r="AN72" i="56"/>
  <c r="AQ73" i="56"/>
  <c r="AT74" i="56"/>
  <c r="AQ75" i="56"/>
  <c r="AT77" i="56"/>
  <c r="AN78" i="56"/>
  <c r="AT78" i="56"/>
  <c r="AP79" i="56"/>
  <c r="AM84" i="56"/>
  <c r="AE84" i="56"/>
  <c r="AB85" i="56"/>
  <c r="AS86" i="56"/>
  <c r="AV86" i="56" s="1"/>
  <c r="AM88" i="56"/>
  <c r="AE88" i="56"/>
  <c r="AM91" i="56"/>
  <c r="AE91" i="56"/>
  <c r="AN92" i="56"/>
  <c r="AN94" i="56"/>
  <c r="AT94" i="56"/>
  <c r="AQ95" i="56"/>
  <c r="AN96" i="56"/>
  <c r="AP97" i="56"/>
  <c r="AT100" i="56"/>
  <c r="AB102" i="56"/>
  <c r="AS103" i="56"/>
  <c r="AV103" i="56" s="1"/>
  <c r="AM105" i="56"/>
  <c r="AE105" i="56"/>
  <c r="AB106" i="56"/>
  <c r="AS107" i="56"/>
  <c r="AV107" i="56" s="1"/>
  <c r="AM109" i="56"/>
  <c r="AE109" i="56"/>
  <c r="AN111" i="56"/>
  <c r="AT111" i="56"/>
  <c r="AQ112" i="56"/>
  <c r="AN113" i="56"/>
  <c r="AP115" i="56"/>
  <c r="AM116" i="56"/>
  <c r="AH116" i="56"/>
  <c r="AE118" i="56"/>
  <c r="AP121" i="56"/>
  <c r="AP123" i="56"/>
  <c r="AP124" i="56"/>
  <c r="AK125" i="56"/>
  <c r="AP128" i="56"/>
  <c r="AE128" i="56"/>
  <c r="AM140" i="56"/>
  <c r="AB140" i="56"/>
  <c r="AS140" i="56"/>
  <c r="AV140" i="56" s="1"/>
  <c r="AK151" i="56"/>
  <c r="AT154" i="56"/>
  <c r="AK160" i="56"/>
  <c r="AS162" i="56"/>
  <c r="AV162" i="56" s="1"/>
  <c r="AE174" i="56"/>
  <c r="AG191" i="56"/>
  <c r="BQ309" i="56"/>
  <c r="AP192" i="56"/>
  <c r="AK192" i="56"/>
  <c r="Z193" i="56"/>
  <c r="AF193" i="56"/>
  <c r="AI193" i="56"/>
  <c r="AQ194" i="56"/>
  <c r="AM194" i="56"/>
  <c r="AE197" i="56"/>
  <c r="AN200" i="56"/>
  <c r="AK200" i="56"/>
  <c r="AP201" i="56"/>
  <c r="AT202" i="56"/>
  <c r="AM203" i="56"/>
  <c r="AE203" i="56"/>
  <c r="AT206" i="56"/>
  <c r="AN208" i="56"/>
  <c r="AM211" i="56"/>
  <c r="AE211" i="56"/>
  <c r="AK213" i="56"/>
  <c r="AB216" i="56"/>
  <c r="AT216" i="56"/>
  <c r="AP216" i="56"/>
  <c r="AH217" i="56"/>
  <c r="AB221" i="56"/>
  <c r="AN225" i="56"/>
  <c r="AQ233" i="56"/>
  <c r="BR309" i="56"/>
  <c r="AE194" i="56"/>
  <c r="AP197" i="56"/>
  <c r="AE200" i="56"/>
  <c r="AM202" i="56"/>
  <c r="AP205" i="56"/>
  <c r="AB208" i="56"/>
  <c r="AH211" i="56"/>
  <c r="AT214" i="56"/>
  <c r="AM215" i="56"/>
  <c r="AE215" i="56"/>
  <c r="AK217" i="56"/>
  <c r="AB219" i="56"/>
  <c r="AM227" i="56"/>
  <c r="AP227" i="56"/>
  <c r="AM229" i="56"/>
  <c r="AB229" i="56"/>
  <c r="AS229" i="56"/>
  <c r="AV229" i="56" s="1"/>
  <c r="AM231" i="56"/>
  <c r="AK233" i="56"/>
  <c r="AE238" i="56"/>
  <c r="AM117" i="56"/>
  <c r="AN121" i="56"/>
  <c r="AH121" i="56"/>
  <c r="AN123" i="56"/>
  <c r="AT123" i="56"/>
  <c r="AE124" i="56"/>
  <c r="AK124" i="56"/>
  <c r="AS126" i="56"/>
  <c r="AV126" i="56" s="1"/>
  <c r="AP127" i="56"/>
  <c r="AH127" i="56"/>
  <c r="AQ129" i="56"/>
  <c r="AP130" i="56"/>
  <c r="AH135" i="56"/>
  <c r="AM136" i="56"/>
  <c r="AE136" i="56"/>
  <c r="AE137" i="56"/>
  <c r="AQ138" i="56"/>
  <c r="AM139" i="56"/>
  <c r="AM141" i="56"/>
  <c r="AH141" i="56"/>
  <c r="AE142" i="56"/>
  <c r="AM143" i="56"/>
  <c r="AE143" i="56"/>
  <c r="AB144" i="56"/>
  <c r="AM145" i="56"/>
  <c r="AH145" i="56"/>
  <c r="AM149" i="56"/>
  <c r="AE149" i="56"/>
  <c r="AN151" i="56"/>
  <c r="AS151" i="56"/>
  <c r="AV151" i="56" s="1"/>
  <c r="AM156" i="56"/>
  <c r="AE156" i="56"/>
  <c r="AB157" i="56"/>
  <c r="AQ159" i="56"/>
  <c r="AN160" i="56"/>
  <c r="AH162" i="56"/>
  <c r="AK165" i="56"/>
  <c r="AT167" i="56"/>
  <c r="AS167" i="56"/>
  <c r="AV167" i="56" s="1"/>
  <c r="AS169" i="56"/>
  <c r="AV169" i="56" s="1"/>
  <c r="AP170" i="56"/>
  <c r="AM174" i="56"/>
  <c r="AH174" i="56"/>
  <c r="AC191" i="56"/>
  <c r="AH192" i="56"/>
  <c r="AK194" i="56"/>
  <c r="AK196" i="56"/>
  <c r="AH201" i="56"/>
  <c r="AQ202" i="56"/>
  <c r="AK205" i="56"/>
  <c r="AK208" i="56"/>
  <c r="AT209" i="56"/>
  <c r="AP219" i="56"/>
  <c r="AP228" i="56"/>
  <c r="AE228" i="56"/>
  <c r="AK232" i="56"/>
  <c r="AM240" i="56"/>
  <c r="AB240" i="56"/>
  <c r="AS240" i="56"/>
  <c r="AM128" i="56"/>
  <c r="AP129" i="56"/>
  <c r="AH129" i="56"/>
  <c r="AK133" i="56"/>
  <c r="AK135" i="56"/>
  <c r="AH136" i="56"/>
  <c r="AN139" i="56"/>
  <c r="AK140" i="56"/>
  <c r="AT141" i="56"/>
  <c r="AQ142" i="56"/>
  <c r="AN143" i="56"/>
  <c r="AK144" i="56"/>
  <c r="AT145" i="56"/>
  <c r="AN149" i="56"/>
  <c r="AM154" i="56"/>
  <c r="AH154" i="56"/>
  <c r="AN156" i="56"/>
  <c r="AK157" i="56"/>
  <c r="AM159" i="56"/>
  <c r="AP160" i="56"/>
  <c r="AH163" i="56"/>
  <c r="AB167" i="56"/>
  <c r="AE168" i="56"/>
  <c r="AK168" i="56"/>
  <c r="AE172" i="56"/>
  <c r="AN174" i="56"/>
  <c r="AQ186" i="56"/>
  <c r="AK186" i="56"/>
  <c r="AH200" i="56"/>
  <c r="AT201" i="56"/>
  <c r="AM225" i="56"/>
  <c r="AB225" i="56"/>
  <c r="AS225" i="56"/>
  <c r="AV225" i="56" s="1"/>
  <c r="AH225" i="56"/>
  <c r="AM238" i="56"/>
  <c r="AB238" i="56"/>
  <c r="AP226" i="56"/>
  <c r="AM228" i="56"/>
  <c r="AK231" i="56"/>
  <c r="AH232" i="56"/>
  <c r="AP236" i="56"/>
  <c r="AN238" i="56"/>
  <c r="AE239" i="56"/>
  <c r="AK239" i="56"/>
  <c r="AN240" i="56"/>
  <c r="AH240" i="56"/>
  <c r="AM242" i="56"/>
  <c r="AE242" i="56"/>
  <c r="AT245" i="56"/>
  <c r="AK246" i="56"/>
  <c r="AN248" i="56"/>
  <c r="AH248" i="56"/>
  <c r="AQ252" i="56"/>
  <c r="AS253" i="56"/>
  <c r="AV253" i="56" s="1"/>
  <c r="AT255" i="56"/>
  <c r="AT256" i="56"/>
  <c r="AM263" i="56"/>
  <c r="AN266" i="56"/>
  <c r="AT266" i="56"/>
  <c r="AQ272" i="56"/>
  <c r="AT272" i="56"/>
  <c r="AP272" i="56"/>
  <c r="AB278" i="56"/>
  <c r="AM279" i="56"/>
  <c r="AH279" i="56"/>
  <c r="AE280" i="56"/>
  <c r="AS281" i="56"/>
  <c r="AV281" i="56" s="1"/>
  <c r="AE281" i="56"/>
  <c r="AB282" i="56"/>
  <c r="Z283" i="56"/>
  <c r="AI283" i="56"/>
  <c r="AN285" i="56"/>
  <c r="AT287" i="56"/>
  <c r="AS287" i="56"/>
  <c r="AV287" i="56" s="1"/>
  <c r="AN289" i="56"/>
  <c r="AS291" i="56"/>
  <c r="AV291" i="56" s="1"/>
  <c r="AT291" i="56"/>
  <c r="AM292" i="56"/>
  <c r="AE293" i="56"/>
  <c r="AK293" i="56"/>
  <c r="AT294" i="56"/>
  <c r="AM295" i="56"/>
  <c r="AE295" i="56"/>
  <c r="AB296" i="56"/>
  <c r="AS299" i="56"/>
  <c r="AV299" i="56" s="1"/>
  <c r="AP301" i="56"/>
  <c r="AB302" i="56"/>
  <c r="AP303" i="56"/>
  <c r="AB304" i="56"/>
  <c r="AS221" i="56"/>
  <c r="AV221" i="56" s="1"/>
  <c r="AK229" i="56"/>
  <c r="AP232" i="56"/>
  <c r="AP235" i="56"/>
  <c r="AK236" i="56"/>
  <c r="AM237" i="56"/>
  <c r="AQ241" i="56"/>
  <c r="AK241" i="56"/>
  <c r="AH242" i="56"/>
  <c r="AT244" i="56"/>
  <c r="AM246" i="56"/>
  <c r="AE246" i="56"/>
  <c r="AE248" i="56"/>
  <c r="AH253" i="56"/>
  <c r="AB255" i="56"/>
  <c r="AH255" i="56"/>
  <c r="AP259" i="56"/>
  <c r="AK259" i="56"/>
  <c r="AM262" i="56"/>
  <c r="AN263" i="56"/>
  <c r="AH263" i="56"/>
  <c r="AE266" i="56"/>
  <c r="AE272" i="56"/>
  <c r="AQ273" i="56"/>
  <c r="AK273" i="56"/>
  <c r="AK278" i="56"/>
  <c r="AQ279" i="56"/>
  <c r="AT279" i="56"/>
  <c r="AQ280" i="56"/>
  <c r="AN281" i="56"/>
  <c r="AQ282" i="56"/>
  <c r="AM284" i="56"/>
  <c r="AH284" i="56"/>
  <c r="AE285" i="56"/>
  <c r="AS286" i="56"/>
  <c r="AV286" i="56" s="1"/>
  <c r="AB287" i="56"/>
  <c r="AM288" i="56"/>
  <c r="AH288" i="56"/>
  <c r="AE289" i="56"/>
  <c r="AE290" i="56"/>
  <c r="AH291" i="56"/>
  <c r="AB292" i="56"/>
  <c r="AK294" i="56"/>
  <c r="AQ295" i="56"/>
  <c r="AH295" i="56"/>
  <c r="AE296" i="56"/>
  <c r="AN299" i="56"/>
  <c r="AT301" i="56"/>
  <c r="AE302" i="56"/>
  <c r="AT303" i="56"/>
  <c r="AE304" i="56"/>
  <c r="AK304" i="56"/>
  <c r="AK244" i="56"/>
  <c r="AK245" i="56"/>
  <c r="AH246" i="56"/>
  <c r="AT262" i="56"/>
  <c r="AT284" i="56"/>
  <c r="AK287" i="56"/>
  <c r="AT288" i="56"/>
  <c r="AP290" i="56"/>
  <c r="AQ296" i="56"/>
  <c r="AE299" i="56"/>
  <c r="AQ302" i="56"/>
  <c r="AB259" i="56"/>
  <c r="AB262" i="56"/>
  <c r="AH262" i="56"/>
  <c r="AT278" i="56"/>
  <c r="AS278" i="56"/>
  <c r="AV278" i="56" s="1"/>
  <c r="AK292" i="56"/>
  <c r="AH293" i="56"/>
  <c r="AM200" i="56"/>
  <c r="AK52" i="56"/>
  <c r="AK58" i="56"/>
  <c r="AC59" i="56"/>
  <c r="AP135" i="56"/>
  <c r="AS165" i="56"/>
  <c r="AV165" i="56" s="1"/>
  <c r="AP165" i="56"/>
  <c r="AP237" i="56"/>
  <c r="O28" i="56"/>
  <c r="AU4" i="56"/>
  <c r="AC17" i="56"/>
  <c r="AM27" i="56"/>
  <c r="AP27" i="56"/>
  <c r="AB27" i="56"/>
  <c r="O39" i="56"/>
  <c r="AB70" i="56"/>
  <c r="Q5" i="56"/>
  <c r="AN3" i="56"/>
  <c r="AB3" i="56"/>
  <c r="AM3" i="56"/>
  <c r="AP4" i="56"/>
  <c r="AR4" i="56" s="1"/>
  <c r="AH4" i="56"/>
  <c r="AP12" i="56"/>
  <c r="AT12" i="56"/>
  <c r="AP13" i="56"/>
  <c r="AT13" i="56"/>
  <c r="AT14" i="56"/>
  <c r="AQ15" i="56"/>
  <c r="AJ17" i="56"/>
  <c r="AB18" i="56"/>
  <c r="AS18" i="56"/>
  <c r="AQ19" i="56"/>
  <c r="AB20" i="56"/>
  <c r="AS20" i="56"/>
  <c r="AC22" i="56"/>
  <c r="AE22" i="56" s="1"/>
  <c r="AT22" i="56"/>
  <c r="O23" i="56"/>
  <c r="AP24" i="56"/>
  <c r="AT24" i="56"/>
  <c r="AP25" i="56"/>
  <c r="AT25" i="56"/>
  <c r="AP26" i="56"/>
  <c r="AT26" i="56"/>
  <c r="AP30" i="56"/>
  <c r="AT30" i="56"/>
  <c r="O31" i="56"/>
  <c r="AB32" i="56"/>
  <c r="AS32" i="56"/>
  <c r="AP33" i="56"/>
  <c r="AT33" i="56"/>
  <c r="AQ34" i="56"/>
  <c r="BS39" i="56"/>
  <c r="AQ40" i="56"/>
  <c r="O46" i="56"/>
  <c r="AP46" i="56"/>
  <c r="AT46" i="56"/>
  <c r="AP47" i="56"/>
  <c r="AT47" i="56"/>
  <c r="AP49" i="56"/>
  <c r="AT49" i="56"/>
  <c r="AP50" i="56"/>
  <c r="AT50" i="56"/>
  <c r="AE54" i="56"/>
  <c r="AQ54" i="56"/>
  <c r="AT55" i="56"/>
  <c r="AQ55" i="56"/>
  <c r="AE56" i="56"/>
  <c r="AQ56" i="56"/>
  <c r="AJ57" i="56"/>
  <c r="O59" i="56"/>
  <c r="AP60" i="56"/>
  <c r="AP61" i="56"/>
  <c r="AM61" i="56"/>
  <c r="AS61" i="56"/>
  <c r="AB61" i="56"/>
  <c r="AQ63" i="56"/>
  <c r="AB63" i="56"/>
  <c r="AH63" i="56"/>
  <c r="AT63" i="56"/>
  <c r="AD64" i="56"/>
  <c r="AB65" i="56"/>
  <c r="AN66" i="56"/>
  <c r="AD67" i="56"/>
  <c r="Z68" i="56"/>
  <c r="AT71" i="56"/>
  <c r="AM12" i="56"/>
  <c r="AQ12" i="56"/>
  <c r="AM13" i="56"/>
  <c r="AQ13" i="56"/>
  <c r="AN15" i="56"/>
  <c r="AS16" i="56"/>
  <c r="L177" i="56"/>
  <c r="AP18" i="56"/>
  <c r="AT18" i="56"/>
  <c r="AN19" i="56"/>
  <c r="AP20" i="56"/>
  <c r="AT20" i="56"/>
  <c r="AM24" i="56"/>
  <c r="AQ24" i="56"/>
  <c r="AM25" i="56"/>
  <c r="AQ25" i="56"/>
  <c r="AM26" i="56"/>
  <c r="AQ26" i="56"/>
  <c r="AS29" i="56"/>
  <c r="AM30" i="56"/>
  <c r="AQ30" i="56"/>
  <c r="AS31" i="56"/>
  <c r="AP32" i="56"/>
  <c r="AT32" i="56"/>
  <c r="AM33" i="56"/>
  <c r="AQ33" i="56"/>
  <c r="AN34" i="56"/>
  <c r="AS35" i="56"/>
  <c r="AN40" i="56"/>
  <c r="AS41" i="56"/>
  <c r="AS42" i="56"/>
  <c r="AS43" i="56"/>
  <c r="AS44" i="56"/>
  <c r="AM46" i="56"/>
  <c r="AQ46" i="56"/>
  <c r="AM47" i="56"/>
  <c r="AM49" i="56"/>
  <c r="AQ49" i="56"/>
  <c r="AM50" i="56"/>
  <c r="AQ50" i="56"/>
  <c r="AS52" i="56"/>
  <c r="AS54" i="56"/>
  <c r="AV54" i="56" s="1"/>
  <c r="AS55" i="56"/>
  <c r="AS56" i="56"/>
  <c r="AM60" i="56"/>
  <c r="AE60" i="56"/>
  <c r="AH65" i="56"/>
  <c r="AC68" i="56"/>
  <c r="AE68" i="56" s="1"/>
  <c r="BE67" i="56"/>
  <c r="O69" i="56"/>
  <c r="O70" i="56"/>
  <c r="AI14" i="56"/>
  <c r="AK14" i="56" s="1"/>
  <c r="AB15" i="56"/>
  <c r="AS15" i="56"/>
  <c r="AP16" i="56"/>
  <c r="AT16" i="56"/>
  <c r="N177" i="56"/>
  <c r="N185" i="56" s="1"/>
  <c r="AD17" i="56"/>
  <c r="BO17" i="56"/>
  <c r="AQ18" i="56"/>
  <c r="AB19" i="56"/>
  <c r="AS19" i="56"/>
  <c r="AQ20" i="56"/>
  <c r="O22" i="56"/>
  <c r="AP29" i="56"/>
  <c r="AT29" i="56"/>
  <c r="O30" i="56"/>
  <c r="AP31" i="56"/>
  <c r="AT31" i="56"/>
  <c r="AQ32" i="56"/>
  <c r="AB34" i="56"/>
  <c r="AS34" i="56"/>
  <c r="AP35" i="56"/>
  <c r="AT35" i="56"/>
  <c r="AT38" i="56"/>
  <c r="AB40" i="56"/>
  <c r="AS40" i="56"/>
  <c r="AP41" i="56"/>
  <c r="AT41" i="56"/>
  <c r="AP42" i="56"/>
  <c r="AT42" i="56"/>
  <c r="AP43" i="56"/>
  <c r="AT43" i="56"/>
  <c r="AP44" i="56"/>
  <c r="AT44" i="56"/>
  <c r="O45" i="56"/>
  <c r="BS48" i="56"/>
  <c r="AI48" i="56" s="1"/>
  <c r="AP52" i="56"/>
  <c r="AT52" i="56"/>
  <c r="O53" i="56"/>
  <c r="AN54" i="56"/>
  <c r="AM54" i="56"/>
  <c r="AM55" i="56"/>
  <c r="AN56" i="56"/>
  <c r="AM56" i="56"/>
  <c r="AD57" i="56"/>
  <c r="BC57" i="56"/>
  <c r="AC57" i="56" s="1"/>
  <c r="AC58" i="56"/>
  <c r="AQ60" i="56"/>
  <c r="AB60" i="56"/>
  <c r="AH60" i="56"/>
  <c r="AT60" i="56"/>
  <c r="AQ61" i="56"/>
  <c r="AH61" i="56"/>
  <c r="AT61" i="56"/>
  <c r="AP63" i="56"/>
  <c r="AP65" i="56"/>
  <c r="AK65" i="56"/>
  <c r="AS66" i="56"/>
  <c r="BB67" i="56"/>
  <c r="AK68" i="56"/>
  <c r="AB12" i="56"/>
  <c r="AB13" i="56"/>
  <c r="AB14" i="56"/>
  <c r="O17" i="56"/>
  <c r="AA17" i="56"/>
  <c r="AB22" i="56"/>
  <c r="AB24" i="56"/>
  <c r="AB25" i="56"/>
  <c r="AB26" i="56"/>
  <c r="AB30" i="56"/>
  <c r="AB33" i="56"/>
  <c r="AB46" i="56"/>
  <c r="AB47" i="56"/>
  <c r="AB49" i="56"/>
  <c r="AB50" i="56"/>
  <c r="AB54" i="56"/>
  <c r="AK54" i="56"/>
  <c r="AB55" i="56"/>
  <c r="AB56" i="56"/>
  <c r="AK56" i="56"/>
  <c r="AQ62" i="56"/>
  <c r="AB62" i="56"/>
  <c r="AT62" i="56"/>
  <c r="AM63" i="56"/>
  <c r="AT66" i="56"/>
  <c r="AT68" i="56"/>
  <c r="AN68" i="56"/>
  <c r="AC69" i="56"/>
  <c r="AI69" i="56"/>
  <c r="AN70" i="56"/>
  <c r="AI70" i="56"/>
  <c r="AK70" i="56" s="1"/>
  <c r="AP71" i="56"/>
  <c r="AS71" i="56"/>
  <c r="AB71" i="56"/>
  <c r="AM71" i="56"/>
  <c r="AT58" i="56"/>
  <c r="AS62" i="56"/>
  <c r="AS63" i="56"/>
  <c r="AT65" i="56"/>
  <c r="AM66" i="56"/>
  <c r="AT70" i="56"/>
  <c r="AN71" i="56"/>
  <c r="AQ72" i="56"/>
  <c r="AN73" i="56"/>
  <c r="AN74" i="56"/>
  <c r="AN75" i="56"/>
  <c r="AN77" i="56"/>
  <c r="AM78" i="56"/>
  <c r="AQ78" i="56"/>
  <c r="AH79" i="56"/>
  <c r="AM79" i="56"/>
  <c r="AQ79" i="56"/>
  <c r="AE80" i="56"/>
  <c r="AN80" i="56"/>
  <c r="BO81" i="56"/>
  <c r="AE83" i="56"/>
  <c r="AN83" i="56"/>
  <c r="AB84" i="56"/>
  <c r="AS84" i="56"/>
  <c r="AP85" i="56"/>
  <c r="AT85" i="56"/>
  <c r="AH86" i="56"/>
  <c r="AM86" i="56"/>
  <c r="AQ86" i="56"/>
  <c r="AE87" i="56"/>
  <c r="AN87" i="56"/>
  <c r="AB88" i="56"/>
  <c r="AS88" i="56"/>
  <c r="AE90" i="56"/>
  <c r="AN90" i="56"/>
  <c r="AB91" i="56"/>
  <c r="AS91" i="56"/>
  <c r="AB92" i="56"/>
  <c r="AS92" i="56"/>
  <c r="AP93" i="56"/>
  <c r="AT93" i="56"/>
  <c r="AH94" i="56"/>
  <c r="AM94" i="56"/>
  <c r="AQ94" i="56"/>
  <c r="AE95" i="56"/>
  <c r="AN95" i="56"/>
  <c r="AB96" i="56"/>
  <c r="AS96" i="56"/>
  <c r="AB97" i="56"/>
  <c r="AS97" i="56"/>
  <c r="AH99" i="56"/>
  <c r="AM99" i="56"/>
  <c r="AQ99" i="56"/>
  <c r="AE100" i="56"/>
  <c r="AN100" i="56"/>
  <c r="AP102" i="56"/>
  <c r="AT102" i="56"/>
  <c r="AH103" i="56"/>
  <c r="AM103" i="56"/>
  <c r="AQ103" i="56"/>
  <c r="AE104" i="56"/>
  <c r="AN104" i="56"/>
  <c r="AB105" i="56"/>
  <c r="AS105" i="56"/>
  <c r="AP106" i="56"/>
  <c r="AT106" i="56"/>
  <c r="AH107" i="56"/>
  <c r="AM107" i="56"/>
  <c r="AQ107" i="56"/>
  <c r="AE108" i="56"/>
  <c r="AN108" i="56"/>
  <c r="AB109" i="56"/>
  <c r="AS109" i="56"/>
  <c r="AH111" i="56"/>
  <c r="AM111" i="56"/>
  <c r="AQ111" i="56"/>
  <c r="AE112" i="56"/>
  <c r="AN112" i="56"/>
  <c r="AB113" i="56"/>
  <c r="AS113" i="56"/>
  <c r="AH115" i="56"/>
  <c r="AM115" i="56"/>
  <c r="AQ115" i="56"/>
  <c r="AE116" i="56"/>
  <c r="AN116" i="56"/>
  <c r="AB117" i="56"/>
  <c r="AS117" i="56"/>
  <c r="AP118" i="56"/>
  <c r="AT118" i="56"/>
  <c r="AB121" i="56"/>
  <c r="AS121" i="56"/>
  <c r="AP122" i="56"/>
  <c r="AT122" i="56"/>
  <c r="AH123" i="56"/>
  <c r="AM123" i="56"/>
  <c r="AQ123" i="56"/>
  <c r="AT124" i="56"/>
  <c r="AN124" i="56"/>
  <c r="AS124" i="56"/>
  <c r="AN125" i="56"/>
  <c r="AS125" i="56"/>
  <c r="AV125" i="56" s="1"/>
  <c r="AQ126" i="56"/>
  <c r="AH126" i="56"/>
  <c r="AT126" i="56"/>
  <c r="AT127" i="56"/>
  <c r="AS127" i="56"/>
  <c r="AQ128" i="56"/>
  <c r="AH128" i="56"/>
  <c r="AT128" i="56"/>
  <c r="AN129" i="56"/>
  <c r="AS129" i="56"/>
  <c r="AQ130" i="56"/>
  <c r="AH130" i="56"/>
  <c r="AT130" i="56"/>
  <c r="AT131" i="56"/>
  <c r="AS131" i="56"/>
  <c r="AQ132" i="56"/>
  <c r="AH132" i="56"/>
  <c r="AT132" i="56"/>
  <c r="AN133" i="56"/>
  <c r="AS133" i="56"/>
  <c r="AH137" i="56"/>
  <c r="AP138" i="56"/>
  <c r="AS138" i="56"/>
  <c r="AB138" i="56"/>
  <c r="AB73" i="56"/>
  <c r="AS73" i="56"/>
  <c r="AB74" i="56"/>
  <c r="AS74" i="56"/>
  <c r="AB75" i="56"/>
  <c r="AS75" i="56"/>
  <c r="AB77" i="56"/>
  <c r="AS77" i="56"/>
  <c r="AE78" i="56"/>
  <c r="AE79" i="56"/>
  <c r="AB80" i="56"/>
  <c r="AS80" i="56"/>
  <c r="AB83" i="56"/>
  <c r="AS83" i="56"/>
  <c r="AT84" i="56"/>
  <c r="AH85" i="56"/>
  <c r="AE86" i="56"/>
  <c r="AB87" i="56"/>
  <c r="AS87" i="56"/>
  <c r="AT88" i="56"/>
  <c r="AB90" i="56"/>
  <c r="AS90" i="56"/>
  <c r="AT91" i="56"/>
  <c r="AT92" i="56"/>
  <c r="AH93" i="56"/>
  <c r="AE94" i="56"/>
  <c r="AB95" i="56"/>
  <c r="AS95" i="56"/>
  <c r="AT96" i="56"/>
  <c r="AT97" i="56"/>
  <c r="Z98" i="56"/>
  <c r="AE99" i="56"/>
  <c r="AB100" i="56"/>
  <c r="AS100" i="56"/>
  <c r="AH102" i="56"/>
  <c r="AE103" i="56"/>
  <c r="AB104" i="56"/>
  <c r="AS104" i="56"/>
  <c r="AT105" i="56"/>
  <c r="AH106" i="56"/>
  <c r="AE107" i="56"/>
  <c r="AB108" i="56"/>
  <c r="AS108" i="56"/>
  <c r="AT109" i="56"/>
  <c r="AE111" i="56"/>
  <c r="AB112" i="56"/>
  <c r="AS112" i="56"/>
  <c r="AT113" i="56"/>
  <c r="AE115" i="56"/>
  <c r="AB116" i="56"/>
  <c r="AS116" i="56"/>
  <c r="AT117" i="56"/>
  <c r="AH118" i="56"/>
  <c r="AT121" i="56"/>
  <c r="AH122" i="56"/>
  <c r="AE123" i="56"/>
  <c r="AB124" i="56"/>
  <c r="AB125" i="56"/>
  <c r="AM125" i="56"/>
  <c r="AB127" i="56"/>
  <c r="AM127" i="56"/>
  <c r="AB129" i="56"/>
  <c r="AM129" i="56"/>
  <c r="AB131" i="56"/>
  <c r="AM131" i="56"/>
  <c r="AB133" i="56"/>
  <c r="AM133" i="56"/>
  <c r="AT135" i="56"/>
  <c r="AT138" i="56"/>
  <c r="AB66" i="56"/>
  <c r="AP73" i="56"/>
  <c r="AP74" i="56"/>
  <c r="AP75" i="56"/>
  <c r="AP77" i="56"/>
  <c r="AB78" i="56"/>
  <c r="AB79" i="56"/>
  <c r="AP80" i="56"/>
  <c r="AP83" i="56"/>
  <c r="AQ84" i="56"/>
  <c r="AB86" i="56"/>
  <c r="AP87" i="56"/>
  <c r="AQ88" i="56"/>
  <c r="AP90" i="56"/>
  <c r="AQ91" i="56"/>
  <c r="AQ92" i="56"/>
  <c r="AB94" i="56"/>
  <c r="AP95" i="56"/>
  <c r="AQ96" i="56"/>
  <c r="AQ97" i="56"/>
  <c r="AB99" i="56"/>
  <c r="AP100" i="56"/>
  <c r="AB103" i="56"/>
  <c r="AP104" i="56"/>
  <c r="AQ105" i="56"/>
  <c r="AB107" i="56"/>
  <c r="AP108" i="56"/>
  <c r="AQ109" i="56"/>
  <c r="AB111" i="56"/>
  <c r="AP112" i="56"/>
  <c r="AQ113" i="56"/>
  <c r="AB115" i="56"/>
  <c r="AP116" i="56"/>
  <c r="AQ117" i="56"/>
  <c r="AX119" i="56"/>
  <c r="BJ119" i="56"/>
  <c r="AQ121" i="56"/>
  <c r="AB123" i="56"/>
  <c r="AQ124" i="56"/>
  <c r="O125" i="56"/>
  <c r="AE125" i="56"/>
  <c r="AE127" i="56"/>
  <c r="AE129" i="56"/>
  <c r="AE131" i="56"/>
  <c r="AE133" i="56"/>
  <c r="AN135" i="56"/>
  <c r="AS136" i="56"/>
  <c r="AE138" i="56"/>
  <c r="AM124" i="56"/>
  <c r="AT125" i="56"/>
  <c r="AM126" i="56"/>
  <c r="AN127" i="56"/>
  <c r="AB128" i="56"/>
  <c r="AS128" i="56"/>
  <c r="AT129" i="56"/>
  <c r="AM130" i="56"/>
  <c r="AN131" i="56"/>
  <c r="AB132" i="56"/>
  <c r="AS132" i="56"/>
  <c r="AT133" i="56"/>
  <c r="AB135" i="56"/>
  <c r="AS135" i="56"/>
  <c r="AP136" i="56"/>
  <c r="AT136" i="56"/>
  <c r="AM137" i="56"/>
  <c r="AQ137" i="56"/>
  <c r="AN138" i="56"/>
  <c r="AB139" i="56"/>
  <c r="AS139" i="56"/>
  <c r="AP140" i="56"/>
  <c r="AT140" i="56"/>
  <c r="AQ141" i="56"/>
  <c r="AN142" i="56"/>
  <c r="AB143" i="56"/>
  <c r="AS143" i="56"/>
  <c r="AP144" i="56"/>
  <c r="AT144" i="56"/>
  <c r="AQ145" i="56"/>
  <c r="AB149" i="56"/>
  <c r="AS149" i="56"/>
  <c r="O151" i="56"/>
  <c r="AP151" i="56"/>
  <c r="AT151" i="56"/>
  <c r="AQ154" i="56"/>
  <c r="AB156" i="56"/>
  <c r="AS156" i="56"/>
  <c r="AP157" i="56"/>
  <c r="AT157" i="56"/>
  <c r="AB160" i="56"/>
  <c r="AS160" i="56"/>
  <c r="AP162" i="56"/>
  <c r="AK162" i="56"/>
  <c r="AS163" i="56"/>
  <c r="AD164" i="56"/>
  <c r="AJ164" i="56"/>
  <c r="AQ165" i="56"/>
  <c r="AH165" i="56"/>
  <c r="AT165" i="56"/>
  <c r="AS166" i="56"/>
  <c r="AP167" i="56"/>
  <c r="AK167" i="56"/>
  <c r="AQ167" i="56"/>
  <c r="AM168" i="56"/>
  <c r="AP169" i="56"/>
  <c r="AS170" i="56"/>
  <c r="AP172" i="56"/>
  <c r="O173" i="56"/>
  <c r="AQ136" i="56"/>
  <c r="AN137" i="56"/>
  <c r="AT139" i="56"/>
  <c r="AH140" i="56"/>
  <c r="AQ140" i="56"/>
  <c r="AE141" i="56"/>
  <c r="AN141" i="56"/>
  <c r="AB142" i="56"/>
  <c r="AS142" i="56"/>
  <c r="AT143" i="56"/>
  <c r="AH144" i="56"/>
  <c r="AQ144" i="56"/>
  <c r="AE145" i="56"/>
  <c r="AN145" i="56"/>
  <c r="AB146" i="56"/>
  <c r="AS146" i="56"/>
  <c r="AT149" i="56"/>
  <c r="AH151" i="56"/>
  <c r="AQ151" i="56"/>
  <c r="AE154" i="56"/>
  <c r="AN154" i="56"/>
  <c r="AT156" i="56"/>
  <c r="AH157" i="56"/>
  <c r="AQ157" i="56"/>
  <c r="AB159" i="56"/>
  <c r="AS159" i="56"/>
  <c r="AT160" i="56"/>
  <c r="AN162" i="56"/>
  <c r="AT162" i="56"/>
  <c r="AB163" i="56"/>
  <c r="AQ163" i="56"/>
  <c r="AT163" i="56"/>
  <c r="AT166" i="56"/>
  <c r="AQ168" i="56"/>
  <c r="AB168" i="56"/>
  <c r="AT168" i="56"/>
  <c r="AM169" i="56"/>
  <c r="AE169" i="56"/>
  <c r="AM172" i="56"/>
  <c r="AC173" i="56"/>
  <c r="AB126" i="56"/>
  <c r="AB130" i="56"/>
  <c r="AQ139" i="56"/>
  <c r="AS141" i="56"/>
  <c r="AP142" i="56"/>
  <c r="AQ143" i="56"/>
  <c r="AS145" i="56"/>
  <c r="AP146" i="56"/>
  <c r="AT146" i="56"/>
  <c r="AQ149" i="56"/>
  <c r="AS154" i="56"/>
  <c r="AQ156" i="56"/>
  <c r="AP159" i="56"/>
  <c r="AT159" i="56"/>
  <c r="AQ160" i="56"/>
  <c r="AB162" i="56"/>
  <c r="AN163" i="56"/>
  <c r="AN166" i="56"/>
  <c r="AS168" i="56"/>
  <c r="AN168" i="56"/>
  <c r="AQ169" i="56"/>
  <c r="AB169" i="56"/>
  <c r="AH169" i="56"/>
  <c r="AT169" i="56"/>
  <c r="AQ172" i="56"/>
  <c r="AB172" i="56"/>
  <c r="AH172" i="56"/>
  <c r="AT172" i="56"/>
  <c r="AQ170" i="56"/>
  <c r="AB170" i="56"/>
  <c r="AT170" i="56"/>
  <c r="AM163" i="56"/>
  <c r="AM165" i="56"/>
  <c r="AM166" i="56"/>
  <c r="AN167" i="56"/>
  <c r="AS172" i="56"/>
  <c r="AB174" i="56"/>
  <c r="AS174" i="56"/>
  <c r="AB176" i="56"/>
  <c r="AS176" i="56"/>
  <c r="AH178" i="56"/>
  <c r="AM178" i="56"/>
  <c r="AQ178" i="56"/>
  <c r="AF181" i="56"/>
  <c r="AE183" i="56"/>
  <c r="AN183" i="56"/>
  <c r="AE186" i="56"/>
  <c r="AN186" i="56"/>
  <c r="AH190" i="56"/>
  <c r="AM190" i="56"/>
  <c r="Q309" i="56"/>
  <c r="Q312" i="56" s="1"/>
  <c r="O192" i="56"/>
  <c r="AS192" i="56"/>
  <c r="AS194" i="56"/>
  <c r="AB194" i="56"/>
  <c r="AN194" i="56"/>
  <c r="AT194" i="56"/>
  <c r="O197" i="56"/>
  <c r="AQ197" i="56"/>
  <c r="AK198" i="56"/>
  <c r="O199" i="56"/>
  <c r="AQ205" i="56"/>
  <c r="AT205" i="56"/>
  <c r="AN205" i="56"/>
  <c r="AS208" i="56"/>
  <c r="AS209" i="56"/>
  <c r="AE209" i="56"/>
  <c r="AS211" i="56"/>
  <c r="AE213" i="56"/>
  <c r="AP214" i="56"/>
  <c r="AS214" i="56"/>
  <c r="AB214" i="56"/>
  <c r="AS216" i="56"/>
  <c r="AE216" i="56"/>
  <c r="AP174" i="56"/>
  <c r="AT174" i="56"/>
  <c r="AP176" i="56"/>
  <c r="AT176" i="56"/>
  <c r="AE178" i="56"/>
  <c r="AI181" i="56"/>
  <c r="AB183" i="56"/>
  <c r="AS183" i="56"/>
  <c r="AB186" i="56"/>
  <c r="AS186" i="56"/>
  <c r="AN190" i="56"/>
  <c r="AQ196" i="56"/>
  <c r="AS197" i="56"/>
  <c r="AV197" i="56" s="1"/>
  <c r="AM198" i="56"/>
  <c r="AP198" i="56"/>
  <c r="AE198" i="56"/>
  <c r="AQ198" i="56"/>
  <c r="AQ200" i="56"/>
  <c r="AT200" i="56"/>
  <c r="AS201" i="56"/>
  <c r="AE201" i="56"/>
  <c r="AQ203" i="56"/>
  <c r="AT203" i="56"/>
  <c r="AN203" i="56"/>
  <c r="AP206" i="56"/>
  <c r="AB206" i="56"/>
  <c r="AM206" i="56"/>
  <c r="AB165" i="56"/>
  <c r="AB166" i="56"/>
  <c r="AQ174" i="56"/>
  <c r="AQ176" i="56"/>
  <c r="AB178" i="56"/>
  <c r="AP183" i="56"/>
  <c r="AP186" i="56"/>
  <c r="AB190" i="56"/>
  <c r="AS190" i="56"/>
  <c r="L191" i="56"/>
  <c r="Z191" i="56"/>
  <c r="BD309" i="56"/>
  <c r="AD191" i="56"/>
  <c r="BH309" i="56"/>
  <c r="BL309" i="56"/>
  <c r="BP309" i="56"/>
  <c r="AQ192" i="56"/>
  <c r="AE192" i="56"/>
  <c r="AQ195" i="56"/>
  <c r="AT195" i="56"/>
  <c r="AN196" i="56"/>
  <c r="AS196" i="56"/>
  <c r="AN197" i="56"/>
  <c r="AM197" i="56"/>
  <c r="AN198" i="56"/>
  <c r="AP200" i="56"/>
  <c r="AN206" i="56"/>
  <c r="AQ206" i="56"/>
  <c r="AM209" i="56"/>
  <c r="AH209" i="56"/>
  <c r="AP213" i="56"/>
  <c r="AS213" i="56"/>
  <c r="AV213" i="56" s="1"/>
  <c r="AB213" i="56"/>
  <c r="AM213" i="56"/>
  <c r="AE214" i="56"/>
  <c r="AQ214" i="56"/>
  <c r="AH216" i="56"/>
  <c r="AP190" i="56"/>
  <c r="AT190" i="56"/>
  <c r="O193" i="56"/>
  <c r="AB196" i="56"/>
  <c r="AM196" i="56"/>
  <c r="AB197" i="56"/>
  <c r="AK197" i="56"/>
  <c r="AB198" i="56"/>
  <c r="AS198" i="56"/>
  <c r="AM201" i="56"/>
  <c r="AP202" i="56"/>
  <c r="AS202" i="56"/>
  <c r="AB202" i="56"/>
  <c r="AN213" i="56"/>
  <c r="AQ213" i="56"/>
  <c r="AQ215" i="56"/>
  <c r="AT215" i="56"/>
  <c r="AN215" i="56"/>
  <c r="AQ217" i="56"/>
  <c r="AT217" i="56"/>
  <c r="AN217" i="56"/>
  <c r="O220" i="56"/>
  <c r="AE221" i="56"/>
  <c r="AH221" i="56"/>
  <c r="AP225" i="56"/>
  <c r="AK225" i="56"/>
  <c r="AQ225" i="56"/>
  <c r="AS226" i="56"/>
  <c r="AE226" i="56"/>
  <c r="AQ227" i="56"/>
  <c r="AT227" i="56"/>
  <c r="AQ228" i="56"/>
  <c r="AT228" i="56"/>
  <c r="AN228" i="56"/>
  <c r="AM230" i="56"/>
  <c r="AH230" i="56"/>
  <c r="AP231" i="56"/>
  <c r="AS231" i="56"/>
  <c r="AB231" i="56"/>
  <c r="AP233" i="56"/>
  <c r="AS233" i="56"/>
  <c r="AB233" i="56"/>
  <c r="AQ236" i="56"/>
  <c r="AT236" i="56"/>
  <c r="AB236" i="56"/>
  <c r="AN236" i="56"/>
  <c r="AS238" i="56"/>
  <c r="AQ239" i="56"/>
  <c r="AT241" i="56"/>
  <c r="AK243" i="56"/>
  <c r="AE244" i="56"/>
  <c r="AE245" i="56"/>
  <c r="AQ246" i="56"/>
  <c r="AT246" i="56"/>
  <c r="AB246" i="56"/>
  <c r="AN246" i="56"/>
  <c r="AT248" i="56"/>
  <c r="AY309" i="56"/>
  <c r="BK309" i="56"/>
  <c r="BS309" i="56"/>
  <c r="AB195" i="56"/>
  <c r="AS195" i="56"/>
  <c r="AT196" i="56"/>
  <c r="AT197" i="56"/>
  <c r="AT198" i="56"/>
  <c r="AB200" i="56"/>
  <c r="AS200" i="56"/>
  <c r="AQ201" i="56"/>
  <c r="AB203" i="56"/>
  <c r="AS203" i="56"/>
  <c r="AB205" i="56"/>
  <c r="AS205" i="56"/>
  <c r="AI206" i="56"/>
  <c r="AK206" i="56" s="1"/>
  <c r="AP208" i="56"/>
  <c r="AT208" i="56"/>
  <c r="AQ209" i="56"/>
  <c r="AP211" i="56"/>
  <c r="AT211" i="56"/>
  <c r="R309" i="56"/>
  <c r="AB215" i="56"/>
  <c r="AS215" i="56"/>
  <c r="AQ216" i="56"/>
  <c r="AB217" i="56"/>
  <c r="AQ219" i="56"/>
  <c r="AE219" i="56"/>
  <c r="AN219" i="56"/>
  <c r="AS219" i="56"/>
  <c r="AP221" i="56"/>
  <c r="AT221" i="56"/>
  <c r="AQ221" i="56"/>
  <c r="AJ222" i="56"/>
  <c r="AF223" i="56"/>
  <c r="AH223" i="56" s="1"/>
  <c r="BM222" i="56"/>
  <c r="AB226" i="56"/>
  <c r="AQ226" i="56"/>
  <c r="AH226" i="56"/>
  <c r="AT226" i="56"/>
  <c r="AT231" i="56"/>
  <c r="AT233" i="56"/>
  <c r="AK238" i="56"/>
  <c r="AE241" i="56"/>
  <c r="AQ242" i="56"/>
  <c r="AT242" i="56"/>
  <c r="AN242" i="56"/>
  <c r="AP244" i="56"/>
  <c r="AS244" i="56"/>
  <c r="AB244" i="56"/>
  <c r="AM244" i="56"/>
  <c r="AC247" i="56"/>
  <c r="AN249" i="56"/>
  <c r="AE249" i="56"/>
  <c r="AN201" i="56"/>
  <c r="AQ208" i="56"/>
  <c r="AN209" i="56"/>
  <c r="AQ211" i="56"/>
  <c r="AN216" i="56"/>
  <c r="AT219" i="56"/>
  <c r="AS230" i="56"/>
  <c r="AE230" i="56"/>
  <c r="AQ232" i="56"/>
  <c r="AT232" i="56"/>
  <c r="AB232" i="56"/>
  <c r="AN232" i="56"/>
  <c r="AQ235" i="56"/>
  <c r="AT235" i="56"/>
  <c r="AB235" i="56"/>
  <c r="AN235" i="56"/>
  <c r="AQ237" i="56"/>
  <c r="AT237" i="56"/>
  <c r="AN237" i="56"/>
  <c r="AP239" i="56"/>
  <c r="AS239" i="56"/>
  <c r="AB239" i="56"/>
  <c r="AP245" i="56"/>
  <c r="AS245" i="56"/>
  <c r="AB245" i="56"/>
  <c r="AI248" i="56"/>
  <c r="AK248" i="56" s="1"/>
  <c r="BO247" i="56"/>
  <c r="AI247" i="56" s="1"/>
  <c r="AS249" i="56"/>
  <c r="AM249" i="56"/>
  <c r="AP249" i="56"/>
  <c r="AB249" i="56"/>
  <c r="AB223" i="56"/>
  <c r="AQ223" i="56"/>
  <c r="AN223" i="56"/>
  <c r="AJ224" i="56"/>
  <c r="AM239" i="56"/>
  <c r="AP241" i="56"/>
  <c r="AS241" i="56"/>
  <c r="AB241" i="56"/>
  <c r="AS243" i="56"/>
  <c r="AM245" i="56"/>
  <c r="AS256" i="56"/>
  <c r="AE256" i="56"/>
  <c r="AS260" i="56"/>
  <c r="AE260" i="56"/>
  <c r="AM268" i="56"/>
  <c r="AP268" i="56"/>
  <c r="AS268" i="56"/>
  <c r="AB268" i="56"/>
  <c r="AT225" i="56"/>
  <c r="AM226" i="56"/>
  <c r="AB227" i="56"/>
  <c r="AS227" i="56"/>
  <c r="AB228" i="56"/>
  <c r="AS228" i="56"/>
  <c r="AP229" i="56"/>
  <c r="AT229" i="56"/>
  <c r="AQ230" i="56"/>
  <c r="AN231" i="56"/>
  <c r="AS232" i="56"/>
  <c r="AN233" i="56"/>
  <c r="AS235" i="56"/>
  <c r="AS236" i="56"/>
  <c r="AB237" i="56"/>
  <c r="AS237" i="56"/>
  <c r="AP238" i="56"/>
  <c r="AT238" i="56"/>
  <c r="AN239" i="56"/>
  <c r="AP240" i="56"/>
  <c r="AT240" i="56"/>
  <c r="AN241" i="56"/>
  <c r="AB242" i="56"/>
  <c r="AS242" i="56"/>
  <c r="AP243" i="56"/>
  <c r="AT243" i="56"/>
  <c r="AN244" i="56"/>
  <c r="AN245" i="56"/>
  <c r="AS246" i="56"/>
  <c r="AM248" i="56"/>
  <c r="AQ248" i="56"/>
  <c r="AQ249" i="56"/>
  <c r="AT249" i="56"/>
  <c r="AE252" i="56"/>
  <c r="AQ253" i="56"/>
  <c r="AT253" i="56"/>
  <c r="AN253" i="56"/>
  <c r="AM256" i="56"/>
  <c r="AQ257" i="56"/>
  <c r="AM260" i="56"/>
  <c r="AM266" i="56"/>
  <c r="AP266" i="56"/>
  <c r="AS266" i="56"/>
  <c r="AB266" i="56"/>
  <c r="AM267" i="56"/>
  <c r="AP267" i="56"/>
  <c r="AS267" i="56"/>
  <c r="AB267" i="56"/>
  <c r="AQ229" i="56"/>
  <c r="AN230" i="56"/>
  <c r="O251" i="56"/>
  <c r="AP257" i="56"/>
  <c r="AS257" i="56"/>
  <c r="AB257" i="56"/>
  <c r="O247" i="56"/>
  <c r="AB248" i="56"/>
  <c r="AP252" i="56"/>
  <c r="AS252" i="56"/>
  <c r="AB252" i="56"/>
  <c r="AQ254" i="56"/>
  <c r="AT254" i="56"/>
  <c r="AS255" i="56"/>
  <c r="AP256" i="56"/>
  <c r="AN257" i="56"/>
  <c r="AS259" i="56"/>
  <c r="AP253" i="56"/>
  <c r="AP254" i="56"/>
  <c r="AM255" i="56"/>
  <c r="AQ255" i="56"/>
  <c r="AN256" i="56"/>
  <c r="AM259" i="56"/>
  <c r="AQ259" i="56"/>
  <c r="AN260" i="56"/>
  <c r="BI261" i="56"/>
  <c r="AS262" i="56"/>
  <c r="AS263" i="56"/>
  <c r="AP264" i="56"/>
  <c r="AT264" i="56"/>
  <c r="AN268" i="56"/>
  <c r="AM269" i="56"/>
  <c r="AQ269" i="56"/>
  <c r="AP271" i="56"/>
  <c r="AH272" i="56"/>
  <c r="AT252" i="56"/>
  <c r="AM253" i="56"/>
  <c r="AM254" i="56"/>
  <c r="AN255" i="56"/>
  <c r="AN259" i="56"/>
  <c r="AP262" i="56"/>
  <c r="AP263" i="56"/>
  <c r="AM264" i="56"/>
  <c r="AN269" i="56"/>
  <c r="AS277" i="56"/>
  <c r="AE277" i="56"/>
  <c r="AP260" i="56"/>
  <c r="AT260" i="56"/>
  <c r="AQ262" i="56"/>
  <c r="AQ263" i="56"/>
  <c r="AT268" i="56"/>
  <c r="AB269" i="56"/>
  <c r="AS269" i="56"/>
  <c r="AB253" i="56"/>
  <c r="AB254" i="56"/>
  <c r="AB264" i="56"/>
  <c r="BO265" i="56"/>
  <c r="AI265" i="56" s="1"/>
  <c r="AM271" i="56"/>
  <c r="AH271" i="56"/>
  <c r="AS282" i="56"/>
  <c r="AE282" i="56"/>
  <c r="AN271" i="56"/>
  <c r="AN272" i="56"/>
  <c r="AB273" i="56"/>
  <c r="AS273" i="56"/>
  <c r="AT275" i="56"/>
  <c r="AM277" i="56"/>
  <c r="AH278" i="56"/>
  <c r="AM278" i="56"/>
  <c r="AQ278" i="56"/>
  <c r="AE279" i="56"/>
  <c r="AN279" i="56"/>
  <c r="AB280" i="56"/>
  <c r="AS280" i="56"/>
  <c r="AT281" i="56"/>
  <c r="AM282" i="56"/>
  <c r="AE284" i="56"/>
  <c r="AN284" i="56"/>
  <c r="AB285" i="56"/>
  <c r="AS285" i="56"/>
  <c r="AP286" i="56"/>
  <c r="AT286" i="56"/>
  <c r="AH287" i="56"/>
  <c r="AM287" i="56"/>
  <c r="AQ287" i="56"/>
  <c r="AE288" i="56"/>
  <c r="AN288" i="56"/>
  <c r="AB289" i="56"/>
  <c r="AS289" i="56"/>
  <c r="AN290" i="56"/>
  <c r="AQ292" i="56"/>
  <c r="AB271" i="56"/>
  <c r="AS271" i="56"/>
  <c r="AB272" i="56"/>
  <c r="AS272" i="56"/>
  <c r="AP273" i="56"/>
  <c r="AT273" i="56"/>
  <c r="AM275" i="56"/>
  <c r="AQ275" i="56"/>
  <c r="BG276" i="56"/>
  <c r="AN277" i="56"/>
  <c r="AN278" i="56"/>
  <c r="AB279" i="56"/>
  <c r="AS279" i="56"/>
  <c r="AP280" i="56"/>
  <c r="AT280" i="56"/>
  <c r="AM281" i="56"/>
  <c r="AQ281" i="56"/>
  <c r="AN282" i="56"/>
  <c r="AB284" i="56"/>
  <c r="AS284" i="56"/>
  <c r="AP285" i="56"/>
  <c r="AT285" i="56"/>
  <c r="AM286" i="56"/>
  <c r="AQ286" i="56"/>
  <c r="AN287" i="56"/>
  <c r="AB288" i="56"/>
  <c r="AS288" i="56"/>
  <c r="AP289" i="56"/>
  <c r="AT289" i="56"/>
  <c r="AM290" i="56"/>
  <c r="AT290" i="56"/>
  <c r="AN291" i="56"/>
  <c r="AP291" i="56"/>
  <c r="AN292" i="56"/>
  <c r="AS292" i="56"/>
  <c r="AB275" i="56"/>
  <c r="L276" i="56"/>
  <c r="AB281" i="56"/>
  <c r="AB286" i="56"/>
  <c r="AB290" i="56"/>
  <c r="AH290" i="56"/>
  <c r="AE291" i="56"/>
  <c r="AM291" i="56"/>
  <c r="AE292" i="56"/>
  <c r="AP293" i="56"/>
  <c r="AT293" i="56"/>
  <c r="AM294" i="56"/>
  <c r="AQ294" i="56"/>
  <c r="AN295" i="56"/>
  <c r="AS296" i="56"/>
  <c r="AP299" i="56"/>
  <c r="AT299" i="56"/>
  <c r="AM301" i="56"/>
  <c r="AQ301" i="56"/>
  <c r="AS302" i="56"/>
  <c r="AM303" i="56"/>
  <c r="AQ303" i="56"/>
  <c r="AS304" i="56"/>
  <c r="AM306" i="56"/>
  <c r="AN307" i="56"/>
  <c r="AP308" i="56"/>
  <c r="AM293" i="56"/>
  <c r="AQ293" i="56"/>
  <c r="AN294" i="56"/>
  <c r="AB295" i="56"/>
  <c r="AS295" i="56"/>
  <c r="AP296" i="56"/>
  <c r="AT296" i="56"/>
  <c r="AM299" i="56"/>
  <c r="AQ299" i="56"/>
  <c r="AN301" i="56"/>
  <c r="AP302" i="56"/>
  <c r="AT302" i="56"/>
  <c r="AN303" i="56"/>
  <c r="AP304" i="56"/>
  <c r="AT304" i="56"/>
  <c r="AN306" i="56"/>
  <c r="AB307" i="56"/>
  <c r="AS307" i="56"/>
  <c r="AM308" i="56"/>
  <c r="AQ308" i="56"/>
  <c r="AB294" i="56"/>
  <c r="AS294" i="56"/>
  <c r="AT295" i="56"/>
  <c r="AB301" i="56"/>
  <c r="AS301" i="56"/>
  <c r="AB303" i="56"/>
  <c r="AS303" i="56"/>
  <c r="AQ304" i="56"/>
  <c r="O305" i="56"/>
  <c r="AB306" i="56"/>
  <c r="AS306" i="56"/>
  <c r="AP307" i="56"/>
  <c r="AT307" i="56"/>
  <c r="AB293" i="56"/>
  <c r="AB299" i="56"/>
  <c r="BS225" i="54"/>
  <c r="AP72" i="56" l="1"/>
  <c r="AM72" i="56"/>
  <c r="AP217" i="56"/>
  <c r="AN250" i="56"/>
  <c r="AB72" i="56"/>
  <c r="AH3" i="56"/>
  <c r="AT3" i="56"/>
  <c r="AK134" i="56"/>
  <c r="AK3" i="56"/>
  <c r="AS217" i="56"/>
  <c r="AN69" i="56"/>
  <c r="AE217" i="56"/>
  <c r="AN134" i="56"/>
  <c r="AK53" i="56"/>
  <c r="AH164" i="56"/>
  <c r="AE134" i="56"/>
  <c r="AH53" i="56"/>
  <c r="AE51" i="56"/>
  <c r="AB51" i="56"/>
  <c r="AH258" i="56"/>
  <c r="AB276" i="56"/>
  <c r="AK27" i="56"/>
  <c r="AK164" i="56"/>
  <c r="AT27" i="56"/>
  <c r="AU27" i="56" s="1"/>
  <c r="Z69" i="56"/>
  <c r="AB69" i="56" s="1"/>
  <c r="AK82" i="56"/>
  <c r="AH120" i="56"/>
  <c r="AN114" i="56"/>
  <c r="AK161" i="56"/>
  <c r="AP70" i="56"/>
  <c r="AS164" i="56"/>
  <c r="AV164" i="56" s="1"/>
  <c r="AO286" i="56"/>
  <c r="AE27" i="56"/>
  <c r="AQ27" i="56"/>
  <c r="AR27" i="56" s="1"/>
  <c r="AN27" i="56"/>
  <c r="AO27" i="56" s="1"/>
  <c r="AE258" i="56"/>
  <c r="AB250" i="56"/>
  <c r="AK210" i="56"/>
  <c r="AR260" i="56"/>
  <c r="AS38" i="56"/>
  <c r="AV38" i="56" s="1"/>
  <c r="BC309" i="56"/>
  <c r="AS58" i="56"/>
  <c r="AV58" i="56" s="1"/>
  <c r="AP38" i="56"/>
  <c r="AR38" i="56" s="1"/>
  <c r="AS3" i="56"/>
  <c r="AM38" i="56"/>
  <c r="AO38" i="56" s="1"/>
  <c r="AM70" i="56"/>
  <c r="AO70" i="56" s="1"/>
  <c r="AE70" i="56"/>
  <c r="AP3" i="56"/>
  <c r="AR3" i="56" s="1"/>
  <c r="AU275" i="56"/>
  <c r="AR290" i="56"/>
  <c r="AR287" i="56"/>
  <c r="AH305" i="56"/>
  <c r="BH5" i="56"/>
  <c r="AO302" i="56"/>
  <c r="AK182" i="56"/>
  <c r="AK184" i="56" s="1"/>
  <c r="AK185" i="56" s="1"/>
  <c r="AO130" i="56"/>
  <c r="AR178" i="56"/>
  <c r="AR163" i="56"/>
  <c r="AR94" i="56"/>
  <c r="AP161" i="56"/>
  <c r="AE53" i="56"/>
  <c r="AN53" i="56"/>
  <c r="AQ250" i="56"/>
  <c r="AR244" i="56"/>
  <c r="AR202" i="56"/>
  <c r="AR149" i="56"/>
  <c r="AE69" i="56"/>
  <c r="AQ134" i="56"/>
  <c r="AP134" i="56"/>
  <c r="AE283" i="56"/>
  <c r="AH276" i="56"/>
  <c r="AE270" i="56"/>
  <c r="AN212" i="56"/>
  <c r="AP164" i="56"/>
  <c r="AK305" i="56"/>
  <c r="AH161" i="56"/>
  <c r="AR296" i="56"/>
  <c r="AM164" i="56"/>
  <c r="AH300" i="56"/>
  <c r="AR125" i="56"/>
  <c r="AO252" i="56"/>
  <c r="AE224" i="56"/>
  <c r="AE82" i="56"/>
  <c r="AM222" i="56"/>
  <c r="AO79" i="56"/>
  <c r="AS134" i="56"/>
  <c r="AV134" i="56" s="1"/>
  <c r="AH247" i="56"/>
  <c r="AE218" i="56"/>
  <c r="AB247" i="56"/>
  <c r="AH207" i="56"/>
  <c r="AO138" i="56"/>
  <c r="AE305" i="56"/>
  <c r="AR162" i="56"/>
  <c r="AM283" i="56"/>
  <c r="AX177" i="56"/>
  <c r="AX179" i="56" s="1"/>
  <c r="AR52" i="56"/>
  <c r="AO121" i="56"/>
  <c r="AO88" i="56"/>
  <c r="AO308" i="56"/>
  <c r="AM134" i="56"/>
  <c r="AH265" i="56"/>
  <c r="AM39" i="56"/>
  <c r="AR288" i="56"/>
  <c r="AB155" i="56"/>
  <c r="AF119" i="56"/>
  <c r="AH101" i="56"/>
  <c r="BF177" i="56"/>
  <c r="BF179" i="56" s="1"/>
  <c r="BI177" i="56"/>
  <c r="BI179" i="56" s="1"/>
  <c r="AK57" i="56"/>
  <c r="AO44" i="56"/>
  <c r="BA5" i="56"/>
  <c r="AO236" i="56"/>
  <c r="AR227" i="56"/>
  <c r="AR168" i="56"/>
  <c r="AR109" i="56"/>
  <c r="AO80" i="56"/>
  <c r="AK69" i="56"/>
  <c r="AM51" i="56"/>
  <c r="AO151" i="56"/>
  <c r="AO117" i="56"/>
  <c r="AO211" i="56"/>
  <c r="AQ300" i="56"/>
  <c r="AE261" i="56"/>
  <c r="AE222" i="56"/>
  <c r="AP171" i="56"/>
  <c r="AK45" i="56"/>
  <c r="AK23" i="56"/>
  <c r="AM261" i="56"/>
  <c r="AB204" i="56"/>
  <c r="AE300" i="56"/>
  <c r="AB53" i="56"/>
  <c r="AE48" i="56"/>
  <c r="AK270" i="56"/>
  <c r="AK150" i="56"/>
  <c r="AQ258" i="56"/>
  <c r="AU264" i="56"/>
  <c r="AP258" i="56"/>
  <c r="AR246" i="56"/>
  <c r="AR197" i="56"/>
  <c r="AO63" i="56"/>
  <c r="AU137" i="56"/>
  <c r="AK173" i="56"/>
  <c r="AN48" i="56"/>
  <c r="AH64" i="56"/>
  <c r="AH28" i="56"/>
  <c r="AH155" i="56"/>
  <c r="AR242" i="56"/>
  <c r="AO135" i="56"/>
  <c r="AO109" i="56"/>
  <c r="AO35" i="56"/>
  <c r="AD81" i="56"/>
  <c r="AE250" i="56"/>
  <c r="AH67" i="56"/>
  <c r="AK59" i="56"/>
  <c r="AG81" i="56"/>
  <c r="AH251" i="56"/>
  <c r="AU308" i="56"/>
  <c r="AU169" i="56"/>
  <c r="AR132" i="56"/>
  <c r="AO30" i="56"/>
  <c r="BM5" i="56"/>
  <c r="AR129" i="56"/>
  <c r="AQ48" i="56"/>
  <c r="AU301" i="56"/>
  <c r="AU286" i="56"/>
  <c r="AO257" i="56"/>
  <c r="AR170" i="56"/>
  <c r="AR137" i="56"/>
  <c r="AR77" i="56"/>
  <c r="AR65" i="56"/>
  <c r="AM53" i="56"/>
  <c r="AO160" i="56"/>
  <c r="AO241" i="56"/>
  <c r="AO215" i="56"/>
  <c r="AU106" i="56"/>
  <c r="S185" i="56"/>
  <c r="S310" i="56" s="1"/>
  <c r="AB114" i="56"/>
  <c r="AO299" i="56"/>
  <c r="AR192" i="56"/>
  <c r="AR142" i="56"/>
  <c r="AU162" i="56"/>
  <c r="AR75" i="56"/>
  <c r="AR122" i="56"/>
  <c r="AR102" i="56"/>
  <c r="AO86" i="56"/>
  <c r="AO33" i="56"/>
  <c r="AU262" i="56"/>
  <c r="AK247" i="56"/>
  <c r="AR245" i="56"/>
  <c r="AO237" i="56"/>
  <c r="AR156" i="56"/>
  <c r="AR87" i="56"/>
  <c r="AT114" i="56"/>
  <c r="AP53" i="56"/>
  <c r="AB193" i="56"/>
  <c r="AU79" i="56"/>
  <c r="AO31" i="56"/>
  <c r="AB261" i="56"/>
  <c r="AM218" i="56"/>
  <c r="AK120" i="56"/>
  <c r="AH48" i="56"/>
  <c r="AO41" i="56"/>
  <c r="AO307" i="56"/>
  <c r="R310" i="56"/>
  <c r="AR141" i="56"/>
  <c r="AR91" i="56"/>
  <c r="AO104" i="56"/>
  <c r="AR35" i="56"/>
  <c r="AQ114" i="56"/>
  <c r="AO97" i="56"/>
  <c r="AM300" i="56"/>
  <c r="AK191" i="56"/>
  <c r="AR133" i="56"/>
  <c r="AE114" i="56"/>
  <c r="BG177" i="56"/>
  <c r="BG179" i="56" s="1"/>
  <c r="AO62" i="56"/>
  <c r="AK51" i="56"/>
  <c r="AW5" i="56"/>
  <c r="AB28" i="56"/>
  <c r="AE150" i="56"/>
  <c r="AO219" i="56"/>
  <c r="AO165" i="56"/>
  <c r="AR269" i="56"/>
  <c r="AR266" i="56"/>
  <c r="AR231" i="56"/>
  <c r="AR106" i="56"/>
  <c r="AU93" i="56"/>
  <c r="AR85" i="56"/>
  <c r="AO50" i="56"/>
  <c r="AR127" i="56"/>
  <c r="AR116" i="56"/>
  <c r="AR111" i="56"/>
  <c r="AR93" i="56"/>
  <c r="AO77" i="56"/>
  <c r="AR42" i="56"/>
  <c r="AU50" i="56"/>
  <c r="AO123" i="56"/>
  <c r="BA177" i="56"/>
  <c r="BA179" i="56" s="1"/>
  <c r="AU13" i="56"/>
  <c r="AO128" i="56"/>
  <c r="AE120" i="56"/>
  <c r="AQ53" i="56"/>
  <c r="AN120" i="56"/>
  <c r="AU306" i="56"/>
  <c r="AU290" i="56"/>
  <c r="AR165" i="56"/>
  <c r="AR74" i="56"/>
  <c r="AO133" i="56"/>
  <c r="AO125" i="56"/>
  <c r="AO92" i="56"/>
  <c r="AH171" i="56"/>
  <c r="AO20" i="56"/>
  <c r="AN265" i="56"/>
  <c r="AN171" i="56"/>
  <c r="AR195" i="56"/>
  <c r="AR186" i="56"/>
  <c r="O212" i="56"/>
  <c r="AU291" i="56"/>
  <c r="AP182" i="56"/>
  <c r="AE158" i="56"/>
  <c r="AR306" i="56"/>
  <c r="AM224" i="56"/>
  <c r="AN204" i="56"/>
  <c r="AN175" i="56"/>
  <c r="AN98" i="56"/>
  <c r="AM64" i="56"/>
  <c r="AO266" i="56"/>
  <c r="AH283" i="56"/>
  <c r="AK251" i="56"/>
  <c r="AB57" i="56"/>
  <c r="AO226" i="56"/>
  <c r="AO242" i="56"/>
  <c r="AR145" i="56"/>
  <c r="AO292" i="56"/>
  <c r="AS182" i="56"/>
  <c r="AV182" i="56" s="1"/>
  <c r="AR80" i="56"/>
  <c r="AR130" i="56"/>
  <c r="AU126" i="56"/>
  <c r="AS57" i="56"/>
  <c r="AV57" i="56" s="1"/>
  <c r="AO72" i="56"/>
  <c r="AR55" i="56"/>
  <c r="AU26" i="56"/>
  <c r="AU24" i="56"/>
  <c r="AO29" i="56"/>
  <c r="AJ218" i="56"/>
  <c r="AK218" i="56" s="1"/>
  <c r="AH82" i="56"/>
  <c r="AU86" i="56"/>
  <c r="AB89" i="56"/>
  <c r="AP251" i="56"/>
  <c r="AN150" i="56"/>
  <c r="AO174" i="56"/>
  <c r="AH17" i="56"/>
  <c r="AO170" i="56"/>
  <c r="AM265" i="56"/>
  <c r="AR131" i="56"/>
  <c r="AP270" i="56"/>
  <c r="AM258" i="56"/>
  <c r="AO146" i="56"/>
  <c r="AQ305" i="56"/>
  <c r="AK250" i="56"/>
  <c r="AB212" i="56"/>
  <c r="AB39" i="56"/>
  <c r="AO281" i="56"/>
  <c r="AU277" i="56"/>
  <c r="AR252" i="56"/>
  <c r="AM250" i="56"/>
  <c r="AK224" i="56"/>
  <c r="AO216" i="56"/>
  <c r="AR233" i="56"/>
  <c r="AU192" i="56"/>
  <c r="AO178" i="56"/>
  <c r="AO141" i="56"/>
  <c r="AT150" i="56"/>
  <c r="AR117" i="56"/>
  <c r="AR100" i="56"/>
  <c r="AO47" i="56"/>
  <c r="AE64" i="56"/>
  <c r="AO61" i="56"/>
  <c r="AP224" i="56"/>
  <c r="AO105" i="56"/>
  <c r="AT300" i="56"/>
  <c r="AE28" i="56"/>
  <c r="AK300" i="56"/>
  <c r="AR278" i="56"/>
  <c r="AO233" i="56"/>
  <c r="AR209" i="56"/>
  <c r="AR196" i="56"/>
  <c r="AO186" i="56"/>
  <c r="AU151" i="56"/>
  <c r="AR105" i="56"/>
  <c r="AR16" i="56"/>
  <c r="AR40" i="56"/>
  <c r="AU30" i="56"/>
  <c r="AP51" i="56"/>
  <c r="AT250" i="56"/>
  <c r="AO289" i="56"/>
  <c r="AK193" i="56"/>
  <c r="AO96" i="56"/>
  <c r="AO84" i="56"/>
  <c r="AN247" i="56"/>
  <c r="AB258" i="56"/>
  <c r="AR217" i="56"/>
  <c r="AM182" i="56"/>
  <c r="AU303" i="56"/>
  <c r="AR302" i="56"/>
  <c r="AR294" i="56"/>
  <c r="AO267" i="56"/>
  <c r="AR201" i="56"/>
  <c r="AO228" i="56"/>
  <c r="AJ184" i="56"/>
  <c r="AJ185" i="56" s="1"/>
  <c r="AE173" i="56"/>
  <c r="AR104" i="56"/>
  <c r="AR88" i="56"/>
  <c r="AU75" i="56"/>
  <c r="AO19" i="56"/>
  <c r="AS224" i="56"/>
  <c r="AV224" i="56" s="1"/>
  <c r="AE199" i="56"/>
  <c r="AO195" i="56"/>
  <c r="AP89" i="56"/>
  <c r="AN23" i="56"/>
  <c r="AK89" i="56"/>
  <c r="AK158" i="56"/>
  <c r="AE207" i="56"/>
  <c r="AN161" i="56"/>
  <c r="BM177" i="56"/>
  <c r="BM179" i="56" s="1"/>
  <c r="AH210" i="56"/>
  <c r="AH220" i="56"/>
  <c r="AQ220" i="56"/>
  <c r="AN193" i="56"/>
  <c r="AS305" i="56"/>
  <c r="AV305" i="56" s="1"/>
  <c r="AT48" i="56"/>
  <c r="AO16" i="56"/>
  <c r="BP177" i="56"/>
  <c r="BP179" i="56" s="1"/>
  <c r="AO304" i="56"/>
  <c r="Z119" i="56"/>
  <c r="AB64" i="56"/>
  <c r="AT59" i="56"/>
  <c r="AB45" i="56"/>
  <c r="AB182" i="56"/>
  <c r="AB184" i="56" s="1"/>
  <c r="AB185" i="56" s="1"/>
  <c r="AQ89" i="56"/>
  <c r="AS158" i="56"/>
  <c r="AV158" i="56" s="1"/>
  <c r="AP204" i="56"/>
  <c r="AH270" i="56"/>
  <c r="AK258" i="56"/>
  <c r="AE101" i="56"/>
  <c r="AQ173" i="56"/>
  <c r="AS171" i="56"/>
  <c r="AV171" i="56" s="1"/>
  <c r="AN101" i="56"/>
  <c r="AP39" i="56"/>
  <c r="AN28" i="56"/>
  <c r="AT110" i="56"/>
  <c r="AT258" i="56"/>
  <c r="AU167" i="56"/>
  <c r="AO144" i="56"/>
  <c r="AH23" i="56"/>
  <c r="AP45" i="56"/>
  <c r="AM251" i="56"/>
  <c r="AN305" i="56"/>
  <c r="AR280" i="56"/>
  <c r="AO254" i="56"/>
  <c r="AO217" i="56"/>
  <c r="AE171" i="56"/>
  <c r="AO162" i="56"/>
  <c r="AU140" i="56"/>
  <c r="AO99" i="56"/>
  <c r="AN59" i="56"/>
  <c r="AO55" i="56"/>
  <c r="AM101" i="56"/>
  <c r="AS89" i="56"/>
  <c r="AV89" i="56" s="1"/>
  <c r="AK283" i="56"/>
  <c r="AH158" i="56"/>
  <c r="AK276" i="56"/>
  <c r="AK175" i="56"/>
  <c r="AK28" i="56"/>
  <c r="AH173" i="56"/>
  <c r="AE204" i="56"/>
  <c r="AO157" i="56"/>
  <c r="AM114" i="56"/>
  <c r="AN110" i="56"/>
  <c r="AC119" i="56"/>
  <c r="AQ171" i="56"/>
  <c r="BT5" i="56"/>
  <c r="AS258" i="56"/>
  <c r="AV258" i="56" s="1"/>
  <c r="AI119" i="56"/>
  <c r="AU271" i="56"/>
  <c r="AM247" i="56"/>
  <c r="AO279" i="56"/>
  <c r="AS204" i="56"/>
  <c r="AV204" i="56" s="1"/>
  <c r="AN258" i="56"/>
  <c r="AU186" i="56"/>
  <c r="AM171" i="56"/>
  <c r="AR83" i="56"/>
  <c r="AO108" i="56"/>
  <c r="AH224" i="56"/>
  <c r="AO140" i="56"/>
  <c r="AH89" i="56"/>
  <c r="AO85" i="56"/>
  <c r="AK199" i="56"/>
  <c r="AR277" i="56"/>
  <c r="AU99" i="56"/>
  <c r="AM89" i="56"/>
  <c r="AN51" i="56"/>
  <c r="AR284" i="56"/>
  <c r="AT28" i="56"/>
  <c r="AR238" i="56"/>
  <c r="AR268" i="56"/>
  <c r="AR291" i="56"/>
  <c r="AR240" i="56"/>
  <c r="AU229" i="56"/>
  <c r="AO232" i="56"/>
  <c r="AR303" i="56"/>
  <c r="AO288" i="56"/>
  <c r="AO264" i="56"/>
  <c r="AR259" i="56"/>
  <c r="AU254" i="56"/>
  <c r="AN220" i="56"/>
  <c r="AR108" i="56"/>
  <c r="AU94" i="56"/>
  <c r="AK48" i="56"/>
  <c r="AB59" i="56"/>
  <c r="AK64" i="56"/>
  <c r="AW177" i="56"/>
  <c r="AW179" i="56" s="1"/>
  <c r="AQ28" i="56"/>
  <c r="AO106" i="56"/>
  <c r="AO43" i="56"/>
  <c r="AP101" i="56"/>
  <c r="AE89" i="56"/>
  <c r="AK114" i="56"/>
  <c r="AS23" i="56"/>
  <c r="AR66" i="56"/>
  <c r="AO296" i="56"/>
  <c r="AT276" i="56"/>
  <c r="AE251" i="56"/>
  <c r="AO221" i="56"/>
  <c r="AE175" i="56"/>
  <c r="AO159" i="56"/>
  <c r="AS150" i="56"/>
  <c r="AV150" i="56" s="1"/>
  <c r="AN199" i="56"/>
  <c r="AK212" i="56"/>
  <c r="AK204" i="56"/>
  <c r="AB82" i="56"/>
  <c r="AO192" i="56"/>
  <c r="AE98" i="56"/>
  <c r="AM45" i="56"/>
  <c r="AY177" i="56"/>
  <c r="AY179" i="56" s="1"/>
  <c r="AM204" i="56"/>
  <c r="AH212" i="56"/>
  <c r="AH39" i="56"/>
  <c r="AH45" i="56"/>
  <c r="AQ283" i="56"/>
  <c r="AB171" i="56"/>
  <c r="AP82" i="56"/>
  <c r="AB23" i="56"/>
  <c r="AT305" i="56"/>
  <c r="AB210" i="56"/>
  <c r="AB158" i="56"/>
  <c r="AQ164" i="56"/>
  <c r="AO280" i="56"/>
  <c r="AT247" i="56"/>
  <c r="AQ23" i="56"/>
  <c r="AT173" i="56"/>
  <c r="AB110" i="56"/>
  <c r="AU77" i="56"/>
  <c r="AU122" i="56"/>
  <c r="AR99" i="56"/>
  <c r="AO74" i="56"/>
  <c r="AR63" i="56"/>
  <c r="AR31" i="56"/>
  <c r="N310" i="56"/>
  <c r="AO40" i="56"/>
  <c r="AO26" i="56"/>
  <c r="AO24" i="56"/>
  <c r="AO13" i="56"/>
  <c r="AR56" i="56"/>
  <c r="AR54" i="56"/>
  <c r="AR47" i="56"/>
  <c r="AR15" i="56"/>
  <c r="AR70" i="56"/>
  <c r="AP59" i="56"/>
  <c r="AR295" i="56"/>
  <c r="AS283" i="56"/>
  <c r="AV283" i="56" s="1"/>
  <c r="AU123" i="56"/>
  <c r="AU111" i="56"/>
  <c r="AU107" i="56"/>
  <c r="AE45" i="56"/>
  <c r="AO32" i="56"/>
  <c r="AN276" i="56"/>
  <c r="AK220" i="56"/>
  <c r="AQ212" i="56"/>
  <c r="M310" i="56"/>
  <c r="AQ150" i="56"/>
  <c r="AK110" i="56"/>
  <c r="AK98" i="56"/>
  <c r="BN5" i="56"/>
  <c r="AA81" i="56"/>
  <c r="AT265" i="56"/>
  <c r="AP250" i="56"/>
  <c r="AO214" i="56"/>
  <c r="AE210" i="56"/>
  <c r="AN207" i="56"/>
  <c r="AB175" i="56"/>
  <c r="AM212" i="56"/>
  <c r="AQ204" i="56"/>
  <c r="AH175" i="56"/>
  <c r="AZ5" i="56"/>
  <c r="AT155" i="56"/>
  <c r="AT98" i="56"/>
  <c r="AE161" i="56"/>
  <c r="AH110" i="56"/>
  <c r="AT51" i="56"/>
  <c r="AM48" i="56"/>
  <c r="AE220" i="56"/>
  <c r="AM82" i="56"/>
  <c r="AO293" i="56"/>
  <c r="AR301" i="56"/>
  <c r="AN251" i="56"/>
  <c r="AE265" i="56"/>
  <c r="AO231" i="56"/>
  <c r="AP247" i="56"/>
  <c r="AO223" i="56"/>
  <c r="AR183" i="56"/>
  <c r="AE182" i="56"/>
  <c r="AE184" i="56" s="1"/>
  <c r="AE185" i="56" s="1"/>
  <c r="AO167" i="56"/>
  <c r="AN210" i="56"/>
  <c r="AU144" i="56"/>
  <c r="AB150" i="56"/>
  <c r="AM161" i="56"/>
  <c r="AQ101" i="56"/>
  <c r="AP158" i="56"/>
  <c r="AT101" i="56"/>
  <c r="AR138" i="56"/>
  <c r="AO112" i="56"/>
  <c r="AO87" i="56"/>
  <c r="AS64" i="56"/>
  <c r="AV64" i="56" s="1"/>
  <c r="AP23" i="56"/>
  <c r="AS51" i="56"/>
  <c r="AV51" i="56" s="1"/>
  <c r="AS28" i="56"/>
  <c r="AV28" i="56" s="1"/>
  <c r="AT23" i="56"/>
  <c r="AO262" i="56"/>
  <c r="AO227" i="56"/>
  <c r="AP210" i="56"/>
  <c r="AO102" i="56"/>
  <c r="AS82" i="56"/>
  <c r="AV82" i="56" s="1"/>
  <c r="AE23" i="56"/>
  <c r="AQ59" i="56"/>
  <c r="AQ45" i="56"/>
  <c r="AS251" i="56"/>
  <c r="AV251" i="56" s="1"/>
  <c r="AM207" i="56"/>
  <c r="AN300" i="56"/>
  <c r="AR285" i="56"/>
  <c r="AO295" i="56"/>
  <c r="AP305" i="56"/>
  <c r="AR289" i="56"/>
  <c r="AK265" i="56"/>
  <c r="AU253" i="56"/>
  <c r="AR243" i="56"/>
  <c r="AS210" i="56"/>
  <c r="AV210" i="56" s="1"/>
  <c r="AR228" i="56"/>
  <c r="AR215" i="56"/>
  <c r="AT212" i="56"/>
  <c r="AS175" i="56"/>
  <c r="AV175" i="56" s="1"/>
  <c r="AU216" i="56"/>
  <c r="AO183" i="56"/>
  <c r="AN173" i="56"/>
  <c r="AT207" i="56"/>
  <c r="AR146" i="56"/>
  <c r="AN182" i="56"/>
  <c r="AT171" i="56"/>
  <c r="AU165" i="56"/>
  <c r="AM158" i="56"/>
  <c r="AO116" i="56"/>
  <c r="AU102" i="56"/>
  <c r="AU85" i="56"/>
  <c r="AT134" i="56"/>
  <c r="AO25" i="56"/>
  <c r="AB48" i="56"/>
  <c r="AM23" i="56"/>
  <c r="AH193" i="56"/>
  <c r="AO122" i="56"/>
  <c r="AS110" i="56"/>
  <c r="AK67" i="56"/>
  <c r="AM210" i="56"/>
  <c r="AK207" i="56"/>
  <c r="AH59" i="56"/>
  <c r="AO275" i="56"/>
  <c r="AO284" i="56"/>
  <c r="AO272" i="56"/>
  <c r="AS270" i="56"/>
  <c r="AV270" i="56" s="1"/>
  <c r="AR235" i="56"/>
  <c r="AO205" i="56"/>
  <c r="AR139" i="56"/>
  <c r="AT182" i="56"/>
  <c r="AB164" i="56"/>
  <c r="AO145" i="56"/>
  <c r="AB134" i="56"/>
  <c r="AB173" i="56"/>
  <c r="AR123" i="56"/>
  <c r="AR118" i="56"/>
  <c r="AO107" i="56"/>
  <c r="AR86" i="56"/>
  <c r="AO73" i="56"/>
  <c r="AR29" i="56"/>
  <c r="AP48" i="56"/>
  <c r="AU47" i="56"/>
  <c r="AR34" i="56"/>
  <c r="AP14" i="56"/>
  <c r="AR14" i="56" s="1"/>
  <c r="AD119" i="56"/>
  <c r="AO136" i="56"/>
  <c r="AO229" i="56"/>
  <c r="AO202" i="56"/>
  <c r="AO91" i="56"/>
  <c r="AT158" i="56"/>
  <c r="AK101" i="56"/>
  <c r="BL177" i="56"/>
  <c r="BL179" i="56" s="1"/>
  <c r="AQ247" i="56"/>
  <c r="BK177" i="56"/>
  <c r="BK179" i="56" s="1"/>
  <c r="BF5" i="56"/>
  <c r="AO194" i="56"/>
  <c r="AP300" i="56"/>
  <c r="AQ224" i="56"/>
  <c r="AP220" i="56"/>
  <c r="AM199" i="56"/>
  <c r="AR194" i="56"/>
  <c r="AO256" i="56"/>
  <c r="AO56" i="56"/>
  <c r="AO263" i="56"/>
  <c r="AT261" i="56"/>
  <c r="AT199" i="56"/>
  <c r="AR279" i="56"/>
  <c r="AN155" i="56"/>
  <c r="AH98" i="56"/>
  <c r="AP114" i="56"/>
  <c r="AH69" i="56"/>
  <c r="AT53" i="56"/>
  <c r="AQ51" i="56"/>
  <c r="AT39" i="56"/>
  <c r="AM150" i="56"/>
  <c r="AJ81" i="56"/>
  <c r="BH177" i="56"/>
  <c r="BH179" i="56" s="1"/>
  <c r="AK155" i="56"/>
  <c r="AB283" i="56"/>
  <c r="AK171" i="56"/>
  <c r="AT270" i="56"/>
  <c r="AH150" i="56"/>
  <c r="AT82" i="56"/>
  <c r="AJ119" i="56"/>
  <c r="AM305" i="56"/>
  <c r="AP283" i="56"/>
  <c r="AU221" i="56"/>
  <c r="AS207" i="56"/>
  <c r="AS212" i="56"/>
  <c r="AB220" i="56"/>
  <c r="AU213" i="56"/>
  <c r="AT191" i="56"/>
  <c r="AP175" i="56"/>
  <c r="AB218" i="56"/>
  <c r="AE212" i="56"/>
  <c r="AH204" i="56"/>
  <c r="AQ207" i="56"/>
  <c r="AS155" i="56"/>
  <c r="AV155" i="56" s="1"/>
  <c r="AT210" i="56"/>
  <c r="AR154" i="56"/>
  <c r="AO142" i="56"/>
  <c r="AP150" i="56"/>
  <c r="AQ158" i="56"/>
  <c r="AR124" i="56"/>
  <c r="AR73" i="56"/>
  <c r="AQ155" i="56"/>
  <c r="AU130" i="56"/>
  <c r="AR126" i="56"/>
  <c r="AO90" i="56"/>
  <c r="AO78" i="56"/>
  <c r="AT69" i="56"/>
  <c r="AQ120" i="56"/>
  <c r="AQ110" i="56"/>
  <c r="AR44" i="56"/>
  <c r="AP110" i="56"/>
  <c r="AN89" i="56"/>
  <c r="AB101" i="56"/>
  <c r="AQ98" i="56"/>
  <c r="AH51" i="56"/>
  <c r="AP28" i="56"/>
  <c r="AT283" i="56"/>
  <c r="AH250" i="56"/>
  <c r="AT175" i="56"/>
  <c r="AN45" i="56"/>
  <c r="AK261" i="56"/>
  <c r="AM175" i="56"/>
  <c r="AO175" i="56" s="1"/>
  <c r="AQ199" i="56"/>
  <c r="AB120" i="56"/>
  <c r="AE39" i="56"/>
  <c r="AZ177" i="56"/>
  <c r="AZ179" i="56" s="1"/>
  <c r="AP64" i="56"/>
  <c r="AE155" i="56"/>
  <c r="AB300" i="56"/>
  <c r="AQ270" i="56"/>
  <c r="AR256" i="56"/>
  <c r="AB224" i="56"/>
  <c r="AN283" i="56"/>
  <c r="AQ276" i="56"/>
  <c r="AN270" i="56"/>
  <c r="AR264" i="56"/>
  <c r="AR226" i="56"/>
  <c r="AK222" i="56"/>
  <c r="AR216" i="56"/>
  <c r="AB207" i="56"/>
  <c r="AP212" i="56"/>
  <c r="AN224" i="56"/>
  <c r="AM220" i="56"/>
  <c r="AB199" i="56"/>
  <c r="AP155" i="56"/>
  <c r="AQ182" i="56"/>
  <c r="AQ210" i="56"/>
  <c r="AT161" i="56"/>
  <c r="AN158" i="56"/>
  <c r="AR112" i="56"/>
  <c r="AO129" i="56"/>
  <c r="AO115" i="56"/>
  <c r="AO95" i="56"/>
  <c r="AI81" i="56"/>
  <c r="AO66" i="56"/>
  <c r="AT89" i="56"/>
  <c r="AN39" i="56"/>
  <c r="AS101" i="56"/>
  <c r="AV101" i="56" s="1"/>
  <c r="AT45" i="56"/>
  <c r="AQ39" i="56"/>
  <c r="AR19" i="56"/>
  <c r="AM28" i="56"/>
  <c r="AU287" i="56"/>
  <c r="AR272" i="56"/>
  <c r="AO238" i="56"/>
  <c r="AO225" i="56"/>
  <c r="AQ69" i="56"/>
  <c r="AO273" i="56"/>
  <c r="AT251" i="56"/>
  <c r="AP265" i="56"/>
  <c r="AH199" i="56"/>
  <c r="AQ193" i="56"/>
  <c r="AO132" i="56"/>
  <c r="BR177" i="56"/>
  <c r="BR179" i="56" s="1"/>
  <c r="AQ175" i="56"/>
  <c r="AQ265" i="56"/>
  <c r="AB305" i="56"/>
  <c r="AS300" i="56"/>
  <c r="AV300" i="56" s="1"/>
  <c r="AR273" i="56"/>
  <c r="AB270" i="56"/>
  <c r="AR271" i="56"/>
  <c r="AR257" i="56"/>
  <c r="AO245" i="56"/>
  <c r="AR307" i="56"/>
  <c r="AU293" i="56"/>
  <c r="AV277" i="56"/>
  <c r="AR275" i="56"/>
  <c r="AU281" i="56"/>
  <c r="AR255" i="56"/>
  <c r="AR267" i="56"/>
  <c r="AU240" i="56"/>
  <c r="AR230" i="56"/>
  <c r="AU225" i="56"/>
  <c r="AU239" i="56"/>
  <c r="AF222" i="56"/>
  <c r="AS222" i="56" s="1"/>
  <c r="AR236" i="56"/>
  <c r="AO203" i="56"/>
  <c r="AM193" i="56"/>
  <c r="AH182" i="56"/>
  <c r="AH184" i="56" s="1"/>
  <c r="AH185" i="56" s="1"/>
  <c r="AO169" i="56"/>
  <c r="AR95" i="56"/>
  <c r="AR90" i="56"/>
  <c r="AO75" i="56"/>
  <c r="AU65" i="56"/>
  <c r="AR41" i="56"/>
  <c r="AQ82" i="56"/>
  <c r="AO60" i="56"/>
  <c r="AE110" i="56"/>
  <c r="AU115" i="56"/>
  <c r="AQ161" i="56"/>
  <c r="AR161" i="56" s="1"/>
  <c r="AS45" i="56"/>
  <c r="AV45" i="56" s="1"/>
  <c r="AH57" i="56"/>
  <c r="AO52" i="56"/>
  <c r="AR308" i="56"/>
  <c r="AO196" i="56"/>
  <c r="AR206" i="56"/>
  <c r="AO163" i="56"/>
  <c r="AR167" i="56"/>
  <c r="AR166" i="56"/>
  <c r="X57" i="56"/>
  <c r="V5" i="56"/>
  <c r="AS53" i="56"/>
  <c r="AV53" i="56" s="1"/>
  <c r="AM155" i="56"/>
  <c r="BL5" i="56"/>
  <c r="AR239" i="56"/>
  <c r="L5" i="56"/>
  <c r="AQ222" i="56"/>
  <c r="AS250" i="56"/>
  <c r="BP5" i="56"/>
  <c r="BD5" i="56"/>
  <c r="AO18" i="56"/>
  <c r="AR282" i="56"/>
  <c r="AN261" i="56"/>
  <c r="AO93" i="56"/>
  <c r="P5" i="56"/>
  <c r="AO65" i="56"/>
  <c r="BN177" i="56"/>
  <c r="BN179" i="56" s="1"/>
  <c r="AH114" i="56"/>
  <c r="BK5" i="56"/>
  <c r="AO260" i="56"/>
  <c r="AR249" i="56"/>
  <c r="BC177" i="56"/>
  <c r="BC179" i="56" s="1"/>
  <c r="AO246" i="56"/>
  <c r="AU60" i="56"/>
  <c r="AE193" i="56"/>
  <c r="AO113" i="56"/>
  <c r="AO42" i="56"/>
  <c r="BQ177" i="56"/>
  <c r="BQ179" i="56" s="1"/>
  <c r="BQ5" i="56"/>
  <c r="AC81" i="56"/>
  <c r="BR5" i="56"/>
  <c r="AY5" i="56"/>
  <c r="AO243" i="56"/>
  <c r="P177" i="56"/>
  <c r="P185" i="56" s="1"/>
  <c r="AO306" i="56"/>
  <c r="AO294" i="56"/>
  <c r="AO290" i="56"/>
  <c r="AO287" i="56"/>
  <c r="AO282" i="56"/>
  <c r="AB251" i="56"/>
  <c r="AQ261" i="56"/>
  <c r="AB222" i="56"/>
  <c r="AR237" i="56"/>
  <c r="AR232" i="56"/>
  <c r="AR219" i="56"/>
  <c r="AR200" i="56"/>
  <c r="AS218" i="56"/>
  <c r="AV218" i="56" s="1"/>
  <c r="AR205" i="56"/>
  <c r="AS199" i="56"/>
  <c r="AV199" i="56" s="1"/>
  <c r="AV192" i="56"/>
  <c r="AT204" i="56"/>
  <c r="AR159" i="56"/>
  <c r="AR143" i="56"/>
  <c r="AO172" i="56"/>
  <c r="AB161" i="56"/>
  <c r="AR84" i="56"/>
  <c r="AU118" i="56"/>
  <c r="AR107" i="56"/>
  <c r="AO83" i="56"/>
  <c r="AE59" i="56"/>
  <c r="AM110" i="56"/>
  <c r="AN82" i="56"/>
  <c r="AU54" i="56"/>
  <c r="AO46" i="56"/>
  <c r="AM120" i="56"/>
  <c r="AU33" i="56"/>
  <c r="AR135" i="56"/>
  <c r="AO285" i="56"/>
  <c r="AH191" i="56"/>
  <c r="AP207" i="56"/>
  <c r="AH218" i="56"/>
  <c r="AU299" i="56"/>
  <c r="AR292" i="56"/>
  <c r="AU278" i="56"/>
  <c r="AQ251" i="56"/>
  <c r="AB265" i="56"/>
  <c r="AR248" i="56"/>
  <c r="AO235" i="56"/>
  <c r="AQ218" i="56"/>
  <c r="AS220" i="56"/>
  <c r="AP218" i="56"/>
  <c r="AN222" i="56"/>
  <c r="AO222" i="56" s="1"/>
  <c r="AP199" i="56"/>
  <c r="AU157" i="56"/>
  <c r="AO126" i="56"/>
  <c r="AO124" i="56"/>
  <c r="AS161" i="56"/>
  <c r="AV161" i="56" s="1"/>
  <c r="AR113" i="56"/>
  <c r="AR92" i="56"/>
  <c r="AS120" i="56"/>
  <c r="AV120" i="56" s="1"/>
  <c r="AR103" i="56"/>
  <c r="AR78" i="56"/>
  <c r="AF81" i="56"/>
  <c r="AM59" i="56"/>
  <c r="AS59" i="56"/>
  <c r="AV59" i="56" s="1"/>
  <c r="AP58" i="56"/>
  <c r="AR58" i="56" s="1"/>
  <c r="AO34" i="56"/>
  <c r="AS114" i="56"/>
  <c r="AV114" i="56" s="1"/>
  <c r="AU25" i="56"/>
  <c r="AO208" i="56"/>
  <c r="AG309" i="56"/>
  <c r="AG310" i="56" s="1"/>
  <c r="AO118" i="56"/>
  <c r="AO176" i="56"/>
  <c r="AN218" i="56"/>
  <c r="AT120" i="56"/>
  <c r="Z81" i="56"/>
  <c r="BD177" i="56"/>
  <c r="BD179" i="56" s="1"/>
  <c r="AR281" i="56"/>
  <c r="AO248" i="56"/>
  <c r="AR229" i="56"/>
  <c r="AR241" i="56"/>
  <c r="AR203" i="56"/>
  <c r="AA309" i="56"/>
  <c r="AA310" i="56" s="1"/>
  <c r="AS184" i="56"/>
  <c r="AV184" i="56" s="1"/>
  <c r="O177" i="56"/>
  <c r="O185" i="56" s="1"/>
  <c r="AP120" i="56"/>
  <c r="AR96" i="56"/>
  <c r="AU73" i="56"/>
  <c r="AO103" i="56"/>
  <c r="AO100" i="56"/>
  <c r="AR62" i="56"/>
  <c r="AQ57" i="56"/>
  <c r="BE177" i="56"/>
  <c r="BE179" i="56" s="1"/>
  <c r="AM14" i="56"/>
  <c r="AO14" i="56" s="1"/>
  <c r="AO200" i="56"/>
  <c r="AM270" i="56"/>
  <c r="AT220" i="56"/>
  <c r="AT193" i="56"/>
  <c r="AR144" i="56"/>
  <c r="AO156" i="56"/>
  <c r="AO143" i="56"/>
  <c r="AO139" i="56"/>
  <c r="AO259" i="56"/>
  <c r="AO168" i="56"/>
  <c r="AR254" i="56"/>
  <c r="AR263" i="56"/>
  <c r="AR211" i="56"/>
  <c r="AS193" i="56"/>
  <c r="AR160" i="56"/>
  <c r="AR121" i="56"/>
  <c r="AR97" i="56"/>
  <c r="AO127" i="56"/>
  <c r="AR128" i="56"/>
  <c r="AU103" i="56"/>
  <c r="AR71" i="56"/>
  <c r="AT64" i="56"/>
  <c r="AU78" i="56"/>
  <c r="AQ64" i="56"/>
  <c r="AU49" i="56"/>
  <c r="AO240" i="56"/>
  <c r="AR172" i="56"/>
  <c r="AR151" i="56"/>
  <c r="AR304" i="56"/>
  <c r="AR299" i="56"/>
  <c r="AR262" i="56"/>
  <c r="AR208" i="56"/>
  <c r="X181" i="56"/>
  <c r="AU214" i="56"/>
  <c r="AP193" i="56"/>
  <c r="AO154" i="56"/>
  <c r="AR115" i="56"/>
  <c r="AO111" i="56"/>
  <c r="AO94" i="56"/>
  <c r="AR79" i="56"/>
  <c r="AO71" i="56"/>
  <c r="AR43" i="56"/>
  <c r="AO49" i="56"/>
  <c r="AM22" i="56"/>
  <c r="AO22" i="56" s="1"/>
  <c r="AU46" i="56"/>
  <c r="AO149" i="56"/>
  <c r="AN185" i="56"/>
  <c r="AQ185" i="56"/>
  <c r="AO301" i="56"/>
  <c r="AR293" i="56"/>
  <c r="AV280" i="56"/>
  <c r="AU280" i="56"/>
  <c r="AF261" i="56"/>
  <c r="BI5" i="56"/>
  <c r="AV294" i="56"/>
  <c r="AU294" i="56"/>
  <c r="AU307" i="56"/>
  <c r="AO303" i="56"/>
  <c r="AO291" i="56"/>
  <c r="AV292" i="56"/>
  <c r="AU292" i="56"/>
  <c r="AU288" i="56"/>
  <c r="AV288" i="56"/>
  <c r="AC276" i="56"/>
  <c r="BG5" i="56"/>
  <c r="AV289" i="56"/>
  <c r="AU289" i="56"/>
  <c r="AR286" i="56"/>
  <c r="AO278" i="56"/>
  <c r="AO271" i="56"/>
  <c r="AV269" i="56"/>
  <c r="AU269" i="56"/>
  <c r="AO253" i="56"/>
  <c r="AO269" i="56"/>
  <c r="AR253" i="56"/>
  <c r="AU246" i="56"/>
  <c r="AV246" i="56"/>
  <c r="AU235" i="56"/>
  <c r="AV235" i="56"/>
  <c r="AO268" i="56"/>
  <c r="AU243" i="56"/>
  <c r="AO239" i="56"/>
  <c r="AO249" i="56"/>
  <c r="AE247" i="56"/>
  <c r="AS247" i="56"/>
  <c r="AR221" i="56"/>
  <c r="AU205" i="56"/>
  <c r="AV205" i="56"/>
  <c r="AU203" i="56"/>
  <c r="AV203" i="56"/>
  <c r="AU195" i="56"/>
  <c r="AV195" i="56"/>
  <c r="AV231" i="56"/>
  <c r="AU231" i="56"/>
  <c r="AO201" i="56"/>
  <c r="AQ191" i="56"/>
  <c r="AO213" i="56"/>
  <c r="AO197" i="56"/>
  <c r="AU178" i="56"/>
  <c r="AO206" i="56"/>
  <c r="AV201" i="56"/>
  <c r="AU201" i="56"/>
  <c r="AI309" i="56"/>
  <c r="AI310" i="56" s="1"/>
  <c r="AR176" i="56"/>
  <c r="AV211" i="56"/>
  <c r="AU211" i="56"/>
  <c r="AN191" i="56"/>
  <c r="AD309" i="56"/>
  <c r="AD310" i="56" s="1"/>
  <c r="AC185" i="56"/>
  <c r="AM185" i="56" s="1"/>
  <c r="AV176" i="56"/>
  <c r="AU176" i="56"/>
  <c r="AV174" i="56"/>
  <c r="AU174" i="56"/>
  <c r="AU172" i="56"/>
  <c r="AV172" i="56"/>
  <c r="AO166" i="56"/>
  <c r="AE191" i="56"/>
  <c r="AU159" i="56"/>
  <c r="AV159" i="56"/>
  <c r="AU146" i="56"/>
  <c r="AV146" i="56"/>
  <c r="AP184" i="56"/>
  <c r="AT164" i="56"/>
  <c r="AE164" i="56"/>
  <c r="AR140" i="56"/>
  <c r="AU135" i="56"/>
  <c r="AV135" i="56"/>
  <c r="AS173" i="56"/>
  <c r="AG119" i="56"/>
  <c r="BJ5" i="56"/>
  <c r="AN164" i="56"/>
  <c r="AU104" i="56"/>
  <c r="AV104" i="56"/>
  <c r="AS98" i="56"/>
  <c r="AB98" i="56"/>
  <c r="AM98" i="56"/>
  <c r="AP98" i="56"/>
  <c r="AV138" i="56"/>
  <c r="AU138" i="56"/>
  <c r="AV131" i="56"/>
  <c r="AU131" i="56"/>
  <c r="AV97" i="56"/>
  <c r="AU97" i="56"/>
  <c r="AV77" i="56"/>
  <c r="AU62" i="56"/>
  <c r="AV62" i="56"/>
  <c r="AA67" i="56"/>
  <c r="BB5" i="56"/>
  <c r="BO177" i="56"/>
  <c r="BO179" i="56" s="1"/>
  <c r="AI17" i="56"/>
  <c r="BO5" i="56"/>
  <c r="AV56" i="56"/>
  <c r="AU56" i="56"/>
  <c r="AU42" i="56"/>
  <c r="AV42" i="56"/>
  <c r="AU35" i="56"/>
  <c r="AV35" i="56"/>
  <c r="AU16" i="56"/>
  <c r="AV16" i="56"/>
  <c r="AU61" i="56"/>
  <c r="AV61" i="56"/>
  <c r="AR49" i="56"/>
  <c r="AR33" i="56"/>
  <c r="AV20" i="56"/>
  <c r="AU20" i="56"/>
  <c r="AR13" i="56"/>
  <c r="AO3" i="56"/>
  <c r="AO15" i="56"/>
  <c r="Q179" i="56"/>
  <c r="Q185" i="56"/>
  <c r="AS70" i="56"/>
  <c r="AN57" i="56"/>
  <c r="AE17" i="56"/>
  <c r="AP17" i="56"/>
  <c r="AU302" i="56"/>
  <c r="AV285" i="56"/>
  <c r="AU285" i="56"/>
  <c r="AV273" i="56"/>
  <c r="AU273" i="56"/>
  <c r="AV271" i="56"/>
  <c r="AV263" i="56"/>
  <c r="AU263" i="56"/>
  <c r="AU242" i="56"/>
  <c r="AV242" i="56"/>
  <c r="AU237" i="56"/>
  <c r="AV237" i="56"/>
  <c r="AU227" i="56"/>
  <c r="AV227" i="56"/>
  <c r="AU260" i="56"/>
  <c r="AV260" i="56"/>
  <c r="AU249" i="56"/>
  <c r="AV249" i="56"/>
  <c r="AV245" i="56"/>
  <c r="AU245" i="56"/>
  <c r="AO244" i="56"/>
  <c r="BG309" i="56"/>
  <c r="AV233" i="56"/>
  <c r="AU233" i="56"/>
  <c r="AR225" i="56"/>
  <c r="AV198" i="56"/>
  <c r="AU198" i="56"/>
  <c r="AO209" i="56"/>
  <c r="AM191" i="56"/>
  <c r="AP191" i="56"/>
  <c r="AS191" i="56"/>
  <c r="AB191" i="56"/>
  <c r="AR198" i="56"/>
  <c r="AR214" i="56"/>
  <c r="AV194" i="56"/>
  <c r="AU194" i="56"/>
  <c r="Z309" i="56"/>
  <c r="Z310" i="56" s="1"/>
  <c r="AN184" i="56"/>
  <c r="AQ184" i="56"/>
  <c r="AM184" i="56"/>
  <c r="AU170" i="56"/>
  <c r="AV170" i="56"/>
  <c r="AV139" i="56"/>
  <c r="AU139" i="56"/>
  <c r="AO137" i="56"/>
  <c r="AU132" i="56"/>
  <c r="AV132" i="56"/>
  <c r="AM173" i="56"/>
  <c r="AA119" i="56"/>
  <c r="AX5" i="56"/>
  <c r="AU100" i="56"/>
  <c r="AV100" i="56"/>
  <c r="AU90" i="56"/>
  <c r="AV90" i="56"/>
  <c r="AU87" i="56"/>
  <c r="AV87" i="56"/>
  <c r="AU80" i="56"/>
  <c r="AV80" i="56"/>
  <c r="AU74" i="56"/>
  <c r="AV74" i="56"/>
  <c r="AV129" i="56"/>
  <c r="AU129" i="56"/>
  <c r="AV124" i="56"/>
  <c r="AU124" i="56"/>
  <c r="AV121" i="56"/>
  <c r="AU121" i="56"/>
  <c r="AV109" i="56"/>
  <c r="AU109" i="56"/>
  <c r="AV91" i="56"/>
  <c r="AU91" i="56"/>
  <c r="AV73" i="56"/>
  <c r="AV71" i="56"/>
  <c r="AU71" i="56"/>
  <c r="AN17" i="56"/>
  <c r="AQ17" i="56"/>
  <c r="AT17" i="56"/>
  <c r="AV40" i="56"/>
  <c r="AU40" i="56"/>
  <c r="AV19" i="56"/>
  <c r="AU19" i="56"/>
  <c r="AV15" i="56"/>
  <c r="AU15" i="56"/>
  <c r="AV72" i="56"/>
  <c r="AU72" i="56"/>
  <c r="AU41" i="56"/>
  <c r="AV41" i="56"/>
  <c r="AR32" i="56"/>
  <c r="AU29" i="56"/>
  <c r="AV29" i="56"/>
  <c r="AR18" i="56"/>
  <c r="AS48" i="56"/>
  <c r="AV32" i="56"/>
  <c r="AU32" i="56"/>
  <c r="AR30" i="56"/>
  <c r="AR25" i="56"/>
  <c r="AB17" i="56"/>
  <c r="AS14" i="56"/>
  <c r="AT57" i="56"/>
  <c r="AV27" i="56"/>
  <c r="AU12" i="56"/>
  <c r="AU295" i="56"/>
  <c r="AV295" i="56"/>
  <c r="AV304" i="56"/>
  <c r="AU304" i="56"/>
  <c r="AV296" i="56"/>
  <c r="AU296" i="56"/>
  <c r="AO277" i="56"/>
  <c r="AV282" i="56"/>
  <c r="AU282" i="56"/>
  <c r="AO255" i="56"/>
  <c r="AV259" i="56"/>
  <c r="AU259" i="56"/>
  <c r="AV255" i="56"/>
  <c r="AU255" i="56"/>
  <c r="AV257" i="56"/>
  <c r="AU257" i="56"/>
  <c r="AV267" i="56"/>
  <c r="AU267" i="56"/>
  <c r="AV266" i="56"/>
  <c r="AU266" i="56"/>
  <c r="AU232" i="56"/>
  <c r="AV232" i="56"/>
  <c r="AU268" i="56"/>
  <c r="AV268" i="56"/>
  <c r="AU256" i="56"/>
  <c r="AV256" i="56"/>
  <c r="AS248" i="56"/>
  <c r="AV241" i="56"/>
  <c r="AU241" i="56"/>
  <c r="AV230" i="56"/>
  <c r="AU230" i="56"/>
  <c r="AU219" i="56"/>
  <c r="AV219" i="56"/>
  <c r="AU215" i="56"/>
  <c r="AU226" i="56"/>
  <c r="AV226" i="56"/>
  <c r="AP223" i="56"/>
  <c r="AR223" i="56" s="1"/>
  <c r="AV202" i="56"/>
  <c r="AU202" i="56"/>
  <c r="BM309" i="56"/>
  <c r="AR190" i="56"/>
  <c r="AV196" i="56"/>
  <c r="AU196" i="56"/>
  <c r="O191" i="56"/>
  <c r="AS206" i="56"/>
  <c r="AO198" i="56"/>
  <c r="AU183" i="56"/>
  <c r="AV183" i="56"/>
  <c r="AT222" i="56"/>
  <c r="AV209" i="56"/>
  <c r="AU209" i="56"/>
  <c r="AO190" i="56"/>
  <c r="AU168" i="56"/>
  <c r="AV168" i="56"/>
  <c r="AV141" i="56"/>
  <c r="AU141" i="56"/>
  <c r="AR169" i="56"/>
  <c r="AR157" i="56"/>
  <c r="AV149" i="56"/>
  <c r="AU149" i="56"/>
  <c r="AU128" i="56"/>
  <c r="AV128" i="56"/>
  <c r="AP173" i="56"/>
  <c r="AU83" i="56"/>
  <c r="AV83" i="56"/>
  <c r="AV127" i="56"/>
  <c r="AU127" i="56"/>
  <c r="AV113" i="56"/>
  <c r="AU113" i="56"/>
  <c r="AV105" i="56"/>
  <c r="AU105" i="56"/>
  <c r="AV96" i="56"/>
  <c r="AU96" i="56"/>
  <c r="AV88" i="56"/>
  <c r="AU88" i="56"/>
  <c r="AV75" i="56"/>
  <c r="AR72" i="56"/>
  <c r="AU66" i="56"/>
  <c r="AV66" i="56"/>
  <c r="AE58" i="56"/>
  <c r="AM58" i="56"/>
  <c r="AO58" i="56" s="1"/>
  <c r="AO54" i="56"/>
  <c r="AV34" i="56"/>
  <c r="AU34" i="56"/>
  <c r="AV55" i="56"/>
  <c r="AU55" i="56"/>
  <c r="AU44" i="56"/>
  <c r="AV44" i="56"/>
  <c r="AU31" i="56"/>
  <c r="AR20" i="56"/>
  <c r="BJ177" i="56"/>
  <c r="BJ179" i="56" s="1"/>
  <c r="AO12" i="56"/>
  <c r="AP68" i="56"/>
  <c r="AR68" i="56" s="1"/>
  <c r="AS68" i="56"/>
  <c r="AB68" i="56"/>
  <c r="AM68" i="56"/>
  <c r="AO68" i="56" s="1"/>
  <c r="AR61" i="56"/>
  <c r="AR50" i="56"/>
  <c r="AR46" i="56"/>
  <c r="AP22" i="56"/>
  <c r="AR22" i="56" s="1"/>
  <c r="AR12" i="56"/>
  <c r="AS22" i="56"/>
  <c r="AM17" i="56"/>
  <c r="AV31" i="56"/>
  <c r="O276" i="56"/>
  <c r="AU284" i="56"/>
  <c r="AV284" i="56"/>
  <c r="AU279" i="56"/>
  <c r="AV279" i="56"/>
  <c r="AU272" i="56"/>
  <c r="AV272" i="56"/>
  <c r="AV252" i="56"/>
  <c r="AU252" i="56"/>
  <c r="AS265" i="56"/>
  <c r="AU236" i="56"/>
  <c r="AV236" i="56"/>
  <c r="AU228" i="56"/>
  <c r="AV228" i="56"/>
  <c r="AV262" i="56"/>
  <c r="AV244" i="56"/>
  <c r="AU244" i="56"/>
  <c r="AU217" i="56"/>
  <c r="AV217" i="56"/>
  <c r="AU200" i="56"/>
  <c r="AV200" i="56"/>
  <c r="BO309" i="56"/>
  <c r="AU238" i="56"/>
  <c r="AO230" i="56"/>
  <c r="AS223" i="56"/>
  <c r="BI309" i="56"/>
  <c r="AT224" i="56"/>
  <c r="AR213" i="56"/>
  <c r="AV190" i="56"/>
  <c r="AU190" i="56"/>
  <c r="L309" i="56"/>
  <c r="AU197" i="56"/>
  <c r="AR174" i="56"/>
  <c r="AV208" i="56"/>
  <c r="AU208" i="56"/>
  <c r="AV154" i="56"/>
  <c r="AU154" i="56"/>
  <c r="AV145" i="56"/>
  <c r="AU145" i="56"/>
  <c r="AU142" i="56"/>
  <c r="AV142" i="56"/>
  <c r="AU166" i="56"/>
  <c r="AV166" i="56"/>
  <c r="AU163" i="56"/>
  <c r="AV163" i="56"/>
  <c r="AV160" i="56"/>
  <c r="AU160" i="56"/>
  <c r="AV156" i="56"/>
  <c r="AU156" i="56"/>
  <c r="AV143" i="56"/>
  <c r="AU143" i="56"/>
  <c r="AR136" i="56"/>
  <c r="AV136" i="56"/>
  <c r="AU136" i="56"/>
  <c r="AO131" i="56"/>
  <c r="AU116" i="56"/>
  <c r="AV116" i="56"/>
  <c r="AU112" i="56"/>
  <c r="AV112" i="56"/>
  <c r="AU108" i="56"/>
  <c r="AV108" i="56"/>
  <c r="AU95" i="56"/>
  <c r="AV95" i="56"/>
  <c r="AV133" i="56"/>
  <c r="AU133" i="56"/>
  <c r="AU125" i="56"/>
  <c r="AV117" i="56"/>
  <c r="AU117" i="56"/>
  <c r="AV92" i="56"/>
  <c r="AU92" i="56"/>
  <c r="AV84" i="56"/>
  <c r="AU84" i="56"/>
  <c r="AU63" i="56"/>
  <c r="AV63" i="56"/>
  <c r="AP57" i="56"/>
  <c r="AE57" i="56"/>
  <c r="BS177" i="56"/>
  <c r="BS179" i="56" s="1"/>
  <c r="BE5" i="56"/>
  <c r="AC67" i="56"/>
  <c r="AM57" i="56"/>
  <c r="AU52" i="56"/>
  <c r="AV52" i="56"/>
  <c r="AU43" i="56"/>
  <c r="AV43" i="56"/>
  <c r="BB177" i="56"/>
  <c r="BB179" i="56" s="1"/>
  <c r="L179" i="56"/>
  <c r="L185" i="56"/>
  <c r="AR60" i="56"/>
  <c r="AI39" i="56"/>
  <c r="BS5" i="56"/>
  <c r="AR26" i="56"/>
  <c r="AR24" i="56"/>
  <c r="AV18" i="56"/>
  <c r="AU18" i="56"/>
  <c r="AN64" i="56"/>
  <c r="BC5" i="56"/>
  <c r="N225" i="54"/>
  <c r="AJ143" i="54"/>
  <c r="AI143" i="54"/>
  <c r="AG143" i="54"/>
  <c r="AF143" i="54"/>
  <c r="AD143" i="54"/>
  <c r="AC143" i="54"/>
  <c r="AA143" i="54"/>
  <c r="Z143" i="54"/>
  <c r="O143" i="54"/>
  <c r="BI254" i="54"/>
  <c r="BE254" i="54"/>
  <c r="BG53" i="54"/>
  <c r="AO250" i="56" l="1"/>
  <c r="AU3" i="56"/>
  <c r="AK143" i="54"/>
  <c r="AO101" i="56"/>
  <c r="AO134" i="56"/>
  <c r="AS69" i="56"/>
  <c r="AP69" i="56"/>
  <c r="AR69" i="56" s="1"/>
  <c r="AM69" i="56"/>
  <c r="AO69" i="56" s="1"/>
  <c r="AU38" i="56"/>
  <c r="AR224" i="56"/>
  <c r="AR305" i="56"/>
  <c r="AR164" i="56"/>
  <c r="AU58" i="56"/>
  <c r="AU164" i="56"/>
  <c r="AO114" i="56"/>
  <c r="AR220" i="56"/>
  <c r="AO23" i="56"/>
  <c r="AU110" i="56"/>
  <c r="AU171" i="56"/>
  <c r="AO98" i="56"/>
  <c r="AR23" i="56"/>
  <c r="AK119" i="56"/>
  <c r="AO212" i="56"/>
  <c r="AR53" i="56"/>
  <c r="AR173" i="56"/>
  <c r="AO164" i="56"/>
  <c r="AU134" i="56"/>
  <c r="AO53" i="56"/>
  <c r="AR48" i="56"/>
  <c r="AR250" i="56"/>
  <c r="AO261" i="56"/>
  <c r="S187" i="56"/>
  <c r="AR134" i="56"/>
  <c r="AU210" i="56"/>
  <c r="AH119" i="56"/>
  <c r="AR114" i="56"/>
  <c r="AV110" i="56"/>
  <c r="AR171" i="56"/>
  <c r="AR258" i="56"/>
  <c r="AU270" i="56"/>
  <c r="AO283" i="56"/>
  <c r="AO51" i="56"/>
  <c r="AO39" i="56"/>
  <c r="AR300" i="56"/>
  <c r="AR51" i="56"/>
  <c r="AU57" i="56"/>
  <c r="AO48" i="56"/>
  <c r="AN81" i="56"/>
  <c r="AE81" i="56"/>
  <c r="AO300" i="56"/>
  <c r="AO218" i="56"/>
  <c r="AH81" i="56"/>
  <c r="AO120" i="56"/>
  <c r="AU182" i="56"/>
  <c r="AR212" i="56"/>
  <c r="AO182" i="56"/>
  <c r="AM119" i="56"/>
  <c r="AR98" i="56"/>
  <c r="AO173" i="56"/>
  <c r="AO82" i="56"/>
  <c r="AU51" i="56"/>
  <c r="AU155" i="56"/>
  <c r="AR89" i="56"/>
  <c r="AO247" i="56"/>
  <c r="AR270" i="56"/>
  <c r="AU258" i="56"/>
  <c r="AR110" i="56"/>
  <c r="AU212" i="56"/>
  <c r="AO265" i="56"/>
  <c r="O5" i="56"/>
  <c r="AU64" i="56"/>
  <c r="AO110" i="56"/>
  <c r="AR175" i="56"/>
  <c r="AU207" i="56"/>
  <c r="AU28" i="56"/>
  <c r="AO171" i="56"/>
  <c r="AU305" i="56"/>
  <c r="AR182" i="56"/>
  <c r="AO204" i="56"/>
  <c r="AV212" i="56"/>
  <c r="AR207" i="56"/>
  <c r="AR283" i="56"/>
  <c r="AT218" i="56"/>
  <c r="AT309" i="56" s="1"/>
  <c r="AP119" i="56"/>
  <c r="AU158" i="56"/>
  <c r="AR101" i="56"/>
  <c r="AO64" i="56"/>
  <c r="AJ309" i="56"/>
  <c r="AJ310" i="56" s="1"/>
  <c r="AO224" i="56"/>
  <c r="AU59" i="56"/>
  <c r="AR251" i="56"/>
  <c r="AO193" i="56"/>
  <c r="AR39" i="56"/>
  <c r="AU89" i="56"/>
  <c r="AU283" i="56"/>
  <c r="AO251" i="56"/>
  <c r="AO258" i="56"/>
  <c r="AR204" i="56"/>
  <c r="AE119" i="56"/>
  <c r="AK81" i="56"/>
  <c r="AU175" i="56"/>
  <c r="AR158" i="56"/>
  <c r="AO150" i="56"/>
  <c r="AO199" i="56"/>
  <c r="AR45" i="56"/>
  <c r="AO161" i="56"/>
  <c r="AR59" i="56"/>
  <c r="AO28" i="56"/>
  <c r="AU222" i="56"/>
  <c r="AO158" i="56"/>
  <c r="AO220" i="56"/>
  <c r="AT184" i="56"/>
  <c r="AP222" i="56"/>
  <c r="AR222" i="56" s="1"/>
  <c r="O179" i="56"/>
  <c r="AR150" i="56"/>
  <c r="AV222" i="56"/>
  <c r="AH222" i="56"/>
  <c r="AQ81" i="56"/>
  <c r="AO305" i="56"/>
  <c r="AU114" i="56"/>
  <c r="AR28" i="56"/>
  <c r="AO89" i="56"/>
  <c r="AT81" i="56"/>
  <c r="AR247" i="56"/>
  <c r="AU23" i="56"/>
  <c r="AO155" i="56"/>
  <c r="AO210" i="56"/>
  <c r="AO45" i="56"/>
  <c r="AO59" i="56"/>
  <c r="AU251" i="56"/>
  <c r="AR155" i="56"/>
  <c r="AK309" i="56"/>
  <c r="AK310" i="56" s="1"/>
  <c r="AU150" i="56"/>
  <c r="AU199" i="56"/>
  <c r="AV23" i="56"/>
  <c r="AU45" i="56"/>
  <c r="AU204" i="56"/>
  <c r="AS119" i="56"/>
  <c r="AV119" i="56" s="1"/>
  <c r="AR82" i="56"/>
  <c r="AR210" i="56"/>
  <c r="AO207" i="56"/>
  <c r="AU101" i="56"/>
  <c r="AU191" i="56"/>
  <c r="AV207" i="56"/>
  <c r="AO270" i="56"/>
  <c r="AN309" i="56"/>
  <c r="AR193" i="56"/>
  <c r="AR265" i="56"/>
  <c r="AR64" i="56"/>
  <c r="AU82" i="56"/>
  <c r="AR218" i="56"/>
  <c r="AU161" i="56"/>
  <c r="AU53" i="56"/>
  <c r="AU184" i="56"/>
  <c r="AV191" i="56"/>
  <c r="AU300" i="56"/>
  <c r="AB309" i="56"/>
  <c r="AB310" i="56" s="1"/>
  <c r="AP81" i="56"/>
  <c r="AO185" i="56"/>
  <c r="AR120" i="56"/>
  <c r="AR199" i="56"/>
  <c r="AV250" i="56"/>
  <c r="AU250" i="56"/>
  <c r="X212" i="56"/>
  <c r="X309" i="56" s="1"/>
  <c r="P310" i="56"/>
  <c r="P187" i="56"/>
  <c r="AR57" i="56"/>
  <c r="AR184" i="56"/>
  <c r="AU120" i="56"/>
  <c r="AB81" i="56"/>
  <c r="AM81" i="56"/>
  <c r="AS81" i="56"/>
  <c r="AO184" i="56"/>
  <c r="AQ309" i="56"/>
  <c r="AU220" i="56"/>
  <c r="AV220" i="56"/>
  <c r="AO191" i="56"/>
  <c r="AU193" i="56"/>
  <c r="AV193" i="56"/>
  <c r="AO17" i="56"/>
  <c r="AP185" i="56"/>
  <c r="AR185" i="56" s="1"/>
  <c r="AE276" i="56"/>
  <c r="AE309" i="56" s="1"/>
  <c r="AE310" i="56" s="1"/>
  <c r="AP276" i="56"/>
  <c r="AR276" i="56" s="1"/>
  <c r="AM276" i="56"/>
  <c r="AS276" i="56"/>
  <c r="AH261" i="56"/>
  <c r="AP261" i="56"/>
  <c r="AS261" i="56"/>
  <c r="AK39" i="56"/>
  <c r="AS39" i="56"/>
  <c r="AO57" i="56"/>
  <c r="AU265" i="56"/>
  <c r="AV265" i="56"/>
  <c r="AV68" i="56"/>
  <c r="AU68" i="56"/>
  <c r="O309" i="56"/>
  <c r="AV14" i="56"/>
  <c r="AU14" i="56"/>
  <c r="AR191" i="56"/>
  <c r="AU224" i="56"/>
  <c r="AR17" i="56"/>
  <c r="AU70" i="56"/>
  <c r="AV70" i="56"/>
  <c r="AK17" i="56"/>
  <c r="AS17" i="56"/>
  <c r="AU173" i="56"/>
  <c r="AV173" i="56"/>
  <c r="AU247" i="56"/>
  <c r="AV247" i="56"/>
  <c r="AQ67" i="56"/>
  <c r="AN67" i="56"/>
  <c r="AT67" i="56"/>
  <c r="AB67" i="56"/>
  <c r="L310" i="56"/>
  <c r="L187" i="56"/>
  <c r="AE67" i="56"/>
  <c r="AS67" i="56"/>
  <c r="AM67" i="56"/>
  <c r="AP67" i="56"/>
  <c r="AU223" i="56"/>
  <c r="AV223" i="56"/>
  <c r="AU22" i="56"/>
  <c r="AV22" i="56"/>
  <c r="AU206" i="56"/>
  <c r="AV206" i="56"/>
  <c r="AV248" i="56"/>
  <c r="AU248" i="56"/>
  <c r="AF309" i="56"/>
  <c r="AF310" i="56" s="1"/>
  <c r="Q310" i="56"/>
  <c r="Q187" i="56"/>
  <c r="AV98" i="56"/>
  <c r="AU98" i="56"/>
  <c r="AQ310" i="56"/>
  <c r="AN310" i="56"/>
  <c r="L313" i="56"/>
  <c r="L312" i="56"/>
  <c r="AU69" i="56"/>
  <c r="AV69" i="56"/>
  <c r="AV48" i="56"/>
  <c r="AU48" i="56"/>
  <c r="AQ119" i="56"/>
  <c r="AT119" i="56"/>
  <c r="AN119" i="56"/>
  <c r="AB119" i="56"/>
  <c r="AC309" i="56"/>
  <c r="AC310" i="56" s="1"/>
  <c r="AH143" i="54"/>
  <c r="AP143" i="54"/>
  <c r="AM143" i="54"/>
  <c r="AQ143" i="54"/>
  <c r="AR143" i="54" s="1"/>
  <c r="AE143" i="54"/>
  <c r="AN143" i="54"/>
  <c r="AB143" i="54"/>
  <c r="AS143" i="54"/>
  <c r="AT143" i="54"/>
  <c r="BG88" i="54"/>
  <c r="BO71" i="54"/>
  <c r="BS54" i="54"/>
  <c r="BS41" i="54"/>
  <c r="BG210" i="54"/>
  <c r="BS199" i="54"/>
  <c r="BG45" i="54"/>
  <c r="BE45" i="54"/>
  <c r="BE210" i="54"/>
  <c r="AO143" i="54" l="1"/>
  <c r="AR119" i="56"/>
  <c r="AU218" i="56"/>
  <c r="AO81" i="56"/>
  <c r="AO119" i="56"/>
  <c r="AU81" i="56"/>
  <c r="AH309" i="56"/>
  <c r="AH310" i="56" s="1"/>
  <c r="AV81" i="56"/>
  <c r="AP5" i="56"/>
  <c r="AR81" i="56"/>
  <c r="AU119" i="56"/>
  <c r="AS309" i="56"/>
  <c r="X5" i="56"/>
  <c r="AO67" i="56"/>
  <c r="AS177" i="56"/>
  <c r="AS185" i="56" s="1"/>
  <c r="AN177" i="56"/>
  <c r="AT177" i="56"/>
  <c r="AT185" i="56" s="1"/>
  <c r="AT310" i="56" s="1"/>
  <c r="AM310" i="56"/>
  <c r="AO310" i="56" s="1"/>
  <c r="AP310" i="56"/>
  <c r="AR310" i="56" s="1"/>
  <c r="AU67" i="56"/>
  <c r="AV67" i="56"/>
  <c r="AM177" i="56"/>
  <c r="AU276" i="56"/>
  <c r="AV276" i="56"/>
  <c r="AN5" i="56"/>
  <c r="L314" i="56"/>
  <c r="L315" i="56" s="1"/>
  <c r="AQ177" i="56"/>
  <c r="AQ5" i="56"/>
  <c r="O313" i="56"/>
  <c r="O312" i="56"/>
  <c r="AU39" i="56"/>
  <c r="AV39" i="56"/>
  <c r="O310" i="56"/>
  <c r="O314" i="56" s="1"/>
  <c r="O315" i="56" s="1"/>
  <c r="AT5" i="56"/>
  <c r="AU17" i="56"/>
  <c r="AV17" i="56"/>
  <c r="AS5" i="56"/>
  <c r="AU261" i="56"/>
  <c r="AV261" i="56"/>
  <c r="AO276" i="56"/>
  <c r="AO309" i="56" s="1"/>
  <c r="AM309" i="56"/>
  <c r="AM5" i="56"/>
  <c r="AR67" i="56"/>
  <c r="AP177" i="56"/>
  <c r="AR261" i="56"/>
  <c r="AR309" i="56" s="1"/>
  <c r="AP309" i="56"/>
  <c r="AU143" i="54"/>
  <c r="AV143" i="54"/>
  <c r="BK193" i="54"/>
  <c r="AO177" i="56" l="1"/>
  <c r="AV5" i="56"/>
  <c r="AS310" i="56"/>
  <c r="AV310" i="56" s="1"/>
  <c r="AU309" i="56"/>
  <c r="AV309" i="56"/>
  <c r="AV177" i="56"/>
  <c r="AV185" i="56" s="1"/>
  <c r="AR177" i="56"/>
  <c r="AR5" i="56"/>
  <c r="AO5" i="56"/>
  <c r="AU177" i="56"/>
  <c r="AU185" i="56" s="1"/>
  <c r="AU5" i="56"/>
  <c r="AJ142" i="54"/>
  <c r="AI142" i="54"/>
  <c r="AG142" i="54"/>
  <c r="AF142" i="54"/>
  <c r="AD142" i="54"/>
  <c r="AC142" i="54"/>
  <c r="AA142" i="54"/>
  <c r="Z142" i="54"/>
  <c r="O142" i="54"/>
  <c r="AU310" i="56" l="1"/>
  <c r="AB142" i="54"/>
  <c r="AN142" i="54"/>
  <c r="AH142" i="54"/>
  <c r="AE142" i="54"/>
  <c r="AK142" i="54"/>
  <c r="AM142" i="54"/>
  <c r="AS142" i="54"/>
  <c r="AP142" i="54"/>
  <c r="AT142" i="54"/>
  <c r="AQ142" i="54"/>
  <c r="BQ240" i="54"/>
  <c r="BS240" i="54"/>
  <c r="BO240" i="54"/>
  <c r="BM240" i="54"/>
  <c r="AR142" i="54" l="1"/>
  <c r="AO142" i="54"/>
  <c r="AV142" i="54"/>
  <c r="AU142" i="54"/>
  <c r="AL298" i="54"/>
  <c r="Y298" i="54"/>
  <c r="W298" i="54"/>
  <c r="V298" i="54"/>
  <c r="U298" i="54"/>
  <c r="T298" i="54"/>
  <c r="P298" i="54"/>
  <c r="BS295" i="54"/>
  <c r="BS294" i="54"/>
  <c r="BR294" i="54"/>
  <c r="BQ294" i="54"/>
  <c r="BP294" i="54"/>
  <c r="BO294" i="54"/>
  <c r="BN294" i="54"/>
  <c r="BM294" i="54"/>
  <c r="BL294" i="54"/>
  <c r="BK294" i="54"/>
  <c r="BJ294" i="54"/>
  <c r="BI294" i="54"/>
  <c r="BH294" i="54"/>
  <c r="BG294" i="54"/>
  <c r="BF294" i="54"/>
  <c r="BE294" i="54"/>
  <c r="BD294" i="54"/>
  <c r="BC294" i="54"/>
  <c r="BB294" i="54"/>
  <c r="AZ294" i="54"/>
  <c r="AY294" i="54"/>
  <c r="AX294" i="54"/>
  <c r="AW294" i="54"/>
  <c r="N294" i="54"/>
  <c r="AJ241" i="54"/>
  <c r="AI241" i="54"/>
  <c r="AG241" i="54"/>
  <c r="AF241" i="54"/>
  <c r="AD241" i="54"/>
  <c r="AC241" i="54"/>
  <c r="AA241" i="54"/>
  <c r="Z241" i="54"/>
  <c r="O241" i="54"/>
  <c r="AJ240" i="54"/>
  <c r="AI240" i="54"/>
  <c r="AG240" i="54"/>
  <c r="AF240" i="54"/>
  <c r="AD240" i="54"/>
  <c r="AC240" i="54"/>
  <c r="AA240" i="54"/>
  <c r="Z240" i="54"/>
  <c r="O240" i="54"/>
  <c r="BT239" i="54"/>
  <c r="BS239" i="54"/>
  <c r="BR239" i="54"/>
  <c r="BQ239" i="54"/>
  <c r="BP239" i="54"/>
  <c r="BO239" i="54"/>
  <c r="BN239" i="54"/>
  <c r="BM239" i="54"/>
  <c r="BL239" i="54"/>
  <c r="BK239" i="54"/>
  <c r="BJ239" i="54"/>
  <c r="BI239" i="54"/>
  <c r="BH239" i="54"/>
  <c r="BG239" i="54"/>
  <c r="BF239" i="54"/>
  <c r="BE239" i="54"/>
  <c r="BD239" i="54"/>
  <c r="BC239" i="54"/>
  <c r="BB239" i="54"/>
  <c r="BA239" i="54"/>
  <c r="AZ239" i="54"/>
  <c r="AY239" i="54"/>
  <c r="AX239" i="54"/>
  <c r="AW239" i="54"/>
  <c r="S239" i="54"/>
  <c r="Q239" i="54"/>
  <c r="N239" i="54"/>
  <c r="L239" i="54"/>
  <c r="J32" i="55"/>
  <c r="J31" i="55"/>
  <c r="AM241" i="54" l="1"/>
  <c r="AH241" i="54"/>
  <c r="AC239" i="54"/>
  <c r="AB240" i="54"/>
  <c r="AA239" i="54"/>
  <c r="AD239" i="54"/>
  <c r="Z239" i="54"/>
  <c r="AM239" i="54" s="1"/>
  <c r="AE240" i="54"/>
  <c r="AQ241" i="54"/>
  <c r="AG239" i="54"/>
  <c r="AQ240" i="54"/>
  <c r="AP241" i="54"/>
  <c r="AK241" i="54"/>
  <c r="AT240" i="54"/>
  <c r="AH240" i="54"/>
  <c r="AJ239" i="54"/>
  <c r="AK240" i="54"/>
  <c r="AI239" i="54"/>
  <c r="AF239" i="54"/>
  <c r="AP240" i="54"/>
  <c r="O239" i="54"/>
  <c r="AM240" i="54"/>
  <c r="AE241" i="54"/>
  <c r="AN241" i="54"/>
  <c r="AN240" i="54"/>
  <c r="AB241" i="54"/>
  <c r="AS241" i="54"/>
  <c r="AS240" i="54"/>
  <c r="AT241" i="54"/>
  <c r="AL170" i="54"/>
  <c r="U170" i="54"/>
  <c r="T170" i="54"/>
  <c r="M170" i="54"/>
  <c r="AO241" i="54" l="1"/>
  <c r="AR240" i="54"/>
  <c r="AN239" i="54"/>
  <c r="AO239" i="54" s="1"/>
  <c r="AE239" i="54"/>
  <c r="AB239" i="54"/>
  <c r="AT239" i="54"/>
  <c r="AQ239" i="54"/>
  <c r="AR241" i="54"/>
  <c r="AH239" i="54"/>
  <c r="AP239" i="54"/>
  <c r="AK239" i="54"/>
  <c r="AS239" i="54"/>
  <c r="AV239" i="54" s="1"/>
  <c r="AU241" i="54"/>
  <c r="AV241" i="54"/>
  <c r="AV240" i="54"/>
  <c r="AU240" i="54"/>
  <c r="AO240" i="54"/>
  <c r="N168" i="54"/>
  <c r="N166" i="54"/>
  <c r="N164" i="54"/>
  <c r="AR239" i="54" l="1"/>
  <c r="AU239" i="54"/>
  <c r="H24" i="55"/>
  <c r="I24" i="55"/>
  <c r="J14" i="55"/>
  <c r="J13" i="55"/>
  <c r="J12" i="55"/>
  <c r="I15" i="55"/>
  <c r="H15" i="55"/>
  <c r="G15" i="55"/>
  <c r="J15" i="55" l="1"/>
  <c r="G24" i="55" l="1"/>
  <c r="J22" i="55" l="1"/>
  <c r="J21" i="55"/>
  <c r="J23" i="55"/>
  <c r="I35" i="55" l="1"/>
  <c r="I36" i="55" s="1"/>
  <c r="G35" i="55"/>
  <c r="J34" i="55"/>
  <c r="J33" i="55"/>
  <c r="J30" i="55"/>
  <c r="J29" i="55"/>
  <c r="J28" i="55"/>
  <c r="J27" i="55"/>
  <c r="J26" i="55"/>
  <c r="J20" i="55"/>
  <c r="J19" i="55"/>
  <c r="J24" i="55" s="1"/>
  <c r="G36" i="55" l="1"/>
  <c r="J35" i="55"/>
  <c r="J36" i="55" s="1"/>
  <c r="BG268" i="54"/>
  <c r="BG263" i="54"/>
  <c r="BQ261" i="54"/>
  <c r="AJ141" i="54" l="1"/>
  <c r="AI141" i="54"/>
  <c r="AG141" i="54"/>
  <c r="AF141" i="54"/>
  <c r="AD141" i="54"/>
  <c r="AC141" i="54"/>
  <c r="AA141" i="54"/>
  <c r="Z141" i="54"/>
  <c r="O141" i="54"/>
  <c r="N86" i="54"/>
  <c r="AJ88" i="54"/>
  <c r="AI88" i="54"/>
  <c r="AG88" i="54"/>
  <c r="AF88" i="54"/>
  <c r="AD88" i="54"/>
  <c r="AC88" i="54"/>
  <c r="AA88" i="54"/>
  <c r="Z88" i="54"/>
  <c r="Z89" i="54"/>
  <c r="AJ89" i="54"/>
  <c r="AI89" i="54"/>
  <c r="AG89" i="54"/>
  <c r="AF89" i="54"/>
  <c r="AD89" i="54"/>
  <c r="AC89" i="54"/>
  <c r="AA89" i="54"/>
  <c r="L94" i="54"/>
  <c r="AN88" i="54" l="1"/>
  <c r="AH89" i="54"/>
  <c r="AK89" i="54"/>
  <c r="AE89" i="54"/>
  <c r="AE88" i="54"/>
  <c r="AK88" i="54"/>
  <c r="AH141" i="54"/>
  <c r="AN141" i="54"/>
  <c r="AN89" i="54"/>
  <c r="AH88" i="54"/>
  <c r="AE141" i="54"/>
  <c r="AK141" i="54"/>
  <c r="AM141" i="54"/>
  <c r="AB141" i="54"/>
  <c r="AS141" i="54"/>
  <c r="AP141" i="54"/>
  <c r="AT141" i="54"/>
  <c r="AQ141" i="54"/>
  <c r="AS88" i="54"/>
  <c r="AV88" i="54" s="1"/>
  <c r="O88" i="54"/>
  <c r="AP88" i="54"/>
  <c r="AT88" i="54"/>
  <c r="AM88" i="54"/>
  <c r="AQ88" i="54"/>
  <c r="AB88" i="54"/>
  <c r="AM89" i="54"/>
  <c r="AS89" i="54"/>
  <c r="AV89" i="54" s="1"/>
  <c r="AB89" i="54"/>
  <c r="AP89" i="54"/>
  <c r="AT89" i="54"/>
  <c r="O89" i="54"/>
  <c r="AQ89" i="54"/>
  <c r="BC45" i="54"/>
  <c r="AO88" i="54" l="1"/>
  <c r="AR88" i="54"/>
  <c r="AO141" i="54"/>
  <c r="AO89" i="54"/>
  <c r="AR141" i="54"/>
  <c r="AV141" i="54"/>
  <c r="AU141" i="54"/>
  <c r="AU88" i="54"/>
  <c r="AR89" i="54"/>
  <c r="AU89" i="54"/>
  <c r="BC193" i="54"/>
  <c r="BS267" i="54" l="1"/>
  <c r="BR267" i="54"/>
  <c r="BQ267" i="54"/>
  <c r="BP267" i="54"/>
  <c r="BO267" i="54"/>
  <c r="BN267" i="54"/>
  <c r="BM267" i="54"/>
  <c r="BL267" i="54"/>
  <c r="BK267" i="54"/>
  <c r="BJ267" i="54"/>
  <c r="BI267" i="54"/>
  <c r="BH267" i="54"/>
  <c r="BG267" i="54"/>
  <c r="BF267" i="54"/>
  <c r="BE267" i="54"/>
  <c r="BD267" i="54"/>
  <c r="BB267" i="54"/>
  <c r="BA267" i="54"/>
  <c r="AZ267" i="54"/>
  <c r="AY267" i="54"/>
  <c r="AX267" i="54"/>
  <c r="AW267" i="54"/>
  <c r="S267" i="54"/>
  <c r="R267" i="54"/>
  <c r="Q267" i="54"/>
  <c r="L20" i="54" l="1"/>
  <c r="L158" i="54"/>
  <c r="N214" i="54"/>
  <c r="O214" i="54" s="1"/>
  <c r="N186" i="54"/>
  <c r="AJ214" i="54"/>
  <c r="AI214" i="54"/>
  <c r="AG214" i="54"/>
  <c r="AF214" i="54"/>
  <c r="AD214" i="54"/>
  <c r="AC214" i="54"/>
  <c r="AA214" i="54"/>
  <c r="Z214" i="54"/>
  <c r="BT213" i="54"/>
  <c r="BS213" i="54"/>
  <c r="BR213" i="54"/>
  <c r="BQ213" i="54"/>
  <c r="BP213" i="54"/>
  <c r="BO213" i="54"/>
  <c r="BN213" i="54"/>
  <c r="BM213" i="54"/>
  <c r="BL213" i="54"/>
  <c r="BK213" i="54"/>
  <c r="BJ213" i="54"/>
  <c r="BI213" i="54"/>
  <c r="BH213" i="54"/>
  <c r="BG213" i="54"/>
  <c r="BF213" i="54"/>
  <c r="BE213" i="54"/>
  <c r="BD213" i="54"/>
  <c r="BC213" i="54"/>
  <c r="BB213" i="54"/>
  <c r="BA213" i="54"/>
  <c r="AZ213" i="54"/>
  <c r="AY213" i="54"/>
  <c r="AX213" i="54"/>
  <c r="AW213" i="54"/>
  <c r="S213" i="54"/>
  <c r="Q213" i="54"/>
  <c r="L213" i="54"/>
  <c r="AJ187" i="54"/>
  <c r="AI187" i="54"/>
  <c r="AG187" i="54"/>
  <c r="AF187" i="54"/>
  <c r="AD187" i="54"/>
  <c r="AC187" i="54"/>
  <c r="AA187" i="54"/>
  <c r="Z187" i="54"/>
  <c r="BT186" i="54"/>
  <c r="BS186" i="54"/>
  <c r="BR186" i="54"/>
  <c r="BQ186" i="54"/>
  <c r="BP186" i="54"/>
  <c r="BO186" i="54"/>
  <c r="BN186" i="54"/>
  <c r="BM186" i="54"/>
  <c r="BL186" i="54"/>
  <c r="BK186" i="54"/>
  <c r="BJ186" i="54"/>
  <c r="BI186" i="54"/>
  <c r="BH186" i="54"/>
  <c r="BG186" i="54"/>
  <c r="BF186" i="54"/>
  <c r="BE186" i="54"/>
  <c r="BD186" i="54"/>
  <c r="BC186" i="54"/>
  <c r="BB186" i="54"/>
  <c r="BA186" i="54"/>
  <c r="AZ186" i="54"/>
  <c r="AY186" i="54"/>
  <c r="AX186" i="54"/>
  <c r="AW186" i="54"/>
  <c r="S186" i="54"/>
  <c r="Q186" i="54"/>
  <c r="AJ140" i="54"/>
  <c r="AI140" i="54"/>
  <c r="AG140" i="54"/>
  <c r="AF140" i="54"/>
  <c r="AD140" i="54"/>
  <c r="AC140" i="54"/>
  <c r="AA140" i="54"/>
  <c r="Z140" i="54"/>
  <c r="O140" i="54"/>
  <c r="Z213" i="54" l="1"/>
  <c r="AF213" i="54"/>
  <c r="AI213" i="54"/>
  <c r="AP214" i="54"/>
  <c r="AJ213" i="54"/>
  <c r="AC213" i="54"/>
  <c r="Z186" i="54"/>
  <c r="AA213" i="54"/>
  <c r="AG213" i="54"/>
  <c r="AI186" i="54"/>
  <c r="AB187" i="54"/>
  <c r="AJ186" i="54"/>
  <c r="AD213" i="54"/>
  <c r="AF186" i="54"/>
  <c r="AA186" i="54"/>
  <c r="AG186" i="54"/>
  <c r="AN187" i="54"/>
  <c r="AH214" i="54"/>
  <c r="AE187" i="54"/>
  <c r="AN214" i="54"/>
  <c r="AK214" i="54"/>
  <c r="AM214" i="54"/>
  <c r="N213" i="54"/>
  <c r="O213" i="54" s="1"/>
  <c r="AC186" i="54"/>
  <c r="AD186" i="54"/>
  <c r="AE214" i="54"/>
  <c r="AK140" i="54"/>
  <c r="AT187" i="54"/>
  <c r="AB214" i="54"/>
  <c r="AS214" i="54"/>
  <c r="AT214" i="54"/>
  <c r="AH140" i="54"/>
  <c r="AM187" i="54"/>
  <c r="AK187" i="54"/>
  <c r="AQ214" i="54"/>
  <c r="AS187" i="54"/>
  <c r="AV187" i="54" s="1"/>
  <c r="L186" i="54"/>
  <c r="AH187" i="54"/>
  <c r="AQ187" i="54"/>
  <c r="AE140" i="54"/>
  <c r="O187" i="54"/>
  <c r="AP187" i="54"/>
  <c r="AN140" i="54"/>
  <c r="AM140" i="54"/>
  <c r="AB140" i="54"/>
  <c r="AS140" i="54"/>
  <c r="AP140" i="54"/>
  <c r="AT140" i="54"/>
  <c r="AQ140" i="54"/>
  <c r="L225" i="54"/>
  <c r="BA294" i="54"/>
  <c r="S294" i="54"/>
  <c r="R294" i="54"/>
  <c r="Q294" i="54"/>
  <c r="L294" i="54"/>
  <c r="AJ295" i="54"/>
  <c r="AI295" i="54"/>
  <c r="AG295" i="54"/>
  <c r="AF295" i="54"/>
  <c r="AD295" i="54"/>
  <c r="AC295" i="54"/>
  <c r="AA295" i="54"/>
  <c r="Z295" i="54"/>
  <c r="O295" i="54"/>
  <c r="O297" i="54"/>
  <c r="O296" i="54"/>
  <c r="AJ296" i="54"/>
  <c r="AI296" i="54"/>
  <c r="AG296" i="54"/>
  <c r="AF296" i="54"/>
  <c r="AD296" i="54"/>
  <c r="AC296" i="54"/>
  <c r="AA296" i="54"/>
  <c r="Z296" i="54"/>
  <c r="AJ297" i="54"/>
  <c r="AI297" i="54"/>
  <c r="AG297" i="54"/>
  <c r="AF297" i="54"/>
  <c r="AD297" i="54"/>
  <c r="AC297" i="54"/>
  <c r="AA297" i="54"/>
  <c r="Z297" i="54"/>
  <c r="AP213" i="54" l="1"/>
  <c r="AM213" i="54"/>
  <c r="AK186" i="54"/>
  <c r="AB186" i="54"/>
  <c r="AB213" i="54"/>
  <c r="AK213" i="54"/>
  <c r="AS213" i="54"/>
  <c r="AV213" i="54" s="1"/>
  <c r="AR214" i="54"/>
  <c r="AM186" i="54"/>
  <c r="AH213" i="54"/>
  <c r="AQ213" i="54"/>
  <c r="AN186" i="54"/>
  <c r="AT213" i="54"/>
  <c r="AS186" i="54"/>
  <c r="AV186" i="54" s="1"/>
  <c r="AO187" i="54"/>
  <c r="AE213" i="54"/>
  <c r="AN213" i="54"/>
  <c r="AT186" i="54"/>
  <c r="AH186" i="54"/>
  <c r="AQ186" i="54"/>
  <c r="AP297" i="54"/>
  <c r="AM295" i="54"/>
  <c r="AO214" i="54"/>
  <c r="AH296" i="54"/>
  <c r="AH297" i="54"/>
  <c r="AQ295" i="54"/>
  <c r="AH295" i="54"/>
  <c r="AT297" i="54"/>
  <c r="AQ296" i="54"/>
  <c r="AB295" i="54"/>
  <c r="AE297" i="54"/>
  <c r="AK297" i="54"/>
  <c r="AE296" i="54"/>
  <c r="AK296" i="54"/>
  <c r="AE295" i="54"/>
  <c r="AK295" i="54"/>
  <c r="AE186" i="54"/>
  <c r="AP186" i="54"/>
  <c r="AR187" i="54"/>
  <c r="AV214" i="54"/>
  <c r="AU214" i="54"/>
  <c r="AO140" i="54"/>
  <c r="AU187" i="54"/>
  <c r="O186" i="54"/>
  <c r="AR140" i="54"/>
  <c r="AV140" i="54"/>
  <c r="AU140" i="54"/>
  <c r="AM296" i="54"/>
  <c r="AN295" i="54"/>
  <c r="AQ297" i="54"/>
  <c r="AS295" i="54"/>
  <c r="AP295" i="54"/>
  <c r="AT295" i="54"/>
  <c r="AS296" i="54"/>
  <c r="AP296" i="54"/>
  <c r="AT296" i="54"/>
  <c r="AN296" i="54"/>
  <c r="AB296" i="54"/>
  <c r="AM297" i="54"/>
  <c r="AN297" i="54"/>
  <c r="AB297" i="54"/>
  <c r="AS297" i="54"/>
  <c r="N283" i="54"/>
  <c r="N274" i="54" s="1"/>
  <c r="AR213" i="54" l="1"/>
  <c r="AO213" i="54"/>
  <c r="AU213" i="54"/>
  <c r="AO186" i="54"/>
  <c r="AR186" i="54"/>
  <c r="AO295" i="54"/>
  <c r="AU186" i="54"/>
  <c r="AR295" i="54"/>
  <c r="AR296" i="54"/>
  <c r="AR297" i="54"/>
  <c r="AU297" i="54"/>
  <c r="AU296" i="54"/>
  <c r="AO296" i="54"/>
  <c r="AU295" i="54"/>
  <c r="AO297" i="54"/>
  <c r="AJ252" i="54"/>
  <c r="AI252" i="54"/>
  <c r="AG252" i="54"/>
  <c r="AF252" i="54"/>
  <c r="AD252" i="54"/>
  <c r="AC252" i="54"/>
  <c r="AA252" i="54"/>
  <c r="Z252" i="54"/>
  <c r="O252" i="54"/>
  <c r="AJ251" i="54"/>
  <c r="AI251" i="54"/>
  <c r="AG251" i="54"/>
  <c r="AF251" i="54"/>
  <c r="AD251" i="54"/>
  <c r="AC251" i="54"/>
  <c r="AA251" i="54"/>
  <c r="Z251" i="54"/>
  <c r="BT250" i="54"/>
  <c r="BS250" i="54"/>
  <c r="BR250" i="54"/>
  <c r="BQ250" i="54"/>
  <c r="BP250" i="54"/>
  <c r="BO250" i="54"/>
  <c r="BN250" i="54"/>
  <c r="BM250" i="54"/>
  <c r="BL250" i="54"/>
  <c r="BK250" i="54"/>
  <c r="BJ250" i="54"/>
  <c r="BI250" i="54"/>
  <c r="BH250" i="54"/>
  <c r="BG250" i="54"/>
  <c r="BF250" i="54"/>
  <c r="BE250" i="54"/>
  <c r="BD250" i="54"/>
  <c r="BC250" i="54"/>
  <c r="BB250" i="54"/>
  <c r="BA250" i="54"/>
  <c r="AZ250" i="54"/>
  <c r="AY250" i="54"/>
  <c r="AX250" i="54"/>
  <c r="AW250" i="54"/>
  <c r="S250" i="54"/>
  <c r="Q250" i="54"/>
  <c r="N250" i="54"/>
  <c r="L250" i="54"/>
  <c r="AJ250" i="54" l="1"/>
  <c r="AD250" i="54"/>
  <c r="AA250" i="54"/>
  <c r="AG250" i="54"/>
  <c r="AN251" i="54"/>
  <c r="AM252" i="54"/>
  <c r="Z250" i="54"/>
  <c r="AC250" i="54"/>
  <c r="AI250" i="54"/>
  <c r="AK250" i="54" s="1"/>
  <c r="AS251" i="54"/>
  <c r="AV251" i="54" s="1"/>
  <c r="AF250" i="54"/>
  <c r="AE251" i="54"/>
  <c r="AK251" i="54"/>
  <c r="AN252" i="54"/>
  <c r="AH252" i="54"/>
  <c r="AB252" i="54"/>
  <c r="AH251" i="54"/>
  <c r="AE252" i="54"/>
  <c r="AK252" i="54"/>
  <c r="O251" i="54"/>
  <c r="AP251" i="54"/>
  <c r="AT251" i="54"/>
  <c r="AS252" i="54"/>
  <c r="AM251" i="54"/>
  <c r="AQ251" i="54"/>
  <c r="AP252" i="54"/>
  <c r="AT252" i="54"/>
  <c r="O250" i="54"/>
  <c r="AQ252" i="54"/>
  <c r="AB251" i="54"/>
  <c r="AB250" i="54" l="1"/>
  <c r="AN250" i="54"/>
  <c r="AT250" i="54"/>
  <c r="AH250" i="54"/>
  <c r="AE250" i="54"/>
  <c r="AQ250" i="54"/>
  <c r="AO251" i="54"/>
  <c r="AM250" i="54"/>
  <c r="AO252" i="54"/>
  <c r="AP250" i="54"/>
  <c r="AU251" i="54"/>
  <c r="AS250" i="54"/>
  <c r="AV250" i="54" s="1"/>
  <c r="AV252" i="54"/>
  <c r="AU252" i="54"/>
  <c r="AR252" i="54"/>
  <c r="AR251" i="54"/>
  <c r="AR250" i="54" l="1"/>
  <c r="AO250" i="54"/>
  <c r="AU250" i="54"/>
  <c r="BC236" i="54"/>
  <c r="AJ248" i="54" l="1"/>
  <c r="AI248" i="54"/>
  <c r="AG248" i="54"/>
  <c r="AF248" i="54"/>
  <c r="AD248" i="54"/>
  <c r="AC248" i="54"/>
  <c r="AA248" i="54"/>
  <c r="Z248" i="54"/>
  <c r="O248" i="54"/>
  <c r="AQ248" i="54" l="1"/>
  <c r="AK248" i="54"/>
  <c r="AH248" i="54"/>
  <c r="AM248" i="54"/>
  <c r="AP248" i="54"/>
  <c r="AE248" i="54"/>
  <c r="AN248" i="54"/>
  <c r="AB248" i="54"/>
  <c r="AS248" i="54"/>
  <c r="AT248" i="54"/>
  <c r="AJ287" i="54"/>
  <c r="AI287" i="54"/>
  <c r="AG287" i="54"/>
  <c r="AF287" i="54"/>
  <c r="AD287" i="54"/>
  <c r="AC287" i="54"/>
  <c r="AA287" i="54"/>
  <c r="Z287" i="54"/>
  <c r="O287" i="54"/>
  <c r="AR248" i="54" l="1"/>
  <c r="AK287" i="54"/>
  <c r="AO248" i="54"/>
  <c r="AQ287" i="54"/>
  <c r="AP287" i="54"/>
  <c r="AH287" i="54"/>
  <c r="AU248" i="54"/>
  <c r="AV248" i="54"/>
  <c r="AM287" i="54"/>
  <c r="AE287" i="54"/>
  <c r="AS287" i="54"/>
  <c r="AN287" i="54"/>
  <c r="AB287" i="54"/>
  <c r="AT287" i="54"/>
  <c r="AR287" i="54" l="1"/>
  <c r="AO287" i="54"/>
  <c r="AU287" i="54"/>
  <c r="AV287" i="54"/>
  <c r="BC14" i="54"/>
  <c r="BC22" i="54"/>
  <c r="BA17" i="54"/>
  <c r="BG17" i="54"/>
  <c r="BS289" i="54" l="1"/>
  <c r="BR289" i="54"/>
  <c r="BQ289" i="54"/>
  <c r="BP289" i="54"/>
  <c r="BO289" i="54"/>
  <c r="BN289" i="54"/>
  <c r="BM289" i="54"/>
  <c r="BL289" i="54"/>
  <c r="BK289" i="54"/>
  <c r="BJ289" i="54"/>
  <c r="BI289" i="54"/>
  <c r="BH289" i="54"/>
  <c r="BG289" i="54"/>
  <c r="BF289" i="54"/>
  <c r="BE289" i="54"/>
  <c r="BD289" i="54"/>
  <c r="BC289" i="54"/>
  <c r="BB289" i="54"/>
  <c r="BA289" i="54"/>
  <c r="AZ289" i="54"/>
  <c r="AY289" i="54"/>
  <c r="AX289" i="54"/>
  <c r="AW289" i="54"/>
  <c r="BS262" i="54"/>
  <c r="BR262" i="54"/>
  <c r="BQ262" i="54"/>
  <c r="BP262" i="54"/>
  <c r="BO262" i="54"/>
  <c r="BN262" i="54"/>
  <c r="BM262" i="54"/>
  <c r="BL262" i="54"/>
  <c r="BK262" i="54"/>
  <c r="BJ262" i="54"/>
  <c r="BI262" i="54"/>
  <c r="BH262" i="54"/>
  <c r="BG262" i="54"/>
  <c r="BF262" i="54"/>
  <c r="BE262" i="54"/>
  <c r="BD262" i="54"/>
  <c r="BC262" i="54"/>
  <c r="BB262" i="54"/>
  <c r="BA262" i="54"/>
  <c r="AZ262" i="54"/>
  <c r="AY262" i="54"/>
  <c r="AX262" i="54"/>
  <c r="AW262" i="54"/>
  <c r="AJ137" i="54" l="1"/>
  <c r="AI137" i="54"/>
  <c r="AG137" i="54"/>
  <c r="AF137" i="54"/>
  <c r="AD137" i="54"/>
  <c r="AC137" i="54"/>
  <c r="AA137" i="54"/>
  <c r="Z137" i="54"/>
  <c r="O137" i="54"/>
  <c r="AJ136" i="54"/>
  <c r="AI136" i="54"/>
  <c r="AG136" i="54"/>
  <c r="AF136" i="54"/>
  <c r="AD136" i="54"/>
  <c r="AC136" i="54"/>
  <c r="AA136" i="54"/>
  <c r="Z136" i="54"/>
  <c r="O136" i="54"/>
  <c r="AJ135" i="54"/>
  <c r="AI135" i="54"/>
  <c r="AG135" i="54"/>
  <c r="AF135" i="54"/>
  <c r="AD135" i="54"/>
  <c r="AC135" i="54"/>
  <c r="AA135" i="54"/>
  <c r="Z135" i="54"/>
  <c r="O135" i="54"/>
  <c r="AJ134" i="54"/>
  <c r="AI134" i="54"/>
  <c r="AG134" i="54"/>
  <c r="AF134" i="54"/>
  <c r="AD134" i="54"/>
  <c r="AC134" i="54"/>
  <c r="AA134" i="54"/>
  <c r="Z134" i="54"/>
  <c r="O134" i="54"/>
  <c r="AJ139" i="54"/>
  <c r="AI139" i="54"/>
  <c r="AG139" i="54"/>
  <c r="AF139" i="54"/>
  <c r="AD139" i="54"/>
  <c r="AC139" i="54"/>
  <c r="AA139" i="54"/>
  <c r="Z139" i="54"/>
  <c r="O139" i="54"/>
  <c r="AJ138" i="54"/>
  <c r="AI138" i="54"/>
  <c r="AG138" i="54"/>
  <c r="AF138" i="54"/>
  <c r="AD138" i="54"/>
  <c r="AC138" i="54"/>
  <c r="AA138" i="54"/>
  <c r="Z138" i="54"/>
  <c r="O138" i="54"/>
  <c r="AM137" i="54" l="1"/>
  <c r="AN134" i="54"/>
  <c r="AN135" i="54"/>
  <c r="AE138" i="54"/>
  <c r="AH134" i="54"/>
  <c r="AE136" i="54"/>
  <c r="AK136" i="54"/>
  <c r="AQ136" i="54"/>
  <c r="AE134" i="54"/>
  <c r="AK134" i="54"/>
  <c r="AH136" i="54"/>
  <c r="AP136" i="54"/>
  <c r="AS135" i="54"/>
  <c r="AV135" i="54" s="1"/>
  <c r="AT136" i="54"/>
  <c r="AP137" i="54"/>
  <c r="AM139" i="54"/>
  <c r="AK138" i="54"/>
  <c r="AN139" i="54"/>
  <c r="AH139" i="54"/>
  <c r="AQ134" i="54"/>
  <c r="AE135" i="54"/>
  <c r="AK135" i="54"/>
  <c r="AH137" i="54"/>
  <c r="AM138" i="54"/>
  <c r="AB139" i="54"/>
  <c r="AM134" i="54"/>
  <c r="AO134" i="54" s="1"/>
  <c r="AQ137" i="54"/>
  <c r="AQ138" i="54"/>
  <c r="AH138" i="54"/>
  <c r="AE139" i="54"/>
  <c r="AK139" i="54"/>
  <c r="AH135" i="54"/>
  <c r="AK137" i="54"/>
  <c r="AB134" i="54"/>
  <c r="AS134" i="54"/>
  <c r="AP135" i="54"/>
  <c r="AT135" i="54"/>
  <c r="AM136" i="54"/>
  <c r="AE137" i="54"/>
  <c r="AN137" i="54"/>
  <c r="AP134" i="54"/>
  <c r="AT134" i="54"/>
  <c r="AM135" i="54"/>
  <c r="AQ135" i="54"/>
  <c r="AN136" i="54"/>
  <c r="AB137" i="54"/>
  <c r="AS137" i="54"/>
  <c r="AB136" i="54"/>
  <c r="AS136" i="54"/>
  <c r="AT137" i="54"/>
  <c r="AB135" i="54"/>
  <c r="AN138" i="54"/>
  <c r="AS139" i="54"/>
  <c r="AB138" i="54"/>
  <c r="AS138" i="54"/>
  <c r="AP139" i="54"/>
  <c r="AT139" i="54"/>
  <c r="AP138" i="54"/>
  <c r="AT138" i="54"/>
  <c r="AQ139" i="54"/>
  <c r="AC265" i="54"/>
  <c r="AJ265" i="54"/>
  <c r="AI265" i="54"/>
  <c r="AG265" i="54"/>
  <c r="AF265" i="54"/>
  <c r="AD265" i="54"/>
  <c r="AA265" i="54"/>
  <c r="Z265" i="54"/>
  <c r="O265" i="54"/>
  <c r="BC273" i="54"/>
  <c r="BC267" i="54" s="1"/>
  <c r="AJ273" i="54"/>
  <c r="AI273" i="54"/>
  <c r="AG273" i="54"/>
  <c r="AF273" i="54"/>
  <c r="AD273" i="54"/>
  <c r="AA273" i="54"/>
  <c r="Z273" i="54"/>
  <c r="O273" i="54"/>
  <c r="AC273" i="54" l="1"/>
  <c r="AP273" i="54" s="1"/>
  <c r="AO137" i="54"/>
  <c r="AO139" i="54"/>
  <c r="AO135" i="54"/>
  <c r="AR137" i="54"/>
  <c r="AR136" i="54"/>
  <c r="AN273" i="54"/>
  <c r="AK273" i="54"/>
  <c r="AB265" i="54"/>
  <c r="AO138" i="54"/>
  <c r="AR134" i="54"/>
  <c r="AR138" i="54"/>
  <c r="AH273" i="54"/>
  <c r="AU135" i="54"/>
  <c r="AQ265" i="54"/>
  <c r="AR135" i="54"/>
  <c r="AB273" i="54"/>
  <c r="AH265" i="54"/>
  <c r="AE265" i="54"/>
  <c r="AN265" i="54"/>
  <c r="AK265" i="54"/>
  <c r="AV134" i="54"/>
  <c r="AU134" i="54"/>
  <c r="AV136" i="54"/>
  <c r="AU136" i="54"/>
  <c r="AO136" i="54"/>
  <c r="AU137" i="54"/>
  <c r="AV137" i="54"/>
  <c r="AU138" i="54"/>
  <c r="AV138" i="54"/>
  <c r="AR139" i="54"/>
  <c r="AV139" i="54"/>
  <c r="AU139" i="54"/>
  <c r="AM265" i="54"/>
  <c r="AS265" i="54"/>
  <c r="AP265" i="54"/>
  <c r="AT265" i="54"/>
  <c r="AT273" i="54"/>
  <c r="AQ273" i="54"/>
  <c r="AW157" i="54"/>
  <c r="AE273" i="54" l="1"/>
  <c r="AS273" i="54"/>
  <c r="AV273" i="54" s="1"/>
  <c r="AM273" i="54"/>
  <c r="AO273" i="54" s="1"/>
  <c r="AR265" i="54"/>
  <c r="AO265" i="54"/>
  <c r="AV265" i="54"/>
  <c r="AU265" i="54"/>
  <c r="AR273" i="54"/>
  <c r="AI159" i="54"/>
  <c r="AC159" i="54"/>
  <c r="AJ159" i="54"/>
  <c r="AG159" i="54"/>
  <c r="AF159" i="54"/>
  <c r="AD159" i="54"/>
  <c r="AA159" i="54"/>
  <c r="Z159" i="54"/>
  <c r="BS44" i="54"/>
  <c r="AU273" i="54" l="1"/>
  <c r="AH159" i="54"/>
  <c r="AK159" i="54"/>
  <c r="AN159" i="54"/>
  <c r="AB159" i="54"/>
  <c r="AT159" i="54"/>
  <c r="AQ159" i="54"/>
  <c r="AS159" i="54"/>
  <c r="AE159" i="54"/>
  <c r="AP159" i="54"/>
  <c r="AM159" i="54"/>
  <c r="O159" i="54"/>
  <c r="AU159" i="54" l="1"/>
  <c r="AO159" i="54"/>
  <c r="AR159" i="54"/>
  <c r="AV159" i="54"/>
  <c r="AJ286" i="54" l="1"/>
  <c r="AI286" i="54"/>
  <c r="AG286" i="54"/>
  <c r="AF286" i="54"/>
  <c r="AD286" i="54"/>
  <c r="AC286" i="54"/>
  <c r="AA286" i="54"/>
  <c r="Z286" i="54"/>
  <c r="O286" i="54"/>
  <c r="AQ286" i="54" l="1"/>
  <c r="AK286" i="54"/>
  <c r="AP286" i="54"/>
  <c r="AH286" i="54"/>
  <c r="AM286" i="54"/>
  <c r="AE286" i="54"/>
  <c r="AN286" i="54"/>
  <c r="AB286" i="54"/>
  <c r="AS286" i="54"/>
  <c r="AT286" i="54"/>
  <c r="S262" i="54"/>
  <c r="Q262" i="54"/>
  <c r="L263" i="54"/>
  <c r="L262" i="54" s="1"/>
  <c r="N262" i="54"/>
  <c r="O266" i="54"/>
  <c r="AJ266" i="54"/>
  <c r="AI266" i="54"/>
  <c r="AG266" i="54"/>
  <c r="AF266" i="54"/>
  <c r="AD266" i="54"/>
  <c r="AC266" i="54"/>
  <c r="AA266" i="54"/>
  <c r="Z266" i="54"/>
  <c r="AJ263" i="54"/>
  <c r="AI263" i="54"/>
  <c r="AG263" i="54"/>
  <c r="AF263" i="54"/>
  <c r="AD263" i="54"/>
  <c r="AC263" i="54"/>
  <c r="AA263" i="54"/>
  <c r="Z263" i="54"/>
  <c r="AJ264" i="54"/>
  <c r="AI264" i="54"/>
  <c r="AG264" i="54"/>
  <c r="AF264" i="54"/>
  <c r="AD264" i="54"/>
  <c r="AC264" i="54"/>
  <c r="AA264" i="54"/>
  <c r="Z264" i="54"/>
  <c r="O264" i="54"/>
  <c r="AR286" i="54" l="1"/>
  <c r="AO286" i="54"/>
  <c r="AU286" i="54"/>
  <c r="AV286" i="54"/>
  <c r="AQ263" i="54"/>
  <c r="AT266" i="54"/>
  <c r="AK263" i="54"/>
  <c r="AK266" i="54"/>
  <c r="AH263" i="54"/>
  <c r="AB266" i="54"/>
  <c r="AH266" i="54"/>
  <c r="AP263" i="54"/>
  <c r="AM264" i="54"/>
  <c r="AM263" i="54"/>
  <c r="AP266" i="54"/>
  <c r="AE266" i="54"/>
  <c r="O263" i="54"/>
  <c r="AM266" i="54"/>
  <c r="AQ266" i="54"/>
  <c r="AN266" i="54"/>
  <c r="AS266" i="54"/>
  <c r="AE263" i="54"/>
  <c r="AN263" i="54"/>
  <c r="AB263" i="54"/>
  <c r="AS263" i="54"/>
  <c r="AV263" i="54" s="1"/>
  <c r="AT263" i="54"/>
  <c r="AQ264" i="54"/>
  <c r="AK264" i="54"/>
  <c r="AN264" i="54"/>
  <c r="AH264" i="54"/>
  <c r="AB264" i="54"/>
  <c r="AT264" i="54"/>
  <c r="AE264" i="54"/>
  <c r="AS264" i="54"/>
  <c r="AP264" i="54"/>
  <c r="AJ283" i="54"/>
  <c r="AI283" i="54"/>
  <c r="AG283" i="54"/>
  <c r="AF283" i="54"/>
  <c r="AD283" i="54"/>
  <c r="AC283" i="54"/>
  <c r="AA283" i="54"/>
  <c r="Z283" i="54"/>
  <c r="O283" i="54"/>
  <c r="BS193" i="54"/>
  <c r="AR266" i="54" l="1"/>
  <c r="AR264" i="54"/>
  <c r="AR263" i="54"/>
  <c r="AO263" i="54"/>
  <c r="AM283" i="54"/>
  <c r="AQ283" i="54"/>
  <c r="AO264" i="54"/>
  <c r="AU263" i="54"/>
  <c r="AU266" i="54"/>
  <c r="AV266" i="54"/>
  <c r="AO266" i="54"/>
  <c r="AK283" i="54"/>
  <c r="AH283" i="54"/>
  <c r="AV264" i="54"/>
  <c r="AU264" i="54"/>
  <c r="AP283" i="54"/>
  <c r="AE283" i="54"/>
  <c r="AN283" i="54"/>
  <c r="AB283" i="54"/>
  <c r="AS283" i="54"/>
  <c r="AT283" i="54"/>
  <c r="BB66" i="54"/>
  <c r="AO283" i="54" l="1"/>
  <c r="AR283" i="54"/>
  <c r="AU283" i="54"/>
  <c r="AV283" i="54"/>
  <c r="AJ209" i="54"/>
  <c r="AI209" i="54"/>
  <c r="AG209" i="54"/>
  <c r="AF209" i="54"/>
  <c r="AD209" i="54"/>
  <c r="AC209" i="54"/>
  <c r="AA209" i="54"/>
  <c r="Z209" i="54"/>
  <c r="O209" i="54"/>
  <c r="AT209" i="54" l="1"/>
  <c r="AE209" i="54"/>
  <c r="AK209" i="54"/>
  <c r="AQ209" i="54"/>
  <c r="AH209" i="54"/>
  <c r="AP209" i="54"/>
  <c r="AM209" i="54"/>
  <c r="AN209" i="54"/>
  <c r="AB209" i="54"/>
  <c r="AS209" i="54"/>
  <c r="AJ285" i="54"/>
  <c r="AI285" i="54"/>
  <c r="AG285" i="54"/>
  <c r="AF285" i="54"/>
  <c r="AD285" i="54"/>
  <c r="AC285" i="54"/>
  <c r="AA285" i="54"/>
  <c r="Z285" i="54"/>
  <c r="O285" i="54"/>
  <c r="AJ207" i="54"/>
  <c r="AI207" i="54"/>
  <c r="AG207" i="54"/>
  <c r="AF207" i="54"/>
  <c r="AD207" i="54"/>
  <c r="AC207" i="54"/>
  <c r="AA207" i="54"/>
  <c r="Z207" i="54"/>
  <c r="O207" i="54"/>
  <c r="AE285" i="54" l="1"/>
  <c r="AK285" i="54"/>
  <c r="AU209" i="54"/>
  <c r="AR209" i="54"/>
  <c r="AK207" i="54"/>
  <c r="AQ285" i="54"/>
  <c r="AN207" i="54"/>
  <c r="AM285" i="54"/>
  <c r="AH285" i="54"/>
  <c r="AO209" i="54"/>
  <c r="AN285" i="54"/>
  <c r="AB285" i="54"/>
  <c r="AS285" i="54"/>
  <c r="AT285" i="54"/>
  <c r="AP285" i="54"/>
  <c r="AS207" i="54"/>
  <c r="AP207" i="54"/>
  <c r="AH207" i="54"/>
  <c r="AQ207" i="54"/>
  <c r="AT207" i="54"/>
  <c r="AM207" i="54"/>
  <c r="AE207" i="54"/>
  <c r="AB207" i="54"/>
  <c r="AU207" i="54" l="1"/>
  <c r="AR285" i="54"/>
  <c r="AO207" i="54"/>
  <c r="AO285" i="54"/>
  <c r="AR207" i="54"/>
  <c r="AV285" i="54"/>
  <c r="AU285" i="54"/>
  <c r="AJ271" i="54" l="1"/>
  <c r="AI271" i="54"/>
  <c r="AG271" i="54"/>
  <c r="AF271" i="54"/>
  <c r="AD271" i="54"/>
  <c r="AC271" i="54"/>
  <c r="AA271" i="54"/>
  <c r="Z271" i="54"/>
  <c r="O271" i="54"/>
  <c r="AJ272" i="54"/>
  <c r="AI272" i="54"/>
  <c r="AG272" i="54"/>
  <c r="AF272" i="54"/>
  <c r="AD272" i="54"/>
  <c r="AC272" i="54"/>
  <c r="AA272" i="54"/>
  <c r="Z272" i="54"/>
  <c r="O272" i="54"/>
  <c r="AE271" i="54" l="1"/>
  <c r="AQ271" i="54"/>
  <c r="AQ272" i="54"/>
  <c r="AP272" i="54"/>
  <c r="AK271" i="54"/>
  <c r="AH272" i="54"/>
  <c r="AH271" i="54"/>
  <c r="AK272" i="54"/>
  <c r="AM271" i="54"/>
  <c r="AP271" i="54"/>
  <c r="AN271" i="54"/>
  <c r="AB271" i="54"/>
  <c r="AS271" i="54"/>
  <c r="AT272" i="54"/>
  <c r="AT271" i="54"/>
  <c r="AM272" i="54"/>
  <c r="AE272" i="54"/>
  <c r="AN272" i="54"/>
  <c r="AB272" i="54"/>
  <c r="AS272" i="54"/>
  <c r="BQ61" i="54"/>
  <c r="AI61" i="54" s="1"/>
  <c r="AJ61" i="54"/>
  <c r="AG61" i="54"/>
  <c r="AF61" i="54"/>
  <c r="AD61" i="54"/>
  <c r="AC61" i="54"/>
  <c r="AA61" i="54"/>
  <c r="Z61" i="54"/>
  <c r="O61" i="54"/>
  <c r="N208" i="54"/>
  <c r="O21" i="54"/>
  <c r="AR271" i="54" l="1"/>
  <c r="AR272" i="54"/>
  <c r="AO271" i="54"/>
  <c r="AU271" i="54"/>
  <c r="AV271" i="54"/>
  <c r="AO272" i="54"/>
  <c r="AU272" i="54"/>
  <c r="AV272" i="54"/>
  <c r="AN61" i="54"/>
  <c r="AQ61" i="54"/>
  <c r="AM61" i="54"/>
  <c r="AH61" i="54"/>
  <c r="AB61" i="54"/>
  <c r="AE61" i="54"/>
  <c r="AK61" i="54"/>
  <c r="AP61" i="54"/>
  <c r="AT61" i="54"/>
  <c r="AS61" i="54"/>
  <c r="BC245" i="54"/>
  <c r="AJ247" i="54"/>
  <c r="AI247" i="54"/>
  <c r="AG247" i="54"/>
  <c r="AF247" i="54"/>
  <c r="AD247" i="54"/>
  <c r="AC247" i="54"/>
  <c r="AA247" i="54"/>
  <c r="Z247" i="54"/>
  <c r="O247" i="54"/>
  <c r="AR61" i="54" l="1"/>
  <c r="AO61" i="54"/>
  <c r="AV61" i="54"/>
  <c r="AU61" i="54"/>
  <c r="AN247" i="54"/>
  <c r="AE247" i="54"/>
  <c r="AK247" i="54"/>
  <c r="AH247" i="54"/>
  <c r="AM247" i="54"/>
  <c r="AB247" i="54"/>
  <c r="AS247" i="54"/>
  <c r="AP247" i="54"/>
  <c r="AT247" i="54"/>
  <c r="AQ247" i="54"/>
  <c r="N157" i="54"/>
  <c r="L157" i="54"/>
  <c r="AI158" i="54"/>
  <c r="BC158" i="54"/>
  <c r="AC158" i="54" s="1"/>
  <c r="AJ158" i="54"/>
  <c r="AG158" i="54"/>
  <c r="AF158" i="54"/>
  <c r="AD158" i="54"/>
  <c r="AA158" i="54"/>
  <c r="Z158" i="54"/>
  <c r="AO247" i="54" l="1"/>
  <c r="O158" i="54"/>
  <c r="AR247" i="54"/>
  <c r="AV247" i="54"/>
  <c r="AU247" i="54"/>
  <c r="AB158" i="54"/>
  <c r="AH158" i="54"/>
  <c r="AN158" i="54"/>
  <c r="AE158" i="54"/>
  <c r="AK158" i="54"/>
  <c r="AM158" i="54"/>
  <c r="AS158" i="54"/>
  <c r="AP158" i="54"/>
  <c r="AT158" i="54"/>
  <c r="AQ158" i="54"/>
  <c r="BS220" i="54"/>
  <c r="AO158" i="54" l="1"/>
  <c r="AV158" i="54"/>
  <c r="AU158" i="54"/>
  <c r="AR158" i="54"/>
  <c r="AJ270" i="54"/>
  <c r="AI270" i="54"/>
  <c r="AG270" i="54"/>
  <c r="AF270" i="54"/>
  <c r="AD270" i="54"/>
  <c r="AC270" i="54"/>
  <c r="AA270" i="54"/>
  <c r="Z270" i="54"/>
  <c r="O270" i="54"/>
  <c r="AM270" i="54" l="1"/>
  <c r="AE270" i="54"/>
  <c r="AN270" i="54"/>
  <c r="AK270" i="54"/>
  <c r="AH270" i="54"/>
  <c r="AB270" i="54"/>
  <c r="AS270" i="54"/>
  <c r="AP270" i="54"/>
  <c r="AT270" i="54"/>
  <c r="AQ270" i="54"/>
  <c r="AY24" i="54"/>
  <c r="AO270" i="54" l="1"/>
  <c r="AV270" i="54"/>
  <c r="AU270" i="54"/>
  <c r="AR270" i="54"/>
  <c r="N267" i="54" l="1"/>
  <c r="AJ284" i="54"/>
  <c r="AI284" i="54"/>
  <c r="AG284" i="54"/>
  <c r="AF284" i="54"/>
  <c r="AD284" i="54"/>
  <c r="AC284" i="54"/>
  <c r="AA284" i="54"/>
  <c r="Z284" i="54"/>
  <c r="O284" i="54"/>
  <c r="AN284" i="54" l="1"/>
  <c r="AK284" i="54"/>
  <c r="AE284" i="54"/>
  <c r="AM284" i="54"/>
  <c r="AH284" i="54"/>
  <c r="AB284" i="54"/>
  <c r="AS284" i="54"/>
  <c r="AP284" i="54"/>
  <c r="AT284" i="54"/>
  <c r="AQ284" i="54"/>
  <c r="L254" i="54"/>
  <c r="AJ255" i="54"/>
  <c r="AI255" i="54"/>
  <c r="AG255" i="54"/>
  <c r="AF255" i="54"/>
  <c r="AD255" i="54"/>
  <c r="AC255" i="54"/>
  <c r="AA255" i="54"/>
  <c r="Z255" i="54"/>
  <c r="AO284" i="54" l="1"/>
  <c r="AK255" i="54"/>
  <c r="AQ255" i="54"/>
  <c r="AM255" i="54"/>
  <c r="AH255" i="54"/>
  <c r="AV284" i="54"/>
  <c r="AU284" i="54"/>
  <c r="AR284" i="54"/>
  <c r="AP255" i="54"/>
  <c r="AE255" i="54"/>
  <c r="AN255" i="54"/>
  <c r="AB255" i="54"/>
  <c r="AS255" i="54"/>
  <c r="AT255" i="54"/>
  <c r="BI225" i="54"/>
  <c r="AJ279" i="54"/>
  <c r="AI279" i="54"/>
  <c r="AG279" i="54"/>
  <c r="AF279" i="54"/>
  <c r="AD279" i="54"/>
  <c r="AC279" i="54"/>
  <c r="AA279" i="54"/>
  <c r="Z279" i="54"/>
  <c r="O279" i="54"/>
  <c r="AR255" i="54" l="1"/>
  <c r="AO255" i="54"/>
  <c r="AQ279" i="54"/>
  <c r="AK279" i="54"/>
  <c r="AH279" i="54"/>
  <c r="AU255" i="54"/>
  <c r="AV255" i="54"/>
  <c r="AM279" i="54"/>
  <c r="AP279" i="54"/>
  <c r="AE279" i="54"/>
  <c r="AN279" i="54"/>
  <c r="AB279" i="54"/>
  <c r="AS279" i="54"/>
  <c r="AT279" i="54"/>
  <c r="AR279" i="54" l="1"/>
  <c r="AO279" i="54"/>
  <c r="AU279" i="54"/>
  <c r="AV279" i="54"/>
  <c r="AJ246" i="54" l="1"/>
  <c r="AI246" i="54"/>
  <c r="AG246" i="54"/>
  <c r="AF246" i="54"/>
  <c r="AD246" i="54"/>
  <c r="AC246" i="54"/>
  <c r="AA246" i="54"/>
  <c r="Z246" i="54"/>
  <c r="O246" i="54"/>
  <c r="AJ234" i="54"/>
  <c r="AI234" i="54"/>
  <c r="AG234" i="54"/>
  <c r="AF234" i="54"/>
  <c r="AD234" i="54"/>
  <c r="AC234" i="54"/>
  <c r="AA234" i="54"/>
  <c r="Z234" i="54"/>
  <c r="O234" i="54"/>
  <c r="AI233" i="54"/>
  <c r="AJ233" i="54"/>
  <c r="AG233" i="54"/>
  <c r="AF233" i="54"/>
  <c r="AD233" i="54"/>
  <c r="AC233" i="54"/>
  <c r="AA233" i="54"/>
  <c r="Z233" i="54"/>
  <c r="O233" i="54"/>
  <c r="AN246" i="54" l="1"/>
  <c r="AQ233" i="54"/>
  <c r="AH246" i="54"/>
  <c r="AE246" i="54"/>
  <c r="AK246" i="54"/>
  <c r="AQ234" i="54"/>
  <c r="AK234" i="54"/>
  <c r="AM233" i="54"/>
  <c r="AK233" i="54"/>
  <c r="AM234" i="54"/>
  <c r="AH234" i="54"/>
  <c r="AM246" i="54"/>
  <c r="AB246" i="54"/>
  <c r="AS246" i="54"/>
  <c r="AP246" i="54"/>
  <c r="AT246" i="54"/>
  <c r="AQ246" i="54"/>
  <c r="AP234" i="54"/>
  <c r="AE234" i="54"/>
  <c r="AN234" i="54"/>
  <c r="AB234" i="54"/>
  <c r="AS234" i="54"/>
  <c r="AT234" i="54"/>
  <c r="AB233" i="54"/>
  <c r="AN233" i="54"/>
  <c r="AH233" i="54"/>
  <c r="AE233" i="54"/>
  <c r="AP233" i="54"/>
  <c r="AR233" i="54" s="1"/>
  <c r="AT233" i="54"/>
  <c r="AS233" i="54"/>
  <c r="BC58" i="54"/>
  <c r="AC58" i="54" s="1"/>
  <c r="Z58" i="54"/>
  <c r="AJ58" i="54"/>
  <c r="AI58" i="54"/>
  <c r="AG58" i="54"/>
  <c r="AF58" i="54"/>
  <c r="AD58" i="54"/>
  <c r="AA58" i="54"/>
  <c r="O58" i="54"/>
  <c r="AY59" i="54"/>
  <c r="Z59" i="54" s="1"/>
  <c r="AJ59" i="54"/>
  <c r="AI59" i="54"/>
  <c r="AG59" i="54"/>
  <c r="AF59" i="54"/>
  <c r="AD59" i="54"/>
  <c r="AC59" i="54"/>
  <c r="AA59" i="54"/>
  <c r="O59" i="54"/>
  <c r="L220" i="54"/>
  <c r="AR234" i="54" l="1"/>
  <c r="AO246" i="54"/>
  <c r="AO233" i="54"/>
  <c r="AE59" i="54"/>
  <c r="AK59" i="54"/>
  <c r="AN58" i="54"/>
  <c r="AR246" i="54"/>
  <c r="AK58" i="54"/>
  <c r="AH59" i="54"/>
  <c r="AH58" i="54"/>
  <c r="AB58" i="54"/>
  <c r="AN59" i="54"/>
  <c r="AE58" i="54"/>
  <c r="AO234" i="54"/>
  <c r="AV246" i="54"/>
  <c r="AU246" i="54"/>
  <c r="AU234" i="54"/>
  <c r="AV234" i="54"/>
  <c r="AV233" i="54"/>
  <c r="AU233" i="54"/>
  <c r="AQ59" i="54"/>
  <c r="AQ58" i="54"/>
  <c r="AM58" i="54"/>
  <c r="AS58" i="54"/>
  <c r="AP58" i="54"/>
  <c r="AT58" i="54"/>
  <c r="AM59" i="54"/>
  <c r="AB59" i="54"/>
  <c r="AP59" i="54"/>
  <c r="AR59" i="54" s="1"/>
  <c r="AS59" i="54"/>
  <c r="AT59" i="54"/>
  <c r="AO58" i="54" l="1"/>
  <c r="AO59" i="54"/>
  <c r="AR58" i="54"/>
  <c r="AV58" i="54"/>
  <c r="AU58" i="54"/>
  <c r="AV59" i="54"/>
  <c r="AU59" i="54"/>
  <c r="BS62" i="54"/>
  <c r="BR62" i="54"/>
  <c r="BQ62" i="54"/>
  <c r="BP62" i="54"/>
  <c r="BO62" i="54"/>
  <c r="BN62" i="54"/>
  <c r="BM62" i="54"/>
  <c r="BL62" i="54"/>
  <c r="BK62" i="54"/>
  <c r="BJ62" i="54"/>
  <c r="BI62" i="54"/>
  <c r="BH62" i="54"/>
  <c r="BG62" i="54"/>
  <c r="BF62" i="54"/>
  <c r="BE62" i="54"/>
  <c r="BD62" i="54"/>
  <c r="BC62" i="54"/>
  <c r="BB62" i="54"/>
  <c r="BA62" i="54"/>
  <c r="AZ62" i="54"/>
  <c r="AY62" i="54"/>
  <c r="AX62" i="54"/>
  <c r="AW62" i="54"/>
  <c r="S62" i="54"/>
  <c r="Q62" i="54"/>
  <c r="N62" i="54"/>
  <c r="L62" i="54"/>
  <c r="AI64" i="54"/>
  <c r="AJ64" i="54"/>
  <c r="AG64" i="54"/>
  <c r="AF64" i="54"/>
  <c r="AD64" i="54"/>
  <c r="AC64" i="54"/>
  <c r="AA64" i="54"/>
  <c r="Z64" i="54"/>
  <c r="O64" i="54"/>
  <c r="AF63" i="54"/>
  <c r="AC63" i="54"/>
  <c r="AJ63" i="54"/>
  <c r="AG63" i="54"/>
  <c r="AD63" i="54"/>
  <c r="AA63" i="54"/>
  <c r="Z63" i="54"/>
  <c r="O63" i="54"/>
  <c r="AC62" i="54" l="1"/>
  <c r="Z62" i="54"/>
  <c r="AA62" i="54"/>
  <c r="AD62" i="54"/>
  <c r="AG62" i="54"/>
  <c r="AQ63" i="54"/>
  <c r="AH63" i="54"/>
  <c r="AE64" i="54"/>
  <c r="AF62" i="54"/>
  <c r="AI62" i="54"/>
  <c r="AM64" i="54"/>
  <c r="AN63" i="54"/>
  <c r="AE63" i="54"/>
  <c r="AN64" i="54"/>
  <c r="AK64" i="54"/>
  <c r="AB64" i="54"/>
  <c r="AS64" i="54"/>
  <c r="AM63" i="54"/>
  <c r="O62" i="54"/>
  <c r="AI63" i="54"/>
  <c r="AK63" i="54" s="1"/>
  <c r="AP64" i="54"/>
  <c r="AT64" i="54"/>
  <c r="AB63" i="54"/>
  <c r="AH64" i="54"/>
  <c r="AQ64" i="54"/>
  <c r="AP63" i="54"/>
  <c r="AT63" i="54"/>
  <c r="AJ222" i="54"/>
  <c r="AI222" i="54"/>
  <c r="AG222" i="54"/>
  <c r="AF222" i="54"/>
  <c r="AD222" i="54"/>
  <c r="AC222" i="54"/>
  <c r="AA222" i="54"/>
  <c r="Z222" i="54"/>
  <c r="O222" i="54"/>
  <c r="AM222" i="54" l="1"/>
  <c r="AE62" i="54"/>
  <c r="AM62" i="54"/>
  <c r="AR63" i="54"/>
  <c r="AB62" i="54"/>
  <c r="AN62" i="54"/>
  <c r="AQ62" i="54"/>
  <c r="O225" i="54"/>
  <c r="AP62" i="54"/>
  <c r="AS62" i="54"/>
  <c r="AV62" i="54" s="1"/>
  <c r="AO63" i="54"/>
  <c r="AH62" i="54"/>
  <c r="AO64" i="54"/>
  <c r="AS63" i="54"/>
  <c r="AV64" i="54"/>
  <c r="AU64" i="54"/>
  <c r="AR64" i="54"/>
  <c r="AH222" i="54"/>
  <c r="AK222" i="54"/>
  <c r="AQ222" i="54"/>
  <c r="AP222" i="54"/>
  <c r="AE222" i="54"/>
  <c r="AN222" i="54"/>
  <c r="AB222" i="54"/>
  <c r="AS222" i="54"/>
  <c r="AT222" i="54"/>
  <c r="AJ128" i="54"/>
  <c r="AI128" i="54"/>
  <c r="AG128" i="54"/>
  <c r="AF128" i="54"/>
  <c r="AD128" i="54"/>
  <c r="AC128" i="54"/>
  <c r="AA128" i="54"/>
  <c r="Z128" i="54"/>
  <c r="O128" i="54"/>
  <c r="AO222" i="54" l="1"/>
  <c r="AO62" i="54"/>
  <c r="AR222" i="54"/>
  <c r="AH128" i="54"/>
  <c r="AR62" i="54"/>
  <c r="AN128" i="54"/>
  <c r="AE128" i="54"/>
  <c r="AK128" i="54"/>
  <c r="AU63" i="54"/>
  <c r="AV63" i="54"/>
  <c r="AM128" i="54"/>
  <c r="AU222" i="54"/>
  <c r="AV222" i="54"/>
  <c r="AB128" i="54"/>
  <c r="AS128" i="54"/>
  <c r="AP128" i="54"/>
  <c r="AT128" i="54"/>
  <c r="AQ128" i="54"/>
  <c r="L132" i="54"/>
  <c r="AJ133" i="54"/>
  <c r="AI133" i="54"/>
  <c r="AG133" i="54"/>
  <c r="AF133" i="54"/>
  <c r="AD133" i="54"/>
  <c r="AC133" i="54"/>
  <c r="AA133" i="54"/>
  <c r="Z133" i="54"/>
  <c r="O133" i="54"/>
  <c r="AE133" i="54" l="1"/>
  <c r="AK133" i="54"/>
  <c r="AO128" i="54"/>
  <c r="AH133" i="54"/>
  <c r="AR128" i="54"/>
  <c r="AV128" i="54"/>
  <c r="AU128" i="54"/>
  <c r="AM133" i="54"/>
  <c r="AN133" i="54"/>
  <c r="AB133" i="54"/>
  <c r="AS133" i="54"/>
  <c r="AP133" i="54"/>
  <c r="AT133" i="54"/>
  <c r="AQ133" i="54"/>
  <c r="AJ129" i="54"/>
  <c r="AI129" i="54"/>
  <c r="AG129" i="54"/>
  <c r="AF129" i="54"/>
  <c r="AD129" i="54"/>
  <c r="AC129" i="54"/>
  <c r="AA129" i="54"/>
  <c r="Z129" i="54"/>
  <c r="O129" i="54"/>
  <c r="L206" i="54"/>
  <c r="O25" i="54"/>
  <c r="L22" i="54"/>
  <c r="L19" i="54"/>
  <c r="AH129" i="54" l="1"/>
  <c r="AE129" i="54"/>
  <c r="AK129" i="54"/>
  <c r="AM129" i="54"/>
  <c r="AN129" i="54"/>
  <c r="AO133" i="54"/>
  <c r="AR133" i="54"/>
  <c r="AV133" i="54"/>
  <c r="AU133" i="54"/>
  <c r="AB129" i="54"/>
  <c r="AS129" i="54"/>
  <c r="AP129" i="54"/>
  <c r="AT129" i="54"/>
  <c r="AQ129" i="54"/>
  <c r="AJ294" i="54"/>
  <c r="AI294" i="54"/>
  <c r="AG294" i="54"/>
  <c r="AF294" i="54"/>
  <c r="AD294" i="54"/>
  <c r="AC294" i="54"/>
  <c r="AA294" i="54"/>
  <c r="Z294" i="54"/>
  <c r="AJ293" i="54"/>
  <c r="AI293" i="54"/>
  <c r="AG293" i="54"/>
  <c r="AF293" i="54"/>
  <c r="AD293" i="54"/>
  <c r="AC293" i="54"/>
  <c r="AA293" i="54"/>
  <c r="Z293" i="54"/>
  <c r="O293" i="54"/>
  <c r="AJ292" i="54"/>
  <c r="AI292" i="54"/>
  <c r="AG292" i="54"/>
  <c r="AF292" i="54"/>
  <c r="AD292" i="54"/>
  <c r="AC292" i="54"/>
  <c r="AA292" i="54"/>
  <c r="Z292" i="54"/>
  <c r="O292" i="54"/>
  <c r="AJ291" i="54"/>
  <c r="AI291" i="54"/>
  <c r="AG291" i="54"/>
  <c r="AF291" i="54"/>
  <c r="AD291" i="54"/>
  <c r="AC291" i="54"/>
  <c r="AA291" i="54"/>
  <c r="Z291" i="54"/>
  <c r="O291" i="54"/>
  <c r="AJ290" i="54"/>
  <c r="AI290" i="54"/>
  <c r="AG290" i="54"/>
  <c r="AF290" i="54"/>
  <c r="AD290" i="54"/>
  <c r="AC290" i="54"/>
  <c r="AA290" i="54"/>
  <c r="Z290" i="54"/>
  <c r="O290" i="54"/>
  <c r="AJ289" i="54"/>
  <c r="AI289" i="54"/>
  <c r="AG289" i="54"/>
  <c r="AF289" i="54"/>
  <c r="AD289" i="54"/>
  <c r="AC289" i="54"/>
  <c r="AA289" i="54"/>
  <c r="Z289" i="54"/>
  <c r="N289" i="54"/>
  <c r="L289" i="54"/>
  <c r="AJ288" i="54"/>
  <c r="AI288" i="54"/>
  <c r="AG288" i="54"/>
  <c r="AF288" i="54"/>
  <c r="AD288" i="54"/>
  <c r="AC288" i="54"/>
  <c r="AA288" i="54"/>
  <c r="Z288" i="54"/>
  <c r="O288" i="54"/>
  <c r="AJ282" i="54"/>
  <c r="AI282" i="54"/>
  <c r="AG282" i="54"/>
  <c r="AF282" i="54"/>
  <c r="AD282" i="54"/>
  <c r="AC282" i="54"/>
  <c r="AA282" i="54"/>
  <c r="Z282" i="54"/>
  <c r="O282" i="54"/>
  <c r="AJ281" i="54"/>
  <c r="AI281" i="54"/>
  <c r="AG281" i="54"/>
  <c r="AF281" i="54"/>
  <c r="AD281" i="54"/>
  <c r="AC281" i="54"/>
  <c r="AA281" i="54"/>
  <c r="Z281" i="54"/>
  <c r="O281" i="54"/>
  <c r="AJ280" i="54"/>
  <c r="AI280" i="54"/>
  <c r="AG280" i="54"/>
  <c r="AF280" i="54"/>
  <c r="AD280" i="54"/>
  <c r="AC280" i="54"/>
  <c r="AA280" i="54"/>
  <c r="Z280" i="54"/>
  <c r="O280" i="54"/>
  <c r="AJ278" i="54"/>
  <c r="AI278" i="54"/>
  <c r="AG278" i="54"/>
  <c r="AF278" i="54"/>
  <c r="AD278" i="54"/>
  <c r="AC278" i="54"/>
  <c r="AA278" i="54"/>
  <c r="Z278" i="54"/>
  <c r="O278" i="54"/>
  <c r="AJ277" i="54"/>
  <c r="AI277" i="54"/>
  <c r="AG277" i="54"/>
  <c r="AF277" i="54"/>
  <c r="AD277" i="54"/>
  <c r="AC277" i="54"/>
  <c r="AA277" i="54"/>
  <c r="Z277" i="54"/>
  <c r="O277" i="54"/>
  <c r="AJ276" i="54"/>
  <c r="AI276" i="54"/>
  <c r="AG276" i="54"/>
  <c r="AF276" i="54"/>
  <c r="AD276" i="54"/>
  <c r="AC276" i="54"/>
  <c r="AA276" i="54"/>
  <c r="Z276" i="54"/>
  <c r="O276" i="54"/>
  <c r="AJ275" i="54"/>
  <c r="AI275" i="54"/>
  <c r="AG275" i="54"/>
  <c r="AF275" i="54"/>
  <c r="AD275" i="54"/>
  <c r="AC275" i="54"/>
  <c r="AA275" i="54"/>
  <c r="Z275" i="54"/>
  <c r="O275" i="54"/>
  <c r="BT274" i="54"/>
  <c r="BS274" i="54"/>
  <c r="BR274" i="54"/>
  <c r="BQ274" i="54"/>
  <c r="BP274" i="54"/>
  <c r="BO274" i="54"/>
  <c r="BN274" i="54"/>
  <c r="BM274" i="54"/>
  <c r="BL274" i="54"/>
  <c r="BK274" i="54"/>
  <c r="BJ274" i="54"/>
  <c r="BI274" i="54"/>
  <c r="BH274" i="54"/>
  <c r="BG274" i="54"/>
  <c r="BF274" i="54"/>
  <c r="BE274" i="54"/>
  <c r="BD274" i="54"/>
  <c r="BC274" i="54"/>
  <c r="BB274" i="54"/>
  <c r="BA274" i="54"/>
  <c r="AZ274" i="54"/>
  <c r="AY274" i="54"/>
  <c r="AX274" i="54"/>
  <c r="AW274" i="54"/>
  <c r="S274" i="54"/>
  <c r="Q274" i="54"/>
  <c r="L274" i="54"/>
  <c r="AJ269" i="54"/>
  <c r="AI269" i="54"/>
  <c r="AG269" i="54"/>
  <c r="AF269" i="54"/>
  <c r="AD269" i="54"/>
  <c r="AC269" i="54"/>
  <c r="AA269" i="54"/>
  <c r="Z269" i="54"/>
  <c r="O269" i="54"/>
  <c r="AJ268" i="54"/>
  <c r="AI268" i="54"/>
  <c r="AG268" i="54"/>
  <c r="AF268" i="54"/>
  <c r="AD268" i="54"/>
  <c r="AC268" i="54"/>
  <c r="AA268" i="54"/>
  <c r="Z268" i="54"/>
  <c r="L268" i="54"/>
  <c r="AJ262" i="54"/>
  <c r="AI262" i="54"/>
  <c r="AG262" i="54"/>
  <c r="AF262" i="54"/>
  <c r="AD262" i="54"/>
  <c r="AC262" i="54"/>
  <c r="AA262" i="54"/>
  <c r="Z262" i="54"/>
  <c r="O262" i="54"/>
  <c r="AI261" i="54"/>
  <c r="AJ261" i="54"/>
  <c r="AG261" i="54"/>
  <c r="AF261" i="54"/>
  <c r="AD261" i="54"/>
  <c r="AC261" i="54"/>
  <c r="AA261" i="54"/>
  <c r="Z261" i="54"/>
  <c r="O261" i="54"/>
  <c r="BO260" i="54"/>
  <c r="AI260" i="54" s="1"/>
  <c r="BA260" i="54"/>
  <c r="Z260" i="54" s="1"/>
  <c r="AJ260" i="54"/>
  <c r="AG260" i="54"/>
  <c r="AF260" i="54"/>
  <c r="AD260" i="54"/>
  <c r="AC260" i="54"/>
  <c r="AA260" i="54"/>
  <c r="O260" i="54"/>
  <c r="BO259" i="54"/>
  <c r="AI259" i="54" s="1"/>
  <c r="BA259" i="54"/>
  <c r="Z259" i="54" s="1"/>
  <c r="AJ259" i="54"/>
  <c r="AG259" i="54"/>
  <c r="AF259" i="54"/>
  <c r="AD259" i="54"/>
  <c r="AC259" i="54"/>
  <c r="AA259" i="54"/>
  <c r="O259" i="54"/>
  <c r="BA258" i="54"/>
  <c r="Z258" i="54" s="1"/>
  <c r="AJ258" i="54"/>
  <c r="AI258" i="54"/>
  <c r="AG258" i="54"/>
  <c r="AF258" i="54"/>
  <c r="AD258" i="54"/>
  <c r="AC258" i="54"/>
  <c r="AA258" i="54"/>
  <c r="O258" i="54"/>
  <c r="BT257" i="54"/>
  <c r="BS257" i="54"/>
  <c r="BR257" i="54"/>
  <c r="BP257" i="54"/>
  <c r="BN257" i="54"/>
  <c r="BM257" i="54"/>
  <c r="BL257" i="54"/>
  <c r="BK257" i="54"/>
  <c r="BJ257" i="54"/>
  <c r="BI257" i="54"/>
  <c r="BH257" i="54"/>
  <c r="BG257" i="54"/>
  <c r="BF257" i="54"/>
  <c r="BE257" i="54"/>
  <c r="BD257" i="54"/>
  <c r="BC257" i="54"/>
  <c r="BB257" i="54"/>
  <c r="AZ257" i="54"/>
  <c r="AY257" i="54"/>
  <c r="AX257" i="54"/>
  <c r="AW257" i="54"/>
  <c r="S257" i="54"/>
  <c r="Q257" i="54"/>
  <c r="L257" i="54"/>
  <c r="AJ256" i="54"/>
  <c r="AI256" i="54"/>
  <c r="AG256" i="54"/>
  <c r="AF256" i="54"/>
  <c r="AD256" i="54"/>
  <c r="AC256" i="54"/>
  <c r="AA256" i="54"/>
  <c r="Z256" i="54"/>
  <c r="O256" i="54"/>
  <c r="AJ254" i="54"/>
  <c r="AI254" i="54"/>
  <c r="AG254" i="54"/>
  <c r="AF254" i="54"/>
  <c r="AD254" i="54"/>
  <c r="AC254" i="54"/>
  <c r="AA254" i="54"/>
  <c r="Z254" i="54"/>
  <c r="O254" i="54"/>
  <c r="BT253" i="54"/>
  <c r="BS253" i="54"/>
  <c r="BR253" i="54"/>
  <c r="BQ253" i="54"/>
  <c r="BP253" i="54"/>
  <c r="BO253" i="54"/>
  <c r="BN253" i="54"/>
  <c r="BM253" i="54"/>
  <c r="BL253" i="54"/>
  <c r="BK253" i="54"/>
  <c r="BJ253" i="54"/>
  <c r="BI253" i="54"/>
  <c r="BH253" i="54"/>
  <c r="BG253" i="54"/>
  <c r="BF253" i="54"/>
  <c r="BE253" i="54"/>
  <c r="BD253" i="54"/>
  <c r="BC253" i="54"/>
  <c r="BB253" i="54"/>
  <c r="BA253" i="54"/>
  <c r="AZ253" i="54"/>
  <c r="AY253" i="54"/>
  <c r="AX253" i="54"/>
  <c r="AW253" i="54"/>
  <c r="S253" i="54"/>
  <c r="Q253" i="54"/>
  <c r="N253" i="54"/>
  <c r="L253" i="54"/>
  <c r="AJ249" i="54"/>
  <c r="AI249" i="54"/>
  <c r="AG249" i="54"/>
  <c r="AF249" i="54"/>
  <c r="AD249" i="54"/>
  <c r="AC249" i="54"/>
  <c r="AA249" i="54"/>
  <c r="Z249" i="54"/>
  <c r="O249" i="54"/>
  <c r="AJ245" i="54"/>
  <c r="AI245" i="54"/>
  <c r="AG245" i="54"/>
  <c r="AF245" i="54"/>
  <c r="AD245" i="54"/>
  <c r="AC245" i="54"/>
  <c r="AA245" i="54"/>
  <c r="Z245" i="54"/>
  <c r="O245" i="54"/>
  <c r="AJ244" i="54"/>
  <c r="AI244" i="54"/>
  <c r="AG244" i="54"/>
  <c r="AF244" i="54"/>
  <c r="AD244" i="54"/>
  <c r="AC244" i="54"/>
  <c r="AA244" i="54"/>
  <c r="Z244" i="54"/>
  <c r="O244" i="54"/>
  <c r="BT243" i="54"/>
  <c r="BS243" i="54"/>
  <c r="BR243" i="54"/>
  <c r="BQ243" i="54"/>
  <c r="BP243" i="54"/>
  <c r="BO243" i="54"/>
  <c r="BN243" i="54"/>
  <c r="BM243" i="54"/>
  <c r="BL243" i="54"/>
  <c r="BK243" i="54"/>
  <c r="BJ243" i="54"/>
  <c r="BI243" i="54"/>
  <c r="BH243" i="54"/>
  <c r="BG243" i="54"/>
  <c r="BF243" i="54"/>
  <c r="BE243" i="54"/>
  <c r="BD243" i="54"/>
  <c r="BC243" i="54"/>
  <c r="BB243" i="54"/>
  <c r="BA243" i="54"/>
  <c r="AZ243" i="54"/>
  <c r="AY243" i="54"/>
  <c r="AX243" i="54"/>
  <c r="AW243" i="54"/>
  <c r="S243" i="54"/>
  <c r="Q243" i="54"/>
  <c r="N243" i="54"/>
  <c r="L243" i="54"/>
  <c r="BT242" i="54"/>
  <c r="BS242" i="54"/>
  <c r="BR242" i="54"/>
  <c r="BQ242" i="54"/>
  <c r="BP242" i="54"/>
  <c r="BO242" i="54"/>
  <c r="BN242" i="54"/>
  <c r="BM242" i="54"/>
  <c r="BL242" i="54"/>
  <c r="BK242" i="54"/>
  <c r="BJ242" i="54"/>
  <c r="BI242" i="54"/>
  <c r="BH242" i="54"/>
  <c r="BG242" i="54"/>
  <c r="BF242" i="54"/>
  <c r="BE242" i="54"/>
  <c r="BD242" i="54"/>
  <c r="BC242" i="54"/>
  <c r="BB242" i="54"/>
  <c r="BA242" i="54"/>
  <c r="AZ242" i="54"/>
  <c r="AY242" i="54"/>
  <c r="AX242" i="54"/>
  <c r="AW242" i="54"/>
  <c r="O242" i="54"/>
  <c r="AJ238" i="54"/>
  <c r="AI238" i="54"/>
  <c r="AG238" i="54"/>
  <c r="AF238" i="54"/>
  <c r="AD238" i="54"/>
  <c r="AC238" i="54"/>
  <c r="AA238" i="54"/>
  <c r="Z238" i="54"/>
  <c r="O238" i="54"/>
  <c r="AJ237" i="54"/>
  <c r="AI237" i="54"/>
  <c r="AG237" i="54"/>
  <c r="AF237" i="54"/>
  <c r="AD237" i="54"/>
  <c r="AC237" i="54"/>
  <c r="AA237" i="54"/>
  <c r="Z237" i="54"/>
  <c r="O237" i="54"/>
  <c r="AJ236" i="54"/>
  <c r="AI236" i="54"/>
  <c r="AG236" i="54"/>
  <c r="AF236" i="54"/>
  <c r="AD236" i="54"/>
  <c r="AC236" i="54"/>
  <c r="AA236" i="54"/>
  <c r="Z236" i="54"/>
  <c r="O236" i="54"/>
  <c r="AJ232" i="54"/>
  <c r="AI232" i="54"/>
  <c r="AG232" i="54"/>
  <c r="AF232" i="54"/>
  <c r="AD232" i="54"/>
  <c r="AC232" i="54"/>
  <c r="AA232" i="54"/>
  <c r="Z232" i="54"/>
  <c r="O232" i="54"/>
  <c r="AJ231" i="54"/>
  <c r="AI231" i="54"/>
  <c r="AG231" i="54"/>
  <c r="AF231" i="54"/>
  <c r="AD231" i="54"/>
  <c r="AC231" i="54"/>
  <c r="AA231" i="54"/>
  <c r="Z231" i="54"/>
  <c r="O231" i="54"/>
  <c r="AJ230" i="54"/>
  <c r="AI230" i="54"/>
  <c r="AG230" i="54"/>
  <c r="AF230" i="54"/>
  <c r="AD230" i="54"/>
  <c r="AC230" i="54"/>
  <c r="AA230" i="54"/>
  <c r="Z230" i="54"/>
  <c r="O230" i="54"/>
  <c r="AJ229" i="54"/>
  <c r="AI229" i="54"/>
  <c r="AG229" i="54"/>
  <c r="AF229" i="54"/>
  <c r="AD229" i="54"/>
  <c r="AC229" i="54"/>
  <c r="AA229" i="54"/>
  <c r="Z229" i="54"/>
  <c r="L229" i="54"/>
  <c r="AJ228" i="54"/>
  <c r="AI228" i="54"/>
  <c r="AG228" i="54"/>
  <c r="AF228" i="54"/>
  <c r="AD228" i="54"/>
  <c r="AC228" i="54"/>
  <c r="AA228" i="54"/>
  <c r="Z228" i="54"/>
  <c r="O228" i="54"/>
  <c r="BS227" i="54"/>
  <c r="AI227" i="54" s="1"/>
  <c r="AJ227" i="54"/>
  <c r="AG227" i="54"/>
  <c r="AF227" i="54"/>
  <c r="AD227" i="54"/>
  <c r="AC227" i="54"/>
  <c r="AA227" i="54"/>
  <c r="Z227" i="54"/>
  <c r="O227" i="54"/>
  <c r="AJ226" i="54"/>
  <c r="AI226" i="54"/>
  <c r="AG226" i="54"/>
  <c r="AF226" i="54"/>
  <c r="AD226" i="54"/>
  <c r="AC226" i="54"/>
  <c r="AA226" i="54"/>
  <c r="Z226" i="54"/>
  <c r="O226" i="54"/>
  <c r="AI225" i="54"/>
  <c r="AF225" i="54"/>
  <c r="AJ225" i="54"/>
  <c r="AG225" i="54"/>
  <c r="AD225" i="54"/>
  <c r="AC225" i="54"/>
  <c r="AA225" i="54"/>
  <c r="Z225" i="54"/>
  <c r="S225" i="54"/>
  <c r="Q225" i="54"/>
  <c r="AJ224" i="54"/>
  <c r="AI224" i="54"/>
  <c r="AG224" i="54"/>
  <c r="AF224" i="54"/>
  <c r="AD224" i="54"/>
  <c r="AC224" i="54"/>
  <c r="AA224" i="54"/>
  <c r="Z224" i="54"/>
  <c r="O224" i="54"/>
  <c r="AJ223" i="54"/>
  <c r="AI223" i="54"/>
  <c r="AG223" i="54"/>
  <c r="AF223" i="54"/>
  <c r="AD223" i="54"/>
  <c r="AC223" i="54"/>
  <c r="AA223" i="54"/>
  <c r="Z223" i="54"/>
  <c r="O223" i="54"/>
  <c r="AJ221" i="54"/>
  <c r="AI221" i="54"/>
  <c r="AG221" i="54"/>
  <c r="AF221" i="54"/>
  <c r="AD221" i="54"/>
  <c r="AC221" i="54"/>
  <c r="AA221" i="54"/>
  <c r="Z221" i="54"/>
  <c r="O221" i="54"/>
  <c r="AI220" i="54"/>
  <c r="AJ220" i="54"/>
  <c r="AG220" i="54"/>
  <c r="AF220" i="54"/>
  <c r="AD220" i="54"/>
  <c r="AC220" i="54"/>
  <c r="AA220" i="54"/>
  <c r="Z220" i="54"/>
  <c r="S220" i="54"/>
  <c r="Q220" i="54"/>
  <c r="O220" i="54"/>
  <c r="AJ219" i="54"/>
  <c r="AI219" i="54"/>
  <c r="AG219" i="54"/>
  <c r="AF219" i="54"/>
  <c r="AD219" i="54"/>
  <c r="AC219" i="54"/>
  <c r="AA219" i="54"/>
  <c r="Z219" i="54"/>
  <c r="O219" i="54"/>
  <c r="AJ218" i="54"/>
  <c r="AI218" i="54"/>
  <c r="AG218" i="54"/>
  <c r="AF218" i="54"/>
  <c r="AD218" i="54"/>
  <c r="AC218" i="54"/>
  <c r="AA218" i="54"/>
  <c r="Z218" i="54"/>
  <c r="O218" i="54"/>
  <c r="BT217" i="54"/>
  <c r="BR217" i="54"/>
  <c r="BQ217" i="54"/>
  <c r="BP217" i="54"/>
  <c r="BO217" i="54"/>
  <c r="BN217" i="54"/>
  <c r="BM217" i="54"/>
  <c r="BL217" i="54"/>
  <c r="BK217" i="54"/>
  <c r="BJ217" i="54"/>
  <c r="BH217" i="54"/>
  <c r="BG217" i="54"/>
  <c r="BF217" i="54"/>
  <c r="BE217" i="54"/>
  <c r="BD217" i="54"/>
  <c r="BC217" i="54"/>
  <c r="BB217" i="54"/>
  <c r="BA217" i="54"/>
  <c r="AZ217" i="54"/>
  <c r="AY217" i="54"/>
  <c r="AX217" i="54"/>
  <c r="AW217" i="54"/>
  <c r="N217" i="54"/>
  <c r="M217" i="54"/>
  <c r="BM216" i="54"/>
  <c r="BM215" i="54" s="1"/>
  <c r="BK216" i="54"/>
  <c r="BK215" i="54" s="1"/>
  <c r="AJ216" i="54"/>
  <c r="AI216" i="54"/>
  <c r="AG216" i="54"/>
  <c r="AD216" i="54"/>
  <c r="AC216" i="54"/>
  <c r="AA216" i="54"/>
  <c r="Z216" i="54"/>
  <c r="S216" i="54"/>
  <c r="S215" i="54" s="1"/>
  <c r="Q216" i="54"/>
  <c r="Q215" i="54" s="1"/>
  <c r="L216" i="54"/>
  <c r="O216" i="54" s="1"/>
  <c r="BT215" i="54"/>
  <c r="BS215" i="54"/>
  <c r="BR215" i="54"/>
  <c r="BQ215" i="54"/>
  <c r="BP215" i="54"/>
  <c r="BO215" i="54"/>
  <c r="BN215" i="54"/>
  <c r="BL215" i="54"/>
  <c r="BJ215" i="54"/>
  <c r="BI215" i="54"/>
  <c r="BH215" i="54"/>
  <c r="BG215" i="54"/>
  <c r="BF215" i="54"/>
  <c r="BE215" i="54"/>
  <c r="BD215" i="54"/>
  <c r="BC215" i="54"/>
  <c r="BB215" i="54"/>
  <c r="BA215" i="54"/>
  <c r="AZ215" i="54"/>
  <c r="AY215" i="54"/>
  <c r="AX215" i="54"/>
  <c r="AW215" i="54"/>
  <c r="AJ212" i="54"/>
  <c r="AI212" i="54"/>
  <c r="AG212" i="54"/>
  <c r="AF212" i="54"/>
  <c r="AD212" i="54"/>
  <c r="AC212" i="54"/>
  <c r="AA212" i="54"/>
  <c r="Z212" i="54"/>
  <c r="O212" i="54"/>
  <c r="BS211" i="54"/>
  <c r="BR211" i="54"/>
  <c r="BQ211" i="54"/>
  <c r="BP211" i="54"/>
  <c r="BO211" i="54"/>
  <c r="BN211" i="54"/>
  <c r="BM211" i="54"/>
  <c r="BL211" i="54"/>
  <c r="BK211" i="54"/>
  <c r="BJ211" i="54"/>
  <c r="BI211" i="54"/>
  <c r="BH211" i="54"/>
  <c r="BG211" i="54"/>
  <c r="BF211" i="54"/>
  <c r="BE211" i="54"/>
  <c r="BD211" i="54"/>
  <c r="BC211" i="54"/>
  <c r="BB211" i="54"/>
  <c r="BA211" i="54"/>
  <c r="AZ211" i="54"/>
  <c r="AY211" i="54"/>
  <c r="AX211" i="54"/>
  <c r="AW211" i="54"/>
  <c r="X211" i="54"/>
  <c r="S211" i="54"/>
  <c r="R211" i="54"/>
  <c r="Q211" i="54"/>
  <c r="L211" i="54"/>
  <c r="O211" i="54" s="1"/>
  <c r="AJ210" i="54"/>
  <c r="AI210" i="54"/>
  <c r="AG210" i="54"/>
  <c r="AF210" i="54"/>
  <c r="AD210" i="54"/>
  <c r="AC210" i="54"/>
  <c r="AA210" i="54"/>
  <c r="Z210" i="54"/>
  <c r="O210" i="54"/>
  <c r="AJ208" i="54"/>
  <c r="AI208" i="54"/>
  <c r="AG208" i="54"/>
  <c r="AF208" i="54"/>
  <c r="AD208" i="54"/>
  <c r="AC208" i="54"/>
  <c r="AA208" i="54"/>
  <c r="Z208" i="54"/>
  <c r="O208" i="54"/>
  <c r="AJ235" i="54"/>
  <c r="AI235" i="54"/>
  <c r="AG235" i="54"/>
  <c r="AF235" i="54"/>
  <c r="AD235" i="54"/>
  <c r="AC235" i="54"/>
  <c r="AA235" i="54"/>
  <c r="Z235" i="54"/>
  <c r="O235" i="54"/>
  <c r="BO206" i="54"/>
  <c r="BO205" i="54" s="1"/>
  <c r="BI206" i="54"/>
  <c r="AF206" i="54" s="1"/>
  <c r="AJ206" i="54"/>
  <c r="AG206" i="54"/>
  <c r="AD206" i="54"/>
  <c r="AC206" i="54"/>
  <c r="AA206" i="54"/>
  <c r="Z206" i="54"/>
  <c r="O206" i="54"/>
  <c r="BS205" i="54"/>
  <c r="BR205" i="54"/>
  <c r="BQ205" i="54"/>
  <c r="BP205" i="54"/>
  <c r="BN205" i="54"/>
  <c r="BM205" i="54"/>
  <c r="BL205" i="54"/>
  <c r="BK205" i="54"/>
  <c r="BJ205" i="54"/>
  <c r="BH205" i="54"/>
  <c r="BG205" i="54"/>
  <c r="BF205" i="54"/>
  <c r="BE205" i="54"/>
  <c r="BD205" i="54"/>
  <c r="BC205" i="54"/>
  <c r="BB205" i="54"/>
  <c r="BA205" i="54"/>
  <c r="AZ205" i="54"/>
  <c r="AY205" i="54"/>
  <c r="AX205" i="54"/>
  <c r="AW205" i="54"/>
  <c r="S205" i="54"/>
  <c r="R205" i="54"/>
  <c r="Q205" i="54"/>
  <c r="N205" i="54"/>
  <c r="M205" i="54"/>
  <c r="L205" i="54"/>
  <c r="V55" i="54" s="1"/>
  <c r="AJ204" i="54"/>
  <c r="AI204" i="54"/>
  <c r="AG204" i="54"/>
  <c r="AF204" i="54"/>
  <c r="AD204" i="54"/>
  <c r="AC204" i="54"/>
  <c r="AA204" i="54"/>
  <c r="Z204" i="54"/>
  <c r="O204" i="54"/>
  <c r="BT203" i="54"/>
  <c r="BS203" i="54"/>
  <c r="BR203" i="54"/>
  <c r="BQ203" i="54"/>
  <c r="BP203" i="54"/>
  <c r="BO203" i="54"/>
  <c r="BN203" i="54"/>
  <c r="BM203" i="54"/>
  <c r="BL203" i="54"/>
  <c r="BK203" i="54"/>
  <c r="BJ203" i="54"/>
  <c r="BI203" i="54"/>
  <c r="BH203" i="54"/>
  <c r="BG203" i="54"/>
  <c r="BF203" i="54"/>
  <c r="BE203" i="54"/>
  <c r="BD203" i="54"/>
  <c r="BC203" i="54"/>
  <c r="BB203" i="54"/>
  <c r="BA203" i="54"/>
  <c r="AZ203" i="54"/>
  <c r="AY203" i="54"/>
  <c r="AX203" i="54"/>
  <c r="AW203" i="54"/>
  <c r="S203" i="54"/>
  <c r="Q203" i="54"/>
  <c r="L203" i="54"/>
  <c r="O203" i="54" s="1"/>
  <c r="AJ202" i="54"/>
  <c r="AI202" i="54"/>
  <c r="AG202" i="54"/>
  <c r="AF202" i="54"/>
  <c r="AD202" i="54"/>
  <c r="AC202" i="54"/>
  <c r="AA202" i="54"/>
  <c r="Z202" i="54"/>
  <c r="O202" i="54"/>
  <c r="AJ201" i="54"/>
  <c r="AI201" i="54"/>
  <c r="AG201" i="54"/>
  <c r="AF201" i="54"/>
  <c r="AD201" i="54"/>
  <c r="AC201" i="54"/>
  <c r="AA201" i="54"/>
  <c r="Z201" i="54"/>
  <c r="O201" i="54"/>
  <c r="BT200" i="54"/>
  <c r="BS200" i="54"/>
  <c r="BR200" i="54"/>
  <c r="BQ200" i="54"/>
  <c r="BP200" i="54"/>
  <c r="BO200" i="54"/>
  <c r="BN200" i="54"/>
  <c r="BM200" i="54"/>
  <c r="BL200" i="54"/>
  <c r="BK200" i="54"/>
  <c r="BJ200" i="54"/>
  <c r="BI200" i="54"/>
  <c r="BH200" i="54"/>
  <c r="BG200" i="54"/>
  <c r="BF200" i="54"/>
  <c r="BE200" i="54"/>
  <c r="BD200" i="54"/>
  <c r="BC200" i="54"/>
  <c r="BB200" i="54"/>
  <c r="BA200" i="54"/>
  <c r="AZ200" i="54"/>
  <c r="AY200" i="54"/>
  <c r="AX200" i="54"/>
  <c r="AW200" i="54"/>
  <c r="S200" i="54"/>
  <c r="Q200" i="54"/>
  <c r="L200" i="54"/>
  <c r="O200" i="54" s="1"/>
  <c r="AJ199" i="54"/>
  <c r="AI199" i="54"/>
  <c r="AG199" i="54"/>
  <c r="AF199" i="54"/>
  <c r="AD199" i="54"/>
  <c r="AC199" i="54"/>
  <c r="AA199" i="54"/>
  <c r="Z199" i="54"/>
  <c r="L199" i="54"/>
  <c r="O199" i="54" s="1"/>
  <c r="BS198" i="54"/>
  <c r="AI198" i="54" s="1"/>
  <c r="AJ198" i="54"/>
  <c r="AG198" i="54"/>
  <c r="AF198" i="54"/>
  <c r="AD198" i="54"/>
  <c r="AC198" i="54"/>
  <c r="AA198" i="54"/>
  <c r="Z198" i="54"/>
  <c r="L198" i="54"/>
  <c r="BT197" i="54"/>
  <c r="BR197" i="54"/>
  <c r="BQ197" i="54"/>
  <c r="BP197" i="54"/>
  <c r="BO197" i="54"/>
  <c r="BN197" i="54"/>
  <c r="BM197" i="54"/>
  <c r="BL197" i="54"/>
  <c r="BK197" i="54"/>
  <c r="BJ197" i="54"/>
  <c r="BI197" i="54"/>
  <c r="BH197" i="54"/>
  <c r="BG197" i="54"/>
  <c r="BF197" i="54"/>
  <c r="BE197" i="54"/>
  <c r="BD197" i="54"/>
  <c r="BC197" i="54"/>
  <c r="BB197" i="54"/>
  <c r="BA197" i="54"/>
  <c r="AZ197" i="54"/>
  <c r="AY197" i="54"/>
  <c r="AX197" i="54"/>
  <c r="AW197" i="54"/>
  <c r="S197" i="54"/>
  <c r="Q197" i="54"/>
  <c r="M197" i="54"/>
  <c r="BS196" i="54"/>
  <c r="AI196" i="54" s="1"/>
  <c r="AJ196" i="54"/>
  <c r="AG196" i="54"/>
  <c r="AF196" i="54"/>
  <c r="AD196" i="54"/>
  <c r="AC196" i="54"/>
  <c r="AA196" i="54"/>
  <c r="Z196" i="54"/>
  <c r="O196" i="54"/>
  <c r="AJ195" i="54"/>
  <c r="AI195" i="54"/>
  <c r="AG195" i="54"/>
  <c r="AF195" i="54"/>
  <c r="AD195" i="54"/>
  <c r="AC195" i="54"/>
  <c r="AA195" i="54"/>
  <c r="Z195" i="54"/>
  <c r="O195" i="54"/>
  <c r="AJ194" i="54"/>
  <c r="AI194" i="54"/>
  <c r="AG194" i="54"/>
  <c r="AF194" i="54"/>
  <c r="AD194" i="54"/>
  <c r="AC194" i="54"/>
  <c r="AA194" i="54"/>
  <c r="Z194" i="54"/>
  <c r="O194" i="54"/>
  <c r="AI193" i="54"/>
  <c r="AJ193" i="54"/>
  <c r="AG193" i="54"/>
  <c r="AF193" i="54"/>
  <c r="AD193" i="54"/>
  <c r="AC193" i="54"/>
  <c r="AA193" i="54"/>
  <c r="Z193" i="54"/>
  <c r="O193" i="54"/>
  <c r="BT192" i="54"/>
  <c r="BR192" i="54"/>
  <c r="BQ192" i="54"/>
  <c r="BP192" i="54"/>
  <c r="BO192" i="54"/>
  <c r="BN192" i="54"/>
  <c r="BM192" i="54"/>
  <c r="BL192" i="54"/>
  <c r="BK192" i="54"/>
  <c r="BJ192" i="54"/>
  <c r="BI192" i="54"/>
  <c r="BH192" i="54"/>
  <c r="BG192" i="54"/>
  <c r="BF192" i="54"/>
  <c r="BE192" i="54"/>
  <c r="BD192" i="54"/>
  <c r="BC192" i="54"/>
  <c r="BB192" i="54"/>
  <c r="BA192" i="54"/>
  <c r="AZ192" i="54"/>
  <c r="AY192" i="54"/>
  <c r="AX192" i="54"/>
  <c r="AW192" i="54"/>
  <c r="S192" i="54"/>
  <c r="Q192" i="54"/>
  <c r="L192" i="54"/>
  <c r="AJ191" i="54"/>
  <c r="AI191" i="54"/>
  <c r="AG191" i="54"/>
  <c r="AF191" i="54"/>
  <c r="AD191" i="54"/>
  <c r="AC191" i="54"/>
  <c r="AA191" i="54"/>
  <c r="Z191" i="54"/>
  <c r="O191" i="54"/>
  <c r="BS190" i="54"/>
  <c r="AI190" i="54" s="1"/>
  <c r="AJ190" i="54"/>
  <c r="AG190" i="54"/>
  <c r="AF190" i="54"/>
  <c r="AD190" i="54"/>
  <c r="AC190" i="54"/>
  <c r="AA190" i="54"/>
  <c r="Z190" i="54"/>
  <c r="L190" i="54"/>
  <c r="O190" i="54" s="1"/>
  <c r="AJ189" i="54"/>
  <c r="AI189" i="54"/>
  <c r="AG189" i="54"/>
  <c r="AF189" i="54"/>
  <c r="AD189" i="54"/>
  <c r="AC189" i="54"/>
  <c r="AA189" i="54"/>
  <c r="Z189" i="54"/>
  <c r="O189" i="54"/>
  <c r="AJ188" i="54"/>
  <c r="AI188" i="54"/>
  <c r="AG188" i="54"/>
  <c r="AF188" i="54"/>
  <c r="AD188" i="54"/>
  <c r="AC188" i="54"/>
  <c r="AA188" i="54"/>
  <c r="Z188" i="54"/>
  <c r="L188" i="54"/>
  <c r="O188" i="54" s="1"/>
  <c r="AJ185" i="54"/>
  <c r="AI185" i="54"/>
  <c r="AG185" i="54"/>
  <c r="AF185" i="54"/>
  <c r="AD185" i="54"/>
  <c r="AC185" i="54"/>
  <c r="AA185" i="54"/>
  <c r="Z185" i="54"/>
  <c r="L185" i="54"/>
  <c r="L184" i="54" s="1"/>
  <c r="BT184" i="54"/>
  <c r="BS184" i="54"/>
  <c r="BR184" i="54"/>
  <c r="BQ184" i="54"/>
  <c r="BP184" i="54"/>
  <c r="BO184" i="54"/>
  <c r="BN184" i="54"/>
  <c r="BM184" i="54"/>
  <c r="BL184" i="54"/>
  <c r="BK184" i="54"/>
  <c r="BJ184" i="54"/>
  <c r="BI184" i="54"/>
  <c r="BH184" i="54"/>
  <c r="BG184" i="54"/>
  <c r="BF184" i="54"/>
  <c r="BE184" i="54"/>
  <c r="BD184" i="54"/>
  <c r="BC184" i="54"/>
  <c r="BB184" i="54"/>
  <c r="BA184" i="54"/>
  <c r="AZ184" i="54"/>
  <c r="AY184" i="54"/>
  <c r="AX184" i="54"/>
  <c r="AW184" i="54"/>
  <c r="S184" i="54"/>
  <c r="Q184" i="54"/>
  <c r="AJ183" i="54"/>
  <c r="AI183" i="54"/>
  <c r="AG183" i="54"/>
  <c r="AF183" i="54"/>
  <c r="AD183" i="54"/>
  <c r="AC183" i="54"/>
  <c r="AA183" i="54"/>
  <c r="Z183" i="54"/>
  <c r="L183" i="54"/>
  <c r="AT182" i="54"/>
  <c r="AS182" i="54"/>
  <c r="AR182" i="54"/>
  <c r="AJ179" i="54"/>
  <c r="AI179" i="54"/>
  <c r="AG179" i="54"/>
  <c r="AF179" i="54"/>
  <c r="AD179" i="54"/>
  <c r="AC179" i="54"/>
  <c r="AA179" i="54"/>
  <c r="Z179" i="54"/>
  <c r="T177" i="54"/>
  <c r="S177" i="54"/>
  <c r="R177" i="54"/>
  <c r="Q177" i="54"/>
  <c r="P177" i="54"/>
  <c r="N177" i="54"/>
  <c r="M177" i="54"/>
  <c r="L177" i="54"/>
  <c r="AJ176" i="54"/>
  <c r="AI176" i="54"/>
  <c r="AG176" i="54"/>
  <c r="AF176" i="54"/>
  <c r="AD176" i="54"/>
  <c r="AC176" i="54"/>
  <c r="AA176" i="54"/>
  <c r="Z176" i="54"/>
  <c r="O176" i="54"/>
  <c r="BT175" i="54"/>
  <c r="BS175" i="54"/>
  <c r="BR175" i="54"/>
  <c r="BQ175" i="54"/>
  <c r="BP175" i="54"/>
  <c r="BO175" i="54"/>
  <c r="BN175" i="54"/>
  <c r="BM175" i="54"/>
  <c r="BL175" i="54"/>
  <c r="BK175" i="54"/>
  <c r="BJ175" i="54"/>
  <c r="BI175" i="54"/>
  <c r="BH175" i="54"/>
  <c r="BG175" i="54"/>
  <c r="BF175" i="54"/>
  <c r="BE175" i="54"/>
  <c r="BD175" i="54"/>
  <c r="BC175" i="54"/>
  <c r="BB175" i="54"/>
  <c r="BA175" i="54"/>
  <c r="AZ175" i="54"/>
  <c r="AY175" i="54"/>
  <c r="AX175" i="54"/>
  <c r="AW175" i="54"/>
  <c r="O175" i="54"/>
  <c r="O177" i="54" s="1"/>
  <c r="AV174" i="54"/>
  <c r="X172" i="54"/>
  <c r="AJ171" i="54"/>
  <c r="AI171" i="54"/>
  <c r="AG171" i="54"/>
  <c r="AF171" i="54"/>
  <c r="AD171" i="54"/>
  <c r="AC171" i="54"/>
  <c r="AA171" i="54"/>
  <c r="Z171" i="54"/>
  <c r="AK170" i="54"/>
  <c r="AJ170" i="54"/>
  <c r="AI170" i="54"/>
  <c r="AI174" i="54" s="1"/>
  <c r="AH170" i="54"/>
  <c r="AG170" i="54"/>
  <c r="AF170" i="54"/>
  <c r="AF174" i="54" s="1"/>
  <c r="AE170" i="54"/>
  <c r="AD170" i="54"/>
  <c r="AC170" i="54"/>
  <c r="AB170" i="54"/>
  <c r="AA170" i="54"/>
  <c r="Z170" i="54"/>
  <c r="Z174" i="54" s="1"/>
  <c r="AJ169" i="54"/>
  <c r="AI169" i="54"/>
  <c r="AG169" i="54"/>
  <c r="AF169" i="54"/>
  <c r="AD169" i="54"/>
  <c r="AC169" i="54"/>
  <c r="AA169" i="54"/>
  <c r="Z169" i="54"/>
  <c r="O169" i="54"/>
  <c r="BT168" i="54"/>
  <c r="BS168" i="54"/>
  <c r="BR168" i="54"/>
  <c r="BQ168" i="54"/>
  <c r="BP168" i="54"/>
  <c r="BO168" i="54"/>
  <c r="BN168" i="54"/>
  <c r="BM168" i="54"/>
  <c r="BL168" i="54"/>
  <c r="BK168" i="54"/>
  <c r="BJ168" i="54"/>
  <c r="BI168" i="54"/>
  <c r="BH168" i="54"/>
  <c r="BG168" i="54"/>
  <c r="BF168" i="54"/>
  <c r="BE168" i="54"/>
  <c r="BD168" i="54"/>
  <c r="BC168" i="54"/>
  <c r="BB168" i="54"/>
  <c r="BA168" i="54"/>
  <c r="AZ168" i="54"/>
  <c r="AY168" i="54"/>
  <c r="AX168" i="54"/>
  <c r="AW168" i="54"/>
  <c r="L168" i="54"/>
  <c r="O168" i="54" s="1"/>
  <c r="AJ167" i="54"/>
  <c r="AI167" i="54"/>
  <c r="AG167" i="54"/>
  <c r="AF167" i="54"/>
  <c r="AD167" i="54"/>
  <c r="AC167" i="54"/>
  <c r="AA167" i="54"/>
  <c r="Z167" i="54"/>
  <c r="O167" i="54"/>
  <c r="BT166" i="54"/>
  <c r="BS166" i="54"/>
  <c r="BR166" i="54"/>
  <c r="BQ166" i="54"/>
  <c r="BP166" i="54"/>
  <c r="BO166" i="54"/>
  <c r="BN166" i="54"/>
  <c r="BM166" i="54"/>
  <c r="BL166" i="54"/>
  <c r="BK166" i="54"/>
  <c r="BJ166" i="54"/>
  <c r="BI166" i="54"/>
  <c r="BH166" i="54"/>
  <c r="BG166" i="54"/>
  <c r="BF166" i="54"/>
  <c r="BE166" i="54"/>
  <c r="BD166" i="54"/>
  <c r="BC166" i="54"/>
  <c r="BB166" i="54"/>
  <c r="BA166" i="54"/>
  <c r="AZ166" i="54"/>
  <c r="AY166" i="54"/>
  <c r="AX166" i="54"/>
  <c r="AW166" i="54"/>
  <c r="L166" i="54"/>
  <c r="AJ165" i="54"/>
  <c r="AI165" i="54"/>
  <c r="AG165" i="54"/>
  <c r="AF165" i="54"/>
  <c r="AD165" i="54"/>
  <c r="AC165" i="54"/>
  <c r="AA165" i="54"/>
  <c r="Z165" i="54"/>
  <c r="O165" i="54"/>
  <c r="BT164" i="54"/>
  <c r="BS164" i="54"/>
  <c r="BR164" i="54"/>
  <c r="BQ164" i="54"/>
  <c r="BP164" i="54"/>
  <c r="BO164" i="54"/>
  <c r="BN164" i="54"/>
  <c r="BM164" i="54"/>
  <c r="BL164" i="54"/>
  <c r="BK164" i="54"/>
  <c r="BJ164" i="54"/>
  <c r="BI164" i="54"/>
  <c r="BH164" i="54"/>
  <c r="BG164" i="54"/>
  <c r="BF164" i="54"/>
  <c r="BE164" i="54"/>
  <c r="BD164" i="54"/>
  <c r="BC164" i="54"/>
  <c r="BB164" i="54"/>
  <c r="BA164" i="54"/>
  <c r="AZ164" i="54"/>
  <c r="AY164" i="54"/>
  <c r="AX164" i="54"/>
  <c r="AW164" i="54"/>
  <c r="L164" i="54"/>
  <c r="O164" i="54" s="1"/>
  <c r="AJ163" i="54"/>
  <c r="AI163" i="54"/>
  <c r="AG163" i="54"/>
  <c r="AF163" i="54"/>
  <c r="AD163" i="54"/>
  <c r="AC163" i="54"/>
  <c r="AA163" i="54"/>
  <c r="Z163" i="54"/>
  <c r="P163" i="54"/>
  <c r="O163" i="54"/>
  <c r="AJ162" i="54"/>
  <c r="AI162" i="54"/>
  <c r="AG162" i="54"/>
  <c r="AF162" i="54"/>
  <c r="AD162" i="54"/>
  <c r="AC162" i="54"/>
  <c r="AA162" i="54"/>
  <c r="Z162" i="54"/>
  <c r="L162" i="54"/>
  <c r="O162" i="54" s="1"/>
  <c r="AJ161" i="54"/>
  <c r="AI161" i="54"/>
  <c r="AG161" i="54"/>
  <c r="AF161" i="54"/>
  <c r="AD161" i="54"/>
  <c r="AC161" i="54"/>
  <c r="AA161" i="54"/>
  <c r="Z161" i="54"/>
  <c r="O161" i="54"/>
  <c r="AJ160" i="54"/>
  <c r="AI160" i="54"/>
  <c r="AG160" i="54"/>
  <c r="AF160" i="54"/>
  <c r="AD160" i="54"/>
  <c r="AC160" i="54"/>
  <c r="AA160" i="54"/>
  <c r="Z160" i="54"/>
  <c r="O160" i="54"/>
  <c r="BT157" i="54"/>
  <c r="BS157" i="54"/>
  <c r="BR157" i="54"/>
  <c r="BQ157" i="54"/>
  <c r="BP157" i="54"/>
  <c r="BO157" i="54"/>
  <c r="BN157" i="54"/>
  <c r="BM157" i="54"/>
  <c r="BL157" i="54"/>
  <c r="BK157" i="54"/>
  <c r="BJ157" i="54"/>
  <c r="BI157" i="54"/>
  <c r="BH157" i="54"/>
  <c r="BG157" i="54"/>
  <c r="BF157" i="54"/>
  <c r="BE157" i="54"/>
  <c r="BD157" i="54"/>
  <c r="BC157" i="54"/>
  <c r="BB157" i="54"/>
  <c r="BA157" i="54"/>
  <c r="AZ157" i="54"/>
  <c r="AY157" i="54"/>
  <c r="AX157" i="54"/>
  <c r="S157" i="54"/>
  <c r="R157" i="54"/>
  <c r="Q157" i="54"/>
  <c r="AJ156" i="54"/>
  <c r="AI156" i="54"/>
  <c r="AG156" i="54"/>
  <c r="AF156" i="54"/>
  <c r="AD156" i="54"/>
  <c r="AC156" i="54"/>
  <c r="AA156" i="54"/>
  <c r="Z156" i="54"/>
  <c r="O156" i="54"/>
  <c r="AJ155" i="54"/>
  <c r="AI155" i="54"/>
  <c r="AG155" i="54"/>
  <c r="AF155" i="54"/>
  <c r="AD155" i="54"/>
  <c r="AC155" i="54"/>
  <c r="AA155" i="54"/>
  <c r="Z155" i="54"/>
  <c r="O155" i="54"/>
  <c r="BT154" i="54"/>
  <c r="BS154" i="54"/>
  <c r="BR154" i="54"/>
  <c r="BQ154" i="54"/>
  <c r="BP154" i="54"/>
  <c r="BO154" i="54"/>
  <c r="BN154" i="54"/>
  <c r="BM154" i="54"/>
  <c r="BL154" i="54"/>
  <c r="BK154" i="54"/>
  <c r="BJ154" i="54"/>
  <c r="BI154" i="54"/>
  <c r="BH154" i="54"/>
  <c r="BG154" i="54"/>
  <c r="BF154" i="54"/>
  <c r="BE154" i="54"/>
  <c r="BD154" i="54"/>
  <c r="BC154" i="54"/>
  <c r="BB154" i="54"/>
  <c r="BA154" i="54"/>
  <c r="AZ154" i="54"/>
  <c r="AY154" i="54"/>
  <c r="AX154" i="54"/>
  <c r="AW154" i="54"/>
  <c r="O154" i="54"/>
  <c r="AJ153" i="54"/>
  <c r="AI153" i="54"/>
  <c r="AG153" i="54"/>
  <c r="AF153" i="54"/>
  <c r="AD153" i="54"/>
  <c r="AC153" i="54"/>
  <c r="AA153" i="54"/>
  <c r="Z153" i="54"/>
  <c r="O153" i="54"/>
  <c r="AJ152" i="54"/>
  <c r="AI152" i="54"/>
  <c r="AG152" i="54"/>
  <c r="AF152" i="54"/>
  <c r="AD152" i="54"/>
  <c r="AC152" i="54"/>
  <c r="AA152" i="54"/>
  <c r="Z152" i="54"/>
  <c r="O152" i="54"/>
  <c r="BT151" i="54"/>
  <c r="BS151" i="54"/>
  <c r="BR151" i="54"/>
  <c r="BQ151" i="54"/>
  <c r="BP151" i="54"/>
  <c r="BO151" i="54"/>
  <c r="BN151" i="54"/>
  <c r="BM151" i="54"/>
  <c r="BL151" i="54"/>
  <c r="BK151" i="54"/>
  <c r="BJ151" i="54"/>
  <c r="BI151" i="54"/>
  <c r="BH151" i="54"/>
  <c r="BG151" i="54"/>
  <c r="BF151" i="54"/>
  <c r="BE151" i="54"/>
  <c r="BD151" i="54"/>
  <c r="BC151" i="54"/>
  <c r="BB151" i="54"/>
  <c r="BA151" i="54"/>
  <c r="AZ151" i="54"/>
  <c r="AY151" i="54"/>
  <c r="AX151" i="54"/>
  <c r="AW151" i="54"/>
  <c r="O151" i="54"/>
  <c r="AJ150" i="54"/>
  <c r="AI150" i="54"/>
  <c r="AG150" i="54"/>
  <c r="AF150" i="54"/>
  <c r="AD150" i="54"/>
  <c r="AC150" i="54"/>
  <c r="AA150" i="54"/>
  <c r="Z150" i="54"/>
  <c r="O150" i="54"/>
  <c r="AJ149" i="54"/>
  <c r="AI149" i="54"/>
  <c r="AG149" i="54"/>
  <c r="AF149" i="54"/>
  <c r="AD149" i="54"/>
  <c r="AC149" i="54"/>
  <c r="AA149" i="54"/>
  <c r="Z149" i="54"/>
  <c r="O149" i="54"/>
  <c r="BT148" i="54"/>
  <c r="BS148" i="54"/>
  <c r="BR148" i="54"/>
  <c r="BQ148" i="54"/>
  <c r="BP148" i="54"/>
  <c r="BO148" i="54"/>
  <c r="BN148" i="54"/>
  <c r="BM148" i="54"/>
  <c r="BL148" i="54"/>
  <c r="BK148" i="54"/>
  <c r="BJ148" i="54"/>
  <c r="BI148" i="54"/>
  <c r="BH148" i="54"/>
  <c r="BG148" i="54"/>
  <c r="BF148" i="54"/>
  <c r="BE148" i="54"/>
  <c r="BD148" i="54"/>
  <c r="BC148" i="54"/>
  <c r="BB148" i="54"/>
  <c r="BA148" i="54"/>
  <c r="AZ148" i="54"/>
  <c r="AY148" i="54"/>
  <c r="AX148" i="54"/>
  <c r="AW148" i="54"/>
  <c r="O148" i="54"/>
  <c r="AJ147" i="54"/>
  <c r="AI147" i="54"/>
  <c r="AG147" i="54"/>
  <c r="AF147" i="54"/>
  <c r="AD147" i="54"/>
  <c r="AC147" i="54"/>
  <c r="AA147" i="54"/>
  <c r="Z147" i="54"/>
  <c r="O147" i="54"/>
  <c r="AJ146" i="54"/>
  <c r="AI146" i="54"/>
  <c r="AG146" i="54"/>
  <c r="AF146" i="54"/>
  <c r="AD146" i="54"/>
  <c r="AC146" i="54"/>
  <c r="AA146" i="54"/>
  <c r="Z146" i="54"/>
  <c r="L146" i="54"/>
  <c r="O146" i="54" s="1"/>
  <c r="BT145" i="54"/>
  <c r="BS145" i="54"/>
  <c r="BR145" i="54"/>
  <c r="BQ145" i="54"/>
  <c r="BP145" i="54"/>
  <c r="BO145" i="54"/>
  <c r="BN145" i="54"/>
  <c r="BM145" i="54"/>
  <c r="BL145" i="54"/>
  <c r="BK145" i="54"/>
  <c r="BJ145" i="54"/>
  <c r="BI145" i="54"/>
  <c r="BH145" i="54"/>
  <c r="BG145" i="54"/>
  <c r="BF145" i="54"/>
  <c r="BE145" i="54"/>
  <c r="BD145" i="54"/>
  <c r="BC145" i="54"/>
  <c r="BB145" i="54"/>
  <c r="BA145" i="54"/>
  <c r="AZ145" i="54"/>
  <c r="AY145" i="54"/>
  <c r="AX145" i="54"/>
  <c r="AW145" i="54"/>
  <c r="O145" i="54"/>
  <c r="AJ144" i="54"/>
  <c r="AI144" i="54"/>
  <c r="AG144" i="54"/>
  <c r="AF144" i="54"/>
  <c r="AD144" i="54"/>
  <c r="AC144" i="54"/>
  <c r="AA144" i="54"/>
  <c r="Z144" i="54"/>
  <c r="O144" i="54"/>
  <c r="AJ132" i="54"/>
  <c r="AI132" i="54"/>
  <c r="AG132" i="54"/>
  <c r="AF132" i="54"/>
  <c r="AD132" i="54"/>
  <c r="AC132" i="54"/>
  <c r="AA132" i="54"/>
  <c r="Z132" i="54"/>
  <c r="O132" i="54"/>
  <c r="BT131" i="54"/>
  <c r="BS131" i="54"/>
  <c r="BR131" i="54"/>
  <c r="BQ131" i="54"/>
  <c r="BP131" i="54"/>
  <c r="BO131" i="54"/>
  <c r="BN131" i="54"/>
  <c r="BM131" i="54"/>
  <c r="BL131" i="54"/>
  <c r="BK131" i="54"/>
  <c r="BJ131" i="54"/>
  <c r="BI131" i="54"/>
  <c r="BH131" i="54"/>
  <c r="BG131" i="54"/>
  <c r="BF131" i="54"/>
  <c r="BE131" i="54"/>
  <c r="BD131" i="54"/>
  <c r="BC131" i="54"/>
  <c r="BB131" i="54"/>
  <c r="BA131" i="54"/>
  <c r="AZ131" i="54"/>
  <c r="AY131" i="54"/>
  <c r="AX131" i="54"/>
  <c r="AW131" i="54"/>
  <c r="S131" i="54"/>
  <c r="S116" i="54" s="1"/>
  <c r="Q131" i="54"/>
  <c r="Q116" i="54" s="1"/>
  <c r="O131" i="54"/>
  <c r="AJ130" i="54"/>
  <c r="AI130" i="54"/>
  <c r="AG130" i="54"/>
  <c r="AF130" i="54"/>
  <c r="AD130" i="54"/>
  <c r="AC130" i="54"/>
  <c r="AA130" i="54"/>
  <c r="Z130" i="54"/>
  <c r="O130" i="54"/>
  <c r="AJ127" i="54"/>
  <c r="AI127" i="54"/>
  <c r="AG127" i="54"/>
  <c r="AF127" i="54"/>
  <c r="AD127" i="54"/>
  <c r="AC127" i="54"/>
  <c r="AA127" i="54"/>
  <c r="Z127" i="54"/>
  <c r="O127" i="54"/>
  <c r="AJ126" i="54"/>
  <c r="AI126" i="54"/>
  <c r="AG126" i="54"/>
  <c r="AF126" i="54"/>
  <c r="AD126" i="54"/>
  <c r="AC126" i="54"/>
  <c r="AA126" i="54"/>
  <c r="Z126" i="54"/>
  <c r="O126" i="54"/>
  <c r="AJ125" i="54"/>
  <c r="AI125" i="54"/>
  <c r="AG125" i="54"/>
  <c r="AF125" i="54"/>
  <c r="AD125" i="54"/>
  <c r="AC125" i="54"/>
  <c r="AA125" i="54"/>
  <c r="Z125" i="54"/>
  <c r="O125" i="54"/>
  <c r="AJ124" i="54"/>
  <c r="AI124" i="54"/>
  <c r="AG124" i="54"/>
  <c r="AF124" i="54"/>
  <c r="AD124" i="54"/>
  <c r="AC124" i="54"/>
  <c r="AA124" i="54"/>
  <c r="Z124" i="54"/>
  <c r="O124" i="54"/>
  <c r="AJ123" i="54"/>
  <c r="AI123" i="54"/>
  <c r="AG123" i="54"/>
  <c r="AF123" i="54"/>
  <c r="AD123" i="54"/>
  <c r="AC123" i="54"/>
  <c r="AA123" i="54"/>
  <c r="Z123" i="54"/>
  <c r="O123" i="54"/>
  <c r="AJ122" i="54"/>
  <c r="AI122" i="54"/>
  <c r="AG122" i="54"/>
  <c r="AF122" i="54"/>
  <c r="AD122" i="54"/>
  <c r="AC122" i="54"/>
  <c r="AA122" i="54"/>
  <c r="Z122" i="54"/>
  <c r="L122" i="54"/>
  <c r="AJ121" i="54"/>
  <c r="AI121" i="54"/>
  <c r="AG121" i="54"/>
  <c r="AF121" i="54"/>
  <c r="AD121" i="54"/>
  <c r="AC121" i="54"/>
  <c r="AA121" i="54"/>
  <c r="Z121" i="54"/>
  <c r="O121" i="54"/>
  <c r="AJ120" i="54"/>
  <c r="AI120" i="54"/>
  <c r="AG120" i="54"/>
  <c r="AF120" i="54"/>
  <c r="AD120" i="54"/>
  <c r="AC120" i="54"/>
  <c r="AA120" i="54"/>
  <c r="Z120" i="54"/>
  <c r="O120" i="54"/>
  <c r="AJ119" i="54"/>
  <c r="AI119" i="54"/>
  <c r="AG119" i="54"/>
  <c r="AF119" i="54"/>
  <c r="AD119" i="54"/>
  <c r="AC119" i="54"/>
  <c r="AA119" i="54"/>
  <c r="Z119" i="54"/>
  <c r="O119" i="54"/>
  <c r="AC118" i="54"/>
  <c r="AJ118" i="54"/>
  <c r="AI118" i="54"/>
  <c r="AG118" i="54"/>
  <c r="AF118" i="54"/>
  <c r="AD118" i="54"/>
  <c r="AA118" i="54"/>
  <c r="Z118" i="54"/>
  <c r="BT117" i="54"/>
  <c r="BS117" i="54"/>
  <c r="BR117" i="54"/>
  <c r="BQ117" i="54"/>
  <c r="BP117" i="54"/>
  <c r="BO117" i="54"/>
  <c r="BN117" i="54"/>
  <c r="BM117" i="54"/>
  <c r="BL117" i="54"/>
  <c r="BK117" i="54"/>
  <c r="BJ117" i="54"/>
  <c r="BI117" i="54"/>
  <c r="BH117" i="54"/>
  <c r="BG117" i="54"/>
  <c r="BF117" i="54"/>
  <c r="BE117" i="54"/>
  <c r="BD117" i="54"/>
  <c r="BB117" i="54"/>
  <c r="BA117" i="54"/>
  <c r="AZ117" i="54"/>
  <c r="AY117" i="54"/>
  <c r="AX117" i="54"/>
  <c r="AW117" i="54"/>
  <c r="R116" i="54"/>
  <c r="R170" i="54" s="1"/>
  <c r="O116" i="54"/>
  <c r="AJ115" i="54"/>
  <c r="AI115" i="54"/>
  <c r="AG115" i="54"/>
  <c r="AF115" i="54"/>
  <c r="AD115" i="54"/>
  <c r="AC115" i="54"/>
  <c r="AA115" i="54"/>
  <c r="Z115" i="54"/>
  <c r="O115" i="54"/>
  <c r="AJ114" i="54"/>
  <c r="AI114" i="54"/>
  <c r="AG114" i="54"/>
  <c r="AF114" i="54"/>
  <c r="AD114" i="54"/>
  <c r="AC114" i="54"/>
  <c r="AA114" i="54"/>
  <c r="Z114" i="54"/>
  <c r="O114" i="54"/>
  <c r="AJ113" i="54"/>
  <c r="AI113" i="54"/>
  <c r="AG113" i="54"/>
  <c r="AF113" i="54"/>
  <c r="AD113" i="54"/>
  <c r="AC113" i="54"/>
  <c r="AA113" i="54"/>
  <c r="Z113" i="54"/>
  <c r="O113" i="54"/>
  <c r="AJ112" i="54"/>
  <c r="AI112" i="54"/>
  <c r="AG112" i="54"/>
  <c r="AF112" i="54"/>
  <c r="AD112" i="54"/>
  <c r="AC112" i="54"/>
  <c r="AA112" i="54"/>
  <c r="Z112" i="54"/>
  <c r="O112" i="54"/>
  <c r="BT111" i="54"/>
  <c r="BS111" i="54"/>
  <c r="BR111" i="54"/>
  <c r="BQ111" i="54"/>
  <c r="BP111" i="54"/>
  <c r="BO111" i="54"/>
  <c r="BN111" i="54"/>
  <c r="BM111" i="54"/>
  <c r="BL111" i="54"/>
  <c r="BK111" i="54"/>
  <c r="BJ111" i="54"/>
  <c r="BI111" i="54"/>
  <c r="BH111" i="54"/>
  <c r="BG111" i="54"/>
  <c r="BF111" i="54"/>
  <c r="BE111" i="54"/>
  <c r="BD111" i="54"/>
  <c r="BC111" i="54"/>
  <c r="BB111" i="54"/>
  <c r="BA111" i="54"/>
  <c r="AZ111" i="54"/>
  <c r="AY111" i="54"/>
  <c r="AX111" i="54"/>
  <c r="AW111" i="54"/>
  <c r="O111" i="54"/>
  <c r="AJ110" i="54"/>
  <c r="AI110" i="54"/>
  <c r="AG110" i="54"/>
  <c r="AF110" i="54"/>
  <c r="AD110" i="54"/>
  <c r="AC110" i="54"/>
  <c r="AA110" i="54"/>
  <c r="Z110" i="54"/>
  <c r="O110" i="54"/>
  <c r="AJ109" i="54"/>
  <c r="AI109" i="54"/>
  <c r="AG109" i="54"/>
  <c r="AF109" i="54"/>
  <c r="AD109" i="54"/>
  <c r="AC109" i="54"/>
  <c r="AA109" i="54"/>
  <c r="Z109" i="54"/>
  <c r="O109" i="54"/>
  <c r="AJ108" i="54"/>
  <c r="AI108" i="54"/>
  <c r="AG108" i="54"/>
  <c r="AF108" i="54"/>
  <c r="AD108" i="54"/>
  <c r="AC108" i="54"/>
  <c r="AA108" i="54"/>
  <c r="Z108" i="54"/>
  <c r="O108" i="54"/>
  <c r="BT107" i="54"/>
  <c r="BS107" i="54"/>
  <c r="BR107" i="54"/>
  <c r="BQ107" i="54"/>
  <c r="BP107" i="54"/>
  <c r="BO107" i="54"/>
  <c r="BN107" i="54"/>
  <c r="BM107" i="54"/>
  <c r="BL107" i="54"/>
  <c r="BK107" i="54"/>
  <c r="BJ107" i="54"/>
  <c r="BI107" i="54"/>
  <c r="BH107" i="54"/>
  <c r="BG107" i="54"/>
  <c r="BF107" i="54"/>
  <c r="BE107" i="54"/>
  <c r="BD107" i="54"/>
  <c r="BC107" i="54"/>
  <c r="BB107" i="54"/>
  <c r="BA107" i="54"/>
  <c r="AZ107" i="54"/>
  <c r="AY107" i="54"/>
  <c r="AX107" i="54"/>
  <c r="AW107" i="54"/>
  <c r="O107" i="54"/>
  <c r="AJ106" i="54"/>
  <c r="AI106" i="54"/>
  <c r="AG106" i="54"/>
  <c r="AF106" i="54"/>
  <c r="AD106" i="54"/>
  <c r="AC106" i="54"/>
  <c r="AA106" i="54"/>
  <c r="Z106" i="54"/>
  <c r="O106" i="54"/>
  <c r="AJ105" i="54"/>
  <c r="AI105" i="54"/>
  <c r="AG105" i="54"/>
  <c r="AF105" i="54"/>
  <c r="AD105" i="54"/>
  <c r="AC105" i="54"/>
  <c r="AA105" i="54"/>
  <c r="Z105" i="54"/>
  <c r="O105" i="54"/>
  <c r="AJ104" i="54"/>
  <c r="AI104" i="54"/>
  <c r="AG104" i="54"/>
  <c r="AF104" i="54"/>
  <c r="AD104" i="54"/>
  <c r="AC104" i="54"/>
  <c r="AA104" i="54"/>
  <c r="Z104" i="54"/>
  <c r="O104" i="54"/>
  <c r="AJ103" i="54"/>
  <c r="AI103" i="54"/>
  <c r="AG103" i="54"/>
  <c r="AF103" i="54"/>
  <c r="AD103" i="54"/>
  <c r="AC103" i="54"/>
  <c r="AA103" i="54"/>
  <c r="Z103" i="54"/>
  <c r="O103" i="54"/>
  <c r="AJ102" i="54"/>
  <c r="AI102" i="54"/>
  <c r="AG102" i="54"/>
  <c r="AF102" i="54"/>
  <c r="AD102" i="54"/>
  <c r="AC102" i="54"/>
  <c r="AA102" i="54"/>
  <c r="Z102" i="54"/>
  <c r="O102" i="54"/>
  <c r="AJ101" i="54"/>
  <c r="AI101" i="54"/>
  <c r="AG101" i="54"/>
  <c r="AF101" i="54"/>
  <c r="AD101" i="54"/>
  <c r="AC101" i="54"/>
  <c r="AA101" i="54"/>
  <c r="Z101" i="54"/>
  <c r="O101" i="54"/>
  <c r="AJ100" i="54"/>
  <c r="AI100" i="54"/>
  <c r="AG100" i="54"/>
  <c r="AF100" i="54"/>
  <c r="AD100" i="54"/>
  <c r="AC100" i="54"/>
  <c r="AA100" i="54"/>
  <c r="Z100" i="54"/>
  <c r="O100" i="54"/>
  <c r="AJ99" i="54"/>
  <c r="AI99" i="54"/>
  <c r="AG99" i="54"/>
  <c r="AF99" i="54"/>
  <c r="AD99" i="54"/>
  <c r="AC99" i="54"/>
  <c r="AA99" i="54"/>
  <c r="Z99" i="54"/>
  <c r="O99" i="54"/>
  <c r="BT98" i="54"/>
  <c r="BS98" i="54"/>
  <c r="BR98" i="54"/>
  <c r="BQ98" i="54"/>
  <c r="BP98" i="54"/>
  <c r="BO98" i="54"/>
  <c r="BN98" i="54"/>
  <c r="BM98" i="54"/>
  <c r="BL98" i="54"/>
  <c r="BK98" i="54"/>
  <c r="BJ98" i="54"/>
  <c r="BI98" i="54"/>
  <c r="BH98" i="54"/>
  <c r="BG98" i="54"/>
  <c r="BF98" i="54"/>
  <c r="BE98" i="54"/>
  <c r="BD98" i="54"/>
  <c r="BC98" i="54"/>
  <c r="BB98" i="54"/>
  <c r="BA98" i="54"/>
  <c r="AZ98" i="54"/>
  <c r="AY98" i="54"/>
  <c r="AX98" i="54"/>
  <c r="AW98" i="54"/>
  <c r="O98" i="54"/>
  <c r="AJ97" i="54"/>
  <c r="AI97" i="54"/>
  <c r="AG97" i="54"/>
  <c r="AF97" i="54"/>
  <c r="AD97" i="54"/>
  <c r="AC97" i="54"/>
  <c r="AA97" i="54"/>
  <c r="Z97" i="54"/>
  <c r="O97" i="54"/>
  <c r="AJ96" i="54"/>
  <c r="AI96" i="54"/>
  <c r="AG96" i="54"/>
  <c r="AF96" i="54"/>
  <c r="AD96" i="54"/>
  <c r="AC96" i="54"/>
  <c r="AA96" i="54"/>
  <c r="Z96" i="54"/>
  <c r="O96" i="54"/>
  <c r="BT95" i="54"/>
  <c r="BS95" i="54"/>
  <c r="BR95" i="54"/>
  <c r="BQ95" i="54"/>
  <c r="BP95" i="54"/>
  <c r="BO95" i="54"/>
  <c r="BN95" i="54"/>
  <c r="BM95" i="54"/>
  <c r="BL95" i="54"/>
  <c r="BK95" i="54"/>
  <c r="BJ95" i="54"/>
  <c r="BI95" i="54"/>
  <c r="BH95" i="54"/>
  <c r="BG95" i="54"/>
  <c r="BF95" i="54"/>
  <c r="BE95" i="54"/>
  <c r="BD95" i="54"/>
  <c r="BC95" i="54"/>
  <c r="BB95" i="54"/>
  <c r="BA95" i="54"/>
  <c r="AZ95" i="54"/>
  <c r="AY95" i="54"/>
  <c r="AX95" i="54"/>
  <c r="AW95" i="54"/>
  <c r="O95" i="54"/>
  <c r="AJ94" i="54"/>
  <c r="AI94" i="54"/>
  <c r="AG94" i="54"/>
  <c r="AF94" i="54"/>
  <c r="AD94" i="54"/>
  <c r="AC94" i="54"/>
  <c r="AA94" i="54"/>
  <c r="Z94" i="54"/>
  <c r="O94" i="54"/>
  <c r="AJ93" i="54"/>
  <c r="AI93" i="54"/>
  <c r="AG93" i="54"/>
  <c r="AF93" i="54"/>
  <c r="AD93" i="54"/>
  <c r="AC93" i="54"/>
  <c r="AA93" i="54"/>
  <c r="Z93" i="54"/>
  <c r="O93" i="54"/>
  <c r="AJ92" i="54"/>
  <c r="AI92" i="54"/>
  <c r="AG92" i="54"/>
  <c r="AF92" i="54"/>
  <c r="AD92" i="54"/>
  <c r="AC92" i="54"/>
  <c r="AA92" i="54"/>
  <c r="Z92" i="54"/>
  <c r="O92" i="54"/>
  <c r="AJ91" i="54"/>
  <c r="AI91" i="54"/>
  <c r="AG91" i="54"/>
  <c r="AF91" i="54"/>
  <c r="AD91" i="54"/>
  <c r="AC91" i="54"/>
  <c r="AA91" i="54"/>
  <c r="Z91" i="54"/>
  <c r="O91" i="54"/>
  <c r="AJ90" i="54"/>
  <c r="AI90" i="54"/>
  <c r="AG90" i="54"/>
  <c r="AF90" i="54"/>
  <c r="AD90" i="54"/>
  <c r="AC90" i="54"/>
  <c r="AA90" i="54"/>
  <c r="Z90" i="54"/>
  <c r="O90" i="54"/>
  <c r="AJ87" i="54"/>
  <c r="AI87" i="54"/>
  <c r="AG87" i="54"/>
  <c r="AF87" i="54"/>
  <c r="AD87" i="54"/>
  <c r="AC87" i="54"/>
  <c r="AA87" i="54"/>
  <c r="Z87" i="54"/>
  <c r="O87" i="54"/>
  <c r="BT86" i="54"/>
  <c r="BS86" i="54"/>
  <c r="BR86" i="54"/>
  <c r="BQ86" i="54"/>
  <c r="BP86" i="54"/>
  <c r="BO86" i="54"/>
  <c r="BN86" i="54"/>
  <c r="BM86" i="54"/>
  <c r="BL86" i="54"/>
  <c r="BK86" i="54"/>
  <c r="BJ86" i="54"/>
  <c r="BI86" i="54"/>
  <c r="BH86" i="54"/>
  <c r="BG86" i="54"/>
  <c r="BF86" i="54"/>
  <c r="BE86" i="54"/>
  <c r="BD86" i="54"/>
  <c r="BC86" i="54"/>
  <c r="BB86" i="54"/>
  <c r="BA86" i="54"/>
  <c r="AZ86" i="54"/>
  <c r="AY86" i="54"/>
  <c r="AX86" i="54"/>
  <c r="AW86" i="54"/>
  <c r="S86" i="54"/>
  <c r="Q86" i="54"/>
  <c r="O86" i="54"/>
  <c r="AJ85" i="54"/>
  <c r="AI85" i="54"/>
  <c r="AG85" i="54"/>
  <c r="AF85" i="54"/>
  <c r="AD85" i="54"/>
  <c r="AC85" i="54"/>
  <c r="AA85" i="54"/>
  <c r="Z85" i="54"/>
  <c r="O85" i="54"/>
  <c r="AJ84" i="54"/>
  <c r="AI84" i="54"/>
  <c r="AG84" i="54"/>
  <c r="AF84" i="54"/>
  <c r="AD84" i="54"/>
  <c r="AC84" i="54"/>
  <c r="AA84" i="54"/>
  <c r="Z84" i="54"/>
  <c r="O84" i="54"/>
  <c r="AJ83" i="54"/>
  <c r="AI83" i="54"/>
  <c r="AG83" i="54"/>
  <c r="AF83" i="54"/>
  <c r="AD83" i="54"/>
  <c r="AC83" i="54"/>
  <c r="AA83" i="54"/>
  <c r="Z83" i="54"/>
  <c r="O83" i="54"/>
  <c r="AJ82" i="54"/>
  <c r="AI82" i="54"/>
  <c r="AG82" i="54"/>
  <c r="AF82" i="54"/>
  <c r="AD82" i="54"/>
  <c r="AC82" i="54"/>
  <c r="AA82" i="54"/>
  <c r="Z82" i="54"/>
  <c r="O82" i="54"/>
  <c r="AJ81" i="54"/>
  <c r="AI81" i="54"/>
  <c r="AG81" i="54"/>
  <c r="AF81" i="54"/>
  <c r="AD81" i="54"/>
  <c r="AC81" i="54"/>
  <c r="AA81" i="54"/>
  <c r="Z81" i="54"/>
  <c r="O81" i="54"/>
  <c r="AJ80" i="54"/>
  <c r="AI80" i="54"/>
  <c r="AG80" i="54"/>
  <c r="AF80" i="54"/>
  <c r="AD80" i="54"/>
  <c r="AC80" i="54"/>
  <c r="AA80" i="54"/>
  <c r="Z80" i="54"/>
  <c r="O80" i="54"/>
  <c r="BT79" i="54"/>
  <c r="BS79" i="54"/>
  <c r="BR79" i="54"/>
  <c r="BQ79" i="54"/>
  <c r="BP79" i="54"/>
  <c r="BO79" i="54"/>
  <c r="BN79" i="54"/>
  <c r="BM79" i="54"/>
  <c r="BL79" i="54"/>
  <c r="BK79" i="54"/>
  <c r="BJ79" i="54"/>
  <c r="BI79" i="54"/>
  <c r="BH79" i="54"/>
  <c r="BG79" i="54"/>
  <c r="BF79" i="54"/>
  <c r="BE79" i="54"/>
  <c r="BD79" i="54"/>
  <c r="BC79" i="54"/>
  <c r="BB79" i="54"/>
  <c r="BA79" i="54"/>
  <c r="AZ79" i="54"/>
  <c r="AY79" i="54"/>
  <c r="AX79" i="54"/>
  <c r="AW79" i="54"/>
  <c r="L79" i="54"/>
  <c r="S78" i="54"/>
  <c r="Q78" i="54"/>
  <c r="O78" i="54"/>
  <c r="AJ77" i="54"/>
  <c r="AI77" i="54"/>
  <c r="AG77" i="54"/>
  <c r="AF77" i="54"/>
  <c r="AD77" i="54"/>
  <c r="AC77" i="54"/>
  <c r="AA77" i="54"/>
  <c r="Z77" i="54"/>
  <c r="O77" i="54"/>
  <c r="BS70" i="54"/>
  <c r="BQ70" i="54"/>
  <c r="BO70" i="54"/>
  <c r="BM70" i="54"/>
  <c r="BK70" i="54"/>
  <c r="BI70" i="54"/>
  <c r="BG70" i="54"/>
  <c r="BE70" i="54"/>
  <c r="BC70" i="54"/>
  <c r="BA70" i="54"/>
  <c r="AY70" i="54"/>
  <c r="AJ70" i="54"/>
  <c r="AG70" i="54"/>
  <c r="AD70" i="54"/>
  <c r="AA70" i="54"/>
  <c r="L70" i="54"/>
  <c r="O70" i="54" s="1"/>
  <c r="AJ76" i="54"/>
  <c r="AI76" i="54"/>
  <c r="AG76" i="54"/>
  <c r="AF76" i="54"/>
  <c r="AD76" i="54"/>
  <c r="AC76" i="54"/>
  <c r="AA76" i="54"/>
  <c r="Z76" i="54"/>
  <c r="O76" i="54"/>
  <c r="BS75" i="54"/>
  <c r="AI75" i="54" s="1"/>
  <c r="AJ75" i="54"/>
  <c r="AG75" i="54"/>
  <c r="AF75" i="54"/>
  <c r="AD75" i="54"/>
  <c r="AC75" i="54"/>
  <c r="AA75" i="54"/>
  <c r="Z75" i="54"/>
  <c r="L75" i="54"/>
  <c r="O75" i="54" s="1"/>
  <c r="AY74" i="54"/>
  <c r="Z74" i="54" s="1"/>
  <c r="AJ74" i="54"/>
  <c r="AI74" i="54"/>
  <c r="AG74" i="54"/>
  <c r="AF74" i="54"/>
  <c r="AD74" i="54"/>
  <c r="AC74" i="54"/>
  <c r="AA74" i="54"/>
  <c r="L74" i="54"/>
  <c r="AJ73" i="54"/>
  <c r="AI73" i="54"/>
  <c r="AG73" i="54"/>
  <c r="AF73" i="54"/>
  <c r="AD73" i="54"/>
  <c r="AC73" i="54"/>
  <c r="AA73" i="54"/>
  <c r="Z73" i="54"/>
  <c r="L73" i="54"/>
  <c r="AJ72" i="54"/>
  <c r="AI72" i="54"/>
  <c r="AG72" i="54"/>
  <c r="AF72" i="54"/>
  <c r="AD72" i="54"/>
  <c r="AC72" i="54"/>
  <c r="AA72" i="54"/>
  <c r="Z72" i="54"/>
  <c r="O72" i="54"/>
  <c r="AJ71" i="54"/>
  <c r="AI71" i="54"/>
  <c r="AG71" i="54"/>
  <c r="AF71" i="54"/>
  <c r="AD71" i="54"/>
  <c r="AC71" i="54"/>
  <c r="AA71" i="54"/>
  <c r="Z71" i="54"/>
  <c r="L71" i="54"/>
  <c r="O71" i="54" s="1"/>
  <c r="BS69" i="54"/>
  <c r="AI69" i="54" s="1"/>
  <c r="AJ69" i="54"/>
  <c r="AG69" i="54"/>
  <c r="AF69" i="54"/>
  <c r="AD69" i="54"/>
  <c r="AC69" i="54"/>
  <c r="AA69" i="54"/>
  <c r="Z69" i="54"/>
  <c r="O69" i="54"/>
  <c r="BS68" i="54"/>
  <c r="BQ68" i="54"/>
  <c r="BO68" i="54"/>
  <c r="BM68" i="54"/>
  <c r="BK68" i="54"/>
  <c r="BI68" i="54"/>
  <c r="BG68" i="54"/>
  <c r="BE68" i="54"/>
  <c r="BC68" i="54"/>
  <c r="BA68" i="54"/>
  <c r="AY68" i="54"/>
  <c r="AJ68" i="54"/>
  <c r="AG68" i="54"/>
  <c r="AD68" i="54"/>
  <c r="AA68" i="54"/>
  <c r="L68" i="54"/>
  <c r="O68" i="54" s="1"/>
  <c r="BT67" i="54"/>
  <c r="BR67" i="54"/>
  <c r="BP67" i="54"/>
  <c r="BN67" i="54"/>
  <c r="BL67" i="54"/>
  <c r="BJ67" i="54"/>
  <c r="BH67" i="54"/>
  <c r="BF67" i="54"/>
  <c r="BD67" i="54"/>
  <c r="BB67" i="54"/>
  <c r="AZ67" i="54"/>
  <c r="AX67" i="54"/>
  <c r="AW67" i="54"/>
  <c r="S67" i="54"/>
  <c r="Q67" i="54"/>
  <c r="BK66" i="54"/>
  <c r="BK65" i="54" s="1"/>
  <c r="BI66" i="54"/>
  <c r="BG66" i="54"/>
  <c r="BG65" i="54" s="1"/>
  <c r="BE66" i="54"/>
  <c r="BC66" i="54"/>
  <c r="BC65" i="54" s="1"/>
  <c r="BA66" i="54"/>
  <c r="BA65" i="54" s="1"/>
  <c r="AY66" i="54"/>
  <c r="AY65" i="54" s="1"/>
  <c r="AJ66" i="54"/>
  <c r="AI66" i="54"/>
  <c r="AG66" i="54"/>
  <c r="AD66" i="54"/>
  <c r="AA66" i="54"/>
  <c r="O66" i="54"/>
  <c r="BT65" i="54"/>
  <c r="BS65" i="54"/>
  <c r="BR65" i="54"/>
  <c r="BQ65" i="54"/>
  <c r="BP65" i="54"/>
  <c r="BO65" i="54"/>
  <c r="BN65" i="54"/>
  <c r="BM65" i="54"/>
  <c r="BL65" i="54"/>
  <c r="BJ65" i="54"/>
  <c r="BH65" i="54"/>
  <c r="BF65" i="54"/>
  <c r="BD65" i="54"/>
  <c r="BB65" i="54"/>
  <c r="AZ65" i="54"/>
  <c r="AX65" i="54"/>
  <c r="AW65" i="54"/>
  <c r="S65" i="54"/>
  <c r="Q65" i="54"/>
  <c r="L65" i="54"/>
  <c r="BM60" i="54"/>
  <c r="AF60" i="54" s="1"/>
  <c r="AJ60" i="54"/>
  <c r="AI60" i="54"/>
  <c r="AG60" i="54"/>
  <c r="AD60" i="54"/>
  <c r="AC60" i="54"/>
  <c r="AA60" i="54"/>
  <c r="Z60" i="54"/>
  <c r="O60" i="54"/>
  <c r="BM56" i="54"/>
  <c r="BK56" i="54"/>
  <c r="BK55" i="54" s="1"/>
  <c r="BI56" i="54"/>
  <c r="BI55" i="54" s="1"/>
  <c r="BG56" i="54"/>
  <c r="BG55" i="54" s="1"/>
  <c r="BE56" i="54"/>
  <c r="BE55" i="54" s="1"/>
  <c r="BC56" i="54"/>
  <c r="BA56" i="54"/>
  <c r="BA55" i="54" s="1"/>
  <c r="AY56" i="54"/>
  <c r="AY55" i="54" s="1"/>
  <c r="AJ56" i="54"/>
  <c r="AI56" i="54"/>
  <c r="AG56" i="54"/>
  <c r="AD56" i="54"/>
  <c r="AA56" i="54"/>
  <c r="O56" i="54"/>
  <c r="BT55" i="54"/>
  <c r="BS55" i="54"/>
  <c r="BR55" i="54"/>
  <c r="BQ55" i="54"/>
  <c r="BP55" i="54"/>
  <c r="BO55" i="54"/>
  <c r="BN55" i="54"/>
  <c r="BL55" i="54"/>
  <c r="BJ55" i="54"/>
  <c r="BH55" i="54"/>
  <c r="BF55" i="54"/>
  <c r="BD55" i="54"/>
  <c r="BB55" i="54"/>
  <c r="AZ55" i="54"/>
  <c r="AX55" i="54"/>
  <c r="AW55" i="54"/>
  <c r="S55" i="54"/>
  <c r="Q55" i="54"/>
  <c r="L55" i="54"/>
  <c r="O55" i="54" s="1"/>
  <c r="AI54" i="54"/>
  <c r="AJ54" i="54"/>
  <c r="AG54" i="54"/>
  <c r="AF54" i="54"/>
  <c r="AD54" i="54"/>
  <c r="AC54" i="54"/>
  <c r="AA54" i="54"/>
  <c r="Z54" i="54"/>
  <c r="O54" i="54"/>
  <c r="AJ53" i="54"/>
  <c r="AI53" i="54"/>
  <c r="AG53" i="54"/>
  <c r="AF53" i="54"/>
  <c r="AD53" i="54"/>
  <c r="AC53" i="54"/>
  <c r="AA53" i="54"/>
  <c r="Z53" i="54"/>
  <c r="O53" i="54"/>
  <c r="BS52" i="54"/>
  <c r="AJ52" i="54"/>
  <c r="AG52" i="54"/>
  <c r="AF52" i="54"/>
  <c r="AD52" i="54"/>
  <c r="AC52" i="54"/>
  <c r="AA52" i="54"/>
  <c r="Z52" i="54"/>
  <c r="L52" i="54"/>
  <c r="BT51" i="54"/>
  <c r="BR51" i="54"/>
  <c r="BQ51" i="54"/>
  <c r="BP51" i="54"/>
  <c r="BO51" i="54"/>
  <c r="BN51" i="54"/>
  <c r="BM51" i="54"/>
  <c r="BL51" i="54"/>
  <c r="BK51" i="54"/>
  <c r="BJ51" i="54"/>
  <c r="BI51" i="54"/>
  <c r="BH51" i="54"/>
  <c r="BG51" i="54"/>
  <c r="BF51" i="54"/>
  <c r="BE51" i="54"/>
  <c r="BD51" i="54"/>
  <c r="BC51" i="54"/>
  <c r="BB51" i="54"/>
  <c r="BA51" i="54"/>
  <c r="AZ51" i="54"/>
  <c r="AY51" i="54"/>
  <c r="AX51" i="54"/>
  <c r="AW51" i="54"/>
  <c r="S51" i="54"/>
  <c r="Q51" i="54"/>
  <c r="AJ50" i="54"/>
  <c r="AI50" i="54"/>
  <c r="AG50" i="54"/>
  <c r="AF50" i="54"/>
  <c r="AD50" i="54"/>
  <c r="AC50" i="54"/>
  <c r="AA50" i="54"/>
  <c r="Z50" i="54"/>
  <c r="O50" i="54"/>
  <c r="BT49" i="54"/>
  <c r="BS49" i="54"/>
  <c r="BR49" i="54"/>
  <c r="BQ49" i="54"/>
  <c r="BP49" i="54"/>
  <c r="BO49" i="54"/>
  <c r="BN49" i="54"/>
  <c r="BM49" i="54"/>
  <c r="BL49" i="54"/>
  <c r="BK49" i="54"/>
  <c r="BJ49" i="54"/>
  <c r="BI49" i="54"/>
  <c r="BH49" i="54"/>
  <c r="BG49" i="54"/>
  <c r="BF49" i="54"/>
  <c r="BE49" i="54"/>
  <c r="BD49" i="54"/>
  <c r="BC49" i="54"/>
  <c r="BB49" i="54"/>
  <c r="BA49" i="54"/>
  <c r="AZ49" i="54"/>
  <c r="AY49" i="54"/>
  <c r="AX49" i="54"/>
  <c r="AW49" i="54"/>
  <c r="S49" i="54"/>
  <c r="Q49" i="54"/>
  <c r="L49" i="54"/>
  <c r="O49" i="54" s="1"/>
  <c r="AJ48" i="54"/>
  <c r="AI48" i="54"/>
  <c r="AG48" i="54"/>
  <c r="AF48" i="54"/>
  <c r="AD48" i="54"/>
  <c r="AC48" i="54"/>
  <c r="AA48" i="54"/>
  <c r="Z48" i="54"/>
  <c r="O48" i="54"/>
  <c r="BS47" i="54"/>
  <c r="BS46" i="54" s="1"/>
  <c r="AJ47" i="54"/>
  <c r="AG47" i="54"/>
  <c r="AF47" i="54"/>
  <c r="AD47" i="54"/>
  <c r="AC47" i="54"/>
  <c r="AA47" i="54"/>
  <c r="Z47" i="54"/>
  <c r="O47" i="54"/>
  <c r="BT46" i="54"/>
  <c r="BR46" i="54"/>
  <c r="BQ46" i="54"/>
  <c r="BP46" i="54"/>
  <c r="BO46" i="54"/>
  <c r="BN46" i="54"/>
  <c r="BM46" i="54"/>
  <c r="BL46" i="54"/>
  <c r="BK46" i="54"/>
  <c r="BJ46" i="54"/>
  <c r="BI46" i="54"/>
  <c r="BH46" i="54"/>
  <c r="BG46" i="54"/>
  <c r="BF46" i="54"/>
  <c r="BE46" i="54"/>
  <c r="BD46" i="54"/>
  <c r="BC46" i="54"/>
  <c r="BB46" i="54"/>
  <c r="BA46" i="54"/>
  <c r="AZ46" i="54"/>
  <c r="AY46" i="54"/>
  <c r="AX46" i="54"/>
  <c r="AW46" i="54"/>
  <c r="S46" i="54"/>
  <c r="Q46" i="54"/>
  <c r="L46" i="54"/>
  <c r="AJ45" i="54"/>
  <c r="AI45" i="54"/>
  <c r="AG45" i="54"/>
  <c r="AF45" i="54"/>
  <c r="AD45" i="54"/>
  <c r="AC45" i="54"/>
  <c r="AA45" i="54"/>
  <c r="Z45" i="54"/>
  <c r="O45" i="54"/>
  <c r="AI44" i="54"/>
  <c r="AJ44" i="54"/>
  <c r="AG44" i="54"/>
  <c r="AF44" i="54"/>
  <c r="AD44" i="54"/>
  <c r="AC44" i="54"/>
  <c r="AA44" i="54"/>
  <c r="Z44" i="54"/>
  <c r="L44" i="54"/>
  <c r="L43" i="54" s="1"/>
  <c r="BT43" i="54"/>
  <c r="BR43" i="54"/>
  <c r="BQ43" i="54"/>
  <c r="BP43" i="54"/>
  <c r="BO43" i="54"/>
  <c r="BN43" i="54"/>
  <c r="BM43" i="54"/>
  <c r="BL43" i="54"/>
  <c r="BK43" i="54"/>
  <c r="BJ43" i="54"/>
  <c r="BI43" i="54"/>
  <c r="BH43" i="54"/>
  <c r="BG43" i="54"/>
  <c r="BF43" i="54"/>
  <c r="BE43" i="54"/>
  <c r="BD43" i="54"/>
  <c r="BC43" i="54"/>
  <c r="BB43" i="54"/>
  <c r="BA43" i="54"/>
  <c r="AZ43" i="54"/>
  <c r="AY43" i="54"/>
  <c r="AX43" i="54"/>
  <c r="AW43" i="54"/>
  <c r="S43" i="54"/>
  <c r="Q43" i="54"/>
  <c r="AJ42" i="54"/>
  <c r="AI42" i="54"/>
  <c r="AG42" i="54"/>
  <c r="AF42" i="54"/>
  <c r="AD42" i="54"/>
  <c r="AC42" i="54"/>
  <c r="AA42" i="54"/>
  <c r="Z42" i="54"/>
  <c r="O42" i="54"/>
  <c r="AI41" i="54"/>
  <c r="AJ41" i="54"/>
  <c r="AG41" i="54"/>
  <c r="AF41" i="54"/>
  <c r="AD41" i="54"/>
  <c r="AC41" i="54"/>
  <c r="AA41" i="54"/>
  <c r="Z41" i="54"/>
  <c r="O41" i="54"/>
  <c r="BS40" i="54"/>
  <c r="AI40" i="54" s="1"/>
  <c r="AJ40" i="54"/>
  <c r="AG40" i="54"/>
  <c r="AF40" i="54"/>
  <c r="AD40" i="54"/>
  <c r="AC40" i="54"/>
  <c r="AA40" i="54"/>
  <c r="Z40" i="54"/>
  <c r="O40" i="54"/>
  <c r="BS39" i="54"/>
  <c r="AI39" i="54" s="1"/>
  <c r="AJ39" i="54"/>
  <c r="AG39" i="54"/>
  <c r="AF39" i="54"/>
  <c r="AD39" i="54"/>
  <c r="AC39" i="54"/>
  <c r="AA39" i="54"/>
  <c r="Z39" i="54"/>
  <c r="O39" i="54"/>
  <c r="AJ38" i="54"/>
  <c r="AI38" i="54"/>
  <c r="AG38" i="54"/>
  <c r="AF38" i="54"/>
  <c r="AD38" i="54"/>
  <c r="AC38" i="54"/>
  <c r="AA38" i="54"/>
  <c r="Z38" i="54"/>
  <c r="L38" i="54"/>
  <c r="O38" i="54" s="1"/>
  <c r="BT37" i="54"/>
  <c r="BR37" i="54"/>
  <c r="BQ37" i="54"/>
  <c r="BP37" i="54"/>
  <c r="BO37" i="54"/>
  <c r="BN37" i="54"/>
  <c r="BM37" i="54"/>
  <c r="BL37" i="54"/>
  <c r="BK37" i="54"/>
  <c r="BJ37" i="54"/>
  <c r="BI37" i="54"/>
  <c r="BH37" i="54"/>
  <c r="BG37" i="54"/>
  <c r="BF37" i="54"/>
  <c r="BE37" i="54"/>
  <c r="BD37" i="54"/>
  <c r="BC37" i="54"/>
  <c r="BB37" i="54"/>
  <c r="BA37" i="54"/>
  <c r="AZ37" i="54"/>
  <c r="AY37" i="54"/>
  <c r="AX37" i="54"/>
  <c r="AW37" i="54"/>
  <c r="S37" i="54"/>
  <c r="Q37" i="54"/>
  <c r="BS36" i="54"/>
  <c r="BQ36" i="54"/>
  <c r="BO36" i="54"/>
  <c r="BM36" i="54"/>
  <c r="BK36" i="54"/>
  <c r="BI36" i="54"/>
  <c r="BG36" i="54"/>
  <c r="BE36" i="54"/>
  <c r="BC36" i="54"/>
  <c r="BA36" i="54"/>
  <c r="AY36" i="54"/>
  <c r="AJ36" i="54"/>
  <c r="AG36" i="54"/>
  <c r="AD36" i="54"/>
  <c r="AA36" i="54"/>
  <c r="L36" i="54"/>
  <c r="O36" i="54" s="1"/>
  <c r="AJ35" i="54"/>
  <c r="AI35" i="54"/>
  <c r="AG35" i="54"/>
  <c r="AF35" i="54"/>
  <c r="AD35" i="54"/>
  <c r="AC35" i="54"/>
  <c r="AA35" i="54"/>
  <c r="Z35" i="54"/>
  <c r="O35" i="54"/>
  <c r="AJ34" i="54"/>
  <c r="AI34" i="54"/>
  <c r="AG34" i="54"/>
  <c r="AF34" i="54"/>
  <c r="AD34" i="54"/>
  <c r="AC34" i="54"/>
  <c r="AA34" i="54"/>
  <c r="Z34" i="54"/>
  <c r="O34" i="54"/>
  <c r="AJ33" i="54"/>
  <c r="AI33" i="54"/>
  <c r="AG33" i="54"/>
  <c r="AF33" i="54"/>
  <c r="AD33" i="54"/>
  <c r="AC33" i="54"/>
  <c r="AA33" i="54"/>
  <c r="Z33" i="54"/>
  <c r="O33" i="54"/>
  <c r="AJ32" i="54"/>
  <c r="AI32" i="54"/>
  <c r="AG32" i="54"/>
  <c r="AF32" i="54"/>
  <c r="AD32" i="54"/>
  <c r="AC32" i="54"/>
  <c r="AA32" i="54"/>
  <c r="Z32" i="54"/>
  <c r="O32" i="54"/>
  <c r="AJ31" i="54"/>
  <c r="AI31" i="54"/>
  <c r="AG31" i="54"/>
  <c r="AF31" i="54"/>
  <c r="AD31" i="54"/>
  <c r="AC31" i="54"/>
  <c r="AA31" i="54"/>
  <c r="Z31" i="54"/>
  <c r="S31" i="54"/>
  <c r="Q31" i="54"/>
  <c r="L31" i="54"/>
  <c r="AJ30" i="54"/>
  <c r="AI30" i="54"/>
  <c r="AG30" i="54"/>
  <c r="AF30" i="54"/>
  <c r="AD30" i="54"/>
  <c r="AC30" i="54"/>
  <c r="AA30" i="54"/>
  <c r="Z30" i="54"/>
  <c r="S30" i="54"/>
  <c r="Q30" i="54"/>
  <c r="L30" i="54"/>
  <c r="O30" i="54" s="1"/>
  <c r="AJ29" i="54"/>
  <c r="AI29" i="54"/>
  <c r="AG29" i="54"/>
  <c r="AF29" i="54"/>
  <c r="AD29" i="54"/>
  <c r="AC29" i="54"/>
  <c r="AA29" i="54"/>
  <c r="Z29" i="54"/>
  <c r="Q29" i="54"/>
  <c r="O29" i="54"/>
  <c r="BT28" i="54"/>
  <c r="BS28" i="54"/>
  <c r="BR28" i="54"/>
  <c r="BQ28" i="54"/>
  <c r="BP28" i="54"/>
  <c r="BO28" i="54"/>
  <c r="BN28" i="54"/>
  <c r="BM28" i="54"/>
  <c r="BL28" i="54"/>
  <c r="BK28" i="54"/>
  <c r="BJ28" i="54"/>
  <c r="BI28" i="54"/>
  <c r="BH28" i="54"/>
  <c r="BG28" i="54"/>
  <c r="BF28" i="54"/>
  <c r="BE28" i="54"/>
  <c r="BD28" i="54"/>
  <c r="BC28" i="54"/>
  <c r="BB28" i="54"/>
  <c r="BA28" i="54"/>
  <c r="AZ28" i="54"/>
  <c r="AY28" i="54"/>
  <c r="AX28" i="54"/>
  <c r="AW28" i="54"/>
  <c r="BS27" i="54"/>
  <c r="BR27" i="54"/>
  <c r="BQ27" i="54"/>
  <c r="BP27" i="54"/>
  <c r="BO27" i="54"/>
  <c r="BN27" i="54"/>
  <c r="BM27" i="54"/>
  <c r="BL27" i="54"/>
  <c r="BK27" i="54"/>
  <c r="BJ27" i="54"/>
  <c r="BI27" i="54"/>
  <c r="BH27" i="54"/>
  <c r="BG27" i="54"/>
  <c r="BF27" i="54"/>
  <c r="BE27" i="54"/>
  <c r="BD27" i="54"/>
  <c r="BC27" i="54"/>
  <c r="BA27" i="54"/>
  <c r="Z27" i="54" s="1"/>
  <c r="AA27" i="54"/>
  <c r="O27" i="54"/>
  <c r="AJ26" i="54"/>
  <c r="AI26" i="54"/>
  <c r="AG26" i="54"/>
  <c r="AF26" i="54"/>
  <c r="AD26" i="54"/>
  <c r="AC26" i="54"/>
  <c r="AA26" i="54"/>
  <c r="Z26" i="54"/>
  <c r="S26" i="54"/>
  <c r="S23" i="54" s="1"/>
  <c r="Q26" i="54"/>
  <c r="Q23" i="54" s="1"/>
  <c r="O26" i="54"/>
  <c r="AJ25" i="54"/>
  <c r="AI25" i="54"/>
  <c r="AG25" i="54"/>
  <c r="AF25" i="54"/>
  <c r="AD25" i="54"/>
  <c r="AC25" i="54"/>
  <c r="AA25" i="54"/>
  <c r="Z25" i="54"/>
  <c r="AJ24" i="54"/>
  <c r="AI24" i="54"/>
  <c r="AG24" i="54"/>
  <c r="AF24" i="54"/>
  <c r="AD24" i="54"/>
  <c r="AC24" i="54"/>
  <c r="AA24" i="54"/>
  <c r="Z24" i="54"/>
  <c r="O24" i="54"/>
  <c r="BS23" i="54"/>
  <c r="BR23" i="54"/>
  <c r="BQ23" i="54"/>
  <c r="BP23" i="54"/>
  <c r="BO23" i="54"/>
  <c r="BN23" i="54"/>
  <c r="BM23" i="54"/>
  <c r="BL23" i="54"/>
  <c r="BK23" i="54"/>
  <c r="BJ23" i="54"/>
  <c r="BI23" i="54"/>
  <c r="BH23" i="54"/>
  <c r="BG23" i="54"/>
  <c r="BF23" i="54"/>
  <c r="BE23" i="54"/>
  <c r="BD23" i="54"/>
  <c r="BC23" i="54"/>
  <c r="BB23" i="54"/>
  <c r="BA23" i="54"/>
  <c r="AZ23" i="54"/>
  <c r="AY23" i="54"/>
  <c r="AX23" i="54"/>
  <c r="AW23" i="54"/>
  <c r="N23" i="54"/>
  <c r="L23" i="54"/>
  <c r="BO22" i="54"/>
  <c r="AI22" i="54" s="1"/>
  <c r="BI22" i="54"/>
  <c r="AF22" i="54" s="1"/>
  <c r="AC22" i="54"/>
  <c r="AJ22" i="54"/>
  <c r="AG22" i="54"/>
  <c r="AD22" i="54"/>
  <c r="AA22" i="54"/>
  <c r="Z22" i="54"/>
  <c r="S22" i="54"/>
  <c r="Q22" i="54"/>
  <c r="AJ20" i="54"/>
  <c r="AI20" i="54"/>
  <c r="AG20" i="54"/>
  <c r="AF20" i="54"/>
  <c r="AD20" i="54"/>
  <c r="AC20" i="54"/>
  <c r="AA20" i="54"/>
  <c r="Z20" i="54"/>
  <c r="S20" i="54"/>
  <c r="Q20" i="54"/>
  <c r="O20" i="54"/>
  <c r="AJ19" i="54"/>
  <c r="AI19" i="54"/>
  <c r="AG19" i="54"/>
  <c r="AF19" i="54"/>
  <c r="AD19" i="54"/>
  <c r="AC19" i="54"/>
  <c r="AA19" i="54"/>
  <c r="Z19" i="54"/>
  <c r="S19" i="54"/>
  <c r="Q19" i="54"/>
  <c r="AJ18" i="54"/>
  <c r="AI18" i="54"/>
  <c r="AG18" i="54"/>
  <c r="AF18" i="54"/>
  <c r="AD18" i="54"/>
  <c r="AC18" i="54"/>
  <c r="AA18" i="54"/>
  <c r="Z18" i="54"/>
  <c r="Q18" i="54"/>
  <c r="O18" i="54"/>
  <c r="BT17" i="54"/>
  <c r="BS17" i="54"/>
  <c r="BR17" i="54"/>
  <c r="BQ17" i="54"/>
  <c r="BP17" i="54"/>
  <c r="BN17" i="54"/>
  <c r="BM17" i="54"/>
  <c r="BL17" i="54"/>
  <c r="BK17" i="54"/>
  <c r="BJ17" i="54"/>
  <c r="BH17" i="54"/>
  <c r="BF17" i="54"/>
  <c r="BE17" i="54"/>
  <c r="BD17" i="54"/>
  <c r="BB17" i="54"/>
  <c r="AZ17" i="54"/>
  <c r="AY17" i="54"/>
  <c r="AX17" i="54"/>
  <c r="AW17" i="54"/>
  <c r="N17" i="54"/>
  <c r="L17" i="54"/>
  <c r="AJ16" i="54"/>
  <c r="AI16" i="54"/>
  <c r="AG16" i="54"/>
  <c r="AF16" i="54"/>
  <c r="AD16" i="54"/>
  <c r="AC16" i="54"/>
  <c r="AA16" i="54"/>
  <c r="Z16" i="54"/>
  <c r="O16" i="54"/>
  <c r="AJ15" i="54"/>
  <c r="AI15" i="54"/>
  <c r="AG15" i="54"/>
  <c r="AF15" i="54"/>
  <c r="AD15" i="54"/>
  <c r="AC15" i="54"/>
  <c r="AA15" i="54"/>
  <c r="Z15" i="54"/>
  <c r="O15" i="54"/>
  <c r="BS14" i="54"/>
  <c r="BQ14" i="54"/>
  <c r="BM14" i="54"/>
  <c r="BK14" i="54"/>
  <c r="BI14" i="54"/>
  <c r="BG14" i="54"/>
  <c r="BE14" i="54"/>
  <c r="AJ14" i="54"/>
  <c r="AG14" i="54"/>
  <c r="AD14" i="54"/>
  <c r="AA14" i="54"/>
  <c r="O14" i="54"/>
  <c r="AJ13" i="54"/>
  <c r="AI13" i="54"/>
  <c r="AG13" i="54"/>
  <c r="AF13" i="54"/>
  <c r="AD13" i="54"/>
  <c r="AC13" i="54"/>
  <c r="AA13" i="54"/>
  <c r="Z13" i="54"/>
  <c r="O13" i="54"/>
  <c r="AY12" i="54"/>
  <c r="AJ12" i="54"/>
  <c r="AI12" i="54"/>
  <c r="AG12" i="54"/>
  <c r="AF12" i="54"/>
  <c r="AD12" i="54"/>
  <c r="AC12" i="54"/>
  <c r="AA12" i="54"/>
  <c r="BM8" i="54"/>
  <c r="BG8" i="54"/>
  <c r="BR6" i="54"/>
  <c r="BP6" i="54"/>
  <c r="BN6" i="54"/>
  <c r="W5" i="54"/>
  <c r="T5" i="54"/>
  <c r="AJ4" i="54"/>
  <c r="AI4" i="54"/>
  <c r="AG4" i="54"/>
  <c r="AF4" i="54"/>
  <c r="AD4" i="54"/>
  <c r="AC4" i="54"/>
  <c r="AA4" i="54"/>
  <c r="Z4" i="54"/>
  <c r="BT3" i="54"/>
  <c r="BS3" i="54"/>
  <c r="BR3" i="54"/>
  <c r="BQ3" i="54"/>
  <c r="BP3" i="54"/>
  <c r="BO3" i="54"/>
  <c r="BN3" i="54"/>
  <c r="BM3" i="54"/>
  <c r="BL3" i="54"/>
  <c r="BK3" i="54"/>
  <c r="BJ3" i="54"/>
  <c r="BI3" i="54"/>
  <c r="BH3" i="54"/>
  <c r="BG3" i="54"/>
  <c r="BF3" i="54"/>
  <c r="BE3" i="54"/>
  <c r="BD3" i="54"/>
  <c r="BC3" i="54"/>
  <c r="BB3" i="54"/>
  <c r="BA3" i="54"/>
  <c r="AZ3" i="54"/>
  <c r="AY3" i="54"/>
  <c r="AX3" i="54"/>
  <c r="AW3" i="54"/>
  <c r="T3" i="54"/>
  <c r="S3" i="54"/>
  <c r="R3" i="54"/>
  <c r="Q3" i="54"/>
  <c r="P3" i="54"/>
  <c r="O3" i="54"/>
  <c r="N3" i="54"/>
  <c r="M3" i="54"/>
  <c r="L3" i="54"/>
  <c r="AZ298" i="54" l="1"/>
  <c r="BD298" i="54"/>
  <c r="BH298" i="54"/>
  <c r="BL298" i="54"/>
  <c r="BP298" i="54"/>
  <c r="M298" i="54"/>
  <c r="BI17" i="54"/>
  <c r="AF17" i="54" s="1"/>
  <c r="R298" i="54"/>
  <c r="AY298" i="54"/>
  <c r="BC298" i="54"/>
  <c r="BG298" i="54"/>
  <c r="AW298" i="54"/>
  <c r="BE298" i="54"/>
  <c r="BM298" i="54"/>
  <c r="AX298" i="54"/>
  <c r="BB298" i="54"/>
  <c r="BF298" i="54"/>
  <c r="BJ298" i="54"/>
  <c r="BN298" i="54"/>
  <c r="BR298" i="54"/>
  <c r="BK298" i="54"/>
  <c r="N298" i="54"/>
  <c r="N170" i="54"/>
  <c r="N178" i="54" s="1"/>
  <c r="P12" i="54"/>
  <c r="AT171" i="54"/>
  <c r="AG3" i="54"/>
  <c r="BG67" i="54"/>
  <c r="S217" i="54"/>
  <c r="S298" i="54" s="1"/>
  <c r="BE67" i="54"/>
  <c r="O122" i="54"/>
  <c r="L117" i="54"/>
  <c r="O117" i="54" s="1"/>
  <c r="AI27" i="54"/>
  <c r="AJ95" i="54"/>
  <c r="AG86" i="54"/>
  <c r="AF79" i="54"/>
  <c r="AJ157" i="54"/>
  <c r="Z242" i="54"/>
  <c r="AC242" i="54"/>
  <c r="AF242" i="54"/>
  <c r="BT62" i="54"/>
  <c r="R178" i="54"/>
  <c r="R180" i="54" s="1"/>
  <c r="Z98" i="54"/>
  <c r="AG243" i="54"/>
  <c r="AC243" i="54"/>
  <c r="AM101" i="54"/>
  <c r="AJ274" i="54"/>
  <c r="Z148" i="54"/>
  <c r="AF148" i="54"/>
  <c r="BS51" i="54"/>
  <c r="AI51" i="54" s="1"/>
  <c r="BC17" i="54"/>
  <c r="BT211" i="54"/>
  <c r="BT205" i="54" s="1"/>
  <c r="AJ205" i="54" s="1"/>
  <c r="AA151" i="54"/>
  <c r="AI211" i="54"/>
  <c r="Z14" i="54"/>
  <c r="BO67" i="54"/>
  <c r="AM162" i="54"/>
  <c r="P14" i="54"/>
  <c r="AM216" i="54"/>
  <c r="AM229" i="54"/>
  <c r="AQ230" i="54"/>
  <c r="AN232" i="54"/>
  <c r="AM236" i="54"/>
  <c r="AM289" i="54"/>
  <c r="AN292" i="54"/>
  <c r="AP293" i="54"/>
  <c r="R5" i="54"/>
  <c r="AD151" i="54"/>
  <c r="AG79" i="54"/>
  <c r="AF98" i="54"/>
  <c r="AN260" i="54"/>
  <c r="AG111" i="54"/>
  <c r="AN115" i="54"/>
  <c r="AG154" i="54"/>
  <c r="Z164" i="54"/>
  <c r="AG184" i="54"/>
  <c r="AG192" i="54"/>
  <c r="AI203" i="54"/>
  <c r="AN66" i="54"/>
  <c r="AZ116" i="54"/>
  <c r="AR129" i="54"/>
  <c r="AO129" i="54"/>
  <c r="Z217" i="54"/>
  <c r="AM105" i="54"/>
  <c r="AE208" i="54"/>
  <c r="AB121" i="54"/>
  <c r="AH121" i="54"/>
  <c r="AP80" i="54"/>
  <c r="AP84" i="54"/>
  <c r="AP100" i="54"/>
  <c r="AN101" i="54"/>
  <c r="AP104" i="54"/>
  <c r="AN105" i="54"/>
  <c r="AV129" i="54"/>
  <c r="AU129" i="54"/>
  <c r="AK12" i="54"/>
  <c r="AD3" i="54"/>
  <c r="AJ3" i="54"/>
  <c r="AT4" i="54"/>
  <c r="M5" i="54"/>
  <c r="AD205" i="54"/>
  <c r="AI206" i="54"/>
  <c r="AE212" i="54"/>
  <c r="BC78" i="54"/>
  <c r="BO78" i="54"/>
  <c r="AA164" i="54"/>
  <c r="Z70" i="54"/>
  <c r="AB70" i="54" s="1"/>
  <c r="AI70" i="54"/>
  <c r="AK70" i="54" s="1"/>
  <c r="AG267" i="54"/>
  <c r="AD242" i="54"/>
  <c r="Z79" i="54"/>
  <c r="AQ85" i="54"/>
  <c r="AK108" i="54"/>
  <c r="AH109" i="54"/>
  <c r="AF197" i="54"/>
  <c r="AF200" i="54"/>
  <c r="AK202" i="54"/>
  <c r="AJ49" i="54"/>
  <c r="AI55" i="54"/>
  <c r="Z184" i="54"/>
  <c r="AQ193" i="54"/>
  <c r="AN195" i="54"/>
  <c r="AM196" i="54"/>
  <c r="AJ200" i="54"/>
  <c r="AM218" i="54"/>
  <c r="AQ219" i="54"/>
  <c r="AM220" i="54"/>
  <c r="AM232" i="54"/>
  <c r="AA243" i="54"/>
  <c r="AC253" i="54"/>
  <c r="AC257" i="54"/>
  <c r="AD267" i="54"/>
  <c r="AT280" i="54"/>
  <c r="AP281" i="54"/>
  <c r="AN282" i="54"/>
  <c r="AM290" i="54"/>
  <c r="N5" i="54"/>
  <c r="AM38" i="54"/>
  <c r="AN52" i="54"/>
  <c r="AS53" i="54"/>
  <c r="AV53" i="54" s="1"/>
  <c r="AN54" i="54"/>
  <c r="AM72" i="54"/>
  <c r="AQ73" i="54"/>
  <c r="AQ74" i="54"/>
  <c r="AH155" i="54"/>
  <c r="AC168" i="54"/>
  <c r="AH193" i="54"/>
  <c r="AG215" i="54"/>
  <c r="AB228" i="54"/>
  <c r="AK277" i="54"/>
  <c r="AD27" i="54"/>
  <c r="Z46" i="54"/>
  <c r="AF46" i="54"/>
  <c r="AC51" i="54"/>
  <c r="AE54" i="54"/>
  <c r="AN76" i="54"/>
  <c r="Z111" i="54"/>
  <c r="AF111" i="54"/>
  <c r="AD117" i="54"/>
  <c r="AP122" i="54"/>
  <c r="Z145" i="54"/>
  <c r="AF166" i="54"/>
  <c r="AJ175" i="54"/>
  <c r="AN235" i="54"/>
  <c r="AA211" i="54"/>
  <c r="AM212" i="54"/>
  <c r="AQ227" i="54"/>
  <c r="AQ238" i="54"/>
  <c r="AA242" i="54"/>
  <c r="AG242" i="54"/>
  <c r="AN245" i="54"/>
  <c r="AK260" i="54"/>
  <c r="AN13" i="54"/>
  <c r="S17" i="54"/>
  <c r="AB20" i="54"/>
  <c r="L28" i="54"/>
  <c r="O28" i="54" s="1"/>
  <c r="AD43" i="54"/>
  <c r="AG43" i="54"/>
  <c r="AQ44" i="54"/>
  <c r="AM45" i="54"/>
  <c r="Z68" i="54"/>
  <c r="AB68" i="54" s="1"/>
  <c r="AH119" i="54"/>
  <c r="AK121" i="54"/>
  <c r="AE125" i="54"/>
  <c r="AH127" i="54"/>
  <c r="Z154" i="54"/>
  <c r="AJ166" i="54"/>
  <c r="AJ192" i="54"/>
  <c r="AE193" i="54"/>
  <c r="AN194" i="54"/>
  <c r="AM195" i="54"/>
  <c r="AJ203" i="54"/>
  <c r="AG205" i="54"/>
  <c r="Z215" i="54"/>
  <c r="AD274" i="54"/>
  <c r="AK275" i="54"/>
  <c r="AH277" i="54"/>
  <c r="AE47" i="54"/>
  <c r="BA67" i="54"/>
  <c r="BI67" i="54"/>
  <c r="AM110" i="54"/>
  <c r="BL116" i="54"/>
  <c r="AK149" i="54"/>
  <c r="AE183" i="54"/>
  <c r="AE276" i="54"/>
  <c r="AA43" i="54"/>
  <c r="BM67" i="54"/>
  <c r="AH4" i="54"/>
  <c r="AE12" i="54"/>
  <c r="AH24" i="54"/>
  <c r="AH29" i="54"/>
  <c r="AF36" i="54"/>
  <c r="AH36" i="54" s="1"/>
  <c r="AE39" i="54"/>
  <c r="AK39" i="54"/>
  <c r="AE44" i="54"/>
  <c r="AG49" i="54"/>
  <c r="AC66" i="54"/>
  <c r="L67" i="54"/>
  <c r="AA67" i="54"/>
  <c r="AW116" i="54"/>
  <c r="BA116" i="54"/>
  <c r="BE116" i="54"/>
  <c r="BI116" i="54"/>
  <c r="BM116" i="54"/>
  <c r="BQ116" i="54"/>
  <c r="Z17" i="54"/>
  <c r="AJ27" i="54"/>
  <c r="AG37" i="54"/>
  <c r="AN38" i="54"/>
  <c r="AE60" i="54"/>
  <c r="AG65" i="54"/>
  <c r="BD78" i="54"/>
  <c r="BT78" i="54"/>
  <c r="AG95" i="54"/>
  <c r="AA107" i="54"/>
  <c r="AG107" i="54"/>
  <c r="AJ107" i="54"/>
  <c r="AM108" i="54"/>
  <c r="AC151" i="54"/>
  <c r="AF151" i="54"/>
  <c r="AI151" i="54"/>
  <c r="AN152" i="54"/>
  <c r="AG27" i="54"/>
  <c r="AA37" i="54"/>
  <c r="AD37" i="54"/>
  <c r="BA8" i="54"/>
  <c r="Z12" i="54"/>
  <c r="AS12" i="54" s="1"/>
  <c r="AH13" i="54"/>
  <c r="AN15" i="54"/>
  <c r="AA17" i="54"/>
  <c r="AG17" i="54"/>
  <c r="AF56" i="54"/>
  <c r="AH56" i="54" s="1"/>
  <c r="AF66" i="54"/>
  <c r="AH66" i="54" s="1"/>
  <c r="AC68" i="54"/>
  <c r="AE68" i="54" s="1"/>
  <c r="AF68" i="54"/>
  <c r="AH68" i="54" s="1"/>
  <c r="BS67" i="54"/>
  <c r="AE69" i="54"/>
  <c r="AC70" i="54"/>
  <c r="AH83" i="54"/>
  <c r="AH90" i="54"/>
  <c r="AK92" i="54"/>
  <c r="AH94" i="54"/>
  <c r="BC117" i="54"/>
  <c r="BC116" i="54" s="1"/>
  <c r="AP119" i="54"/>
  <c r="AN126" i="54"/>
  <c r="AA145" i="54"/>
  <c r="AD145" i="54"/>
  <c r="AG145" i="54"/>
  <c r="AP146" i="54"/>
  <c r="AI148" i="54"/>
  <c r="AG157" i="54"/>
  <c r="AE110" i="54"/>
  <c r="AE156" i="54"/>
  <c r="AK156" i="54"/>
  <c r="AE163" i="54"/>
  <c r="T178" i="54"/>
  <c r="T299" i="54" s="1"/>
  <c r="AH176" i="54"/>
  <c r="AB179" i="54"/>
  <c r="AC217" i="54"/>
  <c r="Q217" i="54"/>
  <c r="Q298" i="54" s="1"/>
  <c r="AE220" i="54"/>
  <c r="AE224" i="54"/>
  <c r="AH230" i="54"/>
  <c r="AK232" i="54"/>
  <c r="AH237" i="54"/>
  <c r="AE256" i="54"/>
  <c r="AK256" i="54"/>
  <c r="AH259" i="54"/>
  <c r="AK269" i="54"/>
  <c r="AN293" i="54"/>
  <c r="AC164" i="54"/>
  <c r="AI164" i="54"/>
  <c r="AN167" i="54"/>
  <c r="AN176" i="54"/>
  <c r="AM188" i="54"/>
  <c r="AM191" i="54"/>
  <c r="Z192" i="54"/>
  <c r="AM193" i="54"/>
  <c r="AA197" i="54"/>
  <c r="Z205" i="54"/>
  <c r="BI205" i="54"/>
  <c r="AF205" i="54" s="1"/>
  <c r="AN206" i="54"/>
  <c r="AA215" i="54"/>
  <c r="AN223" i="54"/>
  <c r="AM224" i="54"/>
  <c r="AN226" i="54"/>
  <c r="AN249" i="54"/>
  <c r="AA253" i="54"/>
  <c r="AC267" i="54"/>
  <c r="AM268" i="54"/>
  <c r="AA274" i="54"/>
  <c r="AG274" i="54"/>
  <c r="AM275" i="54"/>
  <c r="AP280" i="54"/>
  <c r="Q17" i="54"/>
  <c r="AH19" i="54"/>
  <c r="AC27" i="54"/>
  <c r="AF27" i="54"/>
  <c r="Z28" i="54"/>
  <c r="AK29" i="54"/>
  <c r="S28" i="54"/>
  <c r="AM31" i="54"/>
  <c r="AH31" i="54"/>
  <c r="AN34" i="54"/>
  <c r="AM35" i="54"/>
  <c r="AH35" i="54"/>
  <c r="Z43" i="54"/>
  <c r="AB54" i="54"/>
  <c r="AH54" i="54"/>
  <c r="AQ72" i="54"/>
  <c r="AM75" i="54"/>
  <c r="AH75" i="54"/>
  <c r="AM81" i="54"/>
  <c r="AH81" i="54"/>
  <c r="AE83" i="54"/>
  <c r="AK83" i="54"/>
  <c r="AH85" i="54"/>
  <c r="AK90" i="54"/>
  <c r="AK94" i="54"/>
  <c r="AK97" i="54"/>
  <c r="AA98" i="54"/>
  <c r="AF107" i="54"/>
  <c r="AD111" i="54"/>
  <c r="BD116" i="54"/>
  <c r="BH116" i="54"/>
  <c r="BT116" i="54"/>
  <c r="AE152" i="54"/>
  <c r="AD154" i="54"/>
  <c r="AJ154" i="54"/>
  <c r="AE155" i="54"/>
  <c r="AC157" i="54"/>
  <c r="AI157" i="54"/>
  <c r="AH160" i="54"/>
  <c r="AH163" i="54"/>
  <c r="AK167" i="54"/>
  <c r="AF168" i="54"/>
  <c r="AM189" i="54"/>
  <c r="BS197" i="54"/>
  <c r="AI197" i="54" s="1"/>
  <c r="AA200" i="54"/>
  <c r="AD200" i="54"/>
  <c r="AG200" i="54"/>
  <c r="AQ202" i="54"/>
  <c r="AF203" i="54"/>
  <c r="AF216" i="54"/>
  <c r="BI217" i="54"/>
  <c r="AF217" i="54" s="1"/>
  <c r="AH220" i="54"/>
  <c r="AK230" i="54"/>
  <c r="AH232" i="54"/>
  <c r="AK237" i="54"/>
  <c r="AH256" i="54"/>
  <c r="AH260" i="54"/>
  <c r="AN262" i="54"/>
  <c r="Z274" i="54"/>
  <c r="AC274" i="54"/>
  <c r="AA3" i="54"/>
  <c r="AQ3" i="54" s="1"/>
  <c r="AF23" i="54"/>
  <c r="AM25" i="54"/>
  <c r="Z37" i="54"/>
  <c r="AC37" i="54"/>
  <c r="AF37" i="54"/>
  <c r="O52" i="54"/>
  <c r="L51" i="54"/>
  <c r="O51" i="54" s="1"/>
  <c r="AI3" i="54"/>
  <c r="AK3" i="54" s="1"/>
  <c r="AE4" i="54"/>
  <c r="AH15" i="54"/>
  <c r="AA23" i="54"/>
  <c r="AJ23" i="54"/>
  <c r="AN24" i="54"/>
  <c r="AA28" i="54"/>
  <c r="AG28" i="54"/>
  <c r="AJ28" i="54"/>
  <c r="AK34" i="54"/>
  <c r="AN36" i="54"/>
  <c r="Z36" i="54"/>
  <c r="AE41" i="54"/>
  <c r="AM42" i="54"/>
  <c r="AI47" i="54"/>
  <c r="AK47" i="54" s="1"/>
  <c r="Z49" i="54"/>
  <c r="AF49" i="54"/>
  <c r="AP41" i="54"/>
  <c r="AF43" i="54"/>
  <c r="AD46" i="54"/>
  <c r="AJ46" i="54"/>
  <c r="AN14" i="54"/>
  <c r="AK19" i="54"/>
  <c r="AK20" i="54"/>
  <c r="AK22" i="54"/>
  <c r="AK24" i="54"/>
  <c r="Q28" i="54"/>
  <c r="AE32" i="54"/>
  <c r="AH34" i="54"/>
  <c r="AB42" i="54"/>
  <c r="AH41" i="54"/>
  <c r="AE45" i="54"/>
  <c r="AN48" i="54"/>
  <c r="AD49" i="54"/>
  <c r="AP50" i="54"/>
  <c r="AF51" i="54"/>
  <c r="AY67" i="54"/>
  <c r="BQ67" i="54"/>
  <c r="AH74" i="54"/>
  <c r="AA79" i="54"/>
  <c r="AZ78" i="54"/>
  <c r="BL78" i="54"/>
  <c r="AK87" i="54"/>
  <c r="AK93" i="54"/>
  <c r="AA95" i="54"/>
  <c r="AD95" i="54"/>
  <c r="AP96" i="54"/>
  <c r="AK96" i="54"/>
  <c r="AE99" i="54"/>
  <c r="AK99" i="54"/>
  <c r="AH100" i="54"/>
  <c r="AE103" i="54"/>
  <c r="AH104" i="54"/>
  <c r="AK112" i="54"/>
  <c r="AK113" i="54"/>
  <c r="AK122" i="54"/>
  <c r="AB124" i="54"/>
  <c r="AC145" i="54"/>
  <c r="AH147" i="54"/>
  <c r="AM149" i="54"/>
  <c r="AK160" i="54"/>
  <c r="AH161" i="54"/>
  <c r="AH162" i="54"/>
  <c r="AE165" i="54"/>
  <c r="AK165" i="54"/>
  <c r="AH169" i="54"/>
  <c r="AD184" i="54"/>
  <c r="AK189" i="54"/>
  <c r="AK193" i="54"/>
  <c r="AE194" i="54"/>
  <c r="AK194" i="54"/>
  <c r="Z197" i="54"/>
  <c r="AK198" i="54"/>
  <c r="AK199" i="54"/>
  <c r="AA203" i="54"/>
  <c r="AB204" i="54"/>
  <c r="AH204" i="54"/>
  <c r="AP235" i="54"/>
  <c r="AC215" i="54"/>
  <c r="AK220" i="54"/>
  <c r="AE221" i="54"/>
  <c r="AK221" i="54"/>
  <c r="AK227" i="54"/>
  <c r="AT228" i="54"/>
  <c r="AN237" i="54"/>
  <c r="AM238" i="54"/>
  <c r="AE245" i="54"/>
  <c r="AD253" i="54"/>
  <c r="AG253" i="54"/>
  <c r="AH254" i="54"/>
  <c r="AE260" i="54"/>
  <c r="AK262" i="54"/>
  <c r="AJ67" i="54"/>
  <c r="AQ84" i="54"/>
  <c r="AN124" i="54"/>
  <c r="Z131" i="54"/>
  <c r="AC192" i="54"/>
  <c r="AF192" i="54"/>
  <c r="AJ197" i="54"/>
  <c r="AD215" i="54"/>
  <c r="AF257" i="54"/>
  <c r="AM258" i="54"/>
  <c r="AT294" i="54"/>
  <c r="AH45" i="54"/>
  <c r="AK53" i="54"/>
  <c r="AA65" i="54"/>
  <c r="AG67" i="54"/>
  <c r="AK72" i="54"/>
  <c r="AE73" i="54"/>
  <c r="AE74" i="54"/>
  <c r="AE75" i="54"/>
  <c r="AK75" i="54"/>
  <c r="AE76" i="54"/>
  <c r="AF70" i="54"/>
  <c r="AH70" i="54" s="1"/>
  <c r="AE77" i="54"/>
  <c r="AH82" i="54"/>
  <c r="AK84" i="54"/>
  <c r="AK101" i="54"/>
  <c r="AB102" i="54"/>
  <c r="AK105" i="54"/>
  <c r="AB106" i="54"/>
  <c r="AH112" i="54"/>
  <c r="AE114" i="54"/>
  <c r="AE115" i="54"/>
  <c r="AK115" i="54"/>
  <c r="BJ116" i="54"/>
  <c r="AE123" i="54"/>
  <c r="AE124" i="54"/>
  <c r="AE132" i="54"/>
  <c r="AB153" i="54"/>
  <c r="AB167" i="54"/>
  <c r="AH167" i="54"/>
  <c r="AE169" i="54"/>
  <c r="AK169" i="54"/>
  <c r="AE171" i="54"/>
  <c r="O185" i="54"/>
  <c r="AH188" i="54"/>
  <c r="AH189" i="54"/>
  <c r="AE190" i="54"/>
  <c r="AH194" i="54"/>
  <c r="AH199" i="54"/>
  <c r="AE204" i="54"/>
  <c r="AK204" i="54"/>
  <c r="AI205" i="54"/>
  <c r="AE235" i="54"/>
  <c r="AK235" i="54"/>
  <c r="AG217" i="54"/>
  <c r="AH218" i="54"/>
  <c r="AH221" i="54"/>
  <c r="AE223" i="54"/>
  <c r="AB225" i="54"/>
  <c r="AM228" i="54"/>
  <c r="AH244" i="54"/>
  <c r="AE254" i="54"/>
  <c r="AH262" i="54"/>
  <c r="AH268" i="54"/>
  <c r="AT288" i="54"/>
  <c r="AT291" i="54"/>
  <c r="AP294" i="54"/>
  <c r="AY78" i="54"/>
  <c r="BG78" i="54"/>
  <c r="BK78" i="54"/>
  <c r="BS78" i="54"/>
  <c r="AP92" i="54"/>
  <c r="Z107" i="54"/>
  <c r="AN113" i="54"/>
  <c r="AM114" i="54"/>
  <c r="AA175" i="54"/>
  <c r="AA177" i="54" s="1"/>
  <c r="AD175" i="54"/>
  <c r="AG175" i="54"/>
  <c r="AG177" i="54" s="1"/>
  <c r="AG178" i="54" s="1"/>
  <c r="AT216" i="54"/>
  <c r="AM223" i="54"/>
  <c r="AB236" i="54"/>
  <c r="AS277" i="54"/>
  <c r="AV277" i="54" s="1"/>
  <c r="AP288" i="54"/>
  <c r="Z65" i="54"/>
  <c r="Z3" i="54"/>
  <c r="AC3" i="54"/>
  <c r="AF3" i="54"/>
  <c r="AH3" i="54" s="1"/>
  <c r="AP4" i="54"/>
  <c r="AK4" i="54"/>
  <c r="AK13" i="54"/>
  <c r="AI14" i="54"/>
  <c r="AK14" i="54" s="1"/>
  <c r="AE15" i="54"/>
  <c r="AK15" i="54"/>
  <c r="AN16" i="54"/>
  <c r="AQ19" i="54"/>
  <c r="AM20" i="54"/>
  <c r="AE20" i="54"/>
  <c r="AN22" i="54"/>
  <c r="AE24" i="54"/>
  <c r="AP26" i="54"/>
  <c r="AC28" i="54"/>
  <c r="AF28" i="54"/>
  <c r="AI28" i="54"/>
  <c r="AM29" i="54"/>
  <c r="AM30" i="54"/>
  <c r="AP34" i="54"/>
  <c r="AC36" i="54"/>
  <c r="AE36" i="54" s="1"/>
  <c r="AI36" i="54"/>
  <c r="AK36" i="54" s="1"/>
  <c r="AH39" i="54"/>
  <c r="AQ41" i="54"/>
  <c r="AJ43" i="54"/>
  <c r="AA46" i="54"/>
  <c r="AM47" i="54"/>
  <c r="AI52" i="54"/>
  <c r="AK52" i="54" s="1"/>
  <c r="AA55" i="54"/>
  <c r="AD55" i="54"/>
  <c r="Z56" i="54"/>
  <c r="AB56" i="54" s="1"/>
  <c r="AD65" i="54"/>
  <c r="AJ65" i="54"/>
  <c r="Z66" i="54"/>
  <c r="AB66" i="54" s="1"/>
  <c r="BC67" i="54"/>
  <c r="BK67" i="54"/>
  <c r="AI68" i="54"/>
  <c r="AS69" i="54"/>
  <c r="AV69" i="54" s="1"/>
  <c r="AP71" i="54"/>
  <c r="AM77" i="54"/>
  <c r="AD79" i="54"/>
  <c r="AJ79" i="54"/>
  <c r="Z86" i="54"/>
  <c r="BA78" i="54"/>
  <c r="AC86" i="54"/>
  <c r="AF86" i="54"/>
  <c r="BQ78" i="54"/>
  <c r="AE87" i="54"/>
  <c r="AT91" i="54"/>
  <c r="AE93" i="54"/>
  <c r="AQ97" i="54"/>
  <c r="AS99" i="54"/>
  <c r="AV99" i="54" s="1"/>
  <c r="AS103" i="54"/>
  <c r="BH78" i="54"/>
  <c r="BP78" i="54"/>
  <c r="AN4" i="54"/>
  <c r="AQ12" i="54"/>
  <c r="AM13" i="54"/>
  <c r="AF14" i="54"/>
  <c r="AH14" i="54" s="1"/>
  <c r="AE16" i="54"/>
  <c r="AP18" i="54"/>
  <c r="AS20" i="54"/>
  <c r="AV20" i="54" s="1"/>
  <c r="AE22" i="54"/>
  <c r="AE25" i="54"/>
  <c r="AK25" i="54"/>
  <c r="AD28" i="54"/>
  <c r="AN29" i="54"/>
  <c r="AM33" i="54"/>
  <c r="L37" i="54"/>
  <c r="O37" i="54" s="1"/>
  <c r="AK38" i="54"/>
  <c r="AM40" i="54"/>
  <c r="AH40" i="54"/>
  <c r="AB44" i="54"/>
  <c r="AH44" i="54"/>
  <c r="AK45" i="54"/>
  <c r="AK48" i="54"/>
  <c r="AN50" i="54"/>
  <c r="AH50" i="54"/>
  <c r="AM60" i="54"/>
  <c r="BI65" i="54"/>
  <c r="AD67" i="54"/>
  <c r="AQ68" i="54"/>
  <c r="AN69" i="54"/>
  <c r="AM76" i="54"/>
  <c r="AN70" i="54"/>
  <c r="AN77" i="54"/>
  <c r="AK82" i="54"/>
  <c r="AT83" i="54"/>
  <c r="AM87" i="54"/>
  <c r="AE91" i="54"/>
  <c r="AK91" i="54"/>
  <c r="AQ92" i="54"/>
  <c r="AM93" i="54"/>
  <c r="AC95" i="54"/>
  <c r="AI95" i="54"/>
  <c r="AQ96" i="54"/>
  <c r="AM97" i="54"/>
  <c r="AH38" i="54"/>
  <c r="BM55" i="54"/>
  <c r="AF55" i="54" s="1"/>
  <c r="AK80" i="54"/>
  <c r="AB90" i="54"/>
  <c r="AB94" i="54"/>
  <c r="AT99" i="54"/>
  <c r="AE101" i="54"/>
  <c r="AK102" i="54"/>
  <c r="AT103" i="54"/>
  <c r="AE105" i="54"/>
  <c r="AK106" i="54"/>
  <c r="AN109" i="54"/>
  <c r="AH113" i="54"/>
  <c r="AH114" i="54"/>
  <c r="AT118" i="54"/>
  <c r="AK118" i="54"/>
  <c r="AN122" i="54"/>
  <c r="AH123" i="54"/>
  <c r="AT126" i="54"/>
  <c r="AK144" i="54"/>
  <c r="AH146" i="54"/>
  <c r="AT153" i="54"/>
  <c r="AA157" i="54"/>
  <c r="AE161" i="54"/>
  <c r="AK161" i="54"/>
  <c r="Z168" i="54"/>
  <c r="AQ169" i="54"/>
  <c r="Z175" i="54"/>
  <c r="AC175" i="54"/>
  <c r="AF175" i="54"/>
  <c r="AF177" i="54" s="1"/>
  <c r="AI175" i="54"/>
  <c r="AI177" i="54" s="1"/>
  <c r="AI178" i="54" s="1"/>
  <c r="AN189" i="54"/>
  <c r="AM190" i="54"/>
  <c r="AH190" i="54"/>
  <c r="AE195" i="54"/>
  <c r="AQ199" i="54"/>
  <c r="AT202" i="54"/>
  <c r="AC205" i="54"/>
  <c r="AN208" i="54"/>
  <c r="Z211" i="54"/>
  <c r="AC211" i="54"/>
  <c r="AF211" i="54"/>
  <c r="AN212" i="54"/>
  <c r="AM219" i="54"/>
  <c r="AH219" i="54"/>
  <c r="AS224" i="54"/>
  <c r="AV224" i="54" s="1"/>
  <c r="AT225" i="54"/>
  <c r="AK229" i="54"/>
  <c r="AS236" i="54"/>
  <c r="AV236" i="54" s="1"/>
  <c r="AE238" i="54"/>
  <c r="AE249" i="54"/>
  <c r="BA257" i="54"/>
  <c r="Z257" i="54" s="1"/>
  <c r="AH258" i="54"/>
  <c r="AP261" i="54"/>
  <c r="AH278" i="54"/>
  <c r="AK280" i="54"/>
  <c r="AK281" i="54"/>
  <c r="AK288" i="54"/>
  <c r="AB289" i="54"/>
  <c r="AH290" i="54"/>
  <c r="AK291" i="54"/>
  <c r="AK292" i="54"/>
  <c r="AH294" i="54"/>
  <c r="AN160" i="54"/>
  <c r="AA166" i="54"/>
  <c r="AD166" i="54"/>
  <c r="AA168" i="54"/>
  <c r="AD168" i="54"/>
  <c r="AG168" i="54"/>
  <c r="AJ168" i="54"/>
  <c r="AS169" i="54"/>
  <c r="AV169" i="54" s="1"/>
  <c r="AN185" i="54"/>
  <c r="AQ188" i="54"/>
  <c r="AM194" i="54"/>
  <c r="AB196" i="54"/>
  <c r="AC197" i="54"/>
  <c r="AN201" i="54"/>
  <c r="AP202" i="54"/>
  <c r="AT206" i="54"/>
  <c r="AN210" i="54"/>
  <c r="AQ218" i="54"/>
  <c r="AB224" i="54"/>
  <c r="AI242" i="54"/>
  <c r="AF243" i="54"/>
  <c r="AI243" i="54"/>
  <c r="AS289" i="54"/>
  <c r="AV289" i="54" s="1"/>
  <c r="AP291" i="54"/>
  <c r="AK100" i="54"/>
  <c r="AH102" i="54"/>
  <c r="AK104" i="54"/>
  <c r="AH106" i="54"/>
  <c r="AA111" i="54"/>
  <c r="AJ111" i="54"/>
  <c r="AM112" i="54"/>
  <c r="AE113" i="54"/>
  <c r="AS114" i="54"/>
  <c r="AV114" i="54" s="1"/>
  <c r="AT115" i="54"/>
  <c r="BN116" i="54"/>
  <c r="AP118" i="54"/>
  <c r="AK120" i="54"/>
  <c r="AK123" i="54"/>
  <c r="AK126" i="54"/>
  <c r="AE130" i="54"/>
  <c r="AK130" i="54"/>
  <c r="AB144" i="54"/>
  <c r="AH144" i="54"/>
  <c r="BB116" i="54"/>
  <c r="AJ145" i="54"/>
  <c r="AS149" i="54"/>
  <c r="AV149" i="54" s="1"/>
  <c r="AK150" i="54"/>
  <c r="AP152" i="54"/>
  <c r="AM153" i="54"/>
  <c r="AK153" i="54"/>
  <c r="AE162" i="54"/>
  <c r="AM163" i="54"/>
  <c r="AE185" i="54"/>
  <c r="AK185" i="54"/>
  <c r="AE189" i="54"/>
  <c r="AK190" i="54"/>
  <c r="AH191" i="54"/>
  <c r="AH195" i="54"/>
  <c r="AB198" i="54"/>
  <c r="AE201" i="54"/>
  <c r="AH202" i="54"/>
  <c r="AE210" i="54"/>
  <c r="AK210" i="54"/>
  <c r="AF215" i="54"/>
  <c r="AP218" i="54"/>
  <c r="AH223" i="54"/>
  <c r="AK224" i="54"/>
  <c r="AM225" i="54"/>
  <c r="AK228" i="54"/>
  <c r="AK231" i="54"/>
  <c r="AK236" i="54"/>
  <c r="AH238" i="54"/>
  <c r="AJ242" i="54"/>
  <c r="AK244" i="54"/>
  <c r="AB249" i="54"/>
  <c r="Z253" i="54"/>
  <c r="BO257" i="54"/>
  <c r="BO298" i="54" s="1"/>
  <c r="AK258" i="54"/>
  <c r="AH261" i="54"/>
  <c r="AF274" i="54"/>
  <c r="AI274" i="54"/>
  <c r="AM276" i="54"/>
  <c r="AE278" i="54"/>
  <c r="AE282" i="54"/>
  <c r="AK290" i="54"/>
  <c r="AH292" i="54"/>
  <c r="AK293" i="54"/>
  <c r="AE294" i="54"/>
  <c r="AS125" i="54"/>
  <c r="AV125" i="54" s="1"/>
  <c r="AN130" i="54"/>
  <c r="AA131" i="54"/>
  <c r="AD131" i="54"/>
  <c r="AG131" i="54"/>
  <c r="AJ131" i="54"/>
  <c r="AN144" i="54"/>
  <c r="AI145" i="54"/>
  <c r="AA148" i="54"/>
  <c r="AD148" i="54"/>
  <c r="AG148" i="54"/>
  <c r="AJ148" i="54"/>
  <c r="AB149" i="54"/>
  <c r="AT149" i="54"/>
  <c r="AJ215" i="54"/>
  <c r="AB229" i="54"/>
  <c r="AT229" i="54"/>
  <c r="AM230" i="54"/>
  <c r="AP237" i="54"/>
  <c r="AD257" i="54"/>
  <c r="AN258" i="54"/>
  <c r="AM259" i="54"/>
  <c r="AN261" i="54"/>
  <c r="Z267" i="54"/>
  <c r="AF267" i="54"/>
  <c r="AI267" i="54"/>
  <c r="AM156" i="54"/>
  <c r="AB156" i="54"/>
  <c r="O268" i="54"/>
  <c r="L267" i="54"/>
  <c r="O267" i="54" s="1"/>
  <c r="AN12" i="54"/>
  <c r="AH12" i="54"/>
  <c r="AE13" i="54"/>
  <c r="AC14" i="54"/>
  <c r="AE14" i="54" s="1"/>
  <c r="AM16" i="54"/>
  <c r="AK16" i="54"/>
  <c r="AM18" i="54"/>
  <c r="AK18" i="54"/>
  <c r="AM19" i="54"/>
  <c r="AP20" i="54"/>
  <c r="AQ22" i="54"/>
  <c r="AH22" i="54"/>
  <c r="AD23" i="54"/>
  <c r="AG23" i="54"/>
  <c r="AQ24" i="54"/>
  <c r="AT25" i="54"/>
  <c r="AM26" i="54"/>
  <c r="AK26" i="54"/>
  <c r="AE29" i="54"/>
  <c r="AT30" i="54"/>
  <c r="AS30" i="54"/>
  <c r="AV30" i="54" s="1"/>
  <c r="AN31" i="54"/>
  <c r="AK32" i="54"/>
  <c r="AT33" i="54"/>
  <c r="AS33" i="54"/>
  <c r="AV33" i="54" s="1"/>
  <c r="AQ34" i="54"/>
  <c r="AN35" i="54"/>
  <c r="AQ36" i="54"/>
  <c r="AP38" i="54"/>
  <c r="AM39" i="54"/>
  <c r="AN40" i="54"/>
  <c r="AE42" i="54"/>
  <c r="AK44" i="54"/>
  <c r="AB45" i="54"/>
  <c r="AP47" i="54"/>
  <c r="AK50" i="54"/>
  <c r="AT54" i="54"/>
  <c r="AM54" i="54"/>
  <c r="AG55" i="54"/>
  <c r="AN56" i="54"/>
  <c r="AH60" i="54"/>
  <c r="AK66" i="54"/>
  <c r="AB69" i="54"/>
  <c r="AK71" i="54"/>
  <c r="AN72" i="54"/>
  <c r="AS72" i="54"/>
  <c r="AV72" i="54" s="1"/>
  <c r="AK73" i="54"/>
  <c r="AK74" i="54"/>
  <c r="AH76" i="54"/>
  <c r="BE78" i="54"/>
  <c r="BM78" i="54"/>
  <c r="AT84" i="54"/>
  <c r="AH87" i="54"/>
  <c r="AT92" i="54"/>
  <c r="AH93" i="54"/>
  <c r="AT96" i="54"/>
  <c r="AH97" i="54"/>
  <c r="X55" i="54"/>
  <c r="X205" i="54" s="1"/>
  <c r="X298" i="54" s="1"/>
  <c r="AM22" i="54"/>
  <c r="AM24" i="54"/>
  <c r="AS25" i="54"/>
  <c r="AT26" i="54"/>
  <c r="AE26" i="54"/>
  <c r="AQ29" i="54"/>
  <c r="AB30" i="54"/>
  <c r="AN39" i="54"/>
  <c r="AG46" i="54"/>
  <c r="AS48" i="54"/>
  <c r="AV48" i="54" s="1"/>
  <c r="AM71" i="54"/>
  <c r="AE71" i="54"/>
  <c r="AB72" i="54"/>
  <c r="AM73" i="54"/>
  <c r="AN75" i="54"/>
  <c r="AP76" i="54"/>
  <c r="AP77" i="54"/>
  <c r="AM85" i="54"/>
  <c r="AI86" i="54"/>
  <c r="AN87" i="54"/>
  <c r="AN93" i="54"/>
  <c r="AN97" i="54"/>
  <c r="AC98" i="54"/>
  <c r="AI98" i="54"/>
  <c r="AD107" i="54"/>
  <c r="AP108" i="54"/>
  <c r="AM109" i="54"/>
  <c r="AS110" i="54"/>
  <c r="AV110" i="54" s="1"/>
  <c r="AC111" i="54"/>
  <c r="AJ117" i="54"/>
  <c r="BP116" i="54"/>
  <c r="AQ13" i="54"/>
  <c r="AM15" i="54"/>
  <c r="AT18" i="54"/>
  <c r="AE18" i="54"/>
  <c r="AN19" i="54"/>
  <c r="Z23" i="54"/>
  <c r="AC23" i="54"/>
  <c r="AI23" i="54"/>
  <c r="AB25" i="54"/>
  <c r="AS32" i="54"/>
  <c r="AV32" i="54" s="1"/>
  <c r="AB33" i="54"/>
  <c r="AM34" i="54"/>
  <c r="AQ38" i="54"/>
  <c r="AS42" i="54"/>
  <c r="AV42" i="54" s="1"/>
  <c r="AA51" i="54"/>
  <c r="AD51" i="54"/>
  <c r="AG51" i="54"/>
  <c r="AJ51" i="54"/>
  <c r="AQ54" i="54"/>
  <c r="AQ56" i="54"/>
  <c r="AP60" i="54"/>
  <c r="AB16" i="54"/>
  <c r="AS16" i="54"/>
  <c r="AV16" i="54" s="1"/>
  <c r="AJ17" i="54"/>
  <c r="AB18" i="54"/>
  <c r="AS18" i="54"/>
  <c r="AV18" i="54" s="1"/>
  <c r="AE19" i="54"/>
  <c r="AT20" i="54"/>
  <c r="AP25" i="54"/>
  <c r="AB26" i="54"/>
  <c r="AS26" i="54"/>
  <c r="AP30" i="54"/>
  <c r="AK30" i="54"/>
  <c r="AE31" i="54"/>
  <c r="AK31" i="54"/>
  <c r="AB32" i="54"/>
  <c r="AH32" i="54"/>
  <c r="AP33" i="54"/>
  <c r="AK33" i="54"/>
  <c r="AT34" i="54"/>
  <c r="AE35" i="54"/>
  <c r="AK35" i="54"/>
  <c r="AJ37" i="54"/>
  <c r="AE40" i="54"/>
  <c r="AK40" i="54"/>
  <c r="AK41" i="54"/>
  <c r="AP44" i="54"/>
  <c r="AT44" i="54"/>
  <c r="AP45" i="54"/>
  <c r="AT45" i="54"/>
  <c r="AA49" i="54"/>
  <c r="Z51" i="54"/>
  <c r="AH53" i="54"/>
  <c r="AK54" i="54"/>
  <c r="AK60" i="54"/>
  <c r="AI65" i="54"/>
  <c r="AT68" i="54"/>
  <c r="AM69" i="54"/>
  <c r="AQ69" i="54"/>
  <c r="AK69" i="54"/>
  <c r="AN71" i="54"/>
  <c r="AH71" i="54"/>
  <c r="AE72" i="54"/>
  <c r="AN73" i="54"/>
  <c r="AN74" i="54"/>
  <c r="AP75" i="54"/>
  <c r="AK76" i="54"/>
  <c r="AK77" i="54"/>
  <c r="AQ80" i="54"/>
  <c r="AT80" i="54"/>
  <c r="AB83" i="54"/>
  <c r="AS91" i="54"/>
  <c r="Z95" i="54"/>
  <c r="AF95" i="54"/>
  <c r="AQ100" i="54"/>
  <c r="AH101" i="54"/>
  <c r="AQ104" i="54"/>
  <c r="AH105" i="54"/>
  <c r="BF116" i="54"/>
  <c r="BR116" i="54"/>
  <c r="AP82" i="54"/>
  <c r="AQ83" i="54"/>
  <c r="AE84" i="54"/>
  <c r="AK85" i="54"/>
  <c r="AX78" i="54"/>
  <c r="BB78" i="54"/>
  <c r="BF78" i="54"/>
  <c r="BJ78" i="54"/>
  <c r="BN78" i="54"/>
  <c r="BR78" i="54"/>
  <c r="AP90" i="54"/>
  <c r="AP91" i="54"/>
  <c r="AQ91" i="54"/>
  <c r="AP94" i="54"/>
  <c r="AP99" i="54"/>
  <c r="AQ99" i="54"/>
  <c r="AP102" i="54"/>
  <c r="AP103" i="54"/>
  <c r="AQ103" i="54"/>
  <c r="AK103" i="54"/>
  <c r="AS106" i="54"/>
  <c r="AV106" i="54" s="1"/>
  <c r="AK110" i="54"/>
  <c r="AH115" i="54"/>
  <c r="AG117" i="54"/>
  <c r="AH118" i="54"/>
  <c r="AN125" i="54"/>
  <c r="AB125" i="54"/>
  <c r="AI111" i="54"/>
  <c r="AQ112" i="54"/>
  <c r="AT114" i="54"/>
  <c r="AA117" i="54"/>
  <c r="AE118" i="54"/>
  <c r="AN120" i="54"/>
  <c r="AP126" i="54"/>
  <c r="AM130" i="54"/>
  <c r="AB130" i="54"/>
  <c r="AP150" i="54"/>
  <c r="Z151" i="54"/>
  <c r="AF157" i="54"/>
  <c r="AM165" i="54"/>
  <c r="AB165" i="54"/>
  <c r="AE176" i="54"/>
  <c r="AS176" i="54"/>
  <c r="AV176" i="54" s="1"/>
  <c r="AE80" i="54"/>
  <c r="AE81" i="54"/>
  <c r="AK81" i="54"/>
  <c r="AS82" i="54"/>
  <c r="AV82" i="54" s="1"/>
  <c r="AE82" i="54"/>
  <c r="AM84" i="54"/>
  <c r="AN85" i="54"/>
  <c r="AD86" i="54"/>
  <c r="AJ86" i="54"/>
  <c r="AS90" i="54"/>
  <c r="AV90" i="54" s="1"/>
  <c r="AE90" i="54"/>
  <c r="AB91" i="54"/>
  <c r="AM92" i="54"/>
  <c r="AH92" i="54"/>
  <c r="AS94" i="54"/>
  <c r="AV94" i="54" s="1"/>
  <c r="AE94" i="54"/>
  <c r="AM96" i="54"/>
  <c r="AH96" i="54"/>
  <c r="AE97" i="54"/>
  <c r="AD98" i="54"/>
  <c r="AG98" i="54"/>
  <c r="AJ98" i="54"/>
  <c r="AB99" i="54"/>
  <c r="AM100" i="54"/>
  <c r="AS102" i="54"/>
  <c r="AV102" i="54" s="1"/>
  <c r="AE102" i="54"/>
  <c r="AB103" i="54"/>
  <c r="AM104" i="54"/>
  <c r="AM106" i="54"/>
  <c r="AE106" i="54"/>
  <c r="AC107" i="54"/>
  <c r="AI107" i="54"/>
  <c r="AQ108" i="54"/>
  <c r="AH108" i="54"/>
  <c r="AE109" i="54"/>
  <c r="AK109" i="54"/>
  <c r="AB110" i="54"/>
  <c r="AH110" i="54"/>
  <c r="AP112" i="54"/>
  <c r="AM113" i="54"/>
  <c r="AP114" i="54"/>
  <c r="AM115" i="54"/>
  <c r="AX116" i="54"/>
  <c r="Z117" i="54"/>
  <c r="AF117" i="54"/>
  <c r="AI117" i="54"/>
  <c r="AT119" i="54"/>
  <c r="AK119" i="54"/>
  <c r="AE120" i="54"/>
  <c r="AK146" i="54"/>
  <c r="AB152" i="54"/>
  <c r="AU182" i="54"/>
  <c r="AV182" i="54"/>
  <c r="AC184" i="54"/>
  <c r="AK188" i="54"/>
  <c r="AE198" i="54"/>
  <c r="AB201" i="54"/>
  <c r="AS120" i="54"/>
  <c r="AV120" i="54" s="1"/>
  <c r="AN121" i="54"/>
  <c r="AT125" i="54"/>
  <c r="AE127" i="54"/>
  <c r="AK127" i="54"/>
  <c r="AF145" i="54"/>
  <c r="AC148" i="54"/>
  <c r="AE149" i="54"/>
  <c r="AT150" i="54"/>
  <c r="AG151" i="54"/>
  <c r="AJ151" i="54"/>
  <c r="AS152" i="54"/>
  <c r="AV152" i="54" s="1"/>
  <c r="AP153" i="54"/>
  <c r="AA154" i="54"/>
  <c r="AM155" i="54"/>
  <c r="AK155" i="54"/>
  <c r="AN156" i="54"/>
  <c r="AE160" i="54"/>
  <c r="AK162" i="54"/>
  <c r="AK163" i="54"/>
  <c r="AF164" i="54"/>
  <c r="AN165" i="54"/>
  <c r="AG166" i="54"/>
  <c r="AT167" i="54"/>
  <c r="AI168" i="54"/>
  <c r="AM176" i="54"/>
  <c r="AQ176" i="54"/>
  <c r="AT176" i="54"/>
  <c r="AE179" i="54"/>
  <c r="AH183" i="54"/>
  <c r="AQ185" i="54"/>
  <c r="AN191" i="54"/>
  <c r="AA192" i="54"/>
  <c r="AD192" i="54"/>
  <c r="AN193" i="54"/>
  <c r="AP196" i="54"/>
  <c r="AT198" i="54"/>
  <c r="AT201" i="54"/>
  <c r="Z203" i="54"/>
  <c r="AC203" i="54"/>
  <c r="AA205" i="54"/>
  <c r="AM208" i="54"/>
  <c r="AE216" i="54"/>
  <c r="AM227" i="54"/>
  <c r="AB227" i="54"/>
  <c r="AE231" i="54"/>
  <c r="AG257" i="54"/>
  <c r="AE259" i="54"/>
  <c r="AE269" i="54"/>
  <c r="AN278" i="54"/>
  <c r="AB278" i="54"/>
  <c r="AT121" i="54"/>
  <c r="AM132" i="54"/>
  <c r="AQ153" i="54"/>
  <c r="AC154" i="54"/>
  <c r="AF154" i="54"/>
  <c r="AI154" i="54"/>
  <c r="AN155" i="54"/>
  <c r="AS156" i="54"/>
  <c r="AV156" i="54" s="1"/>
  <c r="Z157" i="54"/>
  <c r="AQ160" i="54"/>
  <c r="AM161" i="54"/>
  <c r="AN162" i="54"/>
  <c r="AN163" i="54"/>
  <c r="AD164" i="54"/>
  <c r="AG164" i="54"/>
  <c r="AJ164" i="54"/>
  <c r="AS165" i="54"/>
  <c r="AV165" i="54" s="1"/>
  <c r="Z166" i="54"/>
  <c r="AC166" i="54"/>
  <c r="AI166" i="54"/>
  <c r="AP167" i="54"/>
  <c r="M178" i="54"/>
  <c r="AM171" i="54"/>
  <c r="AQ179" i="54"/>
  <c r="AT179" i="54"/>
  <c r="AM185" i="54"/>
  <c r="AN188" i="54"/>
  <c r="AN190" i="54"/>
  <c r="AD197" i="54"/>
  <c r="AG197" i="54"/>
  <c r="AS198" i="54"/>
  <c r="AV198" i="54" s="1"/>
  <c r="Z200" i="54"/>
  <c r="AC200" i="54"/>
  <c r="AI200" i="54"/>
  <c r="AD211" i="54"/>
  <c r="AG211" i="54"/>
  <c r="AA217" i="54"/>
  <c r="AD217" i="54"/>
  <c r="AJ217" i="54"/>
  <c r="AP226" i="54"/>
  <c r="AE226" i="54"/>
  <c r="Z243" i="54"/>
  <c r="AP120" i="54"/>
  <c r="AH120" i="54"/>
  <c r="AE121" i="54"/>
  <c r="AQ121" i="54"/>
  <c r="AH122" i="54"/>
  <c r="AM124" i="54"/>
  <c r="AK124" i="54"/>
  <c r="AM125" i="54"/>
  <c r="AK125" i="54"/>
  <c r="AH126" i="54"/>
  <c r="AH132" i="54"/>
  <c r="AS132" i="54"/>
  <c r="AV132" i="54" s="1"/>
  <c r="AT144" i="54"/>
  <c r="AE147" i="54"/>
  <c r="AK147" i="54"/>
  <c r="AN149" i="54"/>
  <c r="AH150" i="54"/>
  <c r="AM152" i="54"/>
  <c r="AK152" i="54"/>
  <c r="AN153" i="54"/>
  <c r="AH153" i="54"/>
  <c r="AP156" i="54"/>
  <c r="AD157" i="54"/>
  <c r="AM160" i="54"/>
  <c r="AN161" i="54"/>
  <c r="AP165" i="54"/>
  <c r="AM167" i="54"/>
  <c r="AQ167" i="54"/>
  <c r="AH171" i="54"/>
  <c r="AB176" i="54"/>
  <c r="AN179" i="54"/>
  <c r="AH179" i="54"/>
  <c r="AK183" i="54"/>
  <c r="AH185" i="54"/>
  <c r="AE188" i="54"/>
  <c r="AE191" i="54"/>
  <c r="AK191" i="54"/>
  <c r="AQ194" i="54"/>
  <c r="AK195" i="54"/>
  <c r="AN196" i="54"/>
  <c r="AE196" i="54"/>
  <c r="AK196" i="54"/>
  <c r="AM199" i="54"/>
  <c r="AK201" i="54"/>
  <c r="AN204" i="54"/>
  <c r="AT204" i="54"/>
  <c r="AK218" i="54"/>
  <c r="O229" i="54"/>
  <c r="L217" i="54"/>
  <c r="AM231" i="54"/>
  <c r="AB231" i="54"/>
  <c r="AK238" i="54"/>
  <c r="AB262" i="54"/>
  <c r="AE268" i="54"/>
  <c r="AM269" i="54"/>
  <c r="AB269" i="54"/>
  <c r="AD203" i="54"/>
  <c r="AG203" i="54"/>
  <c r="AH206" i="54"/>
  <c r="AT235" i="54"/>
  <c r="AK208" i="54"/>
  <c r="AH210" i="54"/>
  <c r="AK212" i="54"/>
  <c r="AK216" i="54"/>
  <c r="AN220" i="54"/>
  <c r="AN221" i="54"/>
  <c r="AP224" i="54"/>
  <c r="AP225" i="54"/>
  <c r="AM226" i="54"/>
  <c r="AK226" i="54"/>
  <c r="AN227" i="54"/>
  <c r="AH227" i="54"/>
  <c r="AP228" i="54"/>
  <c r="AP229" i="54"/>
  <c r="AN231" i="54"/>
  <c r="AE232" i="54"/>
  <c r="AP236" i="54"/>
  <c r="AM237" i="54"/>
  <c r="AQ237" i="54"/>
  <c r="AN238" i="54"/>
  <c r="AM245" i="54"/>
  <c r="AK249" i="54"/>
  <c r="AJ253" i="54"/>
  <c r="AM254" i="54"/>
  <c r="AK254" i="54"/>
  <c r="AM256" i="54"/>
  <c r="AJ257" i="54"/>
  <c r="AK259" i="54"/>
  <c r="AQ260" i="54"/>
  <c r="AM261" i="54"/>
  <c r="AK261" i="54"/>
  <c r="AT262" i="54"/>
  <c r="AK268" i="54"/>
  <c r="AN269" i="54"/>
  <c r="AP275" i="54"/>
  <c r="AH275" i="54"/>
  <c r="AH276" i="54"/>
  <c r="AH280" i="54"/>
  <c r="AK282" i="54"/>
  <c r="AH288" i="54"/>
  <c r="AK289" i="54"/>
  <c r="AB290" i="54"/>
  <c r="AH291" i="54"/>
  <c r="AE292" i="54"/>
  <c r="AE293" i="54"/>
  <c r="AN294" i="54"/>
  <c r="AQ225" i="54"/>
  <c r="AT227" i="54"/>
  <c r="AQ228" i="54"/>
  <c r="AQ229" i="54"/>
  <c r="AN230" i="54"/>
  <c r="AS231" i="54"/>
  <c r="AQ232" i="54"/>
  <c r="AQ244" i="54"/>
  <c r="AF253" i="54"/>
  <c r="AI253" i="54"/>
  <c r="AT254" i="54"/>
  <c r="AA257" i="54"/>
  <c r="AQ258" i="54"/>
  <c r="AT259" i="54"/>
  <c r="AM260" i="54"/>
  <c r="AP262" i="54"/>
  <c r="AA267" i="54"/>
  <c r="AJ267" i="54"/>
  <c r="AN268" i="54"/>
  <c r="AS269" i="54"/>
  <c r="AV269" i="54" s="1"/>
  <c r="AN276" i="54"/>
  <c r="AM277" i="54"/>
  <c r="AN280" i="54"/>
  <c r="AM281" i="54"/>
  <c r="AN288" i="54"/>
  <c r="AS290" i="54"/>
  <c r="AN291" i="54"/>
  <c r="AM292" i="54"/>
  <c r="AT293" i="54"/>
  <c r="AM204" i="54"/>
  <c r="AQ204" i="54"/>
  <c r="AE206" i="54"/>
  <c r="AH208" i="54"/>
  <c r="AQ210" i="54"/>
  <c r="AH212" i="54"/>
  <c r="AK219" i="54"/>
  <c r="AT220" i="54"/>
  <c r="AK223" i="54"/>
  <c r="AN224" i="54"/>
  <c r="AN225" i="54"/>
  <c r="AH225" i="54"/>
  <c r="AK225" i="54"/>
  <c r="AB226" i="54"/>
  <c r="AS226" i="54"/>
  <c r="AV226" i="54" s="1"/>
  <c r="AP227" i="54"/>
  <c r="AN228" i="54"/>
  <c r="AH228" i="54"/>
  <c r="AN229" i="54"/>
  <c r="AH229" i="54"/>
  <c r="AE230" i="54"/>
  <c r="AP231" i="54"/>
  <c r="AN236" i="54"/>
  <c r="AE236" i="54"/>
  <c r="AB237" i="54"/>
  <c r="AT237" i="54"/>
  <c r="AD243" i="54"/>
  <c r="AJ243" i="54"/>
  <c r="AM244" i="54"/>
  <c r="AB245" i="54"/>
  <c r="AH245" i="54"/>
  <c r="AT249" i="54"/>
  <c r="AQ254" i="54"/>
  <c r="AB261" i="54"/>
  <c r="AT261" i="54"/>
  <c r="AM262" i="54"/>
  <c r="AE275" i="54"/>
  <c r="AK276" i="54"/>
  <c r="AB277" i="54"/>
  <c r="AP278" i="54"/>
  <c r="AT278" i="54"/>
  <c r="AK278" i="54"/>
  <c r="AE280" i="54"/>
  <c r="AQ281" i="54"/>
  <c r="AH281" i="54"/>
  <c r="AM282" i="54"/>
  <c r="AH282" i="54"/>
  <c r="AE288" i="54"/>
  <c r="AH289" i="54"/>
  <c r="AE291" i="54"/>
  <c r="AH293" i="54"/>
  <c r="AK294" i="54"/>
  <c r="O205" i="54"/>
  <c r="O23" i="54"/>
  <c r="AB73" i="54"/>
  <c r="AS73" i="54"/>
  <c r="AV73" i="54" s="1"/>
  <c r="AM3" i="54"/>
  <c r="O43" i="54"/>
  <c r="AT14" i="54"/>
  <c r="AB15" i="54"/>
  <c r="AS15" i="54"/>
  <c r="AP16" i="54"/>
  <c r="AT16" i="54"/>
  <c r="AD17" i="54"/>
  <c r="BO17" i="54"/>
  <c r="AH18" i="54"/>
  <c r="AQ18" i="54"/>
  <c r="AB19" i="54"/>
  <c r="AS19" i="54"/>
  <c r="AV19" i="54" s="1"/>
  <c r="AH20" i="54"/>
  <c r="AQ20" i="54"/>
  <c r="AB22" i="54"/>
  <c r="AS22" i="54"/>
  <c r="AV22" i="54" s="1"/>
  <c r="AB24" i="54"/>
  <c r="AS24" i="54"/>
  <c r="AH25" i="54"/>
  <c r="AQ25" i="54"/>
  <c r="AH26" i="54"/>
  <c r="AQ26" i="54"/>
  <c r="AB27" i="54"/>
  <c r="AB29" i="54"/>
  <c r="AS29" i="54"/>
  <c r="AH30" i="54"/>
  <c r="AQ30" i="54"/>
  <c r="AB31" i="54"/>
  <c r="AS31" i="54"/>
  <c r="AP32" i="54"/>
  <c r="AT32" i="54"/>
  <c r="AH33" i="54"/>
  <c r="AQ33" i="54"/>
  <c r="AE34" i="54"/>
  <c r="AB35" i="54"/>
  <c r="AS35" i="54"/>
  <c r="AE38" i="54"/>
  <c r="AB39" i="54"/>
  <c r="AS39" i="54"/>
  <c r="AB40" i="54"/>
  <c r="AS40" i="54"/>
  <c r="AB41" i="54"/>
  <c r="AP42" i="54"/>
  <c r="AH42" i="54"/>
  <c r="AS44" i="54"/>
  <c r="AQ45" i="54"/>
  <c r="AC46" i="54"/>
  <c r="AI46" i="54"/>
  <c r="AQ47" i="54"/>
  <c r="AB47" i="54"/>
  <c r="AH47" i="54"/>
  <c r="AT47" i="54"/>
  <c r="AM48" i="54"/>
  <c r="AE48" i="54"/>
  <c r="AS50" i="54"/>
  <c r="AE50" i="54"/>
  <c r="AM52" i="54"/>
  <c r="AE52" i="54"/>
  <c r="AP53" i="54"/>
  <c r="AJ55" i="54"/>
  <c r="AQ4" i="54"/>
  <c r="AR4" i="54" s="1"/>
  <c r="O12" i="54"/>
  <c r="AB13" i="54"/>
  <c r="AS13" i="54"/>
  <c r="AQ14" i="54"/>
  <c r="AP15" i="54"/>
  <c r="AT15" i="54"/>
  <c r="AH16" i="54"/>
  <c r="AQ16" i="54"/>
  <c r="O17" i="54"/>
  <c r="AN18" i="54"/>
  <c r="AP19" i="54"/>
  <c r="AT19" i="54"/>
  <c r="AN20" i="54"/>
  <c r="AP22" i="54"/>
  <c r="AT22" i="54"/>
  <c r="AP24" i="54"/>
  <c r="AT24" i="54"/>
  <c r="AN25" i="54"/>
  <c r="AN26" i="54"/>
  <c r="AP29" i="54"/>
  <c r="AT29" i="54"/>
  <c r="AE30" i="54"/>
  <c r="AN30" i="54"/>
  <c r="AP31" i="54"/>
  <c r="AT31" i="54"/>
  <c r="AM32" i="54"/>
  <c r="AQ32" i="54"/>
  <c r="AE33" i="54"/>
  <c r="AN33" i="54"/>
  <c r="AB34" i="54"/>
  <c r="AS34" i="54"/>
  <c r="AP35" i="54"/>
  <c r="AT35" i="54"/>
  <c r="AT36" i="54"/>
  <c r="AB38" i="54"/>
  <c r="AS38" i="54"/>
  <c r="AV38" i="54" s="1"/>
  <c r="AP39" i="54"/>
  <c r="AT39" i="54"/>
  <c r="AP40" i="54"/>
  <c r="AT40" i="54"/>
  <c r="AT42" i="54"/>
  <c r="AN42" i="54"/>
  <c r="AK42" i="54"/>
  <c r="AQ42" i="54"/>
  <c r="AC43" i="54"/>
  <c r="BS43" i="54"/>
  <c r="AI43" i="54" s="1"/>
  <c r="AN44" i="54"/>
  <c r="AM44" i="54"/>
  <c r="AN45" i="54"/>
  <c r="AS45" i="54"/>
  <c r="AN47" i="54"/>
  <c r="AQ48" i="54"/>
  <c r="AB48" i="54"/>
  <c r="AH48" i="54"/>
  <c r="AT48" i="54"/>
  <c r="AC49" i="54"/>
  <c r="AI49" i="54"/>
  <c r="AQ50" i="54"/>
  <c r="AT50" i="54"/>
  <c r="AQ52" i="54"/>
  <c r="AB52" i="54"/>
  <c r="AH52" i="54"/>
  <c r="AT52" i="54"/>
  <c r="AM53" i="54"/>
  <c r="AE53" i="54"/>
  <c r="AP54" i="54"/>
  <c r="AS54" i="54"/>
  <c r="Z55" i="54"/>
  <c r="AK56" i="54"/>
  <c r="AQ60" i="54"/>
  <c r="AT60" i="54"/>
  <c r="AB60" i="54"/>
  <c r="AN60" i="54"/>
  <c r="AN3" i="54"/>
  <c r="AM4" i="54"/>
  <c r="AO4" i="54" s="1"/>
  <c r="AB4" i="54"/>
  <c r="AS4" i="54"/>
  <c r="AU4" i="54" s="1"/>
  <c r="BT8" i="54"/>
  <c r="AT12" i="54"/>
  <c r="AP13" i="54"/>
  <c r="AT13" i="54"/>
  <c r="AQ15" i="54"/>
  <c r="AQ31" i="54"/>
  <c r="AN32" i="54"/>
  <c r="AQ35" i="54"/>
  <c r="AT38" i="54"/>
  <c r="AQ39" i="54"/>
  <c r="AQ40" i="54"/>
  <c r="AM41" i="54"/>
  <c r="AQ53" i="54"/>
  <c r="AB53" i="54"/>
  <c r="AT53" i="54"/>
  <c r="BC55" i="54"/>
  <c r="AC56" i="54"/>
  <c r="AE56" i="54" s="1"/>
  <c r="O19" i="54"/>
  <c r="O22" i="54"/>
  <c r="O31" i="54"/>
  <c r="BS37" i="54"/>
  <c r="AT41" i="54"/>
  <c r="AN41" i="54"/>
  <c r="AS41" i="54"/>
  <c r="O44" i="54"/>
  <c r="O46" i="54"/>
  <c r="AP48" i="54"/>
  <c r="AP52" i="54"/>
  <c r="AN53" i="54"/>
  <c r="AS74" i="54"/>
  <c r="AV74" i="54" s="1"/>
  <c r="AB74" i="54"/>
  <c r="AM74" i="54"/>
  <c r="AP74" i="54"/>
  <c r="AM50" i="54"/>
  <c r="AT56" i="54"/>
  <c r="AS60" i="54"/>
  <c r="AN68" i="54"/>
  <c r="AP69" i="54"/>
  <c r="AT69" i="54"/>
  <c r="AB71" i="54"/>
  <c r="AS71" i="54"/>
  <c r="AP72" i="54"/>
  <c r="AT72" i="54"/>
  <c r="O73" i="54"/>
  <c r="AP73" i="54"/>
  <c r="AT73" i="54"/>
  <c r="O74" i="54"/>
  <c r="AT74" i="54"/>
  <c r="AB75" i="54"/>
  <c r="AS75" i="54"/>
  <c r="AB76" i="54"/>
  <c r="AS76" i="54"/>
  <c r="AT70" i="54"/>
  <c r="AQ77" i="54"/>
  <c r="AB77" i="54"/>
  <c r="AH77" i="54"/>
  <c r="AT77" i="54"/>
  <c r="AW78" i="54"/>
  <c r="AM80" i="54"/>
  <c r="AH80" i="54"/>
  <c r="AP81" i="54"/>
  <c r="AS81" i="54"/>
  <c r="AB81" i="54"/>
  <c r="AS83" i="54"/>
  <c r="AE85" i="54"/>
  <c r="BE65" i="54"/>
  <c r="AT66" i="54"/>
  <c r="AH69" i="54"/>
  <c r="AT71" i="54"/>
  <c r="AH72" i="54"/>
  <c r="AH73" i="54"/>
  <c r="AT75" i="54"/>
  <c r="AT76" i="54"/>
  <c r="BI78" i="54"/>
  <c r="AC79" i="54"/>
  <c r="AI79" i="54"/>
  <c r="AN81" i="54"/>
  <c r="P49" i="54"/>
  <c r="AB50" i="54"/>
  <c r="O65" i="54"/>
  <c r="AQ66" i="54"/>
  <c r="AQ71" i="54"/>
  <c r="AQ75" i="54"/>
  <c r="AQ76" i="54"/>
  <c r="AQ70" i="54"/>
  <c r="O79" i="54"/>
  <c r="AQ81" i="54"/>
  <c r="AB82" i="54"/>
  <c r="AQ82" i="54"/>
  <c r="AT82" i="54"/>
  <c r="AN82" i="54"/>
  <c r="AP83" i="54"/>
  <c r="AH84" i="54"/>
  <c r="AP85" i="54"/>
  <c r="AS85" i="54"/>
  <c r="AB85" i="54"/>
  <c r="AN80" i="54"/>
  <c r="AM83" i="54"/>
  <c r="AN84" i="54"/>
  <c r="AA86" i="54"/>
  <c r="AB87" i="54"/>
  <c r="AS87" i="54"/>
  <c r="AT90" i="54"/>
  <c r="AH91" i="54"/>
  <c r="AM91" i="54"/>
  <c r="AE92" i="54"/>
  <c r="AN92" i="54"/>
  <c r="AB93" i="54"/>
  <c r="AS93" i="54"/>
  <c r="AT94" i="54"/>
  <c r="AE96" i="54"/>
  <c r="AN96" i="54"/>
  <c r="AB97" i="54"/>
  <c r="AS97" i="54"/>
  <c r="AH99" i="54"/>
  <c r="AM99" i="54"/>
  <c r="AE100" i="54"/>
  <c r="AN100" i="54"/>
  <c r="AB101" i="54"/>
  <c r="AS101" i="54"/>
  <c r="AT102" i="54"/>
  <c r="AH103" i="54"/>
  <c r="AM103" i="54"/>
  <c r="AE104" i="54"/>
  <c r="AN104" i="54"/>
  <c r="AB105" i="54"/>
  <c r="AS105" i="54"/>
  <c r="AP106" i="54"/>
  <c r="AT106" i="54"/>
  <c r="AE108" i="54"/>
  <c r="AN108" i="54"/>
  <c r="AB109" i="54"/>
  <c r="AS109" i="54"/>
  <c r="AP110" i="54"/>
  <c r="AT110" i="54"/>
  <c r="AE112" i="54"/>
  <c r="AN112" i="54"/>
  <c r="AB113" i="54"/>
  <c r="AS113" i="54"/>
  <c r="AK114" i="54"/>
  <c r="AQ115" i="54"/>
  <c r="AB118" i="54"/>
  <c r="AQ118" i="54"/>
  <c r="AB119" i="54"/>
  <c r="AM119" i="54"/>
  <c r="AM121" i="54"/>
  <c r="AQ122" i="54"/>
  <c r="AH124" i="54"/>
  <c r="AS124" i="54"/>
  <c r="AE144" i="54"/>
  <c r="AS144" i="54"/>
  <c r="AN146" i="54"/>
  <c r="AS77" i="54"/>
  <c r="AB80" i="54"/>
  <c r="AS80" i="54"/>
  <c r="AT81" i="54"/>
  <c r="AM82" i="54"/>
  <c r="AN83" i="54"/>
  <c r="AB84" i="54"/>
  <c r="AS84" i="54"/>
  <c r="AT85" i="54"/>
  <c r="AP87" i="54"/>
  <c r="AT87" i="54"/>
  <c r="AM90" i="54"/>
  <c r="AQ90" i="54"/>
  <c r="AN91" i="54"/>
  <c r="AB92" i="54"/>
  <c r="AS92" i="54"/>
  <c r="AP93" i="54"/>
  <c r="AT93" i="54"/>
  <c r="AM94" i="54"/>
  <c r="AQ94" i="54"/>
  <c r="AB96" i="54"/>
  <c r="AS96" i="54"/>
  <c r="AP97" i="54"/>
  <c r="AT97" i="54"/>
  <c r="AN99" i="54"/>
  <c r="AB100" i="54"/>
  <c r="AS100" i="54"/>
  <c r="AP101" i="54"/>
  <c r="AT101" i="54"/>
  <c r="AM102" i="54"/>
  <c r="AQ102" i="54"/>
  <c r="AN103" i="54"/>
  <c r="AB104" i="54"/>
  <c r="AS104" i="54"/>
  <c r="AP105" i="54"/>
  <c r="AT105" i="54"/>
  <c r="AQ106" i="54"/>
  <c r="AB108" i="54"/>
  <c r="AS108" i="54"/>
  <c r="AP109" i="54"/>
  <c r="AT109" i="54"/>
  <c r="AQ110" i="54"/>
  <c r="AB112" i="54"/>
  <c r="AS112" i="54"/>
  <c r="AP113" i="54"/>
  <c r="AT113" i="54"/>
  <c r="AQ114" i="54"/>
  <c r="O118" i="54"/>
  <c r="AM118" i="54"/>
  <c r="AS118" i="54"/>
  <c r="AE119" i="54"/>
  <c r="AT127" i="54"/>
  <c r="AQ127" i="54"/>
  <c r="AN127" i="54"/>
  <c r="AQ87" i="54"/>
  <c r="AN90" i="54"/>
  <c r="AQ93" i="54"/>
  <c r="AN94" i="54"/>
  <c r="AT100" i="54"/>
  <c r="AQ101" i="54"/>
  <c r="AN102" i="54"/>
  <c r="AT104" i="54"/>
  <c r="AQ105" i="54"/>
  <c r="AN106" i="54"/>
  <c r="AT108" i="54"/>
  <c r="AQ109" i="54"/>
  <c r="AN110" i="54"/>
  <c r="AT112" i="54"/>
  <c r="AQ113" i="54"/>
  <c r="AN114" i="54"/>
  <c r="AS115" i="54"/>
  <c r="AB115" i="54"/>
  <c r="AQ119" i="54"/>
  <c r="AT123" i="54"/>
  <c r="AQ123" i="54"/>
  <c r="AN123" i="54"/>
  <c r="AY116" i="54"/>
  <c r="AC131" i="54"/>
  <c r="BG116" i="54"/>
  <c r="AF131" i="54"/>
  <c r="BK116" i="54"/>
  <c r="BO116" i="54"/>
  <c r="AI131" i="54"/>
  <c r="BS116" i="54"/>
  <c r="AQ132" i="54"/>
  <c r="AT132" i="54"/>
  <c r="AN132" i="54"/>
  <c r="AB132" i="54"/>
  <c r="AT146" i="54"/>
  <c r="AQ146" i="54"/>
  <c r="AB114" i="54"/>
  <c r="AP115" i="54"/>
  <c r="AN118" i="54"/>
  <c r="AN119" i="54"/>
  <c r="AS119" i="54"/>
  <c r="AQ120" i="54"/>
  <c r="AT120" i="54"/>
  <c r="AT122" i="54"/>
  <c r="AQ126" i="54"/>
  <c r="AH130" i="54"/>
  <c r="AS130" i="54"/>
  <c r="AP144" i="54"/>
  <c r="AQ147" i="54"/>
  <c r="AN147" i="54"/>
  <c r="AM120" i="54"/>
  <c r="AS122" i="54"/>
  <c r="AV122" i="54" s="1"/>
  <c r="AB122" i="54"/>
  <c r="AP123" i="54"/>
  <c r="AS123" i="54"/>
  <c r="AB123" i="54"/>
  <c r="AP125" i="54"/>
  <c r="AS126" i="54"/>
  <c r="AB126" i="54"/>
  <c r="AP127" i="54"/>
  <c r="AS127" i="54"/>
  <c r="AB127" i="54"/>
  <c r="AK132" i="54"/>
  <c r="AM144" i="54"/>
  <c r="AS146" i="54"/>
  <c r="AB146" i="54"/>
  <c r="AP147" i="54"/>
  <c r="AS147" i="54"/>
  <c r="AB147" i="54"/>
  <c r="AP149" i="54"/>
  <c r="AS150" i="54"/>
  <c r="AB150" i="54"/>
  <c r="AQ150" i="54"/>
  <c r="AT147" i="54"/>
  <c r="AQ149" i="54"/>
  <c r="AN150" i="54"/>
  <c r="AB120" i="54"/>
  <c r="AS121" i="54"/>
  <c r="AP121" i="54"/>
  <c r="AE122" i="54"/>
  <c r="AM122" i="54"/>
  <c r="AM123" i="54"/>
  <c r="AQ124" i="54"/>
  <c r="AT124" i="54"/>
  <c r="AH125" i="54"/>
  <c r="AE126" i="54"/>
  <c r="AM126" i="54"/>
  <c r="AM127" i="54"/>
  <c r="AQ130" i="54"/>
  <c r="AT130" i="54"/>
  <c r="AE146" i="54"/>
  <c r="AM146" i="54"/>
  <c r="AM147" i="54"/>
  <c r="AH149" i="54"/>
  <c r="AE150" i="54"/>
  <c r="AM150" i="54"/>
  <c r="AP124" i="54"/>
  <c r="AQ125" i="54"/>
  <c r="AP130" i="54"/>
  <c r="AP132" i="54"/>
  <c r="AQ144" i="54"/>
  <c r="AT152" i="54"/>
  <c r="AB155" i="54"/>
  <c r="AS155" i="54"/>
  <c r="AT156" i="54"/>
  <c r="O157" i="54"/>
  <c r="AB161" i="54"/>
  <c r="AS161" i="54"/>
  <c r="AB162" i="54"/>
  <c r="AS162" i="54"/>
  <c r="AB163" i="54"/>
  <c r="AS163" i="54"/>
  <c r="AT165" i="54"/>
  <c r="O166" i="54"/>
  <c r="AN169" i="54"/>
  <c r="AT169" i="54"/>
  <c r="AP171" i="54"/>
  <c r="AK179" i="54"/>
  <c r="AH152" i="54"/>
  <c r="AQ152" i="54"/>
  <c r="AE153" i="54"/>
  <c r="AP155" i="54"/>
  <c r="AT155" i="54"/>
  <c r="AH156" i="54"/>
  <c r="AQ156" i="54"/>
  <c r="AB160" i="54"/>
  <c r="AS160" i="54"/>
  <c r="AP161" i="54"/>
  <c r="AT161" i="54"/>
  <c r="AP162" i="54"/>
  <c r="AT162" i="54"/>
  <c r="AP163" i="54"/>
  <c r="AT163" i="54"/>
  <c r="AH165" i="54"/>
  <c r="AQ165" i="54"/>
  <c r="AE167" i="54"/>
  <c r="AB169" i="54"/>
  <c r="AP169" i="54"/>
  <c r="AK171" i="54"/>
  <c r="AP176" i="54"/>
  <c r="AS153" i="54"/>
  <c r="AQ155" i="54"/>
  <c r="AP160" i="54"/>
  <c r="AT160" i="54"/>
  <c r="AQ161" i="54"/>
  <c r="AQ162" i="54"/>
  <c r="AQ163" i="54"/>
  <c r="AS167" i="54"/>
  <c r="AQ171" i="54"/>
  <c r="AS171" i="54"/>
  <c r="AP179" i="54"/>
  <c r="AM169" i="54"/>
  <c r="AC174" i="54"/>
  <c r="X174" i="54" s="1"/>
  <c r="AB171" i="54"/>
  <c r="AN171" i="54"/>
  <c r="AK176" i="54"/>
  <c r="AM179" i="54"/>
  <c r="AS179" i="54"/>
  <c r="AS196" i="54"/>
  <c r="O183" i="54"/>
  <c r="AP183" i="54"/>
  <c r="AT183" i="54"/>
  <c r="O184" i="54"/>
  <c r="AA184" i="54"/>
  <c r="AI184" i="54"/>
  <c r="AB189" i="54"/>
  <c r="AS189" i="54"/>
  <c r="AB190" i="54"/>
  <c r="AS190" i="54"/>
  <c r="AB191" i="54"/>
  <c r="AS191" i="54"/>
  <c r="BS192" i="54"/>
  <c r="AI192" i="54" s="1"/>
  <c r="AB195" i="54"/>
  <c r="AS195" i="54"/>
  <c r="AT196" i="54"/>
  <c r="L197" i="54"/>
  <c r="O198" i="54"/>
  <c r="AQ198" i="54"/>
  <c r="AS199" i="54"/>
  <c r="AB199" i="54"/>
  <c r="AE199" i="54"/>
  <c r="AN199" i="54"/>
  <c r="AT199" i="54"/>
  <c r="AM201" i="54"/>
  <c r="AQ201" i="54"/>
  <c r="AS201" i="54"/>
  <c r="AN202" i="54"/>
  <c r="AQ206" i="54"/>
  <c r="AH235" i="54"/>
  <c r="AM235" i="54"/>
  <c r="AB208" i="54"/>
  <c r="AP210" i="54"/>
  <c r="AB212" i="54"/>
  <c r="AI215" i="54"/>
  <c r="AN218" i="54"/>
  <c r="AT218" i="54"/>
  <c r="AT219" i="54"/>
  <c r="AQ221" i="54"/>
  <c r="AT221" i="54"/>
  <c r="AM183" i="54"/>
  <c r="AQ183" i="54"/>
  <c r="AF184" i="54"/>
  <c r="AJ184" i="54"/>
  <c r="AB185" i="54"/>
  <c r="AS185" i="54"/>
  <c r="AB188" i="54"/>
  <c r="AS188" i="54"/>
  <c r="AP189" i="54"/>
  <c r="AT189" i="54"/>
  <c r="AP190" i="54"/>
  <c r="AT190" i="54"/>
  <c r="AP191" i="54"/>
  <c r="AT191" i="54"/>
  <c r="O192" i="54"/>
  <c r="AB193" i="54"/>
  <c r="AS193" i="54"/>
  <c r="AB194" i="54"/>
  <c r="AS194" i="54"/>
  <c r="AP195" i="54"/>
  <c r="AT195" i="54"/>
  <c r="AH196" i="54"/>
  <c r="AQ196" i="54"/>
  <c r="AP198" i="54"/>
  <c r="AH198" i="54"/>
  <c r="AM198" i="54"/>
  <c r="AP199" i="54"/>
  <c r="AH201" i="54"/>
  <c r="AE202" i="54"/>
  <c r="AM202" i="54"/>
  <c r="AP204" i="54"/>
  <c r="AB206" i="54"/>
  <c r="AP208" i="54"/>
  <c r="AS210" i="54"/>
  <c r="AV210" i="54" s="1"/>
  <c r="AB210" i="54"/>
  <c r="AP212" i="54"/>
  <c r="L215" i="54"/>
  <c r="AN216" i="54"/>
  <c r="AE218" i="54"/>
  <c r="AQ220" i="54"/>
  <c r="AM221" i="54"/>
  <c r="AP221" i="54"/>
  <c r="AS221" i="54"/>
  <c r="AB221" i="54"/>
  <c r="AN183" i="54"/>
  <c r="AP185" i="54"/>
  <c r="AT185" i="54"/>
  <c r="AP188" i="54"/>
  <c r="AT188" i="54"/>
  <c r="AQ189" i="54"/>
  <c r="AQ190" i="54"/>
  <c r="AQ191" i="54"/>
  <c r="AP193" i="54"/>
  <c r="AT193" i="54"/>
  <c r="AP194" i="54"/>
  <c r="AT194" i="54"/>
  <c r="AQ195" i="54"/>
  <c r="AN198" i="54"/>
  <c r="AS204" i="54"/>
  <c r="AM206" i="54"/>
  <c r="AS235" i="54"/>
  <c r="AB235" i="54"/>
  <c r="AQ235" i="54"/>
  <c r="AT210" i="54"/>
  <c r="AB216" i="54"/>
  <c r="AQ216" i="54"/>
  <c r="AN219" i="54"/>
  <c r="AP220" i="54"/>
  <c r="AS220" i="54"/>
  <c r="AB220" i="54"/>
  <c r="AB183" i="54"/>
  <c r="AS183" i="54"/>
  <c r="AP201" i="54"/>
  <c r="AS202" i="54"/>
  <c r="AB202" i="54"/>
  <c r="AP206" i="54"/>
  <c r="AQ208" i="54"/>
  <c r="AT208" i="54"/>
  <c r="AS208" i="54"/>
  <c r="AM210" i="54"/>
  <c r="AQ212" i="54"/>
  <c r="AT212" i="54"/>
  <c r="AS212" i="54"/>
  <c r="AS218" i="54"/>
  <c r="AB218" i="54"/>
  <c r="AP219" i="54"/>
  <c r="AS219" i="54"/>
  <c r="AB219" i="54"/>
  <c r="AE219" i="54"/>
  <c r="BS217" i="54"/>
  <c r="AI217" i="54" s="1"/>
  <c r="AB223" i="54"/>
  <c r="AS223" i="54"/>
  <c r="AT224" i="54"/>
  <c r="AT226" i="54"/>
  <c r="AT231" i="54"/>
  <c r="AT236" i="54"/>
  <c r="AT244" i="54"/>
  <c r="AK245" i="54"/>
  <c r="AM249" i="54"/>
  <c r="AS249" i="54"/>
  <c r="AQ256" i="54"/>
  <c r="AT256" i="54"/>
  <c r="AS256" i="54"/>
  <c r="AP258" i="54"/>
  <c r="AS258" i="54"/>
  <c r="AB258" i="54"/>
  <c r="AE258" i="54"/>
  <c r="AP223" i="54"/>
  <c r="AT223" i="54"/>
  <c r="AH224" i="54"/>
  <c r="AQ224" i="54"/>
  <c r="AE225" i="54"/>
  <c r="AH226" i="54"/>
  <c r="AQ226" i="54"/>
  <c r="AE227" i="54"/>
  <c r="AE228" i="54"/>
  <c r="AE229" i="54"/>
  <c r="AB230" i="54"/>
  <c r="AS230" i="54"/>
  <c r="AH231" i="54"/>
  <c r="AQ231" i="54"/>
  <c r="AB232" i="54"/>
  <c r="AS232" i="54"/>
  <c r="AH236" i="54"/>
  <c r="AQ236" i="54"/>
  <c r="AE237" i="54"/>
  <c r="AB238" i="54"/>
  <c r="AS238" i="54"/>
  <c r="AQ245" i="54"/>
  <c r="AT245" i="54"/>
  <c r="AS245" i="54"/>
  <c r="AH249" i="54"/>
  <c r="AN254" i="54"/>
  <c r="AB256" i="54"/>
  <c r="AN256" i="54"/>
  <c r="AT258" i="54"/>
  <c r="AN259" i="54"/>
  <c r="AQ223" i="54"/>
  <c r="AS225" i="54"/>
  <c r="AS227" i="54"/>
  <c r="AS228" i="54"/>
  <c r="AS229" i="54"/>
  <c r="AP230" i="54"/>
  <c r="AT230" i="54"/>
  <c r="AP232" i="54"/>
  <c r="AT232" i="54"/>
  <c r="AS237" i="54"/>
  <c r="AP238" i="54"/>
  <c r="AT238" i="54"/>
  <c r="AN244" i="54"/>
  <c r="O253" i="54"/>
  <c r="AP254" i="54"/>
  <c r="AS254" i="54"/>
  <c r="AB254" i="54"/>
  <c r="O257" i="54"/>
  <c r="AP259" i="54"/>
  <c r="AS259" i="54"/>
  <c r="AB259" i="54"/>
  <c r="AQ259" i="54"/>
  <c r="O243" i="54"/>
  <c r="AP244" i="54"/>
  <c r="AS244" i="54"/>
  <c r="AB244" i="54"/>
  <c r="AE244" i="54"/>
  <c r="AP249" i="54"/>
  <c r="AP245" i="54"/>
  <c r="AQ249" i="54"/>
  <c r="AP256" i="54"/>
  <c r="AQ261" i="54"/>
  <c r="AQ262" i="54"/>
  <c r="AB268" i="54"/>
  <c r="AS268" i="54"/>
  <c r="AP269" i="54"/>
  <c r="AT269" i="54"/>
  <c r="BQ257" i="54"/>
  <c r="BQ298" i="54" s="1"/>
  <c r="AB260" i="54"/>
  <c r="AS260" i="54"/>
  <c r="AE261" i="54"/>
  <c r="AE262" i="54"/>
  <c r="AP268" i="54"/>
  <c r="AT268" i="54"/>
  <c r="AH269" i="54"/>
  <c r="AQ269" i="54"/>
  <c r="O274" i="54"/>
  <c r="AP260" i="54"/>
  <c r="AT260" i="54"/>
  <c r="AS261" i="54"/>
  <c r="AS262" i="54"/>
  <c r="AQ268" i="54"/>
  <c r="AQ275" i="54"/>
  <c r="AT275" i="54"/>
  <c r="AN275" i="54"/>
  <c r="AB276" i="54"/>
  <c r="AS276" i="54"/>
  <c r="AP277" i="54"/>
  <c r="AT277" i="54"/>
  <c r="AM278" i="54"/>
  <c r="AQ278" i="54"/>
  <c r="AM280" i="54"/>
  <c r="AQ280" i="54"/>
  <c r="AE281" i="54"/>
  <c r="AN281" i="54"/>
  <c r="AB282" i="54"/>
  <c r="AS282" i="54"/>
  <c r="AM288" i="54"/>
  <c r="AQ288" i="54"/>
  <c r="O289" i="54"/>
  <c r="AP289" i="54"/>
  <c r="AT289" i="54"/>
  <c r="AP290" i="54"/>
  <c r="AT290" i="54"/>
  <c r="AM291" i="54"/>
  <c r="AQ291" i="54"/>
  <c r="AB292" i="54"/>
  <c r="AS292" i="54"/>
  <c r="AM293" i="54"/>
  <c r="AQ293" i="54"/>
  <c r="AM294" i="54"/>
  <c r="AQ294" i="54"/>
  <c r="AB275" i="54"/>
  <c r="AS275" i="54"/>
  <c r="AP276" i="54"/>
  <c r="AT276" i="54"/>
  <c r="AQ277" i="54"/>
  <c r="AB281" i="54"/>
  <c r="AS281" i="54"/>
  <c r="AP282" i="54"/>
  <c r="AT282" i="54"/>
  <c r="AQ289" i="54"/>
  <c r="AQ290" i="54"/>
  <c r="AP292" i="54"/>
  <c r="AT292" i="54"/>
  <c r="AQ276" i="54"/>
  <c r="AE277" i="54"/>
  <c r="AN277" i="54"/>
  <c r="AS278" i="54"/>
  <c r="AB280" i="54"/>
  <c r="AS280" i="54"/>
  <c r="AT281" i="54"/>
  <c r="AQ282" i="54"/>
  <c r="AB288" i="54"/>
  <c r="AS288" i="54"/>
  <c r="AE289" i="54"/>
  <c r="AN289" i="54"/>
  <c r="AE290" i="54"/>
  <c r="AN290" i="54"/>
  <c r="AB291" i="54"/>
  <c r="AS291" i="54"/>
  <c r="AQ292" i="54"/>
  <c r="AB293" i="54"/>
  <c r="AS293" i="54"/>
  <c r="AB294" i="54"/>
  <c r="AS294" i="54"/>
  <c r="AJ235" i="51"/>
  <c r="AI235" i="51"/>
  <c r="AG235" i="51"/>
  <c r="AF235" i="51"/>
  <c r="AD235" i="51"/>
  <c r="AC235" i="51"/>
  <c r="AA235" i="51"/>
  <c r="Z235" i="51"/>
  <c r="O235" i="51"/>
  <c r="AA298" i="54" l="1"/>
  <c r="AC298" i="54"/>
  <c r="L298" i="54"/>
  <c r="Z298" i="54"/>
  <c r="AG298" i="54"/>
  <c r="AF298" i="54"/>
  <c r="BA298" i="54"/>
  <c r="AD298" i="54"/>
  <c r="BS298" i="54"/>
  <c r="BI298" i="54"/>
  <c r="P170" i="54"/>
  <c r="P178" i="54" s="1"/>
  <c r="AC17" i="54"/>
  <c r="AM17" i="54" s="1"/>
  <c r="AH211" i="54"/>
  <c r="AN111" i="54"/>
  <c r="S301" i="54"/>
  <c r="AO162" i="54"/>
  <c r="AV183" i="54"/>
  <c r="O217" i="54"/>
  <c r="AK274" i="54"/>
  <c r="AU171" i="54"/>
  <c r="AT3" i="54"/>
  <c r="AE3" i="54"/>
  <c r="AB49" i="54"/>
  <c r="AE267" i="54"/>
  <c r="AC67" i="54"/>
  <c r="AE67" i="54" s="1"/>
  <c r="AO292" i="54"/>
  <c r="AH192" i="54"/>
  <c r="AQ267" i="54"/>
  <c r="AB157" i="54"/>
  <c r="AH267" i="54"/>
  <c r="AR294" i="54"/>
  <c r="AH86" i="54"/>
  <c r="O67" i="54"/>
  <c r="AF65" i="54"/>
  <c r="AH65" i="54" s="1"/>
  <c r="AJ62" i="54"/>
  <c r="AK62" i="54" s="1"/>
  <c r="BT57" i="54"/>
  <c r="BT5" i="54" s="1"/>
  <c r="AK27" i="54"/>
  <c r="AK95" i="54"/>
  <c r="AH242" i="54"/>
  <c r="AP3" i="54"/>
  <c r="AR3" i="54" s="1"/>
  <c r="AB3" i="54"/>
  <c r="AK148" i="54"/>
  <c r="AS3" i="54"/>
  <c r="AH79" i="54"/>
  <c r="AE243" i="54"/>
  <c r="AM243" i="54"/>
  <c r="AE253" i="54"/>
  <c r="AH166" i="54"/>
  <c r="AM51" i="54"/>
  <c r="AN192" i="54"/>
  <c r="AB43" i="54"/>
  <c r="AR50" i="54"/>
  <c r="AR96" i="54"/>
  <c r="AO289" i="54"/>
  <c r="AO258" i="54"/>
  <c r="AR236" i="54"/>
  <c r="AR76" i="54"/>
  <c r="AK157" i="54"/>
  <c r="AO106" i="54"/>
  <c r="AO96" i="54"/>
  <c r="AR114" i="54"/>
  <c r="AO92" i="54"/>
  <c r="AU229" i="54"/>
  <c r="AO216" i="54"/>
  <c r="AU102" i="54"/>
  <c r="AO236" i="54"/>
  <c r="AM205" i="54"/>
  <c r="AR102" i="54"/>
  <c r="AR71" i="54"/>
  <c r="AM253" i="54"/>
  <c r="AH215" i="54"/>
  <c r="AO275" i="54"/>
  <c r="AR188" i="54"/>
  <c r="R299" i="54"/>
  <c r="AO260" i="54"/>
  <c r="AB242" i="54"/>
  <c r="AB111" i="54"/>
  <c r="AO196" i="54"/>
  <c r="AT192" i="54"/>
  <c r="AU26" i="54"/>
  <c r="AK242" i="54"/>
  <c r="AR280" i="54"/>
  <c r="AO282" i="54"/>
  <c r="AB200" i="54"/>
  <c r="AO176" i="54"/>
  <c r="AI78" i="54"/>
  <c r="AR288" i="54"/>
  <c r="AU225" i="54"/>
  <c r="AE46" i="54"/>
  <c r="AU32" i="54"/>
  <c r="AO229" i="54"/>
  <c r="AO225" i="54"/>
  <c r="AN211" i="54"/>
  <c r="AH257" i="54"/>
  <c r="AO69" i="54"/>
  <c r="AC78" i="54"/>
  <c r="AR85" i="54"/>
  <c r="AO268" i="54"/>
  <c r="AO206" i="54"/>
  <c r="AR176" i="54"/>
  <c r="AO277" i="54"/>
  <c r="AO293" i="54"/>
  <c r="AH184" i="54"/>
  <c r="AR83" i="54"/>
  <c r="AR20" i="54"/>
  <c r="AO153" i="54"/>
  <c r="AN151" i="54"/>
  <c r="AM242" i="54"/>
  <c r="AB192" i="54"/>
  <c r="AU294" i="54"/>
  <c r="AR238" i="54"/>
  <c r="AR219" i="54"/>
  <c r="AP242" i="54"/>
  <c r="AK215" i="54"/>
  <c r="AO235" i="54"/>
  <c r="AM157" i="54"/>
  <c r="AO144" i="54"/>
  <c r="AS47" i="54"/>
  <c r="AU47" i="54" s="1"/>
  <c r="AO48" i="54"/>
  <c r="AR281" i="54"/>
  <c r="AO224" i="54"/>
  <c r="AR237" i="54"/>
  <c r="AB151" i="54"/>
  <c r="AJ78" i="54"/>
  <c r="AR202" i="54"/>
  <c r="AB79" i="54"/>
  <c r="AB98" i="54"/>
  <c r="AR77" i="54"/>
  <c r="AR72" i="54"/>
  <c r="AO25" i="54"/>
  <c r="AK55" i="54"/>
  <c r="AH197" i="54"/>
  <c r="AS52" i="54"/>
  <c r="AV52" i="54" s="1"/>
  <c r="AM98" i="54"/>
  <c r="AO54" i="54"/>
  <c r="AO76" i="54"/>
  <c r="AH49" i="54"/>
  <c r="AU291" i="54"/>
  <c r="AR261" i="54"/>
  <c r="AU224" i="54"/>
  <c r="AS242" i="54"/>
  <c r="AV242" i="54" s="1"/>
  <c r="AR146" i="54"/>
  <c r="AR97" i="54"/>
  <c r="AR122" i="54"/>
  <c r="AU277" i="54"/>
  <c r="AU179" i="54"/>
  <c r="AR169" i="54"/>
  <c r="AU169" i="54"/>
  <c r="AO126" i="54"/>
  <c r="AO45" i="54"/>
  <c r="AO167" i="54"/>
  <c r="AN157" i="54"/>
  <c r="AB217" i="54"/>
  <c r="AK151" i="54"/>
  <c r="AK107" i="54"/>
  <c r="AR34" i="54"/>
  <c r="AP197" i="54"/>
  <c r="AB168" i="54"/>
  <c r="AE28" i="54"/>
  <c r="AB65" i="54"/>
  <c r="AE215" i="54"/>
  <c r="AR41" i="54"/>
  <c r="AH23" i="54"/>
  <c r="AM274" i="54"/>
  <c r="AH217" i="54"/>
  <c r="AB253" i="54"/>
  <c r="AO223" i="54"/>
  <c r="AH107" i="54"/>
  <c r="AN243" i="54"/>
  <c r="AK203" i="54"/>
  <c r="AH98" i="54"/>
  <c r="AO101" i="54"/>
  <c r="AR293" i="54"/>
  <c r="AO259" i="54"/>
  <c r="AR231" i="54"/>
  <c r="AU231" i="54"/>
  <c r="AS200" i="54"/>
  <c r="AV200" i="54" s="1"/>
  <c r="AR278" i="54"/>
  <c r="AU16" i="54"/>
  <c r="AO85" i="54"/>
  <c r="AD78" i="54"/>
  <c r="AP205" i="54"/>
  <c r="AM168" i="54"/>
  <c r="AR119" i="54"/>
  <c r="AK168" i="54"/>
  <c r="AE166" i="54"/>
  <c r="AS274" i="54"/>
  <c r="AN267" i="54"/>
  <c r="AO256" i="54"/>
  <c r="AR224" i="54"/>
  <c r="AK131" i="54"/>
  <c r="AN203" i="54"/>
  <c r="AU20" i="54"/>
  <c r="AO291" i="54"/>
  <c r="AO281" i="54"/>
  <c r="AO199" i="54"/>
  <c r="AU236" i="54"/>
  <c r="AR204" i="54"/>
  <c r="AO218" i="54"/>
  <c r="AU149" i="54"/>
  <c r="AO47" i="54"/>
  <c r="AR25" i="54"/>
  <c r="AO276" i="54"/>
  <c r="AU176" i="54"/>
  <c r="AR275" i="54"/>
  <c r="AR262" i="54"/>
  <c r="AR254" i="54"/>
  <c r="AO244" i="54"/>
  <c r="AB205" i="54"/>
  <c r="AO171" i="54"/>
  <c r="AH175" i="54"/>
  <c r="AH177" i="54" s="1"/>
  <c r="AH178" i="54" s="1"/>
  <c r="AK267" i="54"/>
  <c r="AO124" i="54"/>
  <c r="AJ211" i="54"/>
  <c r="AK211" i="54" s="1"/>
  <c r="M299" i="54"/>
  <c r="AK154" i="54"/>
  <c r="AO232" i="54"/>
  <c r="AN253" i="54"/>
  <c r="AO50" i="54"/>
  <c r="AH154" i="54"/>
  <c r="AP98" i="54"/>
  <c r="AO31" i="54"/>
  <c r="AB267" i="54"/>
  <c r="AO189" i="54"/>
  <c r="AN65" i="54"/>
  <c r="AI67" i="54"/>
  <c r="AK67" i="54" s="1"/>
  <c r="AP274" i="54"/>
  <c r="AP215" i="54"/>
  <c r="AU289" i="54"/>
  <c r="AO288" i="54"/>
  <c r="AO179" i="54"/>
  <c r="AR126" i="54"/>
  <c r="AO81" i="54"/>
  <c r="AU69" i="54"/>
  <c r="AR13" i="54"/>
  <c r="AO230" i="54"/>
  <c r="AO149" i="54"/>
  <c r="AK164" i="54"/>
  <c r="AP203" i="54"/>
  <c r="AO191" i="54"/>
  <c r="AO165" i="54"/>
  <c r="AO97" i="54"/>
  <c r="AO24" i="54"/>
  <c r="AH148" i="54"/>
  <c r="AH274" i="54"/>
  <c r="AP157" i="54"/>
  <c r="AQ145" i="54"/>
  <c r="AU73" i="54"/>
  <c r="AR167" i="54"/>
  <c r="AS205" i="54"/>
  <c r="AV205" i="54" s="1"/>
  <c r="AP36" i="54"/>
  <c r="AH28" i="54"/>
  <c r="AE157" i="54"/>
  <c r="AS70" i="54"/>
  <c r="AU70" i="54" s="1"/>
  <c r="AN67" i="54"/>
  <c r="AO13" i="54"/>
  <c r="AB145" i="54"/>
  <c r="AM111" i="54"/>
  <c r="AH200" i="54"/>
  <c r="AS211" i="54"/>
  <c r="AV211" i="54" s="1"/>
  <c r="AQ148" i="54"/>
  <c r="AK205" i="54"/>
  <c r="AM197" i="54"/>
  <c r="AO110" i="54"/>
  <c r="AQ111" i="54"/>
  <c r="AM70" i="54"/>
  <c r="AO70" i="54" s="1"/>
  <c r="AU99" i="54"/>
  <c r="AB36" i="54"/>
  <c r="AO226" i="54"/>
  <c r="AO208" i="54"/>
  <c r="AO193" i="54"/>
  <c r="AE70" i="54"/>
  <c r="AO34" i="54"/>
  <c r="AP70" i="54"/>
  <c r="AR70" i="54" s="1"/>
  <c r="AN23" i="54"/>
  <c r="AH205" i="54"/>
  <c r="AO221" i="54"/>
  <c r="AR210" i="54"/>
  <c r="AR179" i="54"/>
  <c r="AO114" i="54"/>
  <c r="AO108" i="54"/>
  <c r="AU44" i="54"/>
  <c r="AO228" i="54"/>
  <c r="AO152" i="54"/>
  <c r="AH95" i="54"/>
  <c r="AO75" i="54"/>
  <c r="AO72" i="54"/>
  <c r="AU226" i="54"/>
  <c r="AM203" i="54"/>
  <c r="AK43" i="54"/>
  <c r="AR19" i="54"/>
  <c r="AR104" i="54"/>
  <c r="AR80" i="54"/>
  <c r="AB23" i="54"/>
  <c r="AO40" i="54"/>
  <c r="AU125" i="54"/>
  <c r="AR218" i="54"/>
  <c r="AQ168" i="54"/>
  <c r="AB211" i="54"/>
  <c r="AO190" i="54"/>
  <c r="AN46" i="54"/>
  <c r="AM215" i="54"/>
  <c r="AS154" i="54"/>
  <c r="AV154" i="54" s="1"/>
  <c r="AQ242" i="54"/>
  <c r="AT205" i="54"/>
  <c r="AO105" i="54"/>
  <c r="AR84" i="54"/>
  <c r="AQ192" i="54"/>
  <c r="AM148" i="54"/>
  <c r="AO219" i="54"/>
  <c r="AN205" i="54"/>
  <c r="AO201" i="54"/>
  <c r="AP148" i="54"/>
  <c r="AU42" i="54"/>
  <c r="AE211" i="54"/>
  <c r="AE205" i="54"/>
  <c r="AO238" i="54"/>
  <c r="AK200" i="54"/>
  <c r="AE184" i="54"/>
  <c r="AO115" i="54"/>
  <c r="AO212" i="54"/>
  <c r="AS148" i="54"/>
  <c r="AV148" i="54" s="1"/>
  <c r="AU132" i="54"/>
  <c r="AP154" i="54"/>
  <c r="AM211" i="54"/>
  <c r="AB148" i="54"/>
  <c r="AU48" i="54"/>
  <c r="AO52" i="54"/>
  <c r="AR45" i="54"/>
  <c r="AK243" i="54"/>
  <c r="AQ205" i="54"/>
  <c r="AE51" i="54"/>
  <c r="AP211" i="54"/>
  <c r="AR244" i="54"/>
  <c r="AR230" i="54"/>
  <c r="AR235" i="54"/>
  <c r="AU156" i="54"/>
  <c r="AR73" i="54"/>
  <c r="AR24" i="54"/>
  <c r="AO161" i="54"/>
  <c r="AK111" i="54"/>
  <c r="AO194" i="54"/>
  <c r="Q301" i="54"/>
  <c r="AO195" i="54"/>
  <c r="AP37" i="54"/>
  <c r="AO220" i="54"/>
  <c r="AK28" i="54"/>
  <c r="AN145" i="54"/>
  <c r="AU198" i="54"/>
  <c r="AH111" i="54"/>
  <c r="AP23" i="54"/>
  <c r="AO16" i="54"/>
  <c r="AM68" i="54"/>
  <c r="AO68" i="54" s="1"/>
  <c r="AO93" i="54"/>
  <c r="AO22" i="54"/>
  <c r="AO38" i="54"/>
  <c r="AO185" i="54"/>
  <c r="AO262" i="54"/>
  <c r="AB197" i="54"/>
  <c r="AO188" i="54"/>
  <c r="AH27" i="54"/>
  <c r="Z67" i="54"/>
  <c r="AB67" i="54" s="1"/>
  <c r="AE274" i="54"/>
  <c r="AB243" i="54"/>
  <c r="AO156" i="54"/>
  <c r="AM36" i="54"/>
  <c r="AO36" i="54" s="1"/>
  <c r="AU33" i="54"/>
  <c r="AU103" i="54"/>
  <c r="AP86" i="54"/>
  <c r="AO29" i="54"/>
  <c r="AN49" i="54"/>
  <c r="AT49" i="54"/>
  <c r="AB215" i="54"/>
  <c r="AN215" i="54"/>
  <c r="AQ215" i="54"/>
  <c r="AP217" i="54"/>
  <c r="AM217" i="54"/>
  <c r="AQ157" i="54"/>
  <c r="AT157" i="54"/>
  <c r="AM145" i="54"/>
  <c r="AE145" i="54"/>
  <c r="AE95" i="54"/>
  <c r="AT95" i="54"/>
  <c r="AH216" i="54"/>
  <c r="AP216" i="54"/>
  <c r="AR216" i="54" s="1"/>
  <c r="AN200" i="54"/>
  <c r="AQ200" i="54"/>
  <c r="AE27" i="54"/>
  <c r="AP27" i="54"/>
  <c r="AT274" i="54"/>
  <c r="AN274" i="54"/>
  <c r="AB274" i="54"/>
  <c r="AS151" i="54"/>
  <c r="AV151" i="54" s="1"/>
  <c r="AE151" i="54"/>
  <c r="AP151" i="54"/>
  <c r="AN107" i="54"/>
  <c r="AQ107" i="54"/>
  <c r="AE66" i="54"/>
  <c r="AM66" i="54"/>
  <c r="AO66" i="54" s="1"/>
  <c r="AP66" i="54"/>
  <c r="AR66" i="54" s="1"/>
  <c r="AJ177" i="54"/>
  <c r="AJ178" i="54" s="1"/>
  <c r="AK175" i="54"/>
  <c r="AK177" i="54" s="1"/>
  <c r="AK178" i="54" s="1"/>
  <c r="AN27" i="54"/>
  <c r="AQ27" i="54"/>
  <c r="AT242" i="54"/>
  <c r="AE242" i="54"/>
  <c r="AN242" i="54"/>
  <c r="AK206" i="54"/>
  <c r="AS206" i="54"/>
  <c r="AU206" i="54" s="1"/>
  <c r="AP164" i="54"/>
  <c r="AB164" i="54"/>
  <c r="AM164" i="54"/>
  <c r="AS164" i="54"/>
  <c r="AV164" i="54" s="1"/>
  <c r="AQ274" i="54"/>
  <c r="AE37" i="54"/>
  <c r="AS27" i="54"/>
  <c r="AV27" i="54" s="1"/>
  <c r="AQ23" i="54"/>
  <c r="AQ154" i="54"/>
  <c r="AB154" i="54"/>
  <c r="AQ151" i="54"/>
  <c r="AH151" i="54"/>
  <c r="AC117" i="54"/>
  <c r="AP117" i="54" s="1"/>
  <c r="AN98" i="54"/>
  <c r="AQ98" i="54"/>
  <c r="AR44" i="54"/>
  <c r="AQ79" i="54"/>
  <c r="AT79" i="54"/>
  <c r="AS68" i="54"/>
  <c r="AV68" i="54" s="1"/>
  <c r="AQ55" i="54"/>
  <c r="AM27" i="54"/>
  <c r="AD177" i="54"/>
  <c r="AD178" i="54" s="1"/>
  <c r="AT175" i="54"/>
  <c r="AQ175" i="54"/>
  <c r="AB107" i="54"/>
  <c r="AT200" i="54"/>
  <c r="AK49" i="54"/>
  <c r="AT27" i="54"/>
  <c r="AE200" i="54"/>
  <c r="AB166" i="54"/>
  <c r="AS166" i="54"/>
  <c r="AV166" i="54" s="1"/>
  <c r="AN164" i="54"/>
  <c r="AT46" i="54"/>
  <c r="AF67" i="54"/>
  <c r="AH67" i="54" s="1"/>
  <c r="AM192" i="54"/>
  <c r="AP192" i="54"/>
  <c r="AQ253" i="54"/>
  <c r="AT253" i="54"/>
  <c r="AH168" i="54"/>
  <c r="AP168" i="54"/>
  <c r="AS168" i="54"/>
  <c r="AV168" i="54" s="1"/>
  <c r="AM12" i="54"/>
  <c r="AP12" i="54"/>
  <c r="AB12" i="54"/>
  <c r="AP68" i="54"/>
  <c r="AR68" i="54" s="1"/>
  <c r="AO290" i="54"/>
  <c r="AR291" i="54"/>
  <c r="AS216" i="54"/>
  <c r="AU216" i="54" s="1"/>
  <c r="AN95" i="54"/>
  <c r="AS66" i="54"/>
  <c r="AU66" i="54" s="1"/>
  <c r="AH253" i="54"/>
  <c r="AS253" i="54"/>
  <c r="AV253" i="54" s="1"/>
  <c r="AU91" i="54"/>
  <c r="AV91" i="54"/>
  <c r="AK23" i="54"/>
  <c r="AM267" i="54"/>
  <c r="AS267" i="54"/>
  <c r="AP267" i="54"/>
  <c r="AE257" i="54"/>
  <c r="AN257" i="54"/>
  <c r="AS243" i="54"/>
  <c r="AV243" i="54" s="1"/>
  <c r="AH243" i="54"/>
  <c r="AT168" i="54"/>
  <c r="AE168" i="54"/>
  <c r="AN168" i="54"/>
  <c r="Z177" i="54"/>
  <c r="Z178" i="54" s="1"/>
  <c r="AM175" i="54"/>
  <c r="AB175" i="54"/>
  <c r="AB177" i="54" s="1"/>
  <c r="AP175" i="54"/>
  <c r="AS175" i="54"/>
  <c r="AV175" i="54" s="1"/>
  <c r="AR258" i="54"/>
  <c r="AR185" i="54"/>
  <c r="AO120" i="54"/>
  <c r="AP49" i="54"/>
  <c r="AR36" i="54"/>
  <c r="AR227" i="54"/>
  <c r="AO245" i="54"/>
  <c r="AO163" i="54"/>
  <c r="AE192" i="54"/>
  <c r="AM107" i="54"/>
  <c r="AR100" i="54"/>
  <c r="AK65" i="54"/>
  <c r="AO109" i="54"/>
  <c r="AO35" i="54"/>
  <c r="AT215" i="54"/>
  <c r="AR226" i="54"/>
  <c r="AU235" i="54"/>
  <c r="AR193" i="54"/>
  <c r="AR118" i="54"/>
  <c r="AU110" i="54"/>
  <c r="AR74" i="54"/>
  <c r="AO33" i="54"/>
  <c r="AO26" i="54"/>
  <c r="AR26" i="54"/>
  <c r="AO237" i="54"/>
  <c r="AO160" i="54"/>
  <c r="AP243" i="54"/>
  <c r="AK166" i="54"/>
  <c r="AE154" i="54"/>
  <c r="AH157" i="54"/>
  <c r="AH43" i="54"/>
  <c r="AO280" i="54"/>
  <c r="AR160" i="54"/>
  <c r="AO132" i="54"/>
  <c r="AU290" i="54"/>
  <c r="AU269" i="54"/>
  <c r="AO249" i="54"/>
  <c r="AO210" i="54"/>
  <c r="AR201" i="54"/>
  <c r="AR199" i="54"/>
  <c r="AR152" i="54"/>
  <c r="AU53" i="54"/>
  <c r="AR54" i="54"/>
  <c r="AQ243" i="54"/>
  <c r="AO261" i="54"/>
  <c r="AT166" i="54"/>
  <c r="AM151" i="54"/>
  <c r="AM95" i="54"/>
  <c r="AQ49" i="54"/>
  <c r="AE111" i="54"/>
  <c r="AR92" i="54"/>
  <c r="AO254" i="54"/>
  <c r="AR147" i="54"/>
  <c r="AP28" i="54"/>
  <c r="AH17" i="54"/>
  <c r="AN37" i="54"/>
  <c r="AB51" i="54"/>
  <c r="AT131" i="54"/>
  <c r="AQ51" i="54"/>
  <c r="AU165" i="54"/>
  <c r="AN131" i="54"/>
  <c r="AR120" i="54"/>
  <c r="AE131" i="54"/>
  <c r="AU118" i="54"/>
  <c r="AO112" i="54"/>
  <c r="AB131" i="54"/>
  <c r="AK79" i="54"/>
  <c r="AV103" i="54"/>
  <c r="AB95" i="54"/>
  <c r="AO42" i="54"/>
  <c r="AB37" i="54"/>
  <c r="AK46" i="54"/>
  <c r="AB17" i="54"/>
  <c r="AK68" i="54"/>
  <c r="AU152" i="54"/>
  <c r="AR121" i="54"/>
  <c r="AR75" i="54"/>
  <c r="AO30" i="54"/>
  <c r="AR22" i="54"/>
  <c r="AO18" i="54"/>
  <c r="AH145" i="54"/>
  <c r="AO113" i="54"/>
  <c r="AU30" i="54"/>
  <c r="AT145" i="54"/>
  <c r="AT111" i="54"/>
  <c r="AR127" i="54"/>
  <c r="AQ43" i="54"/>
  <c r="AT148" i="54"/>
  <c r="AH51" i="54"/>
  <c r="AT28" i="54"/>
  <c r="AM28" i="54"/>
  <c r="AQ37" i="54"/>
  <c r="AT107" i="54"/>
  <c r="AS107" i="54"/>
  <c r="AV107" i="54" s="1"/>
  <c r="AO74" i="54"/>
  <c r="AO122" i="54"/>
  <c r="AR150" i="54"/>
  <c r="AR90" i="54"/>
  <c r="AN79" i="54"/>
  <c r="AO100" i="54"/>
  <c r="AU94" i="54"/>
  <c r="AP107" i="54"/>
  <c r="AU114" i="54"/>
  <c r="AS111" i="54"/>
  <c r="AV111" i="54" s="1"/>
  <c r="AE86" i="54"/>
  <c r="AU82" i="54"/>
  <c r="AE79" i="54"/>
  <c r="AR29" i="54"/>
  <c r="AO20" i="54"/>
  <c r="AV12" i="54"/>
  <c r="AB46" i="54"/>
  <c r="AT43" i="54"/>
  <c r="AR30" i="54"/>
  <c r="AS28" i="54"/>
  <c r="AV28" i="54" s="1"/>
  <c r="AT17" i="54"/>
  <c r="AT37" i="54"/>
  <c r="AN51" i="54"/>
  <c r="AO130" i="54"/>
  <c r="AO15" i="54"/>
  <c r="AS86" i="54"/>
  <c r="AV86" i="54" s="1"/>
  <c r="AM86" i="54"/>
  <c r="AN28" i="54"/>
  <c r="AA116" i="54"/>
  <c r="AE23" i="54"/>
  <c r="AU120" i="54"/>
  <c r="AH131" i="54"/>
  <c r="AU106" i="54"/>
  <c r="AO104" i="54"/>
  <c r="AP111" i="54"/>
  <c r="AO60" i="54"/>
  <c r="AP43" i="54"/>
  <c r="AR47" i="54"/>
  <c r="AN43" i="54"/>
  <c r="AS36" i="54"/>
  <c r="AV36" i="54" s="1"/>
  <c r="AB28" i="54"/>
  <c r="AR18" i="54"/>
  <c r="AE148" i="54"/>
  <c r="AP51" i="54"/>
  <c r="AQ67" i="54"/>
  <c r="AD116" i="54"/>
  <c r="AP184" i="54"/>
  <c r="AB184" i="54"/>
  <c r="AR99" i="54"/>
  <c r="AQ65" i="54"/>
  <c r="AQ95" i="54"/>
  <c r="AR91" i="54"/>
  <c r="AJ116" i="54"/>
  <c r="AN148" i="54"/>
  <c r="AN17" i="54"/>
  <c r="AT23" i="54"/>
  <c r="AS184" i="54"/>
  <c r="AV184" i="54" s="1"/>
  <c r="AO77" i="54"/>
  <c r="AN55" i="54"/>
  <c r="AK197" i="54"/>
  <c r="AS197" i="54"/>
  <c r="AV197" i="54" s="1"/>
  <c r="AR105" i="54"/>
  <c r="AR52" i="54"/>
  <c r="AR48" i="54"/>
  <c r="AP46" i="54"/>
  <c r="AH37" i="54"/>
  <c r="AM56" i="54"/>
  <c r="AO56" i="54" s="1"/>
  <c r="AH55" i="54"/>
  <c r="AO87" i="54"/>
  <c r="AR229" i="54"/>
  <c r="AO231" i="54"/>
  <c r="AQ211" i="54"/>
  <c r="AE107" i="54"/>
  <c r="AA78" i="54"/>
  <c r="AT67" i="54"/>
  <c r="AN166" i="54"/>
  <c r="AP257" i="54"/>
  <c r="AB257" i="54"/>
  <c r="AM257" i="54"/>
  <c r="AV44" i="54"/>
  <c r="AE98" i="54"/>
  <c r="AG116" i="54"/>
  <c r="AQ28" i="54"/>
  <c r="AR221" i="54"/>
  <c r="AR115" i="54"/>
  <c r="AG299" i="54"/>
  <c r="AO125" i="54"/>
  <c r="AK117" i="54"/>
  <c r="AT65" i="54"/>
  <c r="AO127" i="54"/>
  <c r="AS56" i="54"/>
  <c r="AV56" i="54" s="1"/>
  <c r="AN175" i="54"/>
  <c r="AO44" i="54"/>
  <c r="AQ17" i="54"/>
  <c r="AT243" i="54"/>
  <c r="AR112" i="54"/>
  <c r="AU18" i="54"/>
  <c r="AK145" i="54"/>
  <c r="AM37" i="54"/>
  <c r="AR245" i="54"/>
  <c r="AR149" i="54"/>
  <c r="AR106" i="54"/>
  <c r="AO99" i="54"/>
  <c r="AP79" i="54"/>
  <c r="AT257" i="54"/>
  <c r="AP253" i="54"/>
  <c r="AB117" i="54"/>
  <c r="AT51" i="54"/>
  <c r="AQ131" i="54"/>
  <c r="AC177" i="54"/>
  <c r="AE175" i="54"/>
  <c r="AE177" i="54" s="1"/>
  <c r="AE178" i="54" s="1"/>
  <c r="AN217" i="54"/>
  <c r="AM184" i="54"/>
  <c r="AR82" i="54"/>
  <c r="AR38" i="54"/>
  <c r="AR132" i="54"/>
  <c r="AR108" i="54"/>
  <c r="AO119" i="54"/>
  <c r="AM79" i="54"/>
  <c r="AT55" i="54"/>
  <c r="AO41" i="54"/>
  <c r="AO204" i="54"/>
  <c r="AH117" i="54"/>
  <c r="AT98" i="54"/>
  <c r="AH46" i="54"/>
  <c r="AR161" i="54"/>
  <c r="AR87" i="54"/>
  <c r="AK51" i="54"/>
  <c r="AO150" i="54"/>
  <c r="AP166" i="54"/>
  <c r="AR123" i="54"/>
  <c r="AP145" i="54"/>
  <c r="AS95" i="54"/>
  <c r="AV95" i="54" s="1"/>
  <c r="AU72" i="54"/>
  <c r="AS51" i="54"/>
  <c r="AR33" i="54"/>
  <c r="AU31" i="54"/>
  <c r="AM23" i="54"/>
  <c r="AR228" i="54"/>
  <c r="AP200" i="54"/>
  <c r="AR153" i="54"/>
  <c r="AK86" i="54"/>
  <c r="AN197" i="54"/>
  <c r="AG78" i="54"/>
  <c r="AO71" i="54"/>
  <c r="AS98" i="54"/>
  <c r="AV98" i="54" s="1"/>
  <c r="AR144" i="54"/>
  <c r="AO278" i="54"/>
  <c r="AR260" i="54"/>
  <c r="AR276" i="54"/>
  <c r="AO294" i="54"/>
  <c r="AR290" i="54"/>
  <c r="AR268" i="54"/>
  <c r="AR249" i="54"/>
  <c r="AT267" i="54"/>
  <c r="AV229" i="54"/>
  <c r="AT203" i="54"/>
  <c r="AH203" i="54"/>
  <c r="AQ197" i="54"/>
  <c r="AQ217" i="54"/>
  <c r="AT197" i="54"/>
  <c r="AK184" i="54"/>
  <c r="AF178" i="54"/>
  <c r="AQ166" i="54"/>
  <c r="AR130" i="54"/>
  <c r="AT154" i="54"/>
  <c r="AM166" i="54"/>
  <c r="AT151" i="54"/>
  <c r="AI116" i="54"/>
  <c r="AC116" i="54"/>
  <c r="AR94" i="54"/>
  <c r="AO103" i="54"/>
  <c r="Z116" i="54"/>
  <c r="AP95" i="54"/>
  <c r="AR69" i="54"/>
  <c r="AP56" i="54"/>
  <c r="AR56" i="54" s="1"/>
  <c r="AR60" i="54"/>
  <c r="AR31" i="54"/>
  <c r="AK253" i="54"/>
  <c r="AR225" i="54"/>
  <c r="AQ257" i="54"/>
  <c r="AE197" i="54"/>
  <c r="AE217" i="54"/>
  <c r="AO227" i="54"/>
  <c r="AE203" i="54"/>
  <c r="AH164" i="54"/>
  <c r="AK98" i="54"/>
  <c r="AO73" i="54"/>
  <c r="AQ46" i="54"/>
  <c r="AN117" i="54"/>
  <c r="AQ117" i="54"/>
  <c r="AT117" i="54"/>
  <c r="AM200" i="54"/>
  <c r="AU210" i="54"/>
  <c r="AQ164" i="54"/>
  <c r="AT164" i="54"/>
  <c r="AN154" i="54"/>
  <c r="AR277" i="54"/>
  <c r="AR259" i="54"/>
  <c r="AR232" i="54"/>
  <c r="AQ203" i="54"/>
  <c r="AR194" i="54"/>
  <c r="AO202" i="54"/>
  <c r="AO198" i="54"/>
  <c r="AR196" i="54"/>
  <c r="AR190" i="54"/>
  <c r="AR165" i="54"/>
  <c r="AR156" i="54"/>
  <c r="AO146" i="54"/>
  <c r="AS157" i="54"/>
  <c r="AV157" i="54" s="1"/>
  <c r="AU122" i="54"/>
  <c r="AS145" i="54"/>
  <c r="AV145" i="54" s="1"/>
  <c r="AO121" i="54"/>
  <c r="AU90" i="54"/>
  <c r="AO84" i="54"/>
  <c r="AR39" i="54"/>
  <c r="AR42" i="54"/>
  <c r="AS23" i="54"/>
  <c r="AV23" i="54" s="1"/>
  <c r="AO269" i="54"/>
  <c r="AT217" i="54"/>
  <c r="AS203" i="54"/>
  <c r="AV203" i="54" s="1"/>
  <c r="AB203" i="54"/>
  <c r="AE164" i="54"/>
  <c r="AO155" i="54"/>
  <c r="AM154" i="54"/>
  <c r="AR103" i="54"/>
  <c r="AU25" i="54"/>
  <c r="AO39" i="54"/>
  <c r="AO19" i="54"/>
  <c r="N299" i="54"/>
  <c r="AK192" i="54"/>
  <c r="AS192" i="54"/>
  <c r="AK217" i="54"/>
  <c r="AS217" i="54"/>
  <c r="AU275" i="54"/>
  <c r="AV275" i="54"/>
  <c r="AV261" i="54"/>
  <c r="AU261" i="54"/>
  <c r="AV237" i="54"/>
  <c r="AU237" i="54"/>
  <c r="AV258" i="54"/>
  <c r="AU258" i="54"/>
  <c r="AV219" i="54"/>
  <c r="AU219" i="54"/>
  <c r="AV220" i="54"/>
  <c r="AU220" i="54"/>
  <c r="AU194" i="54"/>
  <c r="AV194" i="54"/>
  <c r="AV199" i="54"/>
  <c r="AU199" i="54"/>
  <c r="AU123" i="54"/>
  <c r="AV123" i="54"/>
  <c r="AU84" i="54"/>
  <c r="AV84" i="54"/>
  <c r="AU77" i="54"/>
  <c r="AV77" i="54"/>
  <c r="AV113" i="54"/>
  <c r="AU113" i="54"/>
  <c r="AQ86" i="54"/>
  <c r="AT86" i="54"/>
  <c r="AN86" i="54"/>
  <c r="AR81" i="54"/>
  <c r="AV280" i="54"/>
  <c r="AU280" i="54"/>
  <c r="AV276" i="54"/>
  <c r="AU276" i="54"/>
  <c r="AR256" i="54"/>
  <c r="AU238" i="54"/>
  <c r="AV238" i="54"/>
  <c r="AU221" i="54"/>
  <c r="AV221" i="54"/>
  <c r="AU185" i="54"/>
  <c r="AV185" i="54"/>
  <c r="AV293" i="54"/>
  <c r="AU293" i="54"/>
  <c r="AR282" i="54"/>
  <c r="AU292" i="54"/>
  <c r="AV244" i="54"/>
  <c r="AU244" i="54"/>
  <c r="AI257" i="54"/>
  <c r="AI298" i="54" s="1"/>
  <c r="AV254" i="54"/>
  <c r="AU254" i="54"/>
  <c r="AV228" i="54"/>
  <c r="AU228" i="54"/>
  <c r="AU232" i="54"/>
  <c r="AU230" i="54"/>
  <c r="AR223" i="54"/>
  <c r="AU256" i="54"/>
  <c r="AV256" i="54"/>
  <c r="AV249" i="54"/>
  <c r="AU249" i="54"/>
  <c r="AR206" i="54"/>
  <c r="AV204" i="54"/>
  <c r="AU204" i="54"/>
  <c r="O215" i="54"/>
  <c r="V65" i="54"/>
  <c r="AR208" i="54"/>
  <c r="AR198" i="54"/>
  <c r="AU193" i="54"/>
  <c r="AV193" i="54"/>
  <c r="AR191" i="54"/>
  <c r="AR189" i="54"/>
  <c r="AV201" i="54"/>
  <c r="AU201" i="54"/>
  <c r="AV195" i="54"/>
  <c r="AU195" i="54"/>
  <c r="AS215" i="54"/>
  <c r="AV167" i="54"/>
  <c r="AU167" i="54"/>
  <c r="AU160" i="54"/>
  <c r="AV160" i="54"/>
  <c r="AR171" i="54"/>
  <c r="AV163" i="54"/>
  <c r="AU163" i="54"/>
  <c r="AV161" i="54"/>
  <c r="AU161" i="54"/>
  <c r="AV155" i="54"/>
  <c r="AU155" i="54"/>
  <c r="AO147" i="54"/>
  <c r="AO123" i="54"/>
  <c r="AU127" i="54"/>
  <c r="AV127" i="54"/>
  <c r="AR125" i="54"/>
  <c r="AU115" i="54"/>
  <c r="AV115" i="54"/>
  <c r="AO118" i="54"/>
  <c r="AR113" i="54"/>
  <c r="AU92" i="54"/>
  <c r="AV92" i="54"/>
  <c r="AO90" i="54"/>
  <c r="AB86" i="54"/>
  <c r="AV109" i="54"/>
  <c r="AU109" i="54"/>
  <c r="AV97" i="54"/>
  <c r="AU97" i="54"/>
  <c r="AV87" i="54"/>
  <c r="AU87" i="54"/>
  <c r="AO83" i="54"/>
  <c r="AP131" i="54"/>
  <c r="AO80" i="54"/>
  <c r="AV71" i="54"/>
  <c r="AU71" i="54"/>
  <c r="AS79" i="54"/>
  <c r="AB55" i="54"/>
  <c r="AO53" i="54"/>
  <c r="AE49" i="54"/>
  <c r="AM49" i="54"/>
  <c r="AR15" i="54"/>
  <c r="AU13" i="54"/>
  <c r="AV13" i="54"/>
  <c r="AR32" i="54"/>
  <c r="AU22" i="54"/>
  <c r="AU19" i="54"/>
  <c r="AI17" i="54"/>
  <c r="AR16" i="54"/>
  <c r="AM46" i="54"/>
  <c r="P5" i="54"/>
  <c r="AV146" i="54"/>
  <c r="AU146" i="54"/>
  <c r="AU108" i="54"/>
  <c r="AV108" i="54"/>
  <c r="AU100" i="54"/>
  <c r="AV100" i="54"/>
  <c r="AV105" i="54"/>
  <c r="AU105" i="54"/>
  <c r="AV288" i="54"/>
  <c r="AU288" i="54"/>
  <c r="AV278" i="54"/>
  <c r="AU278" i="54"/>
  <c r="AU281" i="54"/>
  <c r="AV281" i="54"/>
  <c r="AV282" i="54"/>
  <c r="AU282" i="54"/>
  <c r="AV262" i="54"/>
  <c r="AU262" i="54"/>
  <c r="AR269" i="54"/>
  <c r="AV259" i="54"/>
  <c r="AU259" i="54"/>
  <c r="AV227" i="54"/>
  <c r="AU227" i="54"/>
  <c r="AV223" i="54"/>
  <c r="AU223" i="54"/>
  <c r="AV218" i="54"/>
  <c r="AU218" i="54"/>
  <c r="AU212" i="54"/>
  <c r="AV212" i="54"/>
  <c r="AU208" i="54"/>
  <c r="AV202" i="54"/>
  <c r="AU202" i="54"/>
  <c r="AR212" i="54"/>
  <c r="AR195" i="54"/>
  <c r="AU188" i="54"/>
  <c r="AV188" i="54"/>
  <c r="AO183" i="54"/>
  <c r="AV190" i="54"/>
  <c r="AU190" i="54"/>
  <c r="AR183" i="54"/>
  <c r="AA178" i="54"/>
  <c r="AV153" i="54"/>
  <c r="AU153" i="54"/>
  <c r="AR162" i="54"/>
  <c r="AR155" i="54"/>
  <c r="AR124" i="54"/>
  <c r="AV121" i="54"/>
  <c r="AU121" i="54"/>
  <c r="AV150" i="54"/>
  <c r="AU150" i="54"/>
  <c r="AU130" i="54"/>
  <c r="AV130" i="54"/>
  <c r="AU112" i="54"/>
  <c r="AV112" i="54"/>
  <c r="AR109" i="54"/>
  <c r="AR101" i="54"/>
  <c r="AU96" i="54"/>
  <c r="AV96" i="54"/>
  <c r="AO94" i="54"/>
  <c r="AO82" i="54"/>
  <c r="AV144" i="54"/>
  <c r="AU144" i="54"/>
  <c r="AV101" i="54"/>
  <c r="AU101" i="54"/>
  <c r="AV93" i="54"/>
  <c r="AU93" i="54"/>
  <c r="AO91" i="54"/>
  <c r="AV85" i="54"/>
  <c r="AU85" i="54"/>
  <c r="AM131" i="54"/>
  <c r="AF116" i="54"/>
  <c r="AV81" i="54"/>
  <c r="AU81" i="54"/>
  <c r="AV76" i="54"/>
  <c r="AU76" i="54"/>
  <c r="AC55" i="54"/>
  <c r="AE55" i="54" s="1"/>
  <c r="AV54" i="54"/>
  <c r="AU54" i="54"/>
  <c r="AE43" i="54"/>
  <c r="AM43" i="54"/>
  <c r="AR35" i="54"/>
  <c r="AR53" i="54"/>
  <c r="AU50" i="54"/>
  <c r="AV50" i="54"/>
  <c r="AS46" i="54"/>
  <c r="AV40" i="54"/>
  <c r="AU40" i="54"/>
  <c r="AV29" i="54"/>
  <c r="AU29" i="54"/>
  <c r="AV24" i="54"/>
  <c r="AU24" i="54"/>
  <c r="AV15" i="54"/>
  <c r="AU15" i="54"/>
  <c r="AS14" i="54"/>
  <c r="AB14" i="54"/>
  <c r="AM14" i="54"/>
  <c r="AP14" i="54"/>
  <c r="AR14" i="54" s="1"/>
  <c r="BS8" i="54"/>
  <c r="AU38" i="54"/>
  <c r="AU34" i="54"/>
  <c r="AV34" i="54"/>
  <c r="AV35" i="54"/>
  <c r="AU35" i="54"/>
  <c r="AS49" i="54"/>
  <c r="AS43" i="54"/>
  <c r="AV31" i="54"/>
  <c r="AU260" i="54"/>
  <c r="AV260" i="54"/>
  <c r="AV268" i="54"/>
  <c r="AU268" i="54"/>
  <c r="O197" i="54"/>
  <c r="AQ184" i="54"/>
  <c r="AT184" i="54"/>
  <c r="AN184" i="54"/>
  <c r="AN298" i="54" s="1"/>
  <c r="AV196" i="54"/>
  <c r="AU196" i="54"/>
  <c r="AV162" i="54"/>
  <c r="AU162" i="54"/>
  <c r="AR292" i="54"/>
  <c r="AR289" i="54"/>
  <c r="AU245" i="54"/>
  <c r="AV245" i="54"/>
  <c r="AU183" i="54"/>
  <c r="AR220" i="54"/>
  <c r="AV225" i="54"/>
  <c r="AV191" i="54"/>
  <c r="AU191" i="54"/>
  <c r="AV189" i="54"/>
  <c r="AU189" i="54"/>
  <c r="AO169" i="54"/>
  <c r="AR163" i="54"/>
  <c r="AU147" i="54"/>
  <c r="AV147" i="54"/>
  <c r="AV126" i="54"/>
  <c r="AU126" i="54"/>
  <c r="AV119" i="54"/>
  <c r="AU119" i="54"/>
  <c r="AU104" i="54"/>
  <c r="AV104" i="54"/>
  <c r="AO102" i="54"/>
  <c r="AR93" i="54"/>
  <c r="AU80" i="54"/>
  <c r="AV80" i="54"/>
  <c r="AU124" i="54"/>
  <c r="AV124" i="54"/>
  <c r="AV118" i="54"/>
  <c r="AR110" i="54"/>
  <c r="AS131" i="54"/>
  <c r="AF78" i="54"/>
  <c r="AV83" i="54"/>
  <c r="AU83" i="54"/>
  <c r="Z78" i="54"/>
  <c r="AV75" i="54"/>
  <c r="AU75" i="54"/>
  <c r="AU60" i="54"/>
  <c r="AV60" i="54"/>
  <c r="AU74" i="54"/>
  <c r="AC65" i="54"/>
  <c r="AV41" i="54"/>
  <c r="AU41" i="54"/>
  <c r="AV45" i="54"/>
  <c r="AU45" i="54"/>
  <c r="AR40" i="54"/>
  <c r="AO32" i="54"/>
  <c r="AU12" i="54"/>
  <c r="AV39" i="54"/>
  <c r="AU39" i="54"/>
  <c r="AI37" i="54"/>
  <c r="AO3" i="54"/>
  <c r="AM235" i="51"/>
  <c r="AH235" i="51"/>
  <c r="AQ235" i="51"/>
  <c r="AK235" i="51"/>
  <c r="AP235" i="51"/>
  <c r="AE235" i="51"/>
  <c r="AN235" i="51"/>
  <c r="AB235" i="51"/>
  <c r="AS235" i="51"/>
  <c r="AT235" i="51"/>
  <c r="BS201" i="51"/>
  <c r="AI201" i="51" s="1"/>
  <c r="N199" i="51"/>
  <c r="AJ201" i="51"/>
  <c r="AG201" i="51"/>
  <c r="AF201" i="51"/>
  <c r="AH201" i="51" s="1"/>
  <c r="AD201" i="51"/>
  <c r="AC201" i="51"/>
  <c r="AE201" i="51" s="1"/>
  <c r="AA201" i="51"/>
  <c r="AN201" i="51" s="1"/>
  <c r="Z201" i="51"/>
  <c r="O201" i="51"/>
  <c r="AR235" i="51" l="1"/>
  <c r="AK201" i="51"/>
  <c r="AO235" i="51"/>
  <c r="AQ298" i="54"/>
  <c r="AB298" i="54"/>
  <c r="AM298" i="54"/>
  <c r="AP298" i="54"/>
  <c r="AH298" i="54"/>
  <c r="AH299" i="54" s="1"/>
  <c r="AE298" i="54"/>
  <c r="AE299" i="54" s="1"/>
  <c r="AE17" i="54"/>
  <c r="AJ298" i="54"/>
  <c r="AJ299" i="54" s="1"/>
  <c r="AO111" i="54"/>
  <c r="AO12" i="54"/>
  <c r="AP17" i="54"/>
  <c r="AR17" i="54" s="1"/>
  <c r="AV267" i="54"/>
  <c r="AT62" i="54"/>
  <c r="AU62" i="54" s="1"/>
  <c r="AT177" i="54"/>
  <c r="AB178" i="54"/>
  <c r="AU177" i="54"/>
  <c r="AU3" i="54"/>
  <c r="AR267" i="54"/>
  <c r="AO192" i="54"/>
  <c r="AU242" i="54"/>
  <c r="AR175" i="54"/>
  <c r="AR98" i="54"/>
  <c r="AU52" i="54"/>
  <c r="AO243" i="54"/>
  <c r="AU151" i="54"/>
  <c r="AO51" i="54"/>
  <c r="AO205" i="54"/>
  <c r="AR79" i="54"/>
  <c r="AM67" i="54"/>
  <c r="AO67" i="54" s="1"/>
  <c r="AO200" i="54"/>
  <c r="AO23" i="54"/>
  <c r="AR215" i="54"/>
  <c r="AT211" i="54"/>
  <c r="AU211" i="54" s="1"/>
  <c r="AR145" i="54"/>
  <c r="AO215" i="54"/>
  <c r="AO211" i="54"/>
  <c r="AS117" i="54"/>
  <c r="AU117" i="54" s="1"/>
  <c r="AP177" i="54"/>
  <c r="AO17" i="54"/>
  <c r="AN116" i="54"/>
  <c r="AO253" i="54"/>
  <c r="AR203" i="54"/>
  <c r="AR164" i="54"/>
  <c r="AO257" i="54"/>
  <c r="AR168" i="54"/>
  <c r="AV66" i="54"/>
  <c r="AU148" i="54"/>
  <c r="AV47" i="54"/>
  <c r="AR197" i="54"/>
  <c r="AR211" i="54"/>
  <c r="AO242" i="54"/>
  <c r="AO274" i="54"/>
  <c r="AK78" i="54"/>
  <c r="AO184" i="54"/>
  <c r="AR253" i="54"/>
  <c r="AO157" i="54"/>
  <c r="AR205" i="54"/>
  <c r="AU154" i="54"/>
  <c r="AR51" i="54"/>
  <c r="AE78" i="54"/>
  <c r="AO49" i="54"/>
  <c r="AO203" i="54"/>
  <c r="AO197" i="54"/>
  <c r="AO37" i="54"/>
  <c r="AO175" i="54"/>
  <c r="AO151" i="54"/>
  <c r="AR23" i="54"/>
  <c r="AN78" i="54"/>
  <c r="AU28" i="54"/>
  <c r="AR107" i="54"/>
  <c r="AR242" i="54"/>
  <c r="AU200" i="54"/>
  <c r="AO98" i="54"/>
  <c r="AU168" i="54"/>
  <c r="AU164" i="54"/>
  <c r="AU267" i="54"/>
  <c r="AU274" i="54"/>
  <c r="AO43" i="54"/>
  <c r="AO168" i="54"/>
  <c r="AU166" i="54"/>
  <c r="AV274" i="54"/>
  <c r="AR148" i="54"/>
  <c r="AR157" i="54"/>
  <c r="AR274" i="54"/>
  <c r="P299" i="54"/>
  <c r="P180" i="54"/>
  <c r="AV70" i="54"/>
  <c r="AO267" i="54"/>
  <c r="AR154" i="54"/>
  <c r="AS67" i="54"/>
  <c r="AV67" i="54" s="1"/>
  <c r="AU205" i="54"/>
  <c r="AU36" i="54"/>
  <c r="AO148" i="54"/>
  <c r="AO46" i="54"/>
  <c r="AU215" i="54"/>
  <c r="AR86" i="54"/>
  <c r="AR37" i="54"/>
  <c r="AE116" i="54"/>
  <c r="AU157" i="54"/>
  <c r="AS177" i="54"/>
  <c r="AV177" i="54" s="1"/>
  <c r="AU253" i="54"/>
  <c r="AQ116" i="54"/>
  <c r="AR43" i="54"/>
  <c r="AR166" i="54"/>
  <c r="AU145" i="54"/>
  <c r="AR192" i="54"/>
  <c r="AR111" i="54"/>
  <c r="AU23" i="54"/>
  <c r="AH78" i="54"/>
  <c r="AO131" i="54"/>
  <c r="AO217" i="54"/>
  <c r="AN177" i="54"/>
  <c r="AV216" i="54"/>
  <c r="AD299" i="54"/>
  <c r="AU56" i="54"/>
  <c r="AQ177" i="54"/>
  <c r="AO79" i="54"/>
  <c r="AO27" i="54"/>
  <c r="AP67" i="54"/>
  <c r="AR67" i="54" s="1"/>
  <c r="AB116" i="54"/>
  <c r="AR257" i="54"/>
  <c r="AR151" i="54"/>
  <c r="AO145" i="54"/>
  <c r="Z299" i="54"/>
  <c r="AR217" i="54"/>
  <c r="AR49" i="54"/>
  <c r="AR243" i="54"/>
  <c r="AU197" i="54"/>
  <c r="AU184" i="54"/>
  <c r="AR95" i="54"/>
  <c r="AU175" i="54"/>
  <c r="AR12" i="54"/>
  <c r="AO86" i="54"/>
  <c r="AR46" i="54"/>
  <c r="AU243" i="54"/>
  <c r="AO95" i="54"/>
  <c r="AU27" i="54"/>
  <c r="AO164" i="54"/>
  <c r="AR27" i="54"/>
  <c r="AO107" i="54"/>
  <c r="AR28" i="54"/>
  <c r="AU51" i="54"/>
  <c r="AU107" i="54"/>
  <c r="AR184" i="54"/>
  <c r="AU111" i="54"/>
  <c r="AT78" i="54"/>
  <c r="AU68" i="54"/>
  <c r="AE117" i="54"/>
  <c r="AM117" i="54"/>
  <c r="AO117" i="54" s="1"/>
  <c r="AH116" i="54"/>
  <c r="AV51" i="54"/>
  <c r="AU95" i="54"/>
  <c r="AO28" i="54"/>
  <c r="AR117" i="54"/>
  <c r="AR131" i="54"/>
  <c r="AU86" i="54"/>
  <c r="AK116" i="54"/>
  <c r="AT116" i="54"/>
  <c r="AQ78" i="54"/>
  <c r="AR200" i="54"/>
  <c r="AO166" i="54"/>
  <c r="AO154" i="54"/>
  <c r="AU203" i="54"/>
  <c r="AM177" i="54"/>
  <c r="AC178" i="54"/>
  <c r="AF299" i="54"/>
  <c r="AM116" i="54"/>
  <c r="AP55" i="54"/>
  <c r="AR55" i="54" s="1"/>
  <c r="AU98" i="54"/>
  <c r="AV131" i="54"/>
  <c r="AU131" i="54"/>
  <c r="AU43" i="54"/>
  <c r="AV43" i="54"/>
  <c r="AU46" i="54"/>
  <c r="AV46" i="54"/>
  <c r="AP116" i="54"/>
  <c r="AK17" i="54"/>
  <c r="AS17" i="54"/>
  <c r="AS55" i="54"/>
  <c r="AU79" i="54"/>
  <c r="AV79" i="54"/>
  <c r="AK257" i="54"/>
  <c r="AS257" i="54"/>
  <c r="AS298" i="54" s="1"/>
  <c r="AI299" i="54"/>
  <c r="AS116" i="54"/>
  <c r="AK37" i="54"/>
  <c r="AS37" i="54"/>
  <c r="AP78" i="54"/>
  <c r="AM78" i="54"/>
  <c r="AS78" i="54"/>
  <c r="AB78" i="54"/>
  <c r="AV14" i="54"/>
  <c r="AU14" i="54"/>
  <c r="AA299" i="54"/>
  <c r="AQ178" i="54"/>
  <c r="AN178" i="54"/>
  <c r="AM55" i="54"/>
  <c r="AO55" i="54" s="1"/>
  <c r="V5" i="54"/>
  <c r="X65" i="54"/>
  <c r="AU217" i="54"/>
  <c r="AV217" i="54"/>
  <c r="AE65" i="54"/>
  <c r="AP65" i="54"/>
  <c r="AR65" i="54" s="1"/>
  <c r="AS65" i="54"/>
  <c r="AM65" i="54"/>
  <c r="AO65" i="54" s="1"/>
  <c r="AU49" i="54"/>
  <c r="AV49" i="54"/>
  <c r="AO14" i="54"/>
  <c r="AV215" i="54"/>
  <c r="AU192" i="54"/>
  <c r="AV192" i="54"/>
  <c r="AU235" i="51"/>
  <c r="AV235" i="51"/>
  <c r="AM201" i="51"/>
  <c r="AO201" i="51" s="1"/>
  <c r="AB201" i="51"/>
  <c r="AS201" i="51"/>
  <c r="AP201" i="51"/>
  <c r="AT201" i="51"/>
  <c r="AQ201" i="51"/>
  <c r="N184" i="51"/>
  <c r="AI185" i="51"/>
  <c r="AJ185" i="51"/>
  <c r="AG185" i="51"/>
  <c r="AF185" i="51"/>
  <c r="AH185" i="51" s="1"/>
  <c r="AD185" i="51"/>
  <c r="AC185" i="51"/>
  <c r="AE185" i="51" s="1"/>
  <c r="AA185" i="51"/>
  <c r="AN185" i="51" s="1"/>
  <c r="Z185" i="51"/>
  <c r="O185" i="51"/>
  <c r="BI184" i="51"/>
  <c r="AM185" i="51" l="1"/>
  <c r="AB185" i="51"/>
  <c r="AQ185" i="51"/>
  <c r="AK185" i="51"/>
  <c r="AO298" i="54"/>
  <c r="AR298" i="54"/>
  <c r="AT298" i="54"/>
  <c r="AK298" i="54"/>
  <c r="AK299" i="54" s="1"/>
  <c r="AB299" i="54"/>
  <c r="AV117" i="54"/>
  <c r="AO78" i="54"/>
  <c r="AR177" i="54"/>
  <c r="AR116" i="54"/>
  <c r="AO116" i="54"/>
  <c r="AO177" i="54"/>
  <c r="AU67" i="54"/>
  <c r="AR78" i="54"/>
  <c r="AC299" i="54"/>
  <c r="AM178" i="54"/>
  <c r="AO178" i="54" s="1"/>
  <c r="AP178" i="54"/>
  <c r="AR178" i="54" s="1"/>
  <c r="AQ299" i="54"/>
  <c r="AN299" i="54"/>
  <c r="AU116" i="54"/>
  <c r="AV116" i="54"/>
  <c r="AU257" i="54"/>
  <c r="AU298" i="54" s="1"/>
  <c r="AV257" i="54"/>
  <c r="AU55" i="54"/>
  <c r="AV55" i="54"/>
  <c r="AV78" i="54"/>
  <c r="AU78" i="54"/>
  <c r="AU17" i="54"/>
  <c r="AV17" i="54"/>
  <c r="AU65" i="54"/>
  <c r="AV65" i="54"/>
  <c r="X215" i="54"/>
  <c r="X5" i="54" s="1"/>
  <c r="AU37" i="54"/>
  <c r="AV37" i="54"/>
  <c r="AR201" i="51"/>
  <c r="AV201" i="51"/>
  <c r="AU201" i="51"/>
  <c r="AO185" i="51"/>
  <c r="AS185" i="51"/>
  <c r="AP185" i="51"/>
  <c r="AR185" i="51" s="1"/>
  <c r="AT185" i="51"/>
  <c r="N224" i="51"/>
  <c r="O227" i="51"/>
  <c r="O226" i="51"/>
  <c r="L225" i="51"/>
  <c r="O225" i="51" s="1"/>
  <c r="AJ227" i="51"/>
  <c r="AI227" i="51"/>
  <c r="AG227" i="51"/>
  <c r="AF227" i="51"/>
  <c r="AD227" i="51"/>
  <c r="AC227" i="51"/>
  <c r="AA227" i="51"/>
  <c r="Z227" i="51"/>
  <c r="AM227" i="51" s="1"/>
  <c r="AN227" i="51" l="1"/>
  <c r="AO227" i="51" s="1"/>
  <c r="AE227" i="51"/>
  <c r="AH227" i="51"/>
  <c r="AU185" i="51"/>
  <c r="AM299" i="54"/>
  <c r="AO299" i="54" s="1"/>
  <c r="AP299" i="54"/>
  <c r="AR299" i="54" s="1"/>
  <c r="L224" i="51"/>
  <c r="AK227" i="51"/>
  <c r="AB227" i="51"/>
  <c r="AS227" i="51"/>
  <c r="AP227" i="51"/>
  <c r="AT227" i="51"/>
  <c r="AQ227" i="51"/>
  <c r="O186" i="51"/>
  <c r="L184" i="51"/>
  <c r="BO184" i="51"/>
  <c r="AJ186" i="51"/>
  <c r="AI186" i="51"/>
  <c r="AK186" i="51" s="1"/>
  <c r="AG186" i="51"/>
  <c r="AF186" i="51"/>
  <c r="AD186" i="51"/>
  <c r="AC186" i="51"/>
  <c r="AE186" i="51" s="1"/>
  <c r="AA186" i="51"/>
  <c r="Z186" i="51"/>
  <c r="AR227" i="51" l="1"/>
  <c r="AB186" i="51"/>
  <c r="AM186" i="51"/>
  <c r="AV227" i="51"/>
  <c r="AU227" i="51"/>
  <c r="AQ186" i="51"/>
  <c r="AH186" i="51"/>
  <c r="AN186" i="51"/>
  <c r="AS186" i="51"/>
  <c r="AP186" i="51"/>
  <c r="AT186" i="51"/>
  <c r="AJ122" i="51"/>
  <c r="AI122" i="51"/>
  <c r="AG122" i="51"/>
  <c r="AF122" i="51"/>
  <c r="AD122" i="51"/>
  <c r="AC122" i="51"/>
  <c r="AA122" i="51"/>
  <c r="Z122" i="51"/>
  <c r="AM122" i="51" s="1"/>
  <c r="O122" i="51"/>
  <c r="AK122" i="51" l="1"/>
  <c r="AH122" i="51"/>
  <c r="AR186" i="51"/>
  <c r="AN122" i="51"/>
  <c r="AO122" i="51" s="1"/>
  <c r="AE122" i="51"/>
  <c r="AO186" i="51"/>
  <c r="AU186" i="51"/>
  <c r="AS122" i="51"/>
  <c r="AB122" i="51"/>
  <c r="AP122" i="51"/>
  <c r="AT122" i="51"/>
  <c r="AQ122" i="51"/>
  <c r="AJ121" i="51"/>
  <c r="AI121" i="51"/>
  <c r="AG121" i="51"/>
  <c r="AF121" i="51"/>
  <c r="AD121" i="51"/>
  <c r="AC121" i="51"/>
  <c r="AA121" i="51"/>
  <c r="Z121" i="51"/>
  <c r="O121" i="51"/>
  <c r="AH121" i="51" l="1"/>
  <c r="AK121" i="51"/>
  <c r="AE121" i="51"/>
  <c r="AM121" i="51"/>
  <c r="AN121" i="51"/>
  <c r="AV122" i="51"/>
  <c r="AU122" i="51"/>
  <c r="AR122" i="51"/>
  <c r="AB121" i="51"/>
  <c r="AS121" i="51"/>
  <c r="AP121" i="51"/>
  <c r="AT121" i="51"/>
  <c r="AQ121" i="51"/>
  <c r="AJ120" i="51"/>
  <c r="AI120" i="51"/>
  <c r="AK120" i="51" s="1"/>
  <c r="AG120" i="51"/>
  <c r="AF120" i="51"/>
  <c r="AH120" i="51" s="1"/>
  <c r="AD120" i="51"/>
  <c r="AC120" i="51"/>
  <c r="AA120" i="51"/>
  <c r="Z120" i="51"/>
  <c r="O120" i="51"/>
  <c r="AJ119" i="51"/>
  <c r="AI119" i="51"/>
  <c r="AG119" i="51"/>
  <c r="AF119" i="51"/>
  <c r="AD119" i="51"/>
  <c r="AC119" i="51"/>
  <c r="AA119" i="51"/>
  <c r="Z119" i="51"/>
  <c r="AM119" i="51" s="1"/>
  <c r="O119" i="51"/>
  <c r="L117" i="51"/>
  <c r="O117" i="51" s="1"/>
  <c r="AJ117" i="51"/>
  <c r="AI117" i="51"/>
  <c r="AG117" i="51"/>
  <c r="AF117" i="51"/>
  <c r="AD117" i="51"/>
  <c r="AC117" i="51"/>
  <c r="AA117" i="51"/>
  <c r="Z117" i="51"/>
  <c r="AP117" i="51" s="1"/>
  <c r="AJ118" i="51"/>
  <c r="AI118" i="51"/>
  <c r="AG118" i="51"/>
  <c r="AF118" i="51"/>
  <c r="AD118" i="51"/>
  <c r="AC118" i="51"/>
  <c r="AA118" i="51"/>
  <c r="Z118" i="51"/>
  <c r="AM118" i="51" s="1"/>
  <c r="O118" i="51"/>
  <c r="L76" i="51"/>
  <c r="AJ81" i="51"/>
  <c r="AI81" i="51"/>
  <c r="AG81" i="51"/>
  <c r="AF81" i="51"/>
  <c r="AD81" i="51"/>
  <c r="AC81" i="51"/>
  <c r="AA81" i="51"/>
  <c r="Z81" i="51"/>
  <c r="O81" i="51"/>
  <c r="AE81" i="51" l="1"/>
  <c r="AK119" i="51"/>
  <c r="AK117" i="51"/>
  <c r="AH119" i="51"/>
  <c r="AQ119" i="51"/>
  <c r="AK81" i="51"/>
  <c r="AH118" i="51"/>
  <c r="AH117" i="51"/>
  <c r="AE117" i="51"/>
  <c r="AR121" i="51"/>
  <c r="AQ118" i="51"/>
  <c r="AT117" i="51"/>
  <c r="AM120" i="51"/>
  <c r="AH81" i="51"/>
  <c r="AK118" i="51"/>
  <c r="AQ120" i="51"/>
  <c r="AO121" i="51"/>
  <c r="AV121" i="51"/>
  <c r="AU121" i="51"/>
  <c r="AP120" i="51"/>
  <c r="AE120" i="51"/>
  <c r="AN120" i="51"/>
  <c r="AB120" i="51"/>
  <c r="AS120" i="51"/>
  <c r="AT120" i="51"/>
  <c r="AP119" i="51"/>
  <c r="AE119" i="51"/>
  <c r="AN119" i="51"/>
  <c r="AO119" i="51" s="1"/>
  <c r="AB119" i="51"/>
  <c r="AS119" i="51"/>
  <c r="AT119" i="51"/>
  <c r="AQ117" i="51"/>
  <c r="AR117" i="51" s="1"/>
  <c r="AN117" i="51"/>
  <c r="AB117" i="51"/>
  <c r="AS117" i="51"/>
  <c r="AM117" i="51"/>
  <c r="AP118" i="51"/>
  <c r="AE118" i="51"/>
  <c r="AN118" i="51"/>
  <c r="AO118" i="51" s="1"/>
  <c r="AB118" i="51"/>
  <c r="AS118" i="51"/>
  <c r="AT118" i="51"/>
  <c r="AM81" i="51"/>
  <c r="AN81" i="51"/>
  <c r="AB81" i="51"/>
  <c r="AS81" i="51"/>
  <c r="AP81" i="51"/>
  <c r="AT81" i="51"/>
  <c r="AQ81" i="51"/>
  <c r="I31" i="52"/>
  <c r="H31" i="52"/>
  <c r="G31" i="52"/>
  <c r="H21" i="52"/>
  <c r="J30" i="52"/>
  <c r="J29" i="52"/>
  <c r="J20" i="52"/>
  <c r="J19" i="52"/>
  <c r="AR119" i="51" l="1"/>
  <c r="AO120" i="51"/>
  <c r="AR120" i="51"/>
  <c r="AR118" i="51"/>
  <c r="AU120" i="51"/>
  <c r="AV120" i="51"/>
  <c r="AU119" i="51"/>
  <c r="AV119" i="51"/>
  <c r="AO117" i="51"/>
  <c r="AV117" i="51"/>
  <c r="AU117" i="51"/>
  <c r="AO81" i="51"/>
  <c r="AU118" i="51"/>
  <c r="AV118" i="51"/>
  <c r="AV81" i="51"/>
  <c r="AU81" i="51"/>
  <c r="AR81" i="51"/>
  <c r="J18" i="52"/>
  <c r="J17" i="52"/>
  <c r="J16" i="52"/>
  <c r="AJ80" i="51" l="1"/>
  <c r="AI80" i="51"/>
  <c r="AG80" i="51"/>
  <c r="AF80" i="51"/>
  <c r="AD80" i="51"/>
  <c r="AC80" i="51"/>
  <c r="AA80" i="51"/>
  <c r="Z80" i="51"/>
  <c r="O80" i="51"/>
  <c r="AJ79" i="51"/>
  <c r="AI79" i="51"/>
  <c r="AK79" i="51" s="1"/>
  <c r="AG79" i="51"/>
  <c r="AF79" i="51"/>
  <c r="AH79" i="51" s="1"/>
  <c r="AD79" i="51"/>
  <c r="AC79" i="51"/>
  <c r="AE79" i="51" s="1"/>
  <c r="AA79" i="51"/>
  <c r="Z79" i="51"/>
  <c r="O79" i="51"/>
  <c r="AN79" i="51" l="1"/>
  <c r="AM80" i="51"/>
  <c r="AH80" i="51"/>
  <c r="AQ80" i="51"/>
  <c r="AK80" i="51"/>
  <c r="AP80" i="51"/>
  <c r="AE80" i="51"/>
  <c r="AN80" i="51"/>
  <c r="AO80" i="51" s="1"/>
  <c r="AB80" i="51"/>
  <c r="AS80" i="51"/>
  <c r="AT80" i="51"/>
  <c r="AM79" i="51"/>
  <c r="AB79" i="51"/>
  <c r="AS79" i="51"/>
  <c r="AP79" i="51"/>
  <c r="AT79" i="51"/>
  <c r="AQ79" i="51"/>
  <c r="AL244" i="51"/>
  <c r="U244" i="51"/>
  <c r="T244" i="51"/>
  <c r="P244" i="51"/>
  <c r="AO79" i="51" l="1"/>
  <c r="AR80" i="51"/>
  <c r="AU80" i="51"/>
  <c r="AV80" i="51"/>
  <c r="AR79" i="51"/>
  <c r="AV79" i="51"/>
  <c r="AU79" i="51"/>
  <c r="O100" i="51"/>
  <c r="AL150" i="51"/>
  <c r="U150" i="51"/>
  <c r="T150" i="51"/>
  <c r="M150" i="51"/>
  <c r="AJ23" i="51"/>
  <c r="AI23" i="51"/>
  <c r="AG23" i="51"/>
  <c r="AF23" i="51"/>
  <c r="AD23" i="51"/>
  <c r="AC23" i="51"/>
  <c r="AA23" i="51"/>
  <c r="Z23" i="51"/>
  <c r="O23" i="51"/>
  <c r="AJ24" i="51"/>
  <c r="AI24" i="51"/>
  <c r="AG24" i="51"/>
  <c r="AF24" i="51"/>
  <c r="AD24" i="51"/>
  <c r="AC24" i="51"/>
  <c r="AA24" i="51"/>
  <c r="Z24" i="51"/>
  <c r="S25" i="51"/>
  <c r="Q25" i="51"/>
  <c r="O25" i="51"/>
  <c r="AK24" i="51" l="1"/>
  <c r="AM24" i="51"/>
  <c r="AE23" i="51"/>
  <c r="AN24" i="51"/>
  <c r="AN23" i="51"/>
  <c r="AK23" i="51"/>
  <c r="AB24" i="51"/>
  <c r="AT24" i="51"/>
  <c r="AM23" i="51"/>
  <c r="AE24" i="51"/>
  <c r="AQ24" i="51"/>
  <c r="AH24" i="51"/>
  <c r="AH23" i="51"/>
  <c r="AB23" i="51"/>
  <c r="AS23" i="51"/>
  <c r="AP23" i="51"/>
  <c r="AT23" i="51"/>
  <c r="AQ23" i="51"/>
  <c r="AS24" i="51"/>
  <c r="AP24" i="51"/>
  <c r="L199" i="51"/>
  <c r="J25" i="52"/>
  <c r="AJ213" i="51"/>
  <c r="AI213" i="51"/>
  <c r="AG213" i="51"/>
  <c r="AF213" i="51"/>
  <c r="AD213" i="51"/>
  <c r="AC213" i="51"/>
  <c r="AA213" i="51"/>
  <c r="Z213" i="51"/>
  <c r="O213" i="51"/>
  <c r="AJ212" i="51"/>
  <c r="AI212" i="51"/>
  <c r="AG212" i="51"/>
  <c r="AF212" i="51"/>
  <c r="AD212" i="51"/>
  <c r="AC212" i="51"/>
  <c r="AA212" i="51"/>
  <c r="Z212" i="51"/>
  <c r="O212" i="51"/>
  <c r="AJ214" i="51"/>
  <c r="AI214" i="51"/>
  <c r="AG214" i="51"/>
  <c r="AF214" i="51"/>
  <c r="AD214" i="51"/>
  <c r="AC214" i="51"/>
  <c r="AA214" i="51"/>
  <c r="Z214" i="51"/>
  <c r="O214" i="51"/>
  <c r="BT211" i="51"/>
  <c r="BS211" i="51"/>
  <c r="BR211" i="51"/>
  <c r="BQ211" i="51"/>
  <c r="BP211" i="51"/>
  <c r="BO211" i="51"/>
  <c r="BN211" i="51"/>
  <c r="BM211" i="51"/>
  <c r="BL211" i="51"/>
  <c r="BK211" i="51"/>
  <c r="BJ211" i="51"/>
  <c r="BI211" i="51"/>
  <c r="BH211" i="51"/>
  <c r="BG211" i="51"/>
  <c r="BF211" i="51"/>
  <c r="BE211" i="51"/>
  <c r="BD211" i="51"/>
  <c r="BC211" i="51"/>
  <c r="BB211" i="51"/>
  <c r="BA211" i="51"/>
  <c r="AZ211" i="51"/>
  <c r="AY211" i="51"/>
  <c r="AX211" i="51"/>
  <c r="AW211" i="51"/>
  <c r="S211" i="51"/>
  <c r="Q211" i="51"/>
  <c r="N211" i="51"/>
  <c r="L211" i="51"/>
  <c r="J23" i="52"/>
  <c r="J24" i="52"/>
  <c r="J26" i="52"/>
  <c r="J27" i="52"/>
  <c r="J28" i="52"/>
  <c r="L22" i="51"/>
  <c r="BS22" i="51"/>
  <c r="BR22" i="51"/>
  <c r="BQ22" i="51"/>
  <c r="BP22" i="51"/>
  <c r="BO22" i="51"/>
  <c r="BN22" i="51"/>
  <c r="BM22" i="51"/>
  <c r="BL22" i="51"/>
  <c r="BK22" i="51"/>
  <c r="BJ22" i="51"/>
  <c r="BI22" i="51"/>
  <c r="BH22" i="51"/>
  <c r="BG22" i="51"/>
  <c r="BF22" i="51"/>
  <c r="BE22" i="51"/>
  <c r="BD22" i="51"/>
  <c r="BC22" i="51"/>
  <c r="BB22" i="51"/>
  <c r="BA22" i="51"/>
  <c r="AZ22" i="51"/>
  <c r="AY22" i="51"/>
  <c r="AX22" i="51"/>
  <c r="AW22" i="51"/>
  <c r="S22" i="51"/>
  <c r="Q22" i="51"/>
  <c r="N22" i="51"/>
  <c r="AJ25" i="51"/>
  <c r="AI25" i="51"/>
  <c r="AG25" i="51"/>
  <c r="AF25" i="51"/>
  <c r="AD25" i="51"/>
  <c r="AC25" i="51"/>
  <c r="AA25" i="51"/>
  <c r="Z25" i="51"/>
  <c r="AO23" i="51" l="1"/>
  <c r="J31" i="52"/>
  <c r="AO24" i="51"/>
  <c r="AU24" i="51"/>
  <c r="AR24" i="51"/>
  <c r="AP213" i="51"/>
  <c r="AH25" i="51"/>
  <c r="AR23" i="51"/>
  <c r="AV23" i="51"/>
  <c r="AU23" i="51"/>
  <c r="AQ213" i="51"/>
  <c r="AK25" i="51"/>
  <c r="AT213" i="51"/>
  <c r="AK213" i="51"/>
  <c r="AK214" i="51"/>
  <c r="AS213" i="51"/>
  <c r="AK212" i="51"/>
  <c r="AH213" i="51"/>
  <c r="AM213" i="51"/>
  <c r="AE213" i="51"/>
  <c r="AN213" i="51"/>
  <c r="AB213" i="51"/>
  <c r="AE212" i="51"/>
  <c r="AH212" i="51"/>
  <c r="AH214" i="51"/>
  <c r="AB214" i="51"/>
  <c r="AS212" i="51"/>
  <c r="AV212" i="51" s="1"/>
  <c r="AQ212" i="51"/>
  <c r="AT212" i="51"/>
  <c r="AM212" i="51"/>
  <c r="AN212" i="51"/>
  <c r="AP212" i="51"/>
  <c r="AB212" i="51"/>
  <c r="AA211" i="51"/>
  <c r="AF211" i="51"/>
  <c r="AI211" i="51"/>
  <c r="AP25" i="51"/>
  <c r="AG211" i="51"/>
  <c r="AS214" i="51"/>
  <c r="AT214" i="51"/>
  <c r="Z211" i="51"/>
  <c r="AC211" i="51"/>
  <c r="AP214" i="51"/>
  <c r="AD211" i="51"/>
  <c r="AJ211" i="51"/>
  <c r="AQ214" i="51"/>
  <c r="AN214" i="51"/>
  <c r="O211" i="51"/>
  <c r="AE214" i="51"/>
  <c r="AM214" i="51"/>
  <c r="AQ25" i="51"/>
  <c r="AE25" i="51"/>
  <c r="AB25" i="51"/>
  <c r="AS25" i="51"/>
  <c r="AM25" i="51"/>
  <c r="AN25" i="51"/>
  <c r="AT25" i="51"/>
  <c r="AR213" i="51" l="1"/>
  <c r="AU213" i="51"/>
  <c r="AV213" i="51"/>
  <c r="AQ211" i="51"/>
  <c r="AU212" i="51"/>
  <c r="AH211" i="51"/>
  <c r="AO213" i="51"/>
  <c r="AK211" i="51"/>
  <c r="AU214" i="51"/>
  <c r="AR212" i="51"/>
  <c r="AR25" i="51"/>
  <c r="AO212" i="51"/>
  <c r="AE211" i="51"/>
  <c r="AN211" i="51"/>
  <c r="AT211" i="51"/>
  <c r="AV214" i="51"/>
  <c r="AR214" i="51"/>
  <c r="AP211" i="51"/>
  <c r="AS211" i="51"/>
  <c r="AV211" i="51" s="1"/>
  <c r="AB211" i="51"/>
  <c r="AM211" i="51"/>
  <c r="AO214" i="51"/>
  <c r="AU25" i="51"/>
  <c r="AO25" i="51"/>
  <c r="AR211" i="51" l="1"/>
  <c r="AO211" i="51"/>
  <c r="AU211" i="51"/>
  <c r="N192" i="51" l="1"/>
  <c r="O224" i="51"/>
  <c r="AJ232" i="51"/>
  <c r="AI232" i="51"/>
  <c r="AG232" i="51"/>
  <c r="AF232" i="51"/>
  <c r="AD232" i="51"/>
  <c r="AC232" i="51"/>
  <c r="AA232" i="51"/>
  <c r="Z232" i="51"/>
  <c r="O232" i="51"/>
  <c r="AJ234" i="51"/>
  <c r="AI234" i="51"/>
  <c r="AG234" i="51"/>
  <c r="AF234" i="51"/>
  <c r="AD234" i="51"/>
  <c r="AC234" i="51"/>
  <c r="AA234" i="51"/>
  <c r="Z234" i="51"/>
  <c r="O234" i="51"/>
  <c r="N240" i="51"/>
  <c r="O240" i="51" s="1"/>
  <c r="N239" i="51"/>
  <c r="O239" i="51" s="1"/>
  <c r="N233" i="51"/>
  <c r="O233" i="51" s="1"/>
  <c r="AJ233" i="51"/>
  <c r="AI233" i="51"/>
  <c r="AG233" i="51"/>
  <c r="AF233" i="51"/>
  <c r="AD233" i="51"/>
  <c r="AC233" i="51"/>
  <c r="AA233" i="51"/>
  <c r="Z233" i="51"/>
  <c r="O241" i="51"/>
  <c r="L238" i="51"/>
  <c r="AJ240" i="51"/>
  <c r="AI240" i="51"/>
  <c r="AG240" i="51"/>
  <c r="AF240" i="51"/>
  <c r="AD240" i="51"/>
  <c r="AC240" i="51"/>
  <c r="AA240" i="51"/>
  <c r="Z240" i="51"/>
  <c r="AJ239" i="51"/>
  <c r="AI239" i="51"/>
  <c r="AG239" i="51"/>
  <c r="AF239" i="51"/>
  <c r="AD239" i="51"/>
  <c r="AC239" i="51"/>
  <c r="AA239" i="51"/>
  <c r="Z239" i="51"/>
  <c r="AJ241" i="51"/>
  <c r="AI241" i="51"/>
  <c r="AG241" i="51"/>
  <c r="AF241" i="51"/>
  <c r="AD241" i="51"/>
  <c r="AC241" i="51"/>
  <c r="AA241" i="51"/>
  <c r="Z241" i="51"/>
  <c r="N215" i="51"/>
  <c r="J15" i="52"/>
  <c r="N14" i="51"/>
  <c r="BS26" i="51"/>
  <c r="BQ26" i="51"/>
  <c r="BO26" i="51"/>
  <c r="BM26" i="51"/>
  <c r="BK26" i="51"/>
  <c r="BE26" i="51"/>
  <c r="BR26" i="51"/>
  <c r="BP26" i="51"/>
  <c r="BN26" i="51"/>
  <c r="BL26" i="51"/>
  <c r="BJ26" i="51"/>
  <c r="BI26" i="51"/>
  <c r="BH26" i="51"/>
  <c r="BG26" i="51"/>
  <c r="BF26" i="51"/>
  <c r="BD26" i="51"/>
  <c r="BC26" i="51"/>
  <c r="BA26" i="51"/>
  <c r="AN233" i="51" l="1"/>
  <c r="AM241" i="51"/>
  <c r="AM239" i="51"/>
  <c r="AN232" i="51"/>
  <c r="AE232" i="51"/>
  <c r="AM234" i="51"/>
  <c r="AK232" i="51"/>
  <c r="AM233" i="51"/>
  <c r="AH232" i="51"/>
  <c r="H32" i="52"/>
  <c r="AH239" i="51"/>
  <c r="AB240" i="51"/>
  <c r="AQ239" i="51"/>
  <c r="AE239" i="51"/>
  <c r="AK239" i="51"/>
  <c r="AQ234" i="51"/>
  <c r="AQ240" i="51"/>
  <c r="AH240" i="51"/>
  <c r="AE233" i="51"/>
  <c r="AK233" i="51"/>
  <c r="AK234" i="51"/>
  <c r="AE240" i="51"/>
  <c r="AK240" i="51"/>
  <c r="AH233" i="51"/>
  <c r="AH234" i="51"/>
  <c r="AM232" i="51"/>
  <c r="AB232" i="51"/>
  <c r="AS232" i="51"/>
  <c r="AP232" i="51"/>
  <c r="AT232" i="51"/>
  <c r="AQ232" i="51"/>
  <c r="AP234" i="51"/>
  <c r="AE234" i="51"/>
  <c r="AN234" i="51"/>
  <c r="AB234" i="51"/>
  <c r="AS234" i="51"/>
  <c r="AT234" i="51"/>
  <c r="AB233" i="51"/>
  <c r="AM240" i="51"/>
  <c r="N238" i="51"/>
  <c r="N228" i="51"/>
  <c r="AS233" i="51"/>
  <c r="AP233" i="51"/>
  <c r="AT233" i="51"/>
  <c r="AQ233" i="51"/>
  <c r="AN240" i="51"/>
  <c r="AS240" i="51"/>
  <c r="AP240" i="51"/>
  <c r="AT240" i="51"/>
  <c r="AB239" i="51"/>
  <c r="AS239" i="51"/>
  <c r="AP239" i="51"/>
  <c r="AT239" i="51"/>
  <c r="AN239" i="51"/>
  <c r="AQ241" i="51"/>
  <c r="AH241" i="51"/>
  <c r="AB241" i="51"/>
  <c r="AE241" i="51"/>
  <c r="AK241" i="51"/>
  <c r="AN241" i="51"/>
  <c r="AO241" i="51" s="1"/>
  <c r="AS241" i="51"/>
  <c r="AP241" i="51"/>
  <c r="AT241" i="51"/>
  <c r="AO234" i="51" l="1"/>
  <c r="AR240" i="51"/>
  <c r="AO239" i="51"/>
  <c r="AO233" i="51"/>
  <c r="AO240" i="51"/>
  <c r="AO232" i="51"/>
  <c r="AR239" i="51"/>
  <c r="AR232" i="51"/>
  <c r="AU240" i="51"/>
  <c r="AU239" i="51"/>
  <c r="AR233" i="51"/>
  <c r="AR234" i="51"/>
  <c r="AR241" i="51"/>
  <c r="AU241" i="51"/>
  <c r="AV232" i="51"/>
  <c r="AU232" i="51"/>
  <c r="AU234" i="51"/>
  <c r="AV234" i="51"/>
  <c r="AV233" i="51"/>
  <c r="AU233" i="51"/>
  <c r="AJ26" i="51" l="1"/>
  <c r="AI26" i="51"/>
  <c r="AG26" i="51"/>
  <c r="AF26" i="51"/>
  <c r="AD26" i="51"/>
  <c r="AC26" i="51"/>
  <c r="AA26" i="51"/>
  <c r="Z26" i="51"/>
  <c r="O26" i="51"/>
  <c r="N17" i="51"/>
  <c r="BC21" i="51"/>
  <c r="BI21" i="51"/>
  <c r="BO21" i="51"/>
  <c r="AH26" i="51" l="1"/>
  <c r="AE26" i="51"/>
  <c r="AQ26" i="51"/>
  <c r="AM26" i="51"/>
  <c r="AK26" i="51"/>
  <c r="AB26" i="51"/>
  <c r="AS26" i="51"/>
  <c r="AP26" i="51"/>
  <c r="AT26" i="51"/>
  <c r="AN26" i="51"/>
  <c r="BI199" i="51"/>
  <c r="AO26" i="51" l="1"/>
  <c r="AR26" i="51"/>
  <c r="AU26" i="51"/>
  <c r="AV26" i="51"/>
  <c r="AJ230" i="51"/>
  <c r="AI230" i="51"/>
  <c r="AG230" i="51"/>
  <c r="AF230" i="51"/>
  <c r="AD230" i="51"/>
  <c r="AC230" i="51"/>
  <c r="AA230" i="51"/>
  <c r="Z230" i="51"/>
  <c r="O230" i="51"/>
  <c r="AJ22" i="51"/>
  <c r="AI22" i="51"/>
  <c r="AG22" i="51"/>
  <c r="AF22" i="51"/>
  <c r="AD22" i="51"/>
  <c r="AC22" i="51"/>
  <c r="AA22" i="51"/>
  <c r="Z22" i="51"/>
  <c r="AH230" i="51" l="1"/>
  <c r="AK230" i="51"/>
  <c r="AB22" i="51"/>
  <c r="AN22" i="51"/>
  <c r="AM230" i="51"/>
  <c r="AE22" i="51"/>
  <c r="AK22" i="51"/>
  <c r="AQ230" i="51"/>
  <c r="AM22" i="51"/>
  <c r="AQ22" i="51"/>
  <c r="AH22" i="51"/>
  <c r="AP230" i="51"/>
  <c r="AE230" i="51"/>
  <c r="AN230" i="51"/>
  <c r="AB230" i="51"/>
  <c r="AS230" i="51"/>
  <c r="AT230" i="51"/>
  <c r="AS22" i="51"/>
  <c r="AV22" i="51" s="1"/>
  <c r="AP22" i="51"/>
  <c r="AT22" i="51"/>
  <c r="O22" i="51"/>
  <c r="AJ209" i="51"/>
  <c r="AI209" i="51"/>
  <c r="AG209" i="51"/>
  <c r="AF209" i="51"/>
  <c r="AD209" i="51"/>
  <c r="AC209" i="51"/>
  <c r="AA209" i="51"/>
  <c r="Z209" i="51"/>
  <c r="AR230" i="51" l="1"/>
  <c r="AO22" i="51"/>
  <c r="AH209" i="51"/>
  <c r="AO230" i="51"/>
  <c r="AR22" i="51"/>
  <c r="AE209" i="51"/>
  <c r="AK209" i="51"/>
  <c r="AN209" i="51"/>
  <c r="AM209" i="51"/>
  <c r="AU230" i="51"/>
  <c r="AV230" i="51"/>
  <c r="AB209" i="51"/>
  <c r="AU22" i="51"/>
  <c r="AS209" i="51"/>
  <c r="O209" i="51"/>
  <c r="AP209" i="51"/>
  <c r="AT209" i="51"/>
  <c r="AQ209" i="51"/>
  <c r="J14" i="52"/>
  <c r="G13" i="52"/>
  <c r="J12" i="52"/>
  <c r="I11" i="52"/>
  <c r="G11" i="52"/>
  <c r="G21" i="52" s="1"/>
  <c r="N12" i="51"/>
  <c r="N150" i="51" s="1"/>
  <c r="L14" i="51"/>
  <c r="L12" i="51"/>
  <c r="I21" i="52" l="1"/>
  <c r="I32" i="52" s="1"/>
  <c r="AO209" i="51"/>
  <c r="AU209" i="51"/>
  <c r="AR209" i="51"/>
  <c r="AV209" i="51"/>
  <c r="J13" i="52"/>
  <c r="J11" i="52"/>
  <c r="AY14" i="51"/>
  <c r="AY12" i="51"/>
  <c r="J21" i="52" l="1"/>
  <c r="AJ78" i="51"/>
  <c r="AI78" i="51"/>
  <c r="AG78" i="51"/>
  <c r="AF78" i="51"/>
  <c r="AD78" i="51"/>
  <c r="AC78" i="51"/>
  <c r="AA78" i="51"/>
  <c r="Z78" i="51"/>
  <c r="O78" i="51"/>
  <c r="AB78" i="51" l="1"/>
  <c r="AE78" i="51"/>
  <c r="AK78" i="51"/>
  <c r="AN78" i="51"/>
  <c r="AH78" i="51"/>
  <c r="AM78" i="51"/>
  <c r="AS78" i="51"/>
  <c r="AP78" i="51"/>
  <c r="AT78" i="51"/>
  <c r="AQ78" i="51"/>
  <c r="AO78" i="51" l="1"/>
  <c r="AV78" i="51"/>
  <c r="AU78" i="51"/>
  <c r="AR78" i="51"/>
  <c r="BS195" i="51"/>
  <c r="AJ231" i="51" l="1"/>
  <c r="AI231" i="51"/>
  <c r="AG231" i="51"/>
  <c r="AF231" i="51"/>
  <c r="AD231" i="51"/>
  <c r="AC231" i="51"/>
  <c r="AA231" i="51"/>
  <c r="Z231" i="51"/>
  <c r="O231" i="51"/>
  <c r="AM231" i="51" l="1"/>
  <c r="AH231" i="51"/>
  <c r="AN231" i="51"/>
  <c r="AE231" i="51"/>
  <c r="AK231" i="51"/>
  <c r="AB231" i="51"/>
  <c r="AS231" i="51"/>
  <c r="AP231" i="51"/>
  <c r="AT231" i="51"/>
  <c r="AQ231" i="51"/>
  <c r="AJ237" i="51"/>
  <c r="AI237" i="51"/>
  <c r="AG237" i="51"/>
  <c r="AF237" i="51"/>
  <c r="AD237" i="51"/>
  <c r="AC237" i="51"/>
  <c r="AA237" i="51"/>
  <c r="Z237" i="51"/>
  <c r="O237" i="51"/>
  <c r="AJ229" i="51"/>
  <c r="AI229" i="51"/>
  <c r="AG229" i="51"/>
  <c r="AF229" i="51"/>
  <c r="AD229" i="51"/>
  <c r="AC229" i="51"/>
  <c r="AA229" i="51"/>
  <c r="Z229" i="51"/>
  <c r="O229" i="51"/>
  <c r="BT228" i="51"/>
  <c r="BS228" i="51"/>
  <c r="BR228" i="51"/>
  <c r="BQ228" i="51"/>
  <c r="BP228" i="51"/>
  <c r="BO228" i="51"/>
  <c r="BN228" i="51"/>
  <c r="BM228" i="51"/>
  <c r="BL228" i="51"/>
  <c r="BK228" i="51"/>
  <c r="BJ228" i="51"/>
  <c r="BI228" i="51"/>
  <c r="BH228" i="51"/>
  <c r="BG228" i="51"/>
  <c r="BF228" i="51"/>
  <c r="BE228" i="51"/>
  <c r="BD228" i="51"/>
  <c r="BC228" i="51"/>
  <c r="BB228" i="51"/>
  <c r="BA228" i="51"/>
  <c r="AZ228" i="51"/>
  <c r="AY228" i="51"/>
  <c r="AX228" i="51"/>
  <c r="AW228" i="51"/>
  <c r="S228" i="51"/>
  <c r="Q228" i="51"/>
  <c r="L228" i="51"/>
  <c r="O228" i="51" s="1"/>
  <c r="AJ217" i="51"/>
  <c r="AI217" i="51"/>
  <c r="AG217" i="51"/>
  <c r="AF217" i="51"/>
  <c r="AD217" i="51"/>
  <c r="AC217" i="51"/>
  <c r="AA217" i="51"/>
  <c r="Z217" i="51"/>
  <c r="O217" i="51"/>
  <c r="AJ216" i="51"/>
  <c r="AI216" i="51"/>
  <c r="AG216" i="51"/>
  <c r="AF216" i="51"/>
  <c r="AD216" i="51"/>
  <c r="AC216" i="51"/>
  <c r="AA216" i="51"/>
  <c r="Z216" i="51"/>
  <c r="O216" i="51"/>
  <c r="BT215" i="51"/>
  <c r="BS215" i="51"/>
  <c r="BR215" i="51"/>
  <c r="BQ215" i="51"/>
  <c r="BP215" i="51"/>
  <c r="BO215" i="51"/>
  <c r="BN215" i="51"/>
  <c r="BM215" i="51"/>
  <c r="BL215" i="51"/>
  <c r="BK215" i="51"/>
  <c r="BJ215" i="51"/>
  <c r="BI215" i="51"/>
  <c r="BH215" i="51"/>
  <c r="BG215" i="51"/>
  <c r="BF215" i="51"/>
  <c r="BE215" i="51"/>
  <c r="BD215" i="51"/>
  <c r="BC215" i="51"/>
  <c r="BB215" i="51"/>
  <c r="BA215" i="51"/>
  <c r="AZ215" i="51"/>
  <c r="AY215" i="51"/>
  <c r="AX215" i="51"/>
  <c r="AW215" i="51"/>
  <c r="S215" i="51"/>
  <c r="Q215" i="51"/>
  <c r="L215" i="51"/>
  <c r="AJ236" i="51"/>
  <c r="AI236" i="51"/>
  <c r="AG236" i="51"/>
  <c r="AF236" i="51"/>
  <c r="AD236" i="51"/>
  <c r="AC236" i="51"/>
  <c r="AA236" i="51"/>
  <c r="Z236" i="51"/>
  <c r="O236" i="51"/>
  <c r="AO231" i="51" l="1"/>
  <c r="AD215" i="51"/>
  <c r="AG228" i="51"/>
  <c r="AC215" i="51"/>
  <c r="AF215" i="51"/>
  <c r="AI215" i="51"/>
  <c r="AC228" i="51"/>
  <c r="AQ216" i="51"/>
  <c r="AJ215" i="51"/>
  <c r="AA228" i="51"/>
  <c r="AE216" i="51"/>
  <c r="AK216" i="51"/>
  <c r="AE237" i="51"/>
  <c r="AK237" i="51"/>
  <c r="AA215" i="51"/>
  <c r="AG215" i="51"/>
  <c r="AN217" i="51"/>
  <c r="AI228" i="51"/>
  <c r="AM237" i="51"/>
  <c r="AH237" i="51"/>
  <c r="Z215" i="51"/>
  <c r="AE217" i="51"/>
  <c r="AK217" i="51"/>
  <c r="AB217" i="51"/>
  <c r="AH217" i="51"/>
  <c r="AR231" i="51"/>
  <c r="AN237" i="51"/>
  <c r="AM217" i="51"/>
  <c r="AM229" i="51"/>
  <c r="AH216" i="51"/>
  <c r="AQ229" i="51"/>
  <c r="AD228" i="51"/>
  <c r="AJ228" i="51"/>
  <c r="AF228" i="51"/>
  <c r="AH229" i="51"/>
  <c r="Z228" i="51"/>
  <c r="AT229" i="51"/>
  <c r="AV231" i="51"/>
  <c r="AU231" i="51"/>
  <c r="AE229" i="51"/>
  <c r="AK229" i="51"/>
  <c r="AN229" i="51"/>
  <c r="AB237" i="51"/>
  <c r="AS237" i="51"/>
  <c r="AS229" i="51"/>
  <c r="AP237" i="51"/>
  <c r="AT237" i="51"/>
  <c r="AM216" i="51"/>
  <c r="AB229" i="51"/>
  <c r="AH236" i="51"/>
  <c r="AP229" i="51"/>
  <c r="AQ237" i="51"/>
  <c r="AN216" i="51"/>
  <c r="AS217" i="51"/>
  <c r="O215" i="51"/>
  <c r="AB216" i="51"/>
  <c r="AS216" i="51"/>
  <c r="AP217" i="51"/>
  <c r="AT217" i="51"/>
  <c r="AP216" i="51"/>
  <c r="AT216" i="51"/>
  <c r="AQ217" i="51"/>
  <c r="AK236" i="51"/>
  <c r="AS236" i="51"/>
  <c r="AV236" i="51" s="1"/>
  <c r="AT236" i="51"/>
  <c r="AP236" i="51"/>
  <c r="AM236" i="51"/>
  <c r="AQ236" i="51"/>
  <c r="AE236" i="51"/>
  <c r="AN236" i="51"/>
  <c r="AB236" i="51"/>
  <c r="BC113" i="51"/>
  <c r="L113" i="51"/>
  <c r="AJ116" i="51"/>
  <c r="AI116" i="51"/>
  <c r="AG116" i="51"/>
  <c r="AF116" i="51"/>
  <c r="AD116" i="51"/>
  <c r="AC116" i="51"/>
  <c r="AA116" i="51"/>
  <c r="Z116" i="51"/>
  <c r="O116" i="51"/>
  <c r="AN215" i="51" l="1"/>
  <c r="AE215" i="51"/>
  <c r="AH228" i="51"/>
  <c r="AM215" i="51"/>
  <c r="AO217" i="51"/>
  <c r="AM228" i="51"/>
  <c r="AK215" i="51"/>
  <c r="AR216" i="51"/>
  <c r="AP215" i="51"/>
  <c r="AQ215" i="51"/>
  <c r="AT215" i="51"/>
  <c r="AB215" i="51"/>
  <c r="AH215" i="51"/>
  <c r="AO237" i="51"/>
  <c r="AS215" i="51"/>
  <c r="AV215" i="51" s="1"/>
  <c r="AR229" i="51"/>
  <c r="AK228" i="51"/>
  <c r="AT228" i="51"/>
  <c r="AE228" i="51"/>
  <c r="AN116" i="51"/>
  <c r="AN228" i="51"/>
  <c r="AO229" i="51"/>
  <c r="AQ228" i="51"/>
  <c r="AE116" i="51"/>
  <c r="AK116" i="51"/>
  <c r="AO216" i="51"/>
  <c r="AP228" i="51"/>
  <c r="AB228" i="51"/>
  <c r="AS228" i="51"/>
  <c r="AR237" i="51"/>
  <c r="AV237" i="51"/>
  <c r="AU237" i="51"/>
  <c r="AU229" i="51"/>
  <c r="AV229" i="51"/>
  <c r="AU216" i="51"/>
  <c r="AV216" i="51"/>
  <c r="AV217" i="51"/>
  <c r="AU217" i="51"/>
  <c r="AR217" i="51"/>
  <c r="AU236" i="51"/>
  <c r="AR236" i="51"/>
  <c r="AM116" i="51"/>
  <c r="AH116" i="51"/>
  <c r="AO236" i="51"/>
  <c r="AB116" i="51"/>
  <c r="AS116" i="51"/>
  <c r="AP116" i="51"/>
  <c r="AT116" i="51"/>
  <c r="AQ116" i="51"/>
  <c r="AJ77" i="51"/>
  <c r="AI77" i="51"/>
  <c r="AG77" i="51"/>
  <c r="AF77" i="51"/>
  <c r="AD77" i="51"/>
  <c r="AC77" i="51"/>
  <c r="AA77" i="51"/>
  <c r="Z77" i="51"/>
  <c r="O77" i="51"/>
  <c r="AJ206" i="51"/>
  <c r="AI206" i="51"/>
  <c r="AG206" i="51"/>
  <c r="AF206" i="51"/>
  <c r="AD206" i="51"/>
  <c r="AC206" i="51"/>
  <c r="AA206" i="51"/>
  <c r="Z206" i="51"/>
  <c r="O206" i="51"/>
  <c r="AR228" i="51" l="1"/>
  <c r="AO215" i="51"/>
  <c r="AO228" i="51"/>
  <c r="AO116" i="51"/>
  <c r="AR215" i="51"/>
  <c r="AU215" i="51"/>
  <c r="AH77" i="51"/>
  <c r="AK77" i="51"/>
  <c r="AU228" i="51"/>
  <c r="AV228" i="51"/>
  <c r="AT206" i="51"/>
  <c r="AE206" i="51"/>
  <c r="AK206" i="51"/>
  <c r="AT77" i="51"/>
  <c r="AV116" i="51"/>
  <c r="AU116" i="51"/>
  <c r="AR116" i="51"/>
  <c r="AP77" i="51"/>
  <c r="AE77" i="51"/>
  <c r="AQ77" i="51"/>
  <c r="AN77" i="51"/>
  <c r="AB77" i="51"/>
  <c r="AS77" i="51"/>
  <c r="AM77" i="51"/>
  <c r="AH206" i="51"/>
  <c r="AQ206" i="51"/>
  <c r="AP206" i="51"/>
  <c r="AM206" i="51"/>
  <c r="AN206" i="51"/>
  <c r="AB206" i="51"/>
  <c r="AS206" i="51"/>
  <c r="O15" i="51"/>
  <c r="O13" i="51"/>
  <c r="AF15" i="51"/>
  <c r="Z15" i="51"/>
  <c r="AJ15" i="51"/>
  <c r="AG15" i="51"/>
  <c r="AD15" i="51"/>
  <c r="AA15" i="51"/>
  <c r="AJ13" i="51"/>
  <c r="AI13" i="51"/>
  <c r="AG13" i="51"/>
  <c r="AF13" i="51"/>
  <c r="AD13" i="51"/>
  <c r="AC13" i="51"/>
  <c r="AA13" i="51"/>
  <c r="Z13" i="51"/>
  <c r="L128" i="51"/>
  <c r="AR77" i="51" l="1"/>
  <c r="AU206" i="51"/>
  <c r="AO77" i="51"/>
  <c r="AU77" i="51"/>
  <c r="AV77" i="51"/>
  <c r="AR206" i="51"/>
  <c r="AO206" i="51"/>
  <c r="AP13" i="51"/>
  <c r="AK13" i="51"/>
  <c r="AN15" i="51"/>
  <c r="AH15" i="51"/>
  <c r="AM13" i="51"/>
  <c r="AE13" i="51"/>
  <c r="AC15" i="51"/>
  <c r="AE15" i="51" s="1"/>
  <c r="AQ13" i="51"/>
  <c r="AH13" i="51"/>
  <c r="AI15" i="51"/>
  <c r="AK15" i="51" s="1"/>
  <c r="AB15" i="51"/>
  <c r="AT15" i="51"/>
  <c r="AQ15" i="51"/>
  <c r="AN13" i="51"/>
  <c r="AB13" i="51"/>
  <c r="AS13" i="51"/>
  <c r="AT13" i="51"/>
  <c r="AJ114" i="51"/>
  <c r="AI114" i="51"/>
  <c r="AG114" i="51"/>
  <c r="AF114" i="51"/>
  <c r="AD114" i="51"/>
  <c r="AC114" i="51"/>
  <c r="AA114" i="51"/>
  <c r="Z114" i="51"/>
  <c r="O114" i="51"/>
  <c r="AJ115" i="51"/>
  <c r="AI115" i="51"/>
  <c r="AG115" i="51"/>
  <c r="AF115" i="51"/>
  <c r="AD115" i="51"/>
  <c r="AC115" i="51"/>
  <c r="AA115" i="51"/>
  <c r="Z115" i="51"/>
  <c r="O115" i="51"/>
  <c r="AO13" i="51" l="1"/>
  <c r="AK115" i="51"/>
  <c r="AT114" i="51"/>
  <c r="AR13" i="51"/>
  <c r="AK114" i="51"/>
  <c r="AP115" i="51"/>
  <c r="AT115" i="51"/>
  <c r="AH114" i="51"/>
  <c r="AM15" i="51"/>
  <c r="AO15" i="51" s="1"/>
  <c r="AS15" i="51"/>
  <c r="AP15" i="51"/>
  <c r="AR15" i="51" s="1"/>
  <c r="AU13" i="51"/>
  <c r="AV13" i="51"/>
  <c r="AH115" i="51"/>
  <c r="AP114" i="51"/>
  <c r="AE115" i="51"/>
  <c r="AE114" i="51"/>
  <c r="AQ114" i="51"/>
  <c r="AN114" i="51"/>
  <c r="AB114" i="51"/>
  <c r="AS114" i="51"/>
  <c r="AM114" i="51"/>
  <c r="AQ115" i="51"/>
  <c r="AN115" i="51"/>
  <c r="AB115" i="51"/>
  <c r="AS115" i="51"/>
  <c r="AM115" i="51"/>
  <c r="AJ205" i="51"/>
  <c r="AI205" i="51"/>
  <c r="AG205" i="51"/>
  <c r="AF205" i="51"/>
  <c r="AD205" i="51"/>
  <c r="AC205" i="51"/>
  <c r="AA205" i="51"/>
  <c r="Z205" i="51"/>
  <c r="O205" i="51"/>
  <c r="O204" i="51"/>
  <c r="AJ204" i="51"/>
  <c r="AI204" i="51"/>
  <c r="AG204" i="51"/>
  <c r="AF204" i="51"/>
  <c r="AD204" i="51"/>
  <c r="AC204" i="51"/>
  <c r="AA204" i="51"/>
  <c r="Z204" i="51"/>
  <c r="J32" i="52" l="1"/>
  <c r="AE204" i="51"/>
  <c r="AR115" i="51"/>
  <c r="AK204" i="51"/>
  <c r="AM204" i="51"/>
  <c r="AN205" i="51"/>
  <c r="AT205" i="51"/>
  <c r="AQ204" i="51"/>
  <c r="AK205" i="51"/>
  <c r="AV15" i="51"/>
  <c r="AU15" i="51"/>
  <c r="AH204" i="51"/>
  <c r="AQ205" i="51"/>
  <c r="AS205" i="51"/>
  <c r="AO114" i="51"/>
  <c r="AR114" i="51"/>
  <c r="AU114" i="51"/>
  <c r="AV114" i="51"/>
  <c r="AV115" i="51"/>
  <c r="AU115" i="51"/>
  <c r="AO115" i="51"/>
  <c r="AP205" i="51"/>
  <c r="AH205" i="51"/>
  <c r="AE205" i="51"/>
  <c r="AM205" i="51"/>
  <c r="AB205" i="51"/>
  <c r="AP204" i="51"/>
  <c r="AT204" i="51"/>
  <c r="AN204" i="51"/>
  <c r="AB204" i="51"/>
  <c r="AS204" i="51"/>
  <c r="AJ243" i="51"/>
  <c r="AI243" i="51"/>
  <c r="AG243" i="51"/>
  <c r="AF243" i="51"/>
  <c r="AD243" i="51"/>
  <c r="AC243" i="51"/>
  <c r="AA243" i="51"/>
  <c r="Z243" i="51"/>
  <c r="L243" i="51"/>
  <c r="AJ242" i="51"/>
  <c r="AI242" i="51"/>
  <c r="AG242" i="51"/>
  <c r="AF242" i="51"/>
  <c r="AD242" i="51"/>
  <c r="AC242" i="51"/>
  <c r="AA242" i="51"/>
  <c r="Z242" i="51"/>
  <c r="O242" i="51"/>
  <c r="AJ238" i="51"/>
  <c r="AI238" i="51"/>
  <c r="AG238" i="51"/>
  <c r="AF238" i="51"/>
  <c r="AD238" i="51"/>
  <c r="AC238" i="51"/>
  <c r="AA238" i="51"/>
  <c r="Z238" i="51"/>
  <c r="O238" i="51"/>
  <c r="AJ225" i="51"/>
  <c r="AI225" i="51"/>
  <c r="AG225" i="51"/>
  <c r="AF225" i="51"/>
  <c r="AD225" i="51"/>
  <c r="AC225" i="51"/>
  <c r="AA225" i="51"/>
  <c r="Z225" i="51"/>
  <c r="AJ226" i="51"/>
  <c r="AI226" i="51"/>
  <c r="AG226" i="51"/>
  <c r="AF226" i="51"/>
  <c r="AD226" i="51"/>
  <c r="AC226" i="51"/>
  <c r="AA226" i="51"/>
  <c r="Z226" i="51"/>
  <c r="BS224" i="51"/>
  <c r="BR224" i="51"/>
  <c r="BQ224" i="51"/>
  <c r="BP224" i="51"/>
  <c r="BO224" i="51"/>
  <c r="BN224" i="51"/>
  <c r="BM224" i="51"/>
  <c r="BL224" i="51"/>
  <c r="BK224" i="51"/>
  <c r="BJ224" i="51"/>
  <c r="BI224" i="51"/>
  <c r="BH224" i="51"/>
  <c r="BG224" i="51"/>
  <c r="BF224" i="51"/>
  <c r="BE224" i="51"/>
  <c r="BD224" i="51"/>
  <c r="BC224" i="51"/>
  <c r="BB224" i="51"/>
  <c r="BA224" i="51"/>
  <c r="AZ224" i="51"/>
  <c r="AY224" i="51"/>
  <c r="AX224" i="51"/>
  <c r="AW224" i="51"/>
  <c r="S224" i="51"/>
  <c r="Q224" i="51"/>
  <c r="AJ223" i="51"/>
  <c r="AI223" i="51"/>
  <c r="AG223" i="51"/>
  <c r="AF223" i="51"/>
  <c r="AD223" i="51"/>
  <c r="AC223" i="51"/>
  <c r="AA223" i="51"/>
  <c r="Z223" i="51"/>
  <c r="O223" i="51"/>
  <c r="BQ222" i="51"/>
  <c r="AI222" i="51" s="1"/>
  <c r="AJ222" i="51"/>
  <c r="AG222" i="51"/>
  <c r="AF222" i="51"/>
  <c r="AD222" i="51"/>
  <c r="AC222" i="51"/>
  <c r="AA222" i="51"/>
  <c r="Z222" i="51"/>
  <c r="O222" i="51"/>
  <c r="BO221" i="51"/>
  <c r="AI221" i="51" s="1"/>
  <c r="BA221" i="51"/>
  <c r="Z221" i="51" s="1"/>
  <c r="AJ221" i="51"/>
  <c r="AG221" i="51"/>
  <c r="AF221" i="51"/>
  <c r="AD221" i="51"/>
  <c r="AC221" i="51"/>
  <c r="AA221" i="51"/>
  <c r="O221" i="51"/>
  <c r="BO220" i="51"/>
  <c r="BA220" i="51"/>
  <c r="Z220" i="51" s="1"/>
  <c r="AJ220" i="51"/>
  <c r="AG220" i="51"/>
  <c r="AF220" i="51"/>
  <c r="AD220" i="51"/>
  <c r="AC220" i="51"/>
  <c r="AA220" i="51"/>
  <c r="O220" i="51"/>
  <c r="BA219" i="51"/>
  <c r="Z219" i="51" s="1"/>
  <c r="AJ219" i="51"/>
  <c r="AI219" i="51"/>
  <c r="AG219" i="51"/>
  <c r="AF219" i="51"/>
  <c r="AD219" i="51"/>
  <c r="AC219" i="51"/>
  <c r="AA219" i="51"/>
  <c r="O219" i="51"/>
  <c r="BT218" i="51"/>
  <c r="BS218" i="51"/>
  <c r="BR218" i="51"/>
  <c r="BP218" i="51"/>
  <c r="BN218" i="51"/>
  <c r="BM218" i="51"/>
  <c r="BL218" i="51"/>
  <c r="BK218" i="51"/>
  <c r="BJ218" i="51"/>
  <c r="BI218" i="51"/>
  <c r="BH218" i="51"/>
  <c r="BG218" i="51"/>
  <c r="BF218" i="51"/>
  <c r="BE218" i="51"/>
  <c r="BD218" i="51"/>
  <c r="BC218" i="51"/>
  <c r="BB218" i="51"/>
  <c r="AZ218" i="51"/>
  <c r="AY218" i="51"/>
  <c r="AX218" i="51"/>
  <c r="AW218" i="51"/>
  <c r="S218" i="51"/>
  <c r="Q218" i="51"/>
  <c r="L218" i="51"/>
  <c r="BT210" i="51"/>
  <c r="BS210" i="51"/>
  <c r="BR210" i="51"/>
  <c r="BQ210" i="51"/>
  <c r="BP210" i="51"/>
  <c r="BO210" i="51"/>
  <c r="BN210" i="51"/>
  <c r="BM210" i="51"/>
  <c r="BL210" i="51"/>
  <c r="BK210" i="51"/>
  <c r="BJ210" i="51"/>
  <c r="BI210" i="51"/>
  <c r="BH210" i="51"/>
  <c r="BG210" i="51"/>
  <c r="BF210" i="51"/>
  <c r="BE210" i="51"/>
  <c r="BD210" i="51"/>
  <c r="BC210" i="51"/>
  <c r="BB210" i="51"/>
  <c r="BA210" i="51"/>
  <c r="AZ210" i="51"/>
  <c r="AY210" i="51"/>
  <c r="AX210" i="51"/>
  <c r="AW210" i="51"/>
  <c r="O210" i="51"/>
  <c r="AJ208" i="51"/>
  <c r="AI208" i="51"/>
  <c r="AG208" i="51"/>
  <c r="AF208" i="51"/>
  <c r="AD208" i="51"/>
  <c r="AC208" i="51"/>
  <c r="AA208" i="51"/>
  <c r="Z208" i="51"/>
  <c r="O208" i="51"/>
  <c r="AJ207" i="51"/>
  <c r="AI207" i="51"/>
  <c r="AG207" i="51"/>
  <c r="AF207" i="51"/>
  <c r="AD207" i="51"/>
  <c r="AC207" i="51"/>
  <c r="AA207" i="51"/>
  <c r="Z207" i="51"/>
  <c r="O207" i="51"/>
  <c r="AJ203" i="51"/>
  <c r="AI203" i="51"/>
  <c r="AG203" i="51"/>
  <c r="AF203" i="51"/>
  <c r="AD203" i="51"/>
  <c r="AC203" i="51"/>
  <c r="AA203" i="51"/>
  <c r="Z203" i="51"/>
  <c r="L203" i="51"/>
  <c r="L192" i="51" s="1"/>
  <c r="AJ202" i="51"/>
  <c r="AI202" i="51"/>
  <c r="AG202" i="51"/>
  <c r="AF202" i="51"/>
  <c r="AD202" i="51"/>
  <c r="AC202" i="51"/>
  <c r="AA202" i="51"/>
  <c r="Z202" i="51"/>
  <c r="O202" i="51"/>
  <c r="AJ200" i="51"/>
  <c r="AI200" i="51"/>
  <c r="AG200" i="51"/>
  <c r="AF200" i="51"/>
  <c r="AD200" i="51"/>
  <c r="AC200" i="51"/>
  <c r="AA200" i="51"/>
  <c r="Z200" i="51"/>
  <c r="O200" i="51"/>
  <c r="BS199" i="51"/>
  <c r="AI199" i="51" s="1"/>
  <c r="AJ199" i="51"/>
  <c r="AG199" i="51"/>
  <c r="AF199" i="51"/>
  <c r="AD199" i="51"/>
  <c r="AC199" i="51"/>
  <c r="AA199" i="51"/>
  <c r="Z199" i="51"/>
  <c r="S199" i="51"/>
  <c r="Q199" i="51"/>
  <c r="AJ198" i="51"/>
  <c r="AI198" i="51"/>
  <c r="AG198" i="51"/>
  <c r="AF198" i="51"/>
  <c r="AD198" i="51"/>
  <c r="AC198" i="51"/>
  <c r="AA198" i="51"/>
  <c r="Z198" i="51"/>
  <c r="O198" i="51"/>
  <c r="AJ197" i="51"/>
  <c r="AI197" i="51"/>
  <c r="AG197" i="51"/>
  <c r="AF197" i="51"/>
  <c r="AD197" i="51"/>
  <c r="AC197" i="51"/>
  <c r="AA197" i="51"/>
  <c r="Z197" i="51"/>
  <c r="O197" i="51"/>
  <c r="AJ196" i="51"/>
  <c r="AI196" i="51"/>
  <c r="AG196" i="51"/>
  <c r="AF196" i="51"/>
  <c r="AD196" i="51"/>
  <c r="AC196" i="51"/>
  <c r="AA196" i="51"/>
  <c r="Z196" i="51"/>
  <c r="O196" i="51"/>
  <c r="AJ195" i="51"/>
  <c r="AI195" i="51"/>
  <c r="AG195" i="51"/>
  <c r="AF195" i="51"/>
  <c r="AD195" i="51"/>
  <c r="AC195" i="51"/>
  <c r="AA195" i="51"/>
  <c r="Z195" i="51"/>
  <c r="S195" i="51"/>
  <c r="Q195" i="51"/>
  <c r="O195" i="51"/>
  <c r="AJ194" i="51"/>
  <c r="AI194" i="51"/>
  <c r="AG194" i="51"/>
  <c r="AF194" i="51"/>
  <c r="AD194" i="51"/>
  <c r="AC194" i="51"/>
  <c r="AA194" i="51"/>
  <c r="Z194" i="51"/>
  <c r="O194" i="51"/>
  <c r="AJ193" i="51"/>
  <c r="AI193" i="51"/>
  <c r="AG193" i="51"/>
  <c r="AF193" i="51"/>
  <c r="AD193" i="51"/>
  <c r="AC193" i="51"/>
  <c r="AA193" i="51"/>
  <c r="Z193" i="51"/>
  <c r="O193" i="51"/>
  <c r="BT192" i="51"/>
  <c r="BR192" i="51"/>
  <c r="BQ192" i="51"/>
  <c r="BP192" i="51"/>
  <c r="BO192" i="51"/>
  <c r="BN192" i="51"/>
  <c r="BM192" i="51"/>
  <c r="BL192" i="51"/>
  <c r="BK192" i="51"/>
  <c r="BJ192" i="51"/>
  <c r="BI192" i="51"/>
  <c r="BH192" i="51"/>
  <c r="BG192" i="51"/>
  <c r="BF192" i="51"/>
  <c r="BE192" i="51"/>
  <c r="BD192" i="51"/>
  <c r="BC192" i="51"/>
  <c r="BB192" i="51"/>
  <c r="BA192" i="51"/>
  <c r="AZ192" i="51"/>
  <c r="AY192" i="51"/>
  <c r="AX192" i="51"/>
  <c r="AW192" i="51"/>
  <c r="M192" i="51"/>
  <c r="BM191" i="51"/>
  <c r="BM190" i="51" s="1"/>
  <c r="BK191" i="51"/>
  <c r="BK190" i="51" s="1"/>
  <c r="AJ191" i="51"/>
  <c r="AI191" i="51"/>
  <c r="AG191" i="51"/>
  <c r="AD191" i="51"/>
  <c r="AC191" i="51"/>
  <c r="AA191" i="51"/>
  <c r="Z191" i="51"/>
  <c r="S191" i="51"/>
  <c r="S190" i="51" s="1"/>
  <c r="Q191" i="51"/>
  <c r="Q190" i="51" s="1"/>
  <c r="L191" i="51"/>
  <c r="L190" i="51" s="1"/>
  <c r="V62" i="51" s="1"/>
  <c r="BT190" i="51"/>
  <c r="BS190" i="51"/>
  <c r="BR190" i="51"/>
  <c r="BQ190" i="51"/>
  <c r="BP190" i="51"/>
  <c r="BO190" i="51"/>
  <c r="BN190" i="51"/>
  <c r="BL190" i="51"/>
  <c r="BJ190" i="51"/>
  <c r="BI190" i="51"/>
  <c r="BH190" i="51"/>
  <c r="BG190" i="51"/>
  <c r="BF190" i="51"/>
  <c r="BE190" i="51"/>
  <c r="BD190" i="51"/>
  <c r="BC190" i="51"/>
  <c r="BB190" i="51"/>
  <c r="BA190" i="51"/>
  <c r="AZ190" i="51"/>
  <c r="AY190" i="51"/>
  <c r="AX190" i="51"/>
  <c r="AW190" i="51"/>
  <c r="AJ189" i="51"/>
  <c r="AI189" i="51"/>
  <c r="AG189" i="51"/>
  <c r="AF189" i="51"/>
  <c r="AD189" i="51"/>
  <c r="AC189" i="51"/>
  <c r="AA189" i="51"/>
  <c r="Z189" i="51"/>
  <c r="O189" i="51"/>
  <c r="BS188" i="51"/>
  <c r="BR188" i="51"/>
  <c r="BQ188" i="51"/>
  <c r="BP188" i="51"/>
  <c r="BO188" i="51"/>
  <c r="BN188" i="51"/>
  <c r="BM188" i="51"/>
  <c r="BL188" i="51"/>
  <c r="BK188" i="51"/>
  <c r="BJ188" i="51"/>
  <c r="BI188" i="51"/>
  <c r="BH188" i="51"/>
  <c r="BG188" i="51"/>
  <c r="BF188" i="51"/>
  <c r="BE188" i="51"/>
  <c r="BD188" i="51"/>
  <c r="BC188" i="51"/>
  <c r="BB188" i="51"/>
  <c r="BA188" i="51"/>
  <c r="AZ188" i="51"/>
  <c r="AY188" i="51"/>
  <c r="AX188" i="51"/>
  <c r="AW188" i="51"/>
  <c r="X188" i="51"/>
  <c r="S188" i="51"/>
  <c r="R188" i="51"/>
  <c r="Q188" i="51"/>
  <c r="L188" i="51"/>
  <c r="O188" i="51" s="1"/>
  <c r="AJ187" i="51"/>
  <c r="AI187" i="51"/>
  <c r="AG187" i="51"/>
  <c r="AF187" i="51"/>
  <c r="AD187" i="51"/>
  <c r="AC187" i="51"/>
  <c r="AA187" i="51"/>
  <c r="Z187" i="51"/>
  <c r="O187" i="51"/>
  <c r="AJ184" i="51"/>
  <c r="AI184" i="51"/>
  <c r="AG184" i="51"/>
  <c r="AF184" i="51"/>
  <c r="AD184" i="51"/>
  <c r="AC184" i="51"/>
  <c r="AA184" i="51"/>
  <c r="Z184" i="51"/>
  <c r="BS183" i="51"/>
  <c r="BR183" i="51"/>
  <c r="BQ183" i="51"/>
  <c r="BP183" i="51"/>
  <c r="BO183" i="51"/>
  <c r="BN183" i="51"/>
  <c r="BM183" i="51"/>
  <c r="BL183" i="51"/>
  <c r="BK183" i="51"/>
  <c r="BJ183" i="51"/>
  <c r="BI183" i="51"/>
  <c r="BH183" i="51"/>
  <c r="BG183" i="51"/>
  <c r="BF183" i="51"/>
  <c r="BE183" i="51"/>
  <c r="BD183" i="51"/>
  <c r="BC183" i="51"/>
  <c r="BB183" i="51"/>
  <c r="BA183" i="51"/>
  <c r="AZ183" i="51"/>
  <c r="AY183" i="51"/>
  <c r="AX183" i="51"/>
  <c r="AW183" i="51"/>
  <c r="S183" i="51"/>
  <c r="R183" i="51"/>
  <c r="Q183" i="51"/>
  <c r="N183" i="51"/>
  <c r="N244" i="51" s="1"/>
  <c r="M183" i="51"/>
  <c r="AJ182" i="51"/>
  <c r="AI182" i="51"/>
  <c r="AG182" i="51"/>
  <c r="AF182" i="51"/>
  <c r="AD182" i="51"/>
  <c r="AC182" i="51"/>
  <c r="AA182" i="51"/>
  <c r="Z182" i="51"/>
  <c r="O182" i="51"/>
  <c r="BT181" i="51"/>
  <c r="BS181" i="51"/>
  <c r="BR181" i="51"/>
  <c r="BQ181" i="51"/>
  <c r="BP181" i="51"/>
  <c r="BO181" i="51"/>
  <c r="BN181" i="51"/>
  <c r="BM181" i="51"/>
  <c r="BL181" i="51"/>
  <c r="BK181" i="51"/>
  <c r="BJ181" i="51"/>
  <c r="BI181" i="51"/>
  <c r="BH181" i="51"/>
  <c r="BG181" i="51"/>
  <c r="BF181" i="51"/>
  <c r="BE181" i="51"/>
  <c r="BD181" i="51"/>
  <c r="BC181" i="51"/>
  <c r="BB181" i="51"/>
  <c r="BA181" i="51"/>
  <c r="AZ181" i="51"/>
  <c r="AY181" i="51"/>
  <c r="AX181" i="51"/>
  <c r="AW181" i="51"/>
  <c r="S181" i="51"/>
  <c r="Q181" i="51"/>
  <c r="L181" i="51"/>
  <c r="AJ180" i="51"/>
  <c r="AI180" i="51"/>
  <c r="AG180" i="51"/>
  <c r="AF180" i="51"/>
  <c r="AD180" i="51"/>
  <c r="AC180" i="51"/>
  <c r="AA180" i="51"/>
  <c r="Z180" i="51"/>
  <c r="O180" i="51"/>
  <c r="AJ179" i="51"/>
  <c r="AI179" i="51"/>
  <c r="AG179" i="51"/>
  <c r="AF179" i="51"/>
  <c r="AD179" i="51"/>
  <c r="AC179" i="51"/>
  <c r="AA179" i="51"/>
  <c r="Z179" i="51"/>
  <c r="O179" i="51"/>
  <c r="BT178" i="51"/>
  <c r="BS178" i="51"/>
  <c r="BR178" i="51"/>
  <c r="BQ178" i="51"/>
  <c r="BP178" i="51"/>
  <c r="BO178" i="51"/>
  <c r="BN178" i="51"/>
  <c r="BM178" i="51"/>
  <c r="BL178" i="51"/>
  <c r="BK178" i="51"/>
  <c r="BJ178" i="51"/>
  <c r="BI178" i="51"/>
  <c r="BH178" i="51"/>
  <c r="BG178" i="51"/>
  <c r="BF178" i="51"/>
  <c r="BE178" i="51"/>
  <c r="BD178" i="51"/>
  <c r="BC178" i="51"/>
  <c r="BB178" i="51"/>
  <c r="BA178" i="51"/>
  <c r="AZ178" i="51"/>
  <c r="AY178" i="51"/>
  <c r="AX178" i="51"/>
  <c r="AW178" i="51"/>
  <c r="S178" i="51"/>
  <c r="Q178" i="51"/>
  <c r="L178" i="51"/>
  <c r="AJ177" i="51"/>
  <c r="AI177" i="51"/>
  <c r="AG177" i="51"/>
  <c r="AF177" i="51"/>
  <c r="AD177" i="51"/>
  <c r="AC177" i="51"/>
  <c r="AA177" i="51"/>
  <c r="Z177" i="51"/>
  <c r="L177" i="51"/>
  <c r="O177" i="51" s="1"/>
  <c r="BS176" i="51"/>
  <c r="AI176" i="51" s="1"/>
  <c r="AJ176" i="51"/>
  <c r="AG176" i="51"/>
  <c r="AF176" i="51"/>
  <c r="AD176" i="51"/>
  <c r="AC176" i="51"/>
  <c r="AA176" i="51"/>
  <c r="Z176" i="51"/>
  <c r="L176" i="51"/>
  <c r="O176" i="51" s="1"/>
  <c r="BT175" i="51"/>
  <c r="BR175" i="51"/>
  <c r="BQ175" i="51"/>
  <c r="BP175" i="51"/>
  <c r="BO175" i="51"/>
  <c r="BN175" i="51"/>
  <c r="BM175" i="51"/>
  <c r="BL175" i="51"/>
  <c r="BK175" i="51"/>
  <c r="BJ175" i="51"/>
  <c r="BI175" i="51"/>
  <c r="BH175" i="51"/>
  <c r="BG175" i="51"/>
  <c r="BF175" i="51"/>
  <c r="BE175" i="51"/>
  <c r="BD175" i="51"/>
  <c r="BC175" i="51"/>
  <c r="BB175" i="51"/>
  <c r="BA175" i="51"/>
  <c r="AZ175" i="51"/>
  <c r="AY175" i="51"/>
  <c r="AX175" i="51"/>
  <c r="AW175" i="51"/>
  <c r="S175" i="51"/>
  <c r="Q175" i="51"/>
  <c r="M175" i="51"/>
  <c r="BS174" i="51"/>
  <c r="AI174" i="51" s="1"/>
  <c r="AJ174" i="51"/>
  <c r="AG174" i="51"/>
  <c r="AF174" i="51"/>
  <c r="AD174" i="51"/>
  <c r="AC174" i="51"/>
  <c r="AA174" i="51"/>
  <c r="Z174" i="51"/>
  <c r="O174" i="51"/>
  <c r="AJ173" i="51"/>
  <c r="AI173" i="51"/>
  <c r="AG173" i="51"/>
  <c r="AF173" i="51"/>
  <c r="AD173" i="51"/>
  <c r="AC173" i="51"/>
  <c r="AA173" i="51"/>
  <c r="Z173" i="51"/>
  <c r="O173" i="51"/>
  <c r="AJ172" i="51"/>
  <c r="AI172" i="51"/>
  <c r="AG172" i="51"/>
  <c r="AF172" i="51"/>
  <c r="AD172" i="51"/>
  <c r="AC172" i="51"/>
  <c r="AA172" i="51"/>
  <c r="Z172" i="51"/>
  <c r="O172" i="51"/>
  <c r="BS171" i="51"/>
  <c r="AI171" i="51" s="1"/>
  <c r="AJ171" i="51"/>
  <c r="AG171" i="51"/>
  <c r="AF171" i="51"/>
  <c r="AD171" i="51"/>
  <c r="AC171" i="51"/>
  <c r="AA171" i="51"/>
  <c r="Z171" i="51"/>
  <c r="O171" i="51"/>
  <c r="BT170" i="51"/>
  <c r="BR170" i="51"/>
  <c r="BQ170" i="51"/>
  <c r="BP170" i="51"/>
  <c r="BO170" i="51"/>
  <c r="BN170" i="51"/>
  <c r="BM170" i="51"/>
  <c r="BL170" i="51"/>
  <c r="BK170" i="51"/>
  <c r="BJ170" i="51"/>
  <c r="BI170" i="51"/>
  <c r="BH170" i="51"/>
  <c r="BG170" i="51"/>
  <c r="BF170" i="51"/>
  <c r="BE170" i="51"/>
  <c r="BD170" i="51"/>
  <c r="BC170" i="51"/>
  <c r="BB170" i="51"/>
  <c r="BA170" i="51"/>
  <c r="AZ170" i="51"/>
  <c r="AY170" i="51"/>
  <c r="AX170" i="51"/>
  <c r="AW170" i="51"/>
  <c r="S170" i="51"/>
  <c r="Q170" i="51"/>
  <c r="L170" i="51"/>
  <c r="AJ169" i="51"/>
  <c r="AI169" i="51"/>
  <c r="AG169" i="51"/>
  <c r="AF169" i="51"/>
  <c r="AD169" i="51"/>
  <c r="AC169" i="51"/>
  <c r="AA169" i="51"/>
  <c r="Z169" i="51"/>
  <c r="O169" i="51"/>
  <c r="BS168" i="51"/>
  <c r="AI168" i="51" s="1"/>
  <c r="AJ168" i="51"/>
  <c r="AG168" i="51"/>
  <c r="AF168" i="51"/>
  <c r="AD168" i="51"/>
  <c r="AC168" i="51"/>
  <c r="AA168" i="51"/>
  <c r="Z168" i="51"/>
  <c r="L168" i="51"/>
  <c r="O168" i="51" s="1"/>
  <c r="AJ167" i="51"/>
  <c r="AI167" i="51"/>
  <c r="AG167" i="51"/>
  <c r="AF167" i="51"/>
  <c r="AD167" i="51"/>
  <c r="AC167" i="51"/>
  <c r="AA167" i="51"/>
  <c r="Z167" i="51"/>
  <c r="O167" i="51"/>
  <c r="AJ166" i="51"/>
  <c r="AI166" i="51"/>
  <c r="AG166" i="51"/>
  <c r="AF166" i="51"/>
  <c r="AD166" i="51"/>
  <c r="AC166" i="51"/>
  <c r="AA166" i="51"/>
  <c r="Z166" i="51"/>
  <c r="L166" i="51"/>
  <c r="O166" i="51" s="1"/>
  <c r="AJ165" i="51"/>
  <c r="AI165" i="51"/>
  <c r="AG165" i="51"/>
  <c r="AF165" i="51"/>
  <c r="AD165" i="51"/>
  <c r="AC165" i="51"/>
  <c r="AA165" i="51"/>
  <c r="Z165" i="51"/>
  <c r="L165" i="51"/>
  <c r="O165" i="51" s="1"/>
  <c r="BT164" i="51"/>
  <c r="BS164" i="51"/>
  <c r="BR164" i="51"/>
  <c r="BQ164" i="51"/>
  <c r="BP164" i="51"/>
  <c r="BO164" i="51"/>
  <c r="BN164" i="51"/>
  <c r="BM164" i="51"/>
  <c r="BL164" i="51"/>
  <c r="BK164" i="51"/>
  <c r="BJ164" i="51"/>
  <c r="BI164" i="51"/>
  <c r="BH164" i="51"/>
  <c r="BG164" i="51"/>
  <c r="BG244" i="51" s="1"/>
  <c r="BF164" i="51"/>
  <c r="BE164" i="51"/>
  <c r="BD164" i="51"/>
  <c r="BC164" i="51"/>
  <c r="BB164" i="51"/>
  <c r="BA164" i="51"/>
  <c r="AZ164" i="51"/>
  <c r="AY164" i="51"/>
  <c r="AY244" i="51" s="1"/>
  <c r="AX164" i="51"/>
  <c r="AW164" i="51"/>
  <c r="S164" i="51"/>
  <c r="Q164" i="51"/>
  <c r="AJ163" i="51"/>
  <c r="AI163" i="51"/>
  <c r="AG163" i="51"/>
  <c r="AF163" i="51"/>
  <c r="AD163" i="51"/>
  <c r="AC163" i="51"/>
  <c r="AA163" i="51"/>
  <c r="Z163" i="51"/>
  <c r="L163" i="51"/>
  <c r="AT162" i="51"/>
  <c r="AS162" i="51"/>
  <c r="AR162" i="51"/>
  <c r="AJ159" i="51"/>
  <c r="AI159" i="51"/>
  <c r="AG159" i="51"/>
  <c r="AF159" i="51"/>
  <c r="AD159" i="51"/>
  <c r="AC159" i="51"/>
  <c r="AA159" i="51"/>
  <c r="Z159" i="51"/>
  <c r="T157" i="51"/>
  <c r="T158" i="51" s="1"/>
  <c r="S157" i="51"/>
  <c r="R157" i="51"/>
  <c r="Q157" i="51"/>
  <c r="P157" i="51"/>
  <c r="N157" i="51"/>
  <c r="N158" i="51" s="1"/>
  <c r="M157" i="51"/>
  <c r="M158" i="51" s="1"/>
  <c r="L157" i="51"/>
  <c r="AJ156" i="51"/>
  <c r="AI156" i="51"/>
  <c r="AG156" i="51"/>
  <c r="AF156" i="51"/>
  <c r="AD156" i="51"/>
  <c r="AC156" i="51"/>
  <c r="AA156" i="51"/>
  <c r="Z156" i="51"/>
  <c r="O156" i="51"/>
  <c r="BT155" i="51"/>
  <c r="BS155" i="51"/>
  <c r="BR155" i="51"/>
  <c r="BQ155" i="51"/>
  <c r="BP155" i="51"/>
  <c r="BO155" i="51"/>
  <c r="BN155" i="51"/>
  <c r="BM155" i="51"/>
  <c r="BL155" i="51"/>
  <c r="BK155" i="51"/>
  <c r="BJ155" i="51"/>
  <c r="BI155" i="51"/>
  <c r="BH155" i="51"/>
  <c r="BG155" i="51"/>
  <c r="BF155" i="51"/>
  <c r="BE155" i="51"/>
  <c r="BD155" i="51"/>
  <c r="BC155" i="51"/>
  <c r="BB155" i="51"/>
  <c r="BA155" i="51"/>
  <c r="AZ155" i="51"/>
  <c r="AY155" i="51"/>
  <c r="AX155" i="51"/>
  <c r="AW155" i="51"/>
  <c r="O155" i="51"/>
  <c r="O157" i="51" s="1"/>
  <c r="AV154" i="51"/>
  <c r="X152" i="51"/>
  <c r="AJ151" i="51"/>
  <c r="AI151" i="51"/>
  <c r="AG151" i="51"/>
  <c r="AF151" i="51"/>
  <c r="AD151" i="51"/>
  <c r="AC151" i="51"/>
  <c r="AA151" i="51"/>
  <c r="Z151" i="51"/>
  <c r="AJ149" i="51"/>
  <c r="AI149" i="51"/>
  <c r="AG149" i="51"/>
  <c r="AF149" i="51"/>
  <c r="AD149" i="51"/>
  <c r="AC149" i="51"/>
  <c r="AA149" i="51"/>
  <c r="Z149" i="51"/>
  <c r="O149" i="51"/>
  <c r="BT148" i="51"/>
  <c r="BS148" i="51"/>
  <c r="BR148" i="51"/>
  <c r="BQ148" i="51"/>
  <c r="BP148" i="51"/>
  <c r="BO148" i="51"/>
  <c r="BN148" i="51"/>
  <c r="BM148" i="51"/>
  <c r="BL148" i="51"/>
  <c r="BK148" i="51"/>
  <c r="BJ148" i="51"/>
  <c r="BI148" i="51"/>
  <c r="BH148" i="51"/>
  <c r="BG148" i="51"/>
  <c r="BF148" i="51"/>
  <c r="BE148" i="51"/>
  <c r="BD148" i="51"/>
  <c r="BC148" i="51"/>
  <c r="BB148" i="51"/>
  <c r="BA148" i="51"/>
  <c r="AZ148" i="51"/>
  <c r="AY148" i="51"/>
  <c r="AX148" i="51"/>
  <c r="AW148" i="51"/>
  <c r="L148" i="51"/>
  <c r="O148" i="51" s="1"/>
  <c r="AJ147" i="51"/>
  <c r="AI147" i="51"/>
  <c r="AG147" i="51"/>
  <c r="AF147" i="51"/>
  <c r="AD147" i="51"/>
  <c r="AC147" i="51"/>
  <c r="AA147" i="51"/>
  <c r="Z147" i="51"/>
  <c r="O147" i="51"/>
  <c r="BT146" i="51"/>
  <c r="BS146" i="51"/>
  <c r="BR146" i="51"/>
  <c r="BQ146" i="51"/>
  <c r="BP146" i="51"/>
  <c r="BO146" i="51"/>
  <c r="BN146" i="51"/>
  <c r="BM146" i="51"/>
  <c r="BL146" i="51"/>
  <c r="BK146" i="51"/>
  <c r="BJ146" i="51"/>
  <c r="BI146" i="51"/>
  <c r="BH146" i="51"/>
  <c r="BG146" i="51"/>
  <c r="BF146" i="51"/>
  <c r="BE146" i="51"/>
  <c r="BD146" i="51"/>
  <c r="BC146" i="51"/>
  <c r="BB146" i="51"/>
  <c r="BA146" i="51"/>
  <c r="AZ146" i="51"/>
  <c r="AY146" i="51"/>
  <c r="AX146" i="51"/>
  <c r="AW146" i="51"/>
  <c r="L146" i="51"/>
  <c r="AJ145" i="51"/>
  <c r="AI145" i="51"/>
  <c r="AG145" i="51"/>
  <c r="AF145" i="51"/>
  <c r="AD145" i="51"/>
  <c r="AC145" i="51"/>
  <c r="AA145" i="51"/>
  <c r="Z145" i="51"/>
  <c r="O145" i="51"/>
  <c r="BT144" i="51"/>
  <c r="BS144" i="51"/>
  <c r="BR144" i="51"/>
  <c r="BQ144" i="51"/>
  <c r="BP144" i="51"/>
  <c r="BO144" i="51"/>
  <c r="BN144" i="51"/>
  <c r="BM144" i="51"/>
  <c r="BL144" i="51"/>
  <c r="BK144" i="51"/>
  <c r="BJ144" i="51"/>
  <c r="BI144" i="51"/>
  <c r="BH144" i="51"/>
  <c r="BG144" i="51"/>
  <c r="BF144" i="51"/>
  <c r="BE144" i="51"/>
  <c r="BD144" i="51"/>
  <c r="BC144" i="51"/>
  <c r="BB144" i="51"/>
  <c r="BA144" i="51"/>
  <c r="AZ144" i="51"/>
  <c r="AY144" i="51"/>
  <c r="AX144" i="51"/>
  <c r="AW144" i="51"/>
  <c r="L144" i="51"/>
  <c r="O144" i="51" s="1"/>
  <c r="AJ143" i="51"/>
  <c r="AI143" i="51"/>
  <c r="AG143" i="51"/>
  <c r="AF143" i="51"/>
  <c r="AD143" i="51"/>
  <c r="AC143" i="51"/>
  <c r="AA143" i="51"/>
  <c r="Z143" i="51"/>
  <c r="P143" i="51"/>
  <c r="O143" i="51"/>
  <c r="AJ142" i="51"/>
  <c r="AI142" i="51"/>
  <c r="AG142" i="51"/>
  <c r="AF142" i="51"/>
  <c r="AD142" i="51"/>
  <c r="AC142" i="51"/>
  <c r="AA142" i="51"/>
  <c r="Z142" i="51"/>
  <c r="L142" i="51"/>
  <c r="O142" i="51" s="1"/>
  <c r="AJ141" i="51"/>
  <c r="AI141" i="51"/>
  <c r="AG141" i="51"/>
  <c r="AF141" i="51"/>
  <c r="AD141" i="51"/>
  <c r="AC141" i="51"/>
  <c r="AA141" i="51"/>
  <c r="Z141" i="51"/>
  <c r="O141" i="51"/>
  <c r="AJ140" i="51"/>
  <c r="AI140" i="51"/>
  <c r="AG140" i="51"/>
  <c r="AF140" i="51"/>
  <c r="AD140" i="51"/>
  <c r="AC140" i="51"/>
  <c r="AA140" i="51"/>
  <c r="Z140" i="51"/>
  <c r="O140" i="51"/>
  <c r="BT139" i="51"/>
  <c r="BS139" i="51"/>
  <c r="BR139" i="51"/>
  <c r="BQ139" i="51"/>
  <c r="BP139" i="51"/>
  <c r="BO139" i="51"/>
  <c r="BN139" i="51"/>
  <c r="BM139" i="51"/>
  <c r="BL139" i="51"/>
  <c r="BK139" i="51"/>
  <c r="BJ139" i="51"/>
  <c r="BI139" i="51"/>
  <c r="BH139" i="51"/>
  <c r="BG139" i="51"/>
  <c r="BF139" i="51"/>
  <c r="BE139" i="51"/>
  <c r="BD139" i="51"/>
  <c r="BC139" i="51"/>
  <c r="BB139" i="51"/>
  <c r="BA139" i="51"/>
  <c r="AZ139" i="51"/>
  <c r="AY139" i="51"/>
  <c r="AX139" i="51"/>
  <c r="AW139" i="51"/>
  <c r="S139" i="51"/>
  <c r="R139" i="51"/>
  <c r="Q139" i="51"/>
  <c r="L139" i="51"/>
  <c r="O139" i="51" s="1"/>
  <c r="AJ138" i="51"/>
  <c r="AI138" i="51"/>
  <c r="AG138" i="51"/>
  <c r="AF138" i="51"/>
  <c r="AD138" i="51"/>
  <c r="AC138" i="51"/>
  <c r="AA138" i="51"/>
  <c r="Z138" i="51"/>
  <c r="O138" i="51"/>
  <c r="AJ137" i="51"/>
  <c r="AI137" i="51"/>
  <c r="AG137" i="51"/>
  <c r="AF137" i="51"/>
  <c r="AD137" i="51"/>
  <c r="AC137" i="51"/>
  <c r="AA137" i="51"/>
  <c r="Z137" i="51"/>
  <c r="O137" i="51"/>
  <c r="BT136" i="51"/>
  <c r="BS136" i="51"/>
  <c r="BR136" i="51"/>
  <c r="BQ136" i="51"/>
  <c r="BP136" i="51"/>
  <c r="BO136" i="51"/>
  <c r="BN136" i="51"/>
  <c r="BM136" i="51"/>
  <c r="BL136" i="51"/>
  <c r="BK136" i="51"/>
  <c r="BJ136" i="51"/>
  <c r="BI136" i="51"/>
  <c r="BH136" i="51"/>
  <c r="BG136" i="51"/>
  <c r="BF136" i="51"/>
  <c r="BE136" i="51"/>
  <c r="BD136" i="51"/>
  <c r="BC136" i="51"/>
  <c r="BB136" i="51"/>
  <c r="BA136" i="51"/>
  <c r="AZ136" i="51"/>
  <c r="AY136" i="51"/>
  <c r="AX136" i="51"/>
  <c r="AW136" i="51"/>
  <c r="O136" i="51"/>
  <c r="AJ135" i="51"/>
  <c r="AI135" i="51"/>
  <c r="AG135" i="51"/>
  <c r="AF135" i="51"/>
  <c r="AD135" i="51"/>
  <c r="AC135" i="51"/>
  <c r="AA135" i="51"/>
  <c r="Z135" i="51"/>
  <c r="O135" i="51"/>
  <c r="AJ134" i="51"/>
  <c r="AI134" i="51"/>
  <c r="AG134" i="51"/>
  <c r="AF134" i="51"/>
  <c r="AD134" i="51"/>
  <c r="AC134" i="51"/>
  <c r="AA134" i="51"/>
  <c r="Z134" i="51"/>
  <c r="O134" i="51"/>
  <c r="BT133" i="51"/>
  <c r="BS133" i="51"/>
  <c r="BR133" i="51"/>
  <c r="BQ133" i="51"/>
  <c r="BP133" i="51"/>
  <c r="BO133" i="51"/>
  <c r="BN133" i="51"/>
  <c r="BM133" i="51"/>
  <c r="BL133" i="51"/>
  <c r="BK133" i="51"/>
  <c r="BJ133" i="51"/>
  <c r="BI133" i="51"/>
  <c r="BH133" i="51"/>
  <c r="BG133" i="51"/>
  <c r="BF133" i="51"/>
  <c r="BE133" i="51"/>
  <c r="BD133" i="51"/>
  <c r="BC133" i="51"/>
  <c r="BB133" i="51"/>
  <c r="BA133" i="51"/>
  <c r="AZ133" i="51"/>
  <c r="AY133" i="51"/>
  <c r="AX133" i="51"/>
  <c r="AW133" i="51"/>
  <c r="O133" i="51"/>
  <c r="AJ132" i="51"/>
  <c r="AI132" i="51"/>
  <c r="AG132" i="51"/>
  <c r="AF132" i="51"/>
  <c r="AD132" i="51"/>
  <c r="AC132" i="51"/>
  <c r="AA132" i="51"/>
  <c r="Z132" i="51"/>
  <c r="O132" i="51"/>
  <c r="AJ131" i="51"/>
  <c r="AI131" i="51"/>
  <c r="AG131" i="51"/>
  <c r="AF131" i="51"/>
  <c r="AD131" i="51"/>
  <c r="AC131" i="51"/>
  <c r="AA131" i="51"/>
  <c r="Z131" i="51"/>
  <c r="O131" i="51"/>
  <c r="BT130" i="51"/>
  <c r="BS130" i="51"/>
  <c r="BR130" i="51"/>
  <c r="BQ130" i="51"/>
  <c r="BP130" i="51"/>
  <c r="BO130" i="51"/>
  <c r="BN130" i="51"/>
  <c r="BM130" i="51"/>
  <c r="BL130" i="51"/>
  <c r="BK130" i="51"/>
  <c r="BJ130" i="51"/>
  <c r="BI130" i="51"/>
  <c r="BH130" i="51"/>
  <c r="BG130" i="51"/>
  <c r="BF130" i="51"/>
  <c r="BE130" i="51"/>
  <c r="BD130" i="51"/>
  <c r="BC130" i="51"/>
  <c r="BB130" i="51"/>
  <c r="BA130" i="51"/>
  <c r="AZ130" i="51"/>
  <c r="AY130" i="51"/>
  <c r="AX130" i="51"/>
  <c r="AW130" i="51"/>
  <c r="O130" i="51"/>
  <c r="AJ129" i="51"/>
  <c r="AI129" i="51"/>
  <c r="AG129" i="51"/>
  <c r="AF129" i="51"/>
  <c r="AD129" i="51"/>
  <c r="AC129" i="51"/>
  <c r="AA129" i="51"/>
  <c r="Z129" i="51"/>
  <c r="O129" i="51"/>
  <c r="AJ128" i="51"/>
  <c r="AI128" i="51"/>
  <c r="AG128" i="51"/>
  <c r="AF128" i="51"/>
  <c r="AD128" i="51"/>
  <c r="AC128" i="51"/>
  <c r="AA128" i="51"/>
  <c r="Z128" i="51"/>
  <c r="O128" i="51"/>
  <c r="BT127" i="51"/>
  <c r="BS127" i="51"/>
  <c r="BR127" i="51"/>
  <c r="BQ127" i="51"/>
  <c r="BP127" i="51"/>
  <c r="BO127" i="51"/>
  <c r="BN127" i="51"/>
  <c r="BM127" i="51"/>
  <c r="BL127" i="51"/>
  <c r="BK127" i="51"/>
  <c r="BJ127" i="51"/>
  <c r="BI127" i="51"/>
  <c r="BH127" i="51"/>
  <c r="BG127" i="51"/>
  <c r="BF127" i="51"/>
  <c r="BE127" i="51"/>
  <c r="BD127" i="51"/>
  <c r="BC127" i="51"/>
  <c r="BB127" i="51"/>
  <c r="BA127" i="51"/>
  <c r="AZ127" i="51"/>
  <c r="AY127" i="51"/>
  <c r="AX127" i="51"/>
  <c r="AW127" i="51"/>
  <c r="O127" i="51"/>
  <c r="AJ123" i="51"/>
  <c r="AI123" i="51"/>
  <c r="AG123" i="51"/>
  <c r="AF123" i="51"/>
  <c r="AD123" i="51"/>
  <c r="AC123" i="51"/>
  <c r="AA123" i="51"/>
  <c r="Z123" i="51"/>
  <c r="O123" i="51"/>
  <c r="AJ113" i="51"/>
  <c r="AI113" i="51"/>
  <c r="AG113" i="51"/>
  <c r="AF113" i="51"/>
  <c r="AD113" i="51"/>
  <c r="AC113" i="51"/>
  <c r="AA113" i="51"/>
  <c r="Z113" i="51"/>
  <c r="O113" i="51"/>
  <c r="BT112" i="51"/>
  <c r="BS112" i="51"/>
  <c r="BR112" i="51"/>
  <c r="BQ112" i="51"/>
  <c r="BP112" i="51"/>
  <c r="BO112" i="51"/>
  <c r="BN112" i="51"/>
  <c r="BM112" i="51"/>
  <c r="BL112" i="51"/>
  <c r="BK112" i="51"/>
  <c r="BJ112" i="51"/>
  <c r="BI112" i="51"/>
  <c r="BH112" i="51"/>
  <c r="BG112" i="51"/>
  <c r="BF112" i="51"/>
  <c r="BE112" i="51"/>
  <c r="BD112" i="51"/>
  <c r="BC112" i="51"/>
  <c r="BB112" i="51"/>
  <c r="BA112" i="51"/>
  <c r="AZ112" i="51"/>
  <c r="AY112" i="51"/>
  <c r="AX112" i="51"/>
  <c r="AW112" i="51"/>
  <c r="O112" i="51"/>
  <c r="AJ126" i="51"/>
  <c r="AI126" i="51"/>
  <c r="AG126" i="51"/>
  <c r="AF126" i="51"/>
  <c r="AD126" i="51"/>
  <c r="AC126" i="51"/>
  <c r="AA126" i="51"/>
  <c r="Z126" i="51"/>
  <c r="O126" i="51"/>
  <c r="AJ125" i="51"/>
  <c r="AI125" i="51"/>
  <c r="AG125" i="51"/>
  <c r="AF125" i="51"/>
  <c r="AD125" i="51"/>
  <c r="AC125" i="51"/>
  <c r="AA125" i="51"/>
  <c r="Z125" i="51"/>
  <c r="O125" i="51"/>
  <c r="BT124" i="51"/>
  <c r="BS124" i="51"/>
  <c r="BR124" i="51"/>
  <c r="BQ124" i="51"/>
  <c r="BP124" i="51"/>
  <c r="BO124" i="51"/>
  <c r="BN124" i="51"/>
  <c r="BM124" i="51"/>
  <c r="BL124" i="51"/>
  <c r="BK124" i="51"/>
  <c r="BJ124" i="51"/>
  <c r="BI124" i="51"/>
  <c r="BH124" i="51"/>
  <c r="BG124" i="51"/>
  <c r="BF124" i="51"/>
  <c r="BE124" i="51"/>
  <c r="BD124" i="51"/>
  <c r="BC124" i="51"/>
  <c r="BB124" i="51"/>
  <c r="BA124" i="51"/>
  <c r="AZ124" i="51"/>
  <c r="AY124" i="51"/>
  <c r="AX124" i="51"/>
  <c r="AW124" i="51"/>
  <c r="S124" i="51"/>
  <c r="S111" i="51" s="1"/>
  <c r="Q124" i="51"/>
  <c r="Q111" i="51" s="1"/>
  <c r="O124" i="51"/>
  <c r="R111" i="51"/>
  <c r="O111" i="51"/>
  <c r="AJ110" i="51"/>
  <c r="AI110" i="51"/>
  <c r="AG110" i="51"/>
  <c r="AF110" i="51"/>
  <c r="AD110" i="51"/>
  <c r="AC110" i="51"/>
  <c r="AA110" i="51"/>
  <c r="Z110" i="51"/>
  <c r="O110" i="51"/>
  <c r="AJ109" i="51"/>
  <c r="AI109" i="51"/>
  <c r="AG109" i="51"/>
  <c r="AF109" i="51"/>
  <c r="AD109" i="51"/>
  <c r="AC109" i="51"/>
  <c r="AA109" i="51"/>
  <c r="Z109" i="51"/>
  <c r="O109" i="51"/>
  <c r="AJ108" i="51"/>
  <c r="AI108" i="51"/>
  <c r="AG108" i="51"/>
  <c r="AF108" i="51"/>
  <c r="AD108" i="51"/>
  <c r="AC108" i="51"/>
  <c r="AA108" i="51"/>
  <c r="Z108" i="51"/>
  <c r="O108" i="51"/>
  <c r="AJ107" i="51"/>
  <c r="AI107" i="51"/>
  <c r="AG107" i="51"/>
  <c r="AF107" i="51"/>
  <c r="AD107" i="51"/>
  <c r="AC107" i="51"/>
  <c r="AA107" i="51"/>
  <c r="Z107" i="51"/>
  <c r="O107" i="51"/>
  <c r="BT106" i="51"/>
  <c r="BS106" i="51"/>
  <c r="BR106" i="51"/>
  <c r="BQ106" i="51"/>
  <c r="BP106" i="51"/>
  <c r="BO106" i="51"/>
  <c r="BN106" i="51"/>
  <c r="BM106" i="51"/>
  <c r="BL106" i="51"/>
  <c r="BK106" i="51"/>
  <c r="BJ106" i="51"/>
  <c r="BI106" i="51"/>
  <c r="BH106" i="51"/>
  <c r="BG106" i="51"/>
  <c r="BF106" i="51"/>
  <c r="BE106" i="51"/>
  <c r="BD106" i="51"/>
  <c r="BC106" i="51"/>
  <c r="BB106" i="51"/>
  <c r="BA106" i="51"/>
  <c r="AZ106" i="51"/>
  <c r="AY106" i="51"/>
  <c r="AX106" i="51"/>
  <c r="AW106" i="51"/>
  <c r="O106" i="51"/>
  <c r="AJ105" i="51"/>
  <c r="AI105" i="51"/>
  <c r="AG105" i="51"/>
  <c r="AF105" i="51"/>
  <c r="AD105" i="51"/>
  <c r="AC105" i="51"/>
  <c r="AA105" i="51"/>
  <c r="Z105" i="51"/>
  <c r="O105" i="51"/>
  <c r="AJ104" i="51"/>
  <c r="AI104" i="51"/>
  <c r="AG104" i="51"/>
  <c r="AF104" i="51"/>
  <c r="AD104" i="51"/>
  <c r="AC104" i="51"/>
  <c r="AA104" i="51"/>
  <c r="Z104" i="51"/>
  <c r="O104" i="51"/>
  <c r="AJ103" i="51"/>
  <c r="AI103" i="51"/>
  <c r="AG103" i="51"/>
  <c r="AF103" i="51"/>
  <c r="AD103" i="51"/>
  <c r="AC103" i="51"/>
  <c r="AA103" i="51"/>
  <c r="Z103" i="51"/>
  <c r="O103" i="51"/>
  <c r="BT102" i="51"/>
  <c r="BS102" i="51"/>
  <c r="BR102" i="51"/>
  <c r="BQ102" i="51"/>
  <c r="BP102" i="51"/>
  <c r="BO102" i="51"/>
  <c r="BN102" i="51"/>
  <c r="BM102" i="51"/>
  <c r="BL102" i="51"/>
  <c r="BK102" i="51"/>
  <c r="BJ102" i="51"/>
  <c r="BI102" i="51"/>
  <c r="BH102" i="51"/>
  <c r="BG102" i="51"/>
  <c r="BF102" i="51"/>
  <c r="BE102" i="51"/>
  <c r="BD102" i="51"/>
  <c r="BC102" i="51"/>
  <c r="BB102" i="51"/>
  <c r="BA102" i="51"/>
  <c r="AZ102" i="51"/>
  <c r="AY102" i="51"/>
  <c r="AX102" i="51"/>
  <c r="AW102" i="51"/>
  <c r="O102" i="51"/>
  <c r="AJ101" i="51"/>
  <c r="AI101" i="51"/>
  <c r="AG101" i="51"/>
  <c r="AF101" i="51"/>
  <c r="AD101" i="51"/>
  <c r="AC101" i="51"/>
  <c r="AA101" i="51"/>
  <c r="Z101" i="51"/>
  <c r="O101" i="51"/>
  <c r="AJ100" i="51"/>
  <c r="AI100" i="51"/>
  <c r="AG100" i="51"/>
  <c r="AF100" i="51"/>
  <c r="AD100" i="51"/>
  <c r="AC100" i="51"/>
  <c r="AA100" i="51"/>
  <c r="Z100" i="51"/>
  <c r="AJ99" i="51"/>
  <c r="AI99" i="51"/>
  <c r="AG99" i="51"/>
  <c r="AF99" i="51"/>
  <c r="AD99" i="51"/>
  <c r="AC99" i="51"/>
  <c r="AA99" i="51"/>
  <c r="Z99" i="51"/>
  <c r="O99" i="51"/>
  <c r="AJ98" i="51"/>
  <c r="AI98" i="51"/>
  <c r="AG98" i="51"/>
  <c r="AF98" i="51"/>
  <c r="AD98" i="51"/>
  <c r="AC98" i="51"/>
  <c r="AA98" i="51"/>
  <c r="Z98" i="51"/>
  <c r="O98" i="51"/>
  <c r="AJ97" i="51"/>
  <c r="AI97" i="51"/>
  <c r="AG97" i="51"/>
  <c r="AF97" i="51"/>
  <c r="AD97" i="51"/>
  <c r="AC97" i="51"/>
  <c r="AA97" i="51"/>
  <c r="Z97" i="51"/>
  <c r="O97" i="51"/>
  <c r="AJ96" i="51"/>
  <c r="AI96" i="51"/>
  <c r="AG96" i="51"/>
  <c r="AF96" i="51"/>
  <c r="AD96" i="51"/>
  <c r="AC96" i="51"/>
  <c r="AA96" i="51"/>
  <c r="Z96" i="51"/>
  <c r="O96" i="51"/>
  <c r="AJ95" i="51"/>
  <c r="AI95" i="51"/>
  <c r="AG95" i="51"/>
  <c r="AF95" i="51"/>
  <c r="AD95" i="51"/>
  <c r="AC95" i="51"/>
  <c r="AA95" i="51"/>
  <c r="Z95" i="51"/>
  <c r="O95" i="51"/>
  <c r="AJ94" i="51"/>
  <c r="AI94" i="51"/>
  <c r="AG94" i="51"/>
  <c r="AF94" i="51"/>
  <c r="AD94" i="51"/>
  <c r="AC94" i="51"/>
  <c r="AA94" i="51"/>
  <c r="Z94" i="51"/>
  <c r="O94" i="51"/>
  <c r="BT93" i="51"/>
  <c r="BS93" i="51"/>
  <c r="BR93" i="51"/>
  <c r="BQ93" i="51"/>
  <c r="BP93" i="51"/>
  <c r="BO93" i="51"/>
  <c r="BN93" i="51"/>
  <c r="BM93" i="51"/>
  <c r="BL93" i="51"/>
  <c r="BK93" i="51"/>
  <c r="BJ93" i="51"/>
  <c r="BI93" i="51"/>
  <c r="BH93" i="51"/>
  <c r="BG93" i="51"/>
  <c r="BF93" i="51"/>
  <c r="BE93" i="51"/>
  <c r="BD93" i="51"/>
  <c r="BC93" i="51"/>
  <c r="BB93" i="51"/>
  <c r="BA93" i="51"/>
  <c r="AZ93" i="51"/>
  <c r="AY93" i="51"/>
  <c r="AX93" i="51"/>
  <c r="AW93" i="51"/>
  <c r="O93" i="51"/>
  <c r="AJ92" i="51"/>
  <c r="AI92" i="51"/>
  <c r="AG92" i="51"/>
  <c r="AF92" i="51"/>
  <c r="AD92" i="51"/>
  <c r="AC92" i="51"/>
  <c r="AA92" i="51"/>
  <c r="Z92" i="51"/>
  <c r="O92" i="51"/>
  <c r="AJ91" i="51"/>
  <c r="AI91" i="51"/>
  <c r="AG91" i="51"/>
  <c r="AF91" i="51"/>
  <c r="AD91" i="51"/>
  <c r="AC91" i="51"/>
  <c r="AA91" i="51"/>
  <c r="Z91" i="51"/>
  <c r="O91" i="51"/>
  <c r="BT90" i="51"/>
  <c r="BS90" i="51"/>
  <c r="BR90" i="51"/>
  <c r="BQ90" i="51"/>
  <c r="BP90" i="51"/>
  <c r="BO90" i="51"/>
  <c r="BN90" i="51"/>
  <c r="BM90" i="51"/>
  <c r="BL90" i="51"/>
  <c r="BK90" i="51"/>
  <c r="BJ90" i="51"/>
  <c r="BI90" i="51"/>
  <c r="BH90" i="51"/>
  <c r="BG90" i="51"/>
  <c r="BF90" i="51"/>
  <c r="BE90" i="51"/>
  <c r="BD90" i="51"/>
  <c r="BC90" i="51"/>
  <c r="BB90" i="51"/>
  <c r="BA90" i="51"/>
  <c r="AZ90" i="51"/>
  <c r="AY90" i="51"/>
  <c r="AX90" i="51"/>
  <c r="AW90" i="51"/>
  <c r="O90" i="51"/>
  <c r="AJ82" i="51"/>
  <c r="AI82" i="51"/>
  <c r="AG82" i="51"/>
  <c r="AF82" i="51"/>
  <c r="AD82" i="51"/>
  <c r="AC82" i="51"/>
  <c r="AA82" i="51"/>
  <c r="Z82" i="51"/>
  <c r="O82" i="51"/>
  <c r="BT76" i="51"/>
  <c r="BS76" i="51"/>
  <c r="BR76" i="51"/>
  <c r="BQ76" i="51"/>
  <c r="BP76" i="51"/>
  <c r="BO76" i="51"/>
  <c r="BN76" i="51"/>
  <c r="BM76" i="51"/>
  <c r="BL76" i="51"/>
  <c r="BK76" i="51"/>
  <c r="BJ76" i="51"/>
  <c r="BI76" i="51"/>
  <c r="BH76" i="51"/>
  <c r="BG76" i="51"/>
  <c r="BF76" i="51"/>
  <c r="BE76" i="51"/>
  <c r="BD76" i="51"/>
  <c r="BC76" i="51"/>
  <c r="BB76" i="51"/>
  <c r="BA76" i="51"/>
  <c r="AZ76" i="51"/>
  <c r="AY76" i="51"/>
  <c r="AX76" i="51"/>
  <c r="AW76" i="51"/>
  <c r="O76" i="51"/>
  <c r="AJ89" i="51"/>
  <c r="AI89" i="51"/>
  <c r="AG89" i="51"/>
  <c r="AF89" i="51"/>
  <c r="AD89" i="51"/>
  <c r="AC89" i="51"/>
  <c r="AA89" i="51"/>
  <c r="Z89" i="51"/>
  <c r="O89" i="51"/>
  <c r="AJ88" i="51"/>
  <c r="AI88" i="51"/>
  <c r="AG88" i="51"/>
  <c r="AF88" i="51"/>
  <c r="AD88" i="51"/>
  <c r="AC88" i="51"/>
  <c r="AA88" i="51"/>
  <c r="Z88" i="51"/>
  <c r="O88" i="51"/>
  <c r="AJ87" i="51"/>
  <c r="AI87" i="51"/>
  <c r="AG87" i="51"/>
  <c r="AF87" i="51"/>
  <c r="AD87" i="51"/>
  <c r="AC87" i="51"/>
  <c r="AA87" i="51"/>
  <c r="Z87" i="51"/>
  <c r="O87" i="51"/>
  <c r="AJ86" i="51"/>
  <c r="AI86" i="51"/>
  <c r="AG86" i="51"/>
  <c r="AF86" i="51"/>
  <c r="AD86" i="51"/>
  <c r="AC86" i="51"/>
  <c r="AA86" i="51"/>
  <c r="Z86" i="51"/>
  <c r="O86" i="51"/>
  <c r="AJ85" i="51"/>
  <c r="AI85" i="51"/>
  <c r="AG85" i="51"/>
  <c r="AF85" i="51"/>
  <c r="AD85" i="51"/>
  <c r="AC85" i="51"/>
  <c r="AA85" i="51"/>
  <c r="Z85" i="51"/>
  <c r="O85" i="51"/>
  <c r="AJ84" i="51"/>
  <c r="AI84" i="51"/>
  <c r="AG84" i="51"/>
  <c r="AF84" i="51"/>
  <c r="AD84" i="51"/>
  <c r="AC84" i="51"/>
  <c r="AA84" i="51"/>
  <c r="Z84" i="51"/>
  <c r="O84" i="51"/>
  <c r="BT83" i="51"/>
  <c r="BS83" i="51"/>
  <c r="BR83" i="51"/>
  <c r="BQ83" i="51"/>
  <c r="BP83" i="51"/>
  <c r="BO83" i="51"/>
  <c r="BN83" i="51"/>
  <c r="BM83" i="51"/>
  <c r="BL83" i="51"/>
  <c r="BK83" i="51"/>
  <c r="BJ83" i="51"/>
  <c r="BI83" i="51"/>
  <c r="BH83" i="51"/>
  <c r="BG83" i="51"/>
  <c r="BF83" i="51"/>
  <c r="BE83" i="51"/>
  <c r="BD83" i="51"/>
  <c r="BC83" i="51"/>
  <c r="BB83" i="51"/>
  <c r="BA83" i="51"/>
  <c r="AZ83" i="51"/>
  <c r="AY83" i="51"/>
  <c r="AX83" i="51"/>
  <c r="AW83" i="51"/>
  <c r="S83" i="51"/>
  <c r="Q83" i="51"/>
  <c r="O83" i="51"/>
  <c r="S75" i="51"/>
  <c r="Q75" i="51"/>
  <c r="O75" i="51"/>
  <c r="AJ74" i="51"/>
  <c r="AI74" i="51"/>
  <c r="AG74" i="51"/>
  <c r="AF74" i="51"/>
  <c r="AD74" i="51"/>
  <c r="AC74" i="51"/>
  <c r="AA74" i="51"/>
  <c r="Z74" i="51"/>
  <c r="O74" i="51"/>
  <c r="BS73" i="51"/>
  <c r="BQ73" i="51"/>
  <c r="BO73" i="51"/>
  <c r="BM73" i="51"/>
  <c r="BK73" i="51"/>
  <c r="BI73" i="51"/>
  <c r="BG73" i="51"/>
  <c r="BE73" i="51"/>
  <c r="BC73" i="51"/>
  <c r="BA73" i="51"/>
  <c r="AY73" i="51"/>
  <c r="AJ73" i="51"/>
  <c r="AG73" i="51"/>
  <c r="AD73" i="51"/>
  <c r="AA73" i="51"/>
  <c r="L73" i="51"/>
  <c r="O73" i="51" s="1"/>
  <c r="AJ72" i="51"/>
  <c r="AI72" i="51"/>
  <c r="AG72" i="51"/>
  <c r="AF72" i="51"/>
  <c r="AD72" i="51"/>
  <c r="AC72" i="51"/>
  <c r="AA72" i="51"/>
  <c r="Z72" i="51"/>
  <c r="O72" i="51"/>
  <c r="BS71" i="51"/>
  <c r="AI71" i="51" s="1"/>
  <c r="AJ71" i="51"/>
  <c r="AG71" i="51"/>
  <c r="AF71" i="51"/>
  <c r="AD71" i="51"/>
  <c r="AC71" i="51"/>
  <c r="AA71" i="51"/>
  <c r="Z71" i="51"/>
  <c r="L71" i="51"/>
  <c r="O71" i="51" s="1"/>
  <c r="AY70" i="51"/>
  <c r="Z70" i="51" s="1"/>
  <c r="AJ70" i="51"/>
  <c r="AI70" i="51"/>
  <c r="AG70" i="51"/>
  <c r="AF70" i="51"/>
  <c r="AD70" i="51"/>
  <c r="AC70" i="51"/>
  <c r="AA70" i="51"/>
  <c r="L70" i="51"/>
  <c r="AJ69" i="51"/>
  <c r="AI69" i="51"/>
  <c r="AG69" i="51"/>
  <c r="AF69" i="51"/>
  <c r="AD69" i="51"/>
  <c r="AC69" i="51"/>
  <c r="AA69" i="51"/>
  <c r="Z69" i="51"/>
  <c r="L69" i="51"/>
  <c r="AJ68" i="51"/>
  <c r="AI68" i="51"/>
  <c r="AG68" i="51"/>
  <c r="AF68" i="51"/>
  <c r="AD68" i="51"/>
  <c r="AC68" i="51"/>
  <c r="AA68" i="51"/>
  <c r="Z68" i="51"/>
  <c r="O68" i="51"/>
  <c r="AJ67" i="51"/>
  <c r="AI67" i="51"/>
  <c r="AG67" i="51"/>
  <c r="AF67" i="51"/>
  <c r="AD67" i="51"/>
  <c r="AC67" i="51"/>
  <c r="AA67" i="51"/>
  <c r="Z67" i="51"/>
  <c r="L67" i="51"/>
  <c r="O67" i="51" s="1"/>
  <c r="BS66" i="51"/>
  <c r="AI66" i="51" s="1"/>
  <c r="AJ66" i="51"/>
  <c r="AG66" i="51"/>
  <c r="AF66" i="51"/>
  <c r="AD66" i="51"/>
  <c r="AC66" i="51"/>
  <c r="AA66" i="51"/>
  <c r="Z66" i="51"/>
  <c r="O66" i="51"/>
  <c r="BS65" i="51"/>
  <c r="BQ65" i="51"/>
  <c r="BO65" i="51"/>
  <c r="BM65" i="51"/>
  <c r="BK65" i="51"/>
  <c r="BI65" i="51"/>
  <c r="BG65" i="51"/>
  <c r="BE65" i="51"/>
  <c r="BC65" i="51"/>
  <c r="BA65" i="51"/>
  <c r="AY65" i="51"/>
  <c r="AJ65" i="51"/>
  <c r="AG65" i="51"/>
  <c r="AD65" i="51"/>
  <c r="AA65" i="51"/>
  <c r="L65" i="51"/>
  <c r="BT64" i="51"/>
  <c r="BR64" i="51"/>
  <c r="BP64" i="51"/>
  <c r="BN64" i="51"/>
  <c r="BL64" i="51"/>
  <c r="BJ64" i="51"/>
  <c r="BH64" i="51"/>
  <c r="BF64" i="51"/>
  <c r="BD64" i="51"/>
  <c r="BB64" i="51"/>
  <c r="AZ64" i="51"/>
  <c r="AX64" i="51"/>
  <c r="AW64" i="51"/>
  <c r="S64" i="51"/>
  <c r="Q64" i="51"/>
  <c r="BK63" i="51"/>
  <c r="BK62" i="51" s="1"/>
  <c r="BI63" i="51"/>
  <c r="BG63" i="51"/>
  <c r="BE63" i="51"/>
  <c r="BE62" i="51" s="1"/>
  <c r="BC63" i="51"/>
  <c r="BC62" i="51" s="1"/>
  <c r="BA63" i="51"/>
  <c r="BA62" i="51" s="1"/>
  <c r="AY63" i="51"/>
  <c r="AJ63" i="51"/>
  <c r="AI63" i="51"/>
  <c r="AG63" i="51"/>
  <c r="AD63" i="51"/>
  <c r="AA63" i="51"/>
  <c r="O63" i="51"/>
  <c r="BT62" i="51"/>
  <c r="BS62" i="51"/>
  <c r="BR62" i="51"/>
  <c r="BQ62" i="51"/>
  <c r="BP62" i="51"/>
  <c r="BO62" i="51"/>
  <c r="BN62" i="51"/>
  <c r="BM62" i="51"/>
  <c r="BL62" i="51"/>
  <c r="BJ62" i="51"/>
  <c r="BH62" i="51"/>
  <c r="BF62" i="51"/>
  <c r="BD62" i="51"/>
  <c r="BB62" i="51"/>
  <c r="AZ62" i="51"/>
  <c r="AX62" i="51"/>
  <c r="AW62" i="51"/>
  <c r="S62" i="51"/>
  <c r="Q62" i="51"/>
  <c r="L62" i="51"/>
  <c r="BQ61" i="51"/>
  <c r="AI61" i="51" s="1"/>
  <c r="AJ61" i="51"/>
  <c r="AG61" i="51"/>
  <c r="AF61" i="51"/>
  <c r="AD61" i="51"/>
  <c r="AC61" i="51"/>
  <c r="AA61" i="51"/>
  <c r="Z61" i="51"/>
  <c r="O61" i="51"/>
  <c r="BM60" i="51"/>
  <c r="AF60" i="51" s="1"/>
  <c r="AJ60" i="51"/>
  <c r="AI60" i="51"/>
  <c r="AG60" i="51"/>
  <c r="AD60" i="51"/>
  <c r="AC60" i="51"/>
  <c r="AA60" i="51"/>
  <c r="Z60" i="51"/>
  <c r="O60" i="51"/>
  <c r="BC59" i="51"/>
  <c r="AC59" i="51" s="1"/>
  <c r="AJ59" i="51"/>
  <c r="AI59" i="51"/>
  <c r="AG59" i="51"/>
  <c r="AF59" i="51"/>
  <c r="AD59" i="51"/>
  <c r="AA59" i="51"/>
  <c r="Z59" i="51"/>
  <c r="O59" i="51"/>
  <c r="AY58" i="51"/>
  <c r="AJ58" i="51"/>
  <c r="AI58" i="51"/>
  <c r="AG58" i="51"/>
  <c r="AF58" i="51"/>
  <c r="AD58" i="51"/>
  <c r="AC58" i="51"/>
  <c r="AA58" i="51"/>
  <c r="O58" i="51"/>
  <c r="BT57" i="51"/>
  <c r="BS57" i="51"/>
  <c r="BR57" i="51"/>
  <c r="BP57" i="51"/>
  <c r="BO57" i="51"/>
  <c r="BN57" i="51"/>
  <c r="BL57" i="51"/>
  <c r="BK57" i="51"/>
  <c r="BJ57" i="51"/>
  <c r="BI57" i="51"/>
  <c r="BH57" i="51"/>
  <c r="BG57" i="51"/>
  <c r="BF57" i="51"/>
  <c r="BE57" i="51"/>
  <c r="BD57" i="51"/>
  <c r="BB57" i="51"/>
  <c r="BA57" i="51"/>
  <c r="AZ57" i="51"/>
  <c r="AX57" i="51"/>
  <c r="AW57" i="51"/>
  <c r="S57" i="51"/>
  <c r="Q57" i="51"/>
  <c r="L57" i="51"/>
  <c r="BM56" i="51"/>
  <c r="BM55" i="51" s="1"/>
  <c r="BK56" i="51"/>
  <c r="BI56" i="51"/>
  <c r="BI55" i="51" s="1"/>
  <c r="BG56" i="51"/>
  <c r="BG55" i="51" s="1"/>
  <c r="BE56" i="51"/>
  <c r="BE55" i="51" s="1"/>
  <c r="BC56" i="51"/>
  <c r="BC55" i="51" s="1"/>
  <c r="BA56" i="51"/>
  <c r="BA55" i="51" s="1"/>
  <c r="AY56" i="51"/>
  <c r="AY55" i="51" s="1"/>
  <c r="AJ56" i="51"/>
  <c r="AI56" i="51"/>
  <c r="AG56" i="51"/>
  <c r="AD56" i="51"/>
  <c r="AA56" i="51"/>
  <c r="O56" i="51"/>
  <c r="BT55" i="51"/>
  <c r="BS55" i="51"/>
  <c r="BR55" i="51"/>
  <c r="BQ55" i="51"/>
  <c r="BP55" i="51"/>
  <c r="BO55" i="51"/>
  <c r="BN55" i="51"/>
  <c r="BL55" i="51"/>
  <c r="BJ55" i="51"/>
  <c r="BH55" i="51"/>
  <c r="BF55" i="51"/>
  <c r="BD55" i="51"/>
  <c r="BB55" i="51"/>
  <c r="AZ55" i="51"/>
  <c r="AX55" i="51"/>
  <c r="AW55" i="51"/>
  <c r="S55" i="51"/>
  <c r="Q55" i="51"/>
  <c r="L55" i="51"/>
  <c r="O55" i="51" s="1"/>
  <c r="BS54" i="51"/>
  <c r="AI54" i="51" s="1"/>
  <c r="AJ54" i="51"/>
  <c r="AG54" i="51"/>
  <c r="AF54" i="51"/>
  <c r="AD54" i="51"/>
  <c r="AC54" i="51"/>
  <c r="AA54" i="51"/>
  <c r="Z54" i="51"/>
  <c r="O54" i="51"/>
  <c r="AJ53" i="51"/>
  <c r="AI53" i="51"/>
  <c r="AG53" i="51"/>
  <c r="AF53" i="51"/>
  <c r="AD53" i="51"/>
  <c r="AC53" i="51"/>
  <c r="AA53" i="51"/>
  <c r="Z53" i="51"/>
  <c r="O53" i="51"/>
  <c r="BS52" i="51"/>
  <c r="AJ52" i="51"/>
  <c r="AG52" i="51"/>
  <c r="AF52" i="51"/>
  <c r="AD52" i="51"/>
  <c r="AC52" i="51"/>
  <c r="AA52" i="51"/>
  <c r="Z52" i="51"/>
  <c r="L52" i="51"/>
  <c r="L51" i="51" s="1"/>
  <c r="BT51" i="51"/>
  <c r="BR51" i="51"/>
  <c r="BQ51" i="51"/>
  <c r="BP51" i="51"/>
  <c r="BO51" i="51"/>
  <c r="BN51" i="51"/>
  <c r="BM51" i="51"/>
  <c r="BL51" i="51"/>
  <c r="BK51" i="51"/>
  <c r="BJ51" i="51"/>
  <c r="BI51" i="51"/>
  <c r="BH51" i="51"/>
  <c r="BG51" i="51"/>
  <c r="BF51" i="51"/>
  <c r="BE51" i="51"/>
  <c r="BD51" i="51"/>
  <c r="BC51" i="51"/>
  <c r="BB51" i="51"/>
  <c r="BA51" i="51"/>
  <c r="AZ51" i="51"/>
  <c r="AY51" i="51"/>
  <c r="AX51" i="51"/>
  <c r="AW51" i="51"/>
  <c r="S51" i="51"/>
  <c r="Q51" i="51"/>
  <c r="AJ50" i="51"/>
  <c r="AI50" i="51"/>
  <c r="AG50" i="51"/>
  <c r="AF50" i="51"/>
  <c r="AD50" i="51"/>
  <c r="AC50" i="51"/>
  <c r="AA50" i="51"/>
  <c r="Z50" i="51"/>
  <c r="O50" i="51"/>
  <c r="BT49" i="51"/>
  <c r="BS49" i="51"/>
  <c r="BR49" i="51"/>
  <c r="BQ49" i="51"/>
  <c r="BP49" i="51"/>
  <c r="BO49" i="51"/>
  <c r="BN49" i="51"/>
  <c r="BM49" i="51"/>
  <c r="BL49" i="51"/>
  <c r="BK49" i="51"/>
  <c r="BJ49" i="51"/>
  <c r="BI49" i="51"/>
  <c r="BH49" i="51"/>
  <c r="BG49" i="51"/>
  <c r="BF49" i="51"/>
  <c r="BE49" i="51"/>
  <c r="BD49" i="51"/>
  <c r="BC49" i="51"/>
  <c r="BB49" i="51"/>
  <c r="BA49" i="51"/>
  <c r="AZ49" i="51"/>
  <c r="AY49" i="51"/>
  <c r="AX49" i="51"/>
  <c r="AW49" i="51"/>
  <c r="S49" i="51"/>
  <c r="Q49" i="51"/>
  <c r="L49" i="51"/>
  <c r="O49" i="51" s="1"/>
  <c r="AJ48" i="51"/>
  <c r="AI48" i="51"/>
  <c r="AG48" i="51"/>
  <c r="AF48" i="51"/>
  <c r="AD48" i="51"/>
  <c r="AC48" i="51"/>
  <c r="AA48" i="51"/>
  <c r="Z48" i="51"/>
  <c r="O48" i="51"/>
  <c r="BS47" i="51"/>
  <c r="BS46" i="51" s="1"/>
  <c r="AJ47" i="51"/>
  <c r="AG47" i="51"/>
  <c r="AF47" i="51"/>
  <c r="AD47" i="51"/>
  <c r="AC47" i="51"/>
  <c r="AA47" i="51"/>
  <c r="Z47" i="51"/>
  <c r="O47" i="51"/>
  <c r="BT46" i="51"/>
  <c r="BR46" i="51"/>
  <c r="BQ46" i="51"/>
  <c r="BP46" i="51"/>
  <c r="BO46" i="51"/>
  <c r="BN46" i="51"/>
  <c r="BM46" i="51"/>
  <c r="BL46" i="51"/>
  <c r="BK46" i="51"/>
  <c r="BJ46" i="51"/>
  <c r="BI46" i="51"/>
  <c r="BH46" i="51"/>
  <c r="BG46" i="51"/>
  <c r="BF46" i="51"/>
  <c r="BE46" i="51"/>
  <c r="BD46" i="51"/>
  <c r="BC46" i="51"/>
  <c r="BB46" i="51"/>
  <c r="BA46" i="51"/>
  <c r="AZ46" i="51"/>
  <c r="AY46" i="51"/>
  <c r="AX46" i="51"/>
  <c r="AW46" i="51"/>
  <c r="S46" i="51"/>
  <c r="Q46" i="51"/>
  <c r="L46" i="51"/>
  <c r="AJ45" i="51"/>
  <c r="AI45" i="51"/>
  <c r="AG45" i="51"/>
  <c r="AF45" i="51"/>
  <c r="AD45" i="51"/>
  <c r="AC45" i="51"/>
  <c r="AA45" i="51"/>
  <c r="Z45" i="51"/>
  <c r="O45" i="51"/>
  <c r="BS44" i="51"/>
  <c r="AI44" i="51" s="1"/>
  <c r="AJ44" i="51"/>
  <c r="AG44" i="51"/>
  <c r="AF44" i="51"/>
  <c r="AD44" i="51"/>
  <c r="AC44" i="51"/>
  <c r="AA44" i="51"/>
  <c r="Z44" i="51"/>
  <c r="L44" i="51"/>
  <c r="L43" i="51" s="1"/>
  <c r="BT43" i="51"/>
  <c r="BR43" i="51"/>
  <c r="BQ43" i="51"/>
  <c r="BP43" i="51"/>
  <c r="BO43" i="51"/>
  <c r="BN43" i="51"/>
  <c r="BM43" i="51"/>
  <c r="BL43" i="51"/>
  <c r="BK43" i="51"/>
  <c r="BJ43" i="51"/>
  <c r="BI43" i="51"/>
  <c r="BH43" i="51"/>
  <c r="BG43" i="51"/>
  <c r="BF43" i="51"/>
  <c r="BE43" i="51"/>
  <c r="BD43" i="51"/>
  <c r="BC43" i="51"/>
  <c r="BB43" i="51"/>
  <c r="BA43" i="51"/>
  <c r="AZ43" i="51"/>
  <c r="AY43" i="51"/>
  <c r="AX43" i="51"/>
  <c r="AW43" i="51"/>
  <c r="S43" i="51"/>
  <c r="Q43" i="51"/>
  <c r="AJ42" i="51"/>
  <c r="AI42" i="51"/>
  <c r="AG42" i="51"/>
  <c r="AF42" i="51"/>
  <c r="AD42" i="51"/>
  <c r="AC42" i="51"/>
  <c r="AA42" i="51"/>
  <c r="Z42" i="51"/>
  <c r="O42" i="51"/>
  <c r="BS41" i="51"/>
  <c r="AI41" i="51" s="1"/>
  <c r="AJ41" i="51"/>
  <c r="AG41" i="51"/>
  <c r="AF41" i="51"/>
  <c r="AD41" i="51"/>
  <c r="AC41" i="51"/>
  <c r="AA41" i="51"/>
  <c r="Z41" i="51"/>
  <c r="O41" i="51"/>
  <c r="BS40" i="51"/>
  <c r="AI40" i="51" s="1"/>
  <c r="AJ40" i="51"/>
  <c r="AG40" i="51"/>
  <c r="AF40" i="51"/>
  <c r="AD40" i="51"/>
  <c r="AC40" i="51"/>
  <c r="AA40" i="51"/>
  <c r="Z40" i="51"/>
  <c r="O40" i="51"/>
  <c r="BS39" i="51"/>
  <c r="AI39" i="51" s="1"/>
  <c r="AJ39" i="51"/>
  <c r="AG39" i="51"/>
  <c r="AF39" i="51"/>
  <c r="AD39" i="51"/>
  <c r="AC39" i="51"/>
  <c r="AA39" i="51"/>
  <c r="Z39" i="51"/>
  <c r="O39" i="51"/>
  <c r="AJ38" i="51"/>
  <c r="AI38" i="51"/>
  <c r="AG38" i="51"/>
  <c r="AF38" i="51"/>
  <c r="AD38" i="51"/>
  <c r="AC38" i="51"/>
  <c r="AA38" i="51"/>
  <c r="Z38" i="51"/>
  <c r="L38" i="51"/>
  <c r="BT37" i="51"/>
  <c r="BR37" i="51"/>
  <c r="BQ37" i="51"/>
  <c r="BP37" i="51"/>
  <c r="BO37" i="51"/>
  <c r="BN37" i="51"/>
  <c r="BM37" i="51"/>
  <c r="BL37" i="51"/>
  <c r="BK37" i="51"/>
  <c r="BJ37" i="51"/>
  <c r="BI37" i="51"/>
  <c r="BH37" i="51"/>
  <c r="BG37" i="51"/>
  <c r="BF37" i="51"/>
  <c r="BE37" i="51"/>
  <c r="BD37" i="51"/>
  <c r="BC37" i="51"/>
  <c r="BB37" i="51"/>
  <c r="BA37" i="51"/>
  <c r="AZ37" i="51"/>
  <c r="AY37" i="51"/>
  <c r="AX37" i="51"/>
  <c r="AW37" i="51"/>
  <c r="S37" i="51"/>
  <c r="Q37" i="51"/>
  <c r="BS36" i="51"/>
  <c r="BQ36" i="51"/>
  <c r="BO36" i="51"/>
  <c r="BM36" i="51"/>
  <c r="BK36" i="51"/>
  <c r="BI36" i="51"/>
  <c r="BG36" i="51"/>
  <c r="BE36" i="51"/>
  <c r="BC36" i="51"/>
  <c r="BA36" i="51"/>
  <c r="AY36" i="51"/>
  <c r="AJ36" i="51"/>
  <c r="AG36" i="51"/>
  <c r="AD36" i="51"/>
  <c r="AA36" i="51"/>
  <c r="L36" i="51"/>
  <c r="AJ35" i="51"/>
  <c r="AI35" i="51"/>
  <c r="AG35" i="51"/>
  <c r="AF35" i="51"/>
  <c r="AD35" i="51"/>
  <c r="AC35" i="51"/>
  <c r="AA35" i="51"/>
  <c r="Z35" i="51"/>
  <c r="O35" i="51"/>
  <c r="AJ34" i="51"/>
  <c r="AI34" i="51"/>
  <c r="AG34" i="51"/>
  <c r="AF34" i="51"/>
  <c r="AD34" i="51"/>
  <c r="AC34" i="51"/>
  <c r="AA34" i="51"/>
  <c r="Z34" i="51"/>
  <c r="O34" i="51"/>
  <c r="AJ33" i="51"/>
  <c r="AI33" i="51"/>
  <c r="AG33" i="51"/>
  <c r="AF33" i="51"/>
  <c r="AD33" i="51"/>
  <c r="AC33" i="51"/>
  <c r="AA33" i="51"/>
  <c r="Z33" i="51"/>
  <c r="O33" i="51"/>
  <c r="AJ32" i="51"/>
  <c r="AI32" i="51"/>
  <c r="AG32" i="51"/>
  <c r="AF32" i="51"/>
  <c r="AD32" i="51"/>
  <c r="AC32" i="51"/>
  <c r="AA32" i="51"/>
  <c r="Z32" i="51"/>
  <c r="O32" i="51"/>
  <c r="AJ31" i="51"/>
  <c r="AI31" i="51"/>
  <c r="AG31" i="51"/>
  <c r="AF31" i="51"/>
  <c r="AD31" i="51"/>
  <c r="AC31" i="51"/>
  <c r="AA31" i="51"/>
  <c r="Z31" i="51"/>
  <c r="S31" i="51"/>
  <c r="Q31" i="51"/>
  <c r="L31" i="51"/>
  <c r="O31" i="51" s="1"/>
  <c r="AJ30" i="51"/>
  <c r="AI30" i="51"/>
  <c r="AG30" i="51"/>
  <c r="AF30" i="51"/>
  <c r="AD30" i="51"/>
  <c r="AC30" i="51"/>
  <c r="AA30" i="51"/>
  <c r="Z30" i="51"/>
  <c r="S30" i="51"/>
  <c r="Q30" i="51"/>
  <c r="L30" i="51"/>
  <c r="AJ29" i="51"/>
  <c r="AI29" i="51"/>
  <c r="AG29" i="51"/>
  <c r="AF29" i="51"/>
  <c r="AD29" i="51"/>
  <c r="AC29" i="51"/>
  <c r="AA29" i="51"/>
  <c r="Z29" i="51"/>
  <c r="Q29" i="51"/>
  <c r="O29" i="51"/>
  <c r="BT28" i="51"/>
  <c r="BS28" i="51"/>
  <c r="BR28" i="51"/>
  <c r="BQ28" i="51"/>
  <c r="BP28" i="51"/>
  <c r="BO28" i="51"/>
  <c r="BN28" i="51"/>
  <c r="BM28" i="51"/>
  <c r="BL28" i="51"/>
  <c r="BK28" i="51"/>
  <c r="BJ28" i="51"/>
  <c r="BI28" i="51"/>
  <c r="BH28" i="51"/>
  <c r="BG28" i="51"/>
  <c r="BF28" i="51"/>
  <c r="BE28" i="51"/>
  <c r="BD28" i="51"/>
  <c r="BC28" i="51"/>
  <c r="BB28" i="51"/>
  <c r="BA28" i="51"/>
  <c r="AZ28" i="51"/>
  <c r="AY28" i="51"/>
  <c r="AX28" i="51"/>
  <c r="AW28" i="51"/>
  <c r="AF27" i="51"/>
  <c r="AJ27" i="51"/>
  <c r="AI27" i="51"/>
  <c r="AG27" i="51"/>
  <c r="AD27" i="51"/>
  <c r="AC27" i="51"/>
  <c r="AA27" i="51"/>
  <c r="Z27" i="51"/>
  <c r="L27" i="51"/>
  <c r="AJ21" i="51"/>
  <c r="AI21" i="51"/>
  <c r="AG21" i="51"/>
  <c r="AF21" i="51"/>
  <c r="AD21" i="51"/>
  <c r="AC21" i="51"/>
  <c r="AA21" i="51"/>
  <c r="Z21" i="51"/>
  <c r="S21" i="51"/>
  <c r="Q21" i="51"/>
  <c r="L21" i="51"/>
  <c r="AJ20" i="51"/>
  <c r="AI20" i="51"/>
  <c r="AG20" i="51"/>
  <c r="AF20" i="51"/>
  <c r="AD20" i="51"/>
  <c r="AC20" i="51"/>
  <c r="AA20" i="51"/>
  <c r="Z20" i="51"/>
  <c r="S20" i="51"/>
  <c r="Q20" i="51"/>
  <c r="L20" i="51"/>
  <c r="AJ19" i="51"/>
  <c r="AI19" i="51"/>
  <c r="AG19" i="51"/>
  <c r="AF19" i="51"/>
  <c r="AD19" i="51"/>
  <c r="AC19" i="51"/>
  <c r="AA19" i="51"/>
  <c r="Z19" i="51"/>
  <c r="S19" i="51"/>
  <c r="Q19" i="51"/>
  <c r="L19" i="51"/>
  <c r="O19" i="51" s="1"/>
  <c r="AJ18" i="51"/>
  <c r="AI18" i="51"/>
  <c r="AG18" i="51"/>
  <c r="AF18" i="51"/>
  <c r="AD18" i="51"/>
  <c r="AC18" i="51"/>
  <c r="AA18" i="51"/>
  <c r="Z18" i="51"/>
  <c r="Q18" i="51"/>
  <c r="O18" i="51"/>
  <c r="BT17" i="51"/>
  <c r="BS17" i="51"/>
  <c r="BR17" i="51"/>
  <c r="BQ17" i="51"/>
  <c r="BP17" i="51"/>
  <c r="BO17" i="51"/>
  <c r="BN17" i="51"/>
  <c r="BM17" i="51"/>
  <c r="BL17" i="51"/>
  <c r="BK17" i="51"/>
  <c r="BJ17" i="51"/>
  <c r="BI17" i="51"/>
  <c r="BH17" i="51"/>
  <c r="BG17" i="51"/>
  <c r="BF17" i="51"/>
  <c r="BE17" i="51"/>
  <c r="BD17" i="51"/>
  <c r="BC17" i="51"/>
  <c r="BB17" i="51"/>
  <c r="BA17" i="51"/>
  <c r="AZ17" i="51"/>
  <c r="AY17" i="51"/>
  <c r="AX17" i="51"/>
  <c r="AW17" i="51"/>
  <c r="AJ16" i="51"/>
  <c r="AI16" i="51"/>
  <c r="AG16" i="51"/>
  <c r="AF16" i="51"/>
  <c r="AD16" i="51"/>
  <c r="AC16" i="51"/>
  <c r="AA16" i="51"/>
  <c r="Z16" i="51"/>
  <c r="O16" i="51"/>
  <c r="BS14" i="51"/>
  <c r="BQ14" i="51"/>
  <c r="BM14" i="51"/>
  <c r="BK14" i="51"/>
  <c r="BI14" i="51"/>
  <c r="BG14" i="51"/>
  <c r="BE14" i="51"/>
  <c r="BC14" i="51"/>
  <c r="BA14" i="51"/>
  <c r="AJ14" i="51"/>
  <c r="AG14" i="51"/>
  <c r="AD14" i="51"/>
  <c r="AA14" i="51"/>
  <c r="O14" i="51"/>
  <c r="AJ12" i="51"/>
  <c r="AI12" i="51"/>
  <c r="AG12" i="51"/>
  <c r="AF12" i="51"/>
  <c r="AD12" i="51"/>
  <c r="AC12" i="51"/>
  <c r="AA12" i="51"/>
  <c r="Z12" i="51"/>
  <c r="O12" i="51"/>
  <c r="BT8" i="51"/>
  <c r="BS8" i="51" s="1"/>
  <c r="BM8" i="51"/>
  <c r="BG8" i="51"/>
  <c r="BA8" i="51"/>
  <c r="BR6" i="51"/>
  <c r="BP6" i="51"/>
  <c r="BN6" i="51"/>
  <c r="W5" i="51"/>
  <c r="T5" i="51"/>
  <c r="AJ4" i="51"/>
  <c r="AI4" i="51"/>
  <c r="AG4" i="51"/>
  <c r="AF4" i="51"/>
  <c r="AD4" i="51"/>
  <c r="AC4" i="51"/>
  <c r="AA4" i="51"/>
  <c r="Z4" i="51"/>
  <c r="BT3" i="51"/>
  <c r="BS3" i="51"/>
  <c r="BR3" i="51"/>
  <c r="BQ3" i="51"/>
  <c r="BP3" i="51"/>
  <c r="BO3" i="51"/>
  <c r="BN3" i="51"/>
  <c r="BM3" i="51"/>
  <c r="BL3" i="51"/>
  <c r="BK3" i="51"/>
  <c r="BJ3" i="51"/>
  <c r="BI3" i="51"/>
  <c r="BH3" i="51"/>
  <c r="BG3" i="51"/>
  <c r="BF3" i="51"/>
  <c r="BE3" i="51"/>
  <c r="BD3" i="51"/>
  <c r="BC3" i="51"/>
  <c r="BB3" i="51"/>
  <c r="BA3" i="51"/>
  <c r="AZ3" i="51"/>
  <c r="AY3" i="51"/>
  <c r="AX3" i="51"/>
  <c r="AW3" i="51"/>
  <c r="T3" i="51"/>
  <c r="S3" i="51"/>
  <c r="R3" i="51"/>
  <c r="Q3" i="51"/>
  <c r="P3" i="51"/>
  <c r="O3" i="51"/>
  <c r="N3" i="51"/>
  <c r="M3" i="51"/>
  <c r="L3" i="51"/>
  <c r="BC244" i="51" l="1"/>
  <c r="BK244" i="51"/>
  <c r="M244" i="51"/>
  <c r="BS51" i="51"/>
  <c r="R244" i="51"/>
  <c r="AZ244" i="51"/>
  <c r="BD244" i="51"/>
  <c r="BH244" i="51"/>
  <c r="BL244" i="51"/>
  <c r="BP244" i="51"/>
  <c r="AW244" i="51"/>
  <c r="BE244" i="51"/>
  <c r="BI244" i="51"/>
  <c r="BM244" i="51"/>
  <c r="AX244" i="51"/>
  <c r="BB244" i="51"/>
  <c r="BF244" i="51"/>
  <c r="BJ244" i="51"/>
  <c r="BN244" i="51"/>
  <c r="BR244" i="51"/>
  <c r="Q192" i="51"/>
  <c r="Q244" i="51" s="1"/>
  <c r="Q247" i="51" s="1"/>
  <c r="R150" i="51"/>
  <c r="R158" i="51" s="1"/>
  <c r="M245" i="51"/>
  <c r="P12" i="51"/>
  <c r="Z178" i="51"/>
  <c r="AP222" i="51"/>
  <c r="BK64" i="51"/>
  <c r="BA218" i="51"/>
  <c r="Z218" i="51" s="1"/>
  <c r="AF175" i="51"/>
  <c r="Z175" i="51"/>
  <c r="AC175" i="51"/>
  <c r="AF178" i="51"/>
  <c r="AD210" i="51"/>
  <c r="BC64" i="51"/>
  <c r="O203" i="51"/>
  <c r="N5" i="51"/>
  <c r="P14" i="51"/>
  <c r="AJ224" i="51"/>
  <c r="AJ49" i="51"/>
  <c r="AP74" i="51"/>
  <c r="Z90" i="51"/>
  <c r="Z102" i="51"/>
  <c r="AC102" i="51"/>
  <c r="AO204" i="51"/>
  <c r="AD49" i="51"/>
  <c r="AG49" i="51"/>
  <c r="Z51" i="51"/>
  <c r="AC51" i="51"/>
  <c r="AF51" i="51"/>
  <c r="AA188" i="51"/>
  <c r="AD192" i="51"/>
  <c r="AG192" i="51"/>
  <c r="AF210" i="51"/>
  <c r="AA224" i="51"/>
  <c r="Z93" i="51"/>
  <c r="AF93" i="51"/>
  <c r="AA146" i="51"/>
  <c r="AD146" i="51"/>
  <c r="AF181" i="51"/>
  <c r="AC188" i="51"/>
  <c r="AD224" i="51"/>
  <c r="AJ127" i="51"/>
  <c r="AG136" i="51"/>
  <c r="AN166" i="51"/>
  <c r="AE50" i="51"/>
  <c r="AK50" i="51"/>
  <c r="AD164" i="51"/>
  <c r="O52" i="51"/>
  <c r="AN220" i="51"/>
  <c r="AJ46" i="51"/>
  <c r="AA57" i="51"/>
  <c r="BQ57" i="51"/>
  <c r="AI57" i="51" s="1"/>
  <c r="AF188" i="51"/>
  <c r="AC14" i="51"/>
  <c r="AE14" i="51" s="1"/>
  <c r="S28" i="51"/>
  <c r="AN243" i="51"/>
  <c r="AI93" i="51"/>
  <c r="AA102" i="51"/>
  <c r="AD102" i="51"/>
  <c r="AG102" i="51"/>
  <c r="AJ102" i="51"/>
  <c r="AC124" i="51"/>
  <c r="AD127" i="51"/>
  <c r="AF130" i="51"/>
  <c r="AJ133" i="51"/>
  <c r="AC136" i="51"/>
  <c r="AI136" i="51"/>
  <c r="AC144" i="51"/>
  <c r="AG164" i="51"/>
  <c r="AJ164" i="51"/>
  <c r="M5" i="51"/>
  <c r="AC106" i="51"/>
  <c r="AC90" i="51"/>
  <c r="AR205" i="51"/>
  <c r="AU205" i="51"/>
  <c r="AI47" i="51"/>
  <c r="AK47" i="51" s="1"/>
  <c r="Z49" i="51"/>
  <c r="AA51" i="51"/>
  <c r="Z144" i="51"/>
  <c r="AH166" i="51"/>
  <c r="AE180" i="51"/>
  <c r="BQ218" i="51"/>
  <c r="BQ244" i="51" s="1"/>
  <c r="AH221" i="51"/>
  <c r="AE243" i="51"/>
  <c r="AK243" i="51"/>
  <c r="AO205" i="51"/>
  <c r="AD3" i="51"/>
  <c r="AQ4" i="51"/>
  <c r="AC36" i="51"/>
  <c r="AE36" i="51" s="1"/>
  <c r="AD57" i="51"/>
  <c r="AG175" i="51"/>
  <c r="AA3" i="51"/>
  <c r="Q28" i="51"/>
  <c r="AC37" i="51"/>
  <c r="AD62" i="51"/>
  <c r="AK63" i="51"/>
  <c r="AE149" i="51"/>
  <c r="AK151" i="51"/>
  <c r="Z164" i="51"/>
  <c r="AK166" i="51"/>
  <c r="AE184" i="51"/>
  <c r="AD188" i="51"/>
  <c r="AG218" i="51"/>
  <c r="Z106" i="51"/>
  <c r="Z148" i="51"/>
  <c r="AF148" i="51"/>
  <c r="AA155" i="51"/>
  <c r="AA157" i="51" s="1"/>
  <c r="AG155" i="51"/>
  <c r="AG157" i="51" s="1"/>
  <c r="AP159" i="51"/>
  <c r="AM48" i="51"/>
  <c r="AF190" i="51"/>
  <c r="AG51" i="51"/>
  <c r="AT63" i="51"/>
  <c r="AF63" i="51"/>
  <c r="AH63" i="51" s="1"/>
  <c r="AJ64" i="51"/>
  <c r="AF65" i="51"/>
  <c r="AH65" i="51" s="1"/>
  <c r="AN66" i="51"/>
  <c r="AY64" i="51"/>
  <c r="BM75" i="51"/>
  <c r="AD93" i="51"/>
  <c r="AJ93" i="51"/>
  <c r="AY111" i="51"/>
  <c r="BG111" i="51"/>
  <c r="BK111" i="51"/>
  <c r="BO111" i="51"/>
  <c r="BS111" i="51"/>
  <c r="AF139" i="51"/>
  <c r="AK156" i="51"/>
  <c r="Z170" i="51"/>
  <c r="AC170" i="51"/>
  <c r="AH187" i="51"/>
  <c r="Z37" i="51"/>
  <c r="AC28" i="51"/>
  <c r="AD46" i="51"/>
  <c r="AF144" i="51"/>
  <c r="AI144" i="51"/>
  <c r="AA148" i="51"/>
  <c r="AD148" i="51"/>
  <c r="AG148" i="51"/>
  <c r="AJ148" i="51"/>
  <c r="AC164" i="51"/>
  <c r="AF164" i="51"/>
  <c r="AI164" i="51"/>
  <c r="AM166" i="51"/>
  <c r="AA170" i="51"/>
  <c r="AD170" i="51"/>
  <c r="AG170" i="51"/>
  <c r="AA181" i="51"/>
  <c r="AD181" i="51"/>
  <c r="AG181" i="51"/>
  <c r="AJ181" i="51"/>
  <c r="BT188" i="51"/>
  <c r="BT183" i="51" s="1"/>
  <c r="AJ183" i="51" s="1"/>
  <c r="AM193" i="51"/>
  <c r="Z210" i="51"/>
  <c r="AA218" i="51"/>
  <c r="AK221" i="51"/>
  <c r="Z224" i="51"/>
  <c r="AC224" i="51"/>
  <c r="AF224" i="51"/>
  <c r="AI224" i="51"/>
  <c r="AT225" i="51"/>
  <c r="AM238" i="51"/>
  <c r="AI106" i="51"/>
  <c r="AG17" i="51"/>
  <c r="Q17" i="51"/>
  <c r="AG46" i="51"/>
  <c r="BC57" i="51"/>
  <c r="AC57" i="51" s="1"/>
  <c r="AQ74" i="51"/>
  <c r="AC17" i="51"/>
  <c r="AF17" i="51"/>
  <c r="AI17" i="51"/>
  <c r="AF36" i="51"/>
  <c r="AH36" i="51" s="1"/>
  <c r="AA37" i="51"/>
  <c r="AD37" i="51"/>
  <c r="AG37" i="51"/>
  <c r="AJ37" i="51"/>
  <c r="AF46" i="51"/>
  <c r="AN63" i="51"/>
  <c r="AA64" i="51"/>
  <c r="AE67" i="51"/>
  <c r="AI90" i="51"/>
  <c r="AB151" i="51"/>
  <c r="AH151" i="51"/>
  <c r="AJ155" i="51"/>
  <c r="AJ157" i="51" s="1"/>
  <c r="AP156" i="51"/>
  <c r="L164" i="51"/>
  <c r="O164" i="51" s="1"/>
  <c r="AK165" i="51"/>
  <c r="Z183" i="51"/>
  <c r="AC183" i="51"/>
  <c r="AF183" i="51"/>
  <c r="AI183" i="51"/>
  <c r="AC218" i="51"/>
  <c r="AF218" i="51"/>
  <c r="AJ218" i="51"/>
  <c r="AM219" i="51"/>
  <c r="AG224" i="51"/>
  <c r="AA192" i="51"/>
  <c r="AR204" i="51"/>
  <c r="AJ43" i="51"/>
  <c r="AK56" i="51"/>
  <c r="L64" i="51"/>
  <c r="O64" i="51" s="1"/>
  <c r="AY75" i="51"/>
  <c r="BG75" i="51"/>
  <c r="BS75" i="51"/>
  <c r="AE92" i="51"/>
  <c r="AH156" i="51"/>
  <c r="AB174" i="51"/>
  <c r="R5" i="51"/>
  <c r="BS192" i="51"/>
  <c r="AI192" i="51" s="1"/>
  <c r="AH195" i="51"/>
  <c r="AB243" i="51"/>
  <c r="AF14" i="51"/>
  <c r="AH14" i="51" s="1"/>
  <c r="AH4" i="51"/>
  <c r="Z28" i="51"/>
  <c r="AF28" i="51"/>
  <c r="AI28" i="51"/>
  <c r="AD43" i="51"/>
  <c r="AG43" i="51"/>
  <c r="AA46" i="51"/>
  <c r="AI55" i="51"/>
  <c r="BM57" i="51"/>
  <c r="AJ62" i="51"/>
  <c r="AQ66" i="51"/>
  <c r="AM67" i="51"/>
  <c r="AN85" i="51"/>
  <c r="AS86" i="51"/>
  <c r="AV86" i="51" s="1"/>
  <c r="AN89" i="51"/>
  <c r="AM92" i="51"/>
  <c r="AA139" i="51"/>
  <c r="AG139" i="51"/>
  <c r="AN159" i="51"/>
  <c r="BS170" i="51"/>
  <c r="AI170" i="51" s="1"/>
  <c r="AJ175" i="51"/>
  <c r="AA178" i="51"/>
  <c r="AD178" i="51"/>
  <c r="AG178" i="51"/>
  <c r="AJ178" i="51"/>
  <c r="AN184" i="51"/>
  <c r="AQ187" i="51"/>
  <c r="AK187" i="51"/>
  <c r="AC210" i="51"/>
  <c r="AI210" i="51"/>
  <c r="AD218" i="51"/>
  <c r="X62" i="51"/>
  <c r="X190" i="51" s="1"/>
  <c r="AA133" i="51"/>
  <c r="AG133" i="51"/>
  <c r="Z3" i="51"/>
  <c r="AI3" i="51"/>
  <c r="AE4" i="51"/>
  <c r="AK4" i="51"/>
  <c r="S17" i="51"/>
  <c r="AH21" i="51"/>
  <c r="AA28" i="51"/>
  <c r="AK41" i="51"/>
  <c r="Z43" i="51"/>
  <c r="AC46" i="51"/>
  <c r="AI46" i="51"/>
  <c r="AH50" i="51"/>
  <c r="AG55" i="51"/>
  <c r="AJ55" i="51"/>
  <c r="AJ57" i="51"/>
  <c r="AI62" i="51"/>
  <c r="AK62" i="51" s="1"/>
  <c r="AD64" i="51"/>
  <c r="Z65" i="51"/>
  <c r="AB65" i="51" s="1"/>
  <c r="BG64" i="51"/>
  <c r="AI65" i="51"/>
  <c r="AK65" i="51" s="1"/>
  <c r="AM66" i="51"/>
  <c r="AH66" i="51"/>
  <c r="AN67" i="51"/>
  <c r="AW75" i="51"/>
  <c r="AA124" i="51"/>
  <c r="AD124" i="51"/>
  <c r="AJ124" i="51"/>
  <c r="AC139" i="51"/>
  <c r="AI139" i="51"/>
  <c r="AG144" i="51"/>
  <c r="AJ146" i="51"/>
  <c r="N245" i="51"/>
  <c r="AE151" i="51"/>
  <c r="AK159" i="51"/>
  <c r="AH165" i="51"/>
  <c r="AE166" i="51"/>
  <c r="AC178" i="51"/>
  <c r="AH180" i="51"/>
  <c r="Z181" i="51"/>
  <c r="AI181" i="51"/>
  <c r="AP187" i="51"/>
  <c r="AB189" i="51"/>
  <c r="AJ190" i="51"/>
  <c r="AM191" i="51"/>
  <c r="AE193" i="51"/>
  <c r="AK194" i="51"/>
  <c r="S192" i="51"/>
  <c r="S244" i="51" s="1"/>
  <c r="AK196" i="51"/>
  <c r="AA210" i="51"/>
  <c r="AG210" i="51"/>
  <c r="AJ210" i="51"/>
  <c r="AE221" i="51"/>
  <c r="AS243" i="51"/>
  <c r="AV243" i="51" s="1"/>
  <c r="Z76" i="51"/>
  <c r="BA75" i="51"/>
  <c r="BI75" i="51"/>
  <c r="BQ75" i="51"/>
  <c r="AA76" i="51"/>
  <c r="AJ76" i="51"/>
  <c r="AJ90" i="51"/>
  <c r="AE168" i="51"/>
  <c r="AK172" i="51"/>
  <c r="AK191" i="51"/>
  <c r="AE208" i="51"/>
  <c r="AB140" i="51"/>
  <c r="AM145" i="51"/>
  <c r="AH145" i="51"/>
  <c r="AE159" i="51"/>
  <c r="AK203" i="51"/>
  <c r="AH208" i="51"/>
  <c r="AN71" i="51"/>
  <c r="AM173" i="51"/>
  <c r="AQ176" i="51"/>
  <c r="AE16" i="51"/>
  <c r="BF111" i="51"/>
  <c r="L37" i="51"/>
  <c r="O37" i="51" s="1"/>
  <c r="O38" i="51"/>
  <c r="Z58" i="51"/>
  <c r="AS58" i="51" s="1"/>
  <c r="AY57" i="51"/>
  <c r="Z57" i="51" s="1"/>
  <c r="AC83" i="51"/>
  <c r="BC75" i="51"/>
  <c r="BK75" i="51"/>
  <c r="AF83" i="51"/>
  <c r="AI83" i="51"/>
  <c r="BO75" i="51"/>
  <c r="L28" i="51"/>
  <c r="O28" i="51" s="1"/>
  <c r="O30" i="51"/>
  <c r="AA62" i="51"/>
  <c r="AA17" i="51"/>
  <c r="Z63" i="51"/>
  <c r="AB63" i="51" s="1"/>
  <c r="AY62" i="51"/>
  <c r="Z62" i="51" s="1"/>
  <c r="AC63" i="51"/>
  <c r="AE63" i="51" s="1"/>
  <c r="BG62" i="51"/>
  <c r="AC62" i="51" s="1"/>
  <c r="BO64" i="51"/>
  <c r="AD90" i="51"/>
  <c r="BT111" i="51"/>
  <c r="AF191" i="51"/>
  <c r="AH191" i="51" s="1"/>
  <c r="AI51" i="51"/>
  <c r="AK61" i="51"/>
  <c r="BA64" i="51"/>
  <c r="BI64" i="51"/>
  <c r="AI73" i="51"/>
  <c r="AK73" i="51" s="1"/>
  <c r="AH74" i="51"/>
  <c r="AN151" i="51"/>
  <c r="AT151" i="51"/>
  <c r="AK171" i="51"/>
  <c r="BO218" i="51"/>
  <c r="BO244" i="51" s="1"/>
  <c r="AI220" i="51"/>
  <c r="AK220" i="51" s="1"/>
  <c r="AK222" i="51"/>
  <c r="AZ111" i="51"/>
  <c r="BP111" i="51"/>
  <c r="AI188" i="51"/>
  <c r="AC3" i="51"/>
  <c r="AF3" i="51"/>
  <c r="AM4" i="51"/>
  <c r="AI14" i="51"/>
  <c r="AK14" i="51" s="1"/>
  <c r="AD17" i="51"/>
  <c r="AP27" i="51"/>
  <c r="AE30" i="51"/>
  <c r="AK31" i="51"/>
  <c r="AT34" i="51"/>
  <c r="AE35" i="51"/>
  <c r="AB42" i="51"/>
  <c r="AA43" i="51"/>
  <c r="Z46" i="51"/>
  <c r="AA49" i="51"/>
  <c r="AP50" i="51"/>
  <c r="AG62" i="51"/>
  <c r="AG64" i="51"/>
  <c r="AE66" i="51"/>
  <c r="AS67" i="51"/>
  <c r="AE74" i="51"/>
  <c r="AK74" i="51"/>
  <c r="BE75" i="51"/>
  <c r="Z83" i="51"/>
  <c r="AD76" i="51"/>
  <c r="AG90" i="51"/>
  <c r="AI102" i="51"/>
  <c r="AX111" i="51"/>
  <c r="AG112" i="51"/>
  <c r="BN111" i="51"/>
  <c r="AC130" i="51"/>
  <c r="AI130" i="51"/>
  <c r="Z146" i="51"/>
  <c r="AC146" i="51"/>
  <c r="AF146" i="51"/>
  <c r="AI146" i="51"/>
  <c r="AC148" i="51"/>
  <c r="AI148" i="51"/>
  <c r="AN149" i="51"/>
  <c r="AB149" i="51"/>
  <c r="Z155" i="51"/>
  <c r="AC155" i="51"/>
  <c r="AC157" i="51" s="1"/>
  <c r="AF155" i="51"/>
  <c r="AF157" i="51" s="1"/>
  <c r="AI155" i="51"/>
  <c r="AI157" i="51" s="1"/>
  <c r="AT156" i="51"/>
  <c r="AE173" i="51"/>
  <c r="Z188" i="51"/>
  <c r="AB188" i="51" s="1"/>
  <c r="BH111" i="51"/>
  <c r="BL111" i="51"/>
  <c r="AJ3" i="51"/>
  <c r="L17" i="51"/>
  <c r="AG3" i="51"/>
  <c r="AN4" i="51"/>
  <c r="AE18" i="51"/>
  <c r="AE19" i="51"/>
  <c r="AG28" i="51"/>
  <c r="Z36" i="51"/>
  <c r="AB36" i="51" s="1"/>
  <c r="AI36" i="51"/>
  <c r="AK36" i="51" s="1"/>
  <c r="AF37" i="51"/>
  <c r="AC43" i="51"/>
  <c r="AF43" i="51"/>
  <c r="BS43" i="51"/>
  <c r="AI43" i="51" s="1"/>
  <c r="AC49" i="51"/>
  <c r="AF49" i="51"/>
  <c r="AI49" i="51"/>
  <c r="AT50" i="51"/>
  <c r="AD51" i="51"/>
  <c r="AJ51" i="51"/>
  <c r="AI52" i="51"/>
  <c r="AK52" i="51" s="1"/>
  <c r="AA55" i="51"/>
  <c r="AD55" i="51"/>
  <c r="Z56" i="51"/>
  <c r="AB56" i="51" s="1"/>
  <c r="AC55" i="51"/>
  <c r="AF56" i="51"/>
  <c r="AH56" i="51" s="1"/>
  <c r="AG57" i="51"/>
  <c r="BI62" i="51"/>
  <c r="AF62" i="51" s="1"/>
  <c r="BS64" i="51"/>
  <c r="AT66" i="51"/>
  <c r="AK67" i="51"/>
  <c r="AC73" i="51"/>
  <c r="AE73" i="51" s="1"/>
  <c r="BM64" i="51"/>
  <c r="AA93" i="51"/>
  <c r="AG93" i="51"/>
  <c r="AA106" i="51"/>
  <c r="AG106" i="51"/>
  <c r="AD133" i="51"/>
  <c r="Z139" i="51"/>
  <c r="AA144" i="51"/>
  <c r="AD144" i="51"/>
  <c r="AJ144" i="51"/>
  <c r="T245" i="51"/>
  <c r="AA164" i="51"/>
  <c r="AF170" i="51"/>
  <c r="AN171" i="51"/>
  <c r="AH172" i="51"/>
  <c r="AP174" i="51"/>
  <c r="AI178" i="51"/>
  <c r="AC181" i="51"/>
  <c r="AA190" i="51"/>
  <c r="AD190" i="51"/>
  <c r="AG190" i="51"/>
  <c r="Z192" i="51"/>
  <c r="AN195" i="51"/>
  <c r="AM196" i="51"/>
  <c r="AP199" i="51"/>
  <c r="AZ75" i="51"/>
  <c r="BH75" i="51"/>
  <c r="BT75" i="51"/>
  <c r="Z112" i="51"/>
  <c r="AC112" i="51"/>
  <c r="AF112" i="51"/>
  <c r="AA130" i="51"/>
  <c r="AD139" i="51"/>
  <c r="AJ139" i="51"/>
  <c r="AH141" i="51"/>
  <c r="AE142" i="51"/>
  <c r="AH143" i="51"/>
  <c r="AG146" i="51"/>
  <c r="AM149" i="51"/>
  <c r="AQ149" i="51"/>
  <c r="AK149" i="51"/>
  <c r="AJ170" i="51"/>
  <c r="AA175" i="51"/>
  <c r="AD175" i="51"/>
  <c r="AM184" i="51"/>
  <c r="AK184" i="51"/>
  <c r="AH202" i="51"/>
  <c r="AK207" i="51"/>
  <c r="AH219" i="51"/>
  <c r="AE220" i="51"/>
  <c r="AH222" i="51"/>
  <c r="AE223" i="51"/>
  <c r="AK223" i="51"/>
  <c r="AE226" i="51"/>
  <c r="AK226" i="51"/>
  <c r="AE225" i="51"/>
  <c r="AK225" i="51"/>
  <c r="AN219" i="51"/>
  <c r="AM221" i="51"/>
  <c r="AT222" i="51"/>
  <c r="AX75" i="51"/>
  <c r="BB75" i="51"/>
  <c r="BF75" i="51"/>
  <c r="BJ75" i="51"/>
  <c r="BN75" i="51"/>
  <c r="BR75" i="51"/>
  <c r="AC93" i="51"/>
  <c r="BB111" i="51"/>
  <c r="BJ111" i="51"/>
  <c r="AK141" i="51"/>
  <c r="AH147" i="51"/>
  <c r="AD155" i="51"/>
  <c r="AD157" i="51" s="1"/>
  <c r="AB163" i="51"/>
  <c r="AT174" i="51"/>
  <c r="AK177" i="51"/>
  <c r="AE179" i="51"/>
  <c r="AK179" i="51"/>
  <c r="AK182" i="51"/>
  <c r="AA183" i="51"/>
  <c r="AD183" i="51"/>
  <c r="AG183" i="51"/>
  <c r="AB184" i="51"/>
  <c r="AH184" i="51"/>
  <c r="AG188" i="51"/>
  <c r="AE189" i="51"/>
  <c r="AK189" i="51"/>
  <c r="Z190" i="51"/>
  <c r="AC190" i="51"/>
  <c r="AI190" i="51"/>
  <c r="AM197" i="51"/>
  <c r="AQ198" i="51"/>
  <c r="AE202" i="51"/>
  <c r="AH207" i="51"/>
  <c r="AE219" i="51"/>
  <c r="AK219" i="51"/>
  <c r="AM220" i="51"/>
  <c r="AH220" i="51"/>
  <c r="AQ221" i="51"/>
  <c r="AE222" i="51"/>
  <c r="AH223" i="51"/>
  <c r="AE238" i="51"/>
  <c r="AK242" i="51"/>
  <c r="AH243" i="51"/>
  <c r="AB18" i="51"/>
  <c r="AK53" i="51"/>
  <c r="AH101" i="51"/>
  <c r="AK110" i="51"/>
  <c r="AC127" i="51"/>
  <c r="AI127" i="51"/>
  <c r="AM21" i="51"/>
  <c r="AE107" i="51"/>
  <c r="AK33" i="51"/>
  <c r="AB40" i="51"/>
  <c r="AK48" i="51"/>
  <c r="AQ65" i="51"/>
  <c r="AK97" i="51"/>
  <c r="AB99" i="51"/>
  <c r="AH38" i="51"/>
  <c r="AH39" i="51"/>
  <c r="AH44" i="51"/>
  <c r="AH45" i="51"/>
  <c r="AH47" i="51"/>
  <c r="AE58" i="51"/>
  <c r="AK58" i="51"/>
  <c r="AM61" i="51"/>
  <c r="AH70" i="51"/>
  <c r="AS71" i="51"/>
  <c r="AV71" i="51" s="1"/>
  <c r="AP72" i="51"/>
  <c r="AE85" i="51"/>
  <c r="AK85" i="51"/>
  <c r="AE89" i="51"/>
  <c r="AK89" i="51"/>
  <c r="AB21" i="51"/>
  <c r="AH68" i="51"/>
  <c r="AM103" i="51"/>
  <c r="AB105" i="51"/>
  <c r="AH105" i="51"/>
  <c r="AS108" i="51"/>
  <c r="AV108" i="51" s="1"/>
  <c r="AK108" i="51"/>
  <c r="AH29" i="51"/>
  <c r="AE47" i="51"/>
  <c r="AH48" i="51"/>
  <c r="AH54" i="51"/>
  <c r="AN56" i="51"/>
  <c r="AH58" i="51"/>
  <c r="AH69" i="51"/>
  <c r="AG127" i="51"/>
  <c r="AB12" i="51"/>
  <c r="AG124" i="51"/>
  <c r="BR111" i="51"/>
  <c r="AE125" i="51"/>
  <c r="AK125" i="51"/>
  <c r="AN126" i="51"/>
  <c r="AI112" i="51"/>
  <c r="AM123" i="51"/>
  <c r="AF127" i="51"/>
  <c r="AD130" i="51"/>
  <c r="AG130" i="51"/>
  <c r="AJ130" i="51"/>
  <c r="Z133" i="51"/>
  <c r="AD136" i="51"/>
  <c r="AJ136" i="51"/>
  <c r="BD111" i="51"/>
  <c r="AW111" i="51"/>
  <c r="BA111" i="51"/>
  <c r="BE111" i="51"/>
  <c r="BI111" i="51"/>
  <c r="BM111" i="51"/>
  <c r="BQ111" i="51"/>
  <c r="AD112" i="51"/>
  <c r="AJ112" i="51"/>
  <c r="AA127" i="51"/>
  <c r="Z130" i="51"/>
  <c r="AM134" i="51"/>
  <c r="Z136" i="51"/>
  <c r="AF136" i="51"/>
  <c r="AQ137" i="51"/>
  <c r="AS194" i="51"/>
  <c r="AV194" i="51" s="1"/>
  <c r="AS242" i="51"/>
  <c r="AV242" i="51" s="1"/>
  <c r="AK16" i="51"/>
  <c r="AQ18" i="51"/>
  <c r="AT19" i="51"/>
  <c r="AE20" i="51"/>
  <c r="AK21" i="51"/>
  <c r="AM30" i="51"/>
  <c r="AK30" i="51"/>
  <c r="AM34" i="51"/>
  <c r="AH34" i="51"/>
  <c r="AK38" i="51"/>
  <c r="AT39" i="51"/>
  <c r="AQ45" i="51"/>
  <c r="AH52" i="51"/>
  <c r="AE60" i="51"/>
  <c r="AK60" i="51"/>
  <c r="AH61" i="51"/>
  <c r="AK69" i="51"/>
  <c r="AK71" i="51"/>
  <c r="AH85" i="51"/>
  <c r="AH86" i="51"/>
  <c r="AE82" i="51"/>
  <c r="AH91" i="51"/>
  <c r="AH97" i="51"/>
  <c r="AE104" i="51"/>
  <c r="AK104" i="51"/>
  <c r="AH107" i="51"/>
  <c r="AE126" i="51"/>
  <c r="AK126" i="51"/>
  <c r="AK113" i="51"/>
  <c r="AK132" i="51"/>
  <c r="AH134" i="51"/>
  <c r="AK142" i="51"/>
  <c r="AS169" i="51"/>
  <c r="AV169" i="51" s="1"/>
  <c r="AH171" i="51"/>
  <c r="AK193" i="51"/>
  <c r="AB194" i="51"/>
  <c r="AK195" i="51"/>
  <c r="AS197" i="51"/>
  <c r="AV197" i="51" s="1"/>
  <c r="AK198" i="51"/>
  <c r="AH199" i="51"/>
  <c r="AE200" i="51"/>
  <c r="AK200" i="51"/>
  <c r="AH203" i="51"/>
  <c r="AE207" i="51"/>
  <c r="AM208" i="51"/>
  <c r="AK238" i="51"/>
  <c r="AQ32" i="51"/>
  <c r="AQ41" i="51"/>
  <c r="AN44" i="51"/>
  <c r="AN54" i="51"/>
  <c r="AN59" i="51"/>
  <c r="AP69" i="51"/>
  <c r="AT70" i="51"/>
  <c r="AQ84" i="51"/>
  <c r="AQ88" i="51"/>
  <c r="AN143" i="51"/>
  <c r="AM168" i="51"/>
  <c r="AB169" i="51"/>
  <c r="AS177" i="51"/>
  <c r="AV177" i="51" s="1"/>
  <c r="AP179" i="51"/>
  <c r="AT182" i="51"/>
  <c r="AC192" i="51"/>
  <c r="AM198" i="51"/>
  <c r="AQ207" i="51"/>
  <c r="AN208" i="51"/>
  <c r="AS35" i="51"/>
  <c r="AV35" i="51" s="1"/>
  <c r="AB20" i="51"/>
  <c r="AH20" i="51"/>
  <c r="AH27" i="51"/>
  <c r="AE29" i="51"/>
  <c r="AK29" i="51"/>
  <c r="AH31" i="51"/>
  <c r="AH32" i="51"/>
  <c r="AK39" i="51"/>
  <c r="AH41" i="51"/>
  <c r="AK42" i="51"/>
  <c r="AE44" i="51"/>
  <c r="AM53" i="51"/>
  <c r="AH53" i="51"/>
  <c r="AE54" i="51"/>
  <c r="AN58" i="51"/>
  <c r="AE59" i="51"/>
  <c r="AK59" i="51"/>
  <c r="AH60" i="51"/>
  <c r="AT68" i="51"/>
  <c r="AE72" i="51"/>
  <c r="AK72" i="51"/>
  <c r="AH82" i="51"/>
  <c r="AN94" i="51"/>
  <c r="AH94" i="51"/>
  <c r="AH95" i="51"/>
  <c r="AN98" i="51"/>
  <c r="AH98" i="51"/>
  <c r="AT103" i="51"/>
  <c r="AP104" i="51"/>
  <c r="AN125" i="51"/>
  <c r="AE123" i="51"/>
  <c r="AK128" i="51"/>
  <c r="AT129" i="51"/>
  <c r="AH129" i="51"/>
  <c r="AE134" i="51"/>
  <c r="AK134" i="51"/>
  <c r="AH138" i="51"/>
  <c r="AP140" i="51"/>
  <c r="AK140" i="51"/>
  <c r="AP142" i="51"/>
  <c r="AK147" i="51"/>
  <c r="AK167" i="51"/>
  <c r="AK169" i="51"/>
  <c r="AP176" i="51"/>
  <c r="AB177" i="51"/>
  <c r="AN179" i="51"/>
  <c r="AH182" i="51"/>
  <c r="AS189" i="51"/>
  <c r="AV189" i="51" s="1"/>
  <c r="AE191" i="51"/>
  <c r="AJ192" i="51"/>
  <c r="AH193" i="51"/>
  <c r="AE196" i="51"/>
  <c r="AS200" i="51"/>
  <c r="AV200" i="51" s="1"/>
  <c r="AE203" i="51"/>
  <c r="AH225" i="51"/>
  <c r="AH238" i="51"/>
  <c r="AP38" i="51"/>
  <c r="AE38" i="51"/>
  <c r="AT14" i="51"/>
  <c r="AM32" i="51"/>
  <c r="AB32" i="51"/>
  <c r="AK45" i="51"/>
  <c r="AS16" i="51"/>
  <c r="AV16" i="51" s="1"/>
  <c r="AK20" i="51"/>
  <c r="AP29" i="51"/>
  <c r="AP31" i="51"/>
  <c r="AE31" i="51"/>
  <c r="AT32" i="51"/>
  <c r="AK34" i="51"/>
  <c r="AQ39" i="51"/>
  <c r="AM41" i="51"/>
  <c r="AB41" i="51"/>
  <c r="AS45" i="51"/>
  <c r="AV45" i="51" s="1"/>
  <c r="AT59" i="51"/>
  <c r="AH19" i="51"/>
  <c r="AM19" i="51"/>
  <c r="AM39" i="51"/>
  <c r="AB39" i="51"/>
  <c r="AT41" i="51"/>
  <c r="AE52" i="51"/>
  <c r="AK84" i="51"/>
  <c r="AK88" i="51"/>
  <c r="AB95" i="51"/>
  <c r="AP12" i="51"/>
  <c r="AE12" i="51"/>
  <c r="AQ14" i="51"/>
  <c r="AT16" i="51"/>
  <c r="AT18" i="51"/>
  <c r="AK18" i="51"/>
  <c r="AN20" i="51"/>
  <c r="AQ20" i="51"/>
  <c r="AP21" i="51"/>
  <c r="AE21" i="51"/>
  <c r="AS30" i="51"/>
  <c r="AV30" i="51" s="1"/>
  <c r="AS31" i="51"/>
  <c r="AV31" i="51" s="1"/>
  <c r="AM33" i="51"/>
  <c r="AP35" i="51"/>
  <c r="AH35" i="51"/>
  <c r="AQ36" i="51"/>
  <c r="AS38" i="51"/>
  <c r="AV38" i="51" s="1"/>
  <c r="AM40" i="51"/>
  <c r="AQ40" i="51"/>
  <c r="AK40" i="51"/>
  <c r="AM42" i="51"/>
  <c r="AQ42" i="51"/>
  <c r="AQ44" i="51"/>
  <c r="AN45" i="51"/>
  <c r="AM47" i="51"/>
  <c r="AN48" i="51"/>
  <c r="AT48" i="51"/>
  <c r="AM52" i="51"/>
  <c r="AN53" i="51"/>
  <c r="AT53" i="51"/>
  <c r="AQ54" i="51"/>
  <c r="AM60" i="51"/>
  <c r="AN61" i="51"/>
  <c r="AT61" i="51"/>
  <c r="AP68" i="51"/>
  <c r="AK68" i="51"/>
  <c r="AP70" i="51"/>
  <c r="AK70" i="51"/>
  <c r="AM72" i="51"/>
  <c r="AM84" i="51"/>
  <c r="AM88" i="51"/>
  <c r="AM95" i="51"/>
  <c r="AN96" i="51"/>
  <c r="AM97" i="51"/>
  <c r="AM99" i="51"/>
  <c r="AN100" i="51"/>
  <c r="AM101" i="51"/>
  <c r="AK101" i="51"/>
  <c r="AN105" i="51"/>
  <c r="AP107" i="51"/>
  <c r="AN108" i="51"/>
  <c r="AN110" i="51"/>
  <c r="AN123" i="51"/>
  <c r="AS128" i="51"/>
  <c r="AV128" i="51" s="1"/>
  <c r="AT180" i="51"/>
  <c r="AQ180" i="51"/>
  <c r="AQ56" i="51"/>
  <c r="AT58" i="51"/>
  <c r="AP16" i="51"/>
  <c r="AH16" i="51"/>
  <c r="AN18" i="51"/>
  <c r="AP18" i="51"/>
  <c r="AP19" i="51"/>
  <c r="AK19" i="51"/>
  <c r="AT27" i="51"/>
  <c r="AK27" i="51"/>
  <c r="AQ29" i="51"/>
  <c r="AK32" i="51"/>
  <c r="AN33" i="51"/>
  <c r="AT33" i="51"/>
  <c r="AP33" i="51"/>
  <c r="AK35" i="51"/>
  <c r="AT38" i="51"/>
  <c r="AT40" i="51"/>
  <c r="AH40" i="51"/>
  <c r="AT42" i="51"/>
  <c r="AH42" i="51"/>
  <c r="AS44" i="51"/>
  <c r="AV44" i="51" s="1"/>
  <c r="AK44" i="51"/>
  <c r="AE45" i="51"/>
  <c r="AN47" i="51"/>
  <c r="AT47" i="51"/>
  <c r="AE48" i="51"/>
  <c r="AN52" i="51"/>
  <c r="AT52" i="51"/>
  <c r="AE53" i="51"/>
  <c r="AS54" i="51"/>
  <c r="AV54" i="51" s="1"/>
  <c r="AK54" i="51"/>
  <c r="AM59" i="51"/>
  <c r="AH59" i="51"/>
  <c r="AN60" i="51"/>
  <c r="AT60" i="51"/>
  <c r="AE61" i="51"/>
  <c r="AN65" i="51"/>
  <c r="AT69" i="51"/>
  <c r="AH72" i="51"/>
  <c r="AQ73" i="51"/>
  <c r="AP87" i="51"/>
  <c r="AN82" i="51"/>
  <c r="AS96" i="51"/>
  <c r="AV96" i="51" s="1"/>
  <c r="AS100" i="51"/>
  <c r="AV100" i="51" s="1"/>
  <c r="AH103" i="51"/>
  <c r="AE105" i="51"/>
  <c r="AT109" i="51"/>
  <c r="AE110" i="51"/>
  <c r="AM125" i="51"/>
  <c r="AH125" i="51"/>
  <c r="AN141" i="51"/>
  <c r="AN242" i="51"/>
  <c r="AB242" i="51"/>
  <c r="AH99" i="51"/>
  <c r="AH104" i="51"/>
  <c r="AH109" i="51"/>
  <c r="AP143" i="51"/>
  <c r="AE143" i="51"/>
  <c r="AP167" i="51"/>
  <c r="AE167" i="51"/>
  <c r="AN197" i="51"/>
  <c r="AB197" i="51"/>
  <c r="AT203" i="51"/>
  <c r="AB203" i="51"/>
  <c r="AQ113" i="51"/>
  <c r="AK123" i="51"/>
  <c r="AB128" i="51"/>
  <c r="AB131" i="51"/>
  <c r="AB135" i="51"/>
  <c r="AH137" i="51"/>
  <c r="AK143" i="51"/>
  <c r="AB145" i="51"/>
  <c r="AP147" i="51"/>
  <c r="AH159" i="51"/>
  <c r="AE163" i="51"/>
  <c r="AE165" i="51"/>
  <c r="AB168" i="51"/>
  <c r="AS168" i="51"/>
  <c r="AV168" i="51" s="1"/>
  <c r="AP169" i="51"/>
  <c r="AE172" i="51"/>
  <c r="AB173" i="51"/>
  <c r="AS173" i="51"/>
  <c r="AV173" i="51" s="1"/>
  <c r="AM176" i="51"/>
  <c r="AK176" i="51"/>
  <c r="AP177" i="51"/>
  <c r="AT179" i="51"/>
  <c r="AQ179" i="51"/>
  <c r="AP194" i="51"/>
  <c r="AT197" i="51"/>
  <c r="AP202" i="51"/>
  <c r="AK202" i="51"/>
  <c r="AN131" i="51"/>
  <c r="AS132" i="51"/>
  <c r="AV132" i="51" s="1"/>
  <c r="AN135" i="51"/>
  <c r="AT140" i="51"/>
  <c r="AQ142" i="51"/>
  <c r="AS143" i="51"/>
  <c r="AV143" i="51" s="1"/>
  <c r="AM165" i="51"/>
  <c r="AM167" i="51"/>
  <c r="AP168" i="51"/>
  <c r="AE171" i="51"/>
  <c r="AM172" i="51"/>
  <c r="AP173" i="51"/>
  <c r="AM174" i="51"/>
  <c r="AQ174" i="51"/>
  <c r="AK174" i="51"/>
  <c r="AN176" i="51"/>
  <c r="AN191" i="51"/>
  <c r="AF192" i="51"/>
  <c r="AN193" i="51"/>
  <c r="AE195" i="51"/>
  <c r="AB196" i="51"/>
  <c r="AS196" i="51"/>
  <c r="AV196" i="51" s="1"/>
  <c r="AP197" i="51"/>
  <c r="AH198" i="51"/>
  <c r="AN199" i="51"/>
  <c r="AT202" i="51"/>
  <c r="AM207" i="51"/>
  <c r="AM223" i="51"/>
  <c r="AM226" i="51"/>
  <c r="AQ225" i="51"/>
  <c r="AN238" i="51"/>
  <c r="AU204" i="51"/>
  <c r="AH113" i="51"/>
  <c r="AH123" i="51"/>
  <c r="AK129" i="51"/>
  <c r="AK131" i="51"/>
  <c r="AB132" i="51"/>
  <c r="AK135" i="51"/>
  <c r="AQ138" i="51"/>
  <c r="AH140" i="51"/>
  <c r="AM140" i="51"/>
  <c r="AE141" i="51"/>
  <c r="AH142" i="51"/>
  <c r="AP145" i="51"/>
  <c r="AE145" i="51"/>
  <c r="AK145" i="51"/>
  <c r="AM147" i="51"/>
  <c r="AE147" i="51"/>
  <c r="AH163" i="51"/>
  <c r="AN165" i="51"/>
  <c r="AB167" i="51"/>
  <c r="AS167" i="51"/>
  <c r="AV167" i="51" s="1"/>
  <c r="AK168" i="51"/>
  <c r="AM169" i="51"/>
  <c r="AE169" i="51"/>
  <c r="AM171" i="51"/>
  <c r="AN172" i="51"/>
  <c r="AK173" i="51"/>
  <c r="AN174" i="51"/>
  <c r="AS174" i="51"/>
  <c r="AV174" i="51" s="1"/>
  <c r="AB176" i="51"/>
  <c r="AT176" i="51"/>
  <c r="AM177" i="51"/>
  <c r="AE177" i="51"/>
  <c r="AM180" i="51"/>
  <c r="AK180" i="51"/>
  <c r="AE182" i="51"/>
  <c r="AM189" i="51"/>
  <c r="AM194" i="51"/>
  <c r="AE194" i="51"/>
  <c r="AM195" i="51"/>
  <c r="AP196" i="51"/>
  <c r="AQ197" i="51"/>
  <c r="AK197" i="51"/>
  <c r="AP198" i="51"/>
  <c r="AE199" i="51"/>
  <c r="AT199" i="51"/>
  <c r="AM200" i="51"/>
  <c r="AB202" i="51"/>
  <c r="AP203" i="51"/>
  <c r="AT207" i="51"/>
  <c r="AK208" i="51"/>
  <c r="AQ223" i="51"/>
  <c r="AN226" i="51"/>
  <c r="AH226" i="51"/>
  <c r="AM225" i="51"/>
  <c r="AM242" i="51"/>
  <c r="AE242" i="51"/>
  <c r="AD83" i="51"/>
  <c r="AG83" i="51"/>
  <c r="AJ83" i="51"/>
  <c r="AB84" i="51"/>
  <c r="AM85" i="51"/>
  <c r="AM87" i="51"/>
  <c r="AE87" i="51"/>
  <c r="AB88" i="51"/>
  <c r="AM89" i="51"/>
  <c r="AC76" i="51"/>
  <c r="AF76" i="51"/>
  <c r="AI76" i="51"/>
  <c r="AA90" i="51"/>
  <c r="AS91" i="51"/>
  <c r="AV91" i="51" s="1"/>
  <c r="AP92" i="51"/>
  <c r="AM105" i="51"/>
  <c r="AF106" i="51"/>
  <c r="AM108" i="51"/>
  <c r="AE108" i="51"/>
  <c r="AP109" i="51"/>
  <c r="AA83" i="51"/>
  <c r="AE84" i="51"/>
  <c r="AE86" i="51"/>
  <c r="AK86" i="51"/>
  <c r="AT87" i="51"/>
  <c r="AH87" i="51"/>
  <c r="AE88" i="51"/>
  <c r="AH89" i="51"/>
  <c r="AG76" i="51"/>
  <c r="AM82" i="51"/>
  <c r="AQ82" i="51"/>
  <c r="AK82" i="51"/>
  <c r="AF90" i="51"/>
  <c r="AN91" i="51"/>
  <c r="AK92" i="51"/>
  <c r="AE94" i="51"/>
  <c r="AK94" i="51"/>
  <c r="AP95" i="51"/>
  <c r="AE95" i="51"/>
  <c r="AK95" i="51"/>
  <c r="AB97" i="51"/>
  <c r="AE98" i="51"/>
  <c r="AK98" i="51"/>
  <c r="AP99" i="51"/>
  <c r="AE99" i="51"/>
  <c r="AK99" i="51"/>
  <c r="AB101" i="51"/>
  <c r="AE103" i="51"/>
  <c r="AK107" i="51"/>
  <c r="AS110" i="51"/>
  <c r="AV110" i="51" s="1"/>
  <c r="AF102" i="51"/>
  <c r="AN84" i="51"/>
  <c r="AH84" i="51"/>
  <c r="AN86" i="51"/>
  <c r="AK87" i="51"/>
  <c r="AN88" i="51"/>
  <c r="AH88" i="51"/>
  <c r="AB82" i="51"/>
  <c r="AE91" i="51"/>
  <c r="AK91" i="51"/>
  <c r="AT92" i="51"/>
  <c r="AH92" i="51"/>
  <c r="AK96" i="51"/>
  <c r="AP97" i="51"/>
  <c r="AT97" i="51"/>
  <c r="AK100" i="51"/>
  <c r="AP101" i="51"/>
  <c r="AT101" i="51"/>
  <c r="AB103" i="51"/>
  <c r="AK105" i="51"/>
  <c r="AK109" i="51"/>
  <c r="AP110" i="51"/>
  <c r="AH110" i="51"/>
  <c r="AB126" i="51"/>
  <c r="AE113" i="51"/>
  <c r="AH128" i="51"/>
  <c r="AE129" i="51"/>
  <c r="AH132" i="51"/>
  <c r="AE137" i="51"/>
  <c r="AM138" i="51"/>
  <c r="AE138" i="51"/>
  <c r="AT128" i="51"/>
  <c r="AQ129" i="51"/>
  <c r="AT132" i="51"/>
  <c r="AC133" i="51"/>
  <c r="AF133" i="51"/>
  <c r="AI133" i="51"/>
  <c r="AN134" i="51"/>
  <c r="Z124" i="51"/>
  <c r="AP125" i="51"/>
  <c r="AM126" i="51"/>
  <c r="AQ126" i="51"/>
  <c r="AA112" i="51"/>
  <c r="AM113" i="51"/>
  <c r="AP123" i="51"/>
  <c r="AP128" i="51"/>
  <c r="AM129" i="51"/>
  <c r="AM131" i="51"/>
  <c r="AE131" i="51"/>
  <c r="AP132" i="51"/>
  <c r="AP134" i="51"/>
  <c r="AM135" i="51"/>
  <c r="AE135" i="51"/>
  <c r="AA136" i="51"/>
  <c r="AS137" i="51"/>
  <c r="AV137" i="51" s="1"/>
  <c r="AK137" i="51"/>
  <c r="AB138" i="51"/>
  <c r="AS126" i="51"/>
  <c r="AV126" i="51" s="1"/>
  <c r="AT113" i="51"/>
  <c r="Z127" i="51"/>
  <c r="AS131" i="51"/>
  <c r="AV131" i="51" s="1"/>
  <c r="AS135" i="51"/>
  <c r="AV135" i="51" s="1"/>
  <c r="AN137" i="51"/>
  <c r="AB4" i="51"/>
  <c r="AS4" i="51"/>
  <c r="AN12" i="51"/>
  <c r="AN14" i="51"/>
  <c r="AM16" i="51"/>
  <c r="AQ16" i="51"/>
  <c r="AJ17" i="51"/>
  <c r="AN19" i="51"/>
  <c r="AS19" i="51"/>
  <c r="AS20" i="51"/>
  <c r="AV20" i="51" s="1"/>
  <c r="O27" i="51"/>
  <c r="AN27" i="51"/>
  <c r="AS27" i="51"/>
  <c r="AS29" i="51"/>
  <c r="AN30" i="51"/>
  <c r="AQ30" i="51"/>
  <c r="AB30" i="51"/>
  <c r="AH30" i="51"/>
  <c r="AT31" i="51"/>
  <c r="AQ31" i="51"/>
  <c r="AN31" i="51"/>
  <c r="AH33" i="51"/>
  <c r="AS34" i="51"/>
  <c r="AB34" i="51"/>
  <c r="AP34" i="51"/>
  <c r="O51" i="51"/>
  <c r="AT4" i="51"/>
  <c r="AS12" i="51"/>
  <c r="AN16" i="51"/>
  <c r="AH18" i="51"/>
  <c r="AM18" i="51"/>
  <c r="AS18" i="51"/>
  <c r="AM20" i="51"/>
  <c r="AQ21" i="51"/>
  <c r="AB27" i="51"/>
  <c r="AM27" i="51"/>
  <c r="AD28" i="51"/>
  <c r="AJ28" i="51"/>
  <c r="AT29" i="51"/>
  <c r="AP30" i="51"/>
  <c r="AN34" i="51"/>
  <c r="O36" i="51"/>
  <c r="AK12" i="51"/>
  <c r="AT12" i="51"/>
  <c r="AB16" i="51"/>
  <c r="Z17" i="51"/>
  <c r="AB19" i="51"/>
  <c r="AQ19" i="51"/>
  <c r="AP20" i="51"/>
  <c r="AT20" i="51"/>
  <c r="O21" i="51"/>
  <c r="AT21" i="51"/>
  <c r="AS21" i="51"/>
  <c r="AV21" i="51" s="1"/>
  <c r="AE27" i="51"/>
  <c r="AN29" i="51"/>
  <c r="AT30" i="51"/>
  <c r="AS32" i="51"/>
  <c r="AE33" i="51"/>
  <c r="AS33" i="51"/>
  <c r="AE34" i="51"/>
  <c r="AQ34" i="51"/>
  <c r="AT35" i="51"/>
  <c r="AQ35" i="51"/>
  <c r="AN35" i="51"/>
  <c r="AT36" i="51"/>
  <c r="Z55" i="51"/>
  <c r="AP4" i="51"/>
  <c r="AH12" i="51"/>
  <c r="AM12" i="51"/>
  <c r="AQ12" i="51"/>
  <c r="Z14" i="51"/>
  <c r="O20" i="51"/>
  <c r="AQ27" i="51"/>
  <c r="AN21" i="51"/>
  <c r="AM29" i="51"/>
  <c r="AM31" i="51"/>
  <c r="AE32" i="51"/>
  <c r="AN32" i="51"/>
  <c r="AB33" i="51"/>
  <c r="AM35" i="51"/>
  <c r="AN36" i="51"/>
  <c r="BS37" i="51"/>
  <c r="AM38" i="51"/>
  <c r="AQ38" i="51"/>
  <c r="AE39" i="51"/>
  <c r="AN39" i="51"/>
  <c r="AE40" i="51"/>
  <c r="AN40" i="51"/>
  <c r="AE41" i="51"/>
  <c r="AN41" i="51"/>
  <c r="AE42" i="51"/>
  <c r="AN42" i="51"/>
  <c r="O44" i="51"/>
  <c r="AP44" i="51"/>
  <c r="AT44" i="51"/>
  <c r="AP45" i="51"/>
  <c r="AT45" i="51"/>
  <c r="O46" i="51"/>
  <c r="AB47" i="51"/>
  <c r="AB48" i="51"/>
  <c r="AS48" i="51"/>
  <c r="AM50" i="51"/>
  <c r="AQ50" i="51"/>
  <c r="AB52" i="51"/>
  <c r="AB53" i="51"/>
  <c r="AS53" i="51"/>
  <c r="AP54" i="51"/>
  <c r="AT54" i="51"/>
  <c r="AC56" i="51"/>
  <c r="AE56" i="51" s="1"/>
  <c r="AT56" i="51"/>
  <c r="O57" i="51"/>
  <c r="AB59" i="51"/>
  <c r="AS59" i="51"/>
  <c r="AB60" i="51"/>
  <c r="AS60" i="51"/>
  <c r="AB61" i="51"/>
  <c r="AS61" i="51"/>
  <c r="AP66" i="51"/>
  <c r="AS66" i="51"/>
  <c r="AP67" i="51"/>
  <c r="AE68" i="51"/>
  <c r="O69" i="51"/>
  <c r="AE69" i="51"/>
  <c r="O70" i="51"/>
  <c r="AE70" i="51"/>
  <c r="AB71" i="51"/>
  <c r="AQ71" i="51"/>
  <c r="AH71" i="51"/>
  <c r="AT71" i="51"/>
  <c r="AT73" i="51"/>
  <c r="AN74" i="51"/>
  <c r="AN38" i="51"/>
  <c r="AS39" i="51"/>
  <c r="AS40" i="51"/>
  <c r="AS41" i="51"/>
  <c r="AS42" i="51"/>
  <c r="AM44" i="51"/>
  <c r="AM45" i="51"/>
  <c r="AP47" i="51"/>
  <c r="AP48" i="51"/>
  <c r="AN50" i="51"/>
  <c r="AP52" i="51"/>
  <c r="AP53" i="51"/>
  <c r="AM54" i="51"/>
  <c r="AP59" i="51"/>
  <c r="AP60" i="51"/>
  <c r="AP61" i="51"/>
  <c r="AQ68" i="51"/>
  <c r="AQ69" i="51"/>
  <c r="AQ70" i="51"/>
  <c r="AB72" i="51"/>
  <c r="AQ72" i="51"/>
  <c r="AT72" i="51"/>
  <c r="AN73" i="51"/>
  <c r="AB29" i="51"/>
  <c r="AB31" i="51"/>
  <c r="AP32" i="51"/>
  <c r="AQ33" i="51"/>
  <c r="AB35" i="51"/>
  <c r="AB38" i="51"/>
  <c r="AP39" i="51"/>
  <c r="AP40" i="51"/>
  <c r="AP41" i="51"/>
  <c r="AP42" i="51"/>
  <c r="O43" i="51"/>
  <c r="AQ47" i="51"/>
  <c r="AQ48" i="51"/>
  <c r="P49" i="51"/>
  <c r="AB50" i="51"/>
  <c r="AS50" i="51"/>
  <c r="AQ52" i="51"/>
  <c r="AQ53" i="51"/>
  <c r="BK55" i="51"/>
  <c r="AQ58" i="51"/>
  <c r="AQ59" i="51"/>
  <c r="AQ60" i="51"/>
  <c r="AQ61" i="51"/>
  <c r="O62" i="51"/>
  <c r="AQ63" i="51"/>
  <c r="BE64" i="51"/>
  <c r="BQ64" i="51"/>
  <c r="O65" i="51"/>
  <c r="AC65" i="51"/>
  <c r="AE65" i="51" s="1"/>
  <c r="AB66" i="51"/>
  <c r="AK66" i="51"/>
  <c r="AB67" i="51"/>
  <c r="AQ67" i="51"/>
  <c r="AH67" i="51"/>
  <c r="AT67" i="51"/>
  <c r="AN68" i="51"/>
  <c r="AS68" i="51"/>
  <c r="AN69" i="51"/>
  <c r="AS69" i="51"/>
  <c r="AN70" i="51"/>
  <c r="AS70" i="51"/>
  <c r="AP71" i="51"/>
  <c r="AS72" i="51"/>
  <c r="AN72" i="51"/>
  <c r="Z73" i="51"/>
  <c r="AM74" i="51"/>
  <c r="AB44" i="51"/>
  <c r="AB45" i="51"/>
  <c r="AB54" i="51"/>
  <c r="AB68" i="51"/>
  <c r="AM68" i="51"/>
  <c r="AB69" i="51"/>
  <c r="AM69" i="51"/>
  <c r="AB70" i="51"/>
  <c r="AM70" i="51"/>
  <c r="AM71" i="51"/>
  <c r="AE71" i="51"/>
  <c r="AF73" i="51"/>
  <c r="AH73" i="51" s="1"/>
  <c r="AT74" i="51"/>
  <c r="AT65" i="51"/>
  <c r="AB74" i="51"/>
  <c r="AS74" i="51"/>
  <c r="BD75" i="51"/>
  <c r="BL75" i="51"/>
  <c r="BP75" i="51"/>
  <c r="AB85" i="51"/>
  <c r="AS85" i="51"/>
  <c r="AP86" i="51"/>
  <c r="AT86" i="51"/>
  <c r="AQ87" i="51"/>
  <c r="AB89" i="51"/>
  <c r="AS89" i="51"/>
  <c r="AP91" i="51"/>
  <c r="AT91" i="51"/>
  <c r="AQ92" i="51"/>
  <c r="AQ94" i="51"/>
  <c r="AT94" i="51"/>
  <c r="AT95" i="51"/>
  <c r="AS95" i="51"/>
  <c r="AQ96" i="51"/>
  <c r="AB96" i="51"/>
  <c r="AH96" i="51"/>
  <c r="AT96" i="51"/>
  <c r="AN97" i="51"/>
  <c r="AS97" i="51"/>
  <c r="AQ98" i="51"/>
  <c r="AT98" i="51"/>
  <c r="AT99" i="51"/>
  <c r="AS99" i="51"/>
  <c r="AQ100" i="51"/>
  <c r="AB100" i="51"/>
  <c r="AH100" i="51"/>
  <c r="AT100" i="51"/>
  <c r="AN101" i="51"/>
  <c r="AS101" i="51"/>
  <c r="AP103" i="51"/>
  <c r="AK103" i="51"/>
  <c r="AQ103" i="51"/>
  <c r="AM104" i="51"/>
  <c r="AP105" i="51"/>
  <c r="AT105" i="51"/>
  <c r="AQ105" i="51"/>
  <c r="AP108" i="51"/>
  <c r="AE109" i="51"/>
  <c r="AS84" i="51"/>
  <c r="AP85" i="51"/>
  <c r="AT85" i="51"/>
  <c r="AM86" i="51"/>
  <c r="AQ86" i="51"/>
  <c r="AN87" i="51"/>
  <c r="AS88" i="51"/>
  <c r="AP89" i="51"/>
  <c r="AT89" i="51"/>
  <c r="AS82" i="51"/>
  <c r="AM91" i="51"/>
  <c r="AQ91" i="51"/>
  <c r="AN92" i="51"/>
  <c r="AS103" i="51"/>
  <c r="AQ104" i="51"/>
  <c r="AB104" i="51"/>
  <c r="AT104" i="51"/>
  <c r="AS105" i="51"/>
  <c r="AQ107" i="51"/>
  <c r="AQ109" i="51"/>
  <c r="AP84" i="51"/>
  <c r="AT84" i="51"/>
  <c r="AQ85" i="51"/>
  <c r="AB87" i="51"/>
  <c r="AS87" i="51"/>
  <c r="AP88" i="51"/>
  <c r="AT88" i="51"/>
  <c r="AQ89" i="51"/>
  <c r="AP82" i="51"/>
  <c r="AT82" i="51"/>
  <c r="AB92" i="51"/>
  <c r="AS92" i="51"/>
  <c r="AP94" i="51"/>
  <c r="AP96" i="51"/>
  <c r="AE97" i="51"/>
  <c r="AP98" i="51"/>
  <c r="AP100" i="51"/>
  <c r="AE101" i="51"/>
  <c r="AS104" i="51"/>
  <c r="AN104" i="51"/>
  <c r="AT107" i="51"/>
  <c r="AS107" i="51"/>
  <c r="AQ108" i="51"/>
  <c r="AB108" i="51"/>
  <c r="AH108" i="51"/>
  <c r="AT108" i="51"/>
  <c r="AU108" i="51" s="1"/>
  <c r="AN109" i="51"/>
  <c r="AS109" i="51"/>
  <c r="AQ110" i="51"/>
  <c r="AT110" i="51"/>
  <c r="AB86" i="51"/>
  <c r="AB91" i="51"/>
  <c r="AS94" i="51"/>
  <c r="AQ95" i="51"/>
  <c r="AM96" i="51"/>
  <c r="AE96" i="51"/>
  <c r="AQ97" i="51"/>
  <c r="AS98" i="51"/>
  <c r="AQ99" i="51"/>
  <c r="AM100" i="51"/>
  <c r="AE100" i="51"/>
  <c r="AQ101" i="51"/>
  <c r="AD106" i="51"/>
  <c r="AJ106" i="51"/>
  <c r="AB107" i="51"/>
  <c r="AM107" i="51"/>
  <c r="AB109" i="51"/>
  <c r="AM109" i="51"/>
  <c r="AM94" i="51"/>
  <c r="AN95" i="51"/>
  <c r="AM98" i="51"/>
  <c r="AN99" i="51"/>
  <c r="AN103" i="51"/>
  <c r="AN107" i="51"/>
  <c r="AM110" i="51"/>
  <c r="AI124" i="51"/>
  <c r="AB125" i="51"/>
  <c r="AS125" i="51"/>
  <c r="AP126" i="51"/>
  <c r="AT126" i="51"/>
  <c r="AN113" i="51"/>
  <c r="AB123" i="51"/>
  <c r="AS123" i="51"/>
  <c r="AM128" i="51"/>
  <c r="AQ128" i="51"/>
  <c r="AN129" i="51"/>
  <c r="AP131" i="51"/>
  <c r="AT131" i="51"/>
  <c r="AM132" i="51"/>
  <c r="AQ132" i="51"/>
  <c r="AB134" i="51"/>
  <c r="AS134" i="51"/>
  <c r="AP135" i="51"/>
  <c r="AT135" i="51"/>
  <c r="AE140" i="51"/>
  <c r="AP141" i="51"/>
  <c r="AN142" i="51"/>
  <c r="AQ143" i="51"/>
  <c r="AT143" i="51"/>
  <c r="O146" i="51"/>
  <c r="AF124" i="51"/>
  <c r="AT125" i="51"/>
  <c r="AH126" i="51"/>
  <c r="AB113" i="51"/>
  <c r="AS113" i="51"/>
  <c r="AT123" i="51"/>
  <c r="AE128" i="51"/>
  <c r="AN128" i="51"/>
  <c r="AB129" i="51"/>
  <c r="AS129" i="51"/>
  <c r="AH131" i="51"/>
  <c r="AQ131" i="51"/>
  <c r="AE132" i="51"/>
  <c r="AN132" i="51"/>
  <c r="AT134" i="51"/>
  <c r="AH135" i="51"/>
  <c r="AQ135" i="51"/>
  <c r="AB137" i="51"/>
  <c r="AT137" i="51"/>
  <c r="AP138" i="51"/>
  <c r="AN138" i="51"/>
  <c r="AS138" i="51"/>
  <c r="AQ140" i="51"/>
  <c r="AS141" i="51"/>
  <c r="AQ145" i="51"/>
  <c r="AB94" i="51"/>
  <c r="AB98" i="51"/>
  <c r="AB110" i="51"/>
  <c r="BC111" i="51"/>
  <c r="AQ125" i="51"/>
  <c r="AP113" i="51"/>
  <c r="AQ123" i="51"/>
  <c r="AP129" i="51"/>
  <c r="AQ134" i="51"/>
  <c r="AP137" i="51"/>
  <c r="AT138" i="51"/>
  <c r="AK138" i="51"/>
  <c r="AN140" i="51"/>
  <c r="AS140" i="51"/>
  <c r="AQ141" i="51"/>
  <c r="AT141" i="51"/>
  <c r="AS142" i="51"/>
  <c r="AT145" i="51"/>
  <c r="AS145" i="51"/>
  <c r="AS149" i="51"/>
  <c r="AH149" i="51"/>
  <c r="AM137" i="51"/>
  <c r="AT142" i="51"/>
  <c r="AQ147" i="51"/>
  <c r="AT147" i="51"/>
  <c r="AB147" i="51"/>
  <c r="AN147" i="51"/>
  <c r="AM141" i="51"/>
  <c r="AM142" i="51"/>
  <c r="AM143" i="51"/>
  <c r="AN145" i="51"/>
  <c r="AS147" i="51"/>
  <c r="AP149" i="51"/>
  <c r="AT149" i="51"/>
  <c r="AM151" i="51"/>
  <c r="AS151" i="51"/>
  <c r="AS156" i="51"/>
  <c r="AB156" i="51"/>
  <c r="AQ156" i="51"/>
  <c r="AT159" i="51"/>
  <c r="AN156" i="51"/>
  <c r="AQ159" i="51"/>
  <c r="O163" i="51"/>
  <c r="AB141" i="51"/>
  <c r="AB142" i="51"/>
  <c r="AB143" i="51"/>
  <c r="AE156" i="51"/>
  <c r="AM156" i="51"/>
  <c r="AM159" i="51"/>
  <c r="AS176" i="51"/>
  <c r="AP151" i="51"/>
  <c r="AV162" i="51"/>
  <c r="AU162" i="51"/>
  <c r="AQ151" i="51"/>
  <c r="AM163" i="51"/>
  <c r="AQ163" i="51"/>
  <c r="AB165" i="51"/>
  <c r="AS165" i="51"/>
  <c r="AB166" i="51"/>
  <c r="AS166" i="51"/>
  <c r="AT167" i="51"/>
  <c r="AT168" i="51"/>
  <c r="AT169" i="51"/>
  <c r="O170" i="51"/>
  <c r="AB171" i="51"/>
  <c r="AS171" i="51"/>
  <c r="AB172" i="51"/>
  <c r="AS172" i="51"/>
  <c r="AT173" i="51"/>
  <c r="AH174" i="51"/>
  <c r="BS175" i="51"/>
  <c r="AI175" i="51" s="1"/>
  <c r="AH176" i="51"/>
  <c r="AT177" i="51"/>
  <c r="AH179" i="51"/>
  <c r="AM179" i="51"/>
  <c r="AS182" i="51"/>
  <c r="AB182" i="51"/>
  <c r="AQ182" i="51"/>
  <c r="AN187" i="51"/>
  <c r="AB159" i="51"/>
  <c r="AS159" i="51"/>
  <c r="AN163" i="51"/>
  <c r="AP165" i="51"/>
  <c r="AT165" i="51"/>
  <c r="AP166" i="51"/>
  <c r="AT166" i="51"/>
  <c r="AH167" i="51"/>
  <c r="AQ167" i="51"/>
  <c r="AH168" i="51"/>
  <c r="AQ168" i="51"/>
  <c r="AH169" i="51"/>
  <c r="AQ169" i="51"/>
  <c r="AP171" i="51"/>
  <c r="AT171" i="51"/>
  <c r="AP172" i="51"/>
  <c r="AT172" i="51"/>
  <c r="AH173" i="51"/>
  <c r="AQ173" i="51"/>
  <c r="AE174" i="51"/>
  <c r="AE176" i="51"/>
  <c r="AH177" i="51"/>
  <c r="AQ177" i="51"/>
  <c r="AN180" i="51"/>
  <c r="AN182" i="51"/>
  <c r="AQ184" i="51"/>
  <c r="AT184" i="51"/>
  <c r="AS184" i="51"/>
  <c r="AE187" i="51"/>
  <c r="AT187" i="51"/>
  <c r="AS163" i="51"/>
  <c r="AQ165" i="51"/>
  <c r="AQ166" i="51"/>
  <c r="AN167" i="51"/>
  <c r="AN168" i="51"/>
  <c r="AN169" i="51"/>
  <c r="AQ171" i="51"/>
  <c r="AQ172" i="51"/>
  <c r="AN173" i="51"/>
  <c r="AN177" i="51"/>
  <c r="AS179" i="51"/>
  <c r="AB179" i="51"/>
  <c r="AP180" i="51"/>
  <c r="AS180" i="51"/>
  <c r="AB180" i="51"/>
  <c r="AM182" i="51"/>
  <c r="AK163" i="51"/>
  <c r="AP163" i="51"/>
  <c r="AT163" i="51"/>
  <c r="L175" i="51"/>
  <c r="O178" i="51"/>
  <c r="AP182" i="51"/>
  <c r="L183" i="51"/>
  <c r="O184" i="51"/>
  <c r="AM187" i="51"/>
  <c r="AS187" i="51"/>
  <c r="AB187" i="51"/>
  <c r="AP184" i="51"/>
  <c r="AP189" i="51"/>
  <c r="AT189" i="51"/>
  <c r="O190" i="51"/>
  <c r="AB191" i="51"/>
  <c r="O192" i="51"/>
  <c r="AB193" i="51"/>
  <c r="AS193" i="51"/>
  <c r="AT194" i="51"/>
  <c r="AB195" i="51"/>
  <c r="AS195" i="51"/>
  <c r="AT196" i="51"/>
  <c r="AH197" i="51"/>
  <c r="AT198" i="51"/>
  <c r="AE198" i="51"/>
  <c r="AN198" i="51"/>
  <c r="O199" i="51"/>
  <c r="AB200" i="51"/>
  <c r="AN200" i="51"/>
  <c r="AQ200" i="51"/>
  <c r="AT200" i="51"/>
  <c r="O181" i="51"/>
  <c r="AH189" i="51"/>
  <c r="AQ189" i="51"/>
  <c r="AT191" i="51"/>
  <c r="AP193" i="51"/>
  <c r="AT193" i="51"/>
  <c r="AH194" i="51"/>
  <c r="AQ194" i="51"/>
  <c r="AP195" i="51"/>
  <c r="AT195" i="51"/>
  <c r="AH196" i="51"/>
  <c r="AQ196" i="51"/>
  <c r="AE197" i="51"/>
  <c r="AB198" i="51"/>
  <c r="AS198" i="51"/>
  <c r="AB199" i="51"/>
  <c r="AN189" i="51"/>
  <c r="AQ191" i="51"/>
  <c r="AQ193" i="51"/>
  <c r="AN194" i="51"/>
  <c r="AQ195" i="51"/>
  <c r="AN196" i="51"/>
  <c r="AS199" i="51"/>
  <c r="O191" i="51"/>
  <c r="AM199" i="51"/>
  <c r="AK199" i="51"/>
  <c r="AQ199" i="51"/>
  <c r="AP200" i="51"/>
  <c r="AM202" i="51"/>
  <c r="AQ202" i="51"/>
  <c r="AM203" i="51"/>
  <c r="AQ203" i="51"/>
  <c r="AN207" i="51"/>
  <c r="AB208" i="51"/>
  <c r="AS208" i="51"/>
  <c r="O218" i="51"/>
  <c r="AB219" i="51"/>
  <c r="AS219" i="51"/>
  <c r="AB220" i="51"/>
  <c r="AN221" i="51"/>
  <c r="AM222" i="51"/>
  <c r="AQ222" i="51"/>
  <c r="AN223" i="51"/>
  <c r="AB226" i="51"/>
  <c r="AS226" i="51"/>
  <c r="AV226" i="51" s="1"/>
  <c r="AN225" i="51"/>
  <c r="AB238" i="51"/>
  <c r="AS238" i="51"/>
  <c r="AP242" i="51"/>
  <c r="AT242" i="51"/>
  <c r="O243" i="51"/>
  <c r="AP243" i="51"/>
  <c r="AT243" i="51"/>
  <c r="AH200" i="51"/>
  <c r="AN202" i="51"/>
  <c r="AN203" i="51"/>
  <c r="AB207" i="51"/>
  <c r="AS207" i="51"/>
  <c r="AP208" i="51"/>
  <c r="AT208" i="51"/>
  <c r="AP219" i="51"/>
  <c r="AT219" i="51"/>
  <c r="AP220" i="51"/>
  <c r="AT220" i="51"/>
  <c r="AB221" i="51"/>
  <c r="AS221" i="51"/>
  <c r="AN222" i="51"/>
  <c r="AB223" i="51"/>
  <c r="AS223" i="51"/>
  <c r="AP226" i="51"/>
  <c r="AT226" i="51"/>
  <c r="AB225" i="51"/>
  <c r="AS225" i="51"/>
  <c r="AP238" i="51"/>
  <c r="AT238" i="51"/>
  <c r="AH242" i="51"/>
  <c r="AQ242" i="51"/>
  <c r="AM243" i="51"/>
  <c r="AQ243" i="51"/>
  <c r="AS202" i="51"/>
  <c r="AS203" i="51"/>
  <c r="AP207" i="51"/>
  <c r="AQ208" i="51"/>
  <c r="AQ219" i="51"/>
  <c r="AQ220" i="51"/>
  <c r="AP221" i="51"/>
  <c r="AT221" i="51"/>
  <c r="AB222" i="51"/>
  <c r="AS222" i="51"/>
  <c r="AP223" i="51"/>
  <c r="AT223" i="51"/>
  <c r="AQ226" i="51"/>
  <c r="AP225" i="51"/>
  <c r="AQ238" i="51"/>
  <c r="BI50" i="45"/>
  <c r="BG50" i="45"/>
  <c r="BE50" i="45"/>
  <c r="BC50" i="45"/>
  <c r="BA50" i="45"/>
  <c r="BE150" i="51" l="1"/>
  <c r="BL150" i="51"/>
  <c r="BD150" i="51"/>
  <c r="P5" i="51"/>
  <c r="L244" i="51"/>
  <c r="L248" i="51" s="1"/>
  <c r="BP150" i="51"/>
  <c r="BP152" i="51" s="1"/>
  <c r="BA244" i="51"/>
  <c r="BS244" i="51"/>
  <c r="AR4" i="51"/>
  <c r="AE127" i="51"/>
  <c r="AE175" i="51"/>
  <c r="AB93" i="51"/>
  <c r="S150" i="51"/>
  <c r="BF150" i="51"/>
  <c r="BF152" i="51" s="1"/>
  <c r="L150" i="51"/>
  <c r="L152" i="51" s="1"/>
  <c r="AK224" i="51"/>
  <c r="BJ150" i="51"/>
  <c r="BJ152" i="51" s="1"/>
  <c r="BN150" i="51"/>
  <c r="BN152" i="51" s="1"/>
  <c r="AX150" i="51"/>
  <c r="BH150" i="51"/>
  <c r="BH152" i="51" s="1"/>
  <c r="BO150" i="51"/>
  <c r="BO152" i="51" s="1"/>
  <c r="BS150" i="51"/>
  <c r="BS152" i="51" s="1"/>
  <c r="BG150" i="51"/>
  <c r="BG152" i="51" s="1"/>
  <c r="BR150" i="51"/>
  <c r="BR152" i="51" s="1"/>
  <c r="BB150" i="51"/>
  <c r="BB152" i="51" s="1"/>
  <c r="AZ150" i="51"/>
  <c r="AZ152" i="51" s="1"/>
  <c r="AM178" i="51"/>
  <c r="BI150" i="51"/>
  <c r="BI152" i="51" s="1"/>
  <c r="BA150" i="51"/>
  <c r="BA152" i="51" s="1"/>
  <c r="AW150" i="51"/>
  <c r="AW152" i="51" s="1"/>
  <c r="BK150" i="51"/>
  <c r="BK152" i="51" s="1"/>
  <c r="BM150" i="51"/>
  <c r="BM152" i="51" s="1"/>
  <c r="AY150" i="51"/>
  <c r="AY152" i="51" s="1"/>
  <c r="P150" i="51"/>
  <c r="P158" i="51" s="1"/>
  <c r="AR222" i="51"/>
  <c r="Q5" i="51"/>
  <c r="Q150" i="51"/>
  <c r="Q158" i="51" s="1"/>
  <c r="AM102" i="51"/>
  <c r="BQ150" i="51"/>
  <c r="BQ152" i="51" s="1"/>
  <c r="BC150" i="51"/>
  <c r="BC152" i="51" s="1"/>
  <c r="AE170" i="51"/>
  <c r="AR167" i="51"/>
  <c r="AS220" i="51"/>
  <c r="AV220" i="51" s="1"/>
  <c r="AB146" i="51"/>
  <c r="BE152" i="51"/>
  <c r="AK148" i="51"/>
  <c r="AM164" i="51"/>
  <c r="AM170" i="51"/>
  <c r="AB102" i="51"/>
  <c r="AK106" i="51"/>
  <c r="AX152" i="51"/>
  <c r="AS49" i="51"/>
  <c r="AV49" i="51" s="1"/>
  <c r="AB155" i="51"/>
  <c r="AB157" i="51" s="1"/>
  <c r="AR180" i="51"/>
  <c r="AB190" i="51"/>
  <c r="AH93" i="51"/>
  <c r="AM106" i="51"/>
  <c r="AK93" i="51"/>
  <c r="AP175" i="51"/>
  <c r="AO225" i="51"/>
  <c r="AK76" i="51"/>
  <c r="AK144" i="51"/>
  <c r="AH175" i="51"/>
  <c r="AR198" i="51"/>
  <c r="AB51" i="51"/>
  <c r="AO85" i="51"/>
  <c r="AO200" i="51"/>
  <c r="AO138" i="51"/>
  <c r="AE90" i="51"/>
  <c r="AK124" i="51"/>
  <c r="AE224" i="51"/>
  <c r="AU177" i="51"/>
  <c r="AM175" i="51"/>
  <c r="AO145" i="51"/>
  <c r="AR66" i="51"/>
  <c r="AB224" i="51"/>
  <c r="AO94" i="51"/>
  <c r="BL152" i="51"/>
  <c r="AK28" i="51"/>
  <c r="AN224" i="51"/>
  <c r="AB175" i="51"/>
  <c r="AN102" i="51"/>
  <c r="R245" i="51"/>
  <c r="AP218" i="51"/>
  <c r="AM218" i="51"/>
  <c r="AB218" i="51"/>
  <c r="AB192" i="51"/>
  <c r="AB76" i="51"/>
  <c r="AK55" i="51"/>
  <c r="AM183" i="51"/>
  <c r="AN181" i="51"/>
  <c r="AN192" i="51"/>
  <c r="S247" i="51"/>
  <c r="AQ3" i="51"/>
  <c r="AN188" i="51"/>
  <c r="AB183" i="51"/>
  <c r="AE102" i="51"/>
  <c r="AP58" i="51"/>
  <c r="AR58" i="51" s="1"/>
  <c r="AB127" i="51"/>
  <c r="AU169" i="51"/>
  <c r="AH224" i="51"/>
  <c r="AH144" i="51"/>
  <c r="AH218" i="51"/>
  <c r="AP210" i="51"/>
  <c r="AE28" i="51"/>
  <c r="AS47" i="51"/>
  <c r="AU47" i="51" s="1"/>
  <c r="AK17" i="51"/>
  <c r="AR176" i="51"/>
  <c r="AP139" i="51"/>
  <c r="AE49" i="51"/>
  <c r="AN49" i="51"/>
  <c r="AM224" i="51"/>
  <c r="AB139" i="51"/>
  <c r="AR223" i="51"/>
  <c r="AH192" i="51"/>
  <c r="AK136" i="51"/>
  <c r="AH190" i="51"/>
  <c r="AE62" i="51"/>
  <c r="BE5" i="51"/>
  <c r="AU203" i="51"/>
  <c r="AU199" i="51"/>
  <c r="AO179" i="51"/>
  <c r="AE210" i="51"/>
  <c r="AN62" i="51"/>
  <c r="AQ224" i="51"/>
  <c r="AT224" i="51"/>
  <c r="AR50" i="51"/>
  <c r="AE181" i="51"/>
  <c r="AE146" i="51"/>
  <c r="AE3" i="51"/>
  <c r="AR74" i="51"/>
  <c r="AH51" i="51"/>
  <c r="AK146" i="51"/>
  <c r="AN170" i="51"/>
  <c r="AP164" i="51"/>
  <c r="AB170" i="51"/>
  <c r="AT164" i="51"/>
  <c r="AO134" i="51"/>
  <c r="AP224" i="51"/>
  <c r="AU194" i="51"/>
  <c r="AR147" i="51"/>
  <c r="AO99" i="51"/>
  <c r="BD152" i="51"/>
  <c r="AK133" i="51"/>
  <c r="AH90" i="51"/>
  <c r="AK83" i="51"/>
  <c r="AO193" i="51"/>
  <c r="AO61" i="51"/>
  <c r="AT124" i="51"/>
  <c r="AE183" i="51"/>
  <c r="AK178" i="51"/>
  <c r="AK49" i="51"/>
  <c r="AO166" i="51"/>
  <c r="AU242" i="51"/>
  <c r="AR168" i="51"/>
  <c r="AR159" i="51"/>
  <c r="AM210" i="51"/>
  <c r="AO223" i="51"/>
  <c r="AO189" i="51"/>
  <c r="AR156" i="51"/>
  <c r="AN93" i="51"/>
  <c r="AU31" i="51"/>
  <c r="AB133" i="51"/>
  <c r="AO66" i="51"/>
  <c r="AK102" i="51"/>
  <c r="AH46" i="51"/>
  <c r="AH164" i="51"/>
  <c r="AU176" i="51"/>
  <c r="AO48" i="51"/>
  <c r="AM130" i="51"/>
  <c r="AE130" i="51"/>
  <c r="AE148" i="51"/>
  <c r="AS93" i="51"/>
  <c r="AV93" i="51" s="1"/>
  <c r="AN37" i="51"/>
  <c r="AN148" i="51"/>
  <c r="AE46" i="51"/>
  <c r="AT102" i="51"/>
  <c r="AM90" i="51"/>
  <c r="AR177" i="51"/>
  <c r="Z157" i="51"/>
  <c r="AP157" i="51" s="1"/>
  <c r="AO140" i="51"/>
  <c r="AU86" i="51"/>
  <c r="AO71" i="51"/>
  <c r="AU71" i="51"/>
  <c r="AQ46" i="51"/>
  <c r="AM124" i="51"/>
  <c r="AM136" i="51"/>
  <c r="AH49" i="51"/>
  <c r="AU143" i="51"/>
  <c r="AQ37" i="51"/>
  <c r="AO238" i="51"/>
  <c r="AI218" i="51"/>
  <c r="AS218" i="51" s="1"/>
  <c r="Z64" i="51"/>
  <c r="AB64" i="51" s="1"/>
  <c r="AH210" i="51"/>
  <c r="AE124" i="51"/>
  <c r="AO199" i="51"/>
  <c r="AR143" i="51"/>
  <c r="AU69" i="51"/>
  <c r="AS63" i="51"/>
  <c r="AU63" i="51" s="1"/>
  <c r="AI111" i="51"/>
  <c r="AO220" i="51"/>
  <c r="AQ188" i="51"/>
  <c r="AT133" i="51"/>
  <c r="AK3" i="51"/>
  <c r="AH148" i="51"/>
  <c r="AH181" i="51"/>
  <c r="AO72" i="51"/>
  <c r="AR40" i="51"/>
  <c r="AR225" i="51"/>
  <c r="AE133" i="51"/>
  <c r="AN127" i="51"/>
  <c r="AK90" i="51"/>
  <c r="AK181" i="51"/>
  <c r="AT170" i="51"/>
  <c r="AB164" i="51"/>
  <c r="AK46" i="51"/>
  <c r="AU173" i="51"/>
  <c r="AU168" i="51"/>
  <c r="AR101" i="51"/>
  <c r="AR88" i="51"/>
  <c r="AK127" i="51"/>
  <c r="AQ130" i="51"/>
  <c r="AB210" i="51"/>
  <c r="AN124" i="51"/>
  <c r="AM43" i="51"/>
  <c r="AQ218" i="51"/>
  <c r="AN46" i="51"/>
  <c r="AS183" i="51"/>
  <c r="AV183" i="51" s="1"/>
  <c r="AT37" i="51"/>
  <c r="AQ181" i="51"/>
  <c r="AT148" i="51"/>
  <c r="AS144" i="51"/>
  <c r="AV144" i="51" s="1"/>
  <c r="AQ102" i="51"/>
  <c r="AH136" i="51"/>
  <c r="AP188" i="51"/>
  <c r="AN146" i="51"/>
  <c r="AQ192" i="51"/>
  <c r="AM51" i="51"/>
  <c r="AM188" i="51"/>
  <c r="AP178" i="51"/>
  <c r="AT181" i="51"/>
  <c r="AP144" i="51"/>
  <c r="AT46" i="51"/>
  <c r="AJ188" i="51"/>
  <c r="AT188" i="51" s="1"/>
  <c r="AO219" i="51"/>
  <c r="AS51" i="51"/>
  <c r="AV51" i="51" s="1"/>
  <c r="AR207" i="51"/>
  <c r="AO221" i="51"/>
  <c r="AR199" i="51"/>
  <c r="AU189" i="51"/>
  <c r="AS188" i="51"/>
  <c r="AV188" i="51" s="1"/>
  <c r="AO141" i="51"/>
  <c r="AO137" i="51"/>
  <c r="AN133" i="51"/>
  <c r="AM93" i="51"/>
  <c r="AQ51" i="51"/>
  <c r="AP51" i="51"/>
  <c r="AO126" i="51"/>
  <c r="AO89" i="51"/>
  <c r="AE83" i="51"/>
  <c r="AK155" i="51"/>
  <c r="AK157" i="51" s="1"/>
  <c r="AT192" i="51"/>
  <c r="AE218" i="51"/>
  <c r="AQ146" i="51"/>
  <c r="AB106" i="51"/>
  <c r="AE188" i="51"/>
  <c r="AB181" i="51"/>
  <c r="AT218" i="51"/>
  <c r="AU243" i="51"/>
  <c r="AN218" i="51"/>
  <c r="AR202" i="51"/>
  <c r="AM181" i="51"/>
  <c r="AO159" i="51"/>
  <c r="AR145" i="51"/>
  <c r="R160" i="51"/>
  <c r="AP93" i="51"/>
  <c r="AE51" i="51"/>
  <c r="AH155" i="51"/>
  <c r="AH157" i="51" s="1"/>
  <c r="AR16" i="51"/>
  <c r="AK192" i="51"/>
  <c r="AM190" i="51"/>
  <c r="AE57" i="51"/>
  <c r="AK57" i="51"/>
  <c r="AN136" i="51"/>
  <c r="AN130" i="51"/>
  <c r="AT93" i="51"/>
  <c r="AR197" i="51"/>
  <c r="AT139" i="51"/>
  <c r="AT190" i="51"/>
  <c r="AH62" i="51"/>
  <c r="AS83" i="51"/>
  <c r="AV83" i="51" s="1"/>
  <c r="AM139" i="51"/>
  <c r="Z75" i="51"/>
  <c r="AQ133" i="51"/>
  <c r="AS210" i="51"/>
  <c r="AV210" i="51" s="1"/>
  <c r="AN178" i="51"/>
  <c r="AH139" i="51"/>
  <c r="AP183" i="51"/>
  <c r="AN64" i="51"/>
  <c r="AS224" i="51"/>
  <c r="AV224" i="51" s="1"/>
  <c r="AQ170" i="51"/>
  <c r="AS164" i="51"/>
  <c r="AV164" i="51" s="1"/>
  <c r="AQ148" i="51"/>
  <c r="AQ93" i="51"/>
  <c r="AT3" i="51"/>
  <c r="AM144" i="51"/>
  <c r="AQ57" i="51"/>
  <c r="AE164" i="51"/>
  <c r="AO88" i="51"/>
  <c r="AO197" i="51"/>
  <c r="AS62" i="51"/>
  <c r="AV62" i="51" s="1"/>
  <c r="AB62" i="51"/>
  <c r="AR221" i="51"/>
  <c r="AO169" i="51"/>
  <c r="AO151" i="51"/>
  <c r="AO147" i="51"/>
  <c r="AS130" i="51"/>
  <c r="AV130" i="51" s="1"/>
  <c r="AR97" i="51"/>
  <c r="AO86" i="51"/>
  <c r="AU100" i="51"/>
  <c r="AR87" i="51"/>
  <c r="AT57" i="51"/>
  <c r="AN3" i="51"/>
  <c r="AO135" i="51"/>
  <c r="AO131" i="51"/>
  <c r="AH133" i="51"/>
  <c r="AH102" i="51"/>
  <c r="AN83" i="51"/>
  <c r="AP106" i="51"/>
  <c r="AM76" i="51"/>
  <c r="AH83" i="51"/>
  <c r="AO195" i="51"/>
  <c r="AK164" i="51"/>
  <c r="AO125" i="51"/>
  <c r="AP136" i="51"/>
  <c r="AW5" i="51"/>
  <c r="AO184" i="51"/>
  <c r="AQ139" i="51"/>
  <c r="AO180" i="51"/>
  <c r="AQ155" i="51"/>
  <c r="AR72" i="51"/>
  <c r="AM36" i="51"/>
  <c r="AO36" i="51" s="1"/>
  <c r="AO207" i="51"/>
  <c r="AE136" i="51"/>
  <c r="AO243" i="51"/>
  <c r="AS191" i="51"/>
  <c r="AV191" i="51" s="1"/>
  <c r="AB178" i="51"/>
  <c r="AA244" i="51"/>
  <c r="AT155" i="51"/>
  <c r="AN155" i="51"/>
  <c r="AR149" i="51"/>
  <c r="AE155" i="51"/>
  <c r="AE157" i="51" s="1"/>
  <c r="AT146" i="51"/>
  <c r="AO103" i="51"/>
  <c r="AE106" i="51"/>
  <c r="AM49" i="51"/>
  <c r="AN57" i="51"/>
  <c r="AS52" i="51"/>
  <c r="AV52" i="51" s="1"/>
  <c r="AP49" i="51"/>
  <c r="AN51" i="51"/>
  <c r="AT136" i="51"/>
  <c r="AO191" i="51"/>
  <c r="AR174" i="51"/>
  <c r="AH130" i="51"/>
  <c r="AH183" i="51"/>
  <c r="AO149" i="51"/>
  <c r="AH170" i="51"/>
  <c r="AE144" i="51"/>
  <c r="S5" i="51"/>
  <c r="AU222" i="51"/>
  <c r="AV222" i="51"/>
  <c r="AK210" i="51"/>
  <c r="AP46" i="51"/>
  <c r="AE17" i="51"/>
  <c r="AB148" i="51"/>
  <c r="AS102" i="51"/>
  <c r="AR99" i="51"/>
  <c r="AO87" i="51"/>
  <c r="AO91" i="51"/>
  <c r="AR92" i="51"/>
  <c r="AR126" i="51"/>
  <c r="AQ136" i="51"/>
  <c r="AR128" i="51"/>
  <c r="AB136" i="51"/>
  <c r="AU38" i="51"/>
  <c r="AH28" i="51"/>
  <c r="BG5" i="51"/>
  <c r="AR70" i="51"/>
  <c r="BR5" i="51"/>
  <c r="AC75" i="51"/>
  <c r="AU151" i="51"/>
  <c r="AM148" i="51"/>
  <c r="AK130" i="51"/>
  <c r="AR196" i="51"/>
  <c r="AP90" i="51"/>
  <c r="AO174" i="51"/>
  <c r="AS90" i="51"/>
  <c r="AV90" i="51" s="1"/>
  <c r="AF244" i="51"/>
  <c r="AU225" i="51"/>
  <c r="AV225" i="51"/>
  <c r="AE37" i="51"/>
  <c r="AE93" i="51"/>
  <c r="AP170" i="51"/>
  <c r="AR187" i="51"/>
  <c r="AT178" i="51"/>
  <c r="AQ62" i="51"/>
  <c r="AH3" i="51"/>
  <c r="AP190" i="51"/>
  <c r="AO242" i="51"/>
  <c r="AQ144" i="51"/>
  <c r="AP155" i="51"/>
  <c r="AM146" i="51"/>
  <c r="AH17" i="51"/>
  <c r="AH127" i="51"/>
  <c r="AH112" i="51"/>
  <c r="AN76" i="51"/>
  <c r="AT43" i="51"/>
  <c r="AM28" i="51"/>
  <c r="AB37" i="51"/>
  <c r="AP37" i="51"/>
  <c r="AM37" i="51"/>
  <c r="AB28" i="51"/>
  <c r="AR69" i="51"/>
  <c r="AS28" i="51"/>
  <c r="AV28" i="51" s="1"/>
  <c r="AR21" i="51"/>
  <c r="AO82" i="51"/>
  <c r="AH37" i="51"/>
  <c r="AP28" i="51"/>
  <c r="AH43" i="51"/>
  <c r="BA5" i="51"/>
  <c r="AQ17" i="51"/>
  <c r="AU91" i="51"/>
  <c r="AQ90" i="51"/>
  <c r="AO44" i="51"/>
  <c r="AN90" i="51"/>
  <c r="AO32" i="51"/>
  <c r="AO34" i="51"/>
  <c r="AE55" i="51"/>
  <c r="AO74" i="51"/>
  <c r="AR71" i="51"/>
  <c r="AK112" i="51"/>
  <c r="AY5" i="51"/>
  <c r="AN190" i="51"/>
  <c r="AN43" i="51"/>
  <c r="AJ111" i="51"/>
  <c r="AS139" i="51"/>
  <c r="AV139" i="51" s="1"/>
  <c r="AT64" i="51"/>
  <c r="AB43" i="51"/>
  <c r="AS3" i="51"/>
  <c r="AU3" i="51" s="1"/>
  <c r="AU174" i="51"/>
  <c r="AB112" i="51"/>
  <c r="Z244" i="51"/>
  <c r="AB57" i="51"/>
  <c r="AM57" i="51"/>
  <c r="AK170" i="51"/>
  <c r="AS170" i="51"/>
  <c r="AT210" i="51"/>
  <c r="AP191" i="51"/>
  <c r="AR191" i="51" s="1"/>
  <c r="AO198" i="51"/>
  <c r="AU196" i="51"/>
  <c r="AS178" i="51"/>
  <c r="AV178" i="51" s="1"/>
  <c r="AG244" i="51"/>
  <c r="AQ178" i="51"/>
  <c r="AO173" i="51"/>
  <c r="AO168" i="51"/>
  <c r="AH178" i="51"/>
  <c r="AM155" i="51"/>
  <c r="AK183" i="51"/>
  <c r="AR113" i="51"/>
  <c r="AS133" i="51"/>
  <c r="AO96" i="51"/>
  <c r="AN139" i="51"/>
  <c r="AR84" i="51"/>
  <c r="AP146" i="51"/>
  <c r="AS106" i="51"/>
  <c r="AV106" i="51" s="1"/>
  <c r="AU96" i="51"/>
  <c r="AB90" i="51"/>
  <c r="BQ5" i="51"/>
  <c r="AQ76" i="51"/>
  <c r="AR54" i="51"/>
  <c r="AP62" i="51"/>
  <c r="AT49" i="51"/>
  <c r="AQ43" i="51"/>
  <c r="AB3" i="51"/>
  <c r="AM58" i="51"/>
  <c r="AO58" i="51" s="1"/>
  <c r="AS36" i="51"/>
  <c r="AV36" i="51" s="1"/>
  <c r="AP3" i="51"/>
  <c r="AR3" i="51" s="1"/>
  <c r="AB124" i="51"/>
  <c r="AE76" i="51"/>
  <c r="AN210" i="51"/>
  <c r="AE139" i="51"/>
  <c r="AR179" i="51"/>
  <c r="AO176" i="51"/>
  <c r="AO59" i="51"/>
  <c r="AQ164" i="51"/>
  <c r="AP130" i="51"/>
  <c r="AP43" i="51"/>
  <c r="BH5" i="51"/>
  <c r="AA111" i="51"/>
  <c r="AU67" i="51"/>
  <c r="AF57" i="51"/>
  <c r="AH57" i="51" s="1"/>
  <c r="AO67" i="51"/>
  <c r="AQ210" i="51"/>
  <c r="AO167" i="51"/>
  <c r="AR173" i="51"/>
  <c r="AE178" i="51"/>
  <c r="AR125" i="51"/>
  <c r="AR138" i="51"/>
  <c r="AS148" i="51"/>
  <c r="AO98" i="51"/>
  <c r="AO101" i="51"/>
  <c r="AQ64" i="51"/>
  <c r="AR44" i="51"/>
  <c r="AM62" i="51"/>
  <c r="AQ49" i="51"/>
  <c r="AB58" i="51"/>
  <c r="AM3" i="51"/>
  <c r="AN164" i="51"/>
  <c r="AO52" i="51"/>
  <c r="AO53" i="51"/>
  <c r="BJ5" i="51"/>
  <c r="AR194" i="51"/>
  <c r="AP148" i="51"/>
  <c r="AT127" i="51"/>
  <c r="AM112" i="51"/>
  <c r="AO92" i="51"/>
  <c r="AT76" i="51"/>
  <c r="AB49" i="51"/>
  <c r="AR68" i="51"/>
  <c r="AP36" i="51"/>
  <c r="AR36" i="51" s="1"/>
  <c r="AO108" i="51"/>
  <c r="AK139" i="51"/>
  <c r="AH188" i="51"/>
  <c r="AO84" i="51"/>
  <c r="BF5" i="51"/>
  <c r="BL5" i="51"/>
  <c r="AI75" i="51"/>
  <c r="AX5" i="51"/>
  <c r="AF75" i="51"/>
  <c r="AH76" i="51"/>
  <c r="AU197" i="51"/>
  <c r="AO172" i="51"/>
  <c r="AO165" i="51"/>
  <c r="AU128" i="51"/>
  <c r="AR140" i="51"/>
  <c r="AO123" i="51"/>
  <c r="AT51" i="51"/>
  <c r="AS146" i="51"/>
  <c r="AV146" i="51" s="1"/>
  <c r="AB83" i="51"/>
  <c r="AU159" i="51"/>
  <c r="AS190" i="51"/>
  <c r="AV190" i="51" s="1"/>
  <c r="AQ183" i="51"/>
  <c r="AP112" i="51"/>
  <c r="AN55" i="51"/>
  <c r="AM192" i="51"/>
  <c r="AR39" i="51"/>
  <c r="AO21" i="51"/>
  <c r="AO31" i="51"/>
  <c r="AQ28" i="51"/>
  <c r="AR19" i="51"/>
  <c r="AR31" i="51"/>
  <c r="AU19" i="51"/>
  <c r="AK51" i="51"/>
  <c r="AE43" i="51"/>
  <c r="AU30" i="51"/>
  <c r="AR20" i="51"/>
  <c r="AR33" i="51"/>
  <c r="AR41" i="51"/>
  <c r="AR32" i="51"/>
  <c r="AU44" i="51"/>
  <c r="AO42" i="51"/>
  <c r="AU35" i="51"/>
  <c r="AM46" i="51"/>
  <c r="AO30" i="51"/>
  <c r="AO19" i="51"/>
  <c r="AO33" i="51"/>
  <c r="AU16" i="51"/>
  <c r="AE112" i="51"/>
  <c r="AO113" i="51"/>
  <c r="AN112" i="51"/>
  <c r="AS112" i="51"/>
  <c r="AV112" i="51" s="1"/>
  <c r="AK43" i="51"/>
  <c r="AS43" i="51"/>
  <c r="AV43" i="51" s="1"/>
  <c r="AF64" i="51"/>
  <c r="AH64" i="51" s="1"/>
  <c r="AQ190" i="51"/>
  <c r="AU184" i="51"/>
  <c r="AR166" i="51"/>
  <c r="AP181" i="51"/>
  <c r="AD244" i="51"/>
  <c r="AQ175" i="51"/>
  <c r="AB144" i="51"/>
  <c r="AN183" i="51"/>
  <c r="AR137" i="51"/>
  <c r="AH124" i="51"/>
  <c r="AB130" i="51"/>
  <c r="AO95" i="51"/>
  <c r="AO100" i="51"/>
  <c r="AH106" i="51"/>
  <c r="AR96" i="51"/>
  <c r="AT144" i="51"/>
  <c r="AR107" i="51"/>
  <c r="AR104" i="51"/>
  <c r="AV67" i="51"/>
  <c r="AR42" i="51"/>
  <c r="AP83" i="51"/>
  <c r="AO54" i="51"/>
  <c r="AO40" i="51"/>
  <c r="AR38" i="51"/>
  <c r="AT55" i="51"/>
  <c r="AR27" i="51"/>
  <c r="AB46" i="51"/>
  <c r="AP63" i="51"/>
  <c r="AR63" i="51" s="1"/>
  <c r="AQ124" i="51"/>
  <c r="AS155" i="51"/>
  <c r="AV155" i="51" s="1"/>
  <c r="AK190" i="51"/>
  <c r="AE192" i="51"/>
  <c r="BM5" i="51"/>
  <c r="BO5" i="51"/>
  <c r="AG111" i="51"/>
  <c r="AE190" i="51"/>
  <c r="BB5" i="51"/>
  <c r="AH146" i="51"/>
  <c r="AZ5" i="51"/>
  <c r="BT5" i="51"/>
  <c r="AO222" i="51"/>
  <c r="AO196" i="51"/>
  <c r="AP192" i="51"/>
  <c r="AR195" i="51"/>
  <c r="AU200" i="51"/>
  <c r="AO187" i="51"/>
  <c r="AC244" i="51"/>
  <c r="AN175" i="51"/>
  <c r="AT183" i="51"/>
  <c r="AR123" i="51"/>
  <c r="AT130" i="51"/>
  <c r="Z111" i="51"/>
  <c r="AR100" i="51"/>
  <c r="AR94" i="51"/>
  <c r="AR82" i="51"/>
  <c r="AN144" i="51"/>
  <c r="AM83" i="51"/>
  <c r="AT90" i="51"/>
  <c r="AQ55" i="51"/>
  <c r="AS46" i="51"/>
  <c r="AM63" i="51"/>
  <c r="AO63" i="51" s="1"/>
  <c r="O17" i="51"/>
  <c r="O150" i="51" s="1"/>
  <c r="AS181" i="51"/>
  <c r="BI5" i="51"/>
  <c r="BN5" i="51"/>
  <c r="AT62" i="51"/>
  <c r="AR203" i="51"/>
  <c r="AS192" i="51"/>
  <c r="AV176" i="51"/>
  <c r="AT175" i="51"/>
  <c r="AP133" i="51"/>
  <c r="AM133" i="51"/>
  <c r="AA75" i="51"/>
  <c r="AO50" i="51"/>
  <c r="AO41" i="51"/>
  <c r="AU27" i="51"/>
  <c r="AD111" i="51"/>
  <c r="AO171" i="51"/>
  <c r="AR18" i="51"/>
  <c r="AO4" i="51"/>
  <c r="AN17" i="51"/>
  <c r="AP127" i="51"/>
  <c r="AM127" i="51"/>
  <c r="AS127" i="51"/>
  <c r="AF111" i="51"/>
  <c r="AQ127" i="51"/>
  <c r="AO27" i="51"/>
  <c r="AU132" i="51"/>
  <c r="AO47" i="51"/>
  <c r="AO105" i="51"/>
  <c r="AQ83" i="51"/>
  <c r="AO29" i="51"/>
  <c r="AO60" i="51"/>
  <c r="AS136" i="51"/>
  <c r="AV136" i="51" s="1"/>
  <c r="AV203" i="51"/>
  <c r="AR242" i="51"/>
  <c r="AO203" i="51"/>
  <c r="AR182" i="51"/>
  <c r="AR129" i="51"/>
  <c r="AT112" i="51"/>
  <c r="AU110" i="51"/>
  <c r="AU70" i="51"/>
  <c r="AR61" i="51"/>
  <c r="AR30" i="51"/>
  <c r="AO20" i="51"/>
  <c r="AO208" i="51"/>
  <c r="AO194" i="51"/>
  <c r="AR163" i="51"/>
  <c r="AO177" i="51"/>
  <c r="AR169" i="51"/>
  <c r="AO143" i="51"/>
  <c r="AR134" i="51"/>
  <c r="AU137" i="51"/>
  <c r="AO109" i="51"/>
  <c r="AQ112" i="51"/>
  <c r="AR110" i="51"/>
  <c r="AR109" i="51"/>
  <c r="AO97" i="51"/>
  <c r="AP76" i="51"/>
  <c r="AS76" i="51"/>
  <c r="AV76" i="51" s="1"/>
  <c r="AU45" i="51"/>
  <c r="AO39" i="51"/>
  <c r="AR35" i="51"/>
  <c r="AT83" i="51"/>
  <c r="AR142" i="51"/>
  <c r="AU167" i="51"/>
  <c r="AO142" i="51"/>
  <c r="AU131" i="51"/>
  <c r="AO129" i="51"/>
  <c r="AU126" i="51"/>
  <c r="AO110" i="51"/>
  <c r="AR95" i="51"/>
  <c r="AO45" i="51"/>
  <c r="AU54" i="51"/>
  <c r="AR45" i="51"/>
  <c r="AO18" i="51"/>
  <c r="AV199" i="51"/>
  <c r="AR189" i="51"/>
  <c r="AR91" i="51"/>
  <c r="AP65" i="51"/>
  <c r="AR65" i="51" s="1"/>
  <c r="AO226" i="51"/>
  <c r="AR29" i="51"/>
  <c r="AR171" i="51"/>
  <c r="AT17" i="51"/>
  <c r="AR52" i="51"/>
  <c r="AU226" i="51"/>
  <c r="AR193" i="51"/>
  <c r="AR172" i="51"/>
  <c r="AR59" i="51"/>
  <c r="AO35" i="51"/>
  <c r="AU135" i="51"/>
  <c r="AR89" i="51"/>
  <c r="AP102" i="51"/>
  <c r="AR98" i="51"/>
  <c r="AR86" i="51"/>
  <c r="AR132" i="51"/>
  <c r="AP124" i="51"/>
  <c r="AK175" i="51"/>
  <c r="AS175" i="51"/>
  <c r="AV175" i="51" s="1"/>
  <c r="AV219" i="51"/>
  <c r="AU219" i="51"/>
  <c r="AV198" i="51"/>
  <c r="AU198" i="51"/>
  <c r="AU223" i="51"/>
  <c r="AV223" i="51"/>
  <c r="AR219" i="51"/>
  <c r="AR200" i="51"/>
  <c r="AV180" i="51"/>
  <c r="AU180" i="51"/>
  <c r="AU163" i="51"/>
  <c r="AV166" i="51"/>
  <c r="AU166" i="51"/>
  <c r="AO163" i="51"/>
  <c r="AV140" i="51"/>
  <c r="AU140" i="51"/>
  <c r="AV138" i="51"/>
  <c r="AU138" i="51"/>
  <c r="AU129" i="51"/>
  <c r="AV129" i="51"/>
  <c r="AV123" i="51"/>
  <c r="AU123" i="51"/>
  <c r="AO107" i="51"/>
  <c r="AN106" i="51"/>
  <c r="AU98" i="51"/>
  <c r="AV98" i="51"/>
  <c r="AS124" i="51"/>
  <c r="AU104" i="51"/>
  <c r="AV104" i="51"/>
  <c r="AV92" i="51"/>
  <c r="AU92" i="51"/>
  <c r="AU84" i="51"/>
  <c r="AV84" i="51"/>
  <c r="AV85" i="51"/>
  <c r="AU85" i="51"/>
  <c r="AO69" i="51"/>
  <c r="AG75" i="51"/>
  <c r="AS73" i="51"/>
  <c r="AB73" i="51"/>
  <c r="AM73" i="51"/>
  <c r="AO73" i="51" s="1"/>
  <c r="AP73" i="51"/>
  <c r="AR73" i="51" s="1"/>
  <c r="AV68" i="51"/>
  <c r="AU68" i="51"/>
  <c r="AF55" i="51"/>
  <c r="BK5" i="51"/>
  <c r="AM56" i="51"/>
  <c r="AO56" i="51" s="1"/>
  <c r="AU41" i="51"/>
  <c r="AV41" i="51"/>
  <c r="AV70" i="51"/>
  <c r="AV58" i="51"/>
  <c r="AU58" i="51"/>
  <c r="AR34" i="51"/>
  <c r="AU29" i="51"/>
  <c r="AV29" i="51"/>
  <c r="AO16" i="51"/>
  <c r="AR238" i="51"/>
  <c r="AV208" i="51"/>
  <c r="AU208" i="51"/>
  <c r="O183" i="51"/>
  <c r="V55" i="51"/>
  <c r="AO182" i="51"/>
  <c r="AR165" i="51"/>
  <c r="AV171" i="51"/>
  <c r="AU171" i="51"/>
  <c r="AV163" i="51"/>
  <c r="AV156" i="51"/>
  <c r="AU156" i="51"/>
  <c r="AU142" i="51"/>
  <c r="AV142" i="51"/>
  <c r="AC111" i="51"/>
  <c r="BC5" i="51"/>
  <c r="AU141" i="51"/>
  <c r="AV141" i="51"/>
  <c r="AU113" i="51"/>
  <c r="AV113" i="51"/>
  <c r="AR131" i="51"/>
  <c r="AV109" i="51"/>
  <c r="AU109" i="51"/>
  <c r="AV87" i="51"/>
  <c r="AU87" i="51"/>
  <c r="AU82" i="51"/>
  <c r="AV82" i="51"/>
  <c r="AV99" i="51"/>
  <c r="AU99" i="51"/>
  <c r="AV97" i="51"/>
  <c r="AU97" i="51"/>
  <c r="AD75" i="51"/>
  <c r="BD5" i="51"/>
  <c r="AU40" i="51"/>
  <c r="AV40" i="51"/>
  <c r="AI64" i="51"/>
  <c r="AK64" i="51" s="1"/>
  <c r="AV61" i="51"/>
  <c r="AU61" i="51"/>
  <c r="AV59" i="51"/>
  <c r="AU59" i="51"/>
  <c r="AV48" i="51"/>
  <c r="AU48" i="51"/>
  <c r="AS56" i="51"/>
  <c r="AO12" i="51"/>
  <c r="AU32" i="51"/>
  <c r="AV32" i="51"/>
  <c r="AU12" i="51"/>
  <c r="AV12" i="51"/>
  <c r="AV202" i="51"/>
  <c r="AU202" i="51"/>
  <c r="AU207" i="51"/>
  <c r="AV207" i="51"/>
  <c r="AR226" i="51"/>
  <c r="AR220" i="51"/>
  <c r="AR208" i="51"/>
  <c r="AR243" i="51"/>
  <c r="AV238" i="51"/>
  <c r="AU238" i="51"/>
  <c r="AV193" i="51"/>
  <c r="AU193" i="51"/>
  <c r="AR184" i="51"/>
  <c r="AU187" i="51"/>
  <c r="O175" i="51"/>
  <c r="AV182" i="51"/>
  <c r="AU182" i="51"/>
  <c r="AV165" i="51"/>
  <c r="AU165" i="51"/>
  <c r="AO156" i="51"/>
  <c r="AT157" i="51"/>
  <c r="AQ157" i="51"/>
  <c r="AN157" i="51"/>
  <c r="AU147" i="51"/>
  <c r="AV147" i="51"/>
  <c r="AV145" i="51"/>
  <c r="AU145" i="51"/>
  <c r="AR141" i="51"/>
  <c r="AR135" i="51"/>
  <c r="AO128" i="51"/>
  <c r="AV125" i="51"/>
  <c r="AU125" i="51"/>
  <c r="AT106" i="51"/>
  <c r="AQ106" i="51"/>
  <c r="AU88" i="51"/>
  <c r="AV88" i="51"/>
  <c r="AR108" i="51"/>
  <c r="AR105" i="51"/>
  <c r="AR103" i="51"/>
  <c r="AU74" i="51"/>
  <c r="AV74" i="51"/>
  <c r="AO70" i="51"/>
  <c r="AO68" i="51"/>
  <c r="AM65" i="51"/>
  <c r="AO65" i="51" s="1"/>
  <c r="AU72" i="51"/>
  <c r="AV72" i="51"/>
  <c r="AR60" i="51"/>
  <c r="AR53" i="51"/>
  <c r="AR48" i="51"/>
  <c r="AU39" i="51"/>
  <c r="AV39" i="51"/>
  <c r="AR67" i="51"/>
  <c r="AC64" i="51"/>
  <c r="AP56" i="51"/>
  <c r="AR56" i="51" s="1"/>
  <c r="AV53" i="51"/>
  <c r="AU53" i="51"/>
  <c r="AO38" i="51"/>
  <c r="AM55" i="51"/>
  <c r="AB55" i="51"/>
  <c r="AU21" i="51"/>
  <c r="AV18" i="51"/>
  <c r="AU18" i="51"/>
  <c r="AV34" i="51"/>
  <c r="AU34" i="51"/>
  <c r="AT28" i="51"/>
  <c r="AV27" i="51"/>
  <c r="AU4" i="51"/>
  <c r="L5" i="51"/>
  <c r="AN28" i="51"/>
  <c r="AV19" i="51"/>
  <c r="AU221" i="51"/>
  <c r="AV221" i="51"/>
  <c r="AO202" i="51"/>
  <c r="AV195" i="51"/>
  <c r="AU195" i="51"/>
  <c r="AV179" i="51"/>
  <c r="AU179" i="51"/>
  <c r="AV172" i="51"/>
  <c r="AU172" i="51"/>
  <c r="AR151" i="51"/>
  <c r="AV149" i="51"/>
  <c r="AU149" i="51"/>
  <c r="AV134" i="51"/>
  <c r="AU134" i="51"/>
  <c r="AO132" i="51"/>
  <c r="AU94" i="51"/>
  <c r="AV94" i="51"/>
  <c r="AV107" i="51"/>
  <c r="AU107" i="51"/>
  <c r="AV105" i="51"/>
  <c r="AU105" i="51"/>
  <c r="AV103" i="51"/>
  <c r="AU103" i="51"/>
  <c r="AR85" i="51"/>
  <c r="AO104" i="51"/>
  <c r="AV101" i="51"/>
  <c r="AU101" i="51"/>
  <c r="AV95" i="51"/>
  <c r="AU95" i="51"/>
  <c r="AV89" i="51"/>
  <c r="AU89" i="51"/>
  <c r="AJ75" i="51"/>
  <c r="BP5" i="51"/>
  <c r="AV50" i="51"/>
  <c r="AU50" i="51"/>
  <c r="AR47" i="51"/>
  <c r="AU42" i="51"/>
  <c r="AV42" i="51"/>
  <c r="AV69" i="51"/>
  <c r="AV66" i="51"/>
  <c r="AU66" i="51"/>
  <c r="AV60" i="51"/>
  <c r="AU60" i="51"/>
  <c r="AI37" i="51"/>
  <c r="BS5" i="51"/>
  <c r="AM14" i="51"/>
  <c r="AO14" i="51" s="1"/>
  <c r="AP14" i="51"/>
  <c r="AS14" i="51"/>
  <c r="AB14" i="51"/>
  <c r="AS65" i="51"/>
  <c r="AV33" i="51"/>
  <c r="AU33" i="51"/>
  <c r="AM17" i="51"/>
  <c r="AP17" i="51"/>
  <c r="AS17" i="51"/>
  <c r="AB17" i="51"/>
  <c r="AU20" i="51"/>
  <c r="AR12" i="51"/>
  <c r="BQ189" i="45"/>
  <c r="AO178" i="51" l="1"/>
  <c r="AO188" i="51"/>
  <c r="AQ244" i="51"/>
  <c r="AT244" i="51"/>
  <c r="AM244" i="51"/>
  <c r="AN244" i="51"/>
  <c r="O244" i="51"/>
  <c r="AP244" i="51"/>
  <c r="AS244" i="51"/>
  <c r="AO3" i="51"/>
  <c r="AK111" i="51"/>
  <c r="AO170" i="51"/>
  <c r="AO102" i="51"/>
  <c r="AM75" i="51"/>
  <c r="AV47" i="51"/>
  <c r="AR106" i="51"/>
  <c r="AU49" i="51"/>
  <c r="AR181" i="51"/>
  <c r="AR130" i="51"/>
  <c r="AU144" i="51"/>
  <c r="AI244" i="51"/>
  <c r="AR218" i="51"/>
  <c r="AU220" i="51"/>
  <c r="AR175" i="51"/>
  <c r="AO49" i="51"/>
  <c r="AU148" i="51"/>
  <c r="AO181" i="51"/>
  <c r="AJ244" i="51"/>
  <c r="AR155" i="51"/>
  <c r="AO146" i="51"/>
  <c r="AK188" i="51"/>
  <c r="AU183" i="51"/>
  <c r="AO106" i="51"/>
  <c r="AO164" i="51"/>
  <c r="AO224" i="51"/>
  <c r="AO144" i="51"/>
  <c r="AO175" i="51"/>
  <c r="AO93" i="51"/>
  <c r="AU102" i="51"/>
  <c r="AR210" i="51"/>
  <c r="AU191" i="51"/>
  <c r="AO62" i="51"/>
  <c r="AU133" i="51"/>
  <c r="AO57" i="51"/>
  <c r="AR62" i="51"/>
  <c r="AR51" i="51"/>
  <c r="AO218" i="51"/>
  <c r="AO192" i="51"/>
  <c r="AR139" i="51"/>
  <c r="AS157" i="51"/>
  <c r="AV157" i="51" s="1"/>
  <c r="AO210" i="51"/>
  <c r="AV133" i="51"/>
  <c r="AO183" i="51"/>
  <c r="AR76" i="51"/>
  <c r="AM157" i="51"/>
  <c r="AO157" i="51" s="1"/>
  <c r="AO83" i="51"/>
  <c r="AV102" i="51"/>
  <c r="AU178" i="51"/>
  <c r="AU188" i="51"/>
  <c r="AU93" i="51"/>
  <c r="AU170" i="51"/>
  <c r="AR164" i="51"/>
  <c r="AO124" i="51"/>
  <c r="AR224" i="51"/>
  <c r="AR43" i="51"/>
  <c r="O158" i="51"/>
  <c r="AR178" i="51"/>
  <c r="AR170" i="51"/>
  <c r="AH244" i="51"/>
  <c r="AR49" i="51"/>
  <c r="AR183" i="51"/>
  <c r="AR133" i="51"/>
  <c r="AR102" i="51"/>
  <c r="AO90" i="51"/>
  <c r="AV63" i="51"/>
  <c r="AU62" i="51"/>
  <c r="AO28" i="51"/>
  <c r="Q152" i="51"/>
  <c r="AU164" i="51"/>
  <c r="AU130" i="51"/>
  <c r="AO130" i="51"/>
  <c r="AR144" i="51"/>
  <c r="AR83" i="51"/>
  <c r="AO127" i="51"/>
  <c r="AO133" i="51"/>
  <c r="AU90" i="51"/>
  <c r="AU51" i="51"/>
  <c r="AR37" i="51"/>
  <c r="AO51" i="51"/>
  <c r="AU146" i="51"/>
  <c r="AR136" i="51"/>
  <c r="AR188" i="51"/>
  <c r="AB244" i="51"/>
  <c r="AU106" i="51"/>
  <c r="AU127" i="51"/>
  <c r="AN111" i="51"/>
  <c r="AA150" i="51"/>
  <c r="AA158" i="51" s="1"/>
  <c r="AO17" i="51"/>
  <c r="Z150" i="51"/>
  <c r="Z154" i="51" s="1"/>
  <c r="AR190" i="51"/>
  <c r="AO46" i="51"/>
  <c r="AO190" i="51"/>
  <c r="AR46" i="51"/>
  <c r="AV170" i="51"/>
  <c r="AO139" i="51"/>
  <c r="AU224" i="51"/>
  <c r="AU139" i="51"/>
  <c r="AO37" i="51"/>
  <c r="AO136" i="51"/>
  <c r="AR93" i="51"/>
  <c r="AU218" i="51"/>
  <c r="AV218" i="51"/>
  <c r="AO155" i="51"/>
  <c r="AR146" i="51"/>
  <c r="AO43" i="51"/>
  <c r="AK218" i="51"/>
  <c r="AH111" i="51"/>
  <c r="AR90" i="51"/>
  <c r="AU52" i="51"/>
  <c r="AU210" i="51"/>
  <c r="AO76" i="51"/>
  <c r="AR124" i="51"/>
  <c r="AO55" i="51"/>
  <c r="AB111" i="51"/>
  <c r="AU83" i="51"/>
  <c r="AR28" i="51"/>
  <c r="AE111" i="51"/>
  <c r="AG150" i="51"/>
  <c r="AG158" i="51" s="1"/>
  <c r="AG245" i="51" s="1"/>
  <c r="AE244" i="51"/>
  <c r="AO112" i="51"/>
  <c r="AP75" i="51"/>
  <c r="AV148" i="51"/>
  <c r="AR148" i="51"/>
  <c r="AO148" i="51"/>
  <c r="AR17" i="51"/>
  <c r="AC150" i="51"/>
  <c r="AV192" i="51"/>
  <c r="AR192" i="51"/>
  <c r="AU43" i="51"/>
  <c r="AU190" i="51"/>
  <c r="AB75" i="51"/>
  <c r="AU112" i="51"/>
  <c r="AR112" i="51"/>
  <c r="AV127" i="51"/>
  <c r="AF150" i="51"/>
  <c r="S158" i="51"/>
  <c r="S152" i="51"/>
  <c r="AI150" i="51"/>
  <c r="AS55" i="51"/>
  <c r="AV55" i="51" s="1"/>
  <c r="AU36" i="51"/>
  <c r="L158" i="51"/>
  <c r="L245" i="51" s="1"/>
  <c r="L249" i="51" s="1"/>
  <c r="AS57" i="51"/>
  <c r="AP55" i="51"/>
  <c r="AR55" i="51" s="1"/>
  <c r="AK75" i="51"/>
  <c r="AS75" i="51"/>
  <c r="AV75" i="51" s="1"/>
  <c r="AP57" i="51"/>
  <c r="AR57" i="51" s="1"/>
  <c r="AQ75" i="51"/>
  <c r="AU155" i="51"/>
  <c r="AD150" i="51"/>
  <c r="AD158" i="51" s="1"/>
  <c r="AD245" i="51" s="1"/>
  <c r="AJ150" i="51"/>
  <c r="AJ158" i="51" s="1"/>
  <c r="AU192" i="51"/>
  <c r="AS111" i="51"/>
  <c r="AV111" i="51" s="1"/>
  <c r="AR127" i="51"/>
  <c r="AQ111" i="51"/>
  <c r="O5" i="51"/>
  <c r="AU175" i="51"/>
  <c r="AT111" i="51"/>
  <c r="AU46" i="51"/>
  <c r="AV46" i="51"/>
  <c r="AU181" i="51"/>
  <c r="AV181" i="51"/>
  <c r="AU136" i="51"/>
  <c r="AU76" i="51"/>
  <c r="AP111" i="51"/>
  <c r="AM111" i="51"/>
  <c r="Q245" i="51"/>
  <c r="Q160" i="51"/>
  <c r="AH75" i="51"/>
  <c r="AU124" i="51"/>
  <c r="AV124" i="51"/>
  <c r="AE75" i="51"/>
  <c r="X55" i="51"/>
  <c r="V5" i="51"/>
  <c r="AU28" i="51"/>
  <c r="AH55" i="51"/>
  <c r="AU14" i="51"/>
  <c r="AV14" i="51"/>
  <c r="AK37" i="51"/>
  <c r="AS37" i="51"/>
  <c r="P245" i="51"/>
  <c r="P160" i="51"/>
  <c r="AE64" i="51"/>
  <c r="AM64" i="51"/>
  <c r="AO64" i="51" s="1"/>
  <c r="AS64" i="51"/>
  <c r="AP64" i="51"/>
  <c r="AR64" i="51" s="1"/>
  <c r="AU17" i="51"/>
  <c r="AV17" i="51"/>
  <c r="AR14" i="51"/>
  <c r="L247" i="51"/>
  <c r="AV56" i="51"/>
  <c r="AU56" i="51"/>
  <c r="AN75" i="51"/>
  <c r="AU65" i="51"/>
  <c r="AV65" i="51"/>
  <c r="AR157" i="51"/>
  <c r="AT75" i="51"/>
  <c r="AU73" i="51"/>
  <c r="AV73" i="51"/>
  <c r="L178" i="45"/>
  <c r="AK244" i="51" l="1"/>
  <c r="AV244" i="51"/>
  <c r="AO244" i="51"/>
  <c r="AR244" i="51"/>
  <c r="AU244" i="51"/>
  <c r="O247" i="51"/>
  <c r="O248" i="51"/>
  <c r="AJ245" i="51"/>
  <c r="AT150" i="51"/>
  <c r="AN150" i="51"/>
  <c r="AO111" i="51"/>
  <c r="AU157" i="51"/>
  <c r="AS150" i="51"/>
  <c r="AQ150" i="51"/>
  <c r="AM150" i="51"/>
  <c r="AP150" i="51"/>
  <c r="AB150" i="51"/>
  <c r="AB158" i="51" s="1"/>
  <c r="AB245" i="51" s="1"/>
  <c r="O152" i="51"/>
  <c r="Z158" i="51"/>
  <c r="Z245" i="51" s="1"/>
  <c r="AU55" i="51"/>
  <c r="L160" i="51"/>
  <c r="AP5" i="51"/>
  <c r="AU111" i="51"/>
  <c r="AU75" i="51"/>
  <c r="AE150" i="51"/>
  <c r="AE158" i="51" s="1"/>
  <c r="AE245" i="51" s="1"/>
  <c r="AQ5" i="51"/>
  <c r="AV57" i="51"/>
  <c r="AU57" i="51"/>
  <c r="AR75" i="51"/>
  <c r="S245" i="51"/>
  <c r="S160" i="51"/>
  <c r="AS5" i="51"/>
  <c r="AR111" i="51"/>
  <c r="AK150" i="51"/>
  <c r="AK158" i="51" s="1"/>
  <c r="AH150" i="51"/>
  <c r="AH158" i="51" s="1"/>
  <c r="AH245" i="51" s="1"/>
  <c r="O245" i="51"/>
  <c r="AT5" i="51"/>
  <c r="AV37" i="51"/>
  <c r="AU37" i="51"/>
  <c r="AC158" i="51"/>
  <c r="AC154" i="51"/>
  <c r="AF158" i="51"/>
  <c r="AF245" i="51" s="1"/>
  <c r="AF154" i="51"/>
  <c r="X183" i="51"/>
  <c r="X5" i="51" s="1"/>
  <c r="AM5" i="51"/>
  <c r="AA245" i="51"/>
  <c r="AQ158" i="51"/>
  <c r="AT158" i="51"/>
  <c r="AN158" i="51"/>
  <c r="AO75" i="51"/>
  <c r="AN5" i="51"/>
  <c r="AU64" i="51"/>
  <c r="AV64" i="51"/>
  <c r="AI154" i="51"/>
  <c r="AI158" i="51"/>
  <c r="AI245" i="51" s="1"/>
  <c r="L59" i="45"/>
  <c r="L61" i="45"/>
  <c r="BS59" i="45"/>
  <c r="BQ59" i="45"/>
  <c r="BO59" i="45"/>
  <c r="BM59" i="45"/>
  <c r="BK59" i="45"/>
  <c r="BI59" i="45"/>
  <c r="BG59" i="45"/>
  <c r="BE59" i="45"/>
  <c r="BC59" i="45"/>
  <c r="BA59" i="45"/>
  <c r="AK245" i="51" l="1"/>
  <c r="AO5" i="51"/>
  <c r="AU150" i="51"/>
  <c r="AR150" i="51"/>
  <c r="AV150" i="51"/>
  <c r="AO150" i="51"/>
  <c r="AR5" i="51"/>
  <c r="AV5" i="51"/>
  <c r="AQ245" i="51"/>
  <c r="AT245" i="51"/>
  <c r="AN245" i="51"/>
  <c r="X154" i="51"/>
  <c r="AC245" i="51"/>
  <c r="AP158" i="51"/>
  <c r="AR158" i="51" s="1"/>
  <c r="AS158" i="51"/>
  <c r="AM158" i="51"/>
  <c r="AO158" i="51" s="1"/>
  <c r="AU5" i="51"/>
  <c r="BK57" i="45"/>
  <c r="BI57" i="45"/>
  <c r="BG57" i="45"/>
  <c r="BE57" i="45"/>
  <c r="BC57" i="45"/>
  <c r="BA57" i="45"/>
  <c r="BK170" i="45"/>
  <c r="BM170" i="45"/>
  <c r="AU158" i="51" l="1"/>
  <c r="AV158" i="51"/>
  <c r="AM245" i="51"/>
  <c r="AO245" i="51" s="1"/>
  <c r="AP245" i="51"/>
  <c r="AR245" i="51" s="1"/>
  <c r="AS245" i="51"/>
  <c r="BS191" i="45"/>
  <c r="BR191" i="45"/>
  <c r="BQ191" i="45"/>
  <c r="BP191" i="45"/>
  <c r="BO191" i="45"/>
  <c r="BN191" i="45"/>
  <c r="BM191" i="45"/>
  <c r="BL191" i="45"/>
  <c r="BK191" i="45"/>
  <c r="BJ191" i="45"/>
  <c r="BI191" i="45"/>
  <c r="BH191" i="45"/>
  <c r="BG191" i="45"/>
  <c r="BF191" i="45"/>
  <c r="BE191" i="45"/>
  <c r="BD191" i="45"/>
  <c r="BC191" i="45"/>
  <c r="BB191" i="45"/>
  <c r="BA191" i="45"/>
  <c r="AZ191" i="45"/>
  <c r="AY191" i="45"/>
  <c r="AX191" i="45"/>
  <c r="AW191" i="45"/>
  <c r="S191" i="45"/>
  <c r="Q191" i="45"/>
  <c r="O191" i="45"/>
  <c r="AJ192" i="45"/>
  <c r="AI192" i="45"/>
  <c r="AG192" i="45"/>
  <c r="AF192" i="45"/>
  <c r="AD192" i="45"/>
  <c r="AC192" i="45"/>
  <c r="AA192" i="45"/>
  <c r="Z192" i="45"/>
  <c r="AJ193" i="45"/>
  <c r="AI193" i="45"/>
  <c r="AG193" i="45"/>
  <c r="AF193" i="45"/>
  <c r="AD193" i="45"/>
  <c r="AC193" i="45"/>
  <c r="AE193" i="45" s="1"/>
  <c r="AA193" i="45"/>
  <c r="Z193" i="45"/>
  <c r="AK192" i="45" l="1"/>
  <c r="AU245" i="51"/>
  <c r="AV245" i="51"/>
  <c r="AM193" i="45"/>
  <c r="AQ192" i="45"/>
  <c r="AQ193" i="45"/>
  <c r="AS192" i="45"/>
  <c r="AH192" i="45"/>
  <c r="AH193" i="45"/>
  <c r="AN192" i="45"/>
  <c r="AK193" i="45"/>
  <c r="AP192" i="45"/>
  <c r="AT192" i="45"/>
  <c r="AM192" i="45"/>
  <c r="AO192" i="45" s="1"/>
  <c r="AE192" i="45"/>
  <c r="AB192" i="45"/>
  <c r="AN193" i="45"/>
  <c r="AS193" i="45"/>
  <c r="AP193" i="45"/>
  <c r="AT193" i="45"/>
  <c r="AB193" i="45"/>
  <c r="T5" i="45"/>
  <c r="W5" i="45"/>
  <c r="AY59" i="45"/>
  <c r="AO193" i="45" l="1"/>
  <c r="AR192" i="45"/>
  <c r="AR193" i="45"/>
  <c r="AU192" i="45"/>
  <c r="AU193" i="45"/>
  <c r="J24" i="50"/>
  <c r="I24" i="50"/>
  <c r="H24" i="50"/>
  <c r="G24" i="50"/>
  <c r="I13" i="50"/>
  <c r="H13" i="50"/>
  <c r="G13" i="50"/>
  <c r="J12" i="50"/>
  <c r="J13" i="50" s="1"/>
  <c r="I24" i="49" l="1"/>
  <c r="H24" i="49"/>
  <c r="G24" i="49"/>
  <c r="J23" i="49"/>
  <c r="J22" i="49"/>
  <c r="J21" i="49"/>
  <c r="J20" i="49"/>
  <c r="J19" i="49"/>
  <c r="J18" i="49"/>
  <c r="J17" i="49"/>
  <c r="I13" i="49"/>
  <c r="H13" i="49"/>
  <c r="G13" i="49"/>
  <c r="J12" i="49"/>
  <c r="J13" i="49" s="1"/>
  <c r="J24" i="49" l="1"/>
  <c r="L149" i="45"/>
  <c r="L147" i="45"/>
  <c r="L144" i="45" l="1"/>
  <c r="O144" i="45" s="1"/>
  <c r="L158" i="45"/>
  <c r="O158" i="45" s="1"/>
  <c r="L157" i="45"/>
  <c r="O157" i="45" s="1"/>
  <c r="L165" i="45"/>
  <c r="O165" i="45" s="1"/>
  <c r="L181" i="45"/>
  <c r="L194" i="45"/>
  <c r="O194" i="45" s="1"/>
  <c r="M171" i="45"/>
  <c r="N164" i="45"/>
  <c r="N5" i="45" s="1"/>
  <c r="M164" i="45"/>
  <c r="O195" i="45"/>
  <c r="O190" i="45"/>
  <c r="O189" i="45"/>
  <c r="O188" i="45"/>
  <c r="O187" i="45"/>
  <c r="O186" i="45"/>
  <c r="O184" i="45"/>
  <c r="O183" i="45"/>
  <c r="O182" i="45"/>
  <c r="O180" i="45"/>
  <c r="O179" i="45"/>
  <c r="O177" i="45"/>
  <c r="O176" i="45"/>
  <c r="O175" i="45"/>
  <c r="O174" i="45"/>
  <c r="O173" i="45"/>
  <c r="O172" i="45"/>
  <c r="O168" i="45"/>
  <c r="O166" i="45"/>
  <c r="O163" i="45"/>
  <c r="O161" i="45"/>
  <c r="O160" i="45"/>
  <c r="O155" i="45"/>
  <c r="O154" i="45"/>
  <c r="O153" i="45"/>
  <c r="O152" i="45"/>
  <c r="O150" i="45"/>
  <c r="O149" i="45"/>
  <c r="O148" i="45"/>
  <c r="O147" i="45"/>
  <c r="O137" i="45"/>
  <c r="O136" i="45"/>
  <c r="O130" i="45"/>
  <c r="O128" i="45"/>
  <c r="O126" i="45"/>
  <c r="O124" i="45"/>
  <c r="O122" i="45"/>
  <c r="O121" i="45"/>
  <c r="O119" i="45"/>
  <c r="O118" i="45"/>
  <c r="O117" i="45"/>
  <c r="O116" i="45"/>
  <c r="O115" i="45"/>
  <c r="O114" i="45"/>
  <c r="O113" i="45"/>
  <c r="O112" i="45"/>
  <c r="O111" i="45"/>
  <c r="O110" i="45"/>
  <c r="O109" i="45"/>
  <c r="O108" i="45"/>
  <c r="O107" i="45"/>
  <c r="O106" i="45"/>
  <c r="O105" i="45"/>
  <c r="O104" i="45"/>
  <c r="O103" i="45"/>
  <c r="O102" i="45"/>
  <c r="O101" i="45"/>
  <c r="O100" i="45"/>
  <c r="O99" i="45"/>
  <c r="O98" i="45"/>
  <c r="O97" i="45"/>
  <c r="O96" i="45"/>
  <c r="O95" i="45"/>
  <c r="O94" i="45"/>
  <c r="O93" i="45"/>
  <c r="O92" i="45"/>
  <c r="O91" i="45"/>
  <c r="O90" i="45"/>
  <c r="O89" i="45"/>
  <c r="O88" i="45"/>
  <c r="O87" i="45"/>
  <c r="O86" i="45"/>
  <c r="O85" i="45"/>
  <c r="O84" i="45"/>
  <c r="O83" i="45"/>
  <c r="O82" i="45"/>
  <c r="O81" i="45"/>
  <c r="O80" i="45"/>
  <c r="O79" i="45"/>
  <c r="O78" i="45"/>
  <c r="O77" i="45"/>
  <c r="O76" i="45"/>
  <c r="O75" i="45"/>
  <c r="O74" i="45"/>
  <c r="O73" i="45"/>
  <c r="O72" i="45"/>
  <c r="O71" i="45"/>
  <c r="O70" i="45"/>
  <c r="O69" i="45"/>
  <c r="O68" i="45"/>
  <c r="O66" i="45"/>
  <c r="O62" i="45"/>
  <c r="O61" i="45"/>
  <c r="O60" i="45"/>
  <c r="O59" i="45"/>
  <c r="O57" i="45"/>
  <c r="O55" i="45"/>
  <c r="O54" i="45"/>
  <c r="O53" i="45"/>
  <c r="O52" i="45"/>
  <c r="O50" i="45"/>
  <c r="O48" i="45"/>
  <c r="O47" i="45"/>
  <c r="O44" i="45"/>
  <c r="O42" i="45"/>
  <c r="O41" i="45"/>
  <c r="O39" i="45"/>
  <c r="O36" i="45"/>
  <c r="O35" i="45"/>
  <c r="O34" i="45"/>
  <c r="O33" i="45"/>
  <c r="O29" i="45"/>
  <c r="O28" i="45"/>
  <c r="O27" i="45"/>
  <c r="O26" i="45"/>
  <c r="O25" i="45"/>
  <c r="O22" i="45"/>
  <c r="O16" i="45"/>
  <c r="O14" i="45"/>
  <c r="O13" i="45"/>
  <c r="O12" i="45"/>
  <c r="O181" i="45" l="1"/>
  <c r="M156" i="45"/>
  <c r="M138" i="45"/>
  <c r="M131" i="45"/>
  <c r="M3" i="45"/>
  <c r="M197" i="45" l="1"/>
  <c r="M5" i="45"/>
  <c r="M139" i="45"/>
  <c r="BS178" i="45"/>
  <c r="BM20" i="45"/>
  <c r="M198" i="45" l="1"/>
  <c r="BS35" i="45"/>
  <c r="AI35" i="45" s="1"/>
  <c r="L32" i="45"/>
  <c r="O32" i="45" s="1"/>
  <c r="AJ35" i="45"/>
  <c r="AG35" i="45"/>
  <c r="AF35" i="45"/>
  <c r="AD35" i="45"/>
  <c r="AC35" i="45"/>
  <c r="AA35" i="45"/>
  <c r="Z35" i="45"/>
  <c r="AT35" i="45" l="1"/>
  <c r="AP35" i="45"/>
  <c r="AH35" i="45"/>
  <c r="AK35" i="45"/>
  <c r="AE35" i="45"/>
  <c r="AM35" i="45"/>
  <c r="AN35" i="45"/>
  <c r="AB35" i="45"/>
  <c r="AS35" i="45"/>
  <c r="AQ35" i="45"/>
  <c r="AR35" i="45" s="1"/>
  <c r="T197" i="45"/>
  <c r="P197" i="45"/>
  <c r="N197" i="45"/>
  <c r="BS167" i="45"/>
  <c r="BR167" i="45"/>
  <c r="BQ167" i="45"/>
  <c r="BP167" i="45"/>
  <c r="BO167" i="45"/>
  <c r="BN167" i="45"/>
  <c r="BM167" i="45"/>
  <c r="BL167" i="45"/>
  <c r="BK167" i="45"/>
  <c r="BJ167" i="45"/>
  <c r="BI167" i="45"/>
  <c r="BH167" i="45"/>
  <c r="BG167" i="45"/>
  <c r="BF167" i="45"/>
  <c r="BE167" i="45"/>
  <c r="BD167" i="45"/>
  <c r="BC167" i="45"/>
  <c r="BB167" i="45"/>
  <c r="BA167" i="45"/>
  <c r="AZ167" i="45"/>
  <c r="AY167" i="45"/>
  <c r="AX167" i="45"/>
  <c r="AW167" i="45"/>
  <c r="BS164" i="45"/>
  <c r="BR164" i="45"/>
  <c r="BQ164" i="45"/>
  <c r="BP164" i="45"/>
  <c r="BO164" i="45"/>
  <c r="BN164" i="45"/>
  <c r="BM164" i="45"/>
  <c r="BL164" i="45"/>
  <c r="BK164" i="45"/>
  <c r="BJ164" i="45"/>
  <c r="BI164" i="45"/>
  <c r="BH164" i="45"/>
  <c r="BG164" i="45"/>
  <c r="BF164" i="45"/>
  <c r="BE164" i="45"/>
  <c r="BD164" i="45"/>
  <c r="BC164" i="45"/>
  <c r="BB164" i="45"/>
  <c r="BA164" i="45"/>
  <c r="AZ164" i="45"/>
  <c r="AY164" i="45"/>
  <c r="AX164" i="45"/>
  <c r="AW164" i="45"/>
  <c r="S164" i="45"/>
  <c r="R164" i="45"/>
  <c r="Q164" i="45"/>
  <c r="L164" i="45"/>
  <c r="O164" i="45" s="1"/>
  <c r="S167" i="45"/>
  <c r="R167" i="45"/>
  <c r="Q167" i="45"/>
  <c r="L167" i="45"/>
  <c r="O167" i="45" s="1"/>
  <c r="X167" i="45"/>
  <c r="AO35" i="45" l="1"/>
  <c r="AV35" i="45"/>
  <c r="AU35" i="45"/>
  <c r="Z167" i="45"/>
  <c r="AG167" i="45"/>
  <c r="AI167" i="45"/>
  <c r="AA167" i="45"/>
  <c r="AC167" i="45"/>
  <c r="AM167" i="45" s="1"/>
  <c r="AD167" i="45"/>
  <c r="AF167" i="45"/>
  <c r="R197" i="45"/>
  <c r="S178" i="45"/>
  <c r="Q178" i="45"/>
  <c r="L171" i="45" l="1"/>
  <c r="O178" i="45"/>
  <c r="AB167" i="45"/>
  <c r="AH167" i="45"/>
  <c r="AN167" i="45"/>
  <c r="AO167" i="45" s="1"/>
  <c r="AE167" i="45"/>
  <c r="AQ167" i="45"/>
  <c r="AP167" i="45"/>
  <c r="AS167" i="45"/>
  <c r="AV167" i="45" s="1"/>
  <c r="Q20" i="45"/>
  <c r="S20" i="45"/>
  <c r="L20" i="45"/>
  <c r="O20" i="45" s="1"/>
  <c r="AR167" i="45" l="1"/>
  <c r="S174" i="45"/>
  <c r="Q174" i="45"/>
  <c r="S170" i="45"/>
  <c r="Q170" i="45"/>
  <c r="L170" i="45" l="1"/>
  <c r="O170" i="45" s="1"/>
  <c r="AS193" i="47" l="1"/>
  <c r="Q191" i="47"/>
  <c r="M191" i="47"/>
  <c r="L191" i="47"/>
  <c r="K191" i="47"/>
  <c r="AG190" i="47"/>
  <c r="AF190" i="47"/>
  <c r="AD190" i="47"/>
  <c r="AC190" i="47"/>
  <c r="AA190" i="47"/>
  <c r="Z190" i="47"/>
  <c r="X190" i="47"/>
  <c r="W190" i="47"/>
  <c r="J190" i="47"/>
  <c r="AG189" i="47"/>
  <c r="AF189" i="47"/>
  <c r="AD189" i="47"/>
  <c r="AC189" i="47"/>
  <c r="AE189" i="47" s="1"/>
  <c r="AA189" i="47"/>
  <c r="Z189" i="47"/>
  <c r="X189" i="47"/>
  <c r="W189" i="47"/>
  <c r="AG188" i="47"/>
  <c r="AF188" i="47"/>
  <c r="AD188" i="47"/>
  <c r="AC188" i="47"/>
  <c r="AA188" i="47"/>
  <c r="Z188" i="47"/>
  <c r="AB188" i="47" s="1"/>
  <c r="X188" i="47"/>
  <c r="W188" i="47"/>
  <c r="AG187" i="47"/>
  <c r="AF187" i="47"/>
  <c r="AD187" i="47"/>
  <c r="AC187" i="47"/>
  <c r="AA187" i="47"/>
  <c r="Z187" i="47"/>
  <c r="AB187" i="47" s="1"/>
  <c r="X187" i="47"/>
  <c r="AK187" i="47" s="1"/>
  <c r="W187" i="47"/>
  <c r="AG186" i="47"/>
  <c r="AF186" i="47"/>
  <c r="AD186" i="47"/>
  <c r="AC186" i="47"/>
  <c r="AA186" i="47"/>
  <c r="Z186" i="47"/>
  <c r="AB186" i="47" s="1"/>
  <c r="X186" i="47"/>
  <c r="W186" i="47"/>
  <c r="AG185" i="47"/>
  <c r="AF185" i="47"/>
  <c r="AD185" i="47"/>
  <c r="AC185" i="47"/>
  <c r="AA185" i="47"/>
  <c r="Z185" i="47"/>
  <c r="X185" i="47"/>
  <c r="W185" i="47"/>
  <c r="BL184" i="47"/>
  <c r="AF184" i="47" s="1"/>
  <c r="AX184" i="47"/>
  <c r="W184" i="47" s="1"/>
  <c r="AG184" i="47"/>
  <c r="AD184" i="47"/>
  <c r="AC184" i="47"/>
  <c r="AA184" i="47"/>
  <c r="Z184" i="47"/>
  <c r="X184" i="47"/>
  <c r="BL183" i="47"/>
  <c r="AF183" i="47" s="1"/>
  <c r="AX183" i="47"/>
  <c r="W183" i="47" s="1"/>
  <c r="AJ183" i="47" s="1"/>
  <c r="AG183" i="47"/>
  <c r="AD183" i="47"/>
  <c r="AC183" i="47"/>
  <c r="AA183" i="47"/>
  <c r="Z183" i="47"/>
  <c r="X183" i="47"/>
  <c r="AX182" i="47"/>
  <c r="W182" i="47" s="1"/>
  <c r="AG182" i="47"/>
  <c r="AF182" i="47"/>
  <c r="AD182" i="47"/>
  <c r="AC182" i="47"/>
  <c r="AA182" i="47"/>
  <c r="Z182" i="47"/>
  <c r="X182" i="47"/>
  <c r="BQ181" i="47"/>
  <c r="BP181" i="47"/>
  <c r="BO181" i="47"/>
  <c r="BN181" i="47"/>
  <c r="BM181" i="47"/>
  <c r="BK181" i="47"/>
  <c r="BJ181" i="47"/>
  <c r="BI181" i="47"/>
  <c r="BH181" i="47"/>
  <c r="BG181" i="47"/>
  <c r="BF181" i="47"/>
  <c r="BE181" i="47"/>
  <c r="BD181" i="47"/>
  <c r="BC181" i="47"/>
  <c r="BB181" i="47"/>
  <c r="BA181" i="47"/>
  <c r="AZ181" i="47"/>
  <c r="AY181" i="47"/>
  <c r="AW181" i="47"/>
  <c r="AV181" i="47"/>
  <c r="AU181" i="47"/>
  <c r="AT181" i="47"/>
  <c r="P181" i="47"/>
  <c r="N181" i="47"/>
  <c r="J181" i="47"/>
  <c r="BQ180" i="47"/>
  <c r="BP180" i="47"/>
  <c r="BO180" i="47"/>
  <c r="BN180" i="47"/>
  <c r="BM180" i="47"/>
  <c r="BL180" i="47"/>
  <c r="BK180" i="47"/>
  <c r="BJ180" i="47"/>
  <c r="BI180" i="47"/>
  <c r="BH180" i="47"/>
  <c r="BG180" i="47"/>
  <c r="BF180" i="47"/>
  <c r="BE180" i="47"/>
  <c r="BD180" i="47"/>
  <c r="BC180" i="47"/>
  <c r="BB180" i="47"/>
  <c r="BA180" i="47"/>
  <c r="AZ180" i="47"/>
  <c r="AY180" i="47"/>
  <c r="AX180" i="47"/>
  <c r="AW180" i="47"/>
  <c r="AV180" i="47"/>
  <c r="AU180" i="47"/>
  <c r="AT180" i="47"/>
  <c r="AG179" i="47"/>
  <c r="AF179" i="47"/>
  <c r="AD179" i="47"/>
  <c r="AC179" i="47"/>
  <c r="AA179" i="47"/>
  <c r="Z179" i="47"/>
  <c r="X179" i="47"/>
  <c r="W179" i="47"/>
  <c r="AG178" i="47"/>
  <c r="AF178" i="47"/>
  <c r="AD178" i="47"/>
  <c r="AC178" i="47"/>
  <c r="AA178" i="47"/>
  <c r="Z178" i="47"/>
  <c r="X178" i="47"/>
  <c r="W178" i="47"/>
  <c r="AG177" i="47"/>
  <c r="AF177" i="47"/>
  <c r="AD177" i="47"/>
  <c r="AC177" i="47"/>
  <c r="AA177" i="47"/>
  <c r="Z177" i="47"/>
  <c r="X177" i="47"/>
  <c r="W177" i="47"/>
  <c r="AG176" i="47"/>
  <c r="AF176" i="47"/>
  <c r="AD176" i="47"/>
  <c r="AC176" i="47"/>
  <c r="AA176" i="47"/>
  <c r="Z176" i="47"/>
  <c r="X176" i="47"/>
  <c r="W176" i="47"/>
  <c r="AG175" i="47"/>
  <c r="AF175" i="47"/>
  <c r="AD175" i="47"/>
  <c r="AC175" i="47"/>
  <c r="AA175" i="47"/>
  <c r="Z175" i="47"/>
  <c r="X175" i="47"/>
  <c r="W175" i="47"/>
  <c r="BP174" i="47"/>
  <c r="AF174" i="47" s="1"/>
  <c r="BF174" i="47"/>
  <c r="AC174" i="47" s="1"/>
  <c r="AG174" i="47"/>
  <c r="AD174" i="47"/>
  <c r="AA174" i="47"/>
  <c r="Z174" i="47"/>
  <c r="X174" i="47"/>
  <c r="W174" i="47"/>
  <c r="J174" i="47"/>
  <c r="AG173" i="47"/>
  <c r="AF173" i="47"/>
  <c r="AD173" i="47"/>
  <c r="AC173" i="47"/>
  <c r="AA173" i="47"/>
  <c r="Z173" i="47"/>
  <c r="X173" i="47"/>
  <c r="W173" i="47"/>
  <c r="AG172" i="47"/>
  <c r="AF172" i="47"/>
  <c r="AD172" i="47"/>
  <c r="AC172" i="47"/>
  <c r="AA172" i="47"/>
  <c r="Z172" i="47"/>
  <c r="X172" i="47"/>
  <c r="W172" i="47"/>
  <c r="AG171" i="47"/>
  <c r="AF171" i="47"/>
  <c r="AD171" i="47"/>
  <c r="AC171" i="47"/>
  <c r="AA171" i="47"/>
  <c r="Z171" i="47"/>
  <c r="X171" i="47"/>
  <c r="W171" i="47"/>
  <c r="AG170" i="47"/>
  <c r="AF170" i="47"/>
  <c r="AD170" i="47"/>
  <c r="AC170" i="47"/>
  <c r="AA170" i="47"/>
  <c r="Z170" i="47"/>
  <c r="X170" i="47"/>
  <c r="W170" i="47"/>
  <c r="AG169" i="47"/>
  <c r="AF169" i="47"/>
  <c r="AD169" i="47"/>
  <c r="AC169" i="47"/>
  <c r="AA169" i="47"/>
  <c r="Z169" i="47"/>
  <c r="X169" i="47"/>
  <c r="W169" i="47"/>
  <c r="AG168" i="47"/>
  <c r="AF168" i="47"/>
  <c r="AD168" i="47"/>
  <c r="AC168" i="47"/>
  <c r="AA168" i="47"/>
  <c r="Z168" i="47"/>
  <c r="X168" i="47"/>
  <c r="W168" i="47"/>
  <c r="BQ167" i="47"/>
  <c r="BP167" i="47"/>
  <c r="BO167" i="47"/>
  <c r="BN167" i="47"/>
  <c r="BM167" i="47"/>
  <c r="BL167" i="47"/>
  <c r="BK167" i="47"/>
  <c r="BJ167" i="47"/>
  <c r="BI167" i="47"/>
  <c r="BH167" i="47"/>
  <c r="BG167" i="47"/>
  <c r="BE167" i="47"/>
  <c r="BD167" i="47"/>
  <c r="BC167" i="47"/>
  <c r="BB167" i="47"/>
  <c r="BA167" i="47"/>
  <c r="AZ167" i="47"/>
  <c r="AY167" i="47"/>
  <c r="AX167" i="47"/>
  <c r="AW167" i="47"/>
  <c r="AV167" i="47"/>
  <c r="AU167" i="47"/>
  <c r="AT167" i="47"/>
  <c r="P167" i="47"/>
  <c r="N167" i="47"/>
  <c r="J167" i="47"/>
  <c r="AG166" i="47"/>
  <c r="AF166" i="47"/>
  <c r="AD166" i="47"/>
  <c r="AC166" i="47"/>
  <c r="AA166" i="47"/>
  <c r="Z166" i="47"/>
  <c r="X166" i="47"/>
  <c r="W166" i="47"/>
  <c r="BQ165" i="47"/>
  <c r="BP165" i="47"/>
  <c r="BO165" i="47"/>
  <c r="BN165" i="47"/>
  <c r="BM165" i="47"/>
  <c r="BL165" i="47"/>
  <c r="BK165" i="47"/>
  <c r="BJ165" i="47"/>
  <c r="BI165" i="47"/>
  <c r="BH165" i="47"/>
  <c r="BG165" i="47"/>
  <c r="AD165" i="47" s="1"/>
  <c r="BF165" i="47"/>
  <c r="BE165" i="47"/>
  <c r="BD165" i="47"/>
  <c r="BC165" i="47"/>
  <c r="BB165" i="47"/>
  <c r="BA165" i="47"/>
  <c r="AZ165" i="47"/>
  <c r="AY165" i="47"/>
  <c r="AX165" i="47"/>
  <c r="AW165" i="47"/>
  <c r="AV165" i="47"/>
  <c r="AU165" i="47"/>
  <c r="AT165" i="47"/>
  <c r="P165" i="47"/>
  <c r="N165" i="47"/>
  <c r="J165" i="47"/>
  <c r="S55" i="47" s="1"/>
  <c r="AG164" i="47"/>
  <c r="AF164" i="47"/>
  <c r="AD164" i="47"/>
  <c r="AC164" i="47"/>
  <c r="AA164" i="47"/>
  <c r="Z164" i="47"/>
  <c r="X164" i="47"/>
  <c r="W164" i="47"/>
  <c r="AG163" i="47"/>
  <c r="AF163" i="47"/>
  <c r="AD163" i="47"/>
  <c r="AC163" i="47"/>
  <c r="AA163" i="47"/>
  <c r="Z163" i="47"/>
  <c r="X163" i="47"/>
  <c r="W163" i="47"/>
  <c r="AG162" i="47"/>
  <c r="AF162" i="47"/>
  <c r="AD162" i="47"/>
  <c r="AC162" i="47"/>
  <c r="AA162" i="47"/>
  <c r="Z162" i="47"/>
  <c r="X162" i="47"/>
  <c r="W162" i="47"/>
  <c r="BQ161" i="47"/>
  <c r="BP161" i="47"/>
  <c r="BO161" i="47"/>
  <c r="BN161" i="47"/>
  <c r="BM161" i="47"/>
  <c r="BL161" i="47"/>
  <c r="BK161" i="47"/>
  <c r="BJ161" i="47"/>
  <c r="BI161" i="47"/>
  <c r="BH161" i="47"/>
  <c r="BG161" i="47"/>
  <c r="BF161" i="47"/>
  <c r="BE161" i="47"/>
  <c r="BD161" i="47"/>
  <c r="BC161" i="47"/>
  <c r="BB161" i="47"/>
  <c r="BA161" i="47"/>
  <c r="AZ161" i="47"/>
  <c r="AY161" i="47"/>
  <c r="AX161" i="47"/>
  <c r="AW161" i="47"/>
  <c r="AV161" i="47"/>
  <c r="AU161" i="47"/>
  <c r="AT161" i="47"/>
  <c r="P161" i="47"/>
  <c r="O161" i="47"/>
  <c r="O191" i="47" s="1"/>
  <c r="N161" i="47"/>
  <c r="J161" i="47"/>
  <c r="AG160" i="47"/>
  <c r="AF160" i="47"/>
  <c r="AD160" i="47"/>
  <c r="AC160" i="47"/>
  <c r="AA160" i="47"/>
  <c r="Z160" i="47"/>
  <c r="X160" i="47"/>
  <c r="W160" i="47"/>
  <c r="BQ159" i="47"/>
  <c r="BP159" i="47"/>
  <c r="BO159" i="47"/>
  <c r="BN159" i="47"/>
  <c r="BM159" i="47"/>
  <c r="BL159" i="47"/>
  <c r="BK159" i="47"/>
  <c r="BJ159" i="47"/>
  <c r="BI159" i="47"/>
  <c r="BH159" i="47"/>
  <c r="BG159" i="47"/>
  <c r="BF159" i="47"/>
  <c r="BE159" i="47"/>
  <c r="BD159" i="47"/>
  <c r="BC159" i="47"/>
  <c r="BB159" i="47"/>
  <c r="BA159" i="47"/>
  <c r="AZ159" i="47"/>
  <c r="AY159" i="47"/>
  <c r="AX159" i="47"/>
  <c r="AW159" i="47"/>
  <c r="AV159" i="47"/>
  <c r="AU159" i="47"/>
  <c r="AT159" i="47"/>
  <c r="P159" i="47"/>
  <c r="N159" i="47"/>
  <c r="J159" i="47"/>
  <c r="AG158" i="47"/>
  <c r="AF158" i="47"/>
  <c r="AD158" i="47"/>
  <c r="AC158" i="47"/>
  <c r="AA158" i="47"/>
  <c r="Z158" i="47"/>
  <c r="X158" i="47"/>
  <c r="W158" i="47"/>
  <c r="BP157" i="47"/>
  <c r="AG157" i="47"/>
  <c r="AF157" i="47"/>
  <c r="AD157" i="47"/>
  <c r="AC157" i="47"/>
  <c r="AA157" i="47"/>
  <c r="Z157" i="47"/>
  <c r="X157" i="47"/>
  <c r="W157" i="47"/>
  <c r="BQ156" i="47"/>
  <c r="BP156" i="47"/>
  <c r="BO156" i="47"/>
  <c r="BN156" i="47"/>
  <c r="BM156" i="47"/>
  <c r="BL156" i="47"/>
  <c r="BK156" i="47"/>
  <c r="BJ156" i="47"/>
  <c r="BI156" i="47"/>
  <c r="BH156" i="47"/>
  <c r="BG156" i="47"/>
  <c r="BF156" i="47"/>
  <c r="BE156" i="47"/>
  <c r="BD156" i="47"/>
  <c r="BC156" i="47"/>
  <c r="BB156" i="47"/>
  <c r="BA156" i="47"/>
  <c r="AZ156" i="47"/>
  <c r="AY156" i="47"/>
  <c r="AX156" i="47"/>
  <c r="AW156" i="47"/>
  <c r="AV156" i="47"/>
  <c r="AU156" i="47"/>
  <c r="AT156" i="47"/>
  <c r="P156" i="47"/>
  <c r="N156" i="47"/>
  <c r="J156" i="47"/>
  <c r="AG155" i="47"/>
  <c r="AF155" i="47"/>
  <c r="AD155" i="47"/>
  <c r="AC155" i="47"/>
  <c r="AA155" i="47"/>
  <c r="Z155" i="47"/>
  <c r="X155" i="47"/>
  <c r="W155" i="47"/>
  <c r="AG154" i="47"/>
  <c r="AF154" i="47"/>
  <c r="AD154" i="47"/>
  <c r="AC154" i="47"/>
  <c r="AA154" i="47"/>
  <c r="Z154" i="47"/>
  <c r="X154" i="47"/>
  <c r="W154" i="47"/>
  <c r="BQ153" i="47"/>
  <c r="BP153" i="47"/>
  <c r="BO153" i="47"/>
  <c r="BN153" i="47"/>
  <c r="BM153" i="47"/>
  <c r="BL153" i="47"/>
  <c r="BK153" i="47"/>
  <c r="BJ153" i="47"/>
  <c r="BI153" i="47"/>
  <c r="BH153" i="47"/>
  <c r="BG153" i="47"/>
  <c r="BF153" i="47"/>
  <c r="BE153" i="47"/>
  <c r="BD153" i="47"/>
  <c r="BC153" i="47"/>
  <c r="BB153" i="47"/>
  <c r="BA153" i="47"/>
  <c r="AZ153" i="47"/>
  <c r="Z153" i="47" s="1"/>
  <c r="AY153" i="47"/>
  <c r="AX153" i="47"/>
  <c r="AW153" i="47"/>
  <c r="AV153" i="47"/>
  <c r="AU153" i="47"/>
  <c r="AT153" i="47"/>
  <c r="P153" i="47"/>
  <c r="N153" i="47"/>
  <c r="J153" i="47"/>
  <c r="BP152" i="47"/>
  <c r="AF152" i="47" s="1"/>
  <c r="AG152" i="47"/>
  <c r="AD152" i="47"/>
  <c r="AC152" i="47"/>
  <c r="AA152" i="47"/>
  <c r="Z152" i="47"/>
  <c r="X152" i="47"/>
  <c r="W152" i="47"/>
  <c r="AG151" i="47"/>
  <c r="AF151" i="47"/>
  <c r="AD151" i="47"/>
  <c r="AC151" i="47"/>
  <c r="AA151" i="47"/>
  <c r="Z151" i="47"/>
  <c r="X151" i="47"/>
  <c r="W151" i="47"/>
  <c r="AG150" i="47"/>
  <c r="AF150" i="47"/>
  <c r="AD150" i="47"/>
  <c r="AC150" i="47"/>
  <c r="AA150" i="47"/>
  <c r="Z150" i="47"/>
  <c r="X150" i="47"/>
  <c r="AK150" i="47" s="1"/>
  <c r="W150" i="47"/>
  <c r="BP149" i="47"/>
  <c r="AF149" i="47" s="1"/>
  <c r="AG149" i="47"/>
  <c r="AD149" i="47"/>
  <c r="AC149" i="47"/>
  <c r="AA149" i="47"/>
  <c r="Z149" i="47"/>
  <c r="X149" i="47"/>
  <c r="AK149" i="47" s="1"/>
  <c r="W149" i="47"/>
  <c r="BQ148" i="47"/>
  <c r="BO148" i="47"/>
  <c r="BN148" i="47"/>
  <c r="BM148" i="47"/>
  <c r="BL148" i="47"/>
  <c r="BK148" i="47"/>
  <c r="BJ148" i="47"/>
  <c r="BI148" i="47"/>
  <c r="BH148" i="47"/>
  <c r="BG148" i="47"/>
  <c r="BF148" i="47"/>
  <c r="BE148" i="47"/>
  <c r="BD148" i="47"/>
  <c r="BC148" i="47"/>
  <c r="BB148" i="47"/>
  <c r="BA148" i="47"/>
  <c r="AZ148" i="47"/>
  <c r="AY148" i="47"/>
  <c r="AX148" i="47"/>
  <c r="AW148" i="47"/>
  <c r="AV148" i="47"/>
  <c r="AU148" i="47"/>
  <c r="AT148" i="47"/>
  <c r="W148" i="47" s="1"/>
  <c r="P148" i="47"/>
  <c r="N148" i="47"/>
  <c r="J148" i="47"/>
  <c r="AG147" i="47"/>
  <c r="AF147" i="47"/>
  <c r="AD147" i="47"/>
  <c r="AC147" i="47"/>
  <c r="AA147" i="47"/>
  <c r="Z147" i="47"/>
  <c r="X147" i="47"/>
  <c r="W147" i="47"/>
  <c r="BP146" i="47"/>
  <c r="AF146" i="47" s="1"/>
  <c r="AG146" i="47"/>
  <c r="AD146" i="47"/>
  <c r="AC146" i="47"/>
  <c r="AA146" i="47"/>
  <c r="Z146" i="47"/>
  <c r="X146" i="47"/>
  <c r="W146" i="47"/>
  <c r="AG145" i="47"/>
  <c r="AF145" i="47"/>
  <c r="AD145" i="47"/>
  <c r="AC145" i="47"/>
  <c r="AA145" i="47"/>
  <c r="Z145" i="47"/>
  <c r="X145" i="47"/>
  <c r="W145" i="47"/>
  <c r="AG144" i="47"/>
  <c r="AF144" i="47"/>
  <c r="AD144" i="47"/>
  <c r="AC144" i="47"/>
  <c r="AA144" i="47"/>
  <c r="Z144" i="47"/>
  <c r="X144" i="47"/>
  <c r="W144" i="47"/>
  <c r="AG143" i="47"/>
  <c r="AF143" i="47"/>
  <c r="AD143" i="47"/>
  <c r="AC143" i="47"/>
  <c r="AA143" i="47"/>
  <c r="Z143" i="47"/>
  <c r="X143" i="47"/>
  <c r="W143" i="47"/>
  <c r="J143" i="47"/>
  <c r="BQ142" i="47"/>
  <c r="BP142" i="47"/>
  <c r="BO142" i="47"/>
  <c r="BN142" i="47"/>
  <c r="BM142" i="47"/>
  <c r="BL142" i="47"/>
  <c r="BK142" i="47"/>
  <c r="BJ142" i="47"/>
  <c r="BI142" i="47"/>
  <c r="BH142" i="47"/>
  <c r="BG142" i="47"/>
  <c r="AD142" i="47" s="1"/>
  <c r="BF142" i="47"/>
  <c r="BE142" i="47"/>
  <c r="BD142" i="47"/>
  <c r="BC142" i="47"/>
  <c r="BB142" i="47"/>
  <c r="BA142" i="47"/>
  <c r="AZ142" i="47"/>
  <c r="AY142" i="47"/>
  <c r="AX142" i="47"/>
  <c r="AW142" i="47"/>
  <c r="AV142" i="47"/>
  <c r="AU142" i="47"/>
  <c r="AT142" i="47"/>
  <c r="P142" i="47"/>
  <c r="N142" i="47"/>
  <c r="AG141" i="47"/>
  <c r="AF141" i="47"/>
  <c r="AD141" i="47"/>
  <c r="AC141" i="47"/>
  <c r="AA141" i="47"/>
  <c r="Z141" i="47"/>
  <c r="X141" i="47"/>
  <c r="W141" i="47"/>
  <c r="AQ140" i="47"/>
  <c r="AP140" i="47"/>
  <c r="AO140" i="47"/>
  <c r="AG138" i="47"/>
  <c r="AF138" i="47"/>
  <c r="AD138" i="47"/>
  <c r="AC138" i="47"/>
  <c r="AA138" i="47"/>
  <c r="Z138" i="47"/>
  <c r="X138" i="47"/>
  <c r="W138" i="47"/>
  <c r="Q136" i="47"/>
  <c r="P136" i="47"/>
  <c r="O136" i="47"/>
  <c r="N136" i="47"/>
  <c r="M136" i="47"/>
  <c r="L136" i="47"/>
  <c r="K136" i="47"/>
  <c r="J136" i="47"/>
  <c r="AG135" i="47"/>
  <c r="AF135" i="47"/>
  <c r="AD135" i="47"/>
  <c r="AC135" i="47"/>
  <c r="AA135" i="47"/>
  <c r="Z135" i="47"/>
  <c r="X135" i="47"/>
  <c r="W135" i="47"/>
  <c r="BQ134" i="47"/>
  <c r="BP134" i="47"/>
  <c r="BO134" i="47"/>
  <c r="BN134" i="47"/>
  <c r="BM134" i="47"/>
  <c r="BL134" i="47"/>
  <c r="BK134" i="47"/>
  <c r="BJ134" i="47"/>
  <c r="BI134" i="47"/>
  <c r="BH134" i="47"/>
  <c r="BG134" i="47"/>
  <c r="BF134" i="47"/>
  <c r="BE134" i="47"/>
  <c r="BD134" i="47"/>
  <c r="BC134" i="47"/>
  <c r="BB134" i="47"/>
  <c r="BA134" i="47"/>
  <c r="AZ134" i="47"/>
  <c r="AY134" i="47"/>
  <c r="AX134" i="47"/>
  <c r="AW134" i="47"/>
  <c r="AV134" i="47"/>
  <c r="AU134" i="47"/>
  <c r="AT134" i="47"/>
  <c r="AS133" i="47"/>
  <c r="U132" i="47"/>
  <c r="AG131" i="47"/>
  <c r="AF131" i="47"/>
  <c r="AD131" i="47"/>
  <c r="AC131" i="47"/>
  <c r="AA131" i="47"/>
  <c r="Z131" i="47"/>
  <c r="X131" i="47"/>
  <c r="W131" i="47"/>
  <c r="Q130" i="47"/>
  <c r="Q137" i="47" s="1"/>
  <c r="Q192" i="47" s="1"/>
  <c r="L130" i="47"/>
  <c r="L137" i="47" s="1"/>
  <c r="K130" i="47"/>
  <c r="AG129" i="47"/>
  <c r="AF129" i="47"/>
  <c r="AD129" i="47"/>
  <c r="AC129" i="47"/>
  <c r="AA129" i="47"/>
  <c r="Z129" i="47"/>
  <c r="X129" i="47"/>
  <c r="W129" i="47"/>
  <c r="BQ128" i="47"/>
  <c r="BP128" i="47"/>
  <c r="BO128" i="47"/>
  <c r="BN128" i="47"/>
  <c r="BM128" i="47"/>
  <c r="BL128" i="47"/>
  <c r="BK128" i="47"/>
  <c r="BJ128" i="47"/>
  <c r="BI128" i="47"/>
  <c r="BH128" i="47"/>
  <c r="BG128" i="47"/>
  <c r="BF128" i="47"/>
  <c r="BE128" i="47"/>
  <c r="BD128" i="47"/>
  <c r="BC128" i="47"/>
  <c r="BB128" i="47"/>
  <c r="BA128" i="47"/>
  <c r="AZ128" i="47"/>
  <c r="AY128" i="47"/>
  <c r="AX128" i="47"/>
  <c r="AW128" i="47"/>
  <c r="AV128" i="47"/>
  <c r="AU128" i="47"/>
  <c r="AT128" i="47"/>
  <c r="J128" i="47"/>
  <c r="AG127" i="47"/>
  <c r="AF127" i="47"/>
  <c r="AD127" i="47"/>
  <c r="AC127" i="47"/>
  <c r="AA127" i="47"/>
  <c r="Z127" i="47"/>
  <c r="X127" i="47"/>
  <c r="W127" i="47"/>
  <c r="BQ126" i="47"/>
  <c r="BP126" i="47"/>
  <c r="BO126" i="47"/>
  <c r="BN126" i="47"/>
  <c r="BM126" i="47"/>
  <c r="BL126" i="47"/>
  <c r="BK126" i="47"/>
  <c r="BJ126" i="47"/>
  <c r="BI126" i="47"/>
  <c r="BH126" i="47"/>
  <c r="BG126" i="47"/>
  <c r="BF126" i="47"/>
  <c r="BE126" i="47"/>
  <c r="BD126" i="47"/>
  <c r="BC126" i="47"/>
  <c r="BB126" i="47"/>
  <c r="BA126" i="47"/>
  <c r="AZ126" i="47"/>
  <c r="AY126" i="47"/>
  <c r="AX126" i="47"/>
  <c r="AW126" i="47"/>
  <c r="AV126" i="47"/>
  <c r="AU126" i="47"/>
  <c r="AT126" i="47"/>
  <c r="J126" i="47"/>
  <c r="AG125" i="47"/>
  <c r="AF125" i="47"/>
  <c r="AD125" i="47"/>
  <c r="AC125" i="47"/>
  <c r="AA125" i="47"/>
  <c r="Z125" i="47"/>
  <c r="X125" i="47"/>
  <c r="W125" i="47"/>
  <c r="BQ124" i="47"/>
  <c r="BP124" i="47"/>
  <c r="BO124" i="47"/>
  <c r="BN124" i="47"/>
  <c r="BM124" i="47"/>
  <c r="BL124" i="47"/>
  <c r="BK124" i="47"/>
  <c r="BJ124" i="47"/>
  <c r="BI124" i="47"/>
  <c r="BH124" i="47"/>
  <c r="BG124" i="47"/>
  <c r="BF124" i="47"/>
  <c r="BE124" i="47"/>
  <c r="BD124" i="47"/>
  <c r="BC124" i="47"/>
  <c r="BB124" i="47"/>
  <c r="BA124" i="47"/>
  <c r="AZ124" i="47"/>
  <c r="AY124" i="47"/>
  <c r="AX124" i="47"/>
  <c r="AW124" i="47"/>
  <c r="AV124" i="47"/>
  <c r="AU124" i="47"/>
  <c r="AT124" i="47"/>
  <c r="J124" i="47"/>
  <c r="AG123" i="47"/>
  <c r="AF123" i="47"/>
  <c r="AD123" i="47"/>
  <c r="AC123" i="47"/>
  <c r="AA123" i="47"/>
  <c r="Z123" i="47"/>
  <c r="X123" i="47"/>
  <c r="W123" i="47"/>
  <c r="M123" i="47"/>
  <c r="AG122" i="47"/>
  <c r="AF122" i="47"/>
  <c r="AD122" i="47"/>
  <c r="AC122" i="47"/>
  <c r="AA122" i="47"/>
  <c r="Z122" i="47"/>
  <c r="X122" i="47"/>
  <c r="W122" i="47"/>
  <c r="J122" i="47"/>
  <c r="AG121" i="47"/>
  <c r="AF121" i="47"/>
  <c r="AD121" i="47"/>
  <c r="AC121" i="47"/>
  <c r="AA121" i="47"/>
  <c r="Z121" i="47"/>
  <c r="X121" i="47"/>
  <c r="W121" i="47"/>
  <c r="AG120" i="47"/>
  <c r="AF120" i="47"/>
  <c r="AD120" i="47"/>
  <c r="AC120" i="47"/>
  <c r="AA120" i="47"/>
  <c r="Z120" i="47"/>
  <c r="X120" i="47"/>
  <c r="W120" i="47"/>
  <c r="BQ119" i="47"/>
  <c r="BP119" i="47"/>
  <c r="BO119" i="47"/>
  <c r="BN119" i="47"/>
  <c r="BM119" i="47"/>
  <c r="BL119" i="47"/>
  <c r="BK119" i="47"/>
  <c r="BJ119" i="47"/>
  <c r="BI119" i="47"/>
  <c r="BH119" i="47"/>
  <c r="BG119" i="47"/>
  <c r="BF119" i="47"/>
  <c r="BE119" i="47"/>
  <c r="BD119" i="47"/>
  <c r="BC119" i="47"/>
  <c r="BB119" i="47"/>
  <c r="BA119" i="47"/>
  <c r="AZ119" i="47"/>
  <c r="AY119" i="47"/>
  <c r="AX119" i="47"/>
  <c r="AW119" i="47"/>
  <c r="AV119" i="47"/>
  <c r="AU119" i="47"/>
  <c r="AT119" i="47"/>
  <c r="P119" i="47"/>
  <c r="O119" i="47"/>
  <c r="N119" i="47"/>
  <c r="J119" i="47"/>
  <c r="AG118" i="47"/>
  <c r="AF118" i="47"/>
  <c r="AD118" i="47"/>
  <c r="AC118" i="47"/>
  <c r="AA118" i="47"/>
  <c r="Z118" i="47"/>
  <c r="X118" i="47"/>
  <c r="W118" i="47"/>
  <c r="AG117" i="47"/>
  <c r="AF117" i="47"/>
  <c r="AD117" i="47"/>
  <c r="AC117" i="47"/>
  <c r="AA117" i="47"/>
  <c r="Z117" i="47"/>
  <c r="X117" i="47"/>
  <c r="W117" i="47"/>
  <c r="BQ116" i="47"/>
  <c r="BP116" i="47"/>
  <c r="BO116" i="47"/>
  <c r="BN116" i="47"/>
  <c r="BM116" i="47"/>
  <c r="BL116" i="47"/>
  <c r="BK116" i="47"/>
  <c r="BJ116" i="47"/>
  <c r="BI116" i="47"/>
  <c r="BH116" i="47"/>
  <c r="BG116" i="47"/>
  <c r="BF116" i="47"/>
  <c r="BE116" i="47"/>
  <c r="BD116" i="47"/>
  <c r="BC116" i="47"/>
  <c r="BB116" i="47"/>
  <c r="BA116" i="47"/>
  <c r="AZ116" i="47"/>
  <c r="AY116" i="47"/>
  <c r="AX116" i="47"/>
  <c r="AW116" i="47"/>
  <c r="AV116" i="47"/>
  <c r="AU116" i="47"/>
  <c r="AT116" i="47"/>
  <c r="AG115" i="47"/>
  <c r="AF115" i="47"/>
  <c r="AD115" i="47"/>
  <c r="AC115" i="47"/>
  <c r="AA115" i="47"/>
  <c r="Z115" i="47"/>
  <c r="X115" i="47"/>
  <c r="W115" i="47"/>
  <c r="AG114" i="47"/>
  <c r="AF114" i="47"/>
  <c r="AD114" i="47"/>
  <c r="AC114" i="47"/>
  <c r="AA114" i="47"/>
  <c r="Z114" i="47"/>
  <c r="X114" i="47"/>
  <c r="W114" i="47"/>
  <c r="BQ113" i="47"/>
  <c r="BP113" i="47"/>
  <c r="BO113" i="47"/>
  <c r="BN113" i="47"/>
  <c r="BM113" i="47"/>
  <c r="BL113" i="47"/>
  <c r="BK113" i="47"/>
  <c r="BJ113" i="47"/>
  <c r="BI113" i="47"/>
  <c r="BH113" i="47"/>
  <c r="BG113" i="47"/>
  <c r="BF113" i="47"/>
  <c r="BE113" i="47"/>
  <c r="BD113" i="47"/>
  <c r="BC113" i="47"/>
  <c r="BB113" i="47"/>
  <c r="BA113" i="47"/>
  <c r="AZ113" i="47"/>
  <c r="AY113" i="47"/>
  <c r="AX113" i="47"/>
  <c r="AW113" i="47"/>
  <c r="AV113" i="47"/>
  <c r="AU113" i="47"/>
  <c r="AT113" i="47"/>
  <c r="AG112" i="47"/>
  <c r="AF112" i="47"/>
  <c r="AD112" i="47"/>
  <c r="AC112" i="47"/>
  <c r="AA112" i="47"/>
  <c r="Z112" i="47"/>
  <c r="X112" i="47"/>
  <c r="W112" i="47"/>
  <c r="AG111" i="47"/>
  <c r="AF111" i="47"/>
  <c r="AD111" i="47"/>
  <c r="AC111" i="47"/>
  <c r="AA111" i="47"/>
  <c r="Z111" i="47"/>
  <c r="X111" i="47"/>
  <c r="W111" i="47"/>
  <c r="BQ110" i="47"/>
  <c r="BP110" i="47"/>
  <c r="BO110" i="47"/>
  <c r="BN110" i="47"/>
  <c r="BM110" i="47"/>
  <c r="BL110" i="47"/>
  <c r="BK110" i="47"/>
  <c r="BJ110" i="47"/>
  <c r="BI110" i="47"/>
  <c r="BH110" i="47"/>
  <c r="BG110" i="47"/>
  <c r="BF110" i="47"/>
  <c r="BE110" i="47"/>
  <c r="BD110" i="47"/>
  <c r="BC110" i="47"/>
  <c r="BB110" i="47"/>
  <c r="BA110" i="47"/>
  <c r="AZ110" i="47"/>
  <c r="AY110" i="47"/>
  <c r="AX110" i="47"/>
  <c r="AW110" i="47"/>
  <c r="AV110" i="47"/>
  <c r="AU110" i="47"/>
  <c r="AT110" i="47"/>
  <c r="AG109" i="47"/>
  <c r="AF109" i="47"/>
  <c r="AD109" i="47"/>
  <c r="AC109" i="47"/>
  <c r="AA109" i="47"/>
  <c r="Z109" i="47"/>
  <c r="X109" i="47"/>
  <c r="W109" i="47"/>
  <c r="AG108" i="47"/>
  <c r="AF108" i="47"/>
  <c r="AD108" i="47"/>
  <c r="AC108" i="47"/>
  <c r="AA108" i="47"/>
  <c r="Z108" i="47"/>
  <c r="X108" i="47"/>
  <c r="W108" i="47"/>
  <c r="BQ107" i="47"/>
  <c r="BP107" i="47"/>
  <c r="BO107" i="47"/>
  <c r="BN107" i="47"/>
  <c r="BM107" i="47"/>
  <c r="BL107" i="47"/>
  <c r="BK107" i="47"/>
  <c r="BJ107" i="47"/>
  <c r="BI107" i="47"/>
  <c r="BH107" i="47"/>
  <c r="BG107" i="47"/>
  <c r="BF107" i="47"/>
  <c r="BE107" i="47"/>
  <c r="BD107" i="47"/>
  <c r="BC107" i="47"/>
  <c r="BB107" i="47"/>
  <c r="BA107" i="47"/>
  <c r="AZ107" i="47"/>
  <c r="AY107" i="47"/>
  <c r="AX107" i="47"/>
  <c r="AW107" i="47"/>
  <c r="AV107" i="47"/>
  <c r="AU107" i="47"/>
  <c r="AT107" i="47"/>
  <c r="AG106" i="47"/>
  <c r="AF106" i="47"/>
  <c r="AD106" i="47"/>
  <c r="AC106" i="47"/>
  <c r="AA106" i="47"/>
  <c r="Z106" i="47"/>
  <c r="X106" i="47"/>
  <c r="W106" i="47"/>
  <c r="AG105" i="47"/>
  <c r="AF105" i="47"/>
  <c r="AD105" i="47"/>
  <c r="AC105" i="47"/>
  <c r="AA105" i="47"/>
  <c r="Z105" i="47"/>
  <c r="X105" i="47"/>
  <c r="W105" i="47"/>
  <c r="BQ104" i="47"/>
  <c r="BP104" i="47"/>
  <c r="BO104" i="47"/>
  <c r="BN104" i="47"/>
  <c r="BM104" i="47"/>
  <c r="BL104" i="47"/>
  <c r="BK104" i="47"/>
  <c r="BJ104" i="47"/>
  <c r="BI104" i="47"/>
  <c r="BH104" i="47"/>
  <c r="BG104" i="47"/>
  <c r="BF104" i="47"/>
  <c r="BE104" i="47"/>
  <c r="BD104" i="47"/>
  <c r="BC104" i="47"/>
  <c r="BB104" i="47"/>
  <c r="BA104" i="47"/>
  <c r="AZ104" i="47"/>
  <c r="AY104" i="47"/>
  <c r="AX104" i="47"/>
  <c r="AW104" i="47"/>
  <c r="AV104" i="47"/>
  <c r="AU104" i="47"/>
  <c r="AT104" i="47"/>
  <c r="AG103" i="47"/>
  <c r="AF103" i="47"/>
  <c r="AD103" i="47"/>
  <c r="AC103" i="47"/>
  <c r="AA103" i="47"/>
  <c r="Z103" i="47"/>
  <c r="X103" i="47"/>
  <c r="W103" i="47"/>
  <c r="AG102" i="47"/>
  <c r="AF102" i="47"/>
  <c r="AD102" i="47"/>
  <c r="AC102" i="47"/>
  <c r="AA102" i="47"/>
  <c r="Z102" i="47"/>
  <c r="X102" i="47"/>
  <c r="W102" i="47"/>
  <c r="BQ101" i="47"/>
  <c r="BP101" i="47"/>
  <c r="BO101" i="47"/>
  <c r="BN101" i="47"/>
  <c r="BM101" i="47"/>
  <c r="BL101" i="47"/>
  <c r="BK101" i="47"/>
  <c r="BJ101" i="47"/>
  <c r="BJ100" i="47" s="1"/>
  <c r="BI101" i="47"/>
  <c r="BH101" i="47"/>
  <c r="BG101" i="47"/>
  <c r="BF101" i="47"/>
  <c r="BE101" i="47"/>
  <c r="BE100" i="47" s="1"/>
  <c r="BD101" i="47"/>
  <c r="BC101" i="47"/>
  <c r="BB101" i="47"/>
  <c r="BB100" i="47" s="1"/>
  <c r="BA101" i="47"/>
  <c r="AZ101" i="47"/>
  <c r="AY101" i="47"/>
  <c r="AX101" i="47"/>
  <c r="AX100" i="47" s="1"/>
  <c r="AW101" i="47"/>
  <c r="AV101" i="47"/>
  <c r="AU101" i="47"/>
  <c r="AT101" i="47"/>
  <c r="P101" i="47"/>
  <c r="P100" i="47" s="1"/>
  <c r="N101" i="47"/>
  <c r="N100" i="47" s="1"/>
  <c r="O100" i="47"/>
  <c r="O130" i="47" s="1"/>
  <c r="AG99" i="47"/>
  <c r="AF99" i="47"/>
  <c r="AD99" i="47"/>
  <c r="AC99" i="47"/>
  <c r="AA99" i="47"/>
  <c r="Z99" i="47"/>
  <c r="X99" i="47"/>
  <c r="W99" i="47"/>
  <c r="AG98" i="47"/>
  <c r="AF98" i="47"/>
  <c r="AD98" i="47"/>
  <c r="AC98" i="47"/>
  <c r="AA98" i="47"/>
  <c r="Z98" i="47"/>
  <c r="X98" i="47"/>
  <c r="W98" i="47"/>
  <c r="AG97" i="47"/>
  <c r="AF97" i="47"/>
  <c r="AD97" i="47"/>
  <c r="AC97" i="47"/>
  <c r="AA97" i="47"/>
  <c r="Z97" i="47"/>
  <c r="X97" i="47"/>
  <c r="W97" i="47"/>
  <c r="AG96" i="47"/>
  <c r="AF96" i="47"/>
  <c r="AD96" i="47"/>
  <c r="AC96" i="47"/>
  <c r="AA96" i="47"/>
  <c r="Z96" i="47"/>
  <c r="X96" i="47"/>
  <c r="W96" i="47"/>
  <c r="BQ95" i="47"/>
  <c r="BP95" i="47"/>
  <c r="BO95" i="47"/>
  <c r="BN95" i="47"/>
  <c r="BM95" i="47"/>
  <c r="BL95" i="47"/>
  <c r="BK95" i="47"/>
  <c r="BJ95" i="47"/>
  <c r="BI95" i="47"/>
  <c r="BH95" i="47"/>
  <c r="BG95" i="47"/>
  <c r="BF95" i="47"/>
  <c r="BE95" i="47"/>
  <c r="BD95" i="47"/>
  <c r="BC95" i="47"/>
  <c r="BB95" i="47"/>
  <c r="BA95" i="47"/>
  <c r="AZ95" i="47"/>
  <c r="AY95" i="47"/>
  <c r="AX95" i="47"/>
  <c r="AW95" i="47"/>
  <c r="AV95" i="47"/>
  <c r="AU95" i="47"/>
  <c r="AT95" i="47"/>
  <c r="AG94" i="47"/>
  <c r="AF94" i="47"/>
  <c r="AD94" i="47"/>
  <c r="AC94" i="47"/>
  <c r="AA94" i="47"/>
  <c r="Z94" i="47"/>
  <c r="X94" i="47"/>
  <c r="W94" i="47"/>
  <c r="AG93" i="47"/>
  <c r="AF93" i="47"/>
  <c r="AD93" i="47"/>
  <c r="AC93" i="47"/>
  <c r="AA93" i="47"/>
  <c r="Z93" i="47"/>
  <c r="X93" i="47"/>
  <c r="W93" i="47"/>
  <c r="AG92" i="47"/>
  <c r="AF92" i="47"/>
  <c r="AD92" i="47"/>
  <c r="AC92" i="47"/>
  <c r="AA92" i="47"/>
  <c r="Z92" i="47"/>
  <c r="X92" i="47"/>
  <c r="W92" i="47"/>
  <c r="BQ91" i="47"/>
  <c r="BP91" i="47"/>
  <c r="BO91" i="47"/>
  <c r="BN91" i="47"/>
  <c r="BM91" i="47"/>
  <c r="BL91" i="47"/>
  <c r="BK91" i="47"/>
  <c r="BJ91" i="47"/>
  <c r="BI91" i="47"/>
  <c r="BH91" i="47"/>
  <c r="BG91" i="47"/>
  <c r="BF91" i="47"/>
  <c r="BE91" i="47"/>
  <c r="BD91" i="47"/>
  <c r="BC91" i="47"/>
  <c r="BB91" i="47"/>
  <c r="BA91" i="47"/>
  <c r="AZ91" i="47"/>
  <c r="AY91" i="47"/>
  <c r="AX91" i="47"/>
  <c r="AW91" i="47"/>
  <c r="AV91" i="47"/>
  <c r="AU91" i="47"/>
  <c r="AT91" i="47"/>
  <c r="AG90" i="47"/>
  <c r="AF90" i="47"/>
  <c r="AD90" i="47"/>
  <c r="AC90" i="47"/>
  <c r="AA90" i="47"/>
  <c r="Z90" i="47"/>
  <c r="X90" i="47"/>
  <c r="W90" i="47"/>
  <c r="AG89" i="47"/>
  <c r="AF89" i="47"/>
  <c r="AD89" i="47"/>
  <c r="AC89" i="47"/>
  <c r="AA89" i="47"/>
  <c r="Z89" i="47"/>
  <c r="X89" i="47"/>
  <c r="W89" i="47"/>
  <c r="AG88" i="47"/>
  <c r="AF88" i="47"/>
  <c r="AD88" i="47"/>
  <c r="AC88" i="47"/>
  <c r="AA88" i="47"/>
  <c r="Z88" i="47"/>
  <c r="X88" i="47"/>
  <c r="W88" i="47"/>
  <c r="AG87" i="47"/>
  <c r="AF87" i="47"/>
  <c r="AD87" i="47"/>
  <c r="AC87" i="47"/>
  <c r="AA87" i="47"/>
  <c r="Z87" i="47"/>
  <c r="X87" i="47"/>
  <c r="W87" i="47"/>
  <c r="AG86" i="47"/>
  <c r="AF86" i="47"/>
  <c r="AD86" i="47"/>
  <c r="AC86" i="47"/>
  <c r="AA86" i="47"/>
  <c r="Z86" i="47"/>
  <c r="X86" i="47"/>
  <c r="W86" i="47"/>
  <c r="AG85" i="47"/>
  <c r="AF85" i="47"/>
  <c r="AD85" i="47"/>
  <c r="AC85" i="47"/>
  <c r="AA85" i="47"/>
  <c r="Z85" i="47"/>
  <c r="X85" i="47"/>
  <c r="W85" i="47"/>
  <c r="AG84" i="47"/>
  <c r="AF84" i="47"/>
  <c r="AD84" i="47"/>
  <c r="AC84" i="47"/>
  <c r="AA84" i="47"/>
  <c r="Z84" i="47"/>
  <c r="X84" i="47"/>
  <c r="W84" i="47"/>
  <c r="AG83" i="47"/>
  <c r="AF83" i="47"/>
  <c r="AD83" i="47"/>
  <c r="AC83" i="47"/>
  <c r="AA83" i="47"/>
  <c r="Z83" i="47"/>
  <c r="X83" i="47"/>
  <c r="W83" i="47"/>
  <c r="BQ82" i="47"/>
  <c r="BP82" i="47"/>
  <c r="BO82" i="47"/>
  <c r="BN82" i="47"/>
  <c r="BM82" i="47"/>
  <c r="BL82" i="47"/>
  <c r="BK82" i="47"/>
  <c r="BJ82" i="47"/>
  <c r="BI82" i="47"/>
  <c r="BH82" i="47"/>
  <c r="BG82" i="47"/>
  <c r="BF82" i="47"/>
  <c r="BE82" i="47"/>
  <c r="BD82" i="47"/>
  <c r="BC82" i="47"/>
  <c r="BB82" i="47"/>
  <c r="BA82" i="47"/>
  <c r="AZ82" i="47"/>
  <c r="AY82" i="47"/>
  <c r="AX82" i="47"/>
  <c r="AW82" i="47"/>
  <c r="AV82" i="47"/>
  <c r="AU82" i="47"/>
  <c r="AT82" i="47"/>
  <c r="AG81" i="47"/>
  <c r="AF81" i="47"/>
  <c r="AD81" i="47"/>
  <c r="AC81" i="47"/>
  <c r="AA81" i="47"/>
  <c r="Z81" i="47"/>
  <c r="X81" i="47"/>
  <c r="W81" i="47"/>
  <c r="AG80" i="47"/>
  <c r="AF80" i="47"/>
  <c r="AD80" i="47"/>
  <c r="AC80" i="47"/>
  <c r="AA80" i="47"/>
  <c r="Z80" i="47"/>
  <c r="X80" i="47"/>
  <c r="W80" i="47"/>
  <c r="BQ79" i="47"/>
  <c r="BP79" i="47"/>
  <c r="BO79" i="47"/>
  <c r="BN79" i="47"/>
  <c r="BM79" i="47"/>
  <c r="BL79" i="47"/>
  <c r="BK79" i="47"/>
  <c r="BJ79" i="47"/>
  <c r="BI79" i="47"/>
  <c r="BH79" i="47"/>
  <c r="BG79" i="47"/>
  <c r="BF79" i="47"/>
  <c r="BE79" i="47"/>
  <c r="BD79" i="47"/>
  <c r="BC79" i="47"/>
  <c r="BB79" i="47"/>
  <c r="BA79" i="47"/>
  <c r="AZ79" i="47"/>
  <c r="AY79" i="47"/>
  <c r="AX79" i="47"/>
  <c r="AW79" i="47"/>
  <c r="AV79" i="47"/>
  <c r="AU79" i="47"/>
  <c r="AT79" i="47"/>
  <c r="AG78" i="47"/>
  <c r="AF78" i="47"/>
  <c r="AD78" i="47"/>
  <c r="AC78" i="47"/>
  <c r="AA78" i="47"/>
  <c r="Z78" i="47"/>
  <c r="X78" i="47"/>
  <c r="W78" i="47"/>
  <c r="AG77" i="47"/>
  <c r="AF77" i="47"/>
  <c r="AD77" i="47"/>
  <c r="AC77" i="47"/>
  <c r="AA77" i="47"/>
  <c r="Z77" i="47"/>
  <c r="X77" i="47"/>
  <c r="W77" i="47"/>
  <c r="BQ76" i="47"/>
  <c r="BP76" i="47"/>
  <c r="BO76" i="47"/>
  <c r="BN76" i="47"/>
  <c r="BM76" i="47"/>
  <c r="BL76" i="47"/>
  <c r="BK76" i="47"/>
  <c r="BJ76" i="47"/>
  <c r="BI76" i="47"/>
  <c r="BH76" i="47"/>
  <c r="BG76" i="47"/>
  <c r="BF76" i="47"/>
  <c r="BE76" i="47"/>
  <c r="BD76" i="47"/>
  <c r="BC76" i="47"/>
  <c r="BB76" i="47"/>
  <c r="BA76" i="47"/>
  <c r="AZ76" i="47"/>
  <c r="AY76" i="47"/>
  <c r="AX76" i="47"/>
  <c r="AW76" i="47"/>
  <c r="AV76" i="47"/>
  <c r="AU76" i="47"/>
  <c r="AT76" i="47"/>
  <c r="AD76" i="47"/>
  <c r="AG75" i="47"/>
  <c r="AF75" i="47"/>
  <c r="AD75" i="47"/>
  <c r="AC75" i="47"/>
  <c r="AA75" i="47"/>
  <c r="Z75" i="47"/>
  <c r="X75" i="47"/>
  <c r="W75" i="47"/>
  <c r="AG74" i="47"/>
  <c r="AF74" i="47"/>
  <c r="AD74" i="47"/>
  <c r="AC74" i="47"/>
  <c r="AA74" i="47"/>
  <c r="Z74" i="47"/>
  <c r="X74" i="47"/>
  <c r="W74" i="47"/>
  <c r="AG73" i="47"/>
  <c r="AF73" i="47"/>
  <c r="AD73" i="47"/>
  <c r="AC73" i="47"/>
  <c r="AE73" i="47" s="1"/>
  <c r="AA73" i="47"/>
  <c r="Z73" i="47"/>
  <c r="X73" i="47"/>
  <c r="W73" i="47"/>
  <c r="AG72" i="47"/>
  <c r="AF72" i="47"/>
  <c r="AD72" i="47"/>
  <c r="AC72" i="47"/>
  <c r="AE72" i="47" s="1"/>
  <c r="AA72" i="47"/>
  <c r="Z72" i="47"/>
  <c r="X72" i="47"/>
  <c r="W72" i="47"/>
  <c r="AJ72" i="47" s="1"/>
  <c r="AG71" i="47"/>
  <c r="AF71" i="47"/>
  <c r="AD71" i="47"/>
  <c r="AC71" i="47"/>
  <c r="AE71" i="47" s="1"/>
  <c r="AA71" i="47"/>
  <c r="Z71" i="47"/>
  <c r="X71" i="47"/>
  <c r="W71" i="47"/>
  <c r="AG70" i="47"/>
  <c r="AF70" i="47"/>
  <c r="AD70" i="47"/>
  <c r="AC70" i="47"/>
  <c r="AA70" i="47"/>
  <c r="Z70" i="47"/>
  <c r="X70" i="47"/>
  <c r="W70" i="47"/>
  <c r="BQ69" i="47"/>
  <c r="BP69" i="47"/>
  <c r="BP68" i="47" s="1"/>
  <c r="BO69" i="47"/>
  <c r="BN69" i="47"/>
  <c r="BM69" i="47"/>
  <c r="BL69" i="47"/>
  <c r="BK69" i="47"/>
  <c r="BJ69" i="47"/>
  <c r="BJ68" i="47" s="1"/>
  <c r="BI69" i="47"/>
  <c r="BH69" i="47"/>
  <c r="BH68" i="47" s="1"/>
  <c r="BG69" i="47"/>
  <c r="BF69" i="47"/>
  <c r="BE69" i="47"/>
  <c r="BD69" i="47"/>
  <c r="BC69" i="47"/>
  <c r="BB69" i="47"/>
  <c r="BB68" i="47" s="1"/>
  <c r="BA69" i="47"/>
  <c r="AZ69" i="47"/>
  <c r="AZ68" i="47" s="1"/>
  <c r="AY69" i="47"/>
  <c r="AX69" i="47"/>
  <c r="AW69" i="47"/>
  <c r="AV69" i="47"/>
  <c r="AU69" i="47"/>
  <c r="AT69" i="47"/>
  <c r="AT68" i="47" s="1"/>
  <c r="AG69" i="47"/>
  <c r="P69" i="47"/>
  <c r="N69" i="47"/>
  <c r="P68" i="47"/>
  <c r="N68" i="47"/>
  <c r="AG67" i="47"/>
  <c r="AF67" i="47"/>
  <c r="AD67" i="47"/>
  <c r="AC67" i="47"/>
  <c r="AA67" i="47"/>
  <c r="Z67" i="47"/>
  <c r="X67" i="47"/>
  <c r="W67" i="47"/>
  <c r="BP66" i="47"/>
  <c r="BN66" i="47"/>
  <c r="BL66" i="47"/>
  <c r="BJ66" i="47"/>
  <c r="BH66" i="47"/>
  <c r="BF66" i="47"/>
  <c r="BD66" i="47"/>
  <c r="BB66" i="47"/>
  <c r="AZ66" i="47"/>
  <c r="AX66" i="47"/>
  <c r="AV66" i="47"/>
  <c r="AG66" i="47"/>
  <c r="AD66" i="47"/>
  <c r="AA66" i="47"/>
  <c r="X66" i="47"/>
  <c r="J66" i="47"/>
  <c r="AG65" i="47"/>
  <c r="AF65" i="47"/>
  <c r="AD65" i="47"/>
  <c r="AC65" i="47"/>
  <c r="AA65" i="47"/>
  <c r="Z65" i="47"/>
  <c r="X65" i="47"/>
  <c r="W65" i="47"/>
  <c r="BP64" i="47"/>
  <c r="AF64" i="47" s="1"/>
  <c r="AG64" i="47"/>
  <c r="AD64" i="47"/>
  <c r="AC64" i="47"/>
  <c r="AA64" i="47"/>
  <c r="Z64" i="47"/>
  <c r="X64" i="47"/>
  <c r="W64" i="47"/>
  <c r="J64" i="47"/>
  <c r="AV63" i="47"/>
  <c r="AG63" i="47"/>
  <c r="AF63" i="47"/>
  <c r="AD63" i="47"/>
  <c r="AC63" i="47"/>
  <c r="AA63" i="47"/>
  <c r="Z63" i="47"/>
  <c r="X63" i="47"/>
  <c r="W63" i="47"/>
  <c r="J63" i="47"/>
  <c r="BP62" i="47"/>
  <c r="AF62" i="47" s="1"/>
  <c r="AG62" i="47"/>
  <c r="AD62" i="47"/>
  <c r="AC62" i="47"/>
  <c r="AA62" i="47"/>
  <c r="Z62" i="47"/>
  <c r="X62" i="47"/>
  <c r="W62" i="47"/>
  <c r="J62" i="47"/>
  <c r="AG61" i="47"/>
  <c r="AF61" i="47"/>
  <c r="AD61" i="47"/>
  <c r="AC61" i="47"/>
  <c r="AA61" i="47"/>
  <c r="Z61" i="47"/>
  <c r="X61" i="47"/>
  <c r="W61" i="47"/>
  <c r="AG60" i="47"/>
  <c r="AF60" i="47"/>
  <c r="AD60" i="47"/>
  <c r="AC60" i="47"/>
  <c r="AA60" i="47"/>
  <c r="Z60" i="47"/>
  <c r="X60" i="47"/>
  <c r="W60" i="47"/>
  <c r="BP59" i="47"/>
  <c r="AF59" i="47" s="1"/>
  <c r="AG59" i="47"/>
  <c r="AD59" i="47"/>
  <c r="AC59" i="47"/>
  <c r="AA59" i="47"/>
  <c r="Z59" i="47"/>
  <c r="X59" i="47"/>
  <c r="W59" i="47"/>
  <c r="BP58" i="47"/>
  <c r="BN58" i="47"/>
  <c r="BL58" i="47"/>
  <c r="BJ58" i="47"/>
  <c r="BJ57" i="47" s="1"/>
  <c r="BH58" i="47"/>
  <c r="BF58" i="47"/>
  <c r="BF57" i="47" s="1"/>
  <c r="BD58" i="47"/>
  <c r="BD57" i="47" s="1"/>
  <c r="BB58" i="47"/>
  <c r="BB57" i="47" s="1"/>
  <c r="AZ58" i="47"/>
  <c r="AZ57" i="47" s="1"/>
  <c r="AX58" i="47"/>
  <c r="AV58" i="47"/>
  <c r="AG58" i="47"/>
  <c r="AD58" i="47"/>
  <c r="AA58" i="47"/>
  <c r="X58" i="47"/>
  <c r="BQ57" i="47"/>
  <c r="BO57" i="47"/>
  <c r="BM57" i="47"/>
  <c r="BL57" i="47"/>
  <c r="BK57" i="47"/>
  <c r="BI57" i="47"/>
  <c r="BG57" i="47"/>
  <c r="BE57" i="47"/>
  <c r="BC57" i="47"/>
  <c r="BA57" i="47"/>
  <c r="AY57" i="47"/>
  <c r="AW57" i="47"/>
  <c r="AU57" i="47"/>
  <c r="AT57" i="47"/>
  <c r="P57" i="47"/>
  <c r="N57" i="47"/>
  <c r="BJ56" i="47"/>
  <c r="BJ55" i="47" s="1"/>
  <c r="BH56" i="47"/>
  <c r="BH55" i="47" s="1"/>
  <c r="BF56" i="47"/>
  <c r="BD56" i="47"/>
  <c r="BB56" i="47"/>
  <c r="BB55" i="47" s="1"/>
  <c r="AZ56" i="47"/>
  <c r="AZ55" i="47" s="1"/>
  <c r="AX56" i="47"/>
  <c r="AV56" i="47"/>
  <c r="AV55" i="47" s="1"/>
  <c r="AG56" i="47"/>
  <c r="AF56" i="47"/>
  <c r="AD56" i="47"/>
  <c r="AA56" i="47"/>
  <c r="X56" i="47"/>
  <c r="BQ55" i="47"/>
  <c r="BP55" i="47"/>
  <c r="BO55" i="47"/>
  <c r="BN55" i="47"/>
  <c r="BM55" i="47"/>
  <c r="BL55" i="47"/>
  <c r="BK55" i="47"/>
  <c r="BI55" i="47"/>
  <c r="BG55" i="47"/>
  <c r="BE55" i="47"/>
  <c r="BC55" i="47"/>
  <c r="BA55" i="47"/>
  <c r="AY55" i="47"/>
  <c r="AW55" i="47"/>
  <c r="AU55" i="47"/>
  <c r="AT55" i="47"/>
  <c r="P55" i="47"/>
  <c r="N55" i="47"/>
  <c r="J55" i="47"/>
  <c r="BN54" i="47"/>
  <c r="AF54" i="47" s="1"/>
  <c r="AG54" i="47"/>
  <c r="AD54" i="47"/>
  <c r="AC54" i="47"/>
  <c r="AA54" i="47"/>
  <c r="Z54" i="47"/>
  <c r="X54" i="47"/>
  <c r="W54" i="47"/>
  <c r="BJ53" i="47"/>
  <c r="AC53" i="47" s="1"/>
  <c r="AG53" i="47"/>
  <c r="AF53" i="47"/>
  <c r="AD53" i="47"/>
  <c r="AA53" i="47"/>
  <c r="Z53" i="47"/>
  <c r="X53" i="47"/>
  <c r="W53" i="47"/>
  <c r="AZ52" i="47"/>
  <c r="Z52" i="47" s="1"/>
  <c r="AG52" i="47"/>
  <c r="AF52" i="47"/>
  <c r="AD52" i="47"/>
  <c r="AC52" i="47"/>
  <c r="AA52" i="47"/>
  <c r="X52" i="47"/>
  <c r="W52" i="47"/>
  <c r="AV51" i="47"/>
  <c r="AV50" i="47" s="1"/>
  <c r="AG51" i="47"/>
  <c r="AF51" i="47"/>
  <c r="AD51" i="47"/>
  <c r="AC51" i="47"/>
  <c r="AA51" i="47"/>
  <c r="Z51" i="47"/>
  <c r="X51" i="47"/>
  <c r="W51" i="47"/>
  <c r="BQ50" i="47"/>
  <c r="BP50" i="47"/>
  <c r="BO50" i="47"/>
  <c r="BM50" i="47"/>
  <c r="BL50" i="47"/>
  <c r="BK50" i="47"/>
  <c r="BI50" i="47"/>
  <c r="BH50" i="47"/>
  <c r="BG50" i="47"/>
  <c r="BF50" i="47"/>
  <c r="BE50" i="47"/>
  <c r="BD50" i="47"/>
  <c r="BC50" i="47"/>
  <c r="BB50" i="47"/>
  <c r="BA50" i="47"/>
  <c r="AY50" i="47"/>
  <c r="AX50" i="47"/>
  <c r="AW50" i="47"/>
  <c r="AU50" i="47"/>
  <c r="AT50" i="47"/>
  <c r="P50" i="47"/>
  <c r="N50" i="47"/>
  <c r="J50" i="47"/>
  <c r="BJ49" i="47"/>
  <c r="BJ48" i="47" s="1"/>
  <c r="BH49" i="47"/>
  <c r="BF49" i="47"/>
  <c r="BD49" i="47"/>
  <c r="BD48" i="47" s="1"/>
  <c r="BB49" i="47"/>
  <c r="BB48" i="47" s="1"/>
  <c r="AZ49" i="47"/>
  <c r="AZ48" i="47" s="1"/>
  <c r="AX49" i="47"/>
  <c r="AX48" i="47" s="1"/>
  <c r="AV49" i="47"/>
  <c r="AV48" i="47" s="1"/>
  <c r="AG49" i="47"/>
  <c r="AF49" i="47"/>
  <c r="AD49" i="47"/>
  <c r="AA49" i="47"/>
  <c r="X49" i="47"/>
  <c r="BQ48" i="47"/>
  <c r="BP48" i="47"/>
  <c r="BO48" i="47"/>
  <c r="BN48" i="47"/>
  <c r="BM48" i="47"/>
  <c r="BL48" i="47"/>
  <c r="BK48" i="47"/>
  <c r="BI48" i="47"/>
  <c r="BH48" i="47"/>
  <c r="BG48" i="47"/>
  <c r="BE48" i="47"/>
  <c r="BC48" i="47"/>
  <c r="BA48" i="47"/>
  <c r="AY48" i="47"/>
  <c r="AW48" i="47"/>
  <c r="AU48" i="47"/>
  <c r="AT48" i="47"/>
  <c r="S48" i="47"/>
  <c r="P48" i="47"/>
  <c r="N48" i="47"/>
  <c r="J48" i="47"/>
  <c r="BP47" i="47"/>
  <c r="AF47" i="47" s="1"/>
  <c r="AG47" i="47"/>
  <c r="AD47" i="47"/>
  <c r="AC47" i="47"/>
  <c r="AA47" i="47"/>
  <c r="Z47" i="47"/>
  <c r="X47" i="47"/>
  <c r="W47" i="47"/>
  <c r="BP46" i="47"/>
  <c r="AF46" i="47" s="1"/>
  <c r="AG46" i="47"/>
  <c r="AD46" i="47"/>
  <c r="AC46" i="47"/>
  <c r="AA46" i="47"/>
  <c r="Z46" i="47"/>
  <c r="X46" i="47"/>
  <c r="W46" i="47"/>
  <c r="BP45" i="47"/>
  <c r="AF45" i="47" s="1"/>
  <c r="AG45" i="47"/>
  <c r="AD45" i="47"/>
  <c r="AC45" i="47"/>
  <c r="AA45" i="47"/>
  <c r="Z45" i="47"/>
  <c r="X45" i="47"/>
  <c r="W45" i="47"/>
  <c r="J45" i="47"/>
  <c r="J44" i="47" s="1"/>
  <c r="BQ44" i="47"/>
  <c r="BO44" i="47"/>
  <c r="BN44" i="47"/>
  <c r="BM44" i="47"/>
  <c r="BL44" i="47"/>
  <c r="BK44" i="47"/>
  <c r="BJ44" i="47"/>
  <c r="BI44" i="47"/>
  <c r="BH44" i="47"/>
  <c r="BG44" i="47"/>
  <c r="BF44" i="47"/>
  <c r="BE44" i="47"/>
  <c r="BD44" i="47"/>
  <c r="BC44" i="47"/>
  <c r="BB44" i="47"/>
  <c r="BA44" i="47"/>
  <c r="AZ44" i="47"/>
  <c r="AY44" i="47"/>
  <c r="AX44" i="47"/>
  <c r="AW44" i="47"/>
  <c r="AV44" i="47"/>
  <c r="AU44" i="47"/>
  <c r="AT44" i="47"/>
  <c r="P44" i="47"/>
  <c r="N44" i="47"/>
  <c r="BP43" i="47"/>
  <c r="AF43" i="47" s="1"/>
  <c r="AG43" i="47"/>
  <c r="AD43" i="47"/>
  <c r="AC43" i="47"/>
  <c r="AA43" i="47"/>
  <c r="Z43" i="47"/>
  <c r="X43" i="47"/>
  <c r="W43" i="47"/>
  <c r="BQ42" i="47"/>
  <c r="BO42" i="47"/>
  <c r="BN42" i="47"/>
  <c r="BM42" i="47"/>
  <c r="BL42" i="47"/>
  <c r="BK42" i="47"/>
  <c r="BJ42" i="47"/>
  <c r="BI42" i="47"/>
  <c r="BH42" i="47"/>
  <c r="BG42" i="47"/>
  <c r="BF42" i="47"/>
  <c r="BE42" i="47"/>
  <c r="BD42" i="47"/>
  <c r="BC42" i="47"/>
  <c r="BB42" i="47"/>
  <c r="BA42" i="47"/>
  <c r="AZ42" i="47"/>
  <c r="AY42" i="47"/>
  <c r="AX42" i="47"/>
  <c r="AW42" i="47"/>
  <c r="AV42" i="47"/>
  <c r="AU42" i="47"/>
  <c r="AT42" i="47"/>
  <c r="P42" i="47"/>
  <c r="N42" i="47"/>
  <c r="J42" i="47"/>
  <c r="M42" i="47" s="1"/>
  <c r="AG41" i="47"/>
  <c r="AF41" i="47"/>
  <c r="AD41" i="47"/>
  <c r="AC41" i="47"/>
  <c r="AA41" i="47"/>
  <c r="Z41" i="47"/>
  <c r="X41" i="47"/>
  <c r="W41" i="47"/>
  <c r="BP40" i="47"/>
  <c r="AF40" i="47" s="1"/>
  <c r="AG40" i="47"/>
  <c r="AD40" i="47"/>
  <c r="AC40" i="47"/>
  <c r="AA40" i="47"/>
  <c r="Z40" i="47"/>
  <c r="X40" i="47"/>
  <c r="W40" i="47"/>
  <c r="BQ39" i="47"/>
  <c r="BO39" i="47"/>
  <c r="BN39" i="47"/>
  <c r="BM39" i="47"/>
  <c r="BL39" i="47"/>
  <c r="BK39" i="47"/>
  <c r="BJ39" i="47"/>
  <c r="BI39" i="47"/>
  <c r="BH39" i="47"/>
  <c r="BG39" i="47"/>
  <c r="BF39" i="47"/>
  <c r="BE39" i="47"/>
  <c r="BD39" i="47"/>
  <c r="BC39" i="47"/>
  <c r="BB39" i="47"/>
  <c r="BA39" i="47"/>
  <c r="AZ39" i="47"/>
  <c r="AY39" i="47"/>
  <c r="AX39" i="47"/>
  <c r="AW39" i="47"/>
  <c r="AV39" i="47"/>
  <c r="AU39" i="47"/>
  <c r="AT39" i="47"/>
  <c r="P39" i="47"/>
  <c r="N39" i="47"/>
  <c r="J39" i="47"/>
  <c r="AG38" i="47"/>
  <c r="AF38" i="47"/>
  <c r="AD38" i="47"/>
  <c r="AC38" i="47"/>
  <c r="AA38" i="47"/>
  <c r="Z38" i="47"/>
  <c r="X38" i="47"/>
  <c r="W38" i="47"/>
  <c r="BP37" i="47"/>
  <c r="AF37" i="47" s="1"/>
  <c r="AG37" i="47"/>
  <c r="AD37" i="47"/>
  <c r="AC37" i="47"/>
  <c r="AA37" i="47"/>
  <c r="Z37" i="47"/>
  <c r="X37" i="47"/>
  <c r="W37" i="47"/>
  <c r="J37" i="47"/>
  <c r="J36" i="47" s="1"/>
  <c r="BQ36" i="47"/>
  <c r="BO36" i="47"/>
  <c r="BN36" i="47"/>
  <c r="BM36" i="47"/>
  <c r="BL36" i="47"/>
  <c r="BK36" i="47"/>
  <c r="BJ36" i="47"/>
  <c r="BI36" i="47"/>
  <c r="BH36" i="47"/>
  <c r="BG36" i="47"/>
  <c r="BF36" i="47"/>
  <c r="BE36" i="47"/>
  <c r="BD36" i="47"/>
  <c r="BC36" i="47"/>
  <c r="BB36" i="47"/>
  <c r="BA36" i="47"/>
  <c r="AZ36" i="47"/>
  <c r="AY36" i="47"/>
  <c r="AX36" i="47"/>
  <c r="AW36" i="47"/>
  <c r="AV36" i="47"/>
  <c r="AU36" i="47"/>
  <c r="X36" i="47" s="1"/>
  <c r="AT36" i="47"/>
  <c r="P36" i="47"/>
  <c r="N36" i="47"/>
  <c r="AG35" i="47"/>
  <c r="AF35" i="47"/>
  <c r="AD35" i="47"/>
  <c r="AC35" i="47"/>
  <c r="AA35" i="47"/>
  <c r="Z35" i="47"/>
  <c r="X35" i="47"/>
  <c r="W35" i="47"/>
  <c r="BP34" i="47"/>
  <c r="AF34" i="47" s="1"/>
  <c r="AG34" i="47"/>
  <c r="AD34" i="47"/>
  <c r="AC34" i="47"/>
  <c r="AA34" i="47"/>
  <c r="Z34" i="47"/>
  <c r="X34" i="47"/>
  <c r="W34" i="47"/>
  <c r="BP33" i="47"/>
  <c r="AF33" i="47" s="1"/>
  <c r="AG33" i="47"/>
  <c r="AD33" i="47"/>
  <c r="AC33" i="47"/>
  <c r="AA33" i="47"/>
  <c r="Z33" i="47"/>
  <c r="X33" i="47"/>
  <c r="W33" i="47"/>
  <c r="AG32" i="47"/>
  <c r="AF32" i="47"/>
  <c r="AD32" i="47"/>
  <c r="AC32" i="47"/>
  <c r="AA32" i="47"/>
  <c r="Z32" i="47"/>
  <c r="X32" i="47"/>
  <c r="W32" i="47"/>
  <c r="AJ32" i="47" s="1"/>
  <c r="BQ31" i="47"/>
  <c r="BO31" i="47"/>
  <c r="BN31" i="47"/>
  <c r="BM31" i="47"/>
  <c r="BL31" i="47"/>
  <c r="BK31" i="47"/>
  <c r="BJ31" i="47"/>
  <c r="BI31" i="47"/>
  <c r="BH31" i="47"/>
  <c r="BG31" i="47"/>
  <c r="BF31" i="47"/>
  <c r="BE31" i="47"/>
  <c r="BD31" i="47"/>
  <c r="BC31" i="47"/>
  <c r="BB31" i="47"/>
  <c r="BA31" i="47"/>
  <c r="AZ31" i="47"/>
  <c r="AY31" i="47"/>
  <c r="AX31" i="47"/>
  <c r="AW31" i="47"/>
  <c r="AV31" i="47"/>
  <c r="AU31" i="47"/>
  <c r="AT31" i="47"/>
  <c r="P31" i="47"/>
  <c r="N31" i="47"/>
  <c r="J31" i="47"/>
  <c r="BP30" i="47"/>
  <c r="BN30" i="47"/>
  <c r="BL30" i="47"/>
  <c r="BJ30" i="47"/>
  <c r="BH30" i="47"/>
  <c r="BF30" i="47"/>
  <c r="BD30" i="47"/>
  <c r="BB30" i="47"/>
  <c r="AZ30" i="47"/>
  <c r="AX30" i="47"/>
  <c r="AV30" i="47"/>
  <c r="AG30" i="47"/>
  <c r="AD30" i="47"/>
  <c r="AA30" i="47"/>
  <c r="X30" i="47"/>
  <c r="J30" i="47"/>
  <c r="AG29" i="47"/>
  <c r="AF29" i="47"/>
  <c r="AD29" i="47"/>
  <c r="AC29" i="47"/>
  <c r="AA29" i="47"/>
  <c r="Z29" i="47"/>
  <c r="X29" i="47"/>
  <c r="W29" i="47"/>
  <c r="AG28" i="47"/>
  <c r="AF28" i="47"/>
  <c r="AD28" i="47"/>
  <c r="AC28" i="47"/>
  <c r="AA28" i="47"/>
  <c r="Z28" i="47"/>
  <c r="X28" i="47"/>
  <c r="W28" i="47"/>
  <c r="AG27" i="47"/>
  <c r="AF27" i="47"/>
  <c r="AD27" i="47"/>
  <c r="AC27" i="47"/>
  <c r="AA27" i="47"/>
  <c r="Z27" i="47"/>
  <c r="X27" i="47"/>
  <c r="W27" i="47"/>
  <c r="AG26" i="47"/>
  <c r="AF26" i="47"/>
  <c r="AD26" i="47"/>
  <c r="AC26" i="47"/>
  <c r="AA26" i="47"/>
  <c r="Z26" i="47"/>
  <c r="X26" i="47"/>
  <c r="W26" i="47"/>
  <c r="AG25" i="47"/>
  <c r="AF25" i="47"/>
  <c r="AD25" i="47"/>
  <c r="AC25" i="47"/>
  <c r="AA25" i="47"/>
  <c r="Z25" i="47"/>
  <c r="X25" i="47"/>
  <c r="W25" i="47"/>
  <c r="AG24" i="47"/>
  <c r="AF24" i="47"/>
  <c r="AD24" i="47"/>
  <c r="AC24" i="47"/>
  <c r="AA24" i="47"/>
  <c r="Z24" i="47"/>
  <c r="X24" i="47"/>
  <c r="W24" i="47"/>
  <c r="P24" i="47"/>
  <c r="N24" i="47"/>
  <c r="J24" i="47"/>
  <c r="AG23" i="47"/>
  <c r="AF23" i="47"/>
  <c r="AD23" i="47"/>
  <c r="AC23" i="47"/>
  <c r="AA23" i="47"/>
  <c r="Z23" i="47"/>
  <c r="X23" i="47"/>
  <c r="W23" i="47"/>
  <c r="P23" i="47"/>
  <c r="N23" i="47"/>
  <c r="J23" i="47"/>
  <c r="AG22" i="47"/>
  <c r="AF22" i="47"/>
  <c r="AD22" i="47"/>
  <c r="AC22" i="47"/>
  <c r="AA22" i="47"/>
  <c r="Z22" i="47"/>
  <c r="X22" i="47"/>
  <c r="W22" i="47"/>
  <c r="N22" i="47"/>
  <c r="BQ21" i="47"/>
  <c r="BP21" i="47"/>
  <c r="BO21" i="47"/>
  <c r="BN21" i="47"/>
  <c r="BM21" i="47"/>
  <c r="BL21" i="47"/>
  <c r="BK21" i="47"/>
  <c r="BJ21" i="47"/>
  <c r="BI21" i="47"/>
  <c r="BH21" i="47"/>
  <c r="BG21" i="47"/>
  <c r="BF21" i="47"/>
  <c r="BE21" i="47"/>
  <c r="BD21" i="47"/>
  <c r="BC21" i="47"/>
  <c r="BB21" i="47"/>
  <c r="BA21" i="47"/>
  <c r="AZ21" i="47"/>
  <c r="AY21" i="47"/>
  <c r="AX21" i="47"/>
  <c r="AW21" i="47"/>
  <c r="AV21" i="47"/>
  <c r="AU21" i="47"/>
  <c r="AT21" i="47"/>
  <c r="AG20" i="47"/>
  <c r="AF20" i="47"/>
  <c r="AD20" i="47"/>
  <c r="AC20" i="47"/>
  <c r="AA20" i="47"/>
  <c r="Z20" i="47"/>
  <c r="X20" i="47"/>
  <c r="W20" i="47"/>
  <c r="J20" i="47"/>
  <c r="AG19" i="47"/>
  <c r="AF19" i="47"/>
  <c r="AD19" i="47"/>
  <c r="AC19" i="47"/>
  <c r="AA19" i="47"/>
  <c r="Z19" i="47"/>
  <c r="X19" i="47"/>
  <c r="W19" i="47"/>
  <c r="P19" i="47"/>
  <c r="N19" i="47"/>
  <c r="J19" i="47"/>
  <c r="AG18" i="47"/>
  <c r="AF18" i="47"/>
  <c r="AD18" i="47"/>
  <c r="AC18" i="47"/>
  <c r="AA18" i="47"/>
  <c r="Z18" i="47"/>
  <c r="X18" i="47"/>
  <c r="W18" i="47"/>
  <c r="P18" i="47"/>
  <c r="N18" i="47"/>
  <c r="J18" i="47"/>
  <c r="AG17" i="47"/>
  <c r="AF17" i="47"/>
  <c r="AD17" i="47"/>
  <c r="AC17" i="47"/>
  <c r="AA17" i="47"/>
  <c r="Z17" i="47"/>
  <c r="X17" i="47"/>
  <c r="W17" i="47"/>
  <c r="P17" i="47"/>
  <c r="N17" i="47"/>
  <c r="J17" i="47"/>
  <c r="AG16" i="47"/>
  <c r="AF16" i="47"/>
  <c r="AD16" i="47"/>
  <c r="AC16" i="47"/>
  <c r="AA16" i="47"/>
  <c r="Z16" i="47"/>
  <c r="X16" i="47"/>
  <c r="W16" i="47"/>
  <c r="N16" i="47"/>
  <c r="BQ15" i="47"/>
  <c r="BP15" i="47"/>
  <c r="BO15" i="47"/>
  <c r="BN15" i="47"/>
  <c r="BM15" i="47"/>
  <c r="BL15" i="47"/>
  <c r="BK15" i="47"/>
  <c r="BJ15" i="47"/>
  <c r="BI15" i="47"/>
  <c r="BH15" i="47"/>
  <c r="BG15" i="47"/>
  <c r="BF15" i="47"/>
  <c r="BE15" i="47"/>
  <c r="BD15" i="47"/>
  <c r="BC15" i="47"/>
  <c r="BB15" i="47"/>
  <c r="BA15" i="47"/>
  <c r="AZ15" i="47"/>
  <c r="AY15" i="47"/>
  <c r="AX15" i="47"/>
  <c r="AW15" i="47"/>
  <c r="AV15" i="47"/>
  <c r="AU15" i="47"/>
  <c r="AT15" i="47"/>
  <c r="AG14" i="47"/>
  <c r="AF14" i="47"/>
  <c r="AD14" i="47"/>
  <c r="AC14" i="47"/>
  <c r="AA14" i="47"/>
  <c r="Z14" i="47"/>
  <c r="X14" i="47"/>
  <c r="W14" i="47"/>
  <c r="BP13" i="47"/>
  <c r="BN13" i="47"/>
  <c r="BJ13" i="47"/>
  <c r="BH13" i="47"/>
  <c r="BF13" i="47"/>
  <c r="BD13" i="47"/>
  <c r="BB13" i="47"/>
  <c r="AZ13" i="47"/>
  <c r="AX13" i="47"/>
  <c r="AV13" i="47"/>
  <c r="AG13" i="47"/>
  <c r="AD13" i="47"/>
  <c r="AA13" i="47"/>
  <c r="X13" i="47"/>
  <c r="M13" i="47"/>
  <c r="AG12" i="47"/>
  <c r="AF12" i="47"/>
  <c r="AD12" i="47"/>
  <c r="AC12" i="47"/>
  <c r="AA12" i="47"/>
  <c r="Z12" i="47"/>
  <c r="X12" i="47"/>
  <c r="W12" i="47"/>
  <c r="M12" i="47"/>
  <c r="Q10" i="47"/>
  <c r="O10" i="47"/>
  <c r="L10" i="47"/>
  <c r="K10" i="47"/>
  <c r="BQ7" i="47"/>
  <c r="BP7" i="47" s="1"/>
  <c r="BJ7" i="47"/>
  <c r="BD7" i="47"/>
  <c r="AX7" i="47"/>
  <c r="BO5" i="47"/>
  <c r="BM5" i="47"/>
  <c r="BK5" i="47"/>
  <c r="AG4" i="47"/>
  <c r="AF4" i="47"/>
  <c r="AD4" i="47"/>
  <c r="AC4" i="47"/>
  <c r="AA4" i="47"/>
  <c r="Z4" i="47"/>
  <c r="X4" i="47"/>
  <c r="W4" i="47"/>
  <c r="BQ3" i="47"/>
  <c r="BP3" i="47"/>
  <c r="BO3" i="47"/>
  <c r="BN3" i="47"/>
  <c r="BM3" i="47"/>
  <c r="BL3" i="47"/>
  <c r="BK3" i="47"/>
  <c r="BJ3" i="47"/>
  <c r="BI3" i="47"/>
  <c r="BH3" i="47"/>
  <c r="BG3" i="47"/>
  <c r="BF3" i="47"/>
  <c r="BE3" i="47"/>
  <c r="BD3" i="47"/>
  <c r="BC3" i="47"/>
  <c r="BB3" i="47"/>
  <c r="BA3" i="47"/>
  <c r="AZ3" i="47"/>
  <c r="AY3" i="47"/>
  <c r="AX3" i="47"/>
  <c r="AW3" i="47"/>
  <c r="AV3" i="47"/>
  <c r="AU3" i="47"/>
  <c r="X3" i="47" s="1"/>
  <c r="AT3" i="47"/>
  <c r="Q3" i="47"/>
  <c r="P3" i="47"/>
  <c r="O3" i="47"/>
  <c r="N3" i="47"/>
  <c r="M3" i="47"/>
  <c r="L3" i="47"/>
  <c r="K3" i="47"/>
  <c r="J3" i="47"/>
  <c r="AB37" i="47" l="1"/>
  <c r="AE78" i="47"/>
  <c r="O137" i="47"/>
  <c r="AE144" i="47"/>
  <c r="AE146" i="47"/>
  <c r="AE147" i="47"/>
  <c r="AB149" i="47"/>
  <c r="AB151" i="47"/>
  <c r="W167" i="47"/>
  <c r="AE183" i="47"/>
  <c r="AM4" i="47"/>
  <c r="AD91" i="47"/>
  <c r="AB85" i="47"/>
  <c r="AH85" i="47"/>
  <c r="AB87" i="47"/>
  <c r="AH87" i="47"/>
  <c r="AH88" i="47"/>
  <c r="AB89" i="47"/>
  <c r="AH89" i="47"/>
  <c r="AH92" i="47"/>
  <c r="AB93" i="47"/>
  <c r="AH98" i="47"/>
  <c r="L192" i="47"/>
  <c r="AE138" i="47"/>
  <c r="AH147" i="47"/>
  <c r="AB160" i="47"/>
  <c r="BF167" i="47"/>
  <c r="Z107" i="47"/>
  <c r="AA161" i="47"/>
  <c r="AG181" i="47"/>
  <c r="AB189" i="47"/>
  <c r="BJ50" i="47"/>
  <c r="AZ50" i="47"/>
  <c r="AC76" i="47"/>
  <c r="AE76" i="47" s="1"/>
  <c r="W124" i="47"/>
  <c r="Z128" i="47"/>
  <c r="AJ108" i="47"/>
  <c r="AQ4" i="47"/>
  <c r="Z142" i="47"/>
  <c r="AK160" i="47"/>
  <c r="AE162" i="47"/>
  <c r="AE164" i="47"/>
  <c r="Z167" i="47"/>
  <c r="AG39" i="47"/>
  <c r="AB70" i="47"/>
  <c r="X91" i="47"/>
  <c r="AD104" i="47"/>
  <c r="AC107" i="47"/>
  <c r="Z180" i="47"/>
  <c r="AB98" i="47"/>
  <c r="AF142" i="47"/>
  <c r="AK143" i="47"/>
  <c r="AK145" i="47"/>
  <c r="AD159" i="47"/>
  <c r="W161" i="47"/>
  <c r="AM162" i="47"/>
  <c r="AJ163" i="47"/>
  <c r="AJ172" i="47"/>
  <c r="W30" i="47"/>
  <c r="AF30" i="47"/>
  <c r="AE74" i="47"/>
  <c r="AE75" i="47"/>
  <c r="W134" i="47"/>
  <c r="W136" i="47" s="1"/>
  <c r="AP138" i="47"/>
  <c r="AS138" i="47" s="1"/>
  <c r="AB143" i="47"/>
  <c r="AB147" i="47"/>
  <c r="AD153" i="47"/>
  <c r="AF156" i="47"/>
  <c r="AB157" i="47"/>
  <c r="AK158" i="47"/>
  <c r="AH160" i="47"/>
  <c r="Z3" i="47"/>
  <c r="AA3" i="47"/>
  <c r="N15" i="47"/>
  <c r="AM27" i="47"/>
  <c r="AM28" i="47"/>
  <c r="AC30" i="47"/>
  <c r="AN35" i="47"/>
  <c r="AG50" i="47"/>
  <c r="AH54" i="47"/>
  <c r="AF55" i="47"/>
  <c r="Z56" i="47"/>
  <c r="AB56" i="47" s="1"/>
  <c r="Z66" i="47"/>
  <c r="AF66" i="47"/>
  <c r="X119" i="47"/>
  <c r="AC119" i="47"/>
  <c r="AC142" i="47"/>
  <c r="AG153" i="47"/>
  <c r="X161" i="47"/>
  <c r="X165" i="47"/>
  <c r="AA165" i="47"/>
  <c r="AF180" i="47"/>
  <c r="AD181" i="47"/>
  <c r="AM185" i="47"/>
  <c r="AD15" i="47"/>
  <c r="W31" i="47"/>
  <c r="AD44" i="47"/>
  <c r="AX68" i="47"/>
  <c r="BN68" i="47"/>
  <c r="AH38" i="47"/>
  <c r="AV57" i="47"/>
  <c r="Y135" i="47"/>
  <c r="AB166" i="47"/>
  <c r="AH185" i="47"/>
  <c r="AH186" i="47"/>
  <c r="AH188" i="47"/>
  <c r="N21" i="47"/>
  <c r="AJ46" i="47"/>
  <c r="AE51" i="47"/>
  <c r="BD55" i="47"/>
  <c r="AA57" i="47"/>
  <c r="W107" i="47"/>
  <c r="AM107" i="47" s="1"/>
  <c r="W110" i="47"/>
  <c r="W116" i="47"/>
  <c r="AJ118" i="47"/>
  <c r="X124" i="47"/>
  <c r="AA124" i="47"/>
  <c r="W126" i="47"/>
  <c r="AC153" i="47"/>
  <c r="AD180" i="47"/>
  <c r="AG180" i="47"/>
  <c r="AC3" i="47"/>
  <c r="AF3" i="47"/>
  <c r="X44" i="47"/>
  <c r="AQ45" i="47"/>
  <c r="AX57" i="47"/>
  <c r="BN57" i="47"/>
  <c r="AP73" i="47"/>
  <c r="Z76" i="47"/>
  <c r="Z91" i="47"/>
  <c r="AH93" i="47"/>
  <c r="K137" i="47"/>
  <c r="K192" i="47" s="1"/>
  <c r="N191" i="47"/>
  <c r="N194" i="47" s="1"/>
  <c r="AC180" i="47"/>
  <c r="AQ186" i="47"/>
  <c r="AD3" i="47"/>
  <c r="AN3" i="47" s="1"/>
  <c r="AG3" i="47"/>
  <c r="AG31" i="47"/>
  <c r="Z119" i="47"/>
  <c r="X159" i="47"/>
  <c r="AF167" i="47"/>
  <c r="AH4" i="47"/>
  <c r="AA39" i="47"/>
  <c r="AD42" i="47"/>
  <c r="W58" i="47"/>
  <c r="AV68" i="47"/>
  <c r="W68" i="47" s="1"/>
  <c r="BD68" i="47"/>
  <c r="BL68" i="47"/>
  <c r="AA119" i="47"/>
  <c r="AK119" i="47" s="1"/>
  <c r="W128" i="47"/>
  <c r="AG134" i="47"/>
  <c r="AG136" i="47" s="1"/>
  <c r="Z156" i="47"/>
  <c r="AC161" i="47"/>
  <c r="AB26" i="47"/>
  <c r="AE45" i="47"/>
  <c r="Y51" i="47"/>
  <c r="AA91" i="47"/>
  <c r="AK91" i="47" s="1"/>
  <c r="Y99" i="47"/>
  <c r="AC110" i="47"/>
  <c r="AD124" i="47"/>
  <c r="AG124" i="47"/>
  <c r="AC126" i="47"/>
  <c r="AC148" i="47"/>
  <c r="AF153" i="47"/>
  <c r="AD161" i="47"/>
  <c r="AN161" i="47" s="1"/>
  <c r="AG161" i="47"/>
  <c r="AC167" i="47"/>
  <c r="X180" i="47"/>
  <c r="AX181" i="47"/>
  <c r="AJ53" i="47"/>
  <c r="BF68" i="47"/>
  <c r="AF76" i="47"/>
  <c r="AA134" i="47"/>
  <c r="AA136" i="47" s="1"/>
  <c r="X142" i="47"/>
  <c r="AJ145" i="47"/>
  <c r="Y146" i="47"/>
  <c r="AM147" i="47"/>
  <c r="AH150" i="47"/>
  <c r="AH151" i="47"/>
  <c r="W180" i="47"/>
  <c r="AQ161" i="47"/>
  <c r="W3" i="47"/>
  <c r="AB4" i="47"/>
  <c r="P15" i="47"/>
  <c r="AH20" i="47"/>
  <c r="P21" i="47"/>
  <c r="P130" i="47" s="1"/>
  <c r="P137" i="47" s="1"/>
  <c r="AH29" i="47"/>
  <c r="BP31" i="47"/>
  <c r="W42" i="47"/>
  <c r="Z42" i="47"/>
  <c r="AC42" i="47"/>
  <c r="BP42" i="47"/>
  <c r="AF42" i="47" s="1"/>
  <c r="AM43" i="47"/>
  <c r="Z44" i="47"/>
  <c r="AC44" i="47"/>
  <c r="AK46" i="47"/>
  <c r="U48" i="47"/>
  <c r="U161" i="47" s="1"/>
  <c r="AK49" i="47"/>
  <c r="AK54" i="47"/>
  <c r="AF58" i="47"/>
  <c r="AH65" i="47"/>
  <c r="W66" i="47"/>
  <c r="AD119" i="47"/>
  <c r="AG119" i="47"/>
  <c r="AH3" i="47"/>
  <c r="AE4" i="47"/>
  <c r="AM12" i="47"/>
  <c r="X15" i="47"/>
  <c r="Z30" i="47"/>
  <c r="X31" i="47"/>
  <c r="Y31" i="47" s="1"/>
  <c r="AA31" i="47"/>
  <c r="AD31" i="47"/>
  <c r="AN32" i="47"/>
  <c r="AN33" i="47"/>
  <c r="BP39" i="47"/>
  <c r="BN50" i="47"/>
  <c r="AF50" i="47" s="1"/>
  <c r="AH50" i="47" s="1"/>
  <c r="AK60" i="47"/>
  <c r="AC66" i="47"/>
  <c r="AE66" i="47" s="1"/>
  <c r="W79" i="47"/>
  <c r="AC82" i="47"/>
  <c r="AJ84" i="47"/>
  <c r="Y85" i="47"/>
  <c r="AJ88" i="47"/>
  <c r="AE88" i="47"/>
  <c r="AE89" i="47"/>
  <c r="AD95" i="47"/>
  <c r="AH102" i="47"/>
  <c r="X107" i="47"/>
  <c r="X110" i="47"/>
  <c r="Y110" i="47" s="1"/>
  <c r="AD110" i="47"/>
  <c r="X113" i="47"/>
  <c r="AD113" i="47"/>
  <c r="AN114" i="47"/>
  <c r="AF126" i="47"/>
  <c r="X153" i="47"/>
  <c r="AA153" i="47"/>
  <c r="AB163" i="47"/>
  <c r="AE166" i="47"/>
  <c r="AN179" i="47"/>
  <c r="BL181" i="47"/>
  <c r="AK13" i="47"/>
  <c r="AF13" i="47"/>
  <c r="AH13" i="47" s="1"/>
  <c r="AH14" i="47"/>
  <c r="AB19" i="47"/>
  <c r="AH45" i="47"/>
  <c r="AB46" i="47"/>
  <c r="AD55" i="47"/>
  <c r="AH56" i="47"/>
  <c r="Z55" i="47"/>
  <c r="AD57" i="47"/>
  <c r="AC58" i="47"/>
  <c r="BP57" i="47"/>
  <c r="AF57" i="47" s="1"/>
  <c r="AH60" i="47"/>
  <c r="AE64" i="47"/>
  <c r="AE65" i="47"/>
  <c r="AB67" i="47"/>
  <c r="AN74" i="47"/>
  <c r="X76" i="47"/>
  <c r="AN76" i="47" s="1"/>
  <c r="AA76" i="47"/>
  <c r="AG76" i="47"/>
  <c r="AH76" i="47" s="1"/>
  <c r="AK77" i="47"/>
  <c r="AG79" i="47"/>
  <c r="AC91" i="47"/>
  <c r="AE96" i="47"/>
  <c r="Y97" i="47"/>
  <c r="AW100" i="47"/>
  <c r="BM100" i="47"/>
  <c r="AB111" i="47"/>
  <c r="AB114" i="47"/>
  <c r="AH114" i="47"/>
  <c r="AE125" i="47"/>
  <c r="AG148" i="47"/>
  <c r="Y149" i="47"/>
  <c r="AE149" i="47"/>
  <c r="AM151" i="47"/>
  <c r="AE151" i="47"/>
  <c r="Y154" i="47"/>
  <c r="X156" i="47"/>
  <c r="AD156" i="47"/>
  <c r="AM175" i="47"/>
  <c r="AQ188" i="47"/>
  <c r="P191" i="47"/>
  <c r="P194" i="47" s="1"/>
  <c r="AG21" i="47"/>
  <c r="AE174" i="47"/>
  <c r="AB168" i="47"/>
  <c r="AH35" i="47"/>
  <c r="AD39" i="47"/>
  <c r="AN40" i="47"/>
  <c r="AH40" i="47"/>
  <c r="U55" i="47"/>
  <c r="U165" i="47" s="1"/>
  <c r="X55" i="47"/>
  <c r="AH61" i="47"/>
  <c r="AB62" i="47"/>
  <c r="AH62" i="47"/>
  <c r="AH64" i="47"/>
  <c r="AN78" i="47"/>
  <c r="AH78" i="47"/>
  <c r="AB80" i="47"/>
  <c r="AE83" i="47"/>
  <c r="AK85" i="47"/>
  <c r="AK87" i="47"/>
  <c r="AE90" i="47"/>
  <c r="AB96" i="47"/>
  <c r="AB99" i="47"/>
  <c r="AH99" i="47"/>
  <c r="AB103" i="47"/>
  <c r="AE109" i="47"/>
  <c r="Z110" i="47"/>
  <c r="AK115" i="47"/>
  <c r="X116" i="47"/>
  <c r="AD116" i="47"/>
  <c r="AK117" i="47"/>
  <c r="AH122" i="47"/>
  <c r="AB123" i="47"/>
  <c r="AH123" i="47"/>
  <c r="AH125" i="47"/>
  <c r="X126" i="47"/>
  <c r="AD126" i="47"/>
  <c r="AK127" i="47"/>
  <c r="Y129" i="47"/>
  <c r="AE129" i="47"/>
  <c r="AB158" i="47"/>
  <c r="AH180" i="47"/>
  <c r="AB182" i="47"/>
  <c r="AH182" i="47"/>
  <c r="AA21" i="47"/>
  <c r="AM22" i="47"/>
  <c r="AH23" i="47"/>
  <c r="AP25" i="47"/>
  <c r="AS25" i="47" s="1"/>
  <c r="AJ26" i="47"/>
  <c r="AC36" i="47"/>
  <c r="Z82" i="47"/>
  <c r="AF82" i="47"/>
  <c r="AJ92" i="47"/>
  <c r="W95" i="47"/>
  <c r="Z95" i="47"/>
  <c r="AC95" i="47"/>
  <c r="AE95" i="47" s="1"/>
  <c r="AF95" i="47"/>
  <c r="AJ103" i="47"/>
  <c r="AK108" i="47"/>
  <c r="AL108" i="47" s="1"/>
  <c r="AN109" i="47"/>
  <c r="AC113" i="47"/>
  <c r="AF113" i="47"/>
  <c r="AC124" i="47"/>
  <c r="X128" i="47"/>
  <c r="Y128" i="47" s="1"/>
  <c r="AK129" i="47"/>
  <c r="X148" i="47"/>
  <c r="W156" i="47"/>
  <c r="Z159" i="47"/>
  <c r="AC159" i="47"/>
  <c r="AF159" i="47"/>
  <c r="W165" i="47"/>
  <c r="AJ166" i="47"/>
  <c r="AD167" i="47"/>
  <c r="AK170" i="47"/>
  <c r="AQ171" i="47"/>
  <c r="AG15" i="47"/>
  <c r="AM18" i="47"/>
  <c r="AC21" i="47"/>
  <c r="AJ23" i="47"/>
  <c r="AK37" i="47"/>
  <c r="AA48" i="47"/>
  <c r="AG48" i="47"/>
  <c r="AH49" i="47"/>
  <c r="W50" i="47"/>
  <c r="Z50" i="47"/>
  <c r="AC50" i="47"/>
  <c r="AE60" i="47"/>
  <c r="AH63" i="47"/>
  <c r="AB65" i="47"/>
  <c r="BE68" i="47"/>
  <c r="BE10" i="47" s="1"/>
  <c r="BM68" i="47"/>
  <c r="BM10" i="47" s="1"/>
  <c r="BQ68" i="47"/>
  <c r="AH72" i="47"/>
  <c r="AB73" i="47"/>
  <c r="AE77" i="47"/>
  <c r="AE80" i="47"/>
  <c r="AE81" i="47"/>
  <c r="AB84" i="47"/>
  <c r="AB86" i="47"/>
  <c r="AH90" i="47"/>
  <c r="AE92" i="47"/>
  <c r="AN94" i="47"/>
  <c r="AK99" i="47"/>
  <c r="X101" i="47"/>
  <c r="AK102" i="47"/>
  <c r="W104" i="47"/>
  <c r="Z104" i="47"/>
  <c r="AJ105" i="47"/>
  <c r="AH108" i="47"/>
  <c r="AB109" i="47"/>
  <c r="AF110" i="47"/>
  <c r="AP110" i="47" s="1"/>
  <c r="AP111" i="47"/>
  <c r="AH111" i="47"/>
  <c r="AB118" i="47"/>
  <c r="AB120" i="47"/>
  <c r="AH121" i="47"/>
  <c r="AB129" i="47"/>
  <c r="AN164" i="47"/>
  <c r="AA181" i="47"/>
  <c r="AH17" i="47"/>
  <c r="AP190" i="47"/>
  <c r="AE169" i="47"/>
  <c r="AH177" i="47"/>
  <c r="AB178" i="47"/>
  <c r="AH178" i="47"/>
  <c r="AB179" i="47"/>
  <c r="AH179" i="47"/>
  <c r="AH168" i="47"/>
  <c r="AM169" i="47"/>
  <c r="AH169" i="47"/>
  <c r="AH170" i="47"/>
  <c r="AH171" i="47"/>
  <c r="AE175" i="47"/>
  <c r="AE176" i="47"/>
  <c r="AG167" i="47"/>
  <c r="AB12" i="47"/>
  <c r="AC13" i="47"/>
  <c r="AE13" i="47" s="1"/>
  <c r="AH16" i="47"/>
  <c r="AN17" i="47"/>
  <c r="AK19" i="47"/>
  <c r="AP20" i="47"/>
  <c r="AS20" i="47" s="1"/>
  <c r="AD21" i="47"/>
  <c r="AK24" i="47"/>
  <c r="AK25" i="47"/>
  <c r="AP29" i="47"/>
  <c r="AB30" i="47"/>
  <c r="AE33" i="47"/>
  <c r="AK34" i="47"/>
  <c r="AJ35" i="47"/>
  <c r="W39" i="47"/>
  <c r="BB10" i="47"/>
  <c r="AF21" i="47"/>
  <c r="AH21" i="47" s="1"/>
  <c r="AK22" i="47"/>
  <c r="Y23" i="47"/>
  <c r="AM24" i="47"/>
  <c r="AK29" i="47"/>
  <c r="AM34" i="47"/>
  <c r="Z36" i="47"/>
  <c r="AP38" i="47"/>
  <c r="AS38" i="47" s="1"/>
  <c r="W15" i="47"/>
  <c r="AK20" i="47"/>
  <c r="Z21" i="47"/>
  <c r="AK28" i="47"/>
  <c r="W36" i="47"/>
  <c r="AE12" i="47"/>
  <c r="BJ10" i="47"/>
  <c r="AE16" i="47"/>
  <c r="AE17" i="47"/>
  <c r="AH18" i="47"/>
  <c r="AH22" i="47"/>
  <c r="AH25" i="47"/>
  <c r="AH27" i="47"/>
  <c r="AH30" i="47"/>
  <c r="AH32" i="47"/>
  <c r="AF48" i="47"/>
  <c r="X50" i="47"/>
  <c r="AA50" i="47"/>
  <c r="AD50" i="47"/>
  <c r="AJ51" i="47"/>
  <c r="AB53" i="47"/>
  <c r="AP54" i="47"/>
  <c r="X57" i="47"/>
  <c r="AJ59" i="47"/>
  <c r="AN61" i="47"/>
  <c r="AJ63" i="47"/>
  <c r="AK64" i="47"/>
  <c r="AK67" i="47"/>
  <c r="AK72" i="47"/>
  <c r="AK73" i="47"/>
  <c r="AH77" i="47"/>
  <c r="AJ86" i="47"/>
  <c r="AE86" i="47"/>
  <c r="AB88" i="47"/>
  <c r="AB94" i="47"/>
  <c r="AK97" i="47"/>
  <c r="AM98" i="47"/>
  <c r="AM110" i="47"/>
  <c r="AB135" i="47"/>
  <c r="AH135" i="47"/>
  <c r="Y143" i="47"/>
  <c r="AH145" i="47"/>
  <c r="AN149" i="47"/>
  <c r="AB150" i="47"/>
  <c r="AE153" i="47"/>
  <c r="AJ164" i="47"/>
  <c r="AN165" i="47"/>
  <c r="AA167" i="47"/>
  <c r="AP173" i="47"/>
  <c r="AN174" i="47"/>
  <c r="AJ177" i="47"/>
  <c r="AE177" i="47"/>
  <c r="X181" i="47"/>
  <c r="AN183" i="47"/>
  <c r="AJ184" i="47"/>
  <c r="AH184" i="47"/>
  <c r="AN189" i="47"/>
  <c r="AE190" i="47"/>
  <c r="AC39" i="47"/>
  <c r="AJ40" i="47"/>
  <c r="AE40" i="47"/>
  <c r="AE41" i="47"/>
  <c r="M10" i="47"/>
  <c r="AH46" i="47"/>
  <c r="AK47" i="47"/>
  <c r="AK58" i="47"/>
  <c r="AE61" i="47"/>
  <c r="AB64" i="47"/>
  <c r="AF68" i="47"/>
  <c r="AN70" i="47"/>
  <c r="AH71" i="47"/>
  <c r="AY68" i="47"/>
  <c r="BK68" i="47"/>
  <c r="AG91" i="47"/>
  <c r="AQ92" i="47"/>
  <c r="Y93" i="47"/>
  <c r="AJ94" i="47"/>
  <c r="AE94" i="47"/>
  <c r="AH96" i="47"/>
  <c r="AQ97" i="47"/>
  <c r="AQ98" i="47"/>
  <c r="AE98" i="47"/>
  <c r="AH103" i="47"/>
  <c r="AE106" i="47"/>
  <c r="Z116" i="47"/>
  <c r="AF116" i="47"/>
  <c r="AB117" i="47"/>
  <c r="AH117" i="47"/>
  <c r="AK118" i="47"/>
  <c r="AL118" i="47" s="1"/>
  <c r="W119" i="47"/>
  <c r="AJ119" i="47" s="1"/>
  <c r="AF119" i="47"/>
  <c r="AH119" i="47" s="1"/>
  <c r="AJ120" i="47"/>
  <c r="AB121" i="47"/>
  <c r="AQ122" i="47"/>
  <c r="AJ123" i="47"/>
  <c r="AB125" i="47"/>
  <c r="Z126" i="47"/>
  <c r="AJ126" i="47" s="1"/>
  <c r="AB127" i="47"/>
  <c r="AH127" i="47"/>
  <c r="AA128" i="47"/>
  <c r="AD128" i="47"/>
  <c r="AG128" i="47"/>
  <c r="AH162" i="47"/>
  <c r="AH166" i="47"/>
  <c r="AJ168" i="47"/>
  <c r="AE168" i="47"/>
  <c r="AE170" i="47"/>
  <c r="AP171" i="47"/>
  <c r="AE171" i="47"/>
  <c r="AH172" i="47"/>
  <c r="AB174" i="47"/>
  <c r="AH174" i="47"/>
  <c r="AN175" i="47"/>
  <c r="AO175" i="47" s="1"/>
  <c r="AK176" i="47"/>
  <c r="W181" i="47"/>
  <c r="Y181" i="47" s="1"/>
  <c r="Z181" i="47"/>
  <c r="AC181" i="47"/>
  <c r="AF181" i="47"/>
  <c r="AH181" i="47" s="1"/>
  <c r="AN184" i="47"/>
  <c r="AJ185" i="47"/>
  <c r="AE185" i="47"/>
  <c r="AE186" i="47"/>
  <c r="AJ187" i="47"/>
  <c r="AL187" i="47" s="1"/>
  <c r="AE187" i="47"/>
  <c r="Y188" i="47"/>
  <c r="AE188" i="47"/>
  <c r="AB190" i="47"/>
  <c r="AH190" i="47"/>
  <c r="X42" i="47"/>
  <c r="AK43" i="47"/>
  <c r="W44" i="47"/>
  <c r="Y44" i="47" s="1"/>
  <c r="AB47" i="47"/>
  <c r="AH53" i="47"/>
  <c r="AH74" i="47"/>
  <c r="AB75" i="47"/>
  <c r="AH75" i="47"/>
  <c r="AE84" i="47"/>
  <c r="AH86" i="47"/>
  <c r="Y87" i="47"/>
  <c r="AQ87" i="47"/>
  <c r="AH97" i="47"/>
  <c r="AP102" i="47"/>
  <c r="AS102" i="47" s="1"/>
  <c r="AH105" i="47"/>
  <c r="AB106" i="47"/>
  <c r="AH106" i="47"/>
  <c r="AA107" i="47"/>
  <c r="AB107" i="47" s="1"/>
  <c r="AD107" i="47"/>
  <c r="AE107" i="47" s="1"/>
  <c r="AG107" i="47"/>
  <c r="AB108" i="47"/>
  <c r="AN112" i="47"/>
  <c r="W113" i="47"/>
  <c r="AE114" i="47"/>
  <c r="AH118" i="47"/>
  <c r="AK120" i="47"/>
  <c r="AM121" i="47"/>
  <c r="AE121" i="47"/>
  <c r="AP135" i="47"/>
  <c r="AE141" i="47"/>
  <c r="AN153" i="47"/>
  <c r="W153" i="47"/>
  <c r="Y153" i="47" s="1"/>
  <c r="AJ154" i="47"/>
  <c r="AH154" i="47"/>
  <c r="AH157" i="47"/>
  <c r="AC165" i="47"/>
  <c r="AE165" i="47" s="1"/>
  <c r="AE173" i="47"/>
  <c r="AH175" i="47"/>
  <c r="AB176" i="47"/>
  <c r="AH176" i="47"/>
  <c r="Y178" i="47"/>
  <c r="AH41" i="47"/>
  <c r="AE46" i="47"/>
  <c r="Z57" i="47"/>
  <c r="AH59" i="47"/>
  <c r="AJ64" i="47"/>
  <c r="AP67" i="47"/>
  <c r="AS67" i="47" s="1"/>
  <c r="X79" i="47"/>
  <c r="AA79" i="47"/>
  <c r="AD79" i="47"/>
  <c r="AN80" i="47"/>
  <c r="AH81" i="47"/>
  <c r="X82" i="47"/>
  <c r="AA82" i="47"/>
  <c r="AD82" i="47"/>
  <c r="AE82" i="47" s="1"/>
  <c r="AG82" i="47"/>
  <c r="AQ85" i="47"/>
  <c r="AQ99" i="47"/>
  <c r="BA100" i="47"/>
  <c r="BI100" i="47"/>
  <c r="BQ100" i="47"/>
  <c r="BQ10" i="47" s="1"/>
  <c r="AB105" i="47"/>
  <c r="AN106" i="47"/>
  <c r="AF107" i="47"/>
  <c r="AH109" i="47"/>
  <c r="AH112" i="47"/>
  <c r="AE120" i="47"/>
  <c r="AM131" i="47"/>
  <c r="X134" i="47"/>
  <c r="AD134" i="47"/>
  <c r="AD136" i="47" s="1"/>
  <c r="AK135" i="47"/>
  <c r="AR140" i="47"/>
  <c r="AM141" i="47"/>
  <c r="AA148" i="47"/>
  <c r="AJ155" i="47"/>
  <c r="AE155" i="47"/>
  <c r="AC156" i="47"/>
  <c r="AJ157" i="47"/>
  <c r="W159" i="47"/>
  <c r="AM159" i="47" s="1"/>
  <c r="AG165" i="47"/>
  <c r="AP180" i="47"/>
  <c r="AS180" i="47" s="1"/>
  <c r="AM42" i="47"/>
  <c r="AM14" i="47"/>
  <c r="AE14" i="47"/>
  <c r="BM130" i="47"/>
  <c r="AM16" i="47"/>
  <c r="AB17" i="47"/>
  <c r="Y19" i="47"/>
  <c r="AB21" i="47"/>
  <c r="AQ22" i="47"/>
  <c r="AK23" i="47"/>
  <c r="AP23" i="47"/>
  <c r="AS23" i="47" s="1"/>
  <c r="AE24" i="47"/>
  <c r="AH26" i="47"/>
  <c r="AE28" i="47"/>
  <c r="AN30" i="47"/>
  <c r="AB32" i="47"/>
  <c r="AE34" i="47"/>
  <c r="AB35" i="47"/>
  <c r="AJ37" i="47"/>
  <c r="AL37" i="47" s="1"/>
  <c r="AN37" i="47"/>
  <c r="AH37" i="47"/>
  <c r="AM41" i="47"/>
  <c r="AE43" i="47"/>
  <c r="AL46" i="47"/>
  <c r="Y47" i="47"/>
  <c r="AB50" i="47"/>
  <c r="AB52" i="47"/>
  <c r="AH52" i="47"/>
  <c r="AQ66" i="47"/>
  <c r="AB66" i="47"/>
  <c r="AE67" i="47"/>
  <c r="AU68" i="47"/>
  <c r="BC68" i="47"/>
  <c r="AJ70" i="47"/>
  <c r="Y70" i="47"/>
  <c r="AB74" i="47"/>
  <c r="AQ20" i="47"/>
  <c r="AQ25" i="47"/>
  <c r="AQ29" i="47"/>
  <c r="AE30" i="47"/>
  <c r="AE42" i="47"/>
  <c r="AE44" i="47"/>
  <c r="W48" i="47"/>
  <c r="AJ78" i="47"/>
  <c r="Y78" i="47"/>
  <c r="AB3" i="47"/>
  <c r="AJ14" i="47"/>
  <c r="AB14" i="47"/>
  <c r="AA15" i="47"/>
  <c r="AN15" i="47" s="1"/>
  <c r="AJ16" i="47"/>
  <c r="AB16" i="47"/>
  <c r="AJ17" i="47"/>
  <c r="AP18" i="47"/>
  <c r="AS18" i="47" s="1"/>
  <c r="AJ19" i="47"/>
  <c r="AN19" i="47"/>
  <c r="AH19" i="47"/>
  <c r="AM20" i="47"/>
  <c r="W21" i="47"/>
  <c r="AJ21" i="47" s="1"/>
  <c r="AB23" i="47"/>
  <c r="AH24" i="47"/>
  <c r="AM25" i="47"/>
  <c r="AK26" i="47"/>
  <c r="AL26" i="47" s="1"/>
  <c r="AE26" i="47"/>
  <c r="AP27" i="47"/>
  <c r="AS27" i="47" s="1"/>
  <c r="AH28" i="47"/>
  <c r="AM29" i="47"/>
  <c r="AJ30" i="47"/>
  <c r="AK32" i="47"/>
  <c r="AL32" i="47" s="1"/>
  <c r="AP32" i="47"/>
  <c r="AS32" i="47" s="1"/>
  <c r="AJ33" i="47"/>
  <c r="AH33" i="47"/>
  <c r="AH34" i="47"/>
  <c r="AK35" i="47"/>
  <c r="AP35" i="47"/>
  <c r="AS35" i="47" s="1"/>
  <c r="Y37" i="47"/>
  <c r="AK38" i="47"/>
  <c r="AQ38" i="47"/>
  <c r="X39" i="47"/>
  <c r="AQ40" i="47"/>
  <c r="AJ41" i="47"/>
  <c r="AB41" i="47"/>
  <c r="AA42" i="47"/>
  <c r="AB42" i="47" s="1"/>
  <c r="AG42" i="47"/>
  <c r="AH43" i="47"/>
  <c r="AA44" i="47"/>
  <c r="AN44" i="47" s="1"/>
  <c r="AG44" i="47"/>
  <c r="AN45" i="47"/>
  <c r="AM46" i="47"/>
  <c r="AJ47" i="47"/>
  <c r="AN47" i="47"/>
  <c r="AH47" i="47"/>
  <c r="X48" i="47"/>
  <c r="AK48" i="47" s="1"/>
  <c r="Z48" i="47"/>
  <c r="AD48" i="47"/>
  <c r="AM51" i="47"/>
  <c r="AQ51" i="47"/>
  <c r="AB57" i="47"/>
  <c r="AE58" i="47"/>
  <c r="AJ61" i="47"/>
  <c r="Y61" i="47"/>
  <c r="BG68" i="47"/>
  <c r="BO68" i="47"/>
  <c r="AG68" i="47" s="1"/>
  <c r="AH68" i="47" s="1"/>
  <c r="W69" i="47"/>
  <c r="AJ74" i="47"/>
  <c r="Y74" i="47"/>
  <c r="AK89" i="47"/>
  <c r="AQ89" i="47"/>
  <c r="Y89" i="47"/>
  <c r="W101" i="47"/>
  <c r="Y101" i="47" s="1"/>
  <c r="AT100" i="47"/>
  <c r="AC101" i="47"/>
  <c r="BF100" i="47"/>
  <c r="AF101" i="47"/>
  <c r="BN100" i="47"/>
  <c r="BN10" i="47" s="1"/>
  <c r="BB130" i="47"/>
  <c r="BJ130" i="47"/>
  <c r="AK14" i="47"/>
  <c r="AL14" i="47" s="1"/>
  <c r="Z15" i="47"/>
  <c r="AC15" i="47"/>
  <c r="AE15" i="47" s="1"/>
  <c r="AK16" i="47"/>
  <c r="AQ17" i="47"/>
  <c r="AK18" i="47"/>
  <c r="AQ18" i="47"/>
  <c r="AP19" i="47"/>
  <c r="AS19" i="47" s="1"/>
  <c r="AE21" i="47"/>
  <c r="X21" i="47"/>
  <c r="AN21" i="47" s="1"/>
  <c r="AP22" i="47"/>
  <c r="AR22" i="47" s="1"/>
  <c r="AN23" i="47"/>
  <c r="AJ24" i="47"/>
  <c r="AB24" i="47"/>
  <c r="AM26" i="47"/>
  <c r="AK27" i="47"/>
  <c r="AQ27" i="47"/>
  <c r="AJ28" i="47"/>
  <c r="AB28" i="47"/>
  <c r="AQ30" i="47"/>
  <c r="Z31" i="47"/>
  <c r="AB31" i="47" s="1"/>
  <c r="AC31" i="47"/>
  <c r="AE31" i="47" s="1"/>
  <c r="AF31" i="47"/>
  <c r="Y32" i="47"/>
  <c r="AQ33" i="47"/>
  <c r="AJ34" i="47"/>
  <c r="AB34" i="47"/>
  <c r="Y35" i="47"/>
  <c r="AA36" i="47"/>
  <c r="AB36" i="47" s="1"/>
  <c r="AD36" i="47"/>
  <c r="AE36" i="47" s="1"/>
  <c r="AG36" i="47"/>
  <c r="AM38" i="47"/>
  <c r="Z39" i="47"/>
  <c r="AB39" i="47" s="1"/>
  <c r="AF39" i="47"/>
  <c r="AH39" i="47" s="1"/>
  <c r="AK41" i="47"/>
  <c r="AJ43" i="47"/>
  <c r="AB43" i="47"/>
  <c r="AJ45" i="47"/>
  <c r="AH51" i="47"/>
  <c r="AK52" i="47"/>
  <c r="AE52" i="47"/>
  <c r="Y53" i="47"/>
  <c r="AE53" i="47"/>
  <c r="AG57" i="47"/>
  <c r="AK61" i="47"/>
  <c r="Z68" i="47"/>
  <c r="AC68" i="47"/>
  <c r="X69" i="47"/>
  <c r="AW68" i="47"/>
  <c r="AA69" i="47"/>
  <c r="BA68" i="47"/>
  <c r="AD69" i="47"/>
  <c r="BI68" i="47"/>
  <c r="AH70" i="47"/>
  <c r="AB71" i="47"/>
  <c r="Y72" i="47"/>
  <c r="AB76" i="47"/>
  <c r="AP109" i="47"/>
  <c r="AS109" i="47" s="1"/>
  <c r="AM109" i="47"/>
  <c r="AO109" i="47" s="1"/>
  <c r="AK78" i="47"/>
  <c r="AJ80" i="47"/>
  <c r="AH80" i="47"/>
  <c r="AB81" i="47"/>
  <c r="AH82" i="47"/>
  <c r="AQ84" i="47"/>
  <c r="AB90" i="47"/>
  <c r="AE102" i="47"/>
  <c r="AH58" i="47"/>
  <c r="AK59" i="47"/>
  <c r="AL59" i="47" s="1"/>
  <c r="AE59" i="47"/>
  <c r="AB60" i="47"/>
  <c r="AJ62" i="47"/>
  <c r="AK63" i="47"/>
  <c r="AE63" i="47"/>
  <c r="AP65" i="47"/>
  <c r="AS65" i="47" s="1"/>
  <c r="AK70" i="47"/>
  <c r="AE70" i="47"/>
  <c r="AP71" i="47"/>
  <c r="AS71" i="47" s="1"/>
  <c r="AB72" i="47"/>
  <c r="AK74" i="47"/>
  <c r="AP75" i="47"/>
  <c r="AS75" i="47" s="1"/>
  <c r="AB77" i="47"/>
  <c r="AK80" i="47"/>
  <c r="AP81" i="47"/>
  <c r="AS81" i="47" s="1"/>
  <c r="AQ83" i="47"/>
  <c r="AH83" i="47"/>
  <c r="AN86" i="47"/>
  <c r="AQ88" i="47"/>
  <c r="AJ90" i="47"/>
  <c r="AB92" i="47"/>
  <c r="AK93" i="47"/>
  <c r="AE93" i="47"/>
  <c r="X95" i="47"/>
  <c r="Y95" i="47" s="1"/>
  <c r="AA95" i="47"/>
  <c r="AG95" i="47"/>
  <c r="AH95" i="47" s="1"/>
  <c r="AJ97" i="47"/>
  <c r="AJ99" i="47"/>
  <c r="Z101" i="47"/>
  <c r="AB102" i="47"/>
  <c r="AN103" i="47"/>
  <c r="AE103" i="47"/>
  <c r="X104" i="47"/>
  <c r="Y104" i="47" s="1"/>
  <c r="AY100" i="47"/>
  <c r="AY10" i="47" s="1"/>
  <c r="BC100" i="47"/>
  <c r="BG100" i="47"/>
  <c r="BK100" i="47"/>
  <c r="AG104" i="47"/>
  <c r="AN105" i="47"/>
  <c r="AE105" i="47"/>
  <c r="AP106" i="47"/>
  <c r="AS106" i="47" s="1"/>
  <c r="AM111" i="47"/>
  <c r="AN58" i="47"/>
  <c r="AB59" i="47"/>
  <c r="AP60" i="47"/>
  <c r="AS60" i="47" s="1"/>
  <c r="AB61" i="47"/>
  <c r="AK62" i="47"/>
  <c r="AE62" i="47"/>
  <c r="AB63" i="47"/>
  <c r="AK65" i="47"/>
  <c r="AH66" i="47"/>
  <c r="AH67" i="47"/>
  <c r="Z69" i="47"/>
  <c r="AC69" i="47"/>
  <c r="AF69" i="47"/>
  <c r="AH69" i="47" s="1"/>
  <c r="AK71" i="47"/>
  <c r="AN72" i="47"/>
  <c r="AH73" i="47"/>
  <c r="AK75" i="47"/>
  <c r="W76" i="47"/>
  <c r="AP77" i="47"/>
  <c r="AS77" i="47" s="1"/>
  <c r="AB78" i="47"/>
  <c r="Z79" i="47"/>
  <c r="AM79" i="47" s="1"/>
  <c r="AC79" i="47"/>
  <c r="AE79" i="47" s="1"/>
  <c r="AF79" i="47"/>
  <c r="AH79" i="47" s="1"/>
  <c r="Y80" i="47"/>
  <c r="AK81" i="47"/>
  <c r="W82" i="47"/>
  <c r="Y82" i="47" s="1"/>
  <c r="Y83" i="47"/>
  <c r="AH84" i="47"/>
  <c r="AE85" i="47"/>
  <c r="AE87" i="47"/>
  <c r="AN90" i="47"/>
  <c r="W91" i="47"/>
  <c r="AF91" i="47"/>
  <c r="AQ93" i="47"/>
  <c r="AH94" i="47"/>
  <c r="AE99" i="47"/>
  <c r="AA101" i="47"/>
  <c r="AK101" i="47" s="1"/>
  <c r="AD101" i="47"/>
  <c r="AG101" i="47"/>
  <c r="AN102" i="47"/>
  <c r="AV100" i="47"/>
  <c r="AZ100" i="47"/>
  <c r="AZ130" i="47" s="1"/>
  <c r="BD100" i="47"/>
  <c r="BD10" i="47" s="1"/>
  <c r="AC104" i="47"/>
  <c r="AE104" i="47" s="1"/>
  <c r="BL100" i="47"/>
  <c r="BP100" i="47"/>
  <c r="AK106" i="47"/>
  <c r="AM108" i="47"/>
  <c r="Z113" i="47"/>
  <c r="AC116" i="47"/>
  <c r="AE116" i="47" s="1"/>
  <c r="AE112" i="47"/>
  <c r="AB115" i="47"/>
  <c r="AH115" i="47"/>
  <c r="AA116" i="47"/>
  <c r="AN116" i="47" s="1"/>
  <c r="AG116" i="47"/>
  <c r="AH116" i="47" s="1"/>
  <c r="AM118" i="47"/>
  <c r="AN123" i="47"/>
  <c r="AE123" i="47"/>
  <c r="AN125" i="47"/>
  <c r="AA126" i="47"/>
  <c r="AG126" i="47"/>
  <c r="AH126" i="47" s="1"/>
  <c r="AN129" i="47"/>
  <c r="AH129" i="47"/>
  <c r="AH131" i="47"/>
  <c r="Z134" i="47"/>
  <c r="AC134" i="47"/>
  <c r="AC136" i="47" s="1"/>
  <c r="AF134" i="47"/>
  <c r="AF136" i="47" s="1"/>
  <c r="AN138" i="47"/>
  <c r="W142" i="47"/>
  <c r="AM142" i="47" s="1"/>
  <c r="AN143" i="47"/>
  <c r="AH143" i="47"/>
  <c r="AB144" i="47"/>
  <c r="AH144" i="47"/>
  <c r="AB145" i="47"/>
  <c r="AQ149" i="47"/>
  <c r="AJ149" i="47"/>
  <c r="AL149" i="47" s="1"/>
  <c r="AE150" i="47"/>
  <c r="AP152" i="47"/>
  <c r="AE152" i="47"/>
  <c r="AB154" i="47"/>
  <c r="AE156" i="47"/>
  <c r="AQ157" i="47"/>
  <c r="AE157" i="47"/>
  <c r="AE163" i="47"/>
  <c r="AH164" i="47"/>
  <c r="AQ166" i="47"/>
  <c r="AM167" i="47"/>
  <c r="AM170" i="47"/>
  <c r="AE172" i="47"/>
  <c r="AM173" i="47"/>
  <c r="AB173" i="47"/>
  <c r="AQ174" i="47"/>
  <c r="AN177" i="47"/>
  <c r="AQ177" i="47"/>
  <c r="AP178" i="47"/>
  <c r="AA180" i="47"/>
  <c r="AB180" i="47" s="1"/>
  <c r="AM183" i="47"/>
  <c r="AQ184" i="47"/>
  <c r="AJ189" i="47"/>
  <c r="AH189" i="47"/>
  <c r="AM120" i="47"/>
  <c r="AN122" i="47"/>
  <c r="AM123" i="47"/>
  <c r="AM125" i="47"/>
  <c r="AJ129" i="47"/>
  <c r="AL129" i="47" s="1"/>
  <c r="AP131" i="47"/>
  <c r="AS131" i="47" s="1"/>
  <c r="AB131" i="47"/>
  <c r="AE142" i="47"/>
  <c r="AG142" i="47"/>
  <c r="AH142" i="47" s="1"/>
  <c r="AM143" i="47"/>
  <c r="AM144" i="47"/>
  <c r="AD148" i="47"/>
  <c r="AE148" i="47" s="1"/>
  <c r="AN154" i="47"/>
  <c r="AM157" i="47"/>
  <c r="AM163" i="47"/>
  <c r="AQ164" i="47"/>
  <c r="AK165" i="47"/>
  <c r="Z165" i="47"/>
  <c r="AB165" i="47" s="1"/>
  <c r="AF165" i="47"/>
  <c r="AH165" i="47" s="1"/>
  <c r="AE167" i="47"/>
  <c r="X167" i="47"/>
  <c r="Y167" i="47" s="1"/>
  <c r="AK168" i="47"/>
  <c r="AP169" i="47"/>
  <c r="AM171" i="47"/>
  <c r="AN172" i="47"/>
  <c r="AJ175" i="47"/>
  <c r="AM177" i="47"/>
  <c r="AE178" i="47"/>
  <c r="AJ179" i="47"/>
  <c r="AE179" i="47"/>
  <c r="AQ182" i="47"/>
  <c r="AE182" i="47"/>
  <c r="AM184" i="47"/>
  <c r="AO184" i="47" s="1"/>
  <c r="AN185" i="47"/>
  <c r="AO185" i="47" s="1"/>
  <c r="AM186" i="47"/>
  <c r="AN187" i="47"/>
  <c r="AH187" i="47"/>
  <c r="AK189" i="47"/>
  <c r="AS190" i="47"/>
  <c r="AE111" i="47"/>
  <c r="AB112" i="47"/>
  <c r="AH120" i="47"/>
  <c r="AP121" i="47"/>
  <c r="AE122" i="47"/>
  <c r="AC128" i="47"/>
  <c r="AM128" i="47" s="1"/>
  <c r="AF128" i="47"/>
  <c r="AE131" i="47"/>
  <c r="Y134" i="47"/>
  <c r="Y136" i="47" s="1"/>
  <c r="AJ135" i="47"/>
  <c r="AN135" i="47"/>
  <c r="AB138" i="47"/>
  <c r="AH138" i="47"/>
  <c r="AL145" i="47"/>
  <c r="AP145" i="47"/>
  <c r="AS145" i="47" s="1"/>
  <c r="AM146" i="47"/>
  <c r="AB146" i="47"/>
  <c r="AH146" i="47"/>
  <c r="AB152" i="47"/>
  <c r="AH152" i="47"/>
  <c r="AK154" i="47"/>
  <c r="AL154" i="47" s="1"/>
  <c r="AP154" i="47"/>
  <c r="AS154" i="47" s="1"/>
  <c r="AB155" i="47"/>
  <c r="AH155" i="47"/>
  <c r="AN158" i="47"/>
  <c r="AE160" i="47"/>
  <c r="AB162" i="47"/>
  <c r="AH163" i="47"/>
  <c r="AB164" i="47"/>
  <c r="AN166" i="47"/>
  <c r="AM168" i="47"/>
  <c r="AK169" i="47"/>
  <c r="AQ169" i="47"/>
  <c r="AJ170" i="47"/>
  <c r="AB170" i="47"/>
  <c r="AB172" i="47"/>
  <c r="Y173" i="47"/>
  <c r="AQ175" i="47"/>
  <c r="AP176" i="47"/>
  <c r="AS176" i="47" s="1"/>
  <c r="AH183" i="47"/>
  <c r="AE119" i="47"/>
  <c r="AL120" i="47"/>
  <c r="AS140" i="47"/>
  <c r="Y180" i="47"/>
  <c r="AE181" i="47"/>
  <c r="AQ183" i="47"/>
  <c r="AE184" i="47"/>
  <c r="Y186" i="47"/>
  <c r="AM188" i="47"/>
  <c r="AK190" i="47"/>
  <c r="AJ3" i="47"/>
  <c r="Y3" i="47"/>
  <c r="AP37" i="47"/>
  <c r="AS37" i="47" s="1"/>
  <c r="Y39" i="47"/>
  <c r="AK3" i="47"/>
  <c r="AJ4" i="47"/>
  <c r="AN4" i="47"/>
  <c r="AO4" i="47" s="1"/>
  <c r="AK4" i="47"/>
  <c r="AQ3" i="47"/>
  <c r="Y4" i="47"/>
  <c r="AP4" i="47"/>
  <c r="AR4" i="47" s="1"/>
  <c r="Y21" i="47"/>
  <c r="AK39" i="47"/>
  <c r="AK21" i="47"/>
  <c r="AS22" i="47"/>
  <c r="AP47" i="47"/>
  <c r="AS29" i="47"/>
  <c r="AM50" i="47"/>
  <c r="Y50" i="47"/>
  <c r="AJ50" i="47"/>
  <c r="AK12" i="47"/>
  <c r="Y14" i="47"/>
  <c r="AP14" i="47"/>
  <c r="J15" i="47"/>
  <c r="AF15" i="47"/>
  <c r="Y16" i="47"/>
  <c r="AP16" i="47"/>
  <c r="AK17" i="47"/>
  <c r="AE18" i="47"/>
  <c r="AJ18" i="47"/>
  <c r="AN18" i="47"/>
  <c r="AO18" i="47" s="1"/>
  <c r="AM19" i="47"/>
  <c r="AQ19" i="47"/>
  <c r="AE20" i="47"/>
  <c r="AJ20" i="47"/>
  <c r="AL20" i="47" s="1"/>
  <c r="AN20" i="47"/>
  <c r="AE22" i="47"/>
  <c r="AJ22" i="47"/>
  <c r="AL22" i="47" s="1"/>
  <c r="AN22" i="47"/>
  <c r="AO22" i="47" s="1"/>
  <c r="AM23" i="47"/>
  <c r="AO23" i="47" s="1"/>
  <c r="AQ23" i="47"/>
  <c r="Y24" i="47"/>
  <c r="AP24" i="47"/>
  <c r="AS24" i="47" s="1"/>
  <c r="AE25" i="47"/>
  <c r="AJ25" i="47"/>
  <c r="AL25" i="47" s="1"/>
  <c r="AN25" i="47"/>
  <c r="Y26" i="47"/>
  <c r="AP26" i="47"/>
  <c r="AE27" i="47"/>
  <c r="AJ27" i="47"/>
  <c r="AL27" i="47" s="1"/>
  <c r="AN27" i="47"/>
  <c r="AO27" i="47" s="1"/>
  <c r="Y28" i="47"/>
  <c r="AP28" i="47"/>
  <c r="AE29" i="47"/>
  <c r="AJ29" i="47"/>
  <c r="AL29" i="47" s="1"/>
  <c r="AN29" i="47"/>
  <c r="AK30" i="47"/>
  <c r="AL30" i="47" s="1"/>
  <c r="AM32" i="47"/>
  <c r="AQ32" i="47"/>
  <c r="AB33" i="47"/>
  <c r="AK33" i="47"/>
  <c r="Y34" i="47"/>
  <c r="AP34" i="47"/>
  <c r="AM35" i="47"/>
  <c r="AO35" i="47" s="1"/>
  <c r="AQ35" i="47"/>
  <c r="AM37" i="47"/>
  <c r="AQ37" i="47"/>
  <c r="AE38" i="47"/>
  <c r="AJ38" i="47"/>
  <c r="AN38" i="47"/>
  <c r="AO38" i="47" s="1"/>
  <c r="AB40" i="47"/>
  <c r="AK40" i="47"/>
  <c r="AL40" i="47" s="1"/>
  <c r="Y41" i="47"/>
  <c r="AP41" i="47"/>
  <c r="Y43" i="47"/>
  <c r="AP43" i="47"/>
  <c r="BP44" i="47"/>
  <c r="AF44" i="47" s="1"/>
  <c r="AB45" i="47"/>
  <c r="AK45" i="47"/>
  <c r="Y46" i="47"/>
  <c r="AP46" i="47"/>
  <c r="AM47" i="47"/>
  <c r="AQ47" i="47"/>
  <c r="AN49" i="47"/>
  <c r="AQ49" i="47"/>
  <c r="AB51" i="47"/>
  <c r="AM52" i="47"/>
  <c r="AM54" i="47"/>
  <c r="AL63" i="47"/>
  <c r="Y12" i="47"/>
  <c r="AP12" i="47"/>
  <c r="Z13" i="47"/>
  <c r="AQ13" i="47"/>
  <c r="AQ14" i="47"/>
  <c r="AQ16" i="47"/>
  <c r="Y17" i="47"/>
  <c r="AP17" i="47"/>
  <c r="AR17" i="47" s="1"/>
  <c r="AB18" i="47"/>
  <c r="AE19" i="47"/>
  <c r="AB20" i="47"/>
  <c r="AB22" i="47"/>
  <c r="AE23" i="47"/>
  <c r="AQ24" i="47"/>
  <c r="AB25" i="47"/>
  <c r="AQ26" i="47"/>
  <c r="AB27" i="47"/>
  <c r="AQ28" i="47"/>
  <c r="AB29" i="47"/>
  <c r="Y30" i="47"/>
  <c r="AP30" i="47"/>
  <c r="AE32" i="47"/>
  <c r="Y33" i="47"/>
  <c r="AP33" i="47"/>
  <c r="AQ34" i="47"/>
  <c r="AE35" i="47"/>
  <c r="AE37" i="47"/>
  <c r="AB38" i="47"/>
  <c r="Y40" i="47"/>
  <c r="AP40" i="47"/>
  <c r="AQ41" i="47"/>
  <c r="AQ43" i="47"/>
  <c r="Y45" i="47"/>
  <c r="AP45" i="47"/>
  <c r="AQ46" i="47"/>
  <c r="AE47" i="47"/>
  <c r="AN51" i="47"/>
  <c r="AJ52" i="47"/>
  <c r="AL52" i="47" s="1"/>
  <c r="AM53" i="47"/>
  <c r="AN53" i="47"/>
  <c r="AJ54" i="47"/>
  <c r="AL54" i="47" s="1"/>
  <c r="AB54" i="47"/>
  <c r="W56" i="47"/>
  <c r="AX55" i="47"/>
  <c r="BF55" i="47"/>
  <c r="AC55" i="47" s="1"/>
  <c r="AE55" i="47" s="1"/>
  <c r="AC56" i="47"/>
  <c r="AE56" i="47" s="1"/>
  <c r="M130" i="47"/>
  <c r="M137" i="47" s="1"/>
  <c r="AH12" i="47"/>
  <c r="AQ12" i="47"/>
  <c r="W13" i="47"/>
  <c r="AN13" i="47"/>
  <c r="AN14" i="47"/>
  <c r="AO14" i="47" s="1"/>
  <c r="AN16" i="47"/>
  <c r="AM17" i="47"/>
  <c r="Y18" i="47"/>
  <c r="Y20" i="47"/>
  <c r="J21" i="47"/>
  <c r="Y22" i="47"/>
  <c r="AN24" i="47"/>
  <c r="AO24" i="47" s="1"/>
  <c r="Y25" i="47"/>
  <c r="AN26" i="47"/>
  <c r="Y27" i="47"/>
  <c r="AN28" i="47"/>
  <c r="AO28" i="47" s="1"/>
  <c r="Y29" i="47"/>
  <c r="AM30" i="47"/>
  <c r="AM33" i="47"/>
  <c r="AO33" i="47" s="1"/>
  <c r="AN34" i="47"/>
  <c r="AO34" i="47" s="1"/>
  <c r="BP36" i="47"/>
  <c r="Y38" i="47"/>
  <c r="AM40" i="47"/>
  <c r="AO40" i="47" s="1"/>
  <c r="AN41" i="47"/>
  <c r="AN43" i="47"/>
  <c r="AO43" i="47" s="1"/>
  <c r="AM45" i="47"/>
  <c r="AN46" i="47"/>
  <c r="AO46" i="47" s="1"/>
  <c r="Z49" i="47"/>
  <c r="AB49" i="47" s="1"/>
  <c r="W49" i="47"/>
  <c r="AK50" i="47"/>
  <c r="AK51" i="47"/>
  <c r="AP51" i="47"/>
  <c r="AN52" i="47"/>
  <c r="AQ52" i="47"/>
  <c r="AK53" i="47"/>
  <c r="AL53" i="47" s="1"/>
  <c r="AP53" i="47"/>
  <c r="Y54" i="47"/>
  <c r="AN54" i="47"/>
  <c r="AE54" i="47"/>
  <c r="AQ54" i="47"/>
  <c r="AR54" i="47" s="1"/>
  <c r="AA55" i="47"/>
  <c r="AG55" i="47"/>
  <c r="AH55" i="47" s="1"/>
  <c r="AN57" i="47"/>
  <c r="Y58" i="47"/>
  <c r="AE69" i="47"/>
  <c r="AL72" i="47"/>
  <c r="AJ12" i="47"/>
  <c r="AN12" i="47"/>
  <c r="AC49" i="47"/>
  <c r="AE49" i="47" s="1"/>
  <c r="BF48" i="47"/>
  <c r="AS54" i="47"/>
  <c r="AK56" i="47"/>
  <c r="AN56" i="47"/>
  <c r="AQ56" i="47"/>
  <c r="AS73" i="47"/>
  <c r="AK76" i="47"/>
  <c r="Y52" i="47"/>
  <c r="AP52" i="47"/>
  <c r="AQ53" i="47"/>
  <c r="J57" i="47"/>
  <c r="Z58" i="47"/>
  <c r="AP58" i="47" s="1"/>
  <c r="AQ58" i="47"/>
  <c r="Y59" i="47"/>
  <c r="AP59" i="47"/>
  <c r="AM60" i="47"/>
  <c r="AQ60" i="47"/>
  <c r="Y62" i="47"/>
  <c r="AP62" i="47"/>
  <c r="Y63" i="47"/>
  <c r="AP63" i="47"/>
  <c r="Y64" i="47"/>
  <c r="AP64" i="47"/>
  <c r="AM65" i="47"/>
  <c r="AQ65" i="47"/>
  <c r="AN66" i="47"/>
  <c r="AM67" i="47"/>
  <c r="AQ67" i="47"/>
  <c r="AQ69" i="47"/>
  <c r="AM71" i="47"/>
  <c r="AQ71" i="47"/>
  <c r="AM73" i="47"/>
  <c r="AQ73" i="47"/>
  <c r="AR73" i="47" s="1"/>
  <c r="AM75" i="47"/>
  <c r="AQ75" i="47"/>
  <c r="AM77" i="47"/>
  <c r="AQ77" i="47"/>
  <c r="AQ79" i="47"/>
  <c r="AM81" i="47"/>
  <c r="AQ81" i="47"/>
  <c r="AM83" i="47"/>
  <c r="AM84" i="47"/>
  <c r="AP84" i="47"/>
  <c r="Y84" i="47"/>
  <c r="AN84" i="47"/>
  <c r="AJ85" i="47"/>
  <c r="AL85" i="47" s="1"/>
  <c r="AP85" i="47"/>
  <c r="AM88" i="47"/>
  <c r="AP88" i="47"/>
  <c r="Y88" i="47"/>
  <c r="AN88" i="47"/>
  <c r="AJ89" i="47"/>
  <c r="AL89" i="47" s="1"/>
  <c r="AP89" i="47"/>
  <c r="AE91" i="47"/>
  <c r="AM92" i="47"/>
  <c r="AP92" i="47"/>
  <c r="Y92" i="47"/>
  <c r="AN92" i="47"/>
  <c r="AJ93" i="47"/>
  <c r="AL93" i="47" s="1"/>
  <c r="AP93" i="47"/>
  <c r="AJ95" i="47"/>
  <c r="AM96" i="47"/>
  <c r="AP96" i="47"/>
  <c r="Y96" i="47"/>
  <c r="AJ96" i="47"/>
  <c r="AB97" i="47"/>
  <c r="AM97" i="47"/>
  <c r="AP97" i="47"/>
  <c r="AM59" i="47"/>
  <c r="AQ59" i="47"/>
  <c r="AJ60" i="47"/>
  <c r="AL60" i="47" s="1"/>
  <c r="AN60" i="47"/>
  <c r="AP61" i="47"/>
  <c r="AM62" i="47"/>
  <c r="AQ62" i="47"/>
  <c r="AM63" i="47"/>
  <c r="AQ63" i="47"/>
  <c r="AM64" i="47"/>
  <c r="AQ64" i="47"/>
  <c r="AJ65" i="47"/>
  <c r="AL65" i="47" s="1"/>
  <c r="AN65" i="47"/>
  <c r="AK66" i="47"/>
  <c r="AJ67" i="47"/>
  <c r="AN67" i="47"/>
  <c r="AP70" i="47"/>
  <c r="AJ71" i="47"/>
  <c r="AN71" i="47"/>
  <c r="AP72" i="47"/>
  <c r="AJ73" i="47"/>
  <c r="AL73" i="47" s="1"/>
  <c r="AN73" i="47"/>
  <c r="AP74" i="47"/>
  <c r="AJ75" i="47"/>
  <c r="AN75" i="47"/>
  <c r="AJ77" i="47"/>
  <c r="AL77" i="47" s="1"/>
  <c r="AN77" i="47"/>
  <c r="AP78" i="47"/>
  <c r="AP80" i="47"/>
  <c r="AJ81" i="47"/>
  <c r="AL81" i="47" s="1"/>
  <c r="AN81" i="47"/>
  <c r="AJ83" i="47"/>
  <c r="AK86" i="47"/>
  <c r="AL86" i="47" s="1"/>
  <c r="AM87" i="47"/>
  <c r="AK90" i="47"/>
  <c r="AK94" i="47"/>
  <c r="AQ96" i="47"/>
  <c r="AN96" i="47"/>
  <c r="AN59" i="47"/>
  <c r="AM61" i="47"/>
  <c r="AO61" i="47" s="1"/>
  <c r="AQ61" i="47"/>
  <c r="AN62" i="47"/>
  <c r="AN63" i="47"/>
  <c r="AN64" i="47"/>
  <c r="AM70" i="47"/>
  <c r="AQ70" i="47"/>
  <c r="AM72" i="47"/>
  <c r="AQ72" i="47"/>
  <c r="AM74" i="47"/>
  <c r="AO74" i="47" s="1"/>
  <c r="AQ74" i="47"/>
  <c r="AM78" i="47"/>
  <c r="AO78" i="47" s="1"/>
  <c r="AQ78" i="47"/>
  <c r="AM80" i="47"/>
  <c r="AQ80" i="47"/>
  <c r="AN83" i="47"/>
  <c r="AB83" i="47"/>
  <c r="AK83" i="47"/>
  <c r="AP83" i="47"/>
  <c r="AM86" i="47"/>
  <c r="AP86" i="47"/>
  <c r="Y86" i="47"/>
  <c r="AJ87" i="47"/>
  <c r="AL87" i="47" s="1"/>
  <c r="AP87" i="47"/>
  <c r="AM90" i="47"/>
  <c r="AP90" i="47"/>
  <c r="Y90" i="47"/>
  <c r="AM94" i="47"/>
  <c r="AP94" i="47"/>
  <c r="Y94" i="47"/>
  <c r="AK96" i="47"/>
  <c r="AE97" i="47"/>
  <c r="Y119" i="47"/>
  <c r="AQ119" i="47"/>
  <c r="AN126" i="47"/>
  <c r="AJ128" i="47"/>
  <c r="BH57" i="47"/>
  <c r="Y60" i="47"/>
  <c r="Y65" i="47"/>
  <c r="Y67" i="47"/>
  <c r="Y69" i="47"/>
  <c r="Y71" i="47"/>
  <c r="Y73" i="47"/>
  <c r="Y75" i="47"/>
  <c r="Y77" i="47"/>
  <c r="Y79" i="47"/>
  <c r="Y81" i="47"/>
  <c r="AK84" i="47"/>
  <c r="AM85" i="47"/>
  <c r="AQ86" i="47"/>
  <c r="AK88" i="47"/>
  <c r="AL88" i="47" s="1"/>
  <c r="AM89" i="47"/>
  <c r="AQ90" i="47"/>
  <c r="AQ91" i="47"/>
  <c r="AK92" i="47"/>
  <c r="AL92" i="47" s="1"/>
  <c r="AM93" i="47"/>
  <c r="AQ94" i="47"/>
  <c r="AQ95" i="47"/>
  <c r="AJ98" i="47"/>
  <c r="AN98" i="47"/>
  <c r="AO98" i="47" s="1"/>
  <c r="AP99" i="47"/>
  <c r="AM102" i="47"/>
  <c r="AQ102" i="47"/>
  <c r="AK103" i="47"/>
  <c r="AL103" i="47" s="1"/>
  <c r="AM104" i="47"/>
  <c r="AK105" i="47"/>
  <c r="AL105" i="47" s="1"/>
  <c r="AM106" i="47"/>
  <c r="AQ106" i="47"/>
  <c r="AQ112" i="47"/>
  <c r="AQ114" i="47"/>
  <c r="AM122" i="47"/>
  <c r="AP129" i="47"/>
  <c r="Z136" i="47"/>
  <c r="AS152" i="47"/>
  <c r="AK98" i="47"/>
  <c r="AM99" i="47"/>
  <c r="O192" i="47"/>
  <c r="O139" i="47"/>
  <c r="AJ102" i="47"/>
  <c r="Y103" i="47"/>
  <c r="AP103" i="47"/>
  <c r="AA104" i="47"/>
  <c r="AB104" i="47" s="1"/>
  <c r="AJ104" i="47"/>
  <c r="Y105" i="47"/>
  <c r="AP105" i="47"/>
  <c r="AJ106" i="47"/>
  <c r="Y107" i="47"/>
  <c r="AQ109" i="47"/>
  <c r="Y111" i="47"/>
  <c r="AN111" i="47"/>
  <c r="AO111" i="47" s="1"/>
  <c r="AQ111" i="47"/>
  <c r="AR111" i="47" s="1"/>
  <c r="AK112" i="47"/>
  <c r="AK114" i="47"/>
  <c r="AM115" i="47"/>
  <c r="AM117" i="47"/>
  <c r="Y121" i="47"/>
  <c r="AN121" i="47"/>
  <c r="AO121" i="47" s="1"/>
  <c r="AQ121" i="47"/>
  <c r="AR121" i="47" s="1"/>
  <c r="AP122" i="47"/>
  <c r="AQ123" i="47"/>
  <c r="AM127" i="47"/>
  <c r="AB128" i="47"/>
  <c r="AQ131" i="47"/>
  <c r="AR131" i="47" s="1"/>
  <c r="Y131" i="47"/>
  <c r="AN131" i="47"/>
  <c r="AK131" i="47"/>
  <c r="AN85" i="47"/>
  <c r="AN87" i="47"/>
  <c r="AN89" i="47"/>
  <c r="AN93" i="47"/>
  <c r="AN97" i="47"/>
  <c r="Y98" i="47"/>
  <c r="AP98" i="47"/>
  <c r="AN99" i="47"/>
  <c r="AU100" i="47"/>
  <c r="BO100" i="47"/>
  <c r="AM103" i="47"/>
  <c r="AQ103" i="47"/>
  <c r="AF104" i="47"/>
  <c r="AH104" i="47" s="1"/>
  <c r="AM105" i="47"/>
  <c r="AQ105" i="47"/>
  <c r="AN108" i="47"/>
  <c r="AO108" i="47" s="1"/>
  <c r="AE108" i="47"/>
  <c r="AQ108" i="47"/>
  <c r="AK109" i="47"/>
  <c r="AK111" i="47"/>
  <c r="AS111" i="47"/>
  <c r="AM112" i="47"/>
  <c r="AP113" i="47"/>
  <c r="AE113" i="47"/>
  <c r="AA113" i="47"/>
  <c r="AN113" i="47" s="1"/>
  <c r="AG113" i="47"/>
  <c r="AH113" i="47" s="1"/>
  <c r="AM114" i="47"/>
  <c r="AO114" i="47" s="1"/>
  <c r="AP115" i="47"/>
  <c r="AP117" i="47"/>
  <c r="AN118" i="47"/>
  <c r="AO118" i="47" s="1"/>
  <c r="AE118" i="47"/>
  <c r="AQ118" i="47"/>
  <c r="AN120" i="47"/>
  <c r="AQ120" i="47"/>
  <c r="AK121" i="47"/>
  <c r="AS121" i="47"/>
  <c r="Y122" i="47"/>
  <c r="AJ122" i="47"/>
  <c r="AK123" i="47"/>
  <c r="AL123" i="47" s="1"/>
  <c r="Y124" i="47"/>
  <c r="AQ125" i="47"/>
  <c r="AP125" i="47"/>
  <c r="AP127" i="47"/>
  <c r="BH100" i="47"/>
  <c r="Y102" i="47"/>
  <c r="Y106" i="47"/>
  <c r="AP107" i="47"/>
  <c r="AJ107" i="47"/>
  <c r="AJ110" i="47"/>
  <c r="AE110" i="47"/>
  <c r="AA110" i="47"/>
  <c r="AG110" i="47"/>
  <c r="AJ112" i="47"/>
  <c r="AL112" i="47" s="1"/>
  <c r="AJ114" i="47"/>
  <c r="AN115" i="47"/>
  <c r="AE115" i="47"/>
  <c r="AQ115" i="47"/>
  <c r="Y117" i="47"/>
  <c r="AN117" i="47"/>
  <c r="AE117" i="47"/>
  <c r="AQ117" i="47"/>
  <c r="AB122" i="47"/>
  <c r="Z124" i="47"/>
  <c r="AF124" i="47"/>
  <c r="AH124" i="47" s="1"/>
  <c r="Y125" i="47"/>
  <c r="AJ125" i="47"/>
  <c r="AN127" i="47"/>
  <c r="AE127" i="47"/>
  <c r="AQ127" i="47"/>
  <c r="AM129" i="47"/>
  <c r="AS135" i="47"/>
  <c r="Y108" i="47"/>
  <c r="AP108" i="47"/>
  <c r="AJ109" i="47"/>
  <c r="AJ111" i="47"/>
  <c r="Y112" i="47"/>
  <c r="AP112" i="47"/>
  <c r="Y114" i="47"/>
  <c r="AP114" i="47"/>
  <c r="AJ115" i="47"/>
  <c r="AL115" i="47" s="1"/>
  <c r="AJ117" i="47"/>
  <c r="AL117" i="47" s="1"/>
  <c r="Y118" i="47"/>
  <c r="AP118" i="47"/>
  <c r="Y120" i="47"/>
  <c r="AP120" i="47"/>
  <c r="AJ121" i="47"/>
  <c r="AK122" i="47"/>
  <c r="Y123" i="47"/>
  <c r="AP123" i="47"/>
  <c r="AK125" i="47"/>
  <c r="AJ127" i="47"/>
  <c r="AL127" i="47" s="1"/>
  <c r="AQ129" i="47"/>
  <c r="AJ131" i="47"/>
  <c r="AK134" i="47"/>
  <c r="AM135" i="47"/>
  <c r="AQ135" i="47"/>
  <c r="AR135" i="47" s="1"/>
  <c r="X136" i="47"/>
  <c r="AK138" i="47"/>
  <c r="AQ138" i="47"/>
  <c r="AR138" i="47" s="1"/>
  <c r="AQ141" i="47"/>
  <c r="AA142" i="47"/>
  <c r="AQ144" i="47"/>
  <c r="AP144" i="47"/>
  <c r="Y145" i="47"/>
  <c r="AN146" i="47"/>
  <c r="AO146" i="47" s="1"/>
  <c r="AJ147" i="47"/>
  <c r="Y148" i="47"/>
  <c r="Z148" i="47"/>
  <c r="BP148" i="47"/>
  <c r="AF148" i="47" s="1"/>
  <c r="AH149" i="47"/>
  <c r="AM150" i="47"/>
  <c r="AJ151" i="47"/>
  <c r="AK152" i="47"/>
  <c r="AQ152" i="47"/>
  <c r="AN152" i="47"/>
  <c r="AE135" i="47"/>
  <c r="Y138" i="47"/>
  <c r="AM138" i="47"/>
  <c r="AO138" i="47" s="1"/>
  <c r="AE143" i="47"/>
  <c r="AJ143" i="47"/>
  <c r="AL143" i="47" s="1"/>
  <c r="AP143" i="47"/>
  <c r="Y144" i="47"/>
  <c r="AJ144" i="47"/>
  <c r="AE145" i="47"/>
  <c r="AP146" i="47"/>
  <c r="AN147" i="47"/>
  <c r="AO147" i="47" s="1"/>
  <c r="Y147" i="47"/>
  <c r="AQ147" i="47"/>
  <c r="AP150" i="47"/>
  <c r="AN151" i="47"/>
  <c r="AO151" i="47" s="1"/>
  <c r="Y151" i="47"/>
  <c r="AQ151" i="47"/>
  <c r="AE154" i="47"/>
  <c r="Y155" i="47"/>
  <c r="AA156" i="47"/>
  <c r="AK156" i="47" s="1"/>
  <c r="AG156" i="47"/>
  <c r="AH156" i="47" s="1"/>
  <c r="Y109" i="47"/>
  <c r="Y113" i="47"/>
  <c r="Y115" i="47"/>
  <c r="Y127" i="47"/>
  <c r="AM134" i="47"/>
  <c r="Y141" i="47"/>
  <c r="AH141" i="47"/>
  <c r="AN141" i="47"/>
  <c r="AO141" i="47" s="1"/>
  <c r="J142" i="47"/>
  <c r="AP142" i="47"/>
  <c r="AQ143" i="47"/>
  <c r="AM145" i="47"/>
  <c r="AQ145" i="47"/>
  <c r="AN145" i="47"/>
  <c r="AQ146" i="47"/>
  <c r="AJ146" i="47"/>
  <c r="AP147" i="47"/>
  <c r="AK147" i="47"/>
  <c r="AM149" i="47"/>
  <c r="AP149" i="47"/>
  <c r="AN150" i="47"/>
  <c r="AQ150" i="47"/>
  <c r="AP151" i="47"/>
  <c r="AK151" i="47"/>
  <c r="AN155" i="47"/>
  <c r="AJ134" i="47"/>
  <c r="AJ138" i="47"/>
  <c r="AB141" i="47"/>
  <c r="AJ141" i="47"/>
  <c r="AP141" i="47"/>
  <c r="AN144" i="47"/>
  <c r="AO144" i="47" s="1"/>
  <c r="AM153" i="47"/>
  <c r="AP153" i="47"/>
  <c r="AJ153" i="47"/>
  <c r="AM155" i="47"/>
  <c r="AP155" i="47"/>
  <c r="AN157" i="47"/>
  <c r="AO157" i="47" s="1"/>
  <c r="Y157" i="47"/>
  <c r="AK157" i="47"/>
  <c r="AL157" i="47" s="1"/>
  <c r="AE158" i="47"/>
  <c r="AP158" i="47"/>
  <c r="Y161" i="47"/>
  <c r="AK144" i="47"/>
  <c r="AK146" i="47"/>
  <c r="AK148" i="47"/>
  <c r="AJ150" i="47"/>
  <c r="AL150" i="47" s="1"/>
  <c r="AM152" i="47"/>
  <c r="AJ152" i="47"/>
  <c r="AB153" i="47"/>
  <c r="AH153" i="47"/>
  <c r="AM158" i="47"/>
  <c r="AH158" i="47"/>
  <c r="AN160" i="47"/>
  <c r="AQ160" i="47"/>
  <c r="AK162" i="47"/>
  <c r="AP162" i="47"/>
  <c r="Z161" i="47"/>
  <c r="AB161" i="47" s="1"/>
  <c r="AF161" i="47"/>
  <c r="AH161" i="47" s="1"/>
  <c r="Y162" i="47"/>
  <c r="AJ162" i="47"/>
  <c r="AS169" i="47"/>
  <c r="AK141" i="47"/>
  <c r="Y150" i="47"/>
  <c r="Y152" i="47"/>
  <c r="AQ153" i="47"/>
  <c r="AM154" i="47"/>
  <c r="AO154" i="47" s="1"/>
  <c r="AQ155" i="47"/>
  <c r="Y158" i="47"/>
  <c r="AJ158" i="47"/>
  <c r="AL158" i="47" s="1"/>
  <c r="AE159" i="47"/>
  <c r="AA159" i="47"/>
  <c r="AB159" i="47" s="1"/>
  <c r="AG159" i="47"/>
  <c r="AH159" i="47" s="1"/>
  <c r="AM160" i="47"/>
  <c r="AL170" i="47"/>
  <c r="AP160" i="47"/>
  <c r="AN162" i="47"/>
  <c r="AO162" i="47" s="1"/>
  <c r="AN163" i="47"/>
  <c r="AO163" i="47" s="1"/>
  <c r="AQ163" i="47"/>
  <c r="AK163" i="47"/>
  <c r="AL163" i="47" s="1"/>
  <c r="AS171" i="47"/>
  <c r="AK153" i="47"/>
  <c r="AQ154" i="47"/>
  <c r="AK155" i="47"/>
  <c r="AP157" i="47"/>
  <c r="AQ158" i="47"/>
  <c r="AJ160" i="47"/>
  <c r="AL160" i="47" s="1"/>
  <c r="AK161" i="47"/>
  <c r="AQ162" i="47"/>
  <c r="Y163" i="47"/>
  <c r="AP163" i="47"/>
  <c r="AK164" i="47"/>
  <c r="AK166" i="47"/>
  <c r="AJ167" i="47"/>
  <c r="Y168" i="47"/>
  <c r="AP168" i="47"/>
  <c r="AJ169" i="47"/>
  <c r="AL169" i="47" s="1"/>
  <c r="AN169" i="47"/>
  <c r="AO169" i="47" s="1"/>
  <c r="Y170" i="47"/>
  <c r="AP170" i="47"/>
  <c r="AJ171" i="47"/>
  <c r="AN171" i="47"/>
  <c r="Y172" i="47"/>
  <c r="AH173" i="47"/>
  <c r="AS178" i="47"/>
  <c r="AL189" i="47"/>
  <c r="Y164" i="47"/>
  <c r="AP164" i="47"/>
  <c r="Y166" i="47"/>
  <c r="AP166" i="47"/>
  <c r="AB167" i="47"/>
  <c r="AQ168" i="47"/>
  <c r="AB169" i="47"/>
  <c r="AQ170" i="47"/>
  <c r="AB171" i="47"/>
  <c r="AK171" i="47"/>
  <c r="AJ174" i="47"/>
  <c r="AM174" i="47"/>
  <c r="AM182" i="47"/>
  <c r="AP182" i="47"/>
  <c r="Y182" i="47"/>
  <c r="AJ182" i="47"/>
  <c r="Y156" i="47"/>
  <c r="Y160" i="47"/>
  <c r="AM164" i="47"/>
  <c r="AM166" i="47"/>
  <c r="AN168" i="47"/>
  <c r="Y169" i="47"/>
  <c r="AN170" i="47"/>
  <c r="Y171" i="47"/>
  <c r="AM172" i="47"/>
  <c r="AQ173" i="47"/>
  <c r="AR173" i="47" s="1"/>
  <c r="AK172" i="47"/>
  <c r="AQ172" i="47"/>
  <c r="AP172" i="47"/>
  <c r="AS173" i="47"/>
  <c r="AJ173" i="47"/>
  <c r="AN173" i="47"/>
  <c r="AK174" i="47"/>
  <c r="AB175" i="47"/>
  <c r="AK175" i="47"/>
  <c r="AL175" i="47" s="1"/>
  <c r="AM176" i="47"/>
  <c r="AQ176" i="47"/>
  <c r="AB177" i="47"/>
  <c r="AK177" i="47"/>
  <c r="AL177" i="47" s="1"/>
  <c r="AM178" i="47"/>
  <c r="AQ178" i="47"/>
  <c r="AR178" i="47" s="1"/>
  <c r="AK179" i="47"/>
  <c r="AM180" i="47"/>
  <c r="AN182" i="47"/>
  <c r="AB183" i="47"/>
  <c r="AK183" i="47"/>
  <c r="AL183" i="47" s="1"/>
  <c r="AB184" i="47"/>
  <c r="AK184" i="47"/>
  <c r="AB185" i="47"/>
  <c r="AK185" i="47"/>
  <c r="AL185" i="47" s="1"/>
  <c r="AJ186" i="47"/>
  <c r="AN186" i="47"/>
  <c r="AO186" i="47" s="1"/>
  <c r="Y187" i="47"/>
  <c r="AP187" i="47"/>
  <c r="AJ188" i="47"/>
  <c r="AN188" i="47"/>
  <c r="Y189" i="47"/>
  <c r="AP189" i="47"/>
  <c r="AM190" i="47"/>
  <c r="AQ190" i="47"/>
  <c r="AR190" i="47" s="1"/>
  <c r="AK173" i="47"/>
  <c r="Y174" i="47"/>
  <c r="AP174" i="47"/>
  <c r="Y175" i="47"/>
  <c r="AP175" i="47"/>
  <c r="AJ176" i="47"/>
  <c r="AN176" i="47"/>
  <c r="Y177" i="47"/>
  <c r="AP177" i="47"/>
  <c r="AJ178" i="47"/>
  <c r="AN178" i="47"/>
  <c r="Y179" i="47"/>
  <c r="AP179" i="47"/>
  <c r="AJ180" i="47"/>
  <c r="AN180" i="47"/>
  <c r="AK182" i="47"/>
  <c r="Y183" i="47"/>
  <c r="AP183" i="47"/>
  <c r="Y184" i="47"/>
  <c r="AP184" i="47"/>
  <c r="Y185" i="47"/>
  <c r="AP185" i="47"/>
  <c r="AK186" i="47"/>
  <c r="AM187" i="47"/>
  <c r="AQ187" i="47"/>
  <c r="AK188" i="47"/>
  <c r="AM189" i="47"/>
  <c r="AO189" i="47" s="1"/>
  <c r="AQ189" i="47"/>
  <c r="AJ190" i="47"/>
  <c r="AL190" i="47" s="1"/>
  <c r="AN190" i="47"/>
  <c r="AK178" i="47"/>
  <c r="AM179" i="47"/>
  <c r="AO179" i="47" s="1"/>
  <c r="AQ179" i="47"/>
  <c r="AK180" i="47"/>
  <c r="AQ185" i="47"/>
  <c r="AP186" i="47"/>
  <c r="AP188" i="47"/>
  <c r="Y176" i="47"/>
  <c r="Y190" i="47"/>
  <c r="AC137" i="45"/>
  <c r="AC140" i="45"/>
  <c r="AN181" i="47" l="1"/>
  <c r="AE180" i="47"/>
  <c r="AJ113" i="47"/>
  <c r="AP66" i="47"/>
  <c r="AJ44" i="47"/>
  <c r="AE126" i="47"/>
  <c r="AJ68" i="47"/>
  <c r="AE3" i="47"/>
  <c r="Y116" i="47"/>
  <c r="AQ165" i="47"/>
  <c r="N130" i="47"/>
  <c r="N137" i="47" s="1"/>
  <c r="N139" i="47" s="1"/>
  <c r="AL172" i="47"/>
  <c r="AR81" i="47"/>
  <c r="AM66" i="47"/>
  <c r="AL135" i="47"/>
  <c r="AH31" i="47"/>
  <c r="AJ48" i="47"/>
  <c r="AR38" i="47"/>
  <c r="AQ181" i="47"/>
  <c r="AQ76" i="47"/>
  <c r="AK31" i="47"/>
  <c r="AQ31" i="47"/>
  <c r="AO153" i="47"/>
  <c r="AL45" i="47"/>
  <c r="AN31" i="47"/>
  <c r="AL24" i="47"/>
  <c r="AK181" i="47"/>
  <c r="P10" i="47"/>
  <c r="AH110" i="47"/>
  <c r="AP3" i="47"/>
  <c r="AP76" i="47"/>
  <c r="AL99" i="47"/>
  <c r="AB181" i="47"/>
  <c r="AP159" i="47"/>
  <c r="AJ159" i="47"/>
  <c r="AJ142" i="47"/>
  <c r="AO103" i="47"/>
  <c r="AM76" i="47"/>
  <c r="AJ66" i="47"/>
  <c r="AM3" i="47"/>
  <c r="AM113" i="47"/>
  <c r="AO113" i="47" s="1"/>
  <c r="N10" i="47"/>
  <c r="AL184" i="47"/>
  <c r="Y66" i="47"/>
  <c r="AM91" i="47"/>
  <c r="AW10" i="47"/>
  <c r="Y159" i="47"/>
  <c r="AX10" i="47"/>
  <c r="AJ79" i="47"/>
  <c r="AR19" i="47"/>
  <c r="AK44" i="47"/>
  <c r="AL44" i="47" s="1"/>
  <c r="AR18" i="47"/>
  <c r="BK130" i="47"/>
  <c r="AM126" i="47"/>
  <c r="AL47" i="47"/>
  <c r="BE130" i="47"/>
  <c r="AJ36" i="47"/>
  <c r="AE124" i="47"/>
  <c r="AO180" i="47"/>
  <c r="AH57" i="47"/>
  <c r="AJ42" i="47"/>
  <c r="AP167" i="47"/>
  <c r="AS167" i="47" s="1"/>
  <c r="AQ124" i="47"/>
  <c r="W57" i="47"/>
  <c r="AJ57" i="47" s="1"/>
  <c r="AO166" i="47"/>
  <c r="AB91" i="47"/>
  <c r="AN119" i="47"/>
  <c r="AO94" i="47"/>
  <c r="AN91" i="47"/>
  <c r="AO91" i="47" s="1"/>
  <c r="AL67" i="47"/>
  <c r="AJ76" i="47"/>
  <c r="AL51" i="47"/>
  <c r="AO25" i="47"/>
  <c r="AQ44" i="47"/>
  <c r="AB48" i="47"/>
  <c r="AJ31" i="47"/>
  <c r="AR169" i="47"/>
  <c r="AN124" i="47"/>
  <c r="AB134" i="47"/>
  <c r="AB136" i="47" s="1"/>
  <c r="AV10" i="47"/>
  <c r="AL97" i="47"/>
  <c r="AR25" i="47"/>
  <c r="AN50" i="47"/>
  <c r="BG10" i="47"/>
  <c r="AO164" i="47"/>
  <c r="AN134" i="47"/>
  <c r="AO149" i="47"/>
  <c r="AL121" i="47"/>
  <c r="AM136" i="47"/>
  <c r="Y36" i="47"/>
  <c r="AB119" i="47"/>
  <c r="AL166" i="47"/>
  <c r="AK128" i="47"/>
  <c r="AO84" i="47"/>
  <c r="AR75" i="47"/>
  <c r="AR32" i="47"/>
  <c r="AO20" i="47"/>
  <c r="AP128" i="47"/>
  <c r="AQ101" i="47"/>
  <c r="AK95" i="47"/>
  <c r="AL34" i="47"/>
  <c r="AE161" i="47"/>
  <c r="AL71" i="47"/>
  <c r="AO88" i="47"/>
  <c r="AO3" i="47"/>
  <c r="AN101" i="47"/>
  <c r="AM44" i="47"/>
  <c r="AQ128" i="47"/>
  <c r="AK124" i="47"/>
  <c r="AH167" i="47"/>
  <c r="AP42" i="47"/>
  <c r="AJ181" i="47"/>
  <c r="AL181" i="47" s="1"/>
  <c r="AL155" i="47"/>
  <c r="AB124" i="47"/>
  <c r="AU130" i="47"/>
  <c r="Y76" i="47"/>
  <c r="AK15" i="47"/>
  <c r="AL23" i="47"/>
  <c r="AB44" i="47"/>
  <c r="AO32" i="47"/>
  <c r="AR154" i="47"/>
  <c r="AO129" i="47"/>
  <c r="AL84" i="47"/>
  <c r="AQ21" i="47"/>
  <c r="AB69" i="47"/>
  <c r="AJ101" i="47"/>
  <c r="N192" i="47"/>
  <c r="AL19" i="47"/>
  <c r="AK82" i="47"/>
  <c r="AN79" i="47"/>
  <c r="AO53" i="47"/>
  <c r="AK113" i="47"/>
  <c r="AL113" i="47" s="1"/>
  <c r="AL74" i="47"/>
  <c r="AL70" i="47"/>
  <c r="AL122" i="47"/>
  <c r="AM68" i="47"/>
  <c r="AH42" i="47"/>
  <c r="AL43" i="47"/>
  <c r="AL64" i="47"/>
  <c r="AQ57" i="47"/>
  <c r="AP50" i="47"/>
  <c r="AJ165" i="47"/>
  <c r="AP95" i="47"/>
  <c r="AS95" i="47" s="1"/>
  <c r="AJ82" i="47"/>
  <c r="AK126" i="47"/>
  <c r="W191" i="47"/>
  <c r="AR171" i="47"/>
  <c r="AL128" i="47"/>
  <c r="AO37" i="47"/>
  <c r="AL179" i="47"/>
  <c r="AO174" i="47"/>
  <c r="AR145" i="47"/>
  <c r="AQ142" i="47"/>
  <c r="AQ107" i="47"/>
  <c r="AO131" i="47"/>
  <c r="AL102" i="47"/>
  <c r="AN107" i="47"/>
  <c r="AO107" i="47" s="1"/>
  <c r="AO79" i="47"/>
  <c r="AP82" i="47"/>
  <c r="AP68" i="47"/>
  <c r="AO17" i="47"/>
  <c r="AL38" i="47"/>
  <c r="AL18" i="47"/>
  <c r="AO44" i="47"/>
  <c r="AO125" i="47"/>
  <c r="AO183" i="47"/>
  <c r="AR152" i="47"/>
  <c r="AO143" i="47"/>
  <c r="AM119" i="47"/>
  <c r="AO119" i="47" s="1"/>
  <c r="AB82" i="47"/>
  <c r="AE50" i="47"/>
  <c r="AQ42" i="47"/>
  <c r="AM181" i="47"/>
  <c r="AO181" i="47" s="1"/>
  <c r="AL126" i="47"/>
  <c r="AM116" i="47"/>
  <c r="AO116" i="47" s="1"/>
  <c r="BK10" i="47"/>
  <c r="AM95" i="47"/>
  <c r="AP181" i="47"/>
  <c r="AR181" i="47" s="1"/>
  <c r="AL164" i="47"/>
  <c r="AM156" i="47"/>
  <c r="Y126" i="47"/>
  <c r="AC100" i="47"/>
  <c r="AO112" i="47"/>
  <c r="AO122" i="47"/>
  <c r="AQ126" i="47"/>
  <c r="AQ116" i="47"/>
  <c r="AM82" i="47"/>
  <c r="AK55" i="47"/>
  <c r="W55" i="47"/>
  <c r="AP55" i="47" s="1"/>
  <c r="AR27" i="47"/>
  <c r="Y48" i="47"/>
  <c r="AP156" i="47"/>
  <c r="AS156" i="47" s="1"/>
  <c r="AH91" i="47"/>
  <c r="AB79" i="47"/>
  <c r="AP119" i="47"/>
  <c r="AN48" i="47"/>
  <c r="AN39" i="47"/>
  <c r="AL16" i="47"/>
  <c r="Y165" i="47"/>
  <c r="AN128" i="47"/>
  <c r="AL35" i="47"/>
  <c r="AR29" i="47"/>
  <c r="AK167" i="47"/>
  <c r="AL176" i="47"/>
  <c r="AO173" i="47"/>
  <c r="AJ156" i="47"/>
  <c r="AE191" i="47"/>
  <c r="AQ167" i="47"/>
  <c r="AR167" i="47" s="1"/>
  <c r="AL125" i="47"/>
  <c r="AR122" i="47"/>
  <c r="AB113" i="47"/>
  <c r="AK107" i="47"/>
  <c r="AL107" i="47" s="1"/>
  <c r="AR102" i="47"/>
  <c r="AP101" i="47"/>
  <c r="AV130" i="47"/>
  <c r="AL80" i="47"/>
  <c r="AK69" i="47"/>
  <c r="AL28" i="47"/>
  <c r="BG130" i="47"/>
  <c r="AE39" i="47"/>
  <c r="AH48" i="47"/>
  <c r="AJ15" i="47"/>
  <c r="AO172" i="47"/>
  <c r="AO168" i="47"/>
  <c r="AL165" i="47"/>
  <c r="AN167" i="47"/>
  <c r="AO167" i="47" s="1"/>
  <c r="AR174" i="47"/>
  <c r="AR176" i="47"/>
  <c r="X191" i="47"/>
  <c r="AL168" i="47"/>
  <c r="AP161" i="47"/>
  <c r="AR161" i="47" s="1"/>
  <c r="AJ116" i="47"/>
  <c r="AR185" i="47"/>
  <c r="AO188" i="47"/>
  <c r="AJ161" i="47"/>
  <c r="AL161" i="47" s="1"/>
  <c r="AO155" i="47"/>
  <c r="AL131" i="47"/>
  <c r="AP126" i="47"/>
  <c r="AR109" i="47"/>
  <c r="AH134" i="47"/>
  <c r="AH136" i="47" s="1"/>
  <c r="AM101" i="47"/>
  <c r="AB95" i="47"/>
  <c r="AO72" i="47"/>
  <c r="AN95" i="47"/>
  <c r="AO95" i="47" s="1"/>
  <c r="AO92" i="47"/>
  <c r="AR65" i="47"/>
  <c r="AR60" i="47"/>
  <c r="AQ82" i="47"/>
  <c r="Y57" i="47"/>
  <c r="Y42" i="47"/>
  <c r="AM31" i="47"/>
  <c r="AO31" i="47" s="1"/>
  <c r="AP31" i="47"/>
  <c r="AR31" i="47" s="1"/>
  <c r="AR35" i="47"/>
  <c r="AL33" i="47"/>
  <c r="AO50" i="47"/>
  <c r="AN42" i="47"/>
  <c r="AO42" i="47" s="1"/>
  <c r="AM36" i="47"/>
  <c r="AP21" i="47"/>
  <c r="AR21" i="47" s="1"/>
  <c r="AP39" i="47"/>
  <c r="AS39" i="47" s="1"/>
  <c r="AK36" i="47"/>
  <c r="AL36" i="47" s="1"/>
  <c r="AB116" i="47"/>
  <c r="AD100" i="47"/>
  <c r="X68" i="47"/>
  <c r="Y68" i="47" s="1"/>
  <c r="AQ134" i="47"/>
  <c r="AH107" i="47"/>
  <c r="AL173" i="47"/>
  <c r="AR77" i="47"/>
  <c r="AL186" i="47"/>
  <c r="AO158" i="47"/>
  <c r="AR106" i="47"/>
  <c r="AO126" i="47"/>
  <c r="AR71" i="47"/>
  <c r="AR67" i="47"/>
  <c r="AN82" i="47"/>
  <c r="AK57" i="47"/>
  <c r="AL57" i="47" s="1"/>
  <c r="AN36" i="47"/>
  <c r="AO30" i="47"/>
  <c r="AO26" i="47"/>
  <c r="AO47" i="47"/>
  <c r="AR23" i="47"/>
  <c r="AK42" i="47"/>
  <c r="AL42" i="47" s="1"/>
  <c r="AQ39" i="47"/>
  <c r="AM21" i="47"/>
  <c r="AO21" i="47" s="1"/>
  <c r="AM39" i="47"/>
  <c r="AR128" i="47"/>
  <c r="AC191" i="47"/>
  <c r="AF100" i="47"/>
  <c r="BC130" i="47"/>
  <c r="AQ48" i="47"/>
  <c r="AR20" i="47"/>
  <c r="AL144" i="47"/>
  <c r="AL109" i="47"/>
  <c r="AO187" i="47"/>
  <c r="AL178" i="47"/>
  <c r="AL174" i="47"/>
  <c r="AO171" i="47"/>
  <c r="AN156" i="47"/>
  <c r="AP116" i="47"/>
  <c r="AQ110" i="47"/>
  <c r="AR110" i="47" s="1"/>
  <c r="AL106" i="47"/>
  <c r="AE134" i="47"/>
  <c r="AE136" i="47" s="1"/>
  <c r="AO106" i="47"/>
  <c r="AO93" i="47"/>
  <c r="AO128" i="47"/>
  <c r="AO90" i="47"/>
  <c r="AO80" i="47"/>
  <c r="AO70" i="47"/>
  <c r="AL94" i="47"/>
  <c r="AQ50" i="47"/>
  <c r="AR50" i="47" s="1"/>
  <c r="AM15" i="47"/>
  <c r="AO15" i="47" s="1"/>
  <c r="AQ36" i="47"/>
  <c r="Y15" i="47"/>
  <c r="AX130" i="47"/>
  <c r="AH44" i="47"/>
  <c r="AO29" i="47"/>
  <c r="BD130" i="47"/>
  <c r="AJ39" i="47"/>
  <c r="AL39" i="47" s="1"/>
  <c r="AE128" i="47"/>
  <c r="AB126" i="47"/>
  <c r="AL62" i="47"/>
  <c r="AB15" i="47"/>
  <c r="AE101" i="47"/>
  <c r="AM69" i="47"/>
  <c r="AL61" i="47"/>
  <c r="AO51" i="47"/>
  <c r="AK79" i="47"/>
  <c r="AL79" i="47" s="1"/>
  <c r="AL182" i="47"/>
  <c r="AO160" i="47"/>
  <c r="AR143" i="47"/>
  <c r="AN142" i="47"/>
  <c r="AO142" i="47" s="1"/>
  <c r="AL15" i="47"/>
  <c r="AO123" i="47"/>
  <c r="AQ148" i="47"/>
  <c r="AQ180" i="47"/>
  <c r="AR180" i="47" s="1"/>
  <c r="AO170" i="47"/>
  <c r="AM165" i="47"/>
  <c r="AO165" i="47" s="1"/>
  <c r="AL162" i="47"/>
  <c r="AQ159" i="47"/>
  <c r="AR159" i="47" s="1"/>
  <c r="AP165" i="47"/>
  <c r="AS165" i="47" s="1"/>
  <c r="AL153" i="47"/>
  <c r="AL146" i="47"/>
  <c r="AO145" i="47"/>
  <c r="Y142" i="47"/>
  <c r="AD191" i="47"/>
  <c r="AP134" i="47"/>
  <c r="AS134" i="47" s="1"/>
  <c r="AL147" i="47"/>
  <c r="AO135" i="47"/>
  <c r="AO120" i="47"/>
  <c r="AO105" i="47"/>
  <c r="AH128" i="47"/>
  <c r="AO99" i="47"/>
  <c r="AM124" i="47"/>
  <c r="AO124" i="47" s="1"/>
  <c r="AO102" i="47"/>
  <c r="AL98" i="47"/>
  <c r="AK116" i="47"/>
  <c r="Y91" i="47"/>
  <c r="AO86" i="47"/>
  <c r="AL90" i="47"/>
  <c r="AL75" i="47"/>
  <c r="AJ69" i="47"/>
  <c r="AL69" i="47" s="1"/>
  <c r="AO62" i="47"/>
  <c r="AJ91" i="47"/>
  <c r="AL91" i="47" s="1"/>
  <c r="AO82" i="47"/>
  <c r="AO76" i="47"/>
  <c r="AN69" i="47"/>
  <c r="AO45" i="47"/>
  <c r="AO41" i="47"/>
  <c r="AO16" i="47"/>
  <c r="AO19" i="47"/>
  <c r="AL17" i="47"/>
  <c r="AP15" i="47"/>
  <c r="BN130" i="47"/>
  <c r="AL21" i="47"/>
  <c r="Z100" i="47"/>
  <c r="Z10" i="47" s="1"/>
  <c r="AZ10" i="47"/>
  <c r="AB101" i="47"/>
  <c r="BL130" i="47"/>
  <c r="AH101" i="47"/>
  <c r="AY130" i="47"/>
  <c r="AQ15" i="47"/>
  <c r="AW130" i="47"/>
  <c r="AR3" i="47"/>
  <c r="AP79" i="47"/>
  <c r="AS79" i="47" s="1"/>
  <c r="AA100" i="47"/>
  <c r="AD68" i="47"/>
  <c r="BI10" i="47"/>
  <c r="AP91" i="47"/>
  <c r="AS91" i="47" s="1"/>
  <c r="AL78" i="47"/>
  <c r="BI130" i="47"/>
  <c r="AL152" i="47"/>
  <c r="AR142" i="47"/>
  <c r="AO127" i="47"/>
  <c r="AJ136" i="47"/>
  <c r="AQ113" i="47"/>
  <c r="AO97" i="47"/>
  <c r="AO71" i="47"/>
  <c r="AR63" i="47"/>
  <c r="AO177" i="47"/>
  <c r="AN148" i="47"/>
  <c r="AL41" i="47"/>
  <c r="BC10" i="47"/>
  <c r="BL10" i="47"/>
  <c r="AK159" i="47"/>
  <c r="AL159" i="47" s="1"/>
  <c r="AK142" i="47"/>
  <c r="AO150" i="47"/>
  <c r="AO101" i="47"/>
  <c r="AL83" i="47"/>
  <c r="AO60" i="47"/>
  <c r="AL3" i="47"/>
  <c r="AA68" i="47"/>
  <c r="AK68" i="47" s="1"/>
  <c r="AL68" i="47" s="1"/>
  <c r="BA10" i="47"/>
  <c r="W100" i="47"/>
  <c r="AT10" i="47"/>
  <c r="AP69" i="47"/>
  <c r="AS69" i="47" s="1"/>
  <c r="AT130" i="47"/>
  <c r="BA130" i="47"/>
  <c r="AH148" i="47"/>
  <c r="AH191" i="47" s="1"/>
  <c r="AF191" i="47"/>
  <c r="AS58" i="47"/>
  <c r="AR58" i="47"/>
  <c r="AS110" i="47"/>
  <c r="AR115" i="47"/>
  <c r="AS115" i="47"/>
  <c r="AS98" i="47"/>
  <c r="AR98" i="47"/>
  <c r="AO117" i="47"/>
  <c r="AS94" i="47"/>
  <c r="AR94" i="47"/>
  <c r="AS87" i="47"/>
  <c r="AR87" i="47"/>
  <c r="AQ104" i="47"/>
  <c r="AR70" i="47"/>
  <c r="AS70" i="47"/>
  <c r="AB110" i="47"/>
  <c r="AS97" i="47"/>
  <c r="AR97" i="47"/>
  <c r="AR76" i="47"/>
  <c r="AS76" i="47"/>
  <c r="AM55" i="47"/>
  <c r="AR40" i="47"/>
  <c r="AS40" i="47"/>
  <c r="AR30" i="47"/>
  <c r="AS30" i="47"/>
  <c r="AS66" i="47"/>
  <c r="AR66" i="47"/>
  <c r="AS28" i="47"/>
  <c r="AR28" i="47"/>
  <c r="AB55" i="47"/>
  <c r="AL48" i="47"/>
  <c r="P192" i="47"/>
  <c r="P139" i="47"/>
  <c r="AR166" i="47"/>
  <c r="AS166" i="47"/>
  <c r="AR147" i="47"/>
  <c r="AS147" i="47"/>
  <c r="AB148" i="47"/>
  <c r="AJ148" i="47"/>
  <c r="AL148" i="47" s="1"/>
  <c r="AR153" i="47"/>
  <c r="AA191" i="47"/>
  <c r="AK191" i="47" s="1"/>
  <c r="AN136" i="47"/>
  <c r="AO136" i="47" s="1"/>
  <c r="AQ136" i="47"/>
  <c r="AK136" i="47"/>
  <c r="AL136" i="47" s="1"/>
  <c r="AR123" i="47"/>
  <c r="AS123" i="47"/>
  <c r="AL114" i="47"/>
  <c r="AR113" i="47"/>
  <c r="AS113" i="47"/>
  <c r="AR105" i="47"/>
  <c r="AS105" i="47"/>
  <c r="AN104" i="47"/>
  <c r="AO104" i="47" s="1"/>
  <c r="AR72" i="47"/>
  <c r="AS72" i="47"/>
  <c r="AO64" i="47"/>
  <c r="AR96" i="47"/>
  <c r="AS96" i="47"/>
  <c r="AS93" i="47"/>
  <c r="AR93" i="47"/>
  <c r="AS92" i="47"/>
  <c r="AR92" i="47"/>
  <c r="AS89" i="47"/>
  <c r="AR89" i="47"/>
  <c r="AS88" i="47"/>
  <c r="AR88" i="47"/>
  <c r="AO83" i="47"/>
  <c r="AO75" i="47"/>
  <c r="AR52" i="47"/>
  <c r="AS52" i="47"/>
  <c r="AL12" i="47"/>
  <c r="AF36" i="47"/>
  <c r="BP10" i="47"/>
  <c r="BP130" i="47"/>
  <c r="AB13" i="47"/>
  <c r="AO66" i="47"/>
  <c r="AS46" i="47"/>
  <c r="AR46" i="47"/>
  <c r="AS34" i="47"/>
  <c r="AR34" i="47"/>
  <c r="AS26" i="47"/>
  <c r="AR26" i="47"/>
  <c r="AH15" i="47"/>
  <c r="AS17" i="47"/>
  <c r="AS168" i="47"/>
  <c r="AR168" i="47"/>
  <c r="AR118" i="47"/>
  <c r="AS118" i="47"/>
  <c r="AO190" i="47"/>
  <c r="AR162" i="47"/>
  <c r="AS159" i="47"/>
  <c r="AR151" i="47"/>
  <c r="AS151" i="47"/>
  <c r="AS122" i="47"/>
  <c r="AK110" i="47"/>
  <c r="AL110" i="47" s="1"/>
  <c r="AR127" i="47"/>
  <c r="AS127" i="47"/>
  <c r="AR103" i="47"/>
  <c r="AS103" i="47"/>
  <c r="AN110" i="47"/>
  <c r="AO110" i="47" s="1"/>
  <c r="AL101" i="47"/>
  <c r="AR78" i="47"/>
  <c r="AS78" i="47"/>
  <c r="AL180" i="47"/>
  <c r="AS187" i="47"/>
  <c r="AR187" i="47"/>
  <c r="AS172" i="47"/>
  <c r="AR172" i="47"/>
  <c r="AS182" i="47"/>
  <c r="AR182" i="47"/>
  <c r="AR165" i="47"/>
  <c r="AS158" i="47"/>
  <c r="AR158" i="47"/>
  <c r="AS155" i="47"/>
  <c r="AR155" i="47"/>
  <c r="Z191" i="47"/>
  <c r="J191" i="47"/>
  <c r="AS142" i="47"/>
  <c r="AG191" i="47"/>
  <c r="AR114" i="47"/>
  <c r="AS114" i="47"/>
  <c r="AP148" i="47"/>
  <c r="AP124" i="47"/>
  <c r="AR107" i="47"/>
  <c r="AS107" i="47"/>
  <c r="AP136" i="47"/>
  <c r="AS129" i="47"/>
  <c r="AR129" i="47"/>
  <c r="AS99" i="47"/>
  <c r="AR99" i="47"/>
  <c r="AO85" i="47"/>
  <c r="AK104" i="47"/>
  <c r="AL104" i="47" s="1"/>
  <c r="AO87" i="47"/>
  <c r="AO59" i="47"/>
  <c r="AB58" i="47"/>
  <c r="AJ58" i="47"/>
  <c r="AL58" i="47" s="1"/>
  <c r="AC48" i="47"/>
  <c r="BF10" i="47"/>
  <c r="AS50" i="47"/>
  <c r="AJ13" i="47"/>
  <c r="AL13" i="47" s="1"/>
  <c r="AM13" i="47"/>
  <c r="AP13" i="47"/>
  <c r="Y13" i="47"/>
  <c r="Z130" i="47"/>
  <c r="AR45" i="47"/>
  <c r="AS45" i="47"/>
  <c r="BF130" i="47"/>
  <c r="AR12" i="47"/>
  <c r="AS12" i="47"/>
  <c r="AL66" i="47"/>
  <c r="AO54" i="47"/>
  <c r="AS41" i="47"/>
  <c r="AR41" i="47"/>
  <c r="AR24" i="47"/>
  <c r="AS16" i="47"/>
  <c r="AR16" i="47"/>
  <c r="J130" i="47"/>
  <c r="AS15" i="47"/>
  <c r="J10" i="47"/>
  <c r="AP44" i="47"/>
  <c r="AO36" i="47"/>
  <c r="AS42" i="47"/>
  <c r="AR42" i="47"/>
  <c r="AQ55" i="47"/>
  <c r="AR37" i="47"/>
  <c r="AO12" i="47"/>
  <c r="AR183" i="47"/>
  <c r="AS183" i="47"/>
  <c r="AS170" i="47"/>
  <c r="AR170" i="47"/>
  <c r="AS149" i="47"/>
  <c r="AR149" i="47"/>
  <c r="AL142" i="47"/>
  <c r="AS188" i="47"/>
  <c r="AR188" i="47"/>
  <c r="AL188" i="47"/>
  <c r="AR160" i="47"/>
  <c r="AS160" i="47"/>
  <c r="AL134" i="47"/>
  <c r="AS144" i="47"/>
  <c r="AR144" i="47"/>
  <c r="AR120" i="47"/>
  <c r="AS120" i="47"/>
  <c r="AR112" i="47"/>
  <c r="AS112" i="47"/>
  <c r="AG100" i="47"/>
  <c r="BO10" i="47"/>
  <c r="AS90" i="47"/>
  <c r="AR90" i="47"/>
  <c r="AS186" i="47"/>
  <c r="AR186" i="47"/>
  <c r="AR184" i="47"/>
  <c r="AS184" i="47"/>
  <c r="AS189" i="47"/>
  <c r="AR189" i="47"/>
  <c r="AL167" i="47"/>
  <c r="AR157" i="47"/>
  <c r="AS157" i="47"/>
  <c r="AS153" i="47"/>
  <c r="AS141" i="47"/>
  <c r="AR141" i="47"/>
  <c r="AM148" i="47"/>
  <c r="Y191" i="47"/>
  <c r="AS125" i="47"/>
  <c r="AR125" i="47"/>
  <c r="X100" i="47"/>
  <c r="AU10" i="47"/>
  <c r="AM100" i="47"/>
  <c r="AS83" i="47"/>
  <c r="AR83" i="47"/>
  <c r="AR74" i="47"/>
  <c r="AS74" i="47"/>
  <c r="AR61" i="47"/>
  <c r="AS61" i="47"/>
  <c r="AO96" i="47"/>
  <c r="AO65" i="47"/>
  <c r="AL82" i="47"/>
  <c r="AL76" i="47"/>
  <c r="AS68" i="47"/>
  <c r="AM58" i="47"/>
  <c r="AO58" i="47" s="1"/>
  <c r="AR179" i="47"/>
  <c r="AS179" i="47"/>
  <c r="AR177" i="47"/>
  <c r="AS177" i="47"/>
  <c r="AR175" i="47"/>
  <c r="AS175" i="47"/>
  <c r="AO178" i="47"/>
  <c r="AO176" i="47"/>
  <c r="AO182" i="47"/>
  <c r="AR164" i="47"/>
  <c r="AS164" i="47"/>
  <c r="AS174" i="47"/>
  <c r="AL171" i="47"/>
  <c r="AR163" i="47"/>
  <c r="AL156" i="47"/>
  <c r="AN159" i="47"/>
  <c r="AO159" i="47" s="1"/>
  <c r="AS161" i="47"/>
  <c r="AO152" i="47"/>
  <c r="AM161" i="47"/>
  <c r="AO161" i="47" s="1"/>
  <c r="AQ156" i="47"/>
  <c r="AR156" i="47" s="1"/>
  <c r="AL141" i="47"/>
  <c r="AL138" i="47"/>
  <c r="AO134" i="47"/>
  <c r="AR150" i="47"/>
  <c r="AS150" i="47"/>
  <c r="AS146" i="47"/>
  <c r="AR146" i="47"/>
  <c r="AS143" i="47"/>
  <c r="AR134" i="47"/>
  <c r="AB156" i="47"/>
  <c r="AL151" i="47"/>
  <c r="AL119" i="47"/>
  <c r="AR116" i="47"/>
  <c r="AS116" i="47"/>
  <c r="AL111" i="47"/>
  <c r="AR108" i="47"/>
  <c r="AS108" i="47"/>
  <c r="AR117" i="47"/>
  <c r="AS117" i="47"/>
  <c r="AS128" i="47"/>
  <c r="AO115" i="47"/>
  <c r="AB142" i="47"/>
  <c r="AJ124" i="47"/>
  <c r="AL124" i="47" s="1"/>
  <c r="AR101" i="47"/>
  <c r="AS101" i="47"/>
  <c r="AO89" i="47"/>
  <c r="AC57" i="47"/>
  <c r="BH10" i="47"/>
  <c r="AS86" i="47"/>
  <c r="AR86" i="47"/>
  <c r="AP104" i="47"/>
  <c r="AR80" i="47"/>
  <c r="AS80" i="47"/>
  <c r="AO63" i="47"/>
  <c r="AL96" i="47"/>
  <c r="AL95" i="47"/>
  <c r="AS85" i="47"/>
  <c r="AR85" i="47"/>
  <c r="AS84" i="47"/>
  <c r="AR84" i="47"/>
  <c r="AO81" i="47"/>
  <c r="AO77" i="47"/>
  <c r="AO73" i="47"/>
  <c r="AO67" i="47"/>
  <c r="AR64" i="47"/>
  <c r="AR62" i="47"/>
  <c r="AS59" i="47"/>
  <c r="AR59" i="47"/>
  <c r="AS63" i="47"/>
  <c r="AA130" i="47"/>
  <c r="AA137" i="47" s="1"/>
  <c r="AS64" i="47"/>
  <c r="AS53" i="47"/>
  <c r="AR53" i="47"/>
  <c r="AS51" i="47"/>
  <c r="AR51" i="47"/>
  <c r="AP49" i="47"/>
  <c r="AJ49" i="47"/>
  <c r="AL49" i="47" s="1"/>
  <c r="AM49" i="47"/>
  <c r="AO49" i="47" s="1"/>
  <c r="Y49" i="47"/>
  <c r="BO130" i="47"/>
  <c r="BH130" i="47"/>
  <c r="M192" i="47"/>
  <c r="M139" i="47"/>
  <c r="AJ56" i="47"/>
  <c r="AL56" i="47" s="1"/>
  <c r="AP56" i="47"/>
  <c r="Y56" i="47"/>
  <c r="AM56" i="47"/>
  <c r="AO56" i="47" s="1"/>
  <c r="AR33" i="47"/>
  <c r="AS33" i="47"/>
  <c r="AS62" i="47"/>
  <c r="AO52" i="47"/>
  <c r="AS43" i="47"/>
  <c r="AR43" i="47"/>
  <c r="AS14" i="47"/>
  <c r="AR14" i="47"/>
  <c r="AL50" i="47"/>
  <c r="AS47" i="47"/>
  <c r="AR47" i="47"/>
  <c r="AL4" i="47"/>
  <c r="AN55" i="47"/>
  <c r="AL31" i="47"/>
  <c r="AA10" i="47" l="1"/>
  <c r="AB191" i="47"/>
  <c r="AR95" i="47"/>
  <c r="AE100" i="47"/>
  <c r="AP191" i="47"/>
  <c r="AR39" i="47"/>
  <c r="AD10" i="47"/>
  <c r="AO156" i="47"/>
  <c r="AM191" i="47"/>
  <c r="AB100" i="47"/>
  <c r="AR82" i="47"/>
  <c r="AO39" i="47"/>
  <c r="AR15" i="47"/>
  <c r="AJ55" i="47"/>
  <c r="AL55" i="47" s="1"/>
  <c r="AO69" i="47"/>
  <c r="Y55" i="47"/>
  <c r="AS82" i="47"/>
  <c r="AS181" i="47"/>
  <c r="AS21" i="47"/>
  <c r="AR126" i="47"/>
  <c r="AS119" i="47"/>
  <c r="AR119" i="47"/>
  <c r="W10" i="47"/>
  <c r="AL116" i="47"/>
  <c r="AO148" i="47"/>
  <c r="AF130" i="47"/>
  <c r="AF137" i="47" s="1"/>
  <c r="AF192" i="47" s="1"/>
  <c r="AA192" i="47"/>
  <c r="AS126" i="47"/>
  <c r="AN191" i="47"/>
  <c r="AJ191" i="47"/>
  <c r="AS31" i="47"/>
  <c r="AR91" i="47"/>
  <c r="AQ191" i="47"/>
  <c r="AH100" i="47"/>
  <c r="AF10" i="47"/>
  <c r="AR69" i="47"/>
  <c r="AE68" i="47"/>
  <c r="AD130" i="47"/>
  <c r="AD137" i="47" s="1"/>
  <c r="AD192" i="47" s="1"/>
  <c r="AR79" i="47"/>
  <c r="AN68" i="47"/>
  <c r="AO68" i="47" s="1"/>
  <c r="AQ68" i="47"/>
  <c r="AR68" i="47" s="1"/>
  <c r="AP100" i="47"/>
  <c r="AS100" i="47" s="1"/>
  <c r="AJ100" i="47"/>
  <c r="AJ10" i="47" s="1"/>
  <c r="AB68" i="47"/>
  <c r="AB10" i="47" s="1"/>
  <c r="W130" i="47"/>
  <c r="AJ130" i="47" s="1"/>
  <c r="AS13" i="47"/>
  <c r="AR13" i="47"/>
  <c r="AG130" i="47"/>
  <c r="AG137" i="47" s="1"/>
  <c r="AG192" i="47" s="1"/>
  <c r="AN100" i="47"/>
  <c r="AO100" i="47" s="1"/>
  <c r="AQ100" i="47"/>
  <c r="AK100" i="47"/>
  <c r="X10" i="47"/>
  <c r="X130" i="47"/>
  <c r="Y100" i="47"/>
  <c r="AL191" i="47"/>
  <c r="Z133" i="47"/>
  <c r="Z137" i="47"/>
  <c r="Z192" i="47" s="1"/>
  <c r="AO13" i="47"/>
  <c r="AR136" i="47"/>
  <c r="AS136" i="47"/>
  <c r="AR148" i="47"/>
  <c r="AS148" i="47"/>
  <c r="AG10" i="47"/>
  <c r="AR55" i="47"/>
  <c r="AS55" i="47"/>
  <c r="AS56" i="47"/>
  <c r="AR56" i="47"/>
  <c r="AR49" i="47"/>
  <c r="AS49" i="47"/>
  <c r="AS104" i="47"/>
  <c r="AR104" i="47"/>
  <c r="J132" i="47"/>
  <c r="AS132" i="47" s="1"/>
  <c r="J137" i="47"/>
  <c r="AE48" i="47"/>
  <c r="AC10" i="47"/>
  <c r="AP48" i="47"/>
  <c r="AM48" i="47"/>
  <c r="AO48" i="47" s="1"/>
  <c r="AC130" i="47"/>
  <c r="J194" i="47"/>
  <c r="AS194" i="47" s="1"/>
  <c r="AS191" i="47"/>
  <c r="AF133" i="47"/>
  <c r="AO55" i="47"/>
  <c r="AE57" i="47"/>
  <c r="AP57" i="47"/>
  <c r="AM57" i="47"/>
  <c r="AO57" i="47" s="1"/>
  <c r="AR44" i="47"/>
  <c r="AS44" i="47"/>
  <c r="AH36" i="47"/>
  <c r="AH130" i="47" s="1"/>
  <c r="AH137" i="47" s="1"/>
  <c r="AH192" i="47" s="1"/>
  <c r="AP36" i="47"/>
  <c r="AO191" i="47"/>
  <c r="AR124" i="47"/>
  <c r="AS124" i="47"/>
  <c r="BN6" i="45"/>
  <c r="BP6" i="45"/>
  <c r="BR6" i="45"/>
  <c r="Y130" i="47" l="1"/>
  <c r="Y137" i="47" s="1"/>
  <c r="Y192" i="47" s="1"/>
  <c r="AP10" i="47"/>
  <c r="AR191" i="47"/>
  <c r="AM130" i="47"/>
  <c r="AP130" i="47"/>
  <c r="AS130" i="47" s="1"/>
  <c r="AB130" i="47"/>
  <c r="AB137" i="47" s="1"/>
  <c r="AB192" i="47" s="1"/>
  <c r="AN10" i="47"/>
  <c r="AO10" i="47"/>
  <c r="AH10" i="47"/>
  <c r="W133" i="47"/>
  <c r="W137" i="47"/>
  <c r="W192" i="47" s="1"/>
  <c r="AJ192" i="47" s="1"/>
  <c r="AS48" i="47"/>
  <c r="AR48" i="47"/>
  <c r="J192" i="47"/>
  <c r="J139" i="47"/>
  <c r="AS139" i="47" s="1"/>
  <c r="AM10" i="47"/>
  <c r="AR36" i="47"/>
  <c r="AS36" i="47"/>
  <c r="AR57" i="47"/>
  <c r="AS57" i="47"/>
  <c r="AC137" i="47"/>
  <c r="AC133" i="47"/>
  <c r="AE130" i="47"/>
  <c r="AE137" i="47" s="1"/>
  <c r="AE192" i="47" s="1"/>
  <c r="AE10" i="47"/>
  <c r="AK10" i="47"/>
  <c r="AL100" i="47"/>
  <c r="AL10" i="47" s="1"/>
  <c r="AQ10" i="47"/>
  <c r="AR100" i="47"/>
  <c r="AQ130" i="47"/>
  <c r="Y10" i="47"/>
  <c r="X137" i="47"/>
  <c r="AK130" i="47"/>
  <c r="AL130" i="47" s="1"/>
  <c r="AN130" i="47"/>
  <c r="AO130" i="47" l="1"/>
  <c r="AJ137" i="47"/>
  <c r="U133" i="47"/>
  <c r="AR130" i="47"/>
  <c r="X192" i="47"/>
  <c r="AK137" i="47"/>
  <c r="AN137" i="47"/>
  <c r="AQ137" i="47"/>
  <c r="AC192" i="47"/>
  <c r="AP137" i="47"/>
  <c r="AM137" i="47"/>
  <c r="AR10" i="47"/>
  <c r="AY57" i="45"/>
  <c r="AL137" i="47" l="1"/>
  <c r="AM192" i="47"/>
  <c r="AP192" i="47"/>
  <c r="AK192" i="47"/>
  <c r="AL192" i="47" s="1"/>
  <c r="AN192" i="47"/>
  <c r="AQ192" i="47"/>
  <c r="AR137" i="47"/>
  <c r="AS137" i="47"/>
  <c r="AO137" i="47"/>
  <c r="BS48" i="45"/>
  <c r="BM50" i="45"/>
  <c r="BK50" i="45"/>
  <c r="AY50" i="45"/>
  <c r="AO192" i="47" l="1"/>
  <c r="AR192" i="47"/>
  <c r="AS192" i="47"/>
  <c r="L38" i="45"/>
  <c r="O38" i="45" s="1"/>
  <c r="AJ189" i="45" l="1"/>
  <c r="AI189" i="45"/>
  <c r="AG189" i="45"/>
  <c r="AF189" i="45"/>
  <c r="AD189" i="45"/>
  <c r="AC189" i="45"/>
  <c r="AA189" i="45"/>
  <c r="Z189" i="45"/>
  <c r="BO188" i="45"/>
  <c r="AI188" i="45" s="1"/>
  <c r="BA188" i="45"/>
  <c r="Z188" i="45" s="1"/>
  <c r="AJ188" i="45"/>
  <c r="AG188" i="45"/>
  <c r="AF188" i="45"/>
  <c r="AD188" i="45"/>
  <c r="AC188" i="45"/>
  <c r="AA188" i="45"/>
  <c r="AJ166" i="45"/>
  <c r="AI166" i="45"/>
  <c r="AG166" i="45"/>
  <c r="AF166" i="45"/>
  <c r="AD166" i="45"/>
  <c r="AC166" i="45"/>
  <c r="AA166" i="45"/>
  <c r="Z166" i="45"/>
  <c r="Z168" i="45"/>
  <c r="AA168" i="45"/>
  <c r="AC168" i="45"/>
  <c r="AD168" i="45"/>
  <c r="AF168" i="45"/>
  <c r="AG168" i="45"/>
  <c r="AI168" i="45"/>
  <c r="AJ168" i="45"/>
  <c r="X133" i="45"/>
  <c r="BS38" i="45"/>
  <c r="L67" i="45"/>
  <c r="O67" i="45" s="1"/>
  <c r="AY64" i="45"/>
  <c r="L64" i="45"/>
  <c r="O64" i="45" s="1"/>
  <c r="L46" i="45"/>
  <c r="O46" i="45" s="1"/>
  <c r="BS67" i="45"/>
  <c r="BQ67" i="45"/>
  <c r="BO67" i="45"/>
  <c r="BM67" i="45"/>
  <c r="BK67" i="45"/>
  <c r="BI67" i="45"/>
  <c r="BG67" i="45"/>
  <c r="BE67" i="45"/>
  <c r="BC67" i="45"/>
  <c r="BA67" i="45"/>
  <c r="AY67" i="45"/>
  <c r="BS46" i="45"/>
  <c r="BI178" i="45"/>
  <c r="AJ165" i="45"/>
  <c r="AI165" i="45"/>
  <c r="AG165" i="45"/>
  <c r="AF165" i="45"/>
  <c r="AD165" i="45"/>
  <c r="AC165" i="45"/>
  <c r="AA165" i="45"/>
  <c r="Z165" i="45"/>
  <c r="AB166" i="45" l="1"/>
  <c r="AH166" i="45"/>
  <c r="AE189" i="45"/>
  <c r="AH188" i="45"/>
  <c r="AK189" i="45"/>
  <c r="AM189" i="45"/>
  <c r="AP188" i="45"/>
  <c r="AM165" i="45"/>
  <c r="AQ189" i="45"/>
  <c r="AH168" i="45"/>
  <c r="AT168" i="45"/>
  <c r="AS188" i="45"/>
  <c r="AV188" i="45" s="1"/>
  <c r="AS168" i="45"/>
  <c r="AM168" i="45"/>
  <c r="AQ166" i="45"/>
  <c r="AT188" i="45"/>
  <c r="AE166" i="45"/>
  <c r="AK166" i="45"/>
  <c r="AK188" i="45"/>
  <c r="AH189" i="45"/>
  <c r="AN189" i="45"/>
  <c r="AB189" i="45"/>
  <c r="AS189" i="45"/>
  <c r="AP189" i="45"/>
  <c r="AT189" i="45"/>
  <c r="AM188" i="45"/>
  <c r="AQ188" i="45"/>
  <c r="AE188" i="45"/>
  <c r="AN188" i="45"/>
  <c r="AB188" i="45"/>
  <c r="AE168" i="45"/>
  <c r="AM166" i="45"/>
  <c r="AQ168" i="45"/>
  <c r="AN168" i="45"/>
  <c r="AN166" i="45"/>
  <c r="AS166" i="45"/>
  <c r="AB168" i="45"/>
  <c r="AP166" i="45"/>
  <c r="AT166" i="45"/>
  <c r="AP168" i="45"/>
  <c r="AK168" i="45"/>
  <c r="AB165" i="45"/>
  <c r="AE165" i="45"/>
  <c r="AK165" i="45"/>
  <c r="AQ165" i="45"/>
  <c r="AH165" i="45"/>
  <c r="AN165" i="45"/>
  <c r="AS165" i="45"/>
  <c r="AP165" i="45"/>
  <c r="AT165" i="45"/>
  <c r="BT136" i="45"/>
  <c r="BS136" i="45"/>
  <c r="BR136" i="45"/>
  <c r="BQ136" i="45"/>
  <c r="BP136" i="45"/>
  <c r="BO136" i="45"/>
  <c r="BN136" i="45"/>
  <c r="BM136" i="45"/>
  <c r="BL136" i="45"/>
  <c r="BK136" i="45"/>
  <c r="BJ136" i="45"/>
  <c r="BI136" i="45"/>
  <c r="BH136" i="45"/>
  <c r="BG136" i="45"/>
  <c r="BF136" i="45"/>
  <c r="BE136" i="45"/>
  <c r="BD136" i="45"/>
  <c r="BC136" i="45"/>
  <c r="BB136" i="45"/>
  <c r="BA136" i="45"/>
  <c r="AZ136" i="45"/>
  <c r="AY136" i="45"/>
  <c r="AX136" i="45"/>
  <c r="AW136" i="45"/>
  <c r="AV135" i="45"/>
  <c r="BT129" i="45"/>
  <c r="BS129" i="45"/>
  <c r="BR129" i="45"/>
  <c r="BQ129" i="45"/>
  <c r="BP129" i="45"/>
  <c r="BO129" i="45"/>
  <c r="BN129" i="45"/>
  <c r="BM129" i="45"/>
  <c r="BL129" i="45"/>
  <c r="BK129" i="45"/>
  <c r="BJ129" i="45"/>
  <c r="BI129" i="45"/>
  <c r="BH129" i="45"/>
  <c r="BG129" i="45"/>
  <c r="BF129" i="45"/>
  <c r="BE129" i="45"/>
  <c r="BD129" i="45"/>
  <c r="BC129" i="45"/>
  <c r="BB129" i="45"/>
  <c r="BA129" i="45"/>
  <c r="AZ129" i="45"/>
  <c r="AY129" i="45"/>
  <c r="AX129" i="45"/>
  <c r="AW129" i="45"/>
  <c r="BT127" i="45"/>
  <c r="BS127" i="45"/>
  <c r="BR127" i="45"/>
  <c r="BQ127" i="45"/>
  <c r="BP127" i="45"/>
  <c r="BO127" i="45"/>
  <c r="BN127" i="45"/>
  <c r="BM127" i="45"/>
  <c r="BL127" i="45"/>
  <c r="BK127" i="45"/>
  <c r="BJ127" i="45"/>
  <c r="BI127" i="45"/>
  <c r="BH127" i="45"/>
  <c r="BG127" i="45"/>
  <c r="BF127" i="45"/>
  <c r="BE127" i="45"/>
  <c r="BD127" i="45"/>
  <c r="BC127" i="45"/>
  <c r="BB127" i="45"/>
  <c r="BA127" i="45"/>
  <c r="AZ127" i="45"/>
  <c r="AY127" i="45"/>
  <c r="AX127" i="45"/>
  <c r="AW127" i="45"/>
  <c r="BT125" i="45"/>
  <c r="BS125" i="45"/>
  <c r="BR125" i="45"/>
  <c r="BQ125" i="45"/>
  <c r="BP125" i="45"/>
  <c r="BO125" i="45"/>
  <c r="BN125" i="45"/>
  <c r="BM125" i="45"/>
  <c r="BL125" i="45"/>
  <c r="BK125" i="45"/>
  <c r="BJ125" i="45"/>
  <c r="BI125" i="45"/>
  <c r="BH125" i="45"/>
  <c r="BG125" i="45"/>
  <c r="BF125" i="45"/>
  <c r="BE125" i="45"/>
  <c r="BD125" i="45"/>
  <c r="BC125" i="45"/>
  <c r="BB125" i="45"/>
  <c r="BA125" i="45"/>
  <c r="AZ125" i="45"/>
  <c r="AY125" i="45"/>
  <c r="AX125" i="45"/>
  <c r="AW125" i="45"/>
  <c r="AR188" i="45" l="1"/>
  <c r="AO168" i="45"/>
  <c r="AR166" i="45"/>
  <c r="AO165" i="45"/>
  <c r="AC136" i="45"/>
  <c r="AC138" i="45" s="1"/>
  <c r="AO189" i="45"/>
  <c r="AO188" i="45"/>
  <c r="AR189" i="45"/>
  <c r="AU188" i="45"/>
  <c r="AU168" i="45"/>
  <c r="AV168" i="45"/>
  <c r="AU189" i="45"/>
  <c r="AU166" i="45"/>
  <c r="AO166" i="45"/>
  <c r="AR168" i="45"/>
  <c r="AR165" i="45"/>
  <c r="AU165" i="45"/>
  <c r="N131" i="45"/>
  <c r="BS65" i="45"/>
  <c r="BS60" i="45"/>
  <c r="BM13" i="45"/>
  <c r="S70" i="45"/>
  <c r="Q70" i="45"/>
  <c r="S102" i="45"/>
  <c r="S101" i="45" s="1"/>
  <c r="Q102" i="45"/>
  <c r="Q101" i="45" s="1"/>
  <c r="S69" i="45"/>
  <c r="Q69" i="45"/>
  <c r="R101" i="45"/>
  <c r="L129" i="45"/>
  <c r="O129" i="45" s="1"/>
  <c r="L127" i="45"/>
  <c r="O127" i="45" s="1"/>
  <c r="L125" i="45"/>
  <c r="O125" i="45" s="1"/>
  <c r="T138" i="45" l="1"/>
  <c r="AJ130" i="45"/>
  <c r="AI130" i="45"/>
  <c r="AG130" i="45"/>
  <c r="AF130" i="45"/>
  <c r="AD130" i="45"/>
  <c r="AC130" i="45"/>
  <c r="AA130" i="45"/>
  <c r="Z130" i="45"/>
  <c r="AJ129" i="45"/>
  <c r="AI129" i="45"/>
  <c r="AG129" i="45"/>
  <c r="AF129" i="45"/>
  <c r="AD129" i="45"/>
  <c r="AC129" i="45"/>
  <c r="AA129" i="45"/>
  <c r="Z129" i="45"/>
  <c r="AJ128" i="45"/>
  <c r="AI128" i="45"/>
  <c r="AG128" i="45"/>
  <c r="AF128" i="45"/>
  <c r="AD128" i="45"/>
  <c r="AC128" i="45"/>
  <c r="AA128" i="45"/>
  <c r="Z128" i="45"/>
  <c r="AJ127" i="45"/>
  <c r="AI127" i="45"/>
  <c r="AG127" i="45"/>
  <c r="AF127" i="45"/>
  <c r="AD127" i="45"/>
  <c r="AC127" i="45"/>
  <c r="AA127" i="45"/>
  <c r="Z127" i="45"/>
  <c r="AJ126" i="45"/>
  <c r="AI126" i="45"/>
  <c r="AG126" i="45"/>
  <c r="AF126" i="45"/>
  <c r="AD126" i="45"/>
  <c r="AC126" i="45"/>
  <c r="AA126" i="45"/>
  <c r="Z126" i="45"/>
  <c r="AJ125" i="45"/>
  <c r="AI125" i="45"/>
  <c r="AG125" i="45"/>
  <c r="AF125" i="45"/>
  <c r="AD125" i="45"/>
  <c r="AC125" i="45"/>
  <c r="AA125" i="45"/>
  <c r="Z125" i="45"/>
  <c r="L196" i="45"/>
  <c r="O196" i="45" s="1"/>
  <c r="L65" i="45"/>
  <c r="O65" i="45" s="1"/>
  <c r="L63" i="45"/>
  <c r="O63" i="45" s="1"/>
  <c r="AK125" i="45" l="1"/>
  <c r="AE126" i="45"/>
  <c r="AK126" i="45"/>
  <c r="AE127" i="45"/>
  <c r="AK127" i="45"/>
  <c r="AE128" i="45"/>
  <c r="AE129" i="45"/>
  <c r="AK129" i="45"/>
  <c r="AK130" i="45"/>
  <c r="AK128" i="45"/>
  <c r="AE130" i="45"/>
  <c r="AN125" i="45"/>
  <c r="AQ126" i="45"/>
  <c r="AT127" i="45"/>
  <c r="AN129" i="45"/>
  <c r="AQ130" i="45"/>
  <c r="AH125" i="45"/>
  <c r="AE125" i="45"/>
  <c r="AM126" i="45"/>
  <c r="AH126" i="45"/>
  <c r="AB127" i="45"/>
  <c r="AH127" i="45"/>
  <c r="AS128" i="45"/>
  <c r="AV128" i="45" s="1"/>
  <c r="AH128" i="45"/>
  <c r="AM129" i="45"/>
  <c r="AH129" i="45"/>
  <c r="AM130" i="45"/>
  <c r="AH130" i="45"/>
  <c r="AM125" i="45"/>
  <c r="AB128" i="45"/>
  <c r="AP127" i="45"/>
  <c r="AB125" i="45"/>
  <c r="AS125" i="45"/>
  <c r="AV125" i="45" s="1"/>
  <c r="AN126" i="45"/>
  <c r="AM127" i="45"/>
  <c r="AQ127" i="45"/>
  <c r="AP128" i="45"/>
  <c r="AT128" i="45"/>
  <c r="AB129" i="45"/>
  <c r="AS129" i="45"/>
  <c r="AV129" i="45" s="1"/>
  <c r="AN130" i="45"/>
  <c r="AP125" i="45"/>
  <c r="AT125" i="45"/>
  <c r="AB126" i="45"/>
  <c r="AS126" i="45"/>
  <c r="AV126" i="45" s="1"/>
  <c r="AN127" i="45"/>
  <c r="AM128" i="45"/>
  <c r="AQ128" i="45"/>
  <c r="AP129" i="45"/>
  <c r="AT129" i="45"/>
  <c r="AB130" i="45"/>
  <c r="AS130" i="45"/>
  <c r="AV130" i="45" s="1"/>
  <c r="AQ125" i="45"/>
  <c r="AP126" i="45"/>
  <c r="AT126" i="45"/>
  <c r="AS127" i="45"/>
  <c r="AV127" i="45" s="1"/>
  <c r="AN128" i="45"/>
  <c r="AQ129" i="45"/>
  <c r="AP130" i="45"/>
  <c r="AT130" i="45"/>
  <c r="AW184" i="45"/>
  <c r="AX51" i="45"/>
  <c r="AZ51" i="45"/>
  <c r="BA51" i="45"/>
  <c r="BB51" i="45"/>
  <c r="BD51" i="45"/>
  <c r="BE51" i="45"/>
  <c r="BF51" i="45"/>
  <c r="BG51" i="45"/>
  <c r="BH51" i="45"/>
  <c r="BI51" i="45"/>
  <c r="BJ51" i="45"/>
  <c r="BK51" i="45"/>
  <c r="BL51" i="45"/>
  <c r="BN51" i="45"/>
  <c r="BO51" i="45"/>
  <c r="BP51" i="45"/>
  <c r="BR51" i="45"/>
  <c r="BS51" i="45"/>
  <c r="BT51" i="45"/>
  <c r="AW51" i="45"/>
  <c r="AX145" i="45"/>
  <c r="AY145" i="45"/>
  <c r="AZ145" i="45"/>
  <c r="BA145" i="45"/>
  <c r="BB145" i="45"/>
  <c r="BC145" i="45"/>
  <c r="BD145" i="45"/>
  <c r="BE145" i="45"/>
  <c r="BF145" i="45"/>
  <c r="BG145" i="45"/>
  <c r="BH145" i="45"/>
  <c r="BI145" i="45"/>
  <c r="BJ145" i="45"/>
  <c r="BK145" i="45"/>
  <c r="BL145" i="45"/>
  <c r="BM145" i="45"/>
  <c r="BN145" i="45"/>
  <c r="BO145" i="45"/>
  <c r="BP145" i="45"/>
  <c r="BQ145" i="45"/>
  <c r="BR145" i="45"/>
  <c r="BS145" i="45"/>
  <c r="BT145" i="45"/>
  <c r="AW145" i="45"/>
  <c r="S51" i="45"/>
  <c r="Q51" i="45"/>
  <c r="L51" i="45"/>
  <c r="O51" i="45" s="1"/>
  <c r="AW151" i="45"/>
  <c r="S185" i="45"/>
  <c r="Q185" i="45"/>
  <c r="L185" i="45"/>
  <c r="O185" i="45" s="1"/>
  <c r="S169" i="45"/>
  <c r="Q169" i="45"/>
  <c r="L169" i="45"/>
  <c r="O169" i="45" s="1"/>
  <c r="S162" i="45"/>
  <c r="Q162" i="45"/>
  <c r="L162" i="45"/>
  <c r="O162" i="45" s="1"/>
  <c r="S156" i="45"/>
  <c r="Q156" i="45"/>
  <c r="L156" i="45"/>
  <c r="O156" i="45" s="1"/>
  <c r="S159" i="45"/>
  <c r="Q159" i="45"/>
  <c r="L159" i="45"/>
  <c r="O159" i="45" s="1"/>
  <c r="S151" i="45"/>
  <c r="Q151" i="45"/>
  <c r="L151" i="45"/>
  <c r="O151" i="45" s="1"/>
  <c r="S145" i="45"/>
  <c r="Q145" i="45"/>
  <c r="S43" i="45"/>
  <c r="S56" i="45"/>
  <c r="Q56" i="45"/>
  <c r="R120" i="45"/>
  <c r="R5" i="45" s="1"/>
  <c r="S120" i="45"/>
  <c r="Q120" i="45"/>
  <c r="L120" i="45"/>
  <c r="O120" i="45" s="1"/>
  <c r="S58" i="45"/>
  <c r="Q58" i="45"/>
  <c r="S49" i="45"/>
  <c r="Q49" i="45"/>
  <c r="L49" i="45"/>
  <c r="O49" i="45" s="1"/>
  <c r="S45" i="45"/>
  <c r="Q45" i="45"/>
  <c r="L45" i="45"/>
  <c r="O45" i="45" s="1"/>
  <c r="Q43" i="45"/>
  <c r="S40" i="45"/>
  <c r="Q40" i="45"/>
  <c r="L40" i="45"/>
  <c r="O40" i="45" s="1"/>
  <c r="S37" i="45"/>
  <c r="Q37" i="45"/>
  <c r="L37" i="45"/>
  <c r="O37" i="45" s="1"/>
  <c r="S31" i="45"/>
  <c r="Q31" i="45"/>
  <c r="L31" i="45"/>
  <c r="O31" i="45" s="1"/>
  <c r="O138" i="45"/>
  <c r="P138" i="45"/>
  <c r="Q138" i="45"/>
  <c r="R138" i="45"/>
  <c r="S138" i="45"/>
  <c r="N138" i="45"/>
  <c r="L138" i="45"/>
  <c r="L43" i="45"/>
  <c r="O43" i="45" s="1"/>
  <c r="AO125" i="45" l="1"/>
  <c r="AR130" i="45"/>
  <c r="AR126" i="45"/>
  <c r="AR129" i="45"/>
  <c r="AU126" i="45"/>
  <c r="AO130" i="45"/>
  <c r="AO129" i="45"/>
  <c r="AU127" i="45"/>
  <c r="AR127" i="45"/>
  <c r="AU125" i="45"/>
  <c r="AU128" i="45"/>
  <c r="AO126" i="45"/>
  <c r="AR125" i="45"/>
  <c r="AR128" i="45"/>
  <c r="AU130" i="45"/>
  <c r="AU129" i="45"/>
  <c r="AO128" i="45"/>
  <c r="AO127" i="45"/>
  <c r="L56" i="45" l="1"/>
  <c r="O56" i="45" s="1"/>
  <c r="L58" i="45"/>
  <c r="O58" i="45" s="1"/>
  <c r="BS157" i="45" l="1"/>
  <c r="AI39" i="45" l="1"/>
  <c r="AJ39" i="45"/>
  <c r="AG39" i="45"/>
  <c r="AF39" i="45"/>
  <c r="AD39" i="45"/>
  <c r="AC39" i="45"/>
  <c r="AA39" i="45"/>
  <c r="Z39" i="45"/>
  <c r="AJ38" i="45"/>
  <c r="AI38" i="45"/>
  <c r="AG38" i="45"/>
  <c r="AF38" i="45"/>
  <c r="AD38" i="45"/>
  <c r="AC38" i="45"/>
  <c r="AA38" i="45"/>
  <c r="Z38" i="45"/>
  <c r="AJ158" i="45"/>
  <c r="AI158" i="45"/>
  <c r="AG158" i="45"/>
  <c r="AF158" i="45"/>
  <c r="AD158" i="45"/>
  <c r="AC158" i="45"/>
  <c r="AA158" i="45"/>
  <c r="Z158" i="45"/>
  <c r="AI157" i="45"/>
  <c r="AJ157" i="45"/>
  <c r="AG157" i="45"/>
  <c r="AF157" i="45"/>
  <c r="AD157" i="45"/>
  <c r="AC157" i="45"/>
  <c r="AA157" i="45"/>
  <c r="Z157" i="45"/>
  <c r="AH157" i="45" l="1"/>
  <c r="AH158" i="45"/>
  <c r="AH39" i="45"/>
  <c r="AQ157" i="45"/>
  <c r="AN39" i="45"/>
  <c r="AE38" i="45"/>
  <c r="AK38" i="45"/>
  <c r="AE39" i="45"/>
  <c r="AK158" i="45"/>
  <c r="AM38" i="45"/>
  <c r="AB39" i="45"/>
  <c r="AT39" i="45"/>
  <c r="AP157" i="45"/>
  <c r="AN38" i="45"/>
  <c r="AS38" i="45"/>
  <c r="AV38" i="45" s="1"/>
  <c r="AB38" i="45"/>
  <c r="AM39" i="45"/>
  <c r="AQ39" i="45"/>
  <c r="AK39" i="45"/>
  <c r="AS39" i="45"/>
  <c r="AV39" i="45" s="1"/>
  <c r="AP39" i="45"/>
  <c r="AP38" i="45"/>
  <c r="AT38" i="45"/>
  <c r="AH38" i="45"/>
  <c r="AQ38" i="45"/>
  <c r="AK157" i="45"/>
  <c r="AE158" i="45"/>
  <c r="AT157" i="45"/>
  <c r="AP158" i="45"/>
  <c r="AT158" i="45"/>
  <c r="AM158" i="45"/>
  <c r="AQ158" i="45"/>
  <c r="AN158" i="45"/>
  <c r="AB158" i="45"/>
  <c r="AS158" i="45"/>
  <c r="AV158" i="45" s="1"/>
  <c r="AM157" i="45"/>
  <c r="AE157" i="45"/>
  <c r="AN157" i="45"/>
  <c r="AB157" i="45"/>
  <c r="AS157" i="45"/>
  <c r="AV157" i="45" s="1"/>
  <c r="BT184" i="45"/>
  <c r="BS184" i="45"/>
  <c r="BR184" i="45"/>
  <c r="BQ184" i="45"/>
  <c r="BP184" i="45"/>
  <c r="BO184" i="45"/>
  <c r="BN184" i="45"/>
  <c r="BM184" i="45"/>
  <c r="BL184" i="45"/>
  <c r="BK184" i="45"/>
  <c r="BJ184" i="45"/>
  <c r="BI184" i="45"/>
  <c r="BH184" i="45"/>
  <c r="BG184" i="45"/>
  <c r="BF184" i="45"/>
  <c r="BE184" i="45"/>
  <c r="BD184" i="45"/>
  <c r="BC184" i="45"/>
  <c r="BB184" i="45"/>
  <c r="BA184" i="45"/>
  <c r="AZ184" i="45"/>
  <c r="AY184" i="45"/>
  <c r="AX184" i="45"/>
  <c r="AO39" i="45" l="1"/>
  <c r="AU39" i="45"/>
  <c r="AR157" i="45"/>
  <c r="AU38" i="45"/>
  <c r="AR38" i="45"/>
  <c r="AR39" i="45"/>
  <c r="AR158" i="45"/>
  <c r="AU157" i="45"/>
  <c r="AO38" i="45"/>
  <c r="AU158" i="45"/>
  <c r="AO158" i="45"/>
  <c r="AO157" i="45"/>
  <c r="BT169" i="45" l="1"/>
  <c r="BS169" i="45"/>
  <c r="BR169" i="45"/>
  <c r="BQ169" i="45"/>
  <c r="BP169" i="45"/>
  <c r="BO169" i="45"/>
  <c r="BN169" i="45"/>
  <c r="BM169" i="45"/>
  <c r="BL169" i="45"/>
  <c r="BK169" i="45"/>
  <c r="BJ169" i="45"/>
  <c r="BI169" i="45"/>
  <c r="BH169" i="45"/>
  <c r="BG169" i="45"/>
  <c r="BF169" i="45"/>
  <c r="BE169" i="45"/>
  <c r="BD169" i="45"/>
  <c r="BC169" i="45"/>
  <c r="BB169" i="45"/>
  <c r="BA169" i="45"/>
  <c r="AZ169" i="45"/>
  <c r="AY169" i="45"/>
  <c r="AX169" i="45"/>
  <c r="AW169" i="45"/>
  <c r="BS41" i="45" l="1"/>
  <c r="BS149" i="45"/>
  <c r="BQ55" i="45"/>
  <c r="BQ51" i="45" s="1"/>
  <c r="BM54" i="45"/>
  <c r="BM51" i="45" s="1"/>
  <c r="BC53" i="45"/>
  <c r="AY52" i="45"/>
  <c r="AY51" i="45" s="1"/>
  <c r="AJ53" i="45"/>
  <c r="AI53" i="45"/>
  <c r="AG53" i="45"/>
  <c r="AF53" i="45"/>
  <c r="AD53" i="45"/>
  <c r="AA53" i="45"/>
  <c r="Z53" i="45"/>
  <c r="AC53" i="45" l="1"/>
  <c r="AM53" i="45" s="1"/>
  <c r="BC51" i="45"/>
  <c r="AQ53" i="45"/>
  <c r="AK53" i="45"/>
  <c r="AH53" i="45"/>
  <c r="AN53" i="45"/>
  <c r="AB53" i="45"/>
  <c r="AT53" i="45"/>
  <c r="AS53" i="45" l="1"/>
  <c r="AP53" i="45"/>
  <c r="AR53" i="45" s="1"/>
  <c r="AE53" i="45"/>
  <c r="AO53" i="45"/>
  <c r="AU53" i="45" l="1"/>
  <c r="AV53" i="45"/>
  <c r="AJ163" i="45"/>
  <c r="AI163" i="45"/>
  <c r="AG163" i="45"/>
  <c r="AF163" i="45"/>
  <c r="AD163" i="45"/>
  <c r="AC163" i="45"/>
  <c r="AA163" i="45"/>
  <c r="Z163" i="45"/>
  <c r="BT162" i="45"/>
  <c r="BS162" i="45"/>
  <c r="BR162" i="45"/>
  <c r="BQ162" i="45"/>
  <c r="BP162" i="45"/>
  <c r="BO162" i="45"/>
  <c r="BN162" i="45"/>
  <c r="BM162" i="45"/>
  <c r="BL162" i="45"/>
  <c r="BK162" i="45"/>
  <c r="BJ162" i="45"/>
  <c r="BI162" i="45"/>
  <c r="BH162" i="45"/>
  <c r="BG162" i="45"/>
  <c r="BF162" i="45"/>
  <c r="BE162" i="45"/>
  <c r="BD162" i="45"/>
  <c r="BC162" i="45"/>
  <c r="BB162" i="45"/>
  <c r="BA162" i="45"/>
  <c r="AZ162" i="45"/>
  <c r="AY162" i="45"/>
  <c r="AX162" i="45"/>
  <c r="AW162" i="45"/>
  <c r="AE163" i="45" l="1"/>
  <c r="AH163" i="45"/>
  <c r="AD162" i="45"/>
  <c r="AG162" i="45"/>
  <c r="AK163" i="45"/>
  <c r="AM163" i="45"/>
  <c r="AC162" i="45"/>
  <c r="AQ163" i="45"/>
  <c r="AI162" i="45"/>
  <c r="Z162" i="45"/>
  <c r="AT163" i="45"/>
  <c r="AA162" i="45"/>
  <c r="AJ162" i="45"/>
  <c r="AB163" i="45"/>
  <c r="AF162" i="45"/>
  <c r="AS163" i="45"/>
  <c r="AV163" i="45" s="1"/>
  <c r="AP163" i="45"/>
  <c r="AN163" i="45"/>
  <c r="BS156" i="45"/>
  <c r="BT156" i="45"/>
  <c r="BR156" i="45"/>
  <c r="BQ156" i="45"/>
  <c r="BP156" i="45"/>
  <c r="BO156" i="45"/>
  <c r="BN156" i="45"/>
  <c r="BM156" i="45"/>
  <c r="BL156" i="45"/>
  <c r="BK156" i="45"/>
  <c r="BJ156" i="45"/>
  <c r="BI156" i="45"/>
  <c r="BH156" i="45"/>
  <c r="BG156" i="45"/>
  <c r="BF156" i="45"/>
  <c r="BE156" i="45"/>
  <c r="BD156" i="45"/>
  <c r="BC156" i="45"/>
  <c r="BB156" i="45"/>
  <c r="BA156" i="45"/>
  <c r="AZ156" i="45"/>
  <c r="AY156" i="45"/>
  <c r="AX156" i="45"/>
  <c r="AW156" i="45"/>
  <c r="BS152" i="45"/>
  <c r="AI152" i="45" s="1"/>
  <c r="BT151" i="45"/>
  <c r="BR151" i="45"/>
  <c r="BQ151" i="45"/>
  <c r="BP151" i="45"/>
  <c r="BO151" i="45"/>
  <c r="BN151" i="45"/>
  <c r="BM151" i="45"/>
  <c r="BL151" i="45"/>
  <c r="BK151" i="45"/>
  <c r="BJ151" i="45"/>
  <c r="BI151" i="45"/>
  <c r="BH151" i="45"/>
  <c r="BG151" i="45"/>
  <c r="BF151" i="45"/>
  <c r="BE151" i="45"/>
  <c r="BD151" i="45"/>
  <c r="BC151" i="45"/>
  <c r="BB151" i="45"/>
  <c r="BA151" i="45"/>
  <c r="AZ151" i="45"/>
  <c r="AY151" i="45"/>
  <c r="AX151" i="45"/>
  <c r="BS155" i="45"/>
  <c r="AI155" i="45" s="1"/>
  <c r="AJ155" i="45"/>
  <c r="AG155" i="45"/>
  <c r="AF155" i="45"/>
  <c r="AD155" i="45"/>
  <c r="AC155" i="45"/>
  <c r="AA155" i="45"/>
  <c r="Z155" i="45"/>
  <c r="AJ154" i="45"/>
  <c r="AI154" i="45"/>
  <c r="AG154" i="45"/>
  <c r="AF154" i="45"/>
  <c r="AD154" i="45"/>
  <c r="AC154" i="45"/>
  <c r="AA154" i="45"/>
  <c r="Z154" i="45"/>
  <c r="AJ153" i="45"/>
  <c r="AI153" i="45"/>
  <c r="AG153" i="45"/>
  <c r="AF153" i="45"/>
  <c r="AD153" i="45"/>
  <c r="AC153" i="45"/>
  <c r="AA153" i="45"/>
  <c r="Z153" i="45"/>
  <c r="AJ152" i="45"/>
  <c r="AG152" i="45"/>
  <c r="AF152" i="45"/>
  <c r="AD152" i="45"/>
  <c r="AC152" i="45"/>
  <c r="AA152" i="45"/>
  <c r="Z152" i="45"/>
  <c r="AJ137" i="45"/>
  <c r="AI137" i="45"/>
  <c r="AG137" i="45"/>
  <c r="AF137" i="45"/>
  <c r="AD137" i="45"/>
  <c r="AA137" i="45"/>
  <c r="Z137" i="45"/>
  <c r="S171" i="45"/>
  <c r="S197" i="45" s="1"/>
  <c r="Q171" i="45"/>
  <c r="Q197" i="45" s="1"/>
  <c r="O171" i="45"/>
  <c r="Q200" i="45" l="1"/>
  <c r="S200" i="45"/>
  <c r="AH162" i="45"/>
  <c r="AU163" i="45"/>
  <c r="AE162" i="45"/>
  <c r="AR163" i="45"/>
  <c r="AN162" i="45"/>
  <c r="AQ162" i="45"/>
  <c r="AK162" i="45"/>
  <c r="AO163" i="45"/>
  <c r="AM162" i="45"/>
  <c r="AB162" i="45"/>
  <c r="AC156" i="45"/>
  <c r="AF156" i="45"/>
  <c r="AT162" i="45"/>
  <c r="AS162" i="45"/>
  <c r="AV162" i="45" s="1"/>
  <c r="AA156" i="45"/>
  <c r="AD156" i="45"/>
  <c r="AG156" i="45"/>
  <c r="AJ156" i="45"/>
  <c r="AP162" i="45"/>
  <c r="Z156" i="45"/>
  <c r="AI156" i="45"/>
  <c r="AH152" i="45"/>
  <c r="AK137" i="45"/>
  <c r="AP154" i="45"/>
  <c r="AH154" i="45"/>
  <c r="AB155" i="45"/>
  <c r="AH155" i="45"/>
  <c r="AN153" i="45"/>
  <c r="AT137" i="45"/>
  <c r="AT152" i="45"/>
  <c r="AE153" i="45"/>
  <c r="AQ152" i="45"/>
  <c r="AS153" i="45"/>
  <c r="AV153" i="45" s="1"/>
  <c r="AE154" i="45"/>
  <c r="AE155" i="45"/>
  <c r="AH137" i="45"/>
  <c r="AB153" i="45"/>
  <c r="AT153" i="45"/>
  <c r="AN155" i="45"/>
  <c r="AK152" i="45"/>
  <c r="AT155" i="45"/>
  <c r="BS151" i="45"/>
  <c r="AP152" i="45"/>
  <c r="AK155" i="45"/>
  <c r="AM155" i="45"/>
  <c r="AQ155" i="45"/>
  <c r="AH153" i="45"/>
  <c r="AK154" i="45"/>
  <c r="AT154" i="45"/>
  <c r="AM153" i="45"/>
  <c r="AQ153" i="45"/>
  <c r="AK153" i="45"/>
  <c r="AE152" i="45"/>
  <c r="AN152" i="45"/>
  <c r="AP153" i="45"/>
  <c r="AP155" i="45"/>
  <c r="AM152" i="45"/>
  <c r="AM154" i="45"/>
  <c r="AQ154" i="45"/>
  <c r="AS155" i="45"/>
  <c r="AV155" i="45" s="1"/>
  <c r="AN154" i="45"/>
  <c r="AB152" i="45"/>
  <c r="AS152" i="45"/>
  <c r="AV152" i="45" s="1"/>
  <c r="AB154" i="45"/>
  <c r="AS154" i="45"/>
  <c r="AV154" i="45" s="1"/>
  <c r="AE137" i="45"/>
  <c r="AP137" i="45"/>
  <c r="AM137" i="45"/>
  <c r="AQ137" i="45"/>
  <c r="AN137" i="45"/>
  <c r="AB137" i="45"/>
  <c r="AS137" i="45"/>
  <c r="AV137" i="45" s="1"/>
  <c r="AR153" i="45" l="1"/>
  <c r="AO162" i="45"/>
  <c r="AE156" i="45"/>
  <c r="AR162" i="45"/>
  <c r="AH156" i="45"/>
  <c r="AQ156" i="45"/>
  <c r="AP156" i="45"/>
  <c r="AN156" i="45"/>
  <c r="AT156" i="45"/>
  <c r="AU162" i="45"/>
  <c r="AU137" i="45"/>
  <c r="AK156" i="45"/>
  <c r="AM156" i="45"/>
  <c r="AB156" i="45"/>
  <c r="AS156" i="45"/>
  <c r="AV156" i="45" s="1"/>
  <c r="AO155" i="45"/>
  <c r="AR137" i="45"/>
  <c r="AR154" i="45"/>
  <c r="AO153" i="45"/>
  <c r="AU153" i="45"/>
  <c r="AO152" i="45"/>
  <c r="AU155" i="45"/>
  <c r="AU152" i="45"/>
  <c r="AR152" i="45"/>
  <c r="AR155" i="45"/>
  <c r="AU154" i="45"/>
  <c r="AO154" i="45"/>
  <c r="AO137" i="45"/>
  <c r="AR156" i="45" l="1"/>
  <c r="AU156" i="45"/>
  <c r="AO156" i="45"/>
  <c r="AJ161" i="45"/>
  <c r="AI161" i="45"/>
  <c r="AG161" i="45"/>
  <c r="AF161" i="45"/>
  <c r="AD161" i="45"/>
  <c r="AC161" i="45"/>
  <c r="AA161" i="45"/>
  <c r="Z161" i="45"/>
  <c r="BS159" i="45"/>
  <c r="AJ160" i="45"/>
  <c r="AI160" i="45"/>
  <c r="AG160" i="45"/>
  <c r="AF160" i="45"/>
  <c r="AD160" i="45"/>
  <c r="AC160" i="45"/>
  <c r="AA160" i="45"/>
  <c r="Z160" i="45"/>
  <c r="BT159" i="45"/>
  <c r="BR159" i="45"/>
  <c r="BQ159" i="45"/>
  <c r="BP159" i="45"/>
  <c r="BO159" i="45"/>
  <c r="BN159" i="45"/>
  <c r="BM159" i="45"/>
  <c r="BL159" i="45"/>
  <c r="BK159" i="45"/>
  <c r="BJ159" i="45"/>
  <c r="BI159" i="45"/>
  <c r="BH159" i="45"/>
  <c r="BG159" i="45"/>
  <c r="BF159" i="45"/>
  <c r="BE159" i="45"/>
  <c r="BD159" i="45"/>
  <c r="BC159" i="45"/>
  <c r="BB159" i="45"/>
  <c r="BA159" i="45"/>
  <c r="AZ159" i="45"/>
  <c r="AY159" i="45"/>
  <c r="AX159" i="45"/>
  <c r="AW159" i="45"/>
  <c r="AJ181" i="45"/>
  <c r="AI181" i="45"/>
  <c r="AG181" i="45"/>
  <c r="AF181" i="45"/>
  <c r="AD181" i="45"/>
  <c r="AC181" i="45"/>
  <c r="AA181" i="45"/>
  <c r="Z181" i="45"/>
  <c r="AJ180" i="45"/>
  <c r="AI180" i="45"/>
  <c r="AG180" i="45"/>
  <c r="AF180" i="45"/>
  <c r="AD180" i="45"/>
  <c r="AC180" i="45"/>
  <c r="AA180" i="45"/>
  <c r="Z180" i="45"/>
  <c r="AJ183" i="45"/>
  <c r="AI183" i="45"/>
  <c r="AG183" i="45"/>
  <c r="AF183" i="45"/>
  <c r="AD183" i="45"/>
  <c r="AC183" i="45"/>
  <c r="AA183" i="45"/>
  <c r="Z183" i="45"/>
  <c r="AJ182" i="45"/>
  <c r="AI182" i="45"/>
  <c r="AG182" i="45"/>
  <c r="AF182" i="45"/>
  <c r="AD182" i="45"/>
  <c r="AC182" i="45"/>
  <c r="AA182" i="45"/>
  <c r="Z182" i="45"/>
  <c r="AJ179" i="45"/>
  <c r="AI179" i="45"/>
  <c r="AG179" i="45"/>
  <c r="AF179" i="45"/>
  <c r="AD179" i="45"/>
  <c r="AC179" i="45"/>
  <c r="AA179" i="45"/>
  <c r="Z179" i="45"/>
  <c r="AJ178" i="45"/>
  <c r="AI178" i="45"/>
  <c r="AG178" i="45"/>
  <c r="AF178" i="45"/>
  <c r="AD178" i="45"/>
  <c r="AC178" i="45"/>
  <c r="AA178" i="45"/>
  <c r="Z178" i="45"/>
  <c r="AJ177" i="45"/>
  <c r="AI177" i="45"/>
  <c r="AG177" i="45"/>
  <c r="AF177" i="45"/>
  <c r="AD177" i="45"/>
  <c r="AC177" i="45"/>
  <c r="AA177" i="45"/>
  <c r="Z177" i="45"/>
  <c r="AJ176" i="45"/>
  <c r="AI176" i="45"/>
  <c r="AG176" i="45"/>
  <c r="AF176" i="45"/>
  <c r="AD176" i="45"/>
  <c r="AC176" i="45"/>
  <c r="AA176" i="45"/>
  <c r="Z176" i="45"/>
  <c r="AJ175" i="45"/>
  <c r="AI175" i="45"/>
  <c r="AG175" i="45"/>
  <c r="AF175" i="45"/>
  <c r="AD175" i="45"/>
  <c r="AC175" i="45"/>
  <c r="AA175" i="45"/>
  <c r="Z175" i="45"/>
  <c r="AJ174" i="45"/>
  <c r="AI174" i="45"/>
  <c r="AG174" i="45"/>
  <c r="AF174" i="45"/>
  <c r="AD174" i="45"/>
  <c r="AC174" i="45"/>
  <c r="AA174" i="45"/>
  <c r="Z174" i="45"/>
  <c r="AJ173" i="45"/>
  <c r="AI173" i="45"/>
  <c r="AG173" i="45"/>
  <c r="AF173" i="45"/>
  <c r="AD173" i="45"/>
  <c r="AC173" i="45"/>
  <c r="AA173" i="45"/>
  <c r="Z173" i="45"/>
  <c r="AJ172" i="45"/>
  <c r="AI172" i="45"/>
  <c r="AG172" i="45"/>
  <c r="AF172" i="45"/>
  <c r="AD172" i="45"/>
  <c r="AC172" i="45"/>
  <c r="AA172" i="45"/>
  <c r="Z172" i="45"/>
  <c r="BQ171" i="45"/>
  <c r="BO171" i="45"/>
  <c r="BK171" i="45"/>
  <c r="BI171" i="45"/>
  <c r="BE171" i="45"/>
  <c r="BC171" i="45"/>
  <c r="BA171" i="45"/>
  <c r="BT171" i="45"/>
  <c r="BT167" i="45" s="1"/>
  <c r="BS171" i="45"/>
  <c r="BR171" i="45"/>
  <c r="BP171" i="45"/>
  <c r="BN171" i="45"/>
  <c r="BL171" i="45"/>
  <c r="BJ171" i="45"/>
  <c r="BH171" i="45"/>
  <c r="BF171" i="45"/>
  <c r="BD171" i="45"/>
  <c r="BB171" i="45"/>
  <c r="AZ171" i="45"/>
  <c r="AX171" i="45"/>
  <c r="AW171" i="45"/>
  <c r="AJ167" i="45" l="1"/>
  <c r="BT164" i="45"/>
  <c r="AA159" i="45"/>
  <c r="AD159" i="45"/>
  <c r="AG159" i="45"/>
  <c r="AE161" i="45"/>
  <c r="AK160" i="45"/>
  <c r="AQ161" i="45"/>
  <c r="Z159" i="45"/>
  <c r="AF159" i="45"/>
  <c r="AH161" i="45"/>
  <c r="AM161" i="45"/>
  <c r="AJ159" i="45"/>
  <c r="AS160" i="45"/>
  <c r="AV160" i="45" s="1"/>
  <c r="AP161" i="45"/>
  <c r="AC159" i="45"/>
  <c r="AN160" i="45"/>
  <c r="AH160" i="45"/>
  <c r="AI159" i="45"/>
  <c r="AK161" i="45"/>
  <c r="AE160" i="45"/>
  <c r="AP160" i="45"/>
  <c r="AT160" i="45"/>
  <c r="AN161" i="45"/>
  <c r="AM160" i="45"/>
  <c r="AQ160" i="45"/>
  <c r="AB161" i="45"/>
  <c r="AS161" i="45"/>
  <c r="AV161" i="45" s="1"/>
  <c r="AT161" i="45"/>
  <c r="AB160" i="45"/>
  <c r="AE173" i="45"/>
  <c r="AN175" i="45"/>
  <c r="AT177" i="45"/>
  <c r="AN178" i="45"/>
  <c r="AN179" i="45"/>
  <c r="AN182" i="45"/>
  <c r="AQ183" i="45"/>
  <c r="AE172" i="45"/>
  <c r="AP176" i="45"/>
  <c r="AM172" i="45"/>
  <c r="AM173" i="45"/>
  <c r="AH177" i="45"/>
  <c r="AH182" i="45"/>
  <c r="AM183" i="45"/>
  <c r="AH183" i="45"/>
  <c r="AM180" i="45"/>
  <c r="AH180" i="45"/>
  <c r="AM181" i="45"/>
  <c r="AH181" i="45"/>
  <c r="AK174" i="45"/>
  <c r="AE175" i="45"/>
  <c r="AK177" i="45"/>
  <c r="AE178" i="45"/>
  <c r="AK178" i="45"/>
  <c r="AE182" i="45"/>
  <c r="AK182" i="45"/>
  <c r="AE183" i="45"/>
  <c r="AK183" i="45"/>
  <c r="AE181" i="45"/>
  <c r="AK181" i="45"/>
  <c r="AK173" i="45"/>
  <c r="AH173" i="45"/>
  <c r="AE177" i="45"/>
  <c r="AE179" i="45"/>
  <c r="AN174" i="45"/>
  <c r="AP177" i="45"/>
  <c r="AS178" i="45"/>
  <c r="AV178" i="45" s="1"/>
  <c r="BM171" i="45"/>
  <c r="AF171" i="45" s="1"/>
  <c r="AH172" i="45"/>
  <c r="AM175" i="45"/>
  <c r="AQ175" i="45"/>
  <c r="AK175" i="45"/>
  <c r="AK176" i="45"/>
  <c r="AH178" i="45"/>
  <c r="AM179" i="45"/>
  <c r="AQ179" i="45"/>
  <c r="AK179" i="45"/>
  <c r="AM182" i="45"/>
  <c r="AB183" i="45"/>
  <c r="AN180" i="45"/>
  <c r="AP172" i="45"/>
  <c r="AT173" i="45"/>
  <c r="AS175" i="45"/>
  <c r="AV175" i="45" s="1"/>
  <c r="AM176" i="45"/>
  <c r="AE176" i="45"/>
  <c r="AS179" i="45"/>
  <c r="AV179" i="45" s="1"/>
  <c r="AB180" i="45"/>
  <c r="AQ181" i="45"/>
  <c r="AK172" i="45"/>
  <c r="AQ173" i="45"/>
  <c r="AB175" i="45"/>
  <c r="AT175" i="45"/>
  <c r="AQ176" i="45"/>
  <c r="AH176" i="45"/>
  <c r="AQ178" i="45"/>
  <c r="AB179" i="45"/>
  <c r="AT179" i="45"/>
  <c r="AB182" i="45"/>
  <c r="AT182" i="45"/>
  <c r="AE180" i="45"/>
  <c r="AK180" i="45"/>
  <c r="AS180" i="45"/>
  <c r="AV180" i="45" s="1"/>
  <c r="AP180" i="45"/>
  <c r="AT180" i="45"/>
  <c r="AB181" i="45"/>
  <c r="AS181" i="45"/>
  <c r="AV181" i="45" s="1"/>
  <c r="AN181" i="45"/>
  <c r="AD171" i="45"/>
  <c r="AJ171" i="45"/>
  <c r="AQ180" i="45"/>
  <c r="AP181" i="45"/>
  <c r="AT181" i="45"/>
  <c r="AS183" i="45"/>
  <c r="AV183" i="45" s="1"/>
  <c r="AS182" i="45"/>
  <c r="AV182" i="45" s="1"/>
  <c r="AN183" i="45"/>
  <c r="AI171" i="45"/>
  <c r="AQ182" i="45"/>
  <c r="AP183" i="45"/>
  <c r="AT183" i="45"/>
  <c r="AP182" i="45"/>
  <c r="AG171" i="45"/>
  <c r="AY171" i="45"/>
  <c r="Z171" i="45" s="1"/>
  <c r="BG171" i="45"/>
  <c r="AC171" i="45" s="1"/>
  <c r="AQ172" i="45"/>
  <c r="AB172" i="45"/>
  <c r="AT172" i="45"/>
  <c r="AN172" i="45"/>
  <c r="AP174" i="45"/>
  <c r="AE174" i="45"/>
  <c r="AQ174" i="45"/>
  <c r="AH174" i="45"/>
  <c r="AT174" i="45"/>
  <c r="AA171" i="45"/>
  <c r="AP173" i="45"/>
  <c r="AS173" i="45"/>
  <c r="AV173" i="45" s="1"/>
  <c r="AB173" i="45"/>
  <c r="AS174" i="45"/>
  <c r="AV174" i="45" s="1"/>
  <c r="AQ177" i="45"/>
  <c r="AP178" i="45"/>
  <c r="AT178" i="45"/>
  <c r="AS172" i="45"/>
  <c r="AV172" i="45" s="1"/>
  <c r="AS176" i="45"/>
  <c r="AV176" i="45" s="1"/>
  <c r="AM178" i="45"/>
  <c r="AP179" i="45"/>
  <c r="AH175" i="45"/>
  <c r="AT176" i="45"/>
  <c r="AB177" i="45"/>
  <c r="AS177" i="45"/>
  <c r="AV177" i="45" s="1"/>
  <c r="AH179" i="45"/>
  <c r="AN176" i="45"/>
  <c r="AM177" i="45"/>
  <c r="AN173" i="45"/>
  <c r="AM174" i="45"/>
  <c r="AP175" i="45"/>
  <c r="AB176" i="45"/>
  <c r="AN177" i="45"/>
  <c r="AB174" i="45"/>
  <c r="AB178" i="45"/>
  <c r="AE159" i="45" l="1"/>
  <c r="AK167" i="45"/>
  <c r="AT167" i="45"/>
  <c r="AU167" i="45" s="1"/>
  <c r="AM159" i="45"/>
  <c r="AH159" i="45"/>
  <c r="AN159" i="45"/>
  <c r="AQ159" i="45"/>
  <c r="AT159" i="45"/>
  <c r="AB159" i="45"/>
  <c r="AR161" i="45"/>
  <c r="AU160" i="45"/>
  <c r="AO161" i="45"/>
  <c r="AO160" i="45"/>
  <c r="AK159" i="45"/>
  <c r="AO183" i="45"/>
  <c r="AO181" i="45"/>
  <c r="AP159" i="45"/>
  <c r="AS159" i="45"/>
  <c r="AV159" i="45" s="1"/>
  <c r="AR160" i="45"/>
  <c r="AU161" i="45"/>
  <c r="AK171" i="45"/>
  <c r="AR176" i="45"/>
  <c r="AO176" i="45"/>
  <c r="AU178" i="45"/>
  <c r="AO175" i="45"/>
  <c r="AR183" i="45"/>
  <c r="AO182" i="45"/>
  <c r="AO178" i="45"/>
  <c r="AR177" i="45"/>
  <c r="AO173" i="45"/>
  <c r="AU177" i="45"/>
  <c r="AO180" i="45"/>
  <c r="AO179" i="45"/>
  <c r="AR172" i="45"/>
  <c r="AU181" i="45"/>
  <c r="AU180" i="45"/>
  <c r="AR173" i="45"/>
  <c r="AE171" i="45"/>
  <c r="AR179" i="45"/>
  <c r="AO174" i="45"/>
  <c r="AU173" i="45"/>
  <c r="AH171" i="45"/>
  <c r="AU182" i="45"/>
  <c r="AR178" i="45"/>
  <c r="AO172" i="45"/>
  <c r="AU179" i="45"/>
  <c r="AU172" i="45"/>
  <c r="AU175" i="45"/>
  <c r="AR175" i="45"/>
  <c r="AR181" i="45"/>
  <c r="AR180" i="45"/>
  <c r="AU183" i="45"/>
  <c r="AU174" i="45"/>
  <c r="AR174" i="45"/>
  <c r="AR182" i="45"/>
  <c r="AU176" i="45"/>
  <c r="AN171" i="45"/>
  <c r="AT171" i="45"/>
  <c r="AQ171" i="45"/>
  <c r="AO177" i="45"/>
  <c r="AM171" i="45"/>
  <c r="AP171" i="45"/>
  <c r="AS171" i="45"/>
  <c r="AV171" i="45" s="1"/>
  <c r="AB171" i="45"/>
  <c r="AO159" i="45" l="1"/>
  <c r="AR159" i="45"/>
  <c r="AU159" i="45"/>
  <c r="AR171" i="45"/>
  <c r="AO171" i="45"/>
  <c r="AU171" i="45"/>
  <c r="AJ68" i="45" l="1"/>
  <c r="AI68" i="45"/>
  <c r="AG68" i="45"/>
  <c r="AF68" i="45"/>
  <c r="AD68" i="45"/>
  <c r="AC68" i="45"/>
  <c r="AA68" i="45"/>
  <c r="Z68" i="45"/>
  <c r="AJ61" i="45"/>
  <c r="AI61" i="45"/>
  <c r="AG61" i="45"/>
  <c r="AF61" i="45"/>
  <c r="AD61" i="45"/>
  <c r="AC61" i="45"/>
  <c r="AA61" i="45"/>
  <c r="Z61" i="45"/>
  <c r="AJ65" i="45"/>
  <c r="AI65" i="45"/>
  <c r="AG65" i="45"/>
  <c r="AF65" i="45"/>
  <c r="AD65" i="45"/>
  <c r="AC65" i="45"/>
  <c r="AA65" i="45"/>
  <c r="Z65" i="45"/>
  <c r="AB61" i="45" l="1"/>
  <c r="AQ65" i="45"/>
  <c r="AH68" i="45"/>
  <c r="AE61" i="45"/>
  <c r="AE68" i="45"/>
  <c r="AN61" i="45"/>
  <c r="AM68" i="45"/>
  <c r="AK65" i="45"/>
  <c r="AT61" i="45"/>
  <c r="AQ68" i="45"/>
  <c r="AE65" i="45"/>
  <c r="AH61" i="45"/>
  <c r="AP68" i="45"/>
  <c r="AS65" i="45"/>
  <c r="AV65" i="45" s="1"/>
  <c r="AN65" i="45"/>
  <c r="AH65" i="45"/>
  <c r="AM61" i="45"/>
  <c r="AQ61" i="45"/>
  <c r="AK61" i="45"/>
  <c r="AK68" i="45"/>
  <c r="AP65" i="45"/>
  <c r="AT65" i="45"/>
  <c r="AS61" i="45"/>
  <c r="AV61" i="45" s="1"/>
  <c r="AN68" i="45"/>
  <c r="AM65" i="45"/>
  <c r="AP61" i="45"/>
  <c r="AB68" i="45"/>
  <c r="AS68" i="45"/>
  <c r="AV68" i="45" s="1"/>
  <c r="AT68" i="45"/>
  <c r="AB65" i="45"/>
  <c r="BS58" i="45"/>
  <c r="BO58" i="45"/>
  <c r="BI58" i="45"/>
  <c r="BE58" i="45"/>
  <c r="BA58" i="45"/>
  <c r="BQ58" i="45"/>
  <c r="BM58" i="45"/>
  <c r="BK58" i="45"/>
  <c r="BG58" i="45"/>
  <c r="BC58" i="45"/>
  <c r="AY58" i="45"/>
  <c r="BT58" i="45"/>
  <c r="BR58" i="45"/>
  <c r="BP58" i="45"/>
  <c r="BN58" i="45"/>
  <c r="BL58" i="45"/>
  <c r="BJ58" i="45"/>
  <c r="BH58" i="45"/>
  <c r="BF58" i="45"/>
  <c r="BD58" i="45"/>
  <c r="BB58" i="45"/>
  <c r="AZ58" i="45"/>
  <c r="AX58" i="45"/>
  <c r="AW58" i="45"/>
  <c r="BT56" i="45"/>
  <c r="BS56" i="45"/>
  <c r="BR56" i="45"/>
  <c r="BP56" i="45"/>
  <c r="BN56" i="45"/>
  <c r="BL56" i="45"/>
  <c r="BJ56" i="45"/>
  <c r="BH56" i="45"/>
  <c r="BF56" i="45"/>
  <c r="BD56" i="45"/>
  <c r="BB56" i="45"/>
  <c r="AZ56" i="45"/>
  <c r="AX56" i="45"/>
  <c r="AW56" i="45"/>
  <c r="S19" i="45"/>
  <c r="Q19" i="45"/>
  <c r="L19" i="45"/>
  <c r="O19" i="45" s="1"/>
  <c r="L146" i="45"/>
  <c r="AJ146" i="45"/>
  <c r="AI146" i="45"/>
  <c r="AG146" i="45"/>
  <c r="AF146" i="45"/>
  <c r="AD146" i="45"/>
  <c r="AC146" i="45"/>
  <c r="AA146" i="45"/>
  <c r="Z146" i="45"/>
  <c r="L145" i="45" l="1"/>
  <c r="O145" i="45" s="1"/>
  <c r="O146" i="45"/>
  <c r="AR65" i="45"/>
  <c r="AU61" i="45"/>
  <c r="AO65" i="45"/>
  <c r="AK146" i="45"/>
  <c r="AR68" i="45"/>
  <c r="AH146" i="45"/>
  <c r="AU68" i="45"/>
  <c r="AO68" i="45"/>
  <c r="AO61" i="45"/>
  <c r="AR61" i="45"/>
  <c r="AU65" i="45"/>
  <c r="AE146" i="45"/>
  <c r="AP146" i="45"/>
  <c r="AT146" i="45"/>
  <c r="AM146" i="45"/>
  <c r="AQ146" i="45"/>
  <c r="AN146" i="45"/>
  <c r="AB146" i="45"/>
  <c r="AS146" i="45"/>
  <c r="AV146" i="45" s="1"/>
  <c r="Q22" i="45"/>
  <c r="Q16" i="45"/>
  <c r="S24" i="45"/>
  <c r="Q24" i="45"/>
  <c r="L24" i="45"/>
  <c r="O24" i="45" s="1"/>
  <c r="S23" i="45"/>
  <c r="Q23" i="45"/>
  <c r="L23" i="45"/>
  <c r="O23" i="45" s="1"/>
  <c r="S17" i="45"/>
  <c r="Q17" i="45"/>
  <c r="S18" i="45"/>
  <c r="Q18" i="45"/>
  <c r="L18" i="45"/>
  <c r="O18" i="45" s="1"/>
  <c r="L17" i="45"/>
  <c r="O17" i="45" s="1"/>
  <c r="S15" i="45" l="1"/>
  <c r="Q21" i="45"/>
  <c r="L21" i="45"/>
  <c r="O21" i="45" s="1"/>
  <c r="L15" i="45"/>
  <c r="S21" i="45"/>
  <c r="Q15" i="45"/>
  <c r="Q5" i="45" s="1"/>
  <c r="AR146" i="45"/>
  <c r="AU146" i="45"/>
  <c r="AO146" i="45"/>
  <c r="O15" i="45" l="1"/>
  <c r="S5" i="45"/>
  <c r="Q131" i="45"/>
  <c r="Q133" i="45" s="1"/>
  <c r="S131" i="45"/>
  <c r="AG20" i="46"/>
  <c r="AF20" i="46"/>
  <c r="AD20" i="46"/>
  <c r="AC20" i="46"/>
  <c r="AA20" i="46"/>
  <c r="Z20" i="46"/>
  <c r="X20" i="46"/>
  <c r="W20" i="46"/>
  <c r="AG19" i="46"/>
  <c r="AF19" i="46"/>
  <c r="AD19" i="46"/>
  <c r="AC19" i="46"/>
  <c r="AA19" i="46"/>
  <c r="Z19" i="46"/>
  <c r="X19" i="46"/>
  <c r="W19" i="46"/>
  <c r="AG25" i="46"/>
  <c r="AF25" i="46"/>
  <c r="AD25" i="46"/>
  <c r="AC25" i="46"/>
  <c r="AA25" i="46"/>
  <c r="Z25" i="46"/>
  <c r="X25" i="46"/>
  <c r="W25" i="46"/>
  <c r="AG24" i="46"/>
  <c r="AF24" i="46"/>
  <c r="AD24" i="46"/>
  <c r="AC24" i="46"/>
  <c r="AA24" i="46"/>
  <c r="Z24" i="46"/>
  <c r="X24" i="46"/>
  <c r="W24" i="46"/>
  <c r="AG13" i="46"/>
  <c r="AF13" i="46"/>
  <c r="AD13" i="46"/>
  <c r="AC13" i="46"/>
  <c r="AA13" i="46"/>
  <c r="Z13" i="46"/>
  <c r="X13" i="46"/>
  <c r="W13" i="46"/>
  <c r="AG12" i="46"/>
  <c r="AF12" i="46"/>
  <c r="AD12" i="46"/>
  <c r="AC12" i="46"/>
  <c r="AA12" i="46"/>
  <c r="Z12" i="46"/>
  <c r="X12" i="46"/>
  <c r="W12" i="46"/>
  <c r="AG11" i="46"/>
  <c r="AF11" i="46"/>
  <c r="AD11" i="46"/>
  <c r="AC11" i="46"/>
  <c r="AA11" i="46"/>
  <c r="Z11" i="46"/>
  <c r="X11" i="46"/>
  <c r="W11" i="46"/>
  <c r="AG10" i="46"/>
  <c r="AF10" i="46"/>
  <c r="AD10" i="46"/>
  <c r="AC10" i="46"/>
  <c r="AA10" i="46"/>
  <c r="Z10" i="46"/>
  <c r="X10" i="46"/>
  <c r="W10" i="46"/>
  <c r="AG9" i="46"/>
  <c r="AF9" i="46"/>
  <c r="AD9" i="46"/>
  <c r="AC9" i="46"/>
  <c r="AA9" i="46"/>
  <c r="Z9" i="46"/>
  <c r="X9" i="46"/>
  <c r="W9" i="46"/>
  <c r="AG8" i="46"/>
  <c r="AF8" i="46"/>
  <c r="AD8" i="46"/>
  <c r="AC8" i="46"/>
  <c r="AA8" i="46"/>
  <c r="Z8" i="46"/>
  <c r="X8" i="46"/>
  <c r="W8" i="46"/>
  <c r="BQ5" i="46"/>
  <c r="BP5" i="46" s="1"/>
  <c r="BJ5" i="46"/>
  <c r="BD5" i="46"/>
  <c r="AX5" i="46"/>
  <c r="AG2" i="46"/>
  <c r="AF2" i="46"/>
  <c r="AD2" i="46"/>
  <c r="AC2" i="46"/>
  <c r="AA2" i="46"/>
  <c r="Z2" i="46"/>
  <c r="X2" i="46"/>
  <c r="W2" i="46"/>
  <c r="BQ1" i="46"/>
  <c r="BP1" i="46"/>
  <c r="BO1" i="46"/>
  <c r="BN1" i="46"/>
  <c r="BM1" i="46"/>
  <c r="BL1" i="46"/>
  <c r="BK1" i="46"/>
  <c r="BJ1" i="46"/>
  <c r="BI1" i="46"/>
  <c r="BH1" i="46"/>
  <c r="BG1" i="46"/>
  <c r="BF1" i="46"/>
  <c r="BE1" i="46"/>
  <c r="BD1" i="46"/>
  <c r="BC1" i="46"/>
  <c r="BB1" i="46"/>
  <c r="BA1" i="46"/>
  <c r="AZ1" i="46"/>
  <c r="AY1" i="46"/>
  <c r="AX1" i="46"/>
  <c r="AW1" i="46"/>
  <c r="AV1" i="46"/>
  <c r="AU1" i="46"/>
  <c r="AT1" i="46"/>
  <c r="Q1" i="46"/>
  <c r="P1" i="46"/>
  <c r="O1" i="46"/>
  <c r="N1" i="46"/>
  <c r="M1" i="46"/>
  <c r="L1" i="46"/>
  <c r="K1" i="46"/>
  <c r="J1" i="46"/>
  <c r="AJ122" i="45"/>
  <c r="AD122" i="45"/>
  <c r="BT120" i="45"/>
  <c r="BS120" i="45"/>
  <c r="BR120" i="45"/>
  <c r="BQ120" i="45"/>
  <c r="BP120" i="45"/>
  <c r="BO120" i="45"/>
  <c r="BN120" i="45"/>
  <c r="BM120" i="45"/>
  <c r="BL120" i="45"/>
  <c r="BK120" i="45"/>
  <c r="BJ120" i="45"/>
  <c r="BI120" i="45"/>
  <c r="BH120" i="45"/>
  <c r="BG120" i="45"/>
  <c r="BF120" i="45"/>
  <c r="BE120" i="45"/>
  <c r="BD120" i="45"/>
  <c r="BC120" i="45"/>
  <c r="BB120" i="45"/>
  <c r="BA120" i="45"/>
  <c r="AZ120" i="45"/>
  <c r="AY120" i="45"/>
  <c r="AX120" i="45"/>
  <c r="AW120" i="45"/>
  <c r="BA186" i="45"/>
  <c r="BA187" i="45"/>
  <c r="BO187" i="45"/>
  <c r="AI186" i="45"/>
  <c r="AC187" i="45"/>
  <c r="AC186" i="45"/>
  <c r="BT185" i="45"/>
  <c r="BS185" i="45"/>
  <c r="BR185" i="45"/>
  <c r="BQ185" i="45"/>
  <c r="BP185" i="45"/>
  <c r="BN185" i="45"/>
  <c r="BM185" i="45"/>
  <c r="BL185" i="45"/>
  <c r="BK185" i="45"/>
  <c r="BJ185" i="45"/>
  <c r="BI185" i="45"/>
  <c r="BH185" i="45"/>
  <c r="BG185" i="45"/>
  <c r="BF185" i="45"/>
  <c r="BE185" i="45"/>
  <c r="BD185" i="45"/>
  <c r="BC185" i="45"/>
  <c r="BB185" i="45"/>
  <c r="AZ185" i="45"/>
  <c r="AX185" i="45"/>
  <c r="AW185" i="45"/>
  <c r="AJ186" i="45"/>
  <c r="AG186" i="45"/>
  <c r="AF186" i="45"/>
  <c r="AD186" i="45"/>
  <c r="AA186" i="45"/>
  <c r="AJ187" i="45"/>
  <c r="AG187" i="45"/>
  <c r="AF187" i="45"/>
  <c r="AD187" i="45"/>
  <c r="AA187" i="45"/>
  <c r="AF122" i="45"/>
  <c r="AE2" i="46" l="1"/>
  <c r="AA1" i="46"/>
  <c r="AH11" i="46"/>
  <c r="AE9" i="46"/>
  <c r="AE10" i="46"/>
  <c r="AE12" i="46"/>
  <c r="AE13" i="46"/>
  <c r="AE25" i="46"/>
  <c r="AE20" i="46"/>
  <c r="AJ8" i="46"/>
  <c r="AM10" i="46"/>
  <c r="AJ11" i="46"/>
  <c r="AJ12" i="46"/>
  <c r="AJ13" i="46"/>
  <c r="AP24" i="46"/>
  <c r="AM20" i="46"/>
  <c r="AN24" i="46"/>
  <c r="AB20" i="46"/>
  <c r="S139" i="45"/>
  <c r="S141" i="45" s="1"/>
  <c r="S133" i="45"/>
  <c r="AH8" i="46"/>
  <c r="AB9" i="46"/>
  <c r="AH10" i="46"/>
  <c r="Y11" i="46"/>
  <c r="AQ11" i="46"/>
  <c r="AN13" i="46"/>
  <c r="AK25" i="46"/>
  <c r="AQ20" i="46"/>
  <c r="AK11" i="46"/>
  <c r="AH12" i="46"/>
  <c r="AB13" i="46"/>
  <c r="AH13" i="46"/>
  <c r="AB24" i="46"/>
  <c r="AH24" i="46"/>
  <c r="AB25" i="46"/>
  <c r="AB19" i="46"/>
  <c r="AH20" i="46"/>
  <c r="Y8" i="46"/>
  <c r="AE8" i="46"/>
  <c r="AJ9" i="46"/>
  <c r="AH9" i="46"/>
  <c r="AB10" i="46"/>
  <c r="AN11" i="46"/>
  <c r="Y12" i="46"/>
  <c r="AJ19" i="46"/>
  <c r="AM8" i="46"/>
  <c r="AN9" i="46"/>
  <c r="AQ10" i="46"/>
  <c r="AE11" i="46"/>
  <c r="AM12" i="46"/>
  <c r="Y25" i="46"/>
  <c r="AQ25" i="46"/>
  <c r="AN19" i="46"/>
  <c r="AE19" i="46"/>
  <c r="AK8" i="46"/>
  <c r="AB8" i="46"/>
  <c r="AK10" i="46"/>
  <c r="AP11" i="46"/>
  <c r="AK12" i="46"/>
  <c r="AB12" i="46"/>
  <c r="AK24" i="46"/>
  <c r="AE24" i="46"/>
  <c r="AJ25" i="46"/>
  <c r="AN25" i="46"/>
  <c r="AH25" i="46"/>
  <c r="AH19" i="46"/>
  <c r="BO185" i="45"/>
  <c r="AJ20" i="46"/>
  <c r="AN20" i="46"/>
  <c r="AK20" i="46"/>
  <c r="Y20" i="46"/>
  <c r="AP20" i="46"/>
  <c r="AK19" i="46"/>
  <c r="AL19" i="46" s="1"/>
  <c r="AP19" i="46"/>
  <c r="AM19" i="46"/>
  <c r="AQ19" i="46"/>
  <c r="Y19" i="46"/>
  <c r="AM24" i="46"/>
  <c r="AO24" i="46" s="1"/>
  <c r="AQ24" i="46"/>
  <c r="AR24" i="46" s="1"/>
  <c r="AP25" i="46"/>
  <c r="AJ24" i="46"/>
  <c r="AL24" i="46" s="1"/>
  <c r="AM25" i="46"/>
  <c r="Y24" i="46"/>
  <c r="AL11" i="46"/>
  <c r="AP8" i="46"/>
  <c r="AK9" i="46"/>
  <c r="AJ10" i="46"/>
  <c r="AN10" i="46"/>
  <c r="AM11" i="46"/>
  <c r="AP12" i="46"/>
  <c r="AK13" i="46"/>
  <c r="AL13" i="46" s="1"/>
  <c r="AQ8" i="46"/>
  <c r="Y9" i="46"/>
  <c r="AP9" i="46"/>
  <c r="AQ12" i="46"/>
  <c r="Y13" i="46"/>
  <c r="AP13" i="46"/>
  <c r="AN8" i="46"/>
  <c r="AM9" i="46"/>
  <c r="AQ9" i="46"/>
  <c r="Y10" i="46"/>
  <c r="AP10" i="46"/>
  <c r="AB11" i="46"/>
  <c r="AN12" i="46"/>
  <c r="AM13" i="46"/>
  <c r="AQ13" i="46"/>
  <c r="AH2" i="46"/>
  <c r="W1" i="46"/>
  <c r="Z1" i="46"/>
  <c r="AB1" i="46" s="1"/>
  <c r="AC1" i="46"/>
  <c r="AJ2" i="46"/>
  <c r="AK2" i="46"/>
  <c r="AF1" i="46"/>
  <c r="AB2" i="46"/>
  <c r="AQ2" i="46"/>
  <c r="X1" i="46"/>
  <c r="AK1" i="46" s="1"/>
  <c r="AD1" i="46"/>
  <c r="AG1" i="46"/>
  <c r="AM2" i="46"/>
  <c r="Y2" i="46"/>
  <c r="AP2" i="46"/>
  <c r="AN2" i="46"/>
  <c r="AA122" i="45"/>
  <c r="AN122" i="45" s="1"/>
  <c r="AG122" i="45"/>
  <c r="AH122" i="45" s="1"/>
  <c r="AI187" i="45"/>
  <c r="AK187" i="45" s="1"/>
  <c r="AH187" i="45"/>
  <c r="AN186" i="45"/>
  <c r="Z122" i="45"/>
  <c r="AC122" i="45"/>
  <c r="AE122" i="45" s="1"/>
  <c r="AI122" i="45"/>
  <c r="AK122" i="45" s="1"/>
  <c r="AT187" i="45"/>
  <c r="AH186" i="45"/>
  <c r="AE187" i="45"/>
  <c r="AK186" i="45"/>
  <c r="AQ186" i="45"/>
  <c r="AQ187" i="45"/>
  <c r="AE186" i="45"/>
  <c r="Z186" i="45"/>
  <c r="AM186" i="45" s="1"/>
  <c r="AY185" i="45"/>
  <c r="BA185" i="45"/>
  <c r="Z187" i="45"/>
  <c r="AB187" i="45" s="1"/>
  <c r="AT186" i="45"/>
  <c r="AN187" i="45"/>
  <c r="AJ121" i="45"/>
  <c r="AI121" i="45"/>
  <c r="AG121" i="45"/>
  <c r="AF121" i="45"/>
  <c r="AD121" i="45"/>
  <c r="AC121" i="45"/>
  <c r="AA121" i="45"/>
  <c r="Z121" i="45"/>
  <c r="AO9" i="46" l="1"/>
  <c r="AL12" i="46"/>
  <c r="AR10" i="46"/>
  <c r="AL9" i="46"/>
  <c r="AO20" i="46"/>
  <c r="AO8" i="46"/>
  <c r="AO25" i="46"/>
  <c r="AR11" i="46"/>
  <c r="AR8" i="46"/>
  <c r="AR19" i="46"/>
  <c r="AO13" i="46"/>
  <c r="AO11" i="46"/>
  <c r="AO10" i="46"/>
  <c r="AL8" i="46"/>
  <c r="AJ1" i="46"/>
  <c r="S198" i="45"/>
  <c r="AO12" i="46"/>
  <c r="AR20" i="46"/>
  <c r="AL10" i="46"/>
  <c r="AL25" i="46"/>
  <c r="AR13" i="46"/>
  <c r="AM1" i="46"/>
  <c r="AR25" i="46"/>
  <c r="AO19" i="46"/>
  <c r="AO186" i="45"/>
  <c r="AL20" i="46"/>
  <c r="AR9" i="46"/>
  <c r="AR12" i="46"/>
  <c r="Y1" i="46"/>
  <c r="AE1" i="46"/>
  <c r="AH1" i="46"/>
  <c r="AL2" i="46"/>
  <c r="AP1" i="46"/>
  <c r="AP122" i="45"/>
  <c r="AR2" i="46"/>
  <c r="AQ1" i="46"/>
  <c r="AN1" i="46"/>
  <c r="AO2" i="46"/>
  <c r="AL1" i="46"/>
  <c r="AT122" i="45"/>
  <c r="AB122" i="45"/>
  <c r="AM122" i="45"/>
  <c r="AO122" i="45" s="1"/>
  <c r="AQ122" i="45"/>
  <c r="AS122" i="45"/>
  <c r="AV122" i="45" s="1"/>
  <c r="AB186" i="45"/>
  <c r="AP186" i="45"/>
  <c r="AR186" i="45" s="1"/>
  <c r="AS186" i="45"/>
  <c r="AS187" i="45"/>
  <c r="AP187" i="45"/>
  <c r="AR187" i="45" s="1"/>
  <c r="AM187" i="45"/>
  <c r="AO187" i="45" s="1"/>
  <c r="AM121" i="45"/>
  <c r="AH121" i="45"/>
  <c r="AN121" i="45"/>
  <c r="AB121" i="45"/>
  <c r="AE121" i="45"/>
  <c r="AK121" i="45"/>
  <c r="AP121" i="45"/>
  <c r="AT121" i="45"/>
  <c r="AS121" i="45"/>
  <c r="AV121" i="45" s="1"/>
  <c r="AQ121" i="45"/>
  <c r="AR1" i="46" l="1"/>
  <c r="AO1" i="46"/>
  <c r="AU186" i="45"/>
  <c r="AV186" i="45"/>
  <c r="AU187" i="45"/>
  <c r="AV187" i="45"/>
  <c r="AR122" i="45"/>
  <c r="AU122" i="45"/>
  <c r="AO121" i="45"/>
  <c r="AU121" i="45"/>
  <c r="AR121" i="45"/>
  <c r="AJ89" i="45" l="1"/>
  <c r="AI89" i="45"/>
  <c r="AG89" i="45"/>
  <c r="AF89" i="45"/>
  <c r="AD89" i="45"/>
  <c r="AC89" i="45"/>
  <c r="AA89" i="45"/>
  <c r="Z89" i="45"/>
  <c r="AN89" i="45" l="1"/>
  <c r="AK89" i="45"/>
  <c r="AH89" i="45"/>
  <c r="AP89" i="45"/>
  <c r="AS89" i="45"/>
  <c r="AV89" i="45" s="1"/>
  <c r="AQ89" i="45"/>
  <c r="AM89" i="45"/>
  <c r="AE89" i="45"/>
  <c r="AT89" i="45"/>
  <c r="AB89" i="45"/>
  <c r="AO89" i="45" l="1"/>
  <c r="AR89" i="45"/>
  <c r="AU89" i="45"/>
  <c r="AJ119" i="45"/>
  <c r="AI119" i="45"/>
  <c r="AG119" i="45"/>
  <c r="AF119" i="45"/>
  <c r="AD119" i="45"/>
  <c r="AC119" i="45"/>
  <c r="AA119" i="45"/>
  <c r="Z119" i="45"/>
  <c r="AJ118" i="45"/>
  <c r="AI118" i="45"/>
  <c r="AG118" i="45"/>
  <c r="AF118" i="45"/>
  <c r="AD118" i="45"/>
  <c r="AC118" i="45"/>
  <c r="AA118" i="45"/>
  <c r="Z118" i="45"/>
  <c r="BT117" i="45"/>
  <c r="BS117" i="45"/>
  <c r="BR117" i="45"/>
  <c r="BQ117" i="45"/>
  <c r="BP117" i="45"/>
  <c r="BO117" i="45"/>
  <c r="BN117" i="45"/>
  <c r="BM117" i="45"/>
  <c r="BL117" i="45"/>
  <c r="BK117" i="45"/>
  <c r="BJ117" i="45"/>
  <c r="BI117" i="45"/>
  <c r="BH117" i="45"/>
  <c r="BG117" i="45"/>
  <c r="BF117" i="45"/>
  <c r="BE117" i="45"/>
  <c r="BD117" i="45"/>
  <c r="BC117" i="45"/>
  <c r="BB117" i="45"/>
  <c r="BA117" i="45"/>
  <c r="AZ117" i="45"/>
  <c r="AY117" i="45"/>
  <c r="AX117" i="45"/>
  <c r="AW117" i="45"/>
  <c r="AJ116" i="45"/>
  <c r="AI116" i="45"/>
  <c r="AG116" i="45"/>
  <c r="AF116" i="45"/>
  <c r="AD116" i="45"/>
  <c r="AC116" i="45"/>
  <c r="AA116" i="45"/>
  <c r="Z116" i="45"/>
  <c r="AJ115" i="45"/>
  <c r="AI115" i="45"/>
  <c r="AG115" i="45"/>
  <c r="AF115" i="45"/>
  <c r="AD115" i="45"/>
  <c r="AC115" i="45"/>
  <c r="AA115" i="45"/>
  <c r="Z115" i="45"/>
  <c r="BT114" i="45"/>
  <c r="BS114" i="45"/>
  <c r="BR114" i="45"/>
  <c r="BQ114" i="45"/>
  <c r="BP114" i="45"/>
  <c r="BO114" i="45"/>
  <c r="BN114" i="45"/>
  <c r="BM114" i="45"/>
  <c r="BL114" i="45"/>
  <c r="BK114" i="45"/>
  <c r="BJ114" i="45"/>
  <c r="BI114" i="45"/>
  <c r="BH114" i="45"/>
  <c r="BG114" i="45"/>
  <c r="BF114" i="45"/>
  <c r="BE114" i="45"/>
  <c r="BD114" i="45"/>
  <c r="BC114" i="45"/>
  <c r="BB114" i="45"/>
  <c r="BA114" i="45"/>
  <c r="AZ114" i="45"/>
  <c r="AY114" i="45"/>
  <c r="AX114" i="45"/>
  <c r="AW114" i="45"/>
  <c r="AJ113" i="45"/>
  <c r="AI113" i="45"/>
  <c r="AG113" i="45"/>
  <c r="AF113" i="45"/>
  <c r="AD113" i="45"/>
  <c r="AC113" i="45"/>
  <c r="AA113" i="45"/>
  <c r="Z113" i="45"/>
  <c r="AJ112" i="45"/>
  <c r="AI112" i="45"/>
  <c r="AG112" i="45"/>
  <c r="AF112" i="45"/>
  <c r="AD112" i="45"/>
  <c r="AC112" i="45"/>
  <c r="AA112" i="45"/>
  <c r="Z112" i="45"/>
  <c r="BT111" i="45"/>
  <c r="BS111" i="45"/>
  <c r="BR111" i="45"/>
  <c r="BQ111" i="45"/>
  <c r="BP111" i="45"/>
  <c r="BO111" i="45"/>
  <c r="BN111" i="45"/>
  <c r="BM111" i="45"/>
  <c r="BL111" i="45"/>
  <c r="BK111" i="45"/>
  <c r="BJ111" i="45"/>
  <c r="BI111" i="45"/>
  <c r="BH111" i="45"/>
  <c r="BG111" i="45"/>
  <c r="BF111" i="45"/>
  <c r="BE111" i="45"/>
  <c r="BD111" i="45"/>
  <c r="BC111" i="45"/>
  <c r="BB111" i="45"/>
  <c r="BA111" i="45"/>
  <c r="AZ111" i="45"/>
  <c r="AY111" i="45"/>
  <c r="AX111" i="45"/>
  <c r="AW111" i="45"/>
  <c r="AJ110" i="45"/>
  <c r="AI110" i="45"/>
  <c r="AG110" i="45"/>
  <c r="AF110" i="45"/>
  <c r="AD110" i="45"/>
  <c r="AC110" i="45"/>
  <c r="AA110" i="45"/>
  <c r="Z110" i="45"/>
  <c r="AJ109" i="45"/>
  <c r="AI109" i="45"/>
  <c r="AG109" i="45"/>
  <c r="AF109" i="45"/>
  <c r="AD109" i="45"/>
  <c r="AC109" i="45"/>
  <c r="AA109" i="45"/>
  <c r="Z109" i="45"/>
  <c r="BT108" i="45"/>
  <c r="BS108" i="45"/>
  <c r="BR108" i="45"/>
  <c r="BQ108" i="45"/>
  <c r="BP108" i="45"/>
  <c r="BO108" i="45"/>
  <c r="BN108" i="45"/>
  <c r="BM108" i="45"/>
  <c r="BL108" i="45"/>
  <c r="BK108" i="45"/>
  <c r="BJ108" i="45"/>
  <c r="BI108" i="45"/>
  <c r="BH108" i="45"/>
  <c r="BG108" i="45"/>
  <c r="BF108" i="45"/>
  <c r="BE108" i="45"/>
  <c r="BD108" i="45"/>
  <c r="BC108" i="45"/>
  <c r="BB108" i="45"/>
  <c r="BA108" i="45"/>
  <c r="AZ108" i="45"/>
  <c r="AY108" i="45"/>
  <c r="AX108" i="45"/>
  <c r="AW108" i="45"/>
  <c r="AJ107" i="45"/>
  <c r="AI107" i="45"/>
  <c r="AG107" i="45"/>
  <c r="AF107" i="45"/>
  <c r="AD107" i="45"/>
  <c r="AC107" i="45"/>
  <c r="AA107" i="45"/>
  <c r="Z107" i="45"/>
  <c r="AJ106" i="45"/>
  <c r="AI106" i="45"/>
  <c r="AG106" i="45"/>
  <c r="AF106" i="45"/>
  <c r="AD106" i="45"/>
  <c r="AC106" i="45"/>
  <c r="AA106" i="45"/>
  <c r="Z106" i="45"/>
  <c r="BT105" i="45"/>
  <c r="BS105" i="45"/>
  <c r="BR105" i="45"/>
  <c r="BQ105" i="45"/>
  <c r="BP105" i="45"/>
  <c r="BO105" i="45"/>
  <c r="BN105" i="45"/>
  <c r="BM105" i="45"/>
  <c r="BL105" i="45"/>
  <c r="BK105" i="45"/>
  <c r="BJ105" i="45"/>
  <c r="BI105" i="45"/>
  <c r="BH105" i="45"/>
  <c r="BG105" i="45"/>
  <c r="BF105" i="45"/>
  <c r="BE105" i="45"/>
  <c r="BD105" i="45"/>
  <c r="BC105" i="45"/>
  <c r="BB105" i="45"/>
  <c r="BA105" i="45"/>
  <c r="AZ105" i="45"/>
  <c r="AY105" i="45"/>
  <c r="AX105" i="45"/>
  <c r="AW105" i="45"/>
  <c r="AJ104" i="45"/>
  <c r="AI104" i="45"/>
  <c r="AG104" i="45"/>
  <c r="AF104" i="45"/>
  <c r="AD104" i="45"/>
  <c r="AC104" i="45"/>
  <c r="AA104" i="45"/>
  <c r="Z104" i="45"/>
  <c r="AJ103" i="45"/>
  <c r="AI103" i="45"/>
  <c r="AG103" i="45"/>
  <c r="AF103" i="45"/>
  <c r="AD103" i="45"/>
  <c r="AC103" i="45"/>
  <c r="AA103" i="45"/>
  <c r="Z103" i="45"/>
  <c r="BT102" i="45"/>
  <c r="BS102" i="45"/>
  <c r="BR102" i="45"/>
  <c r="BQ102" i="45"/>
  <c r="BP102" i="45"/>
  <c r="BO102" i="45"/>
  <c r="BN102" i="45"/>
  <c r="BM102" i="45"/>
  <c r="BL102" i="45"/>
  <c r="BK102" i="45"/>
  <c r="BJ102" i="45"/>
  <c r="BI102" i="45"/>
  <c r="BH102" i="45"/>
  <c r="BG102" i="45"/>
  <c r="BF102" i="45"/>
  <c r="BE102" i="45"/>
  <c r="BD102" i="45"/>
  <c r="BC102" i="45"/>
  <c r="BB102" i="45"/>
  <c r="BA102" i="45"/>
  <c r="AZ102" i="45"/>
  <c r="AY102" i="45"/>
  <c r="AX102" i="45"/>
  <c r="AW102" i="45"/>
  <c r="BT96" i="45"/>
  <c r="BS96" i="45"/>
  <c r="BR96" i="45"/>
  <c r="BQ96" i="45"/>
  <c r="BP96" i="45"/>
  <c r="BO96" i="45"/>
  <c r="BN96" i="45"/>
  <c r="BM96" i="45"/>
  <c r="BL96" i="45"/>
  <c r="BK96" i="45"/>
  <c r="BJ96" i="45"/>
  <c r="BI96" i="45"/>
  <c r="BH96" i="45"/>
  <c r="BG96" i="45"/>
  <c r="BF96" i="45"/>
  <c r="BE96" i="45"/>
  <c r="BD96" i="45"/>
  <c r="BC96" i="45"/>
  <c r="BB96" i="45"/>
  <c r="BA96" i="45"/>
  <c r="AZ96" i="45"/>
  <c r="AY96" i="45"/>
  <c r="AX96" i="45"/>
  <c r="AW96" i="45"/>
  <c r="BT92" i="45"/>
  <c r="BS92" i="45"/>
  <c r="BR92" i="45"/>
  <c r="BQ92" i="45"/>
  <c r="BP92" i="45"/>
  <c r="BO92" i="45"/>
  <c r="BN92" i="45"/>
  <c r="BM92" i="45"/>
  <c r="BL92" i="45"/>
  <c r="BK92" i="45"/>
  <c r="BJ92" i="45"/>
  <c r="BI92" i="45"/>
  <c r="BH92" i="45"/>
  <c r="BG92" i="45"/>
  <c r="BF92" i="45"/>
  <c r="BE92" i="45"/>
  <c r="BD92" i="45"/>
  <c r="BC92" i="45"/>
  <c r="BB92" i="45"/>
  <c r="BA92" i="45"/>
  <c r="AZ92" i="45"/>
  <c r="AY92" i="45"/>
  <c r="AX92" i="45"/>
  <c r="AW92" i="45"/>
  <c r="BT83" i="45"/>
  <c r="BS83" i="45"/>
  <c r="BR83" i="45"/>
  <c r="BQ83" i="45"/>
  <c r="BP83" i="45"/>
  <c r="BO83" i="45"/>
  <c r="BN83" i="45"/>
  <c r="BM83" i="45"/>
  <c r="BL83" i="45"/>
  <c r="BK83" i="45"/>
  <c r="BJ83" i="45"/>
  <c r="BI83" i="45"/>
  <c r="BH83" i="45"/>
  <c r="BG83" i="45"/>
  <c r="BF83" i="45"/>
  <c r="BE83" i="45"/>
  <c r="BD83" i="45"/>
  <c r="BC83" i="45"/>
  <c r="BB83" i="45"/>
  <c r="BA83" i="45"/>
  <c r="AZ83" i="45"/>
  <c r="AY83" i="45"/>
  <c r="AX83" i="45"/>
  <c r="AW83" i="45"/>
  <c r="BT80" i="45"/>
  <c r="BS80" i="45"/>
  <c r="BR80" i="45"/>
  <c r="BQ80" i="45"/>
  <c r="BP80" i="45"/>
  <c r="BO80" i="45"/>
  <c r="BN80" i="45"/>
  <c r="BM80" i="45"/>
  <c r="BL80" i="45"/>
  <c r="BK80" i="45"/>
  <c r="BJ80" i="45"/>
  <c r="BI80" i="45"/>
  <c r="BH80" i="45"/>
  <c r="BG80" i="45"/>
  <c r="BF80" i="45"/>
  <c r="BE80" i="45"/>
  <c r="BD80" i="45"/>
  <c r="BC80" i="45"/>
  <c r="BB80" i="45"/>
  <c r="BA80" i="45"/>
  <c r="AZ80" i="45"/>
  <c r="AY80" i="45"/>
  <c r="AX80" i="45"/>
  <c r="AW80" i="45"/>
  <c r="BT77" i="45"/>
  <c r="BS77" i="45"/>
  <c r="BR77" i="45"/>
  <c r="BQ77" i="45"/>
  <c r="BP77" i="45"/>
  <c r="BO77" i="45"/>
  <c r="BN77" i="45"/>
  <c r="BM77" i="45"/>
  <c r="BL77" i="45"/>
  <c r="BK77" i="45"/>
  <c r="BJ77" i="45"/>
  <c r="BI77" i="45"/>
  <c r="BH77" i="45"/>
  <c r="BG77" i="45"/>
  <c r="BF77" i="45"/>
  <c r="BE77" i="45"/>
  <c r="BD77" i="45"/>
  <c r="BC77" i="45"/>
  <c r="BB77" i="45"/>
  <c r="BA77" i="45"/>
  <c r="AZ77" i="45"/>
  <c r="AY77" i="45"/>
  <c r="AX77" i="45"/>
  <c r="AW77" i="45"/>
  <c r="BT70" i="45"/>
  <c r="BT69" i="45" s="1"/>
  <c r="BS70" i="45"/>
  <c r="BS69" i="45" s="1"/>
  <c r="BR70" i="45"/>
  <c r="BR69" i="45" s="1"/>
  <c r="BQ70" i="45"/>
  <c r="BP70" i="45"/>
  <c r="BP69" i="45" s="1"/>
  <c r="BO70" i="45"/>
  <c r="BO69" i="45" s="1"/>
  <c r="BN70" i="45"/>
  <c r="BN69" i="45" s="1"/>
  <c r="BM70" i="45"/>
  <c r="BM69" i="45" s="1"/>
  <c r="BL70" i="45"/>
  <c r="BK70" i="45"/>
  <c r="BJ70" i="45"/>
  <c r="BJ69" i="45" s="1"/>
  <c r="BI70" i="45"/>
  <c r="BI69" i="45" s="1"/>
  <c r="BH70" i="45"/>
  <c r="BH69" i="45" s="1"/>
  <c r="BG70" i="45"/>
  <c r="BF70" i="45"/>
  <c r="BE70" i="45"/>
  <c r="BE69" i="45" s="1"/>
  <c r="BD70" i="45"/>
  <c r="BD69" i="45" s="1"/>
  <c r="BC70" i="45"/>
  <c r="BB70" i="45"/>
  <c r="BB69" i="45" s="1"/>
  <c r="BA70" i="45"/>
  <c r="BA69" i="45" s="1"/>
  <c r="AZ70" i="45"/>
  <c r="AZ69" i="45" s="1"/>
  <c r="AY70" i="45"/>
  <c r="AX70" i="45"/>
  <c r="AW70" i="45"/>
  <c r="AW69" i="45" s="1"/>
  <c r="AJ100" i="45"/>
  <c r="AI100" i="45"/>
  <c r="AG100" i="45"/>
  <c r="AF100" i="45"/>
  <c r="AD100" i="45"/>
  <c r="AC100" i="45"/>
  <c r="AA100" i="45"/>
  <c r="Z100" i="45"/>
  <c r="AJ99" i="45"/>
  <c r="AI99" i="45"/>
  <c r="AG99" i="45"/>
  <c r="AF99" i="45"/>
  <c r="AD99" i="45"/>
  <c r="AC99" i="45"/>
  <c r="AA99" i="45"/>
  <c r="Z99" i="45"/>
  <c r="AJ98" i="45"/>
  <c r="AI98" i="45"/>
  <c r="AG98" i="45"/>
  <c r="AF98" i="45"/>
  <c r="AD98" i="45"/>
  <c r="AC98" i="45"/>
  <c r="AA98" i="45"/>
  <c r="Z98" i="45"/>
  <c r="AJ97" i="45"/>
  <c r="AI97" i="45"/>
  <c r="AG97" i="45"/>
  <c r="AF97" i="45"/>
  <c r="AD97" i="45"/>
  <c r="AC97" i="45"/>
  <c r="AA97" i="45"/>
  <c r="Z97" i="45"/>
  <c r="AJ95" i="45"/>
  <c r="AI95" i="45"/>
  <c r="AG95" i="45"/>
  <c r="AF95" i="45"/>
  <c r="AD95" i="45"/>
  <c r="AC95" i="45"/>
  <c r="AA95" i="45"/>
  <c r="Z95" i="45"/>
  <c r="AJ94" i="45"/>
  <c r="AI94" i="45"/>
  <c r="AG94" i="45"/>
  <c r="AF94" i="45"/>
  <c r="AD94" i="45"/>
  <c r="AC94" i="45"/>
  <c r="AA94" i="45"/>
  <c r="Z94" i="45"/>
  <c r="AJ93" i="45"/>
  <c r="AI93" i="45"/>
  <c r="AG93" i="45"/>
  <c r="AF93" i="45"/>
  <c r="AD93" i="45"/>
  <c r="AC93" i="45"/>
  <c r="AA93" i="45"/>
  <c r="Z93" i="45"/>
  <c r="AX69" i="45" l="1"/>
  <c r="BL69" i="45"/>
  <c r="AG96" i="45"/>
  <c r="BQ69" i="45"/>
  <c r="BK69" i="45"/>
  <c r="AI108" i="45"/>
  <c r="AE119" i="45"/>
  <c r="AJ114" i="45"/>
  <c r="AY69" i="45"/>
  <c r="BC69" i="45"/>
  <c r="AM112" i="45"/>
  <c r="AH109" i="45"/>
  <c r="AH115" i="45"/>
  <c r="BS101" i="45"/>
  <c r="AK106" i="45"/>
  <c r="AE109" i="45"/>
  <c r="AK109" i="45"/>
  <c r="AH97" i="45"/>
  <c r="AJ111" i="45"/>
  <c r="AN112" i="45"/>
  <c r="AC114" i="45"/>
  <c r="AF114" i="45"/>
  <c r="AI114" i="45"/>
  <c r="AP115" i="45"/>
  <c r="BC101" i="45"/>
  <c r="AN97" i="45"/>
  <c r="AD92" i="45"/>
  <c r="AA96" i="45"/>
  <c r="AJ96" i="45"/>
  <c r="AG111" i="45"/>
  <c r="AQ113" i="45"/>
  <c r="AG117" i="45"/>
  <c r="AN119" i="45"/>
  <c r="BB101" i="45"/>
  <c r="BR101" i="45"/>
  <c r="BH101" i="45"/>
  <c r="BL101" i="45"/>
  <c r="BT101" i="45"/>
  <c r="AA114" i="45"/>
  <c r="AD114" i="45"/>
  <c r="AG114" i="45"/>
  <c r="AN115" i="45"/>
  <c r="Z117" i="45"/>
  <c r="AE95" i="45"/>
  <c r="AK103" i="45"/>
  <c r="AK104" i="45"/>
  <c r="AC117" i="45"/>
  <c r="AF117" i="45"/>
  <c r="Z105" i="45"/>
  <c r="AC105" i="45"/>
  <c r="AF105" i="45"/>
  <c r="AI105" i="45"/>
  <c r="AN107" i="45"/>
  <c r="Z114" i="45"/>
  <c r="AA117" i="45"/>
  <c r="AK97" i="45"/>
  <c r="AB98" i="45"/>
  <c r="AB100" i="45"/>
  <c r="AX101" i="45"/>
  <c r="BF101" i="45"/>
  <c r="AN110" i="45"/>
  <c r="AC111" i="45"/>
  <c r="AB112" i="45"/>
  <c r="AH112" i="45"/>
  <c r="AB113" i="45"/>
  <c r="AH113" i="45"/>
  <c r="AJ117" i="45"/>
  <c r="BJ101" i="45"/>
  <c r="BN101" i="45"/>
  <c r="BG101" i="45"/>
  <c r="AE94" i="45"/>
  <c r="AM95" i="45"/>
  <c r="AE97" i="45"/>
  <c r="BF69" i="45"/>
  <c r="AI117" i="45"/>
  <c r="AH118" i="45"/>
  <c r="BG69" i="45"/>
  <c r="Z96" i="45"/>
  <c r="AC96" i="45"/>
  <c r="AF96" i="45"/>
  <c r="AI96" i="45"/>
  <c r="AC102" i="45"/>
  <c r="AF102" i="45"/>
  <c r="Z108" i="45"/>
  <c r="AD117" i="45"/>
  <c r="AD108" i="45"/>
  <c r="AA111" i="45"/>
  <c r="AE115" i="45"/>
  <c r="AP100" i="45"/>
  <c r="Z102" i="45"/>
  <c r="AW101" i="45"/>
  <c r="BA101" i="45"/>
  <c r="BM101" i="45"/>
  <c r="BQ101" i="45"/>
  <c r="AN104" i="45"/>
  <c r="AD105" i="45"/>
  <c r="AH106" i="45"/>
  <c r="AN100" i="45"/>
  <c r="BI101" i="45"/>
  <c r="AI102" i="45"/>
  <c r="BD101" i="45"/>
  <c r="AD102" i="45"/>
  <c r="AY101" i="45"/>
  <c r="BK101" i="45"/>
  <c r="AK113" i="45"/>
  <c r="AP93" i="45"/>
  <c r="AB94" i="45"/>
  <c r="AH94" i="45"/>
  <c r="AE98" i="45"/>
  <c r="AE99" i="45"/>
  <c r="Z92" i="45"/>
  <c r="AC92" i="45"/>
  <c r="AF92" i="45"/>
  <c r="AI92" i="45"/>
  <c r="AE103" i="45"/>
  <c r="AT104" i="45"/>
  <c r="AA105" i="45"/>
  <c r="AJ105" i="45"/>
  <c r="AK107" i="45"/>
  <c r="AC108" i="45"/>
  <c r="AF108" i="45"/>
  <c r="AK110" i="45"/>
  <c r="AD111" i="45"/>
  <c r="AB116" i="45"/>
  <c r="AH116" i="45"/>
  <c r="AP116" i="45"/>
  <c r="AH119" i="45"/>
  <c r="AK94" i="45"/>
  <c r="AH95" i="45"/>
  <c r="AA92" i="45"/>
  <c r="AG92" i="45"/>
  <c r="AJ92" i="45"/>
  <c r="AD96" i="45"/>
  <c r="AH103" i="45"/>
  <c r="AE106" i="45"/>
  <c r="AT107" i="45"/>
  <c r="AA108" i="45"/>
  <c r="AJ108" i="45"/>
  <c r="AK108" i="45" s="1"/>
  <c r="AT110" i="45"/>
  <c r="AP112" i="45"/>
  <c r="AE112" i="45"/>
  <c r="AS112" i="45"/>
  <c r="AV112" i="45" s="1"/>
  <c r="AK116" i="45"/>
  <c r="AQ119" i="45"/>
  <c r="AE113" i="45"/>
  <c r="AP113" i="45"/>
  <c r="AQ116" i="45"/>
  <c r="AT116" i="45"/>
  <c r="AP104" i="45"/>
  <c r="AE104" i="45"/>
  <c r="AS104" i="45"/>
  <c r="AV104" i="45" s="1"/>
  <c r="AP107" i="45"/>
  <c r="AE107" i="45"/>
  <c r="AS107" i="45"/>
  <c r="AV107" i="45" s="1"/>
  <c r="AK119" i="45"/>
  <c r="AT119" i="45"/>
  <c r="AM103" i="45"/>
  <c r="AM106" i="45"/>
  <c r="AM109" i="45"/>
  <c r="AS110" i="45"/>
  <c r="AV110" i="45" s="1"/>
  <c r="AP110" i="45"/>
  <c r="AE110" i="45"/>
  <c r="AI111" i="45"/>
  <c r="AK111" i="45" s="1"/>
  <c r="BO101" i="45"/>
  <c r="AE118" i="45"/>
  <c r="AN118" i="45"/>
  <c r="AB119" i="45"/>
  <c r="AP119" i="45"/>
  <c r="AM119" i="45"/>
  <c r="AS119" i="45"/>
  <c r="AV119" i="45" s="1"/>
  <c r="AE93" i="45"/>
  <c r="AK93" i="45"/>
  <c r="AT97" i="45"/>
  <c r="AK98" i="45"/>
  <c r="AZ101" i="45"/>
  <c r="AA102" i="45"/>
  <c r="BP101" i="45"/>
  <c r="AJ102" i="45"/>
  <c r="AT103" i="45"/>
  <c r="AN103" i="45"/>
  <c r="AQ103" i="45"/>
  <c r="AM104" i="45"/>
  <c r="AT106" i="45"/>
  <c r="AN106" i="45"/>
  <c r="AQ106" i="45"/>
  <c r="AM107" i="45"/>
  <c r="AT109" i="45"/>
  <c r="AN109" i="45"/>
  <c r="AQ109" i="45"/>
  <c r="AP118" i="45"/>
  <c r="AS118" i="45"/>
  <c r="AV118" i="45" s="1"/>
  <c r="AM118" i="45"/>
  <c r="AB118" i="45"/>
  <c r="AQ118" i="45"/>
  <c r="AM110" i="45"/>
  <c r="AQ115" i="45"/>
  <c r="AS116" i="45"/>
  <c r="AV116" i="45" s="1"/>
  <c r="AN95" i="45"/>
  <c r="AQ97" i="45"/>
  <c r="AN98" i="45"/>
  <c r="AM99" i="45"/>
  <c r="BE101" i="45"/>
  <c r="AS103" i="45"/>
  <c r="AV103" i="45" s="1"/>
  <c r="AB103" i="45"/>
  <c r="AQ104" i="45"/>
  <c r="AS106" i="45"/>
  <c r="AV106" i="45" s="1"/>
  <c r="AB106" i="45"/>
  <c r="AQ107" i="45"/>
  <c r="AS109" i="45"/>
  <c r="AV109" i="45" s="1"/>
  <c r="AB109" i="45"/>
  <c r="AQ110" i="45"/>
  <c r="Z111" i="45"/>
  <c r="AF111" i="45"/>
  <c r="AQ112" i="45"/>
  <c r="AS113" i="45"/>
  <c r="AV113" i="45" s="1"/>
  <c r="AN116" i="45"/>
  <c r="AM116" i="45"/>
  <c r="AT93" i="45"/>
  <c r="AH93" i="45"/>
  <c r="AQ94" i="45"/>
  <c r="AT98" i="45"/>
  <c r="AH99" i="45"/>
  <c r="AS99" i="45"/>
  <c r="AV99" i="45" s="1"/>
  <c r="AG102" i="45"/>
  <c r="AP103" i="45"/>
  <c r="AB104" i="45"/>
  <c r="AH104" i="45"/>
  <c r="AG105" i="45"/>
  <c r="AP106" i="45"/>
  <c r="AB107" i="45"/>
  <c r="AH107" i="45"/>
  <c r="AG108" i="45"/>
  <c r="AP109" i="45"/>
  <c r="AB110" i="45"/>
  <c r="AH110" i="45"/>
  <c r="AN113" i="45"/>
  <c r="AM113" i="45"/>
  <c r="AT113" i="45"/>
  <c r="AB115" i="45"/>
  <c r="AM115" i="45"/>
  <c r="AS115" i="45"/>
  <c r="AV115" i="45" s="1"/>
  <c r="AE116" i="45"/>
  <c r="AT112" i="45"/>
  <c r="AK112" i="45"/>
  <c r="AT115" i="45"/>
  <c r="AK115" i="45"/>
  <c r="AT118" i="45"/>
  <c r="AK118" i="45"/>
  <c r="AH100" i="45"/>
  <c r="AM100" i="45"/>
  <c r="AK100" i="45"/>
  <c r="AE100" i="45"/>
  <c r="AB95" i="45"/>
  <c r="AK95" i="45"/>
  <c r="AP95" i="45"/>
  <c r="AM94" i="45"/>
  <c r="AS94" i="45"/>
  <c r="AV94" i="45" s="1"/>
  <c r="AK99" i="45"/>
  <c r="AQ93" i="45"/>
  <c r="AT94" i="45"/>
  <c r="AM97" i="45"/>
  <c r="AP98" i="45"/>
  <c r="AQ99" i="45"/>
  <c r="AT99" i="45"/>
  <c r="AM93" i="45"/>
  <c r="AN94" i="45"/>
  <c r="AP94" i="45"/>
  <c r="AP97" i="45"/>
  <c r="AM98" i="45"/>
  <c r="AQ98" i="45"/>
  <c r="AS98" i="45"/>
  <c r="AV98" i="45" s="1"/>
  <c r="AB99" i="45"/>
  <c r="AN99" i="45"/>
  <c r="AS93" i="45"/>
  <c r="AV93" i="45" s="1"/>
  <c r="AB93" i="45"/>
  <c r="AN93" i="45"/>
  <c r="AQ95" i="45"/>
  <c r="AT95" i="45"/>
  <c r="AS95" i="45"/>
  <c r="AV95" i="45" s="1"/>
  <c r="AS97" i="45"/>
  <c r="AV97" i="45" s="1"/>
  <c r="AB97" i="45"/>
  <c r="AH98" i="45"/>
  <c r="AP99" i="45"/>
  <c r="AQ100" i="45"/>
  <c r="AT100" i="45"/>
  <c r="AS100" i="45"/>
  <c r="AV100" i="45" s="1"/>
  <c r="AH96" i="45" l="1"/>
  <c r="AE92" i="45"/>
  <c r="AP117" i="45"/>
  <c r="AO95" i="45"/>
  <c r="AK102" i="45"/>
  <c r="AN92" i="45"/>
  <c r="AR106" i="45"/>
  <c r="AK92" i="45"/>
  <c r="AO110" i="45"/>
  <c r="AN96" i="45"/>
  <c r="AR94" i="45"/>
  <c r="AO97" i="45"/>
  <c r="AA101" i="45"/>
  <c r="AM114" i="45"/>
  <c r="AE114" i="45"/>
  <c r="AR100" i="45"/>
  <c r="AK117" i="45"/>
  <c r="AG101" i="45"/>
  <c r="AO107" i="45"/>
  <c r="AH117" i="45"/>
  <c r="AO112" i="45"/>
  <c r="AK114" i="45"/>
  <c r="AQ96" i="45"/>
  <c r="AR115" i="45"/>
  <c r="AJ101" i="45"/>
  <c r="AH92" i="45"/>
  <c r="AN117" i="45"/>
  <c r="AN108" i="45"/>
  <c r="AR93" i="45"/>
  <c r="AU112" i="45"/>
  <c r="AH108" i="45"/>
  <c r="AN111" i="45"/>
  <c r="AS92" i="45"/>
  <c r="AV92" i="45" s="1"/>
  <c r="AE105" i="45"/>
  <c r="AB96" i="45"/>
  <c r="AM105" i="45"/>
  <c r="AM117" i="45"/>
  <c r="AB114" i="45"/>
  <c r="AS114" i="45"/>
  <c r="AV114" i="45" s="1"/>
  <c r="AR97" i="45"/>
  <c r="AT96" i="45"/>
  <c r="AO119" i="45"/>
  <c r="AE108" i="45"/>
  <c r="AQ111" i="45"/>
  <c r="AP105" i="45"/>
  <c r="AS117" i="45"/>
  <c r="AV117" i="45" s="1"/>
  <c r="AN114" i="45"/>
  <c r="AP114" i="45"/>
  <c r="AH114" i="45"/>
  <c r="AT114" i="45"/>
  <c r="AP102" i="45"/>
  <c r="AK96" i="45"/>
  <c r="AH111" i="45"/>
  <c r="AS108" i="45"/>
  <c r="AV108" i="45" s="1"/>
  <c r="AN105" i="45"/>
  <c r="AP108" i="45"/>
  <c r="AT117" i="45"/>
  <c r="AC101" i="45"/>
  <c r="AB92" i="45"/>
  <c r="AU98" i="45"/>
  <c r="AQ117" i="45"/>
  <c r="AM108" i="45"/>
  <c r="AU119" i="45"/>
  <c r="AI101" i="45"/>
  <c r="AU110" i="45"/>
  <c r="AR113" i="45"/>
  <c r="AK105" i="45"/>
  <c r="AE102" i="45"/>
  <c r="AS96" i="45"/>
  <c r="AV96" i="45" s="1"/>
  <c r="AS105" i="45"/>
  <c r="AV105" i="45" s="1"/>
  <c r="AQ114" i="45"/>
  <c r="AO115" i="45"/>
  <c r="AM102" i="45"/>
  <c r="AB117" i="45"/>
  <c r="AU97" i="45"/>
  <c r="AP96" i="45"/>
  <c r="AH102" i="45"/>
  <c r="AU109" i="45"/>
  <c r="AU103" i="45"/>
  <c r="AO104" i="45"/>
  <c r="AD101" i="45"/>
  <c r="AM96" i="45"/>
  <c r="AO96" i="45" s="1"/>
  <c r="AE96" i="45"/>
  <c r="AH105" i="45"/>
  <c r="AS102" i="45"/>
  <c r="AV102" i="45" s="1"/>
  <c r="AO118" i="45"/>
  <c r="AU107" i="45"/>
  <c r="AM92" i="45"/>
  <c r="AE111" i="45"/>
  <c r="AO103" i="45"/>
  <c r="AR112" i="45"/>
  <c r="AT111" i="45"/>
  <c r="AU99" i="45"/>
  <c r="AU113" i="45"/>
  <c r="AE117" i="45"/>
  <c r="AP92" i="45"/>
  <c r="AU100" i="45"/>
  <c r="AU95" i="45"/>
  <c r="AQ92" i="45"/>
  <c r="AT92" i="45"/>
  <c r="AR109" i="45"/>
  <c r="AO116" i="45"/>
  <c r="AU116" i="45"/>
  <c r="AQ108" i="45"/>
  <c r="AU104" i="45"/>
  <c r="AF101" i="45"/>
  <c r="Z101" i="45"/>
  <c r="AU93" i="45"/>
  <c r="AO99" i="45"/>
  <c r="AO98" i="45"/>
  <c r="AO93" i="45"/>
  <c r="AO100" i="45"/>
  <c r="AR119" i="45"/>
  <c r="AO109" i="45"/>
  <c r="AR107" i="45"/>
  <c r="AR116" i="45"/>
  <c r="AB108" i="45"/>
  <c r="AB105" i="45"/>
  <c r="AM111" i="45"/>
  <c r="AP111" i="45"/>
  <c r="AB111" i="45"/>
  <c r="AS111" i="45"/>
  <c r="AV111" i="45" s="1"/>
  <c r="AR118" i="45"/>
  <c r="AR99" i="45"/>
  <c r="AT108" i="45"/>
  <c r="AR110" i="45"/>
  <c r="AU115" i="45"/>
  <c r="AR103" i="45"/>
  <c r="AU106" i="45"/>
  <c r="AQ105" i="45"/>
  <c r="AO106" i="45"/>
  <c r="AO113" i="45"/>
  <c r="AU118" i="45"/>
  <c r="AT105" i="45"/>
  <c r="AT102" i="45"/>
  <c r="AQ102" i="45"/>
  <c r="AN102" i="45"/>
  <c r="AB102" i="45"/>
  <c r="AR104" i="45"/>
  <c r="AR95" i="45"/>
  <c r="AR98" i="45"/>
  <c r="AU94" i="45"/>
  <c r="AO94" i="45"/>
  <c r="AR117" i="45" l="1"/>
  <c r="AO92" i="45"/>
  <c r="AO111" i="45"/>
  <c r="AO102" i="45"/>
  <c r="AU92" i="45"/>
  <c r="AU96" i="45"/>
  <c r="AO117" i="45"/>
  <c r="AU117" i="45"/>
  <c r="AQ101" i="45"/>
  <c r="AR92" i="45"/>
  <c r="AK101" i="45"/>
  <c r="AO114" i="45"/>
  <c r="AU114" i="45"/>
  <c r="AR102" i="45"/>
  <c r="AU108" i="45"/>
  <c r="AO105" i="45"/>
  <c r="AU102" i="45"/>
  <c r="AN101" i="45"/>
  <c r="AH101" i="45"/>
  <c r="AR96" i="45"/>
  <c r="AR105" i="45"/>
  <c r="AT101" i="45"/>
  <c r="AO108" i="45"/>
  <c r="AR114" i="45"/>
  <c r="AU105" i="45"/>
  <c r="AR111" i="45"/>
  <c r="AR108" i="45"/>
  <c r="AP101" i="45"/>
  <c r="AS101" i="45"/>
  <c r="AV101" i="45" s="1"/>
  <c r="AU111" i="45"/>
  <c r="AE101" i="45"/>
  <c r="AM101" i="45"/>
  <c r="AB101" i="45"/>
  <c r="AO101" i="45" l="1"/>
  <c r="AU101" i="45"/>
  <c r="AR101" i="45"/>
  <c r="AJ79" i="45" l="1"/>
  <c r="AI79" i="45"/>
  <c r="AG79" i="45"/>
  <c r="AF79" i="45"/>
  <c r="AD79" i="45"/>
  <c r="AC79" i="45"/>
  <c r="AA79" i="45"/>
  <c r="Z79" i="45"/>
  <c r="AJ78" i="45"/>
  <c r="AI78" i="45"/>
  <c r="AG78" i="45"/>
  <c r="AF78" i="45"/>
  <c r="AD78" i="45"/>
  <c r="AC78" i="45"/>
  <c r="AA78" i="45"/>
  <c r="Z78" i="45"/>
  <c r="AJ77" i="45"/>
  <c r="AI77" i="45"/>
  <c r="AG77" i="45"/>
  <c r="AF77" i="45"/>
  <c r="AD77" i="45"/>
  <c r="AC77" i="45"/>
  <c r="AA77" i="45"/>
  <c r="Z77" i="45"/>
  <c r="AJ76" i="45"/>
  <c r="AI76" i="45"/>
  <c r="AG76" i="45"/>
  <c r="AF76" i="45"/>
  <c r="AD76" i="45"/>
  <c r="AC76" i="45"/>
  <c r="AA76" i="45"/>
  <c r="Z76" i="45"/>
  <c r="AJ75" i="45"/>
  <c r="AI75" i="45"/>
  <c r="AG75" i="45"/>
  <c r="AF75" i="45"/>
  <c r="AD75" i="45"/>
  <c r="AC75" i="45"/>
  <c r="AA75" i="45"/>
  <c r="Z75" i="45"/>
  <c r="AJ74" i="45"/>
  <c r="AI74" i="45"/>
  <c r="AG74" i="45"/>
  <c r="AF74" i="45"/>
  <c r="AD74" i="45"/>
  <c r="AC74" i="45"/>
  <c r="AA74" i="45"/>
  <c r="Z74" i="45"/>
  <c r="AJ73" i="45"/>
  <c r="AI73" i="45"/>
  <c r="AG73" i="45"/>
  <c r="AF73" i="45"/>
  <c r="AD73" i="45"/>
  <c r="AC73" i="45"/>
  <c r="AA73" i="45"/>
  <c r="Z73" i="45"/>
  <c r="AJ72" i="45"/>
  <c r="AI72" i="45"/>
  <c r="AG72" i="45"/>
  <c r="AF72" i="45"/>
  <c r="AD72" i="45"/>
  <c r="AC72" i="45"/>
  <c r="AA72" i="45"/>
  <c r="Z72" i="45"/>
  <c r="AJ71" i="45"/>
  <c r="AI71" i="45"/>
  <c r="AG71" i="45"/>
  <c r="AF71" i="45"/>
  <c r="AD71" i="45"/>
  <c r="AC71" i="45"/>
  <c r="AA71" i="45"/>
  <c r="Z71" i="45"/>
  <c r="AJ70" i="45"/>
  <c r="AI70" i="45"/>
  <c r="AG70" i="45"/>
  <c r="AF70" i="45"/>
  <c r="AD70" i="45"/>
  <c r="AC70" i="45"/>
  <c r="AA70" i="45"/>
  <c r="Z70" i="45"/>
  <c r="AJ82" i="45"/>
  <c r="AI82" i="45"/>
  <c r="AG82" i="45"/>
  <c r="AF82" i="45"/>
  <c r="AD82" i="45"/>
  <c r="AC82" i="45"/>
  <c r="AA82" i="45"/>
  <c r="Z82" i="45"/>
  <c r="AJ81" i="45"/>
  <c r="AI81" i="45"/>
  <c r="AG81" i="45"/>
  <c r="AF81" i="45"/>
  <c r="AD81" i="45"/>
  <c r="AC81" i="45"/>
  <c r="AA81" i="45"/>
  <c r="Z81" i="45"/>
  <c r="AJ80" i="45"/>
  <c r="AI80" i="45"/>
  <c r="AG80" i="45"/>
  <c r="AF80" i="45"/>
  <c r="AD80" i="45"/>
  <c r="AC80" i="45"/>
  <c r="AA80" i="45"/>
  <c r="Z80" i="45"/>
  <c r="AH75" i="45" l="1"/>
  <c r="AB76" i="45"/>
  <c r="AH78" i="45"/>
  <c r="AH81" i="45"/>
  <c r="AE78" i="45"/>
  <c r="AQ81" i="45"/>
  <c r="AE81" i="45"/>
  <c r="AK79" i="45"/>
  <c r="AK80" i="45"/>
  <c r="AB72" i="45"/>
  <c r="AN74" i="45"/>
  <c r="AT75" i="45"/>
  <c r="AN78" i="45"/>
  <c r="AM79" i="45"/>
  <c r="AM80" i="45"/>
  <c r="AM81" i="45"/>
  <c r="AK73" i="45"/>
  <c r="AE74" i="45"/>
  <c r="AE75" i="45"/>
  <c r="AK75" i="45"/>
  <c r="AH71" i="45"/>
  <c r="AQ72" i="45"/>
  <c r="AB73" i="45"/>
  <c r="AM71" i="45"/>
  <c r="AN72" i="45"/>
  <c r="AB74" i="45"/>
  <c r="AP76" i="45"/>
  <c r="AE82" i="45"/>
  <c r="AK82" i="45"/>
  <c r="AQ82" i="45"/>
  <c r="AH79" i="45"/>
  <c r="AS80" i="45"/>
  <c r="AV80" i="45" s="1"/>
  <c r="AN80" i="45"/>
  <c r="AE80" i="45"/>
  <c r="AE77" i="45"/>
  <c r="AH70" i="45"/>
  <c r="AE70" i="45"/>
  <c r="AT70" i="45"/>
  <c r="AK70" i="45"/>
  <c r="AN73" i="45"/>
  <c r="AT73" i="45"/>
  <c r="AK76" i="45"/>
  <c r="AK81" i="45"/>
  <c r="AN82" i="45"/>
  <c r="AH82" i="45"/>
  <c r="AT71" i="45"/>
  <c r="AK71" i="45"/>
  <c r="AH72" i="45"/>
  <c r="AH74" i="45"/>
  <c r="AT76" i="45"/>
  <c r="AP77" i="45"/>
  <c r="AK78" i="45"/>
  <c r="AB80" i="45"/>
  <c r="AT80" i="45"/>
  <c r="AM76" i="45"/>
  <c r="AQ79" i="45"/>
  <c r="AS82" i="45"/>
  <c r="AV82" i="45" s="1"/>
  <c r="AS72" i="45"/>
  <c r="AV72" i="45" s="1"/>
  <c r="AT72" i="45"/>
  <c r="AK72" i="45"/>
  <c r="AP73" i="45"/>
  <c r="AQ75" i="45"/>
  <c r="AQ76" i="45"/>
  <c r="AH76" i="45"/>
  <c r="AS76" i="45"/>
  <c r="AV76" i="45" s="1"/>
  <c r="AK77" i="45"/>
  <c r="AB79" i="45"/>
  <c r="AS71" i="45"/>
  <c r="AV71" i="45" s="1"/>
  <c r="AB71" i="45"/>
  <c r="AE71" i="45"/>
  <c r="AN71" i="45"/>
  <c r="AP70" i="45"/>
  <c r="AN70" i="45"/>
  <c r="AS70" i="45"/>
  <c r="AV70" i="45" s="1"/>
  <c r="AQ71" i="45"/>
  <c r="AH73" i="45"/>
  <c r="AT74" i="45"/>
  <c r="AQ74" i="45"/>
  <c r="AS74" i="45"/>
  <c r="AV74" i="45" s="1"/>
  <c r="AN75" i="45"/>
  <c r="AP79" i="45"/>
  <c r="AP72" i="45"/>
  <c r="AS73" i="45"/>
  <c r="AV73" i="45" s="1"/>
  <c r="AS75" i="45"/>
  <c r="AV75" i="45" s="1"/>
  <c r="AB75" i="45"/>
  <c r="AP75" i="45"/>
  <c r="AS78" i="45"/>
  <c r="AV78" i="45" s="1"/>
  <c r="AB78" i="45"/>
  <c r="AP78" i="45"/>
  <c r="AB70" i="45"/>
  <c r="AQ70" i="45"/>
  <c r="AM73" i="45"/>
  <c r="AM78" i="45"/>
  <c r="AM70" i="45"/>
  <c r="AP71" i="45"/>
  <c r="AE72" i="45"/>
  <c r="AM72" i="45"/>
  <c r="AQ73" i="45"/>
  <c r="AE73" i="45"/>
  <c r="AP74" i="45"/>
  <c r="AM74" i="45"/>
  <c r="AK74" i="45"/>
  <c r="AM75" i="45"/>
  <c r="AT77" i="45"/>
  <c r="AB77" i="45"/>
  <c r="AQ77" i="45"/>
  <c r="AS77" i="45"/>
  <c r="AV77" i="45" s="1"/>
  <c r="AN77" i="45"/>
  <c r="AQ78" i="45"/>
  <c r="AT79" i="45"/>
  <c r="AS79" i="45"/>
  <c r="AV79" i="45" s="1"/>
  <c r="AE76" i="45"/>
  <c r="AN76" i="45"/>
  <c r="AH77" i="45"/>
  <c r="AM77" i="45"/>
  <c r="AT78" i="45"/>
  <c r="AE79" i="45"/>
  <c r="AN79" i="45"/>
  <c r="AN81" i="45"/>
  <c r="AP82" i="45"/>
  <c r="AS81" i="45"/>
  <c r="AV81" i="45" s="1"/>
  <c r="AM82" i="45"/>
  <c r="AH80" i="45"/>
  <c r="AQ80" i="45"/>
  <c r="AP81" i="45"/>
  <c r="AT81" i="45"/>
  <c r="AT82" i="45"/>
  <c r="AP80" i="45"/>
  <c r="AB81" i="45"/>
  <c r="AB82" i="45"/>
  <c r="AU75" i="45" l="1"/>
  <c r="AU71" i="45"/>
  <c r="AO77" i="45"/>
  <c r="AO79" i="45"/>
  <c r="AO74" i="45"/>
  <c r="AO80" i="45"/>
  <c r="AR81" i="45"/>
  <c r="AU76" i="45"/>
  <c r="AO82" i="45"/>
  <c r="AO81" i="45"/>
  <c r="AR82" i="45"/>
  <c r="AO78" i="45"/>
  <c r="AU73" i="45"/>
  <c r="AR78" i="45"/>
  <c r="AU82" i="45"/>
  <c r="AR73" i="45"/>
  <c r="AR72" i="45"/>
  <c r="AO75" i="45"/>
  <c r="AR76" i="45"/>
  <c r="AO76" i="45"/>
  <c r="AO71" i="45"/>
  <c r="AO72" i="45"/>
  <c r="AR74" i="45"/>
  <c r="AR75" i="45"/>
  <c r="AU80" i="45"/>
  <c r="AU77" i="45"/>
  <c r="AU70" i="45"/>
  <c r="AR80" i="45"/>
  <c r="AR77" i="45"/>
  <c r="AU72" i="45"/>
  <c r="AO70" i="45"/>
  <c r="AO73" i="45"/>
  <c r="AR79" i="45"/>
  <c r="AU74" i="45"/>
  <c r="AU79" i="45"/>
  <c r="AU78" i="45"/>
  <c r="AR70" i="45"/>
  <c r="AR71" i="45"/>
  <c r="AU81" i="45"/>
  <c r="BT21" i="45" l="1"/>
  <c r="BS21" i="45"/>
  <c r="BR21" i="45"/>
  <c r="BQ21" i="45"/>
  <c r="BP21" i="45"/>
  <c r="BO21" i="45"/>
  <c r="BN21" i="45"/>
  <c r="BM21" i="45"/>
  <c r="BL21" i="45"/>
  <c r="BK21" i="45"/>
  <c r="BJ21" i="45"/>
  <c r="BI21" i="45"/>
  <c r="BH21" i="45"/>
  <c r="BG21" i="45"/>
  <c r="BF21" i="45"/>
  <c r="BE21" i="45"/>
  <c r="BD21" i="45"/>
  <c r="BC21" i="45"/>
  <c r="BB21" i="45"/>
  <c r="BA21" i="45"/>
  <c r="AZ21" i="45"/>
  <c r="AY21" i="45"/>
  <c r="AX21" i="45"/>
  <c r="AW21" i="45"/>
  <c r="BT43" i="45" l="1"/>
  <c r="BS43" i="45"/>
  <c r="BR43" i="45"/>
  <c r="BQ43" i="45"/>
  <c r="BP43" i="45"/>
  <c r="BO43" i="45"/>
  <c r="BN43" i="45"/>
  <c r="BM43" i="45"/>
  <c r="BL43" i="45"/>
  <c r="BK43" i="45"/>
  <c r="BJ43" i="45"/>
  <c r="BI43" i="45"/>
  <c r="BH43" i="45"/>
  <c r="BG43" i="45"/>
  <c r="BF43" i="45"/>
  <c r="BE43" i="45"/>
  <c r="BD43" i="45"/>
  <c r="BC43" i="45"/>
  <c r="BB43" i="45"/>
  <c r="BA43" i="45"/>
  <c r="AZ43" i="45"/>
  <c r="AY43" i="45"/>
  <c r="AX43" i="45"/>
  <c r="AW43" i="45"/>
  <c r="BQ56" i="45"/>
  <c r="BO56" i="45"/>
  <c r="BM56" i="45"/>
  <c r="BK56" i="45"/>
  <c r="BI56" i="45"/>
  <c r="BG56" i="45"/>
  <c r="BE56" i="45"/>
  <c r="BC56" i="45"/>
  <c r="BA56" i="45"/>
  <c r="AY56" i="45"/>
  <c r="V56" i="45"/>
  <c r="X56" i="45" s="1"/>
  <c r="X169" i="45" s="1"/>
  <c r="AJ170" i="45"/>
  <c r="AI170" i="45"/>
  <c r="AG170" i="45"/>
  <c r="AF170" i="45"/>
  <c r="AD170" i="45"/>
  <c r="AC170" i="45"/>
  <c r="AA170" i="45"/>
  <c r="Z170" i="45"/>
  <c r="AH170" i="45" l="1"/>
  <c r="AQ170" i="45"/>
  <c r="AN170" i="45"/>
  <c r="AE170" i="45"/>
  <c r="AK170" i="45"/>
  <c r="AS170" i="45"/>
  <c r="AV170" i="45" s="1"/>
  <c r="AP170" i="45"/>
  <c r="AT170" i="45"/>
  <c r="AM170" i="45"/>
  <c r="AB170" i="45"/>
  <c r="AR170" i="45" l="1"/>
  <c r="AO170" i="45"/>
  <c r="AU170" i="45"/>
  <c r="AJ64" i="45" l="1"/>
  <c r="AI64" i="45"/>
  <c r="AG64" i="45"/>
  <c r="AF64" i="45"/>
  <c r="AD64" i="45"/>
  <c r="AC64" i="45"/>
  <c r="AA64" i="45"/>
  <c r="Z64" i="45"/>
  <c r="AJ63" i="45"/>
  <c r="AI63" i="45"/>
  <c r="AG63" i="45"/>
  <c r="AF63" i="45"/>
  <c r="AD63" i="45"/>
  <c r="AC63" i="45"/>
  <c r="AA63" i="45"/>
  <c r="Z63" i="45"/>
  <c r="AJ66" i="45"/>
  <c r="AI66" i="45"/>
  <c r="AG66" i="45"/>
  <c r="AF66" i="45"/>
  <c r="AD66" i="45"/>
  <c r="AC66" i="45"/>
  <c r="AA66" i="45"/>
  <c r="Z66" i="45"/>
  <c r="AJ60" i="45"/>
  <c r="AI60" i="45"/>
  <c r="AG60" i="45"/>
  <c r="AF60" i="45"/>
  <c r="AD60" i="45"/>
  <c r="AC60" i="45"/>
  <c r="AA60" i="45"/>
  <c r="Z60" i="45"/>
  <c r="AJ67" i="45"/>
  <c r="AI67" i="45"/>
  <c r="AG67" i="45"/>
  <c r="AF67" i="45"/>
  <c r="AD67" i="45"/>
  <c r="AC67" i="45"/>
  <c r="AA67" i="45"/>
  <c r="Z67" i="45"/>
  <c r="AJ62" i="45"/>
  <c r="AI62" i="45"/>
  <c r="AG62" i="45"/>
  <c r="AF62" i="45"/>
  <c r="AD62" i="45"/>
  <c r="AC62" i="45"/>
  <c r="AA62" i="45"/>
  <c r="Z62" i="45"/>
  <c r="AJ59" i="45"/>
  <c r="AI59" i="45"/>
  <c r="AG59" i="45"/>
  <c r="AF59" i="45"/>
  <c r="AD59" i="45"/>
  <c r="AC59" i="45"/>
  <c r="AA59" i="45"/>
  <c r="Z59" i="45"/>
  <c r="AJ86" i="45"/>
  <c r="AI86" i="45"/>
  <c r="AG86" i="45"/>
  <c r="AF86" i="45"/>
  <c r="AD86" i="45"/>
  <c r="AC86" i="45"/>
  <c r="AA86" i="45"/>
  <c r="Z86" i="45"/>
  <c r="AJ85" i="45"/>
  <c r="AI85" i="45"/>
  <c r="AG85" i="45"/>
  <c r="AF85" i="45"/>
  <c r="AD85" i="45"/>
  <c r="AC85" i="45"/>
  <c r="AA85" i="45"/>
  <c r="Z85" i="45"/>
  <c r="AJ84" i="45"/>
  <c r="AI84" i="45"/>
  <c r="AG84" i="45"/>
  <c r="AF84" i="45"/>
  <c r="AD84" i="45"/>
  <c r="AC84" i="45"/>
  <c r="AA84" i="45"/>
  <c r="Z84" i="45"/>
  <c r="AJ83" i="45"/>
  <c r="AI83" i="45"/>
  <c r="AG83" i="45"/>
  <c r="AF83" i="45"/>
  <c r="AD83" i="45"/>
  <c r="AC83" i="45"/>
  <c r="AA83" i="45"/>
  <c r="Z83" i="45"/>
  <c r="AJ88" i="45"/>
  <c r="AI88" i="45"/>
  <c r="AG88" i="45"/>
  <c r="AF88" i="45"/>
  <c r="AD88" i="45"/>
  <c r="AC88" i="45"/>
  <c r="AA88" i="45"/>
  <c r="Z88" i="45"/>
  <c r="AJ87" i="45"/>
  <c r="AI87" i="45"/>
  <c r="AG87" i="45"/>
  <c r="AF87" i="45"/>
  <c r="AD87" i="45"/>
  <c r="AC87" i="45"/>
  <c r="AA87" i="45"/>
  <c r="Z87" i="45"/>
  <c r="AJ90" i="45"/>
  <c r="AI90" i="45"/>
  <c r="AG90" i="45"/>
  <c r="AF90" i="45"/>
  <c r="AD90" i="45"/>
  <c r="AC90" i="45"/>
  <c r="AA90" i="45"/>
  <c r="Z90" i="45"/>
  <c r="AJ91" i="45"/>
  <c r="AI91" i="45"/>
  <c r="AG91" i="45"/>
  <c r="AF91" i="45"/>
  <c r="AD91" i="45"/>
  <c r="AC91" i="45"/>
  <c r="AA91" i="45"/>
  <c r="Z91" i="45"/>
  <c r="AJ57" i="45"/>
  <c r="AI57" i="45"/>
  <c r="AG57" i="45"/>
  <c r="AF57" i="45"/>
  <c r="AD57" i="45"/>
  <c r="AC57" i="45"/>
  <c r="AA57" i="45"/>
  <c r="Z57" i="45"/>
  <c r="AJ44" i="45"/>
  <c r="AI44" i="45"/>
  <c r="AG44" i="45"/>
  <c r="AF44" i="45"/>
  <c r="AD44" i="45"/>
  <c r="AC44" i="45"/>
  <c r="AA44" i="45"/>
  <c r="Z44" i="45"/>
  <c r="AQ44" i="45" l="1"/>
  <c r="AQ91" i="45"/>
  <c r="AN85" i="45"/>
  <c r="AN67" i="45"/>
  <c r="AQ60" i="45"/>
  <c r="AT66" i="45"/>
  <c r="AE44" i="45"/>
  <c r="AK44" i="45"/>
  <c r="AE91" i="45"/>
  <c r="AN63" i="45"/>
  <c r="AN64" i="45"/>
  <c r="AE88" i="45"/>
  <c r="AE85" i="45"/>
  <c r="AK85" i="45"/>
  <c r="AE86" i="45"/>
  <c r="AH91" i="45"/>
  <c r="AB87" i="45"/>
  <c r="AH60" i="45"/>
  <c r="AH66" i="45"/>
  <c r="AH63" i="45"/>
  <c r="AH64" i="45"/>
  <c r="AT59" i="45"/>
  <c r="AN62" i="45"/>
  <c r="AE60" i="45"/>
  <c r="AK60" i="45"/>
  <c r="AE66" i="45"/>
  <c r="AK66" i="45"/>
  <c r="AE63" i="45"/>
  <c r="AK63" i="45"/>
  <c r="AE64" i="45"/>
  <c r="AK64" i="45"/>
  <c r="AQ83" i="45"/>
  <c r="AM88" i="45"/>
  <c r="AS87" i="45"/>
  <c r="AV87" i="45" s="1"/>
  <c r="AN87" i="45"/>
  <c r="AS84" i="45"/>
  <c r="AV84" i="45" s="1"/>
  <c r="AP59" i="45"/>
  <c r="AS62" i="45"/>
  <c r="AV62" i="45" s="1"/>
  <c r="AP66" i="45"/>
  <c r="AS63" i="45"/>
  <c r="AV63" i="45" s="1"/>
  <c r="AM64" i="45"/>
  <c r="AH44" i="45"/>
  <c r="AM91" i="45"/>
  <c r="AK91" i="45"/>
  <c r="AE87" i="45"/>
  <c r="AK87" i="45"/>
  <c r="AQ88" i="45"/>
  <c r="AH88" i="45"/>
  <c r="AH83" i="45"/>
  <c r="AH84" i="45"/>
  <c r="AM85" i="45"/>
  <c r="AO85" i="45" s="1"/>
  <c r="AK86" i="45"/>
  <c r="AE59" i="45"/>
  <c r="AK59" i="45"/>
  <c r="AE62" i="45"/>
  <c r="AK62" i="45"/>
  <c r="AE67" i="45"/>
  <c r="AK67" i="45"/>
  <c r="AB60" i="45"/>
  <c r="AN84" i="45"/>
  <c r="AS85" i="45"/>
  <c r="AV85" i="45" s="1"/>
  <c r="AM86" i="45"/>
  <c r="AM87" i="45"/>
  <c r="AK88" i="45"/>
  <c r="AK83" i="45"/>
  <c r="AK84" i="45"/>
  <c r="AB85" i="45"/>
  <c r="AQ86" i="45"/>
  <c r="AH86" i="45"/>
  <c r="AH59" i="45"/>
  <c r="AH62" i="45"/>
  <c r="AM67" i="45"/>
  <c r="AH67" i="45"/>
  <c r="AM60" i="45"/>
  <c r="AE83" i="45"/>
  <c r="AM59" i="45"/>
  <c r="AQ59" i="45"/>
  <c r="AP62" i="45"/>
  <c r="AT62" i="45"/>
  <c r="AB67" i="45"/>
  <c r="AS67" i="45"/>
  <c r="AV67" i="45" s="1"/>
  <c r="AN60" i="45"/>
  <c r="AM66" i="45"/>
  <c r="AQ66" i="45"/>
  <c r="AP63" i="45"/>
  <c r="AT63" i="45"/>
  <c r="AB64" i="45"/>
  <c r="AS64" i="45"/>
  <c r="AV64" i="45" s="1"/>
  <c r="AN59" i="45"/>
  <c r="AM62" i="45"/>
  <c r="AQ62" i="45"/>
  <c r="AP67" i="45"/>
  <c r="AT67" i="45"/>
  <c r="AS60" i="45"/>
  <c r="AV60" i="45" s="1"/>
  <c r="AN66" i="45"/>
  <c r="AM63" i="45"/>
  <c r="AQ63" i="45"/>
  <c r="AP64" i="45"/>
  <c r="AT64" i="45"/>
  <c r="AP83" i="45"/>
  <c r="AB84" i="45"/>
  <c r="AT84" i="45"/>
  <c r="AB59" i="45"/>
  <c r="AS59" i="45"/>
  <c r="AV59" i="45" s="1"/>
  <c r="AQ67" i="45"/>
  <c r="AP60" i="45"/>
  <c r="AT60" i="45"/>
  <c r="AB66" i="45"/>
  <c r="AS66" i="45"/>
  <c r="AV66" i="45" s="1"/>
  <c r="AQ64" i="45"/>
  <c r="AT83" i="45"/>
  <c r="AP84" i="45"/>
  <c r="AB62" i="45"/>
  <c r="AB63" i="45"/>
  <c r="AP90" i="45"/>
  <c r="AM90" i="45"/>
  <c r="AN83" i="45"/>
  <c r="AM84" i="45"/>
  <c r="AQ84" i="45"/>
  <c r="AP85" i="45"/>
  <c r="AT85" i="45"/>
  <c r="AB86" i="45"/>
  <c r="AS86" i="45"/>
  <c r="AV86" i="45" s="1"/>
  <c r="AT90" i="45"/>
  <c r="AH90" i="45"/>
  <c r="AB83" i="45"/>
  <c r="AS83" i="45"/>
  <c r="AV83" i="45" s="1"/>
  <c r="AE84" i="45"/>
  <c r="AH85" i="45"/>
  <c r="AQ85" i="45"/>
  <c r="AP86" i="45"/>
  <c r="AT86" i="45"/>
  <c r="AM83" i="45"/>
  <c r="AO83" i="45" s="1"/>
  <c r="AN86" i="45"/>
  <c r="AE90" i="45"/>
  <c r="AK90" i="45"/>
  <c r="AQ90" i="45"/>
  <c r="AP87" i="45"/>
  <c r="AT87" i="45"/>
  <c r="AB88" i="45"/>
  <c r="AS88" i="45"/>
  <c r="AV88" i="45" s="1"/>
  <c r="AH87" i="45"/>
  <c r="AQ87" i="45"/>
  <c r="AP88" i="45"/>
  <c r="AT88" i="45"/>
  <c r="AN88" i="45"/>
  <c r="AE57" i="45"/>
  <c r="AK57" i="45"/>
  <c r="AM57" i="45"/>
  <c r="AN90" i="45"/>
  <c r="AB90" i="45"/>
  <c r="AS90" i="45"/>
  <c r="AB57" i="45"/>
  <c r="AB91" i="45"/>
  <c r="AS91" i="45"/>
  <c r="AV91" i="45" s="1"/>
  <c r="AN91" i="45"/>
  <c r="AP91" i="45"/>
  <c r="AT91" i="45"/>
  <c r="AQ57" i="45"/>
  <c r="AH57" i="45"/>
  <c r="AN57" i="45"/>
  <c r="AS57" i="45"/>
  <c r="AV57" i="45" s="1"/>
  <c r="AP57" i="45"/>
  <c r="AT57" i="45"/>
  <c r="AM44" i="45"/>
  <c r="AN44" i="45"/>
  <c r="AB44" i="45"/>
  <c r="AS44" i="45"/>
  <c r="AV44" i="45" s="1"/>
  <c r="AP44" i="45"/>
  <c r="AT44" i="45"/>
  <c r="AR57" i="45" l="1"/>
  <c r="AU90" i="45"/>
  <c r="AV90" i="45"/>
  <c r="AU59" i="45"/>
  <c r="AR86" i="45"/>
  <c r="AR44" i="45"/>
  <c r="AR60" i="45"/>
  <c r="AR91" i="45"/>
  <c r="AO67" i="45"/>
  <c r="AU66" i="45"/>
  <c r="AO63" i="45"/>
  <c r="AU87" i="45"/>
  <c r="AU62" i="45"/>
  <c r="AO64" i="45"/>
  <c r="AO91" i="45"/>
  <c r="AO88" i="45"/>
  <c r="AR88" i="45"/>
  <c r="AR66" i="45"/>
  <c r="AO86" i="45"/>
  <c r="AO90" i="45"/>
  <c r="AO84" i="45"/>
  <c r="AO62" i="45"/>
  <c r="AR59" i="45"/>
  <c r="AR83" i="45"/>
  <c r="AU84" i="45"/>
  <c r="AR90" i="45"/>
  <c r="AU63" i="45"/>
  <c r="AR84" i="45"/>
  <c r="AO60" i="45"/>
  <c r="AR87" i="45"/>
  <c r="AO87" i="45"/>
  <c r="AU44" i="45"/>
  <c r="AO57" i="45"/>
  <c r="AU83" i="45"/>
  <c r="AU85" i="45"/>
  <c r="AR64" i="45"/>
  <c r="AU60" i="45"/>
  <c r="AO66" i="45"/>
  <c r="AR62" i="45"/>
  <c r="AR67" i="45"/>
  <c r="AR63" i="45"/>
  <c r="AU67" i="45"/>
  <c r="AU64" i="45"/>
  <c r="AO59" i="45"/>
  <c r="AR85" i="45"/>
  <c r="AU86" i="45"/>
  <c r="AU88" i="45"/>
  <c r="AU91" i="45"/>
  <c r="AU57" i="45"/>
  <c r="AO44" i="45"/>
  <c r="BS45" i="45" l="1"/>
  <c r="BR45" i="45"/>
  <c r="BQ45" i="45"/>
  <c r="BP45" i="45"/>
  <c r="BO45" i="45"/>
  <c r="BN45" i="45"/>
  <c r="BM45" i="45"/>
  <c r="BL45" i="45"/>
  <c r="BK45" i="45"/>
  <c r="BJ45" i="45"/>
  <c r="BI45" i="45"/>
  <c r="BH45" i="45"/>
  <c r="BG45" i="45"/>
  <c r="BF45" i="45"/>
  <c r="BE45" i="45"/>
  <c r="BD45" i="45"/>
  <c r="BC45" i="45"/>
  <c r="BB45" i="45"/>
  <c r="BA45" i="45"/>
  <c r="AZ45" i="45"/>
  <c r="AY45" i="45"/>
  <c r="AX45" i="45"/>
  <c r="AW45" i="45"/>
  <c r="BT45" i="45"/>
  <c r="V49" i="45" l="1"/>
  <c r="X49" i="45" l="1"/>
  <c r="V5" i="45"/>
  <c r="AI50" i="45"/>
  <c r="AJ50" i="45"/>
  <c r="AG50" i="45"/>
  <c r="AF50" i="45"/>
  <c r="AD50" i="45"/>
  <c r="AC50" i="45"/>
  <c r="AA50" i="45"/>
  <c r="Z50" i="45"/>
  <c r="X164" i="45" l="1"/>
  <c r="X5" i="45" s="1"/>
  <c r="AE50" i="45"/>
  <c r="AH50" i="45"/>
  <c r="AK50" i="45"/>
  <c r="AN50" i="45"/>
  <c r="AM50" i="45"/>
  <c r="AB50" i="45"/>
  <c r="AS50" i="45"/>
  <c r="AV50" i="45" s="1"/>
  <c r="AP50" i="45"/>
  <c r="AT50" i="45"/>
  <c r="AQ50" i="45"/>
  <c r="AO50" i="45" l="1"/>
  <c r="AR50" i="45"/>
  <c r="AU50" i="45"/>
  <c r="AJ55" i="45" l="1"/>
  <c r="AI55" i="45"/>
  <c r="AG55" i="45"/>
  <c r="AF55" i="45"/>
  <c r="AD55" i="45"/>
  <c r="AC55" i="45"/>
  <c r="AA55" i="45"/>
  <c r="Z55" i="45"/>
  <c r="AJ52" i="45"/>
  <c r="AI52" i="45"/>
  <c r="AG52" i="45"/>
  <c r="AF52" i="45"/>
  <c r="AD52" i="45"/>
  <c r="AC52" i="45"/>
  <c r="AA52" i="45"/>
  <c r="Z52" i="45"/>
  <c r="AJ46" i="45"/>
  <c r="AI46" i="45"/>
  <c r="AG46" i="45"/>
  <c r="AF46" i="45"/>
  <c r="AD46" i="45"/>
  <c r="AC46" i="45"/>
  <c r="AA46" i="45"/>
  <c r="Z46" i="45"/>
  <c r="AJ54" i="45"/>
  <c r="AI54" i="45"/>
  <c r="AG54" i="45"/>
  <c r="AF54" i="45"/>
  <c r="AD54" i="45"/>
  <c r="AC54" i="45"/>
  <c r="AA54" i="45"/>
  <c r="Z54" i="45"/>
  <c r="AJ48" i="45"/>
  <c r="AI48" i="45"/>
  <c r="AG48" i="45"/>
  <c r="AF48" i="45"/>
  <c r="AD48" i="45"/>
  <c r="AC48" i="45"/>
  <c r="AA48" i="45"/>
  <c r="Z48" i="45"/>
  <c r="AJ47" i="45"/>
  <c r="AI47" i="45"/>
  <c r="AG47" i="45"/>
  <c r="AF47" i="45"/>
  <c r="AD47" i="45"/>
  <c r="AC47" i="45"/>
  <c r="AA47" i="45"/>
  <c r="Z47" i="45"/>
  <c r="AN52" i="45" l="1"/>
  <c r="AE54" i="45"/>
  <c r="AK54" i="45"/>
  <c r="AE52" i="45"/>
  <c r="AK52" i="45"/>
  <c r="AN46" i="45"/>
  <c r="AE46" i="45"/>
  <c r="AK46" i="45"/>
  <c r="AK55" i="45"/>
  <c r="AB54" i="45"/>
  <c r="AB55" i="45"/>
  <c r="AM55" i="45"/>
  <c r="AT55" i="45"/>
  <c r="AM54" i="45"/>
  <c r="AQ52" i="45"/>
  <c r="AQ54" i="45"/>
  <c r="AH54" i="45"/>
  <c r="AH46" i="45"/>
  <c r="AM52" i="45"/>
  <c r="AH52" i="45"/>
  <c r="AP55" i="45"/>
  <c r="AS46" i="45"/>
  <c r="AV46" i="45" s="1"/>
  <c r="AH47" i="45"/>
  <c r="AH48" i="45"/>
  <c r="AQ55" i="45"/>
  <c r="AH55" i="45"/>
  <c r="AQ47" i="45"/>
  <c r="AQ48" i="45"/>
  <c r="AP46" i="45"/>
  <c r="AT46" i="45"/>
  <c r="AB52" i="45"/>
  <c r="AS52" i="45"/>
  <c r="AV52" i="45" s="1"/>
  <c r="AE55" i="45"/>
  <c r="AN55" i="45"/>
  <c r="AE47" i="45"/>
  <c r="AK47" i="45"/>
  <c r="AK48" i="45"/>
  <c r="AM46" i="45"/>
  <c r="AQ46" i="45"/>
  <c r="AP52" i="45"/>
  <c r="AT52" i="45"/>
  <c r="AS55" i="45"/>
  <c r="AV55" i="45" s="1"/>
  <c r="AM47" i="45"/>
  <c r="AM48" i="45"/>
  <c r="AB46" i="45"/>
  <c r="AE48" i="45"/>
  <c r="AN54" i="45"/>
  <c r="AS48" i="45"/>
  <c r="AV48" i="45" s="1"/>
  <c r="AS54" i="45"/>
  <c r="AV54" i="45" s="1"/>
  <c r="AP47" i="45"/>
  <c r="AP54" i="45"/>
  <c r="AT54" i="45"/>
  <c r="AN48" i="45"/>
  <c r="AN47" i="45"/>
  <c r="AB47" i="45"/>
  <c r="AS47" i="45"/>
  <c r="AV47" i="45" s="1"/>
  <c r="AT47" i="45"/>
  <c r="AB48" i="45"/>
  <c r="AP48" i="45"/>
  <c r="AT48" i="45"/>
  <c r="AI41" i="45"/>
  <c r="BR40" i="45"/>
  <c r="BQ40" i="45"/>
  <c r="BP40" i="45"/>
  <c r="BO40" i="45"/>
  <c r="BN40" i="45"/>
  <c r="BM40" i="45"/>
  <c r="BL40" i="45"/>
  <c r="BK40" i="45"/>
  <c r="BJ40" i="45"/>
  <c r="BI40" i="45"/>
  <c r="BH40" i="45"/>
  <c r="BG40" i="45"/>
  <c r="BF40" i="45"/>
  <c r="BE40" i="45"/>
  <c r="BD40" i="45"/>
  <c r="BC40" i="45"/>
  <c r="BB40" i="45"/>
  <c r="BA40" i="45"/>
  <c r="AZ40" i="45"/>
  <c r="AY40" i="45"/>
  <c r="AX40" i="45"/>
  <c r="AW40" i="45"/>
  <c r="BT40" i="45"/>
  <c r="AJ42" i="45"/>
  <c r="AG42" i="45"/>
  <c r="AF42" i="45"/>
  <c r="AD42" i="45"/>
  <c r="AC42" i="45"/>
  <c r="AA42" i="45"/>
  <c r="Z42" i="45"/>
  <c r="AJ41" i="45"/>
  <c r="AG41" i="45"/>
  <c r="AF41" i="45"/>
  <c r="AD41" i="45"/>
  <c r="AC41" i="45"/>
  <c r="AA41" i="45"/>
  <c r="Z41" i="45"/>
  <c r="BT37" i="45"/>
  <c r="BR37" i="45"/>
  <c r="BQ37" i="45"/>
  <c r="BP37" i="45"/>
  <c r="BO37" i="45"/>
  <c r="BN37" i="45"/>
  <c r="BM37" i="45"/>
  <c r="BL37" i="45"/>
  <c r="BK37" i="45"/>
  <c r="BJ37" i="45"/>
  <c r="BI37" i="45"/>
  <c r="BH37" i="45"/>
  <c r="BG37" i="45"/>
  <c r="BF37" i="45"/>
  <c r="BE37" i="45"/>
  <c r="BD37" i="45"/>
  <c r="BC37" i="45"/>
  <c r="BB37" i="45"/>
  <c r="BA37" i="45"/>
  <c r="AZ37" i="45"/>
  <c r="AY37" i="45"/>
  <c r="AX37" i="45"/>
  <c r="AW37" i="45"/>
  <c r="AO52" i="45" l="1"/>
  <c r="AO46" i="45"/>
  <c r="AR48" i="45"/>
  <c r="AR54" i="45"/>
  <c r="AO55" i="45"/>
  <c r="AR47" i="45"/>
  <c r="AR52" i="45"/>
  <c r="AU55" i="45"/>
  <c r="AU47" i="45"/>
  <c r="BS40" i="45"/>
  <c r="AO54" i="45"/>
  <c r="AU46" i="45"/>
  <c r="AR55" i="45"/>
  <c r="AO48" i="45"/>
  <c r="AU52" i="45"/>
  <c r="AO47" i="45"/>
  <c r="AR46" i="45"/>
  <c r="AU48" i="45"/>
  <c r="AU54" i="45"/>
  <c r="AI42" i="45"/>
  <c r="AK42" i="45" s="1"/>
  <c r="AN41" i="45"/>
  <c r="AE41" i="45"/>
  <c r="AK41" i="45"/>
  <c r="AE42" i="45"/>
  <c r="AP42" i="45"/>
  <c r="AH41" i="45"/>
  <c r="AQ41" i="45"/>
  <c r="AT42" i="45"/>
  <c r="AM41" i="45"/>
  <c r="AO41" i="45" s="1"/>
  <c r="AB41" i="45"/>
  <c r="AS41" i="45"/>
  <c r="AV41" i="45" s="1"/>
  <c r="AH42" i="45"/>
  <c r="AM42" i="45"/>
  <c r="AQ42" i="45"/>
  <c r="AT41" i="45"/>
  <c r="AN42" i="45"/>
  <c r="AB42" i="45"/>
  <c r="AP41" i="45"/>
  <c r="AS42" i="45" l="1"/>
  <c r="AR42" i="45"/>
  <c r="AR41" i="45"/>
  <c r="AO42" i="45"/>
  <c r="AU41" i="45"/>
  <c r="AU42" i="45" l="1"/>
  <c r="AV42" i="45"/>
  <c r="BS37" i="45"/>
  <c r="AI32" i="45" l="1"/>
  <c r="BT31" i="45"/>
  <c r="BR31" i="45"/>
  <c r="BQ31" i="45"/>
  <c r="BP31" i="45"/>
  <c r="BO31" i="45"/>
  <c r="BN31" i="45"/>
  <c r="BM31" i="45"/>
  <c r="BL31" i="45"/>
  <c r="BK31" i="45"/>
  <c r="BJ31" i="45"/>
  <c r="BI31" i="45"/>
  <c r="BH31" i="45"/>
  <c r="BG31" i="45"/>
  <c r="BF31" i="45"/>
  <c r="BE31" i="45"/>
  <c r="BD31" i="45"/>
  <c r="BC31" i="45"/>
  <c r="BB31" i="45"/>
  <c r="BA31" i="45"/>
  <c r="AZ31" i="45"/>
  <c r="AY31" i="45"/>
  <c r="AX31" i="45"/>
  <c r="AW31" i="45"/>
  <c r="BS33" i="45"/>
  <c r="AI33" i="45" s="1"/>
  <c r="BS34" i="45"/>
  <c r="AI34" i="45" s="1"/>
  <c r="AI36" i="45"/>
  <c r="AJ32" i="45"/>
  <c r="AG32" i="45"/>
  <c r="AF32" i="45"/>
  <c r="AD32" i="45"/>
  <c r="AC32" i="45"/>
  <c r="AA32" i="45"/>
  <c r="Z32" i="45"/>
  <c r="AJ36" i="45"/>
  <c r="AG36" i="45"/>
  <c r="AF36" i="45"/>
  <c r="AD36" i="45"/>
  <c r="AC36" i="45"/>
  <c r="AA36" i="45"/>
  <c r="Z36" i="45"/>
  <c r="AJ34" i="45"/>
  <c r="AG34" i="45"/>
  <c r="AF34" i="45"/>
  <c r="AD34" i="45"/>
  <c r="AC34" i="45"/>
  <c r="AA34" i="45"/>
  <c r="Z34" i="45"/>
  <c r="AJ33" i="45"/>
  <c r="AG33" i="45"/>
  <c r="AF33" i="45"/>
  <c r="AD33" i="45"/>
  <c r="AC33" i="45"/>
  <c r="AA33" i="45"/>
  <c r="Z33" i="45"/>
  <c r="AE32" i="45" l="1"/>
  <c r="AH32" i="45"/>
  <c r="AQ32" i="45"/>
  <c r="AK32" i="45"/>
  <c r="AH36" i="45"/>
  <c r="AH34" i="45"/>
  <c r="AQ36" i="45"/>
  <c r="AK36" i="45"/>
  <c r="BS31" i="45"/>
  <c r="AQ33" i="45"/>
  <c r="AN34" i="45"/>
  <c r="AE33" i="45"/>
  <c r="AK33" i="45"/>
  <c r="AE34" i="45"/>
  <c r="AK34" i="45"/>
  <c r="AM32" i="45"/>
  <c r="AB32" i="45"/>
  <c r="AS33" i="45"/>
  <c r="AV33" i="45" s="1"/>
  <c r="AP34" i="45"/>
  <c r="AM36" i="45"/>
  <c r="AQ34" i="45"/>
  <c r="AP36" i="45"/>
  <c r="AN32" i="45"/>
  <c r="AH33" i="45"/>
  <c r="AS32" i="45"/>
  <c r="AV32" i="45" s="1"/>
  <c r="AP32" i="45"/>
  <c r="AT32" i="45"/>
  <c r="AT36" i="45"/>
  <c r="AM34" i="45"/>
  <c r="AP33" i="45"/>
  <c r="AR33" i="45" s="1"/>
  <c r="AT33" i="45"/>
  <c r="AB34" i="45"/>
  <c r="AS34" i="45"/>
  <c r="AV34" i="45" s="1"/>
  <c r="AE36" i="45"/>
  <c r="AN36" i="45"/>
  <c r="AN33" i="45"/>
  <c r="AM33" i="45"/>
  <c r="AT34" i="45"/>
  <c r="AB36" i="45"/>
  <c r="AS36" i="45"/>
  <c r="AV36" i="45" s="1"/>
  <c r="AB33" i="45"/>
  <c r="AU36" i="45" l="1"/>
  <c r="AR32" i="45"/>
  <c r="AO32" i="45"/>
  <c r="AR36" i="45"/>
  <c r="AO34" i="45"/>
  <c r="AR34" i="45"/>
  <c r="AU33" i="45"/>
  <c r="AO36" i="45"/>
  <c r="AU32" i="45"/>
  <c r="AO33" i="45"/>
  <c r="AU34" i="45"/>
  <c r="BS30" i="45" l="1"/>
  <c r="AJ25" i="45"/>
  <c r="AI25" i="45"/>
  <c r="AG25" i="45"/>
  <c r="AF25" i="45"/>
  <c r="AD25" i="45"/>
  <c r="AC25" i="45"/>
  <c r="AA25" i="45"/>
  <c r="Z25" i="45"/>
  <c r="AJ23" i="45"/>
  <c r="AI23" i="45"/>
  <c r="AG23" i="45"/>
  <c r="AF23" i="45"/>
  <c r="AD23" i="45"/>
  <c r="AC23" i="45"/>
  <c r="AA23" i="45"/>
  <c r="Z23" i="45"/>
  <c r="BS13" i="45"/>
  <c r="BQ13" i="45"/>
  <c r="BG13" i="45"/>
  <c r="BE13" i="45"/>
  <c r="BA13" i="45"/>
  <c r="BK13" i="45" l="1"/>
  <c r="AQ23" i="45"/>
  <c r="AQ25" i="45"/>
  <c r="AE23" i="45"/>
  <c r="AK23" i="45"/>
  <c r="AE25" i="45"/>
  <c r="AK25" i="45"/>
  <c r="AM23" i="45"/>
  <c r="AH23" i="45"/>
  <c r="AH25" i="45"/>
  <c r="AM25" i="45"/>
  <c r="AB25" i="45"/>
  <c r="AS25" i="45"/>
  <c r="AV25" i="45" s="1"/>
  <c r="AN25" i="45"/>
  <c r="AP25" i="45"/>
  <c r="AT25" i="45"/>
  <c r="AN23" i="45"/>
  <c r="AB23" i="45"/>
  <c r="AS23" i="45"/>
  <c r="AV23" i="45" s="1"/>
  <c r="AP23" i="45"/>
  <c r="AT23" i="45"/>
  <c r="AR25" i="45" l="1"/>
  <c r="AR23" i="45"/>
  <c r="AO23" i="45"/>
  <c r="AU25" i="45"/>
  <c r="AO25" i="45"/>
  <c r="AU23" i="45"/>
  <c r="AY30" i="45" l="1"/>
  <c r="BA30" i="45"/>
  <c r="BC30" i="45"/>
  <c r="BE30" i="45"/>
  <c r="BG30" i="45"/>
  <c r="BI30" i="45"/>
  <c r="BK30" i="45"/>
  <c r="BM30" i="45"/>
  <c r="BO30" i="45"/>
  <c r="BQ30" i="45"/>
  <c r="BI13" i="45" l="1"/>
  <c r="AY13" i="45" l="1"/>
  <c r="BC13" i="45"/>
  <c r="BA8" i="45"/>
  <c r="BM8" i="45"/>
  <c r="BG8" i="45"/>
  <c r="AI27" i="45" l="1"/>
  <c r="AF27" i="45"/>
  <c r="Z27" i="45"/>
  <c r="AJ27" i="45"/>
  <c r="AG27" i="45"/>
  <c r="AD27" i="45"/>
  <c r="AC27" i="45"/>
  <c r="AA27" i="45"/>
  <c r="AJ26" i="45"/>
  <c r="AI26" i="45"/>
  <c r="AG26" i="45"/>
  <c r="AF26" i="45"/>
  <c r="AD26" i="45"/>
  <c r="AC26" i="45"/>
  <c r="AA26" i="45"/>
  <c r="Z26" i="45"/>
  <c r="BT15" i="45"/>
  <c r="BS15" i="45"/>
  <c r="BR15" i="45"/>
  <c r="BQ15" i="45"/>
  <c r="BP15" i="45"/>
  <c r="BO15" i="45"/>
  <c r="BN15" i="45"/>
  <c r="BM15" i="45"/>
  <c r="BL15" i="45"/>
  <c r="BK15" i="45"/>
  <c r="BJ15" i="45"/>
  <c r="BI15" i="45"/>
  <c r="BH15" i="45"/>
  <c r="BG15" i="45"/>
  <c r="BF15" i="45"/>
  <c r="BE15" i="45"/>
  <c r="BD15" i="45"/>
  <c r="BC15" i="45"/>
  <c r="BB15" i="45"/>
  <c r="BA15" i="45"/>
  <c r="AZ15" i="45"/>
  <c r="AY15" i="45"/>
  <c r="AX15" i="45"/>
  <c r="AW15" i="45"/>
  <c r="AJ14" i="45"/>
  <c r="AI14" i="45"/>
  <c r="AG14" i="45"/>
  <c r="AF14" i="45"/>
  <c r="AD14" i="45"/>
  <c r="AC14" i="45"/>
  <c r="AA14" i="45"/>
  <c r="Z14" i="45"/>
  <c r="AM26" i="45" l="1"/>
  <c r="AH14" i="45"/>
  <c r="AE27" i="45"/>
  <c r="AT27" i="45"/>
  <c r="AK27" i="45"/>
  <c r="AH26" i="45"/>
  <c r="AQ27" i="45"/>
  <c r="AQ26" i="45"/>
  <c r="AE26" i="45"/>
  <c r="AK26" i="45"/>
  <c r="AH27" i="45"/>
  <c r="AM27" i="45"/>
  <c r="AS27" i="45"/>
  <c r="AV27" i="45" s="1"/>
  <c r="AB27" i="45"/>
  <c r="AP27" i="45"/>
  <c r="AN27" i="45"/>
  <c r="AN26" i="45"/>
  <c r="AB26" i="45"/>
  <c r="AS26" i="45"/>
  <c r="AV26" i="45" s="1"/>
  <c r="AP26" i="45"/>
  <c r="AT26" i="45"/>
  <c r="AP14" i="45"/>
  <c r="AK14" i="45"/>
  <c r="AM14" i="45"/>
  <c r="AQ14" i="45"/>
  <c r="AE14" i="45"/>
  <c r="AN14" i="45"/>
  <c r="AB14" i="45"/>
  <c r="AS14" i="45"/>
  <c r="AV14" i="45" s="1"/>
  <c r="AT14" i="45"/>
  <c r="BT3" i="45"/>
  <c r="BS3" i="45"/>
  <c r="BR3" i="45"/>
  <c r="BQ3" i="45"/>
  <c r="BP3" i="45"/>
  <c r="BO3" i="45"/>
  <c r="BN3" i="45"/>
  <c r="BM3" i="45"/>
  <c r="BL3" i="45"/>
  <c r="BK3" i="45"/>
  <c r="BJ3" i="45"/>
  <c r="BI3" i="45"/>
  <c r="BH3" i="45"/>
  <c r="BG3" i="45"/>
  <c r="BF3" i="45"/>
  <c r="BE3" i="45"/>
  <c r="BD3" i="45"/>
  <c r="BC3" i="45"/>
  <c r="BB3" i="45"/>
  <c r="BA3" i="45"/>
  <c r="AZ3" i="45"/>
  <c r="AY3" i="45"/>
  <c r="AX3" i="45"/>
  <c r="AW3" i="45"/>
  <c r="T3" i="45"/>
  <c r="S3" i="45"/>
  <c r="R3" i="45"/>
  <c r="Q3" i="45"/>
  <c r="P3" i="45"/>
  <c r="O3" i="45"/>
  <c r="N3" i="45"/>
  <c r="L3" i="45"/>
  <c r="AJ4" i="45"/>
  <c r="AI4" i="45"/>
  <c r="AG4" i="45"/>
  <c r="AF4" i="45"/>
  <c r="AD4" i="45"/>
  <c r="AC4" i="45"/>
  <c r="AA4" i="45"/>
  <c r="Z4" i="45"/>
  <c r="BT49" i="45"/>
  <c r="BS49" i="45"/>
  <c r="BS5" i="45" s="1"/>
  <c r="BR49" i="45"/>
  <c r="BR5" i="45" s="1"/>
  <c r="BQ49" i="45"/>
  <c r="BQ5" i="45" s="1"/>
  <c r="BP49" i="45"/>
  <c r="BP5" i="45" s="1"/>
  <c r="BO49" i="45"/>
  <c r="BO5" i="45" s="1"/>
  <c r="BN49" i="45"/>
  <c r="BN5" i="45" s="1"/>
  <c r="BM49" i="45"/>
  <c r="BM5" i="45" s="1"/>
  <c r="BL49" i="45"/>
  <c r="BL5" i="45" s="1"/>
  <c r="BK49" i="45"/>
  <c r="BK5" i="45" s="1"/>
  <c r="BJ49" i="45"/>
  <c r="BJ5" i="45" s="1"/>
  <c r="BI49" i="45"/>
  <c r="BI5" i="45" s="1"/>
  <c r="BH49" i="45"/>
  <c r="BH5" i="45" s="1"/>
  <c r="BG49" i="45"/>
  <c r="BG5" i="45" s="1"/>
  <c r="BF49" i="45"/>
  <c r="BF5" i="45" s="1"/>
  <c r="BE49" i="45"/>
  <c r="BE5" i="45" s="1"/>
  <c r="BD49" i="45"/>
  <c r="BD5" i="45" s="1"/>
  <c r="BC49" i="45"/>
  <c r="BC5" i="45" s="1"/>
  <c r="BB49" i="45"/>
  <c r="BB5" i="45" s="1"/>
  <c r="BA49" i="45"/>
  <c r="BA5" i="45" s="1"/>
  <c r="AZ49" i="45"/>
  <c r="AZ5" i="45" s="1"/>
  <c r="AY49" i="45"/>
  <c r="AY5" i="45" s="1"/>
  <c r="AX49" i="45"/>
  <c r="AX5" i="45" s="1"/>
  <c r="AW49" i="45"/>
  <c r="AW5" i="45" s="1"/>
  <c r="N139" i="45"/>
  <c r="N198" i="45" s="1"/>
  <c r="BE131" i="45" l="1"/>
  <c r="BK131" i="45"/>
  <c r="BL131" i="45"/>
  <c r="BS131" i="45"/>
  <c r="BF131" i="45"/>
  <c r="BR131" i="45"/>
  <c r="BB131" i="45"/>
  <c r="BQ131" i="45"/>
  <c r="BA131" i="45"/>
  <c r="BH131" i="45"/>
  <c r="BO131" i="45"/>
  <c r="BN131" i="45"/>
  <c r="AX131" i="45"/>
  <c r="BM131" i="45"/>
  <c r="BG131" i="45"/>
  <c r="BD131" i="45"/>
  <c r="AY131" i="45"/>
  <c r="BJ131" i="45"/>
  <c r="AW131" i="45"/>
  <c r="BI131" i="45"/>
  <c r="BP131" i="45"/>
  <c r="AZ131" i="45"/>
  <c r="BC131" i="45"/>
  <c r="AR26" i="45"/>
  <c r="AO26" i="45"/>
  <c r="AR27" i="45"/>
  <c r="AU27" i="45"/>
  <c r="AR14" i="45"/>
  <c r="AG3" i="45"/>
  <c r="AO27" i="45"/>
  <c r="AU26" i="45"/>
  <c r="AO14" i="45"/>
  <c r="AU14" i="45"/>
  <c r="AC3" i="45"/>
  <c r="AQ4" i="45"/>
  <c r="AD3" i="45"/>
  <c r="Z3" i="45"/>
  <c r="AA3" i="45"/>
  <c r="AJ3" i="45"/>
  <c r="AE4" i="45"/>
  <c r="AK4" i="45"/>
  <c r="AI3" i="45"/>
  <c r="AS4" i="45"/>
  <c r="AF3" i="45"/>
  <c r="AN4" i="45"/>
  <c r="AH4" i="45"/>
  <c r="AP4" i="45"/>
  <c r="AT4" i="45"/>
  <c r="AM4" i="45"/>
  <c r="AB4" i="45"/>
  <c r="AO4" i="45" l="1"/>
  <c r="AK3" i="45"/>
  <c r="AH3" i="45"/>
  <c r="AM3" i="45"/>
  <c r="AB3" i="45"/>
  <c r="AQ3" i="45"/>
  <c r="AU4" i="45"/>
  <c r="AR4" i="45"/>
  <c r="AS3" i="45"/>
  <c r="AE3" i="45"/>
  <c r="AN3" i="45"/>
  <c r="AT3" i="45"/>
  <c r="AP3" i="45"/>
  <c r="AO3" i="45" l="1"/>
  <c r="AR3" i="45"/>
  <c r="AU3" i="45"/>
  <c r="AJ196" i="45" l="1"/>
  <c r="AI196" i="45"/>
  <c r="AG196" i="45"/>
  <c r="AF196" i="45"/>
  <c r="AD196" i="45"/>
  <c r="AC196" i="45"/>
  <c r="AA196" i="45"/>
  <c r="Z196" i="45"/>
  <c r="AJ195" i="45"/>
  <c r="AI195" i="45"/>
  <c r="AG195" i="45"/>
  <c r="AF195" i="45"/>
  <c r="AD195" i="45"/>
  <c r="AC195" i="45"/>
  <c r="AA195" i="45"/>
  <c r="Z195" i="45"/>
  <c r="AJ191" i="45"/>
  <c r="AI191" i="45"/>
  <c r="AG191" i="45"/>
  <c r="AF191" i="45"/>
  <c r="AD191" i="45"/>
  <c r="AC191" i="45"/>
  <c r="AA191" i="45"/>
  <c r="Z191" i="45"/>
  <c r="AJ190" i="45"/>
  <c r="AI190" i="45"/>
  <c r="AG190" i="45"/>
  <c r="AF190" i="45"/>
  <c r="AD190" i="45"/>
  <c r="AC190" i="45"/>
  <c r="AA190" i="45"/>
  <c r="Z190" i="45"/>
  <c r="AJ194" i="45"/>
  <c r="AI194" i="45"/>
  <c r="AG194" i="45"/>
  <c r="AF194" i="45"/>
  <c r="AD194" i="45"/>
  <c r="AC194" i="45"/>
  <c r="AA194" i="45"/>
  <c r="Z194" i="45"/>
  <c r="AJ185" i="45"/>
  <c r="AI185" i="45"/>
  <c r="AG185" i="45"/>
  <c r="AF185" i="45"/>
  <c r="AD185" i="45"/>
  <c r="AC185" i="45"/>
  <c r="AA185" i="45"/>
  <c r="Z185" i="45"/>
  <c r="AJ184" i="45"/>
  <c r="AI184" i="45"/>
  <c r="AG184" i="45"/>
  <c r="AF184" i="45"/>
  <c r="AD184" i="45"/>
  <c r="AC184" i="45"/>
  <c r="AA184" i="45"/>
  <c r="Z184" i="45"/>
  <c r="AJ169" i="45"/>
  <c r="AI169" i="45"/>
  <c r="AG169" i="45"/>
  <c r="AF169" i="45"/>
  <c r="AD169" i="45"/>
  <c r="AC169" i="45"/>
  <c r="AA169" i="45"/>
  <c r="Z169" i="45"/>
  <c r="AJ164" i="45"/>
  <c r="AI164" i="45"/>
  <c r="AG164" i="45"/>
  <c r="AF164" i="45"/>
  <c r="AD164" i="45"/>
  <c r="AC164" i="45"/>
  <c r="AA164" i="45"/>
  <c r="Z164" i="45"/>
  <c r="AJ51" i="45"/>
  <c r="AI51" i="45"/>
  <c r="AG51" i="45"/>
  <c r="AF51" i="45"/>
  <c r="AD51" i="45"/>
  <c r="AC51" i="45"/>
  <c r="AA51" i="45"/>
  <c r="Z51" i="45"/>
  <c r="AJ151" i="45"/>
  <c r="AI151" i="45"/>
  <c r="AG151" i="45"/>
  <c r="AF151" i="45"/>
  <c r="AD151" i="45"/>
  <c r="AC151" i="45"/>
  <c r="AA151" i="45"/>
  <c r="Z151" i="45"/>
  <c r="AJ147" i="45"/>
  <c r="AI147" i="45"/>
  <c r="AG147" i="45"/>
  <c r="AF147" i="45"/>
  <c r="AD147" i="45"/>
  <c r="AC147" i="45"/>
  <c r="AA147" i="45"/>
  <c r="Z147" i="45"/>
  <c r="AJ150" i="45"/>
  <c r="AI150" i="45"/>
  <c r="AG150" i="45"/>
  <c r="AF150" i="45"/>
  <c r="AD150" i="45"/>
  <c r="AC150" i="45"/>
  <c r="AA150" i="45"/>
  <c r="Z150" i="45"/>
  <c r="AJ149" i="45"/>
  <c r="AI149" i="45"/>
  <c r="AG149" i="45"/>
  <c r="AF149" i="45"/>
  <c r="AD149" i="45"/>
  <c r="AC149" i="45"/>
  <c r="AA149" i="45"/>
  <c r="Z149" i="45"/>
  <c r="AJ148" i="45"/>
  <c r="AI148" i="45"/>
  <c r="AG148" i="45"/>
  <c r="AF148" i="45"/>
  <c r="AD148" i="45"/>
  <c r="AC148" i="45"/>
  <c r="AA148" i="45"/>
  <c r="Z148" i="45"/>
  <c r="AJ145" i="45"/>
  <c r="AI145" i="45"/>
  <c r="AG145" i="45"/>
  <c r="AF145" i="45"/>
  <c r="AD145" i="45"/>
  <c r="AC145" i="45"/>
  <c r="AA145" i="45"/>
  <c r="Z145" i="45"/>
  <c r="AJ144" i="45"/>
  <c r="AJ197" i="45" s="1"/>
  <c r="AI144" i="45"/>
  <c r="AI197" i="45" s="1"/>
  <c r="AG144" i="45"/>
  <c r="AG197" i="45" s="1"/>
  <c r="AF144" i="45"/>
  <c r="AD144" i="45"/>
  <c r="AC144" i="45"/>
  <c r="AC197" i="45" s="1"/>
  <c r="AA144" i="45"/>
  <c r="Z144" i="45"/>
  <c r="AJ140" i="45"/>
  <c r="AI140" i="45"/>
  <c r="AG140" i="45"/>
  <c r="AF140" i="45"/>
  <c r="AD140" i="45"/>
  <c r="AA140" i="45"/>
  <c r="Z140" i="45"/>
  <c r="AJ136" i="45"/>
  <c r="AJ138" i="45" s="1"/>
  <c r="AI136" i="45"/>
  <c r="AI138" i="45" s="1"/>
  <c r="AG136" i="45"/>
  <c r="AG138" i="45" s="1"/>
  <c r="AF136" i="45"/>
  <c r="AF138" i="45" s="1"/>
  <c r="AD136" i="45"/>
  <c r="AD138" i="45" s="1"/>
  <c r="AA136" i="45"/>
  <c r="AA138" i="45" s="1"/>
  <c r="Z136" i="45"/>
  <c r="Z138" i="45" s="1"/>
  <c r="AJ132" i="45"/>
  <c r="AI132" i="45"/>
  <c r="AG132" i="45"/>
  <c r="AF132" i="45"/>
  <c r="AD132" i="45"/>
  <c r="AC132" i="45"/>
  <c r="AA132" i="45"/>
  <c r="Z132" i="45"/>
  <c r="AJ120" i="45"/>
  <c r="AI120" i="45"/>
  <c r="AG120" i="45"/>
  <c r="AF120" i="45"/>
  <c r="AD120" i="45"/>
  <c r="AC120" i="45"/>
  <c r="AA120" i="45"/>
  <c r="Z120" i="45"/>
  <c r="AJ124" i="45"/>
  <c r="AI124" i="45"/>
  <c r="AG124" i="45"/>
  <c r="AF124" i="45"/>
  <c r="AD124" i="45"/>
  <c r="AC124" i="45"/>
  <c r="AA124" i="45"/>
  <c r="Z124" i="45"/>
  <c r="AJ123" i="45"/>
  <c r="AI123" i="45"/>
  <c r="AG123" i="45"/>
  <c r="AF123" i="45"/>
  <c r="AD123" i="45"/>
  <c r="AC123" i="45"/>
  <c r="AA123" i="45"/>
  <c r="Z123" i="45"/>
  <c r="AJ69" i="45"/>
  <c r="AI69" i="45"/>
  <c r="AG69" i="45"/>
  <c r="AF69" i="45"/>
  <c r="AD69" i="45"/>
  <c r="AC69" i="45"/>
  <c r="AA69" i="45"/>
  <c r="Z69" i="45"/>
  <c r="AJ56" i="45"/>
  <c r="AI56" i="45"/>
  <c r="AG56" i="45"/>
  <c r="AF56" i="45"/>
  <c r="AD56" i="45"/>
  <c r="AC56" i="45"/>
  <c r="AA56" i="45"/>
  <c r="Z56" i="45"/>
  <c r="AJ58" i="45"/>
  <c r="AI58" i="45"/>
  <c r="AG58" i="45"/>
  <c r="AF58" i="45"/>
  <c r="AD58" i="45"/>
  <c r="AC58" i="45"/>
  <c r="AA58" i="45"/>
  <c r="Z58" i="45"/>
  <c r="AJ43" i="45"/>
  <c r="AI43" i="45"/>
  <c r="AG43" i="45"/>
  <c r="AF43" i="45"/>
  <c r="AD43" i="45"/>
  <c r="AC43" i="45"/>
  <c r="AA43" i="45"/>
  <c r="Z43" i="45"/>
  <c r="AJ49" i="45"/>
  <c r="AI49" i="45"/>
  <c r="AG49" i="45"/>
  <c r="AF49" i="45"/>
  <c r="AD49" i="45"/>
  <c r="AC49" i="45"/>
  <c r="AA49" i="45"/>
  <c r="Z49" i="45"/>
  <c r="AJ45" i="45"/>
  <c r="AI45" i="45"/>
  <c r="AG45" i="45"/>
  <c r="AF45" i="45"/>
  <c r="AD45" i="45"/>
  <c r="AC45" i="45"/>
  <c r="AA45" i="45"/>
  <c r="Z45" i="45"/>
  <c r="AJ40" i="45"/>
  <c r="AI40" i="45"/>
  <c r="AG40" i="45"/>
  <c r="AF40" i="45"/>
  <c r="AD40" i="45"/>
  <c r="AC40" i="45"/>
  <c r="AA40" i="45"/>
  <c r="Z40" i="45"/>
  <c r="AJ37" i="45"/>
  <c r="AI37" i="45"/>
  <c r="AG37" i="45"/>
  <c r="AF37" i="45"/>
  <c r="AD37" i="45"/>
  <c r="AC37" i="45"/>
  <c r="AA37" i="45"/>
  <c r="Z37" i="45"/>
  <c r="AJ31" i="45"/>
  <c r="AI31" i="45"/>
  <c r="AG31" i="45"/>
  <c r="AF31" i="45"/>
  <c r="AD31" i="45"/>
  <c r="AC31" i="45"/>
  <c r="AA31" i="45"/>
  <c r="Z31" i="45"/>
  <c r="AJ24" i="45"/>
  <c r="AI24" i="45"/>
  <c r="AG24" i="45"/>
  <c r="AF24" i="45"/>
  <c r="AD24" i="45"/>
  <c r="AC24" i="45"/>
  <c r="AA24" i="45"/>
  <c r="Z24" i="45"/>
  <c r="AJ22" i="45"/>
  <c r="AI22" i="45"/>
  <c r="AG22" i="45"/>
  <c r="AF22" i="45"/>
  <c r="AD22" i="45"/>
  <c r="AC22" i="45"/>
  <c r="AA22" i="45"/>
  <c r="Z22" i="45"/>
  <c r="AJ21" i="45"/>
  <c r="AI21" i="45"/>
  <c r="AG21" i="45"/>
  <c r="AF21" i="45"/>
  <c r="AD21" i="45"/>
  <c r="AC21" i="45"/>
  <c r="AA21" i="45"/>
  <c r="Z21" i="45"/>
  <c r="AJ13" i="45"/>
  <c r="AG13" i="45"/>
  <c r="AD13" i="45"/>
  <c r="AA13" i="45"/>
  <c r="AJ20" i="45"/>
  <c r="AI20" i="45"/>
  <c r="AG20" i="45"/>
  <c r="AF20" i="45"/>
  <c r="AD20" i="45"/>
  <c r="AC20" i="45"/>
  <c r="AA20" i="45"/>
  <c r="Z20" i="45"/>
  <c r="AJ30" i="45"/>
  <c r="AG30" i="45"/>
  <c r="AD30" i="45"/>
  <c r="AA30" i="45"/>
  <c r="AJ28" i="45"/>
  <c r="AI28" i="45"/>
  <c r="AG28" i="45"/>
  <c r="AF28" i="45"/>
  <c r="AD28" i="45"/>
  <c r="AC28" i="45"/>
  <c r="AA28" i="45"/>
  <c r="Z28" i="45"/>
  <c r="AJ19" i="45"/>
  <c r="AI19" i="45"/>
  <c r="AG19" i="45"/>
  <c r="AF19" i="45"/>
  <c r="AD19" i="45"/>
  <c r="AC19" i="45"/>
  <c r="AA19" i="45"/>
  <c r="Z19" i="45"/>
  <c r="AJ18" i="45"/>
  <c r="AI18" i="45"/>
  <c r="AG18" i="45"/>
  <c r="AF18" i="45"/>
  <c r="AD18" i="45"/>
  <c r="AC18" i="45"/>
  <c r="AA18" i="45"/>
  <c r="Z18" i="45"/>
  <c r="AJ17" i="45"/>
  <c r="AI17" i="45"/>
  <c r="AG17" i="45"/>
  <c r="AF17" i="45"/>
  <c r="AD17" i="45"/>
  <c r="AC17" i="45"/>
  <c r="AA17" i="45"/>
  <c r="Z17" i="45"/>
  <c r="AJ16" i="45"/>
  <c r="AI16" i="45"/>
  <c r="AG16" i="45"/>
  <c r="AF16" i="45"/>
  <c r="AD16" i="45"/>
  <c r="AC16" i="45"/>
  <c r="AA16" i="45"/>
  <c r="Z16" i="45"/>
  <c r="AJ15" i="45"/>
  <c r="AI15" i="45"/>
  <c r="AG15" i="45"/>
  <c r="AF15" i="45"/>
  <c r="AD15" i="45"/>
  <c r="AC15" i="45"/>
  <c r="AA15" i="45"/>
  <c r="Z15" i="45"/>
  <c r="AJ29" i="45"/>
  <c r="AI29" i="45"/>
  <c r="AG29" i="45"/>
  <c r="AF29" i="45"/>
  <c r="AD29" i="45"/>
  <c r="AC29" i="45"/>
  <c r="AA29" i="45"/>
  <c r="Z29" i="45"/>
  <c r="AJ12" i="45"/>
  <c r="AG12" i="45"/>
  <c r="AD12" i="45"/>
  <c r="AA12" i="45"/>
  <c r="AA197" i="45" l="1"/>
  <c r="AD197" i="45"/>
  <c r="AF197" i="45"/>
  <c r="Z197" i="45"/>
  <c r="AD131" i="45"/>
  <c r="AD139" i="45" s="1"/>
  <c r="AG131" i="45"/>
  <c r="AG139" i="45" s="1"/>
  <c r="AJ131" i="45"/>
  <c r="AJ139" i="45" s="1"/>
  <c r="AA131" i="45"/>
  <c r="AA139" i="45" s="1"/>
  <c r="AT151" i="45"/>
  <c r="AS144" i="45"/>
  <c r="AS145" i="45"/>
  <c r="AV145" i="45" s="1"/>
  <c r="AS151" i="45"/>
  <c r="AV151" i="45" s="1"/>
  <c r="AS51" i="45"/>
  <c r="AV51" i="45" s="1"/>
  <c r="AN194" i="45"/>
  <c r="AQ190" i="45"/>
  <c r="AQ196" i="45"/>
  <c r="AE185" i="45"/>
  <c r="AE190" i="45"/>
  <c r="AK190" i="45"/>
  <c r="AC30" i="45"/>
  <c r="AE30" i="45" s="1"/>
  <c r="AE145" i="45"/>
  <c r="AE51" i="45"/>
  <c r="AE164" i="45"/>
  <c r="AN12" i="45"/>
  <c r="AI30" i="45"/>
  <c r="AK30" i="45" s="1"/>
  <c r="AQ12" i="45"/>
  <c r="AB144" i="45"/>
  <c r="AS184" i="45"/>
  <c r="AV184" i="45" s="1"/>
  <c r="AH194" i="45"/>
  <c r="AS190" i="45"/>
  <c r="AV190" i="45" s="1"/>
  <c r="AS196" i="45"/>
  <c r="AV196" i="45" s="1"/>
  <c r="AH17" i="45"/>
  <c r="AH18" i="45"/>
  <c r="AM124" i="45"/>
  <c r="AS120" i="45"/>
  <c r="AV120" i="45" s="1"/>
  <c r="AM132" i="45"/>
  <c r="AS138" i="45"/>
  <c r="AV138" i="45" s="1"/>
  <c r="AQ31" i="45"/>
  <c r="AN69" i="45"/>
  <c r="AQ138" i="45"/>
  <c r="AH184" i="45"/>
  <c r="AT195" i="45"/>
  <c r="AK132" i="45"/>
  <c r="AE136" i="45"/>
  <c r="AE138" i="45" s="1"/>
  <c r="AM185" i="45"/>
  <c r="AE195" i="45"/>
  <c r="AB184" i="45"/>
  <c r="AN185" i="45"/>
  <c r="AS194" i="45"/>
  <c r="AV194" i="45" s="1"/>
  <c r="AE18" i="45"/>
  <c r="AK28" i="45"/>
  <c r="AH191" i="45"/>
  <c r="AH196" i="45"/>
  <c r="AN16" i="45"/>
  <c r="AE20" i="45"/>
  <c r="AK20" i="45"/>
  <c r="AH15" i="45"/>
  <c r="AE140" i="45"/>
  <c r="AH37" i="45"/>
  <c r="AE147" i="45"/>
  <c r="AK45" i="45"/>
  <c r="AE49" i="45"/>
  <c r="AK49" i="45"/>
  <c r="AE43" i="45"/>
  <c r="AK58" i="45"/>
  <c r="AE56" i="45"/>
  <c r="AK56" i="45"/>
  <c r="AK124" i="45"/>
  <c r="AB124" i="45"/>
  <c r="AK29" i="45"/>
  <c r="AE15" i="45"/>
  <c r="AE16" i="45"/>
  <c r="AK16" i="45"/>
  <c r="AN28" i="45"/>
  <c r="AS20" i="45"/>
  <c r="AV20" i="45" s="1"/>
  <c r="AS143" i="45"/>
  <c r="AV143" i="45" s="1"/>
  <c r="AN145" i="45"/>
  <c r="AQ150" i="45"/>
  <c r="AM18" i="45"/>
  <c r="AS22" i="45"/>
  <c r="AV22" i="45" s="1"/>
  <c r="AH22" i="45"/>
  <c r="AS31" i="45"/>
  <c r="AV31" i="45" s="1"/>
  <c r="AH31" i="45"/>
  <c r="AK37" i="45"/>
  <c r="AK69" i="45"/>
  <c r="AE123" i="45"/>
  <c r="AT136" i="45"/>
  <c r="AK149" i="45"/>
  <c r="AS150" i="45"/>
  <c r="AV150" i="45" s="1"/>
  <c r="AH147" i="45"/>
  <c r="AQ21" i="45"/>
  <c r="AN22" i="45"/>
  <c r="AN24" i="45"/>
  <c r="AS37" i="45"/>
  <c r="AV37" i="45" s="1"/>
  <c r="AH45" i="45"/>
  <c r="AH43" i="45"/>
  <c r="AH58" i="45"/>
  <c r="AH124" i="45"/>
  <c r="AN149" i="45"/>
  <c r="AE21" i="45"/>
  <c r="AK21" i="45"/>
  <c r="AE22" i="45"/>
  <c r="AK31" i="45"/>
  <c r="AK140" i="45"/>
  <c r="AT144" i="45"/>
  <c r="AK15" i="45"/>
  <c r="AS19" i="45"/>
  <c r="AV19" i="45" s="1"/>
  <c r="AK19" i="45"/>
  <c r="AP37" i="45"/>
  <c r="AE45" i="45"/>
  <c r="AE69" i="45"/>
  <c r="AK123" i="45"/>
  <c r="AP148" i="45"/>
  <c r="AK148" i="45"/>
  <c r="AP151" i="45"/>
  <c r="AH164" i="45"/>
  <c r="AS169" i="45"/>
  <c r="AV169" i="45" s="1"/>
  <c r="AP45" i="45"/>
  <c r="AP49" i="45"/>
  <c r="AS43" i="45"/>
  <c r="AV43" i="45" s="1"/>
  <c r="AS58" i="45"/>
  <c r="AV58" i="45" s="1"/>
  <c r="AN120" i="45"/>
  <c r="AK144" i="45"/>
  <c r="AP21" i="45"/>
  <c r="AS28" i="45"/>
  <c r="AV28" i="45" s="1"/>
  <c r="AH29" i="45"/>
  <c r="AN15" i="45"/>
  <c r="AM17" i="45"/>
  <c r="AB19" i="45"/>
  <c r="AQ30" i="45"/>
  <c r="AN40" i="45"/>
  <c r="AH40" i="45"/>
  <c r="AQ49" i="45"/>
  <c r="AN43" i="45"/>
  <c r="AM69" i="45"/>
  <c r="AH69" i="45"/>
  <c r="AM123" i="45"/>
  <c r="AP124" i="45"/>
  <c r="AE124" i="45"/>
  <c r="AS136" i="45"/>
  <c r="AV136" i="45" s="1"/>
  <c r="AQ136" i="45"/>
  <c r="AT138" i="45"/>
  <c r="AB145" i="45"/>
  <c r="AB148" i="45"/>
  <c r="AQ148" i="45"/>
  <c r="AB150" i="45"/>
  <c r="AH150" i="45"/>
  <c r="AM150" i="45"/>
  <c r="AB151" i="45"/>
  <c r="AH151" i="45"/>
  <c r="AK164" i="45"/>
  <c r="AE169" i="45"/>
  <c r="AK169" i="45"/>
  <c r="AM15" i="45"/>
  <c r="AS15" i="45"/>
  <c r="AV15" i="45" s="1"/>
  <c r="AT12" i="45"/>
  <c r="AM16" i="45"/>
  <c r="AM22" i="45"/>
  <c r="AT37" i="45"/>
  <c r="AB45" i="45"/>
  <c r="AM45" i="45"/>
  <c r="AM43" i="45"/>
  <c r="AN132" i="45"/>
  <c r="AS191" i="45"/>
  <c r="AM195" i="45"/>
  <c r="AS45" i="45"/>
  <c r="AV45" i="45" s="1"/>
  <c r="AS124" i="45"/>
  <c r="AV124" i="45" s="1"/>
  <c r="AS29" i="45"/>
  <c r="AV29" i="45" s="1"/>
  <c r="AB17" i="45"/>
  <c r="AK18" i="45"/>
  <c r="AN19" i="45"/>
  <c r="AH19" i="45"/>
  <c r="AM19" i="45"/>
  <c r="AM21" i="45"/>
  <c r="AS21" i="45"/>
  <c r="AV21" i="45" s="1"/>
  <c r="AB22" i="45"/>
  <c r="AS24" i="45"/>
  <c r="AV24" i="45" s="1"/>
  <c r="AE31" i="45"/>
  <c r="AE37" i="45"/>
  <c r="AM40" i="45"/>
  <c r="AK40" i="45"/>
  <c r="AM49" i="45"/>
  <c r="AS49" i="45"/>
  <c r="AV49" i="45" s="1"/>
  <c r="AB43" i="45"/>
  <c r="AE58" i="45"/>
  <c r="AN123" i="45"/>
  <c r="AE132" i="45"/>
  <c r="AM144" i="45"/>
  <c r="AS149" i="45"/>
  <c r="AV149" i="45" s="1"/>
  <c r="AQ151" i="45"/>
  <c r="AM184" i="45"/>
  <c r="AS18" i="45"/>
  <c r="AV18" i="45" s="1"/>
  <c r="AS185" i="45"/>
  <c r="AV185" i="45" s="1"/>
  <c r="AS56" i="45"/>
  <c r="AV56" i="45" s="1"/>
  <c r="AP56" i="45"/>
  <c r="AB140" i="45"/>
  <c r="AS140" i="45"/>
  <c r="AM51" i="45"/>
  <c r="AP51" i="45"/>
  <c r="AS16" i="45"/>
  <c r="AV16" i="45" s="1"/>
  <c r="AE29" i="45"/>
  <c r="AP17" i="45"/>
  <c r="AS17" i="45"/>
  <c r="AV17" i="45" s="1"/>
  <c r="AE17" i="45"/>
  <c r="AK17" i="45"/>
  <c r="AQ18" i="45"/>
  <c r="AP18" i="45"/>
  <c r="AE19" i="45"/>
  <c r="AH20" i="45"/>
  <c r="AP20" i="45"/>
  <c r="AH21" i="45"/>
  <c r="AK22" i="45"/>
  <c r="AK24" i="45"/>
  <c r="AE40" i="45"/>
  <c r="AH49" i="45"/>
  <c r="AK43" i="45"/>
  <c r="AQ140" i="45"/>
  <c r="AH140" i="45"/>
  <c r="AM140" i="45"/>
  <c r="AP147" i="45"/>
  <c r="AS147" i="45"/>
  <c r="AV147" i="45" s="1"/>
  <c r="AK151" i="45"/>
  <c r="AS164" i="45"/>
  <c r="AV164" i="45" s="1"/>
  <c r="AK195" i="45"/>
  <c r="AS40" i="45"/>
  <c r="AV40" i="45" s="1"/>
  <c r="AS69" i="45"/>
  <c r="AV69" i="45" s="1"/>
  <c r="AS148" i="45"/>
  <c r="AV148" i="45" s="1"/>
  <c r="AS195" i="45"/>
  <c r="AV195" i="45" s="1"/>
  <c r="AH56" i="45"/>
  <c r="AH136" i="45"/>
  <c r="AH138" i="45" s="1"/>
  <c r="AE144" i="45"/>
  <c r="AN148" i="45"/>
  <c r="AK147" i="45"/>
  <c r="AH51" i="45"/>
  <c r="AH169" i="45"/>
  <c r="AN184" i="45"/>
  <c r="AK184" i="45"/>
  <c r="AH195" i="45"/>
  <c r="AB196" i="45"/>
  <c r="AM196" i="45"/>
  <c r="AF30" i="45"/>
  <c r="AH30" i="45" s="1"/>
  <c r="AK120" i="45"/>
  <c r="AN144" i="45"/>
  <c r="AM145" i="45"/>
  <c r="AK145" i="45"/>
  <c r="AE148" i="45"/>
  <c r="AT149" i="45"/>
  <c r="AE150" i="45"/>
  <c r="AE151" i="45"/>
  <c r="AK51" i="45"/>
  <c r="AE184" i="45"/>
  <c r="AK185" i="45"/>
  <c r="AH190" i="45"/>
  <c r="AT190" i="45"/>
  <c r="AK191" i="45"/>
  <c r="AE196" i="45"/>
  <c r="AK196" i="45"/>
  <c r="AS132" i="45"/>
  <c r="AS123" i="45"/>
  <c r="AP29" i="45"/>
  <c r="Z30" i="45"/>
  <c r="AQ29" i="45"/>
  <c r="AN29" i="45"/>
  <c r="AQ20" i="45"/>
  <c r="AN20" i="45"/>
  <c r="AQ56" i="45"/>
  <c r="AN56" i="45"/>
  <c r="AT56" i="45"/>
  <c r="AT29" i="45"/>
  <c r="AT20" i="45"/>
  <c r="AP28" i="45"/>
  <c r="AE28" i="45"/>
  <c r="AP24" i="45"/>
  <c r="AE24" i="45"/>
  <c r="AQ37" i="45"/>
  <c r="AN37" i="45"/>
  <c r="AP31" i="45"/>
  <c r="AM31" i="45"/>
  <c r="AB31" i="45"/>
  <c r="AP58" i="45"/>
  <c r="AM58" i="45"/>
  <c r="AB58" i="45"/>
  <c r="AQ58" i="45"/>
  <c r="AQ17" i="45"/>
  <c r="AT18" i="45"/>
  <c r="AM28" i="45"/>
  <c r="AQ13" i="45"/>
  <c r="AT21" i="45"/>
  <c r="AM24" i="45"/>
  <c r="AQ45" i="45"/>
  <c r="AT49" i="45"/>
  <c r="AQ124" i="45"/>
  <c r="AM120" i="45"/>
  <c r="AE120" i="45"/>
  <c r="AK136" i="45"/>
  <c r="AK138" i="45" s="1"/>
  <c r="AQ144" i="45"/>
  <c r="AM29" i="45"/>
  <c r="AB15" i="45"/>
  <c r="AP16" i="45"/>
  <c r="AN17" i="45"/>
  <c r="AN18" i="45"/>
  <c r="AP19" i="45"/>
  <c r="AT19" i="45"/>
  <c r="AQ19" i="45"/>
  <c r="AB28" i="45"/>
  <c r="AQ28" i="45"/>
  <c r="AH28" i="45"/>
  <c r="AT28" i="45"/>
  <c r="AM20" i="45"/>
  <c r="AN13" i="45"/>
  <c r="AN21" i="45"/>
  <c r="AP22" i="45"/>
  <c r="AT22" i="45"/>
  <c r="AQ22" i="45"/>
  <c r="AB24" i="45"/>
  <c r="AQ24" i="45"/>
  <c r="AH24" i="45"/>
  <c r="AT24" i="45"/>
  <c r="AM37" i="45"/>
  <c r="AB40" i="45"/>
  <c r="AN45" i="45"/>
  <c r="AN49" i="45"/>
  <c r="AP43" i="45"/>
  <c r="AT43" i="45"/>
  <c r="AQ43" i="45"/>
  <c r="AM56" i="45"/>
  <c r="AB69" i="45"/>
  <c r="AP123" i="45"/>
  <c r="AN124" i="45"/>
  <c r="AB120" i="45"/>
  <c r="AQ120" i="45"/>
  <c r="AH120" i="45"/>
  <c r="AT120" i="45"/>
  <c r="AP132" i="45"/>
  <c r="AN136" i="45"/>
  <c r="AM138" i="45"/>
  <c r="AP138" i="45"/>
  <c r="AT140" i="45"/>
  <c r="AN140" i="45"/>
  <c r="AH145" i="45"/>
  <c r="AP15" i="45"/>
  <c r="AT15" i="45"/>
  <c r="AQ15" i="45"/>
  <c r="AB16" i="45"/>
  <c r="AQ16" i="45"/>
  <c r="AH16" i="45"/>
  <c r="AT16" i="45"/>
  <c r="AN30" i="45"/>
  <c r="AN31" i="45"/>
  <c r="AP40" i="45"/>
  <c r="AT40" i="45"/>
  <c r="AQ40" i="45"/>
  <c r="AN58" i="45"/>
  <c r="AP69" i="45"/>
  <c r="AT69" i="45"/>
  <c r="AQ69" i="45"/>
  <c r="AB123" i="45"/>
  <c r="AQ123" i="45"/>
  <c r="AH123" i="45"/>
  <c r="AT123" i="45"/>
  <c r="AP120" i="45"/>
  <c r="AB132" i="45"/>
  <c r="AQ132" i="45"/>
  <c r="AH132" i="45"/>
  <c r="AT132" i="45"/>
  <c r="AB136" i="45"/>
  <c r="AB138" i="45" s="1"/>
  <c r="AT143" i="45"/>
  <c r="AQ147" i="45"/>
  <c r="AT147" i="45"/>
  <c r="AN147" i="45"/>
  <c r="AT148" i="45"/>
  <c r="AP164" i="45"/>
  <c r="AB164" i="45"/>
  <c r="AM164" i="45"/>
  <c r="AB29" i="45"/>
  <c r="AT17" i="45"/>
  <c r="AB18" i="45"/>
  <c r="AT30" i="45"/>
  <c r="AB20" i="45"/>
  <c r="AT13" i="45"/>
  <c r="AB21" i="45"/>
  <c r="AT31" i="45"/>
  <c r="AB37" i="45"/>
  <c r="AT45" i="45"/>
  <c r="AB49" i="45"/>
  <c r="AT58" i="45"/>
  <c r="AB56" i="45"/>
  <c r="AT124" i="45"/>
  <c r="AN138" i="45"/>
  <c r="AP144" i="45"/>
  <c r="AQ145" i="45"/>
  <c r="AT145" i="45"/>
  <c r="AH148" i="45"/>
  <c r="AM149" i="45"/>
  <c r="AB147" i="45"/>
  <c r="AM147" i="45"/>
  <c r="AM151" i="45"/>
  <c r="AT164" i="45"/>
  <c r="AQ164" i="45"/>
  <c r="AN164" i="45"/>
  <c r="AT169" i="45"/>
  <c r="AN169" i="45"/>
  <c r="AQ169" i="45"/>
  <c r="AE194" i="45"/>
  <c r="AQ194" i="45"/>
  <c r="AT191" i="45"/>
  <c r="AQ191" i="45"/>
  <c r="AP194" i="45"/>
  <c r="AB194" i="45"/>
  <c r="AM194" i="45"/>
  <c r="AP191" i="45"/>
  <c r="AM191" i="45"/>
  <c r="AB191" i="45"/>
  <c r="AP136" i="45"/>
  <c r="AM136" i="45"/>
  <c r="AP140" i="45"/>
  <c r="AH144" i="45"/>
  <c r="AP145" i="45"/>
  <c r="AP149" i="45"/>
  <c r="AE149" i="45"/>
  <c r="AM148" i="45"/>
  <c r="AQ149" i="45"/>
  <c r="AP150" i="45"/>
  <c r="AN150" i="45"/>
  <c r="AQ51" i="45"/>
  <c r="AN51" i="45"/>
  <c r="AM169" i="45"/>
  <c r="AP185" i="45"/>
  <c r="AN190" i="45"/>
  <c r="AN191" i="45"/>
  <c r="AB195" i="45"/>
  <c r="AQ195" i="45"/>
  <c r="AP196" i="45"/>
  <c r="AB149" i="45"/>
  <c r="AH149" i="45"/>
  <c r="AT150" i="45"/>
  <c r="AK150" i="45"/>
  <c r="AN151" i="45"/>
  <c r="AB51" i="45"/>
  <c r="AT51" i="45"/>
  <c r="AP169" i="45"/>
  <c r="AK194" i="45"/>
  <c r="AP190" i="45"/>
  <c r="AE191" i="45"/>
  <c r="AP195" i="45"/>
  <c r="AN195" i="45"/>
  <c r="AB169" i="45"/>
  <c r="AP184" i="45"/>
  <c r="AT184" i="45"/>
  <c r="AQ184" i="45"/>
  <c r="AB185" i="45"/>
  <c r="AQ185" i="45"/>
  <c r="AH185" i="45"/>
  <c r="AT185" i="45"/>
  <c r="AM190" i="45"/>
  <c r="AN196" i="45"/>
  <c r="AT194" i="45"/>
  <c r="AB190" i="45"/>
  <c r="AT196" i="45"/>
  <c r="L123" i="45"/>
  <c r="O123" i="45" s="1"/>
  <c r="P43" i="45"/>
  <c r="P13" i="45"/>
  <c r="L30" i="45"/>
  <c r="AQ5" i="45" l="1"/>
  <c r="AT5" i="45"/>
  <c r="AN5" i="45"/>
  <c r="O30" i="45"/>
  <c r="AH197" i="45"/>
  <c r="AE197" i="45"/>
  <c r="AK197" i="45"/>
  <c r="AB197" i="45"/>
  <c r="AV144" i="45"/>
  <c r="AS197" i="45"/>
  <c r="AT197" i="45"/>
  <c r="AN197" i="45"/>
  <c r="AQ131" i="45"/>
  <c r="AN131" i="45"/>
  <c r="AP197" i="45"/>
  <c r="AQ197" i="45"/>
  <c r="AG198" i="45"/>
  <c r="AM197" i="45"/>
  <c r="AQ139" i="45"/>
  <c r="AN139" i="45"/>
  <c r="AT139" i="45"/>
  <c r="AJ198" i="45"/>
  <c r="AD198" i="45"/>
  <c r="AA198" i="45"/>
  <c r="AV123" i="45"/>
  <c r="AT131" i="45"/>
  <c r="L131" i="45"/>
  <c r="AU151" i="45"/>
  <c r="Q139" i="45"/>
  <c r="Q198" i="45" s="1"/>
  <c r="BT8" i="45"/>
  <c r="AO194" i="45"/>
  <c r="AO195" i="45"/>
  <c r="AO69" i="45"/>
  <c r="AM30" i="45"/>
  <c r="AO30" i="45" s="1"/>
  <c r="AR196" i="45"/>
  <c r="AU185" i="45"/>
  <c r="T131" i="45"/>
  <c r="R131" i="45"/>
  <c r="AO124" i="45"/>
  <c r="AR190" i="45"/>
  <c r="AR191" i="45"/>
  <c r="AU184" i="45"/>
  <c r="AU195" i="45"/>
  <c r="AU17" i="45"/>
  <c r="AU190" i="45"/>
  <c r="AO16" i="45"/>
  <c r="AU138" i="45"/>
  <c r="AR31" i="45"/>
  <c r="AU120" i="45"/>
  <c r="AR138" i="45"/>
  <c r="AO132" i="45"/>
  <c r="AU31" i="45"/>
  <c r="AU143" i="45"/>
  <c r="AO149" i="45"/>
  <c r="AR148" i="45"/>
  <c r="AR150" i="45"/>
  <c r="AU169" i="45"/>
  <c r="AU148" i="45"/>
  <c r="AO123" i="45"/>
  <c r="AR194" i="45"/>
  <c r="AO196" i="45"/>
  <c r="AO51" i="45"/>
  <c r="AR136" i="45"/>
  <c r="AR45" i="45"/>
  <c r="AO145" i="45"/>
  <c r="AR151" i="45"/>
  <c r="AO185" i="45"/>
  <c r="AR195" i="45"/>
  <c r="AO191" i="45"/>
  <c r="AO17" i="45"/>
  <c r="AU144" i="45"/>
  <c r="AO43" i="45"/>
  <c r="AR143" i="45"/>
  <c r="AO120" i="45"/>
  <c r="AB30" i="45"/>
  <c r="AU37" i="45"/>
  <c r="AU136" i="45"/>
  <c r="AR144" i="45"/>
  <c r="AO28" i="45"/>
  <c r="AR21" i="45"/>
  <c r="AR37" i="45"/>
  <c r="AO40" i="45"/>
  <c r="AR28" i="45"/>
  <c r="AU51" i="45"/>
  <c r="AO150" i="45"/>
  <c r="AO136" i="45"/>
  <c r="AO147" i="45"/>
  <c r="AR147" i="45"/>
  <c r="AU24" i="45"/>
  <c r="AU56" i="45"/>
  <c r="AO49" i="45"/>
  <c r="AR120" i="45"/>
  <c r="AO37" i="45"/>
  <c r="AO18" i="45"/>
  <c r="AO24" i="45"/>
  <c r="AU18" i="45"/>
  <c r="AU149" i="45"/>
  <c r="AR51" i="45"/>
  <c r="AO148" i="45"/>
  <c r="AU123" i="45"/>
  <c r="AO22" i="45"/>
  <c r="AO164" i="45"/>
  <c r="AO21" i="45"/>
  <c r="AR124" i="45"/>
  <c r="AP30" i="45"/>
  <c r="AR30" i="45" s="1"/>
  <c r="AO45" i="45"/>
  <c r="AU40" i="45"/>
  <c r="AU16" i="45"/>
  <c r="AR56" i="45"/>
  <c r="AU58" i="45"/>
  <c r="AU132" i="45"/>
  <c r="AU49" i="45"/>
  <c r="AU21" i="45"/>
  <c r="AR17" i="45"/>
  <c r="AU29" i="45"/>
  <c r="AO15" i="45"/>
  <c r="AR15" i="45"/>
  <c r="AU147" i="45"/>
  <c r="AO140" i="45"/>
  <c r="AR49" i="45"/>
  <c r="AO144" i="45"/>
  <c r="AO19" i="45"/>
  <c r="AU15" i="45"/>
  <c r="AR43" i="45"/>
  <c r="AR22" i="45"/>
  <c r="AR16" i="45"/>
  <c r="AR29" i="45"/>
  <c r="AS30" i="45"/>
  <c r="AR169" i="45"/>
  <c r="AR145" i="45"/>
  <c r="AR140" i="45"/>
  <c r="AU69" i="45"/>
  <c r="AO29" i="45"/>
  <c r="AR20" i="45"/>
  <c r="AR18" i="45"/>
  <c r="AO184" i="45"/>
  <c r="AU194" i="45"/>
  <c r="AR184" i="45"/>
  <c r="AU150" i="45"/>
  <c r="AU191" i="45"/>
  <c r="AR69" i="45"/>
  <c r="AU145" i="45"/>
  <c r="AR132" i="45"/>
  <c r="AU45" i="45"/>
  <c r="AR19" i="45"/>
  <c r="AU22" i="45"/>
  <c r="AO190" i="45"/>
  <c r="AU196" i="45"/>
  <c r="AO169" i="45"/>
  <c r="AR149" i="45"/>
  <c r="AR164" i="45"/>
  <c r="AR40" i="45"/>
  <c r="AR123" i="45"/>
  <c r="AO20" i="45"/>
  <c r="AR58" i="45"/>
  <c r="AO31" i="45"/>
  <c r="AU43" i="45"/>
  <c r="AU19" i="45"/>
  <c r="AR185" i="45"/>
  <c r="AU140" i="45"/>
  <c r="AO151" i="45"/>
  <c r="AU20" i="45"/>
  <c r="AU164" i="45"/>
  <c r="AO138" i="45"/>
  <c r="AU124" i="45"/>
  <c r="AO56" i="45"/>
  <c r="AO58" i="45"/>
  <c r="AR24" i="45"/>
  <c r="AU28" i="45"/>
  <c r="P12" i="45"/>
  <c r="O131" i="45" l="1"/>
  <c r="O139" i="45" s="1"/>
  <c r="BS8" i="45"/>
  <c r="BT5" i="45"/>
  <c r="AO197" i="45"/>
  <c r="AU197" i="45"/>
  <c r="AR197" i="45"/>
  <c r="AQ198" i="45"/>
  <c r="AN198" i="45"/>
  <c r="AT198" i="45"/>
  <c r="AU30" i="45"/>
  <c r="AV30" i="45"/>
  <c r="T139" i="45"/>
  <c r="T198" i="45" s="1"/>
  <c r="R139" i="45"/>
  <c r="R198" i="45" s="1"/>
  <c r="Q141" i="45"/>
  <c r="L139" i="45"/>
  <c r="P124" i="45"/>
  <c r="P131" i="45" s="1"/>
  <c r="AC12" i="45"/>
  <c r="Z12" i="45"/>
  <c r="AI12" i="45"/>
  <c r="AF12" i="45"/>
  <c r="P5" i="45" l="1"/>
  <c r="R141" i="45"/>
  <c r="P139" i="45"/>
  <c r="P198" i="45" s="1"/>
  <c r="AS12" i="45"/>
  <c r="AK12" i="45"/>
  <c r="AE12" i="45"/>
  <c r="AH12" i="45"/>
  <c r="L141" i="45"/>
  <c r="L133" i="45"/>
  <c r="AF13" i="45"/>
  <c r="AH13" i="45" s="1"/>
  <c r="AI13" i="45"/>
  <c r="AK13" i="45" s="1"/>
  <c r="Z13" i="45"/>
  <c r="AB13" i="45" s="1"/>
  <c r="AC13" i="45"/>
  <c r="AE13" i="45" s="1"/>
  <c r="AM12" i="45"/>
  <c r="AB12" i="45"/>
  <c r="AP12" i="45"/>
  <c r="AV12" i="45" l="1"/>
  <c r="AI131" i="45"/>
  <c r="AI135" i="45" s="1"/>
  <c r="AK131" i="45"/>
  <c r="AK139" i="45" s="1"/>
  <c r="AK198" i="45" s="1"/>
  <c r="AH131" i="45"/>
  <c r="AH139" i="45" s="1"/>
  <c r="AH198" i="45" s="1"/>
  <c r="Z131" i="45"/>
  <c r="Z135" i="45" s="1"/>
  <c r="AE131" i="45"/>
  <c r="AE139" i="45" s="1"/>
  <c r="AE198" i="45" s="1"/>
  <c r="AC131" i="45"/>
  <c r="AB131" i="45"/>
  <c r="AB139" i="45" s="1"/>
  <c r="AB198" i="45" s="1"/>
  <c r="AF131" i="45"/>
  <c r="P141" i="45"/>
  <c r="AU12" i="45"/>
  <c r="AR12" i="45"/>
  <c r="AO12" i="45"/>
  <c r="AS13" i="45"/>
  <c r="AS5" i="45" s="1"/>
  <c r="AM13" i="45"/>
  <c r="AO13" i="45" s="1"/>
  <c r="AP13" i="45"/>
  <c r="AR13" i="45" s="1"/>
  <c r="G20" i="44"/>
  <c r="G19" i="44"/>
  <c r="AR5" i="45" l="1"/>
  <c r="AO5" i="45"/>
  <c r="AM5" i="45"/>
  <c r="AP5" i="45"/>
  <c r="AI139" i="45"/>
  <c r="AI198" i="45" s="1"/>
  <c r="AC135" i="45"/>
  <c r="AC139" i="45"/>
  <c r="AC198" i="45" s="1"/>
  <c r="AF139" i="45"/>
  <c r="AF198" i="45" s="1"/>
  <c r="AF135" i="45"/>
  <c r="AP131" i="45"/>
  <c r="AR131" i="45" s="1"/>
  <c r="Z139" i="45"/>
  <c r="AM131" i="45"/>
  <c r="AO131" i="45" s="1"/>
  <c r="AU13" i="45"/>
  <c r="AU131" i="45" s="1"/>
  <c r="AV13" i="45"/>
  <c r="AS131" i="45"/>
  <c r="AV131" i="45" s="1"/>
  <c r="G13" i="44"/>
  <c r="I65" i="44"/>
  <c r="AU5" i="45" l="1"/>
  <c r="X135" i="45"/>
  <c r="AS139" i="45"/>
  <c r="AM139" i="45"/>
  <c r="AO139" i="45" s="1"/>
  <c r="AP139" i="45"/>
  <c r="AR139" i="45" s="1"/>
  <c r="Z198" i="45"/>
  <c r="J23" i="44"/>
  <c r="J11" i="44"/>
  <c r="G39" i="44"/>
  <c r="H39" i="44" s="1"/>
  <c r="H23" i="44"/>
  <c r="H11" i="44"/>
  <c r="AP198" i="45" l="1"/>
  <c r="AR198" i="45" s="1"/>
  <c r="AS198" i="45"/>
  <c r="AM198" i="45"/>
  <c r="AO198" i="45" s="1"/>
  <c r="AU139" i="45"/>
  <c r="AV139" i="45"/>
  <c r="G38" i="44"/>
  <c r="G31" i="44"/>
  <c r="G45" i="44" s="1"/>
  <c r="AU198" i="45" l="1"/>
  <c r="I39" i="44"/>
  <c r="J39" i="44" s="1"/>
  <c r="K23" i="44" l="1"/>
  <c r="L23" i="44" s="1"/>
  <c r="K11" i="44"/>
  <c r="L11" i="44" s="1"/>
  <c r="K39" i="44" l="1"/>
  <c r="L39" i="44" s="1"/>
  <c r="K13" i="44" l="1"/>
  <c r="L94" i="44" l="1"/>
  <c r="J94" i="44"/>
  <c r="H94" i="44"/>
  <c r="I88" i="44"/>
  <c r="I94" i="44" s="1"/>
  <c r="K88" i="44"/>
  <c r="K94" i="44" s="1"/>
  <c r="G88" i="44"/>
  <c r="G94" i="44" s="1"/>
  <c r="K50" i="44"/>
  <c r="I50" i="44"/>
  <c r="G50" i="44"/>
  <c r="L33" i="44"/>
  <c r="J33" i="44"/>
  <c r="H33" i="44"/>
  <c r="K27" i="44"/>
  <c r="I27" i="44"/>
  <c r="K24" i="44"/>
  <c r="K45" i="44" l="1"/>
  <c r="K51" i="44" s="1"/>
  <c r="J45" i="44"/>
  <c r="I92" i="44" s="1"/>
  <c r="H45" i="44"/>
  <c r="G92" i="44" s="1"/>
  <c r="L45" i="44"/>
  <c r="K92" i="44" s="1"/>
  <c r="I45" i="44"/>
  <c r="M11" i="43"/>
  <c r="G11" i="43"/>
  <c r="H11" i="43" s="1"/>
  <c r="G36" i="43"/>
  <c r="H22" i="43"/>
  <c r="K89" i="44" l="1"/>
  <c r="K53" i="44"/>
  <c r="G51" i="44"/>
  <c r="G53" i="44" s="1"/>
  <c r="I51" i="44"/>
  <c r="K11" i="43"/>
  <c r="L11" i="43" s="1"/>
  <c r="K36" i="43"/>
  <c r="L22" i="43"/>
  <c r="I11" i="43"/>
  <c r="J11" i="43" s="1"/>
  <c r="I36" i="43"/>
  <c r="J22" i="43"/>
  <c r="I89" i="44" l="1"/>
  <c r="I53" i="44"/>
  <c r="G89" i="44"/>
  <c r="L82" i="43"/>
  <c r="J82" i="43"/>
  <c r="H82" i="43"/>
  <c r="K56" i="43"/>
  <c r="K76" i="43" s="1"/>
  <c r="K82" i="43" s="1"/>
  <c r="I56" i="43"/>
  <c r="I76" i="43" s="1"/>
  <c r="I82" i="43" s="1"/>
  <c r="G56" i="43"/>
  <c r="G76" i="43" s="1"/>
  <c r="G82" i="43" s="1"/>
  <c r="K44" i="43"/>
  <c r="I44" i="43"/>
  <c r="G44" i="43"/>
  <c r="K32" i="43"/>
  <c r="L32" i="43" s="1"/>
  <c r="I32" i="43"/>
  <c r="J32" i="43" s="1"/>
  <c r="G32" i="43"/>
  <c r="H32" i="43" s="1"/>
  <c r="K31" i="43"/>
  <c r="I31" i="43"/>
  <c r="G31" i="43"/>
  <c r="K30" i="43"/>
  <c r="I30" i="43"/>
  <c r="G30" i="43"/>
  <c r="K26" i="43"/>
  <c r="I26" i="43"/>
  <c r="G26" i="43"/>
  <c r="K23" i="43"/>
  <c r="I23" i="43"/>
  <c r="G23" i="43"/>
  <c r="G39" i="43" l="1"/>
  <c r="G45" i="43" s="1"/>
  <c r="J39" i="43"/>
  <c r="K39" i="43"/>
  <c r="K41" i="43" s="1"/>
  <c r="H39" i="43"/>
  <c r="L39" i="43"/>
  <c r="I39" i="43"/>
  <c r="G41" i="43" l="1"/>
  <c r="G77" i="43"/>
  <c r="K45" i="43"/>
  <c r="K77" i="43" s="1"/>
  <c r="I45" i="43"/>
  <c r="I77" i="43" s="1"/>
  <c r="I41" i="43"/>
  <c r="I11" i="42"/>
  <c r="K11" i="42"/>
  <c r="G11" i="42"/>
  <c r="H11" i="42" s="1"/>
  <c r="K32" i="42"/>
  <c r="I32" i="42"/>
  <c r="G31" i="42"/>
  <c r="G57" i="42"/>
  <c r="G32" i="42"/>
  <c r="K57" i="42"/>
  <c r="I57" i="42"/>
  <c r="H83" i="42"/>
  <c r="J83" i="42"/>
  <c r="L83" i="42"/>
  <c r="K27" i="42" l="1"/>
  <c r="I27" i="42"/>
  <c r="G27" i="42"/>
  <c r="K33" i="42" l="1"/>
  <c r="I33" i="42"/>
  <c r="G33" i="42"/>
  <c r="H33" i="42" s="1"/>
  <c r="K37" i="42"/>
  <c r="I37" i="42"/>
  <c r="G37" i="42"/>
  <c r="L22" i="42"/>
  <c r="J22" i="42"/>
  <c r="H22" i="42"/>
  <c r="L11" i="42"/>
  <c r="J11" i="42"/>
  <c r="L33" i="42" l="1"/>
  <c r="J33" i="42" l="1"/>
  <c r="J40" i="42" l="1"/>
  <c r="L40" i="42"/>
  <c r="H40" i="42"/>
  <c r="I77" i="42"/>
  <c r="I83" i="42" s="1"/>
  <c r="K77" i="42"/>
  <c r="K83" i="42" s="1"/>
  <c r="G77" i="42"/>
  <c r="G83" i="42" s="1"/>
  <c r="I31" i="42" l="1"/>
  <c r="K31" i="42"/>
  <c r="I24" i="42" l="1"/>
  <c r="K24" i="42"/>
  <c r="K40" i="42" s="1"/>
  <c r="K42" i="42" s="1"/>
  <c r="G24" i="42"/>
  <c r="K45" i="42" l="1"/>
  <c r="I45" i="42"/>
  <c r="G45" i="42"/>
  <c r="G40" i="42"/>
  <c r="G42" i="42" l="1"/>
  <c r="M36" i="42"/>
  <c r="K46" i="42"/>
  <c r="I40" i="42"/>
  <c r="I42" i="42" s="1"/>
  <c r="G46" i="42"/>
  <c r="G78" i="42" s="1"/>
  <c r="H38" i="36"/>
  <c r="H40" i="36"/>
  <c r="I44" i="41"/>
  <c r="I46" i="41"/>
  <c r="I46" i="42" l="1"/>
  <c r="I78" i="42" s="1"/>
  <c r="K78" i="42"/>
  <c r="G44" i="36"/>
  <c r="I40" i="36"/>
  <c r="I42" i="36"/>
  <c r="I43" i="36"/>
  <c r="H41" i="36"/>
  <c r="I41" i="36" s="1"/>
  <c r="H39" i="36"/>
  <c r="I39" i="36" s="1"/>
  <c r="I38" i="36"/>
  <c r="I44" i="36" l="1"/>
  <c r="H44" i="36"/>
  <c r="G36" i="36"/>
  <c r="I34" i="36"/>
  <c r="I35" i="36"/>
  <c r="I32" i="36"/>
  <c r="I33" i="36"/>
  <c r="I29" i="36"/>
  <c r="I30" i="36"/>
  <c r="I31" i="36"/>
  <c r="H28" i="36"/>
  <c r="I28" i="36" s="1"/>
  <c r="H36" i="36" l="1"/>
  <c r="H23" i="36" l="1"/>
  <c r="H45" i="36" s="1"/>
  <c r="G23" i="36"/>
  <c r="G45" i="36" s="1"/>
  <c r="I21" i="36"/>
  <c r="I20" i="36"/>
  <c r="I19" i="36"/>
  <c r="I22" i="36"/>
  <c r="I18" i="36"/>
  <c r="I23" i="36" l="1"/>
  <c r="H14" i="36"/>
  <c r="G14" i="36"/>
  <c r="I11" i="36"/>
  <c r="I47" i="41" l="1"/>
  <c r="G54" i="41" l="1"/>
  <c r="I45" i="41" l="1"/>
  <c r="I54" i="41" s="1"/>
  <c r="I64" i="41" l="1"/>
  <c r="I68" i="41"/>
  <c r="I13" i="36" l="1"/>
  <c r="J18" i="41" l="1"/>
  <c r="I22" i="41" l="1"/>
  <c r="J45" i="41" l="1"/>
  <c r="J47" i="41"/>
  <c r="J46" i="41"/>
  <c r="J44" i="41"/>
  <c r="J48" i="41" l="1"/>
  <c r="J50" i="41"/>
  <c r="J52" i="41"/>
  <c r="I75" i="41"/>
  <c r="H75" i="41"/>
  <c r="G75" i="41"/>
  <c r="J74" i="41"/>
  <c r="J73" i="41"/>
  <c r="J72" i="41"/>
  <c r="J71" i="41"/>
  <c r="J70" i="41"/>
  <c r="J69" i="41"/>
  <c r="L68" i="41"/>
  <c r="K68" i="41"/>
  <c r="K75" i="41" s="1"/>
  <c r="J68" i="41"/>
  <c r="J67" i="41"/>
  <c r="L66" i="41"/>
  <c r="J66" i="41"/>
  <c r="J65" i="41"/>
  <c r="J64" i="41"/>
  <c r="J63" i="41"/>
  <c r="J62" i="41"/>
  <c r="J61" i="41"/>
  <c r="J60" i="41"/>
  <c r="J59" i="41"/>
  <c r="J58" i="41"/>
  <c r="J57" i="41"/>
  <c r="L54" i="41"/>
  <c r="K54" i="41"/>
  <c r="H54" i="41"/>
  <c r="J53" i="41"/>
  <c r="J51" i="41"/>
  <c r="J49" i="41"/>
  <c r="I42" i="41"/>
  <c r="H42" i="41"/>
  <c r="G42" i="41"/>
  <c r="O41" i="41"/>
  <c r="J41" i="41"/>
  <c r="J40" i="41"/>
  <c r="J39" i="41"/>
  <c r="J38" i="41"/>
  <c r="J37" i="41"/>
  <c r="J36" i="41"/>
  <c r="J35" i="41"/>
  <c r="J34" i="41"/>
  <c r="J33" i="41"/>
  <c r="J32" i="41"/>
  <c r="J31" i="41"/>
  <c r="L30" i="41"/>
  <c r="J30" i="41"/>
  <c r="J29" i="41"/>
  <c r="J28" i="41"/>
  <c r="J27" i="41"/>
  <c r="J26" i="41"/>
  <c r="K25" i="41"/>
  <c r="J25" i="41"/>
  <c r="J24" i="41"/>
  <c r="J23" i="41"/>
  <c r="J22" i="41"/>
  <c r="J21" i="41"/>
  <c r="J20" i="41"/>
  <c r="J19" i="41"/>
  <c r="J17" i="41"/>
  <c r="J16" i="41"/>
  <c r="L15" i="41"/>
  <c r="L42" i="41" s="1"/>
  <c r="K15" i="41"/>
  <c r="J15" i="41"/>
  <c r="J14" i="41"/>
  <c r="J13" i="41"/>
  <c r="J12" i="41"/>
  <c r="J11" i="41"/>
  <c r="L75" i="41" l="1"/>
  <c r="L55" i="41"/>
  <c r="J54" i="41"/>
  <c r="P41" i="41"/>
  <c r="J75" i="41"/>
  <c r="K42" i="41"/>
  <c r="K55" i="41" s="1"/>
  <c r="K76" i="41" s="1"/>
  <c r="H55" i="41"/>
  <c r="H76" i="41" s="1"/>
  <c r="J42" i="41"/>
  <c r="G55" i="41"/>
  <c r="G76" i="41" s="1"/>
  <c r="I55" i="41"/>
  <c r="I76" i="41" s="1"/>
  <c r="L76" i="41" l="1"/>
  <c r="J55" i="41"/>
  <c r="J76" i="41" s="1"/>
  <c r="I49" i="40"/>
  <c r="J44" i="40"/>
  <c r="J45" i="40"/>
  <c r="J46" i="40"/>
  <c r="J47" i="40"/>
  <c r="J48" i="40"/>
  <c r="J43" i="40"/>
  <c r="I70" i="40"/>
  <c r="H70" i="40"/>
  <c r="G70" i="40"/>
  <c r="J69" i="40"/>
  <c r="J68" i="40"/>
  <c r="J67" i="40"/>
  <c r="J66" i="40"/>
  <c r="J65" i="40"/>
  <c r="J64" i="40"/>
  <c r="L63" i="40"/>
  <c r="K63" i="40"/>
  <c r="K70" i="40" s="1"/>
  <c r="J63" i="40"/>
  <c r="J62" i="40"/>
  <c r="L61" i="40"/>
  <c r="L70" i="40" s="1"/>
  <c r="J61" i="40"/>
  <c r="J60" i="40"/>
  <c r="J59" i="40"/>
  <c r="J58" i="40"/>
  <c r="J57" i="40"/>
  <c r="J56" i="40"/>
  <c r="J55" i="40"/>
  <c r="J54" i="40"/>
  <c r="J53" i="40"/>
  <c r="J52" i="40"/>
  <c r="L49" i="40"/>
  <c r="K49" i="40"/>
  <c r="H49" i="40"/>
  <c r="G49" i="40"/>
  <c r="I41" i="40"/>
  <c r="H41" i="40"/>
  <c r="G41" i="40"/>
  <c r="O40" i="40"/>
  <c r="J40" i="40"/>
  <c r="J39" i="40"/>
  <c r="J38" i="40"/>
  <c r="J37" i="40"/>
  <c r="J36" i="40"/>
  <c r="J35" i="40"/>
  <c r="J34" i="40"/>
  <c r="J33" i="40"/>
  <c r="J32" i="40"/>
  <c r="J31" i="40"/>
  <c r="J30" i="40"/>
  <c r="L29" i="40"/>
  <c r="J29" i="40"/>
  <c r="J28" i="40"/>
  <c r="J27" i="40"/>
  <c r="J26" i="40"/>
  <c r="J25" i="40"/>
  <c r="K24" i="40"/>
  <c r="J24" i="40"/>
  <c r="J23" i="40"/>
  <c r="J22" i="40"/>
  <c r="J21" i="40"/>
  <c r="J20" i="40"/>
  <c r="J19" i="40"/>
  <c r="J18" i="40"/>
  <c r="J17" i="40"/>
  <c r="J16" i="40"/>
  <c r="L15" i="40"/>
  <c r="L41" i="40" s="1"/>
  <c r="K15" i="40"/>
  <c r="J15" i="40"/>
  <c r="J14" i="40"/>
  <c r="J13" i="40"/>
  <c r="J12" i="40"/>
  <c r="J11" i="40"/>
  <c r="K41" i="40" l="1"/>
  <c r="L50" i="40"/>
  <c r="L71" i="40" s="1"/>
  <c r="G50" i="40"/>
  <c r="G71" i="40" s="1"/>
  <c r="H50" i="40"/>
  <c r="H71" i="40" s="1"/>
  <c r="K50" i="40"/>
  <c r="K71" i="40" s="1"/>
  <c r="J49" i="40"/>
  <c r="I50" i="40"/>
  <c r="I71" i="40" s="1"/>
  <c r="P40" i="40"/>
  <c r="J41" i="40"/>
  <c r="J70" i="40"/>
  <c r="J50" i="40" l="1"/>
  <c r="J71" i="40" s="1"/>
  <c r="J23" i="34" l="1"/>
  <c r="I27" i="36" l="1"/>
  <c r="J49" i="34"/>
  <c r="J50" i="34"/>
  <c r="J51" i="34"/>
  <c r="J52" i="34"/>
  <c r="J53" i="34"/>
  <c r="J54" i="34"/>
  <c r="J56" i="34"/>
  <c r="J57" i="34"/>
  <c r="J58" i="34"/>
  <c r="J60" i="34"/>
  <c r="J61" i="34"/>
  <c r="J63" i="34"/>
  <c r="J64" i="34"/>
  <c r="J65" i="34"/>
  <c r="I25" i="36" l="1"/>
  <c r="I26" i="36" l="1"/>
  <c r="I36" i="36" s="1"/>
  <c r="I45" i="36" s="1"/>
  <c r="O40" i="34" l="1"/>
  <c r="H41" i="34" l="1"/>
  <c r="I41" i="34"/>
  <c r="P40" i="34" s="1"/>
  <c r="G41" i="34"/>
  <c r="J38" i="34"/>
  <c r="J12" i="34" l="1"/>
  <c r="J13" i="34"/>
  <c r="J14" i="34"/>
  <c r="J15" i="34"/>
  <c r="J16" i="34"/>
  <c r="J17" i="34"/>
  <c r="J18" i="34"/>
  <c r="J19" i="34"/>
  <c r="J20" i="34"/>
  <c r="J21" i="34"/>
  <c r="J22" i="34"/>
  <c r="J24" i="34"/>
  <c r="J25" i="34"/>
  <c r="J26" i="34"/>
  <c r="J27" i="34"/>
  <c r="J28" i="34"/>
  <c r="J29" i="34"/>
  <c r="J30" i="34"/>
  <c r="J31" i="34"/>
  <c r="J32" i="34"/>
  <c r="J33" i="34"/>
  <c r="J34" i="34"/>
  <c r="J35" i="34"/>
  <c r="J36" i="34"/>
  <c r="J37" i="34"/>
  <c r="J39" i="34"/>
  <c r="J40" i="34"/>
  <c r="J11" i="34"/>
  <c r="I12" i="36" l="1"/>
  <c r="I14" i="36" s="1"/>
  <c r="H16" i="33" l="1"/>
  <c r="G18" i="35" l="1"/>
  <c r="G17" i="35"/>
  <c r="G16" i="35"/>
  <c r="I16" i="35" s="1"/>
  <c r="H19" i="35" l="1"/>
  <c r="I18" i="35"/>
  <c r="I17" i="35"/>
  <c r="I12" i="35"/>
  <c r="G48" i="34" l="1"/>
  <c r="J48" i="34" s="1"/>
  <c r="H66" i="34" l="1"/>
  <c r="I66" i="34"/>
  <c r="H45" i="34"/>
  <c r="I45" i="34"/>
  <c r="I46" i="34" s="1"/>
  <c r="J45" i="34"/>
  <c r="J41" i="34"/>
  <c r="G59" i="34"/>
  <c r="J59" i="34" s="1"/>
  <c r="G55" i="34"/>
  <c r="J55" i="34" s="1"/>
  <c r="I67" i="34" l="1"/>
  <c r="H46" i="34"/>
  <c r="H67" i="34" s="1"/>
  <c r="J46" i="34"/>
  <c r="G62" i="34"/>
  <c r="J62" i="34" s="1"/>
  <c r="J66" i="34" s="1"/>
  <c r="L59" i="34"/>
  <c r="K59" i="34"/>
  <c r="K66" i="34" s="1"/>
  <c r="L57" i="34"/>
  <c r="L45" i="34"/>
  <c r="K45" i="34"/>
  <c r="G45" i="34"/>
  <c r="G46" i="34" s="1"/>
  <c r="L29" i="34"/>
  <c r="K24" i="34"/>
  <c r="L15" i="34"/>
  <c r="K15" i="34"/>
  <c r="K41" i="34" l="1"/>
  <c r="K46" i="34" s="1"/>
  <c r="L41" i="34"/>
  <c r="G66" i="34"/>
  <c r="G67" i="34" s="1"/>
  <c r="L66" i="34"/>
  <c r="J67" i="34"/>
  <c r="K67" i="34"/>
  <c r="L46" i="34"/>
  <c r="I57" i="33"/>
  <c r="L41" i="33"/>
  <c r="L67" i="34" l="1"/>
  <c r="I23" i="33"/>
  <c r="I23" i="32"/>
  <c r="I22" i="32"/>
  <c r="H23" i="32"/>
  <c r="H22" i="32"/>
  <c r="H60" i="33" l="1"/>
  <c r="J57" i="33"/>
  <c r="I64" i="33"/>
  <c r="H57" i="33"/>
  <c r="J55" i="33"/>
  <c r="J43" i="33"/>
  <c r="I43" i="33"/>
  <c r="H43" i="33"/>
  <c r="J28" i="33"/>
  <c r="H28" i="33"/>
  <c r="H23" i="33"/>
  <c r="H39" i="33" s="1"/>
  <c r="J16" i="33"/>
  <c r="I16" i="33"/>
  <c r="I39" i="33" s="1"/>
  <c r="G42" i="32"/>
  <c r="H42" i="32"/>
  <c r="I42" i="32"/>
  <c r="H64" i="33" l="1"/>
  <c r="J39" i="33"/>
  <c r="J44" i="33" s="1"/>
  <c r="I44" i="33"/>
  <c r="I65" i="33" s="1"/>
  <c r="J64" i="33"/>
  <c r="J65" i="33" s="1"/>
  <c r="H44" i="33"/>
  <c r="H65" i="33" s="1"/>
  <c r="I54" i="32"/>
  <c r="I56" i="32"/>
  <c r="H58" i="32"/>
  <c r="I63" i="32" l="1"/>
  <c r="H56" i="32"/>
  <c r="H63" i="32" s="1"/>
  <c r="G56" i="32"/>
  <c r="G22" i="32"/>
  <c r="I15" i="32" l="1"/>
  <c r="H15" i="32"/>
  <c r="G15" i="32"/>
  <c r="G27" i="32"/>
  <c r="G59" i="32" l="1"/>
  <c r="G63" i="32" s="1"/>
  <c r="I27" i="32" l="1"/>
  <c r="I38" i="32" s="1"/>
  <c r="H38" i="32"/>
  <c r="H43" i="32" s="1"/>
  <c r="H64" i="32" s="1"/>
  <c r="G38" i="32"/>
  <c r="G43" i="32" l="1"/>
  <c r="G64" i="32" s="1"/>
  <c r="I43" i="32"/>
  <c r="I64" i="32" s="1"/>
  <c r="I28" i="28"/>
  <c r="H28" i="28"/>
  <c r="G33" i="28"/>
  <c r="G28" i="28"/>
  <c r="I22" i="28" l="1"/>
  <c r="H22" i="28"/>
  <c r="G22" i="28"/>
  <c r="I33" i="28" l="1"/>
  <c r="H33" i="28" l="1"/>
  <c r="G45" i="28" l="1"/>
  <c r="I72" i="28" l="1"/>
  <c r="H72" i="28"/>
  <c r="G72" i="28"/>
  <c r="I48" i="28"/>
  <c r="H48" i="28"/>
  <c r="G48" i="28"/>
  <c r="G49" i="28" s="1"/>
  <c r="I45" i="28"/>
  <c r="H45" i="28"/>
  <c r="G73" i="28" l="1"/>
  <c r="I49" i="28"/>
  <c r="I73" i="28" s="1"/>
  <c r="H49" i="28"/>
  <c r="H73" i="28" s="1"/>
  <c r="N54" i="27"/>
  <c r="O24" i="27"/>
  <c r="L24" i="27"/>
  <c r="O11" i="27" l="1"/>
  <c r="L11" i="27"/>
  <c r="Q54" i="27" l="1"/>
  <c r="R54" i="27" s="1"/>
  <c r="N29" i="27"/>
  <c r="N59" i="27"/>
  <c r="N58" i="27"/>
  <c r="N53" i="27"/>
  <c r="N52" i="27"/>
  <c r="N35" i="27"/>
  <c r="N30" i="27"/>
  <c r="O68" i="27"/>
  <c r="M68" i="27"/>
  <c r="L68" i="27"/>
  <c r="J68" i="27"/>
  <c r="I68" i="27"/>
  <c r="G68" i="27"/>
  <c r="N66" i="27"/>
  <c r="K66" i="27"/>
  <c r="H66" i="27"/>
  <c r="N65" i="27"/>
  <c r="K65" i="27"/>
  <c r="H65" i="27"/>
  <c r="K59" i="27"/>
  <c r="H59" i="27"/>
  <c r="K58" i="27"/>
  <c r="P56" i="27"/>
  <c r="N55" i="27"/>
  <c r="K55" i="27"/>
  <c r="H55" i="27"/>
  <c r="K53" i="27"/>
  <c r="H53" i="27"/>
  <c r="K52" i="27"/>
  <c r="H52" i="27"/>
  <c r="N50" i="27"/>
  <c r="K50" i="27"/>
  <c r="H50" i="27"/>
  <c r="R47" i="27"/>
  <c r="O44" i="27"/>
  <c r="N44" i="27"/>
  <c r="M44" i="27"/>
  <c r="L44" i="27"/>
  <c r="K44" i="27"/>
  <c r="J44" i="27"/>
  <c r="I44" i="27"/>
  <c r="G44" i="27"/>
  <c r="H44" i="27"/>
  <c r="K35" i="27"/>
  <c r="H35" i="27"/>
  <c r="N31" i="27"/>
  <c r="K31" i="27"/>
  <c r="H31" i="27"/>
  <c r="M30" i="27"/>
  <c r="K30" i="27"/>
  <c r="H30" i="27"/>
  <c r="K29" i="27"/>
  <c r="H29" i="27"/>
  <c r="N28" i="27"/>
  <c r="O38" i="27"/>
  <c r="O45" i="27" s="1"/>
  <c r="O69" i="27" s="1"/>
  <c r="N22" i="27"/>
  <c r="K22" i="27"/>
  <c r="H22" i="27"/>
  <c r="N14" i="27"/>
  <c r="K14" i="27"/>
  <c r="H14" i="27"/>
  <c r="H23" i="27" s="1"/>
  <c r="M13" i="27"/>
  <c r="M38" i="27" s="1"/>
  <c r="M45" i="27" s="1"/>
  <c r="M69" i="27" s="1"/>
  <c r="J13" i="27"/>
  <c r="J38" i="27" s="1"/>
  <c r="J45" i="27" s="1"/>
  <c r="J69" i="27" s="1"/>
  <c r="G13" i="27"/>
  <c r="G38" i="27" s="1"/>
  <c r="G45" i="27" s="1"/>
  <c r="L38" i="27"/>
  <c r="I38" i="27"/>
  <c r="I45" i="27" s="1"/>
  <c r="I69" i="27" s="1"/>
  <c r="H11" i="27"/>
  <c r="G69" i="27" l="1"/>
  <c r="H38" i="27"/>
  <c r="H68" i="27"/>
  <c r="K68" i="27"/>
  <c r="N23" i="27"/>
  <c r="N38" i="27" s="1"/>
  <c r="N45" i="27" s="1"/>
  <c r="K23" i="27"/>
  <c r="K38" i="27" s="1"/>
  <c r="K45" i="27" s="1"/>
  <c r="L45" i="27"/>
  <c r="L69" i="27" s="1"/>
  <c r="H45" i="27"/>
  <c r="H69" i="27" s="1"/>
  <c r="N68" i="27"/>
  <c r="P70" i="27" s="1"/>
  <c r="Q56" i="27"/>
  <c r="Q55" i="27"/>
  <c r="R56" i="27"/>
  <c r="K69" i="27" l="1"/>
  <c r="N69" i="27"/>
  <c r="L191" i="45"/>
  <c r="AV191" i="45" s="1"/>
  <c r="AV5" i="45" s="1"/>
  <c r="L5" i="45" l="1"/>
  <c r="L197" i="45"/>
  <c r="O5" i="45" l="1"/>
  <c r="O197" i="45"/>
  <c r="O198" i="45" s="1"/>
  <c r="L200" i="45"/>
  <c r="AV197" i="45"/>
  <c r="L198" i="45"/>
  <c r="AV198" i="45" s="1"/>
  <c r="G32" i="52" l="1"/>
  <c r="BP57" i="54"/>
  <c r="BP170" i="54" s="1"/>
  <c r="BH57" i="54"/>
  <c r="BH170" i="54" s="1"/>
  <c r="BD57" i="54"/>
  <c r="BD170" i="54" s="1"/>
  <c r="BS57" i="54"/>
  <c r="BS170" i="54" s="1"/>
  <c r="BI57" i="54"/>
  <c r="BI170" i="54" s="1"/>
  <c r="BB57" i="54"/>
  <c r="BB170" i="54" s="1"/>
  <c r="BL57" i="54"/>
  <c r="BL170" i="54" s="1"/>
  <c r="BE57" i="54"/>
  <c r="BE170" i="54" s="1"/>
  <c r="BQ57" i="54"/>
  <c r="BQ170" i="54" s="1"/>
  <c r="BR57" i="54"/>
  <c r="BR170" i="54" s="1"/>
  <c r="BN57" i="54"/>
  <c r="BN170" i="54" s="1"/>
  <c r="BF57" i="54"/>
  <c r="BF170" i="54" s="1"/>
  <c r="BK57" i="54"/>
  <c r="BK170" i="54" s="1"/>
  <c r="BA57" i="54"/>
  <c r="BA170" i="54" s="1"/>
  <c r="BM57" i="54"/>
  <c r="BM170" i="54" s="1"/>
  <c r="AX57" i="54"/>
  <c r="AX170" i="54" s="1"/>
  <c r="BJ57" i="54"/>
  <c r="BJ170" i="54" s="1"/>
  <c r="AZ57" i="54"/>
  <c r="AZ170" i="54" s="1"/>
  <c r="BG57" i="54"/>
  <c r="BG170" i="54" s="1"/>
  <c r="Q57" i="54"/>
  <c r="Q170" i="54" s="1"/>
  <c r="AY57" i="54"/>
  <c r="AY170" i="54" s="1"/>
  <c r="BO57" i="54"/>
  <c r="BO170" i="54" s="1"/>
  <c r="L57" i="54"/>
  <c r="BC57" i="54"/>
  <c r="BC170" i="54" s="1"/>
  <c r="S57" i="54"/>
  <c r="S170" i="54" s="1"/>
  <c r="AW57" i="54"/>
  <c r="AW170" i="54" s="1"/>
  <c r="AW5" i="54" l="1"/>
  <c r="BO5" i="54"/>
  <c r="BO172" i="54"/>
  <c r="AZ172" i="54"/>
  <c r="BA172" i="54"/>
  <c r="BR5" i="54"/>
  <c r="BR172" i="54"/>
  <c r="BB172" i="54"/>
  <c r="BH5" i="54"/>
  <c r="BH172" i="54"/>
  <c r="BC5" i="54"/>
  <c r="BC172" i="54"/>
  <c r="Q5" i="54"/>
  <c r="BG172" i="54"/>
  <c r="BM5" i="54"/>
  <c r="BM172" i="54"/>
  <c r="BN172" i="54"/>
  <c r="BL5" i="54"/>
  <c r="S5" i="54"/>
  <c r="S172" i="54"/>
  <c r="AY5" i="54"/>
  <c r="AY172" i="54"/>
  <c r="BJ5" i="54"/>
  <c r="BJ172" i="54"/>
  <c r="BK172" i="54"/>
  <c r="BQ5" i="54"/>
  <c r="BQ172" i="54"/>
  <c r="BI172" i="54"/>
  <c r="BP172" i="54"/>
  <c r="BF5" i="54"/>
  <c r="BF172" i="54"/>
  <c r="BE172" i="54"/>
  <c r="BS172" i="54"/>
  <c r="BE5" i="54"/>
  <c r="Z57" i="54"/>
  <c r="O57" i="54"/>
  <c r="O170" i="54" s="1"/>
  <c r="BK5" i="54"/>
  <c r="AF57" i="54"/>
  <c r="L170" i="54"/>
  <c r="L178" i="54" s="1"/>
  <c r="L180" i="54" s="1"/>
  <c r="AA57" i="54"/>
  <c r="BI5" i="54"/>
  <c r="AG57" i="54"/>
  <c r="AD57" i="54"/>
  <c r="BG5" i="54"/>
  <c r="BB5" i="54"/>
  <c r="AJ57" i="54"/>
  <c r="AZ5" i="54"/>
  <c r="AX172" i="54"/>
  <c r="BA5" i="54"/>
  <c r="BL172" i="54"/>
  <c r="BS5" i="54"/>
  <c r="BN5" i="54"/>
  <c r="BP5" i="54"/>
  <c r="BD5" i="54"/>
  <c r="AW172" i="54"/>
  <c r="AC57" i="54"/>
  <c r="AI57" i="54"/>
  <c r="BD172" i="54"/>
  <c r="AX5" i="54"/>
  <c r="AE57" i="54" l="1"/>
  <c r="S178" i="54"/>
  <c r="S299" i="54" s="1"/>
  <c r="AK57" i="54"/>
  <c r="AQ57" i="54"/>
  <c r="AQ170" i="54" s="1"/>
  <c r="AN57" i="54"/>
  <c r="AN170" i="54" s="1"/>
  <c r="O178" i="54"/>
  <c r="AT57" i="54"/>
  <c r="AT170" i="54" s="1"/>
  <c r="AS57" i="54"/>
  <c r="AS170" i="54" s="1"/>
  <c r="AB57" i="54"/>
  <c r="AH57" i="54"/>
  <c r="L172" i="54"/>
  <c r="Q172" i="54"/>
  <c r="Q178" i="54"/>
  <c r="AP57" i="54"/>
  <c r="AP170" i="54" s="1"/>
  <c r="AM57" i="54"/>
  <c r="AM170" i="54" s="1"/>
  <c r="AT178" i="54" l="1"/>
  <c r="AT299" i="54" s="1"/>
  <c r="AS178" i="54"/>
  <c r="AS299" i="54" s="1"/>
  <c r="AN5" i="54"/>
  <c r="AS5" i="54"/>
  <c r="AT5" i="54"/>
  <c r="AQ5" i="54"/>
  <c r="S180" i="54"/>
  <c r="AV57" i="54"/>
  <c r="O172" i="54"/>
  <c r="AU57" i="54"/>
  <c r="AU170" i="54" s="1"/>
  <c r="Q299" i="54"/>
  <c r="Q180" i="54"/>
  <c r="AO57" i="54"/>
  <c r="AO170" i="54" s="1"/>
  <c r="AM5" i="54"/>
  <c r="AR57" i="54"/>
  <c r="AR170" i="54" s="1"/>
  <c r="AP5" i="54"/>
  <c r="AV170" i="54" l="1"/>
  <c r="AV178" i="54" s="1"/>
  <c r="AU5" i="54"/>
  <c r="AU178" i="54"/>
  <c r="AU299" i="54" s="1"/>
  <c r="AR5" i="54"/>
  <c r="AO5" i="54"/>
  <c r="L5" i="54"/>
  <c r="O294" i="54"/>
  <c r="O298" i="54" s="1"/>
  <c r="L299" i="54"/>
  <c r="AV294" i="54"/>
  <c r="AV298" i="54" s="1"/>
  <c r="O5" i="54" l="1"/>
  <c r="L303" i="54"/>
  <c r="AV299" i="54"/>
  <c r="O301" i="54"/>
  <c r="O299" i="54"/>
  <c r="O302" i="54"/>
  <c r="L301" i="54"/>
  <c r="AV5" i="54"/>
  <c r="L302" i="54"/>
  <c r="L218" i="60"/>
  <c r="L5" i="60" s="1"/>
  <c r="L237" i="60" l="1"/>
  <c r="L240" i="60" s="1"/>
  <c r="L7" i="60" s="1"/>
  <c r="L238" i="60" l="1"/>
  <c r="L385" i="60" s="1"/>
  <c r="L389" i="60" s="1"/>
  <c r="L391" i="60" l="1"/>
  <c r="L390" i="60"/>
  <c r="AV222" i="60" l="1"/>
  <c r="AP222" i="60"/>
  <c r="AM222" i="60"/>
  <c r="AN222" i="60"/>
  <c r="AQ222" i="60"/>
  <c r="AO222" i="60" l="1"/>
  <c r="AR222" i="60"/>
  <c r="AN226" i="60"/>
  <c r="AM226" i="60" l="1"/>
  <c r="AO226" i="60" s="1"/>
  <c r="AP226" i="60"/>
  <c r="AQ226" i="60"/>
  <c r="AR226" i="60" l="1"/>
  <c r="AV226" i="60"/>
  <c r="Q218" i="60"/>
  <c r="Q5" i="60" s="1"/>
  <c r="S218" i="60"/>
  <c r="S5" i="60" s="1"/>
  <c r="S237" i="60" l="1"/>
  <c r="S240" i="60" s="1"/>
  <c r="S7" i="60" s="1"/>
  <c r="Q237" i="60"/>
  <c r="Q240" i="60" s="1"/>
  <c r="Q7" i="60" s="1"/>
  <c r="AN231" i="60"/>
  <c r="AM231" i="60"/>
  <c r="AQ231" i="60"/>
  <c r="AP231" i="60"/>
  <c r="S238" i="60" l="1"/>
  <c r="S385" i="60" s="1"/>
  <c r="Q238" i="60"/>
  <c r="Q385" i="60" s="1"/>
  <c r="AO231" i="60"/>
  <c r="AR231" i="60"/>
  <c r="AV231" i="60"/>
  <c r="O231" i="60" l="1"/>
  <c r="O226" i="60"/>
  <c r="O218" i="60"/>
  <c r="O237" i="60" l="1"/>
  <c r="O240" i="60" s="1"/>
  <c r="O7" i="60" s="1"/>
  <c r="N237" i="60"/>
  <c r="N238" i="60" s="1"/>
  <c r="N385" i="60" s="1"/>
  <c r="O238" i="60" l="1"/>
  <c r="O385" i="60" s="1"/>
  <c r="O389" i="60" s="1"/>
  <c r="O390" i="60" s="1"/>
  <c r="O222" i="60"/>
  <c r="O219" i="60"/>
  <c r="O5" i="60" s="1"/>
  <c r="O391" i="60" l="1"/>
  <c r="AX237" i="60"/>
  <c r="AZ237" i="60"/>
  <c r="BR237" i="60"/>
  <c r="BA237" i="60"/>
  <c r="BQ237" i="60"/>
  <c r="BN237" i="60"/>
  <c r="BO237" i="60"/>
  <c r="AY237" i="60"/>
  <c r="BK237" i="60"/>
  <c r="BC237" i="60"/>
  <c r="BL237" i="60"/>
  <c r="BS237" i="60"/>
  <c r="BI237" i="60"/>
  <c r="BH237" i="60"/>
  <c r="BJ237" i="60"/>
  <c r="AW237" i="60"/>
  <c r="BD237" i="60"/>
  <c r="BE237" i="60"/>
  <c r="BM237" i="60"/>
  <c r="BB237" i="60"/>
  <c r="BG237" i="60"/>
  <c r="AA237" i="60"/>
  <c r="AA238" i="60" s="1"/>
  <c r="AG237" i="60"/>
  <c r="AM219" i="60"/>
  <c r="BP237" i="60"/>
  <c r="BF237" i="60"/>
  <c r="AJ237" i="60"/>
  <c r="AI237" i="60"/>
  <c r="AD237" i="60"/>
  <c r="AI238" i="60" l="1"/>
  <c r="AI385" i="60" s="1"/>
  <c r="AJ238" i="60"/>
  <c r="AJ385" i="60" s="1"/>
  <c r="AG238" i="60"/>
  <c r="AG385" i="60" s="1"/>
  <c r="AD238" i="60"/>
  <c r="AD385" i="60" s="1"/>
  <c r="AV219" i="60"/>
  <c r="AP218" i="60"/>
  <c r="AP237" i="60" s="1"/>
  <c r="Z237" i="60"/>
  <c r="AE237" i="60"/>
  <c r="AQ218" i="60"/>
  <c r="AQ237" i="60" s="1"/>
  <c r="AT237" i="60"/>
  <c r="AC237" i="60"/>
  <c r="AM218" i="60"/>
  <c r="AM237" i="60" s="1"/>
  <c r="AN218" i="60"/>
  <c r="AN237" i="60" s="1"/>
  <c r="AK237" i="60"/>
  <c r="AH237" i="60"/>
  <c r="AB237" i="60"/>
  <c r="AA385" i="60"/>
  <c r="AF237" i="60"/>
  <c r="AQ219" i="60"/>
  <c r="AP219" i="60"/>
  <c r="AN219" i="60"/>
  <c r="AO219" i="60" s="1"/>
  <c r="AN238" i="60" l="1"/>
  <c r="AB238" i="60"/>
  <c r="AB385" i="60" s="1"/>
  <c r="AE238" i="60"/>
  <c r="AE385" i="60" s="1"/>
  <c r="AQ238" i="60"/>
  <c r="AH238" i="60"/>
  <c r="AH385" i="60" s="1"/>
  <c r="AC238" i="60"/>
  <c r="AC385" i="60" s="1"/>
  <c r="Z238" i="60"/>
  <c r="Z385" i="60" s="1"/>
  <c r="AF238" i="60"/>
  <c r="AK238" i="60"/>
  <c r="AK385" i="60" s="1"/>
  <c r="AT238" i="60"/>
  <c r="AT385" i="60" s="1"/>
  <c r="AR218" i="60"/>
  <c r="AR237" i="60" s="1"/>
  <c r="AR219" i="60"/>
  <c r="AO218" i="60"/>
  <c r="AO237" i="60" s="1"/>
  <c r="AU237" i="60"/>
  <c r="AV218" i="60"/>
  <c r="AV5" i="60" s="1"/>
  <c r="AS237" i="60"/>
  <c r="AQ385" i="60"/>
  <c r="AN385" i="60"/>
  <c r="AV237" i="60" l="1"/>
  <c r="AV238" i="60" s="1"/>
  <c r="AP238" i="60"/>
  <c r="AR238" i="60" s="1"/>
  <c r="AM238" i="60"/>
  <c r="AO238" i="60" s="1"/>
  <c r="AF385" i="60"/>
  <c r="AP385" i="60" s="1"/>
  <c r="AR385" i="60" s="1"/>
  <c r="AM385" i="60"/>
  <c r="AO385" i="60" s="1"/>
  <c r="AS238" i="60"/>
  <c r="AS385" i="60" s="1"/>
  <c r="AV385" i="60" s="1"/>
  <c r="AU238" i="60"/>
  <c r="AU385" i="60" s="1"/>
</calcChain>
</file>

<file path=xl/comments1.xml><?xml version="1.0" encoding="utf-8"?>
<comments xmlns="http://schemas.openxmlformats.org/spreadsheetml/2006/main">
  <authors>
    <author>Экономист</author>
  </authors>
  <commentList>
    <comment ref="A26" authorId="0">
      <text>
        <r>
          <rPr>
            <b/>
            <sz val="9"/>
            <color indexed="81"/>
            <rFont val="Tahoma"/>
            <family val="2"/>
            <charset val="204"/>
          </rPr>
          <t>ФЕД</t>
        </r>
        <r>
          <rPr>
            <sz val="9"/>
            <color indexed="81"/>
            <rFont val="Tahoma"/>
            <family val="2"/>
            <charset val="204"/>
          </rPr>
          <t xml:space="preserve">
</t>
        </r>
      </text>
    </comment>
    <comment ref="A27" authorId="0">
      <text>
        <r>
          <rPr>
            <b/>
            <sz val="9"/>
            <color indexed="81"/>
            <rFont val="Tahoma"/>
            <family val="2"/>
            <charset val="204"/>
          </rPr>
          <t>ОКРУГ</t>
        </r>
      </text>
    </comment>
    <comment ref="A32" authorId="0">
      <text>
        <r>
          <rPr>
            <b/>
            <sz val="9"/>
            <color indexed="81"/>
            <rFont val="Tahoma"/>
            <family val="2"/>
            <charset val="204"/>
          </rPr>
          <t>ФЕД</t>
        </r>
        <r>
          <rPr>
            <sz val="9"/>
            <color indexed="81"/>
            <rFont val="Tahoma"/>
            <family val="2"/>
            <charset val="204"/>
          </rPr>
          <t xml:space="preserve">
</t>
        </r>
      </text>
    </comment>
    <comment ref="A33" authorId="0">
      <text>
        <r>
          <rPr>
            <b/>
            <sz val="9"/>
            <color indexed="81"/>
            <rFont val="Tahoma"/>
            <family val="2"/>
            <charset val="204"/>
          </rPr>
          <t>Округ</t>
        </r>
      </text>
    </comment>
    <comment ref="A35" authorId="0">
      <text>
        <r>
          <rPr>
            <sz val="9"/>
            <color indexed="81"/>
            <rFont val="Tahoma"/>
            <family val="2"/>
            <charset val="204"/>
          </rPr>
          <t xml:space="preserve">ФЕД
</t>
        </r>
      </text>
    </comment>
    <comment ref="A36" authorId="0">
      <text>
        <r>
          <rPr>
            <b/>
            <sz val="9"/>
            <color indexed="81"/>
            <rFont val="Tahoma"/>
            <family val="2"/>
            <charset val="204"/>
          </rPr>
          <t>Округ</t>
        </r>
      </text>
    </comment>
  </commentList>
</comments>
</file>

<file path=xl/comments2.xml><?xml version="1.0" encoding="utf-8"?>
<comments xmlns="http://schemas.openxmlformats.org/spreadsheetml/2006/main">
  <authors>
    <author>Экономист</author>
  </authors>
  <commentList>
    <comment ref="A26" authorId="0">
      <text>
        <r>
          <rPr>
            <b/>
            <sz val="9"/>
            <color indexed="81"/>
            <rFont val="Tahoma"/>
            <family val="2"/>
            <charset val="204"/>
          </rPr>
          <t>ФЕД</t>
        </r>
        <r>
          <rPr>
            <sz val="9"/>
            <color indexed="81"/>
            <rFont val="Tahoma"/>
            <family val="2"/>
            <charset val="204"/>
          </rPr>
          <t xml:space="preserve">
</t>
        </r>
      </text>
    </comment>
    <comment ref="A27" authorId="0">
      <text>
        <r>
          <rPr>
            <b/>
            <sz val="9"/>
            <color indexed="81"/>
            <rFont val="Tahoma"/>
            <family val="2"/>
            <charset val="204"/>
          </rPr>
          <t>ОКРУГ</t>
        </r>
      </text>
    </comment>
    <comment ref="A32" authorId="0">
      <text>
        <r>
          <rPr>
            <b/>
            <sz val="9"/>
            <color indexed="81"/>
            <rFont val="Tahoma"/>
            <family val="2"/>
            <charset val="204"/>
          </rPr>
          <t>ФЕД</t>
        </r>
        <r>
          <rPr>
            <sz val="9"/>
            <color indexed="81"/>
            <rFont val="Tahoma"/>
            <family val="2"/>
            <charset val="204"/>
          </rPr>
          <t xml:space="preserve">
</t>
        </r>
      </text>
    </comment>
    <comment ref="A33" authorId="0">
      <text>
        <r>
          <rPr>
            <b/>
            <sz val="9"/>
            <color indexed="81"/>
            <rFont val="Tahoma"/>
            <family val="2"/>
            <charset val="204"/>
          </rPr>
          <t>Округ</t>
        </r>
      </text>
    </comment>
    <comment ref="A35" authorId="0">
      <text>
        <r>
          <rPr>
            <sz val="9"/>
            <color indexed="81"/>
            <rFont val="Tahoma"/>
            <family val="2"/>
            <charset val="204"/>
          </rPr>
          <t xml:space="preserve">ФЕД
</t>
        </r>
      </text>
    </comment>
    <comment ref="A36" authorId="0">
      <text>
        <r>
          <rPr>
            <b/>
            <sz val="9"/>
            <color indexed="81"/>
            <rFont val="Tahoma"/>
            <family val="2"/>
            <charset val="204"/>
          </rPr>
          <t>Округ</t>
        </r>
      </text>
    </comment>
  </commentList>
</comments>
</file>

<file path=xl/comments3.xml><?xml version="1.0" encoding="utf-8"?>
<comments xmlns="http://schemas.openxmlformats.org/spreadsheetml/2006/main">
  <authors>
    <author>Экономист</author>
  </authors>
  <commentList>
    <comment ref="A27" authorId="0">
      <text>
        <r>
          <rPr>
            <b/>
            <sz val="9"/>
            <color indexed="81"/>
            <rFont val="Tahoma"/>
            <family val="2"/>
            <charset val="204"/>
          </rPr>
          <t>ФЕД</t>
        </r>
        <r>
          <rPr>
            <sz val="9"/>
            <color indexed="81"/>
            <rFont val="Tahoma"/>
            <family val="2"/>
            <charset val="204"/>
          </rPr>
          <t xml:space="preserve">
</t>
        </r>
      </text>
    </comment>
    <comment ref="A28" authorId="0">
      <text>
        <r>
          <rPr>
            <b/>
            <sz val="9"/>
            <color indexed="81"/>
            <rFont val="Tahoma"/>
            <family val="2"/>
            <charset val="204"/>
          </rPr>
          <t>ОКРУГ</t>
        </r>
      </text>
    </comment>
    <comment ref="A33" authorId="0">
      <text>
        <r>
          <rPr>
            <b/>
            <sz val="9"/>
            <color indexed="81"/>
            <rFont val="Tahoma"/>
            <family val="2"/>
            <charset val="204"/>
          </rPr>
          <t>ФЕД</t>
        </r>
        <r>
          <rPr>
            <sz val="9"/>
            <color indexed="81"/>
            <rFont val="Tahoma"/>
            <family val="2"/>
            <charset val="204"/>
          </rPr>
          <t xml:space="preserve">
</t>
        </r>
      </text>
    </comment>
    <comment ref="A34" authorId="0">
      <text>
        <r>
          <rPr>
            <b/>
            <sz val="9"/>
            <color indexed="81"/>
            <rFont val="Tahoma"/>
            <family val="2"/>
            <charset val="204"/>
          </rPr>
          <t>Округ</t>
        </r>
      </text>
    </comment>
    <comment ref="A36" authorId="0">
      <text>
        <r>
          <rPr>
            <sz val="9"/>
            <color indexed="81"/>
            <rFont val="Tahoma"/>
            <family val="2"/>
            <charset val="204"/>
          </rPr>
          <t xml:space="preserve">ФЕД
</t>
        </r>
      </text>
    </comment>
    <comment ref="A37" authorId="0">
      <text>
        <r>
          <rPr>
            <b/>
            <sz val="9"/>
            <color indexed="81"/>
            <rFont val="Tahoma"/>
            <family val="2"/>
            <charset val="204"/>
          </rPr>
          <t>Округ</t>
        </r>
      </text>
    </comment>
  </commentList>
</comments>
</file>

<file path=xl/comments4.xml><?xml version="1.0" encoding="utf-8"?>
<comments xmlns="http://schemas.openxmlformats.org/spreadsheetml/2006/main">
  <authors>
    <author>Nazarov</author>
  </authors>
  <commentList>
    <comment ref="AX5" authorId="0">
      <text>
        <r>
          <rPr>
            <b/>
            <sz val="9"/>
            <color indexed="81"/>
            <rFont val="Tahoma"/>
            <family val="2"/>
            <charset val="204"/>
          </rPr>
          <t>это разрыв между начислением (кассовый метод) и для выполнения индикативного, это 1/2зп марта переносится из месяца в месяц и выравнивается в декабре</t>
        </r>
      </text>
    </comment>
    <comment ref="AY5" authorId="0">
      <text>
        <r>
          <rPr>
            <b/>
            <sz val="9"/>
            <color indexed="81"/>
            <rFont val="Tahoma"/>
            <family val="2"/>
            <charset val="204"/>
          </rPr>
          <t xml:space="preserve">индик 73668,5*44числ*3мес
</t>
        </r>
      </text>
    </comment>
    <comment ref="B7" authorId="0">
      <text>
        <r>
          <rPr>
            <b/>
            <sz val="10"/>
            <color indexed="81"/>
            <rFont val="Tahoma"/>
            <family val="2"/>
            <charset val="204"/>
          </rPr>
          <t>итогиСИ</t>
        </r>
        <r>
          <rPr>
            <sz val="10"/>
            <color indexed="81"/>
            <rFont val="Tahoma"/>
            <family val="2"/>
            <charset val="204"/>
          </rPr>
          <t xml:space="preserve">    - ИТОГИ Содержание имущества
</t>
        </r>
        <r>
          <rPr>
            <b/>
            <sz val="10"/>
            <color indexed="81"/>
            <rFont val="Tahoma"/>
            <family val="2"/>
            <charset val="204"/>
          </rPr>
          <t>СИ</t>
        </r>
        <r>
          <rPr>
            <sz val="10"/>
            <color indexed="81"/>
            <rFont val="Tahoma"/>
            <family val="2"/>
            <charset val="204"/>
          </rPr>
          <t xml:space="preserve">              - детальные строки Содержание Имущества
</t>
        </r>
        <r>
          <rPr>
            <b/>
            <sz val="10"/>
            <color indexed="81"/>
            <rFont val="Tahoma"/>
            <family val="2"/>
            <charset val="204"/>
          </rPr>
          <t>ОЦИ</t>
        </r>
        <r>
          <rPr>
            <sz val="10"/>
            <color indexed="81"/>
            <rFont val="Tahoma"/>
            <family val="2"/>
            <charset val="204"/>
          </rPr>
          <t xml:space="preserve">           - содержание Особо Ценного Имущества
</t>
        </r>
        <r>
          <rPr>
            <b/>
            <sz val="10"/>
            <color indexed="81"/>
            <rFont val="Tahoma"/>
            <family val="2"/>
            <charset val="204"/>
          </rPr>
          <t>Аврора</t>
        </r>
        <r>
          <rPr>
            <sz val="10"/>
            <color indexed="81"/>
            <rFont val="Tahoma"/>
            <family val="2"/>
            <charset val="204"/>
          </rPr>
          <t xml:space="preserve">       - содержание имущества в Авроре
</t>
        </r>
        <r>
          <rPr>
            <b/>
            <sz val="10"/>
            <color indexed="81"/>
            <rFont val="Tahoma"/>
            <family val="2"/>
            <charset val="204"/>
          </rPr>
          <t>неСИ</t>
        </r>
        <r>
          <rPr>
            <sz val="10"/>
            <color indexed="81"/>
            <rFont val="Tahoma"/>
            <family val="2"/>
            <charset val="204"/>
          </rPr>
          <t xml:space="preserve">          - не содержание имущества, т.к. к СИ относим </t>
        </r>
        <r>
          <rPr>
            <b/>
            <u/>
            <sz val="10"/>
            <color indexed="81"/>
            <rFont val="Tahoma"/>
            <family val="2"/>
            <charset val="204"/>
          </rPr>
          <t>ТОЛЬКО</t>
        </r>
        <r>
          <rPr>
            <sz val="10"/>
            <color indexed="81"/>
            <rFont val="Tahoma"/>
            <family val="2"/>
            <charset val="204"/>
          </rPr>
          <t xml:space="preserve"> содержание </t>
        </r>
        <r>
          <rPr>
            <b/>
            <u/>
            <sz val="10"/>
            <color indexed="81"/>
            <rFont val="Tahoma"/>
            <family val="2"/>
            <charset val="204"/>
          </rPr>
          <t>МУНИЦИПАЛЬНОГО</t>
        </r>
        <r>
          <rPr>
            <sz val="10"/>
            <color indexed="81"/>
            <rFont val="Tahoma"/>
            <family val="2"/>
            <charset val="204"/>
          </rPr>
          <t xml:space="preserve"> имущества</t>
        </r>
      </text>
    </comment>
    <comment ref="J8" authorId="0">
      <text>
        <r>
          <rPr>
            <b/>
            <sz val="9"/>
            <color indexed="81"/>
            <rFont val="Tahoma"/>
            <family val="2"/>
            <charset val="204"/>
          </rPr>
          <t xml:space="preserve">было у Оли 9 740,39
</t>
        </r>
      </text>
    </comment>
    <comment ref="N8" authorId="0">
      <text>
        <r>
          <rPr>
            <b/>
            <sz val="9"/>
            <color indexed="81"/>
            <rFont val="Tahoma"/>
            <family val="2"/>
            <charset val="204"/>
          </rPr>
          <t xml:space="preserve">было у Оли 9 740,39
</t>
        </r>
      </text>
    </comment>
    <comment ref="P8" authorId="0">
      <text>
        <r>
          <rPr>
            <b/>
            <sz val="9"/>
            <color indexed="81"/>
            <rFont val="Tahoma"/>
            <family val="2"/>
            <charset val="204"/>
          </rPr>
          <t xml:space="preserve">было у Оли 9 740,39
</t>
        </r>
      </text>
    </comment>
    <comment ref="J10" authorId="0">
      <text>
        <r>
          <rPr>
            <b/>
            <sz val="9"/>
            <color indexed="81"/>
            <rFont val="Tahoma"/>
            <family val="2"/>
            <charset val="204"/>
          </rPr>
          <t xml:space="preserve">было у Оли 9 740,39
</t>
        </r>
      </text>
    </comment>
    <comment ref="N10" authorId="0">
      <text>
        <r>
          <rPr>
            <b/>
            <sz val="9"/>
            <color indexed="81"/>
            <rFont val="Tahoma"/>
            <family val="2"/>
            <charset val="204"/>
          </rPr>
          <t xml:space="preserve">было у Оли 9 740,39
</t>
        </r>
      </text>
    </comment>
    <comment ref="P10" authorId="0">
      <text>
        <r>
          <rPr>
            <b/>
            <sz val="9"/>
            <color indexed="81"/>
            <rFont val="Tahoma"/>
            <family val="2"/>
            <charset val="204"/>
          </rPr>
          <t xml:space="preserve">было у Оли 9 740,39
</t>
        </r>
      </text>
    </comment>
    <comment ref="J11" authorId="0">
      <text>
        <r>
          <rPr>
            <b/>
            <sz val="9"/>
            <color indexed="81"/>
            <rFont val="Tahoma"/>
            <family val="2"/>
            <charset val="204"/>
          </rPr>
          <t xml:space="preserve">Сообщить Эсли, чтобы откорректировал 10 рублей, у них 715 900 округляет
</t>
        </r>
      </text>
    </comment>
    <comment ref="N11" authorId="0">
      <text>
        <r>
          <rPr>
            <b/>
            <sz val="9"/>
            <color indexed="81"/>
            <rFont val="Tahoma"/>
            <family val="2"/>
            <charset val="204"/>
          </rPr>
          <t xml:space="preserve">Сообщить Эсли, чтобы откорректировал 10 рублей, у них 715 900 округляет
</t>
        </r>
      </text>
    </comment>
    <comment ref="P11" authorId="0">
      <text>
        <r>
          <rPr>
            <b/>
            <sz val="9"/>
            <color indexed="81"/>
            <rFont val="Tahoma"/>
            <family val="2"/>
            <charset val="204"/>
          </rPr>
          <t xml:space="preserve">Сообщить Эсли, чтобы откорректировал 10 рублей, у них 715 900 округляет
</t>
        </r>
      </text>
    </comment>
    <comment ref="J12" authorId="0">
      <text>
        <r>
          <rPr>
            <b/>
            <sz val="9"/>
            <color indexed="81"/>
            <rFont val="Tahoma"/>
            <family val="2"/>
            <charset val="204"/>
          </rPr>
          <t xml:space="preserve">было у Оли 9 740,39
</t>
        </r>
      </text>
    </comment>
    <comment ref="N12" authorId="0">
      <text>
        <r>
          <rPr>
            <b/>
            <sz val="9"/>
            <color indexed="81"/>
            <rFont val="Tahoma"/>
            <family val="2"/>
            <charset val="204"/>
          </rPr>
          <t xml:space="preserve">было у Оли 9 740,39
</t>
        </r>
      </text>
    </comment>
    <comment ref="P12" authorId="0">
      <text>
        <r>
          <rPr>
            <b/>
            <sz val="9"/>
            <color indexed="81"/>
            <rFont val="Tahoma"/>
            <family val="2"/>
            <charset val="204"/>
          </rPr>
          <t xml:space="preserve">было у Оли 9 740,39
</t>
        </r>
      </text>
    </comment>
  </commentList>
</comments>
</file>

<file path=xl/comments5.xml><?xml version="1.0" encoding="utf-8"?>
<comments xmlns="http://schemas.openxmlformats.org/spreadsheetml/2006/main">
  <authors>
    <author>Nazarov</author>
    <author>Экономист</author>
  </authors>
  <commentList>
    <comment ref="BA8" authorId="0">
      <text>
        <r>
          <rPr>
            <b/>
            <sz val="9"/>
            <color indexed="81"/>
            <rFont val="Tahoma"/>
            <family val="2"/>
            <charset val="204"/>
          </rPr>
          <t>это разрыв между начислением (кассовый метод) и для выполнения индикативного, это 1/2зп марта переносится из месяца в месяц и выравнивается в декабре</t>
        </r>
      </text>
    </comment>
    <comment ref="BB8" authorId="0">
      <text>
        <r>
          <rPr>
            <b/>
            <sz val="9"/>
            <color indexed="81"/>
            <rFont val="Tahoma"/>
            <family val="2"/>
            <charset val="204"/>
          </rPr>
          <t xml:space="preserve">индик 73668,5*44числ*3мес
</t>
        </r>
      </text>
    </comment>
    <comment ref="D10" authorId="0">
      <text>
        <r>
          <rPr>
            <b/>
            <sz val="10"/>
            <color indexed="81"/>
            <rFont val="Tahoma"/>
            <family val="2"/>
            <charset val="204"/>
          </rPr>
          <t>итогиСИ</t>
        </r>
        <r>
          <rPr>
            <sz val="10"/>
            <color indexed="81"/>
            <rFont val="Tahoma"/>
            <family val="2"/>
            <charset val="204"/>
          </rPr>
          <t xml:space="preserve">    - ИТОГИ Содержание имущества
</t>
        </r>
        <r>
          <rPr>
            <b/>
            <sz val="10"/>
            <color indexed="81"/>
            <rFont val="Tahoma"/>
            <family val="2"/>
            <charset val="204"/>
          </rPr>
          <t>СИ</t>
        </r>
        <r>
          <rPr>
            <sz val="10"/>
            <color indexed="81"/>
            <rFont val="Tahoma"/>
            <family val="2"/>
            <charset val="204"/>
          </rPr>
          <t xml:space="preserve">              - детальные строки Содержание Имущества
</t>
        </r>
        <r>
          <rPr>
            <b/>
            <sz val="10"/>
            <color indexed="81"/>
            <rFont val="Tahoma"/>
            <family val="2"/>
            <charset val="204"/>
          </rPr>
          <t>ОЦИ</t>
        </r>
        <r>
          <rPr>
            <sz val="10"/>
            <color indexed="81"/>
            <rFont val="Tahoma"/>
            <family val="2"/>
            <charset val="204"/>
          </rPr>
          <t xml:space="preserve">           - содержание Особо Ценного Имущества
</t>
        </r>
        <r>
          <rPr>
            <b/>
            <sz val="10"/>
            <color indexed="81"/>
            <rFont val="Tahoma"/>
            <family val="2"/>
            <charset val="204"/>
          </rPr>
          <t>Аврора</t>
        </r>
        <r>
          <rPr>
            <sz val="10"/>
            <color indexed="81"/>
            <rFont val="Tahoma"/>
            <family val="2"/>
            <charset val="204"/>
          </rPr>
          <t xml:space="preserve">       - содержание имущества в Авроре
</t>
        </r>
        <r>
          <rPr>
            <b/>
            <sz val="10"/>
            <color indexed="81"/>
            <rFont val="Tahoma"/>
            <family val="2"/>
            <charset val="204"/>
          </rPr>
          <t>неСИ</t>
        </r>
        <r>
          <rPr>
            <sz val="10"/>
            <color indexed="81"/>
            <rFont val="Tahoma"/>
            <family val="2"/>
            <charset val="204"/>
          </rPr>
          <t xml:space="preserve">          - не содержание имущества, т.к. к СИ относим </t>
        </r>
        <r>
          <rPr>
            <b/>
            <u/>
            <sz val="10"/>
            <color indexed="81"/>
            <rFont val="Tahoma"/>
            <family val="2"/>
            <charset val="204"/>
          </rPr>
          <t>ТОЛЬКО</t>
        </r>
        <r>
          <rPr>
            <sz val="10"/>
            <color indexed="81"/>
            <rFont val="Tahoma"/>
            <family val="2"/>
            <charset val="204"/>
          </rPr>
          <t xml:space="preserve"> содержание </t>
        </r>
        <r>
          <rPr>
            <b/>
            <u/>
            <sz val="10"/>
            <color indexed="81"/>
            <rFont val="Tahoma"/>
            <family val="2"/>
            <charset val="204"/>
          </rPr>
          <t>МУНИЦИПАЛЬНОГО</t>
        </r>
        <r>
          <rPr>
            <sz val="10"/>
            <color indexed="81"/>
            <rFont val="Tahoma"/>
            <family val="2"/>
            <charset val="204"/>
          </rPr>
          <t xml:space="preserve"> имущества</t>
        </r>
      </text>
    </comment>
    <comment ref="P12" authorId="1">
      <text>
        <r>
          <rPr>
            <b/>
            <sz val="9"/>
            <color indexed="81"/>
            <rFont val="Tahoma"/>
            <family val="2"/>
            <charset val="204"/>
          </rPr>
          <t>ЦООД сам считает НРО по з/п нам им подавать на эти цели не нужно</t>
        </r>
        <r>
          <rPr>
            <sz val="9"/>
            <color indexed="81"/>
            <rFont val="Tahoma"/>
            <family val="2"/>
            <charset val="204"/>
          </rPr>
          <t xml:space="preserve">
</t>
        </r>
      </text>
    </comment>
    <comment ref="AW12" authorId="0">
      <text>
        <r>
          <rPr>
            <sz val="9"/>
            <color indexed="81"/>
            <rFont val="Tahoma"/>
            <family val="2"/>
            <charset val="204"/>
          </rPr>
          <t xml:space="preserve">только аванс января
</t>
        </r>
      </text>
    </comment>
    <comment ref="AY12" authorId="0">
      <text>
        <r>
          <rPr>
            <b/>
            <sz val="9"/>
            <color indexed="81"/>
            <rFont val="Tahoma"/>
            <family val="2"/>
            <charset val="204"/>
          </rPr>
          <t xml:space="preserve">средняя з/п за месяц без премий и т.п.
</t>
        </r>
      </text>
    </comment>
    <comment ref="BA12" authorId="0">
      <text>
        <r>
          <rPr>
            <b/>
            <sz val="9"/>
            <color indexed="81"/>
            <rFont val="Tahoma"/>
            <family val="2"/>
            <charset val="204"/>
          </rPr>
          <t xml:space="preserve">+ премия к дню работника культуры 1 ФОТ+ ежекв.премия
</t>
        </r>
      </text>
    </comment>
    <comment ref="BE12" authorId="0">
      <text>
        <r>
          <rPr>
            <b/>
            <sz val="9"/>
            <color indexed="81"/>
            <rFont val="Tahoma"/>
            <family val="2"/>
            <charset val="204"/>
          </rPr>
          <t>отпуска + мат.помощь к отпуску основной массы работников (пропорция примерно 2,8 к обычной з/п)</t>
        </r>
      </text>
    </comment>
    <comment ref="BG12" authorId="0">
      <text>
        <r>
          <rPr>
            <b/>
            <sz val="9"/>
            <color indexed="81"/>
            <rFont val="Tahoma"/>
            <family val="2"/>
            <charset val="204"/>
          </rPr>
          <t xml:space="preserve">плюс квартальная
</t>
        </r>
      </text>
    </comment>
    <comment ref="BS12" authorId="0">
      <text>
        <r>
          <rPr>
            <b/>
            <sz val="9"/>
            <color indexed="81"/>
            <rFont val="Tahoma"/>
            <family val="2"/>
            <charset val="204"/>
          </rPr>
          <t xml:space="preserve">1/2 ноября, + весь декабрь +ежекварт.
 премии + годовая
</t>
        </r>
      </text>
    </comment>
    <comment ref="F14" authorId="0">
      <text>
        <r>
          <rPr>
            <b/>
            <sz val="9"/>
            <color indexed="81"/>
            <rFont val="Tahoma"/>
            <family val="2"/>
            <charset val="204"/>
          </rPr>
          <t>прошлых лет</t>
        </r>
      </text>
    </comment>
    <comment ref="K14" authorId="0">
      <text>
        <r>
          <rPr>
            <b/>
            <sz val="9"/>
            <color indexed="81"/>
            <rFont val="Tahoma"/>
            <family val="2"/>
            <charset val="204"/>
          </rPr>
          <t>прошлых лет</t>
        </r>
      </text>
    </comment>
    <comment ref="L16"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Q16"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S16"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L17" authorId="0">
      <text>
        <r>
          <rPr>
            <b/>
            <sz val="9"/>
            <color indexed="81"/>
            <rFont val="Tahoma"/>
            <family val="2"/>
            <charset val="204"/>
          </rPr>
          <t>2 чел</t>
        </r>
      </text>
    </comment>
    <comment ref="Q17" authorId="0">
      <text>
        <r>
          <rPr>
            <b/>
            <sz val="9"/>
            <color indexed="81"/>
            <rFont val="Tahoma"/>
            <family val="2"/>
            <charset val="204"/>
          </rPr>
          <t>2 чел</t>
        </r>
      </text>
    </comment>
    <comment ref="S17" authorId="0">
      <text>
        <r>
          <rPr>
            <b/>
            <sz val="9"/>
            <color indexed="81"/>
            <rFont val="Tahoma"/>
            <family val="2"/>
            <charset val="204"/>
          </rPr>
          <t>2 чел</t>
        </r>
      </text>
    </comment>
    <comment ref="L18" authorId="0">
      <text>
        <r>
          <rPr>
            <b/>
            <sz val="9"/>
            <color indexed="81"/>
            <rFont val="Tahoma"/>
            <family val="2"/>
            <charset val="204"/>
          </rPr>
          <t xml:space="preserve">3 чел по 5000
</t>
        </r>
        <r>
          <rPr>
            <sz val="9"/>
            <color indexed="81"/>
            <rFont val="Tahoma"/>
            <family val="2"/>
            <charset val="204"/>
          </rPr>
          <t xml:space="preserve">
</t>
        </r>
      </text>
    </comment>
    <comment ref="Q18" authorId="0">
      <text>
        <r>
          <rPr>
            <b/>
            <sz val="9"/>
            <color indexed="81"/>
            <rFont val="Tahoma"/>
            <family val="2"/>
            <charset val="204"/>
          </rPr>
          <t xml:space="preserve">3 чел по 5000
</t>
        </r>
        <r>
          <rPr>
            <sz val="9"/>
            <color indexed="81"/>
            <rFont val="Tahoma"/>
            <family val="2"/>
            <charset val="204"/>
          </rPr>
          <t xml:space="preserve">
</t>
        </r>
      </text>
    </comment>
    <comment ref="S18" authorId="0">
      <text>
        <r>
          <rPr>
            <b/>
            <sz val="9"/>
            <color indexed="81"/>
            <rFont val="Tahoma"/>
            <family val="2"/>
            <charset val="204"/>
          </rPr>
          <t xml:space="preserve">3 чел по 5000
</t>
        </r>
        <r>
          <rPr>
            <sz val="9"/>
            <color indexed="81"/>
            <rFont val="Tahoma"/>
            <family val="2"/>
            <charset val="204"/>
          </rPr>
          <t xml:space="preserve">
</t>
        </r>
      </text>
    </comment>
    <comment ref="L19" authorId="0">
      <text>
        <r>
          <rPr>
            <b/>
            <sz val="9"/>
            <color indexed="81"/>
            <rFont val="Tahoma"/>
            <family val="2"/>
            <charset val="204"/>
          </rPr>
          <t xml:space="preserve">на КВР 111 КОСКГ 266 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4 раза
</t>
        </r>
        <r>
          <rPr>
            <sz val="9"/>
            <color indexed="81"/>
            <rFont val="Tahoma"/>
            <family val="2"/>
            <charset val="204"/>
          </rPr>
          <t>- Гиренко Виорика Валерьевна 1000</t>
        </r>
        <r>
          <rPr>
            <b/>
            <sz val="9"/>
            <color indexed="81"/>
            <rFont val="Tahoma"/>
            <family val="2"/>
            <charset val="204"/>
          </rPr>
          <t xml:space="preserve"> * 4 раза
</t>
        </r>
        <r>
          <rPr>
            <sz val="9"/>
            <color indexed="81"/>
            <rFont val="Tahoma"/>
            <family val="2"/>
            <charset val="204"/>
          </rPr>
          <t>- Шарова Анна (вместо Карасик Наиля Ильгизяровна)</t>
        </r>
        <r>
          <rPr>
            <b/>
            <sz val="9"/>
            <color indexed="81"/>
            <rFont val="Tahoma"/>
            <family val="2"/>
            <charset val="204"/>
          </rPr>
          <t xml:space="preserve"> 1000 * 4 раза-1 раз, 
т.е. будет 3 раза
</t>
        </r>
        <r>
          <rPr>
            <sz val="9"/>
            <color indexed="81"/>
            <rFont val="Tahoma"/>
            <family val="2"/>
            <charset val="204"/>
          </rPr>
          <t>- Гречушникова Екатерина Николаевна 1000</t>
        </r>
        <r>
          <rPr>
            <b/>
            <sz val="9"/>
            <color indexed="81"/>
            <rFont val="Tahoma"/>
            <family val="2"/>
            <charset val="204"/>
          </rPr>
          <t xml:space="preserve"> * 4 раза
Останутся на КВР111 КОСГУ 211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уволился его убираем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Репина (вместо ошибочной Кондратьева Екатерина Константиновна) 1000</t>
        </r>
        <r>
          <rPr>
            <b/>
            <sz val="9"/>
            <color indexed="81"/>
            <rFont val="Tahoma"/>
            <family val="2"/>
            <charset val="204"/>
          </rPr>
          <t xml:space="preserve"> * 4 раза
</t>
        </r>
        <r>
          <rPr>
            <sz val="9"/>
            <color indexed="81"/>
            <rFont val="Tahoma"/>
            <family val="2"/>
            <charset val="204"/>
          </rPr>
          <t>- Дремин Алексей Анатольевич  1000</t>
        </r>
        <r>
          <rPr>
            <b/>
            <sz val="9"/>
            <color indexed="81"/>
            <rFont val="Tahoma"/>
            <family val="2"/>
            <charset val="204"/>
          </rPr>
          <t xml:space="preserve"> * 4 раза
По бухгаотерии они просто получают выплату как "материальная помощь"</t>
        </r>
      </text>
    </comment>
    <comment ref="Q19"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4 раза
</t>
        </r>
        <r>
          <rPr>
            <sz val="9"/>
            <color indexed="81"/>
            <rFont val="Tahoma"/>
            <family val="2"/>
            <charset val="204"/>
          </rPr>
          <t>- Гиренко Виорика Валерьевна 1000</t>
        </r>
        <r>
          <rPr>
            <b/>
            <sz val="9"/>
            <color indexed="81"/>
            <rFont val="Tahoma"/>
            <family val="2"/>
            <charset val="204"/>
          </rPr>
          <t xml:space="preserve"> * 4 раза
</t>
        </r>
        <r>
          <rPr>
            <sz val="9"/>
            <color indexed="81"/>
            <rFont val="Tahoma"/>
            <family val="2"/>
            <charset val="204"/>
          </rPr>
          <t>- Гречушникова Екатерина Николаевна 1000</t>
        </r>
        <r>
          <rPr>
            <b/>
            <sz val="9"/>
            <color indexed="81"/>
            <rFont val="Tahoma"/>
            <family val="2"/>
            <charset val="204"/>
          </rPr>
          <t xml:space="preserve"> * 2 раза !!!!!!!!!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4 раза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S19"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3 раза !!!!!!!!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3 раза !!!!!!!!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I20" authorId="1">
      <text>
        <r>
          <rPr>
            <b/>
            <sz val="9"/>
            <color indexed="81"/>
            <rFont val="Tahoma"/>
            <family val="2"/>
            <charset val="204"/>
          </rPr>
          <t>квр поменять на 111 Снаия звонила сказала</t>
        </r>
      </text>
    </comment>
    <comment ref="L20"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Q20"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S20"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L21" authorId="0">
      <text>
        <r>
          <rPr>
            <b/>
            <sz val="9"/>
            <color indexed="81"/>
            <rFont val="Tahoma"/>
            <family val="2"/>
            <charset val="204"/>
          </rPr>
          <t>30,2%</t>
        </r>
        <r>
          <rPr>
            <sz val="9"/>
            <color indexed="81"/>
            <rFont val="Tahoma"/>
            <family val="2"/>
            <charset val="204"/>
          </rPr>
          <t xml:space="preserve">
</t>
        </r>
      </text>
    </comment>
    <comment ref="Q21" authorId="0">
      <text>
        <r>
          <rPr>
            <b/>
            <sz val="9"/>
            <color indexed="81"/>
            <rFont val="Tahoma"/>
            <family val="2"/>
            <charset val="204"/>
          </rPr>
          <t>30,2%</t>
        </r>
        <r>
          <rPr>
            <sz val="9"/>
            <color indexed="81"/>
            <rFont val="Tahoma"/>
            <family val="2"/>
            <charset val="204"/>
          </rPr>
          <t xml:space="preserve">
</t>
        </r>
      </text>
    </comment>
    <comment ref="S21" authorId="0">
      <text>
        <r>
          <rPr>
            <b/>
            <sz val="9"/>
            <color indexed="81"/>
            <rFont val="Tahoma"/>
            <family val="2"/>
            <charset val="204"/>
          </rPr>
          <t>30,2%</t>
        </r>
        <r>
          <rPr>
            <sz val="9"/>
            <color indexed="81"/>
            <rFont val="Tahoma"/>
            <family val="2"/>
            <charset val="204"/>
          </rPr>
          <t xml:space="preserve">
</t>
        </r>
      </text>
    </comment>
    <comment ref="L23" authorId="0">
      <text>
        <r>
          <rPr>
            <b/>
            <sz val="9"/>
            <color indexed="81"/>
            <rFont val="Tahoma"/>
            <family val="2"/>
            <charset val="204"/>
          </rPr>
          <t>2 чел</t>
        </r>
        <r>
          <rPr>
            <sz val="9"/>
            <color indexed="81"/>
            <rFont val="Tahoma"/>
            <family val="2"/>
            <charset val="204"/>
          </rPr>
          <t xml:space="preserve">
</t>
        </r>
      </text>
    </comment>
    <comment ref="L24" authorId="0">
      <text>
        <r>
          <rPr>
            <b/>
            <sz val="9"/>
            <color indexed="81"/>
            <rFont val="Tahoma"/>
            <family val="2"/>
            <charset val="204"/>
          </rPr>
          <t>3 чел</t>
        </r>
      </text>
    </comment>
    <comment ref="L25" authorId="0">
      <text>
        <r>
          <rPr>
            <b/>
            <sz val="9"/>
            <color indexed="81"/>
            <rFont val="Tahoma"/>
            <family val="2"/>
            <charset val="204"/>
          </rPr>
          <t xml:space="preserve">30,2% на КОСГУ 266
</t>
        </r>
        <r>
          <rPr>
            <sz val="9"/>
            <color indexed="81"/>
            <rFont val="Tahoma"/>
            <family val="2"/>
            <charset val="204"/>
          </rPr>
          <t xml:space="preserve">
</t>
        </r>
      </text>
    </comment>
    <comment ref="AW26" authorId="0">
      <text>
        <r>
          <rPr>
            <sz val="9"/>
            <color indexed="81"/>
            <rFont val="Tahoma"/>
            <family val="2"/>
            <charset val="204"/>
          </rPr>
          <t xml:space="preserve">только аванс января
</t>
        </r>
      </text>
    </comment>
    <comment ref="BS26" authorId="0">
      <text>
        <r>
          <rPr>
            <b/>
            <sz val="9"/>
            <color indexed="81"/>
            <rFont val="Tahoma"/>
            <family val="2"/>
            <charset val="204"/>
          </rPr>
          <t>половина зп ноября + вся зп за декабрь</t>
        </r>
      </text>
    </comment>
    <comment ref="K32" authorId="0">
      <text>
        <r>
          <rPr>
            <b/>
            <sz val="9"/>
            <color indexed="81"/>
            <rFont val="Tahoma"/>
            <family val="2"/>
            <charset val="204"/>
          </rPr>
          <t>здесь план корректирую по факту Аниных авансовых за покупку конвертов</t>
        </r>
        <r>
          <rPr>
            <sz val="9"/>
            <color indexed="81"/>
            <rFont val="Tahoma"/>
            <family val="2"/>
            <charset val="204"/>
          </rPr>
          <t xml:space="preserve">
</t>
        </r>
      </text>
    </comment>
    <comment ref="K34" authorId="1">
      <text>
        <r>
          <rPr>
            <sz val="10"/>
            <color indexed="81"/>
            <rFont val="Tahoma"/>
            <family val="2"/>
            <charset val="204"/>
          </rPr>
          <t>защищенный канал между Энгельса 11 и проезд Советов 4 (ЦООД)</t>
        </r>
      </text>
    </comment>
    <comment ref="W35" authorId="1">
      <text>
        <r>
          <rPr>
            <sz val="11"/>
            <color indexed="81"/>
            <rFont val="Tahoma"/>
            <family val="2"/>
            <charset val="204"/>
          </rPr>
          <t>лицевой счет 
683088687886</t>
        </r>
      </text>
    </comment>
    <comment ref="I41" authorId="1">
      <text>
        <r>
          <rPr>
            <b/>
            <sz val="9"/>
            <color indexed="81"/>
            <rFont val="Tahoma"/>
            <family val="2"/>
            <charset val="204"/>
          </rPr>
          <t xml:space="preserve">здесь разбивка на 247 и 244 КВР
</t>
        </r>
      </text>
    </comment>
    <comment ref="L44" authorId="0">
      <text>
        <r>
          <rPr>
            <b/>
            <sz val="9"/>
            <color indexed="81"/>
            <rFont val="Tahoma"/>
            <family val="2"/>
            <charset val="204"/>
          </rPr>
          <t>годовая сумма 
12 428 476,80 по договору аренды, уже с учетом ТО инженерных систем</t>
        </r>
      </text>
    </comment>
    <comment ref="X44" authorId="1">
      <text>
        <r>
          <rPr>
            <b/>
            <sz val="9"/>
            <color indexed="81"/>
            <rFont val="Tahoma"/>
            <family val="2"/>
            <charset val="204"/>
          </rPr>
          <t>8 мес, чтобы не регистрировать в Росреестре и не была по бух учету Крупная сделка больше 9млн.</t>
        </r>
      </text>
    </comment>
    <comment ref="D47" authorId="0">
      <text>
        <r>
          <rPr>
            <sz val="9"/>
            <color indexed="81"/>
            <rFont val="Tahoma"/>
            <family val="2"/>
            <charset val="204"/>
          </rPr>
          <t xml:space="preserve">??????
</t>
        </r>
      </text>
    </comment>
    <comment ref="X48" authorId="1">
      <text>
        <r>
          <rPr>
            <b/>
            <sz val="9"/>
            <color indexed="81"/>
            <rFont val="Tahoma"/>
            <family val="2"/>
            <charset val="204"/>
          </rPr>
          <t>январь, июль и август исключаем</t>
        </r>
      </text>
    </comment>
    <comment ref="V49" authorId="0">
      <text>
        <r>
          <rPr>
            <b/>
            <sz val="9"/>
            <color indexed="81"/>
            <rFont val="Tahoma"/>
            <family val="2"/>
            <charset val="204"/>
          </rPr>
          <t xml:space="preserve">внебюджет
</t>
        </r>
      </text>
    </comment>
    <comment ref="X49" authorId="0">
      <text>
        <r>
          <rPr>
            <b/>
            <sz val="9"/>
            <color indexed="81"/>
            <rFont val="Tahoma"/>
            <family val="2"/>
            <charset val="204"/>
          </rPr>
          <t xml:space="preserve">доля от общего объема услуги по 4 и 2-ке
</t>
        </r>
        <r>
          <rPr>
            <sz val="9"/>
            <color indexed="81"/>
            <rFont val="Tahoma"/>
            <family val="2"/>
            <charset val="204"/>
          </rPr>
          <t xml:space="preserve">
</t>
        </r>
      </text>
    </comment>
    <comment ref="AS50" authorId="1">
      <text>
        <r>
          <rPr>
            <b/>
            <sz val="9"/>
            <color indexed="81"/>
            <rFont val="Tahoma"/>
            <family val="2"/>
            <charset val="204"/>
          </rPr>
          <t xml:space="preserve">с учетом открытия с 01.02.2021 уборка дополнительно в суб и воскр 354,9м2*42дня*1,61руб=23 998,34
Воскр с 8 до 16
</t>
        </r>
      </text>
    </comment>
    <comment ref="K52" authorId="0">
      <text>
        <r>
          <rPr>
            <b/>
            <sz val="9"/>
            <color indexed="81"/>
            <rFont val="Tahoma"/>
            <family val="2"/>
            <charset val="204"/>
          </rPr>
          <t xml:space="preserve">первый показ и Лягушка и Первинка - январь-февраль
</t>
        </r>
      </text>
    </comment>
    <comment ref="K53" authorId="0">
      <text>
        <r>
          <rPr>
            <b/>
            <sz val="9"/>
            <color indexed="81"/>
            <rFont val="Tahoma"/>
            <family val="2"/>
            <charset val="204"/>
          </rPr>
          <t xml:space="preserve">первый показ - апрель
</t>
        </r>
        <r>
          <rPr>
            <sz val="9"/>
            <color indexed="81"/>
            <rFont val="Tahoma"/>
            <family val="2"/>
            <charset val="204"/>
          </rPr>
          <t xml:space="preserve">
</t>
        </r>
      </text>
    </comment>
    <comment ref="K54" authorId="0">
      <text>
        <r>
          <rPr>
            <b/>
            <sz val="9"/>
            <color indexed="81"/>
            <rFont val="Tahoma"/>
            <family val="2"/>
            <charset val="204"/>
          </rPr>
          <t xml:space="preserve">первый показ - апрель
</t>
        </r>
        <r>
          <rPr>
            <sz val="9"/>
            <color indexed="81"/>
            <rFont val="Tahoma"/>
            <family val="2"/>
            <charset val="204"/>
          </rPr>
          <t xml:space="preserve">
</t>
        </r>
      </text>
    </comment>
    <comment ref="K55" authorId="0">
      <text>
        <r>
          <rPr>
            <b/>
            <sz val="9"/>
            <color indexed="81"/>
            <rFont val="Tahoma"/>
            <family val="2"/>
            <charset val="204"/>
          </rPr>
          <t>первый показ - ноябрь</t>
        </r>
      </text>
    </comment>
    <comment ref="L56" authorId="0">
      <text>
        <r>
          <rPr>
            <b/>
            <sz val="9"/>
            <color indexed="81"/>
            <rFont val="Tahoma"/>
            <family val="2"/>
            <charset val="204"/>
          </rPr>
          <t xml:space="preserve">у Оли было 458180,41
130,28р*количество часов охраны составит 5 110 часов: (365 дней*14 часа/день*1 чел.)
</t>
        </r>
      </text>
    </comment>
    <comment ref="V56" authorId="0">
      <text>
        <r>
          <rPr>
            <b/>
            <sz val="9"/>
            <color indexed="81"/>
            <rFont val="Tahoma"/>
            <family val="2"/>
            <charset val="204"/>
          </rPr>
          <t xml:space="preserve">внебюджет
</t>
        </r>
      </text>
    </comment>
    <comment ref="X56" authorId="0">
      <text>
        <r>
          <rPr>
            <b/>
            <sz val="9"/>
            <color indexed="81"/>
            <rFont val="Tahoma"/>
            <family val="2"/>
            <charset val="204"/>
          </rPr>
          <t xml:space="preserve">доля от общего объема услуги по 4 и 2-ке
</t>
        </r>
        <r>
          <rPr>
            <sz val="9"/>
            <color indexed="81"/>
            <rFont val="Tahoma"/>
            <family val="2"/>
            <charset val="204"/>
          </rPr>
          <t xml:space="preserve">
</t>
        </r>
      </text>
    </comment>
    <comment ref="AY57" authorId="1">
      <text>
        <r>
          <rPr>
            <sz val="9"/>
            <color indexed="81"/>
            <rFont val="Tahoma"/>
            <family val="2"/>
            <charset val="204"/>
          </rPr>
          <t>цена 150 * 12 часов * 15 дней
(с 06.02.21 добавляется еще суббота и воскресенье: пн-суб. с 8 до 20, вокр с с 9 до 17)</t>
        </r>
      </text>
    </comment>
    <comment ref="AY59" authorId="1">
      <text>
        <r>
          <rPr>
            <b/>
            <sz val="9"/>
            <color indexed="81"/>
            <rFont val="Tahoma"/>
            <family val="2"/>
            <charset val="204"/>
          </rPr>
          <t>в январе было без суб и воскр, 
с февраля 12 часов (с 8 до 20) в т.ч. в суб и воскр., с 11.01.21 будет 180 часов *6,05 руб. в час= 1089,00</t>
        </r>
        <r>
          <rPr>
            <sz val="9"/>
            <color indexed="81"/>
            <rFont val="Tahoma"/>
            <family val="2"/>
            <charset val="204"/>
          </rPr>
          <t xml:space="preserve">
было при планировании 49,18*31кол-во дней (с ООО "Страж" был такой расчет)</t>
        </r>
      </text>
    </comment>
    <comment ref="AY60" authorId="1">
      <text>
        <r>
          <rPr>
            <b/>
            <sz val="9"/>
            <color indexed="81"/>
            <rFont val="Tahoma"/>
            <family val="2"/>
            <charset val="204"/>
          </rPr>
          <t>6 чел/часов в месяц * стимость часа 724,60 (по Постановлению Адм Сургтута №9168 от 06.12.2019)= 4 347,60 в мес.</t>
        </r>
      </text>
    </comment>
    <comment ref="K63" authorId="0">
      <text>
        <r>
          <rPr>
            <sz val="9"/>
            <color indexed="81"/>
            <rFont val="Tahoma"/>
            <family val="2"/>
            <charset val="204"/>
          </rPr>
          <t>"1С: Бухгалтерия государственного учреждения"
"1С: Зарплата и Кадры бюджетного учреждения"</t>
        </r>
      </text>
    </comment>
    <comment ref="X63" authorId="1">
      <text>
        <r>
          <rPr>
            <b/>
            <sz val="9"/>
            <color indexed="81"/>
            <rFont val="Tahoma"/>
            <family val="2"/>
            <charset val="204"/>
          </rPr>
          <t>пока на 6 мес, чтобы меньше 100 000р.</t>
        </r>
      </text>
    </comment>
    <comment ref="K64" authorId="0">
      <text>
        <r>
          <rPr>
            <b/>
            <sz val="9"/>
            <color indexed="81"/>
            <rFont val="Tahoma"/>
            <family val="2"/>
            <charset val="204"/>
          </rPr>
          <t>4 ключа 1 раз в год</t>
        </r>
        <r>
          <rPr>
            <sz val="9"/>
            <color indexed="81"/>
            <rFont val="Tahoma"/>
            <family val="2"/>
            <charset val="204"/>
          </rPr>
          <t xml:space="preserve">
</t>
        </r>
      </text>
    </comment>
    <comment ref="K69" authorId="0">
      <text>
        <r>
          <rPr>
            <b/>
            <sz val="9"/>
            <color indexed="81"/>
            <rFont val="Tahoma"/>
            <family val="2"/>
            <charset val="204"/>
          </rPr>
          <t>Мероприятия</t>
        </r>
      </text>
    </comment>
    <comment ref="K101" authorId="0">
      <text>
        <r>
          <rPr>
            <b/>
            <sz val="9"/>
            <color indexed="81"/>
            <rFont val="Tahoma"/>
            <family val="2"/>
            <charset val="204"/>
          </rPr>
          <t>Мероприятия</t>
        </r>
      </text>
    </comment>
    <comment ref="B120" authorId="1">
      <text>
        <r>
          <rPr>
            <b/>
            <sz val="9"/>
            <color indexed="81"/>
            <rFont val="Tahoma"/>
            <family val="2"/>
            <charset val="204"/>
          </rPr>
          <t>передвинуть на 342 на покупку водына 5 мес 31 бутылка по 3 бутыля на 2 недели (235руб./бутыль) по июнь включительно</t>
        </r>
      </text>
    </comment>
    <comment ref="L120" authorId="0">
      <text>
        <r>
          <rPr>
            <b/>
            <sz val="9"/>
            <color indexed="81"/>
            <rFont val="Tahoma"/>
            <family val="2"/>
            <charset val="204"/>
          </rPr>
          <t xml:space="preserve">у Оли было 114 103,74
</t>
        </r>
      </text>
    </comment>
    <comment ref="Q120" authorId="0">
      <text>
        <r>
          <rPr>
            <b/>
            <sz val="9"/>
            <color indexed="81"/>
            <rFont val="Tahoma"/>
            <family val="2"/>
            <charset val="204"/>
          </rPr>
          <t>Оли 131 233,54</t>
        </r>
      </text>
    </comment>
    <comment ref="S120" authorId="0">
      <text>
        <r>
          <rPr>
            <b/>
            <sz val="9"/>
            <color indexed="81"/>
            <rFont val="Tahoma"/>
            <family val="2"/>
            <charset val="204"/>
          </rPr>
          <t>Оли 122 383,74</t>
        </r>
      </text>
    </comment>
    <comment ref="W121" authorId="1">
      <text>
        <r>
          <rPr>
            <b/>
            <sz val="9"/>
            <color indexed="81"/>
            <rFont val="Tahoma"/>
            <family val="2"/>
            <charset val="204"/>
          </rPr>
          <t>на 31 640,00</t>
        </r>
      </text>
    </comment>
    <comment ref="L123" authorId="0">
      <text>
        <r>
          <rPr>
            <b/>
            <sz val="9"/>
            <color indexed="81"/>
            <rFont val="Tahoma"/>
            <family val="2"/>
            <charset val="204"/>
          </rPr>
          <t>земельный налог за 2020 год (платится 1 раз в год)</t>
        </r>
      </text>
    </comment>
    <comment ref="L124" authorId="0">
      <text>
        <r>
          <rPr>
            <b/>
            <sz val="9"/>
            <color indexed="81"/>
            <rFont val="Tahoma"/>
            <family val="2"/>
            <charset val="204"/>
          </rPr>
          <t xml:space="preserve">0,15% с зп
</t>
        </r>
      </text>
    </comment>
    <comment ref="L125" authorId="0">
      <text>
        <r>
          <rPr>
            <b/>
            <sz val="9"/>
            <color indexed="81"/>
            <rFont val="Tahoma"/>
            <family val="2"/>
            <charset val="204"/>
          </rPr>
          <t xml:space="preserve">было у Оли 9 740,39
</t>
        </r>
      </text>
    </comment>
    <comment ref="Q125" authorId="0">
      <text>
        <r>
          <rPr>
            <b/>
            <sz val="9"/>
            <color indexed="81"/>
            <rFont val="Tahoma"/>
            <family val="2"/>
            <charset val="204"/>
          </rPr>
          <t xml:space="preserve">было у Оли 9 740,39
</t>
        </r>
      </text>
    </comment>
    <comment ref="S125" authorId="0">
      <text>
        <r>
          <rPr>
            <b/>
            <sz val="9"/>
            <color indexed="81"/>
            <rFont val="Tahoma"/>
            <family val="2"/>
            <charset val="204"/>
          </rPr>
          <t xml:space="preserve">было у Оли 9 740,39
</t>
        </r>
      </text>
    </comment>
    <comment ref="B126" authorId="1">
      <text>
        <r>
          <rPr>
            <b/>
            <sz val="9"/>
            <color indexed="81"/>
            <rFont val="Tahoma"/>
            <family val="2"/>
            <charset val="204"/>
          </rPr>
          <t>должно быть (увеличиваем через НРО?)
с учетом доп средств 119 578,95</t>
        </r>
      </text>
    </comment>
    <comment ref="L127" authorId="0">
      <text>
        <r>
          <rPr>
            <b/>
            <sz val="9"/>
            <color indexed="81"/>
            <rFont val="Tahoma"/>
            <family val="2"/>
            <charset val="204"/>
          </rPr>
          <t xml:space="preserve">было у Оли 9 740,39
</t>
        </r>
      </text>
    </comment>
    <comment ref="Q127" authorId="0">
      <text>
        <r>
          <rPr>
            <b/>
            <sz val="9"/>
            <color indexed="81"/>
            <rFont val="Tahoma"/>
            <family val="2"/>
            <charset val="204"/>
          </rPr>
          <t xml:space="preserve">было у Оли 9 740,39
</t>
        </r>
      </text>
    </comment>
    <comment ref="S127" authorId="0">
      <text>
        <r>
          <rPr>
            <b/>
            <sz val="9"/>
            <color indexed="81"/>
            <rFont val="Tahoma"/>
            <family val="2"/>
            <charset val="204"/>
          </rPr>
          <t xml:space="preserve">было у Оли 9 740,39
</t>
        </r>
      </text>
    </comment>
    <comment ref="B128" authorId="1">
      <text>
        <r>
          <rPr>
            <b/>
            <sz val="9"/>
            <color indexed="81"/>
            <rFont val="Tahoma"/>
            <family val="2"/>
            <charset val="204"/>
          </rPr>
          <t>должно быть 
с учетом доп средств 119 578,95</t>
        </r>
      </text>
    </comment>
    <comment ref="L128" authorId="0">
      <text>
        <r>
          <rPr>
            <b/>
            <sz val="9"/>
            <color indexed="81"/>
            <rFont val="Tahoma"/>
            <family val="2"/>
            <charset val="204"/>
          </rPr>
          <t xml:space="preserve">Сообщить Эсли, чтобы откорректировал 10 рублей, у них 715 900 округляет
</t>
        </r>
      </text>
    </comment>
    <comment ref="Q128" authorId="0">
      <text>
        <r>
          <rPr>
            <b/>
            <sz val="9"/>
            <color indexed="81"/>
            <rFont val="Tahoma"/>
            <family val="2"/>
            <charset val="204"/>
          </rPr>
          <t xml:space="preserve">Сообщить Эсли, чтобы откорректировал 10 рублей, у них 715 900 округляет
</t>
        </r>
      </text>
    </comment>
    <comment ref="S128" authorId="0">
      <text>
        <r>
          <rPr>
            <b/>
            <sz val="9"/>
            <color indexed="81"/>
            <rFont val="Tahoma"/>
            <family val="2"/>
            <charset val="204"/>
          </rPr>
          <t xml:space="preserve">Сообщить Эсли, чтобы откорректировал 10 рублей, у них 715 900 округляет
</t>
        </r>
      </text>
    </comment>
    <comment ref="L129" authorId="0">
      <text>
        <r>
          <rPr>
            <b/>
            <sz val="9"/>
            <color indexed="81"/>
            <rFont val="Tahoma"/>
            <family val="2"/>
            <charset val="204"/>
          </rPr>
          <t xml:space="preserve">было у Оли 9 740,39
</t>
        </r>
      </text>
    </comment>
    <comment ref="Q129" authorId="0">
      <text>
        <r>
          <rPr>
            <b/>
            <sz val="9"/>
            <color indexed="81"/>
            <rFont val="Tahoma"/>
            <family val="2"/>
            <charset val="204"/>
          </rPr>
          <t xml:space="preserve">было у Оли 9 740,39
</t>
        </r>
      </text>
    </comment>
    <comment ref="S129" authorId="0">
      <text>
        <r>
          <rPr>
            <b/>
            <sz val="9"/>
            <color indexed="81"/>
            <rFont val="Tahoma"/>
            <family val="2"/>
            <charset val="204"/>
          </rPr>
          <t xml:space="preserve">было у Оли 9 740,39
</t>
        </r>
      </text>
    </comment>
    <comment ref="B130" authorId="1">
      <text>
        <r>
          <rPr>
            <b/>
            <sz val="9"/>
            <color indexed="81"/>
            <rFont val="Tahoma"/>
            <family val="2"/>
            <charset val="204"/>
          </rPr>
          <t>должно быть 
с учетом доп средств 119 578,95</t>
        </r>
      </text>
    </comment>
    <comment ref="L137" authorId="0">
      <text>
        <r>
          <rPr>
            <b/>
            <sz val="9"/>
            <color indexed="81"/>
            <rFont val="Tahoma"/>
            <family val="2"/>
            <charset val="204"/>
          </rPr>
          <t>осталось обучить 25 чел</t>
        </r>
      </text>
    </comment>
    <comment ref="L149" authorId="0">
      <text>
        <r>
          <rPr>
            <b/>
            <sz val="9"/>
            <color indexed="81"/>
            <rFont val="Tahoma"/>
            <family val="2"/>
            <charset val="204"/>
          </rPr>
          <t xml:space="preserve">Компенсационную выплату работникам, находящимся в отпуске по уходу за ребенком до достижения им возраста 3-х лет:
- Лалаян Юлия Маратовна - 85р * 12 раз
</t>
        </r>
      </text>
    </comment>
    <comment ref="Q149" authorId="0">
      <text>
        <r>
          <rPr>
            <b/>
            <sz val="9"/>
            <color indexed="81"/>
            <rFont val="Tahoma"/>
            <family val="2"/>
            <charset val="204"/>
          </rPr>
          <t>Компенсационную выплату работникам, находящимся в отпуске по уходу за ребенком до достижения им возраста 3-х лет:
- Лалаян Юлия Маратовна - 85р * 5 раза</t>
        </r>
      </text>
    </comment>
    <comment ref="K152" authorId="0">
      <text>
        <r>
          <rPr>
            <b/>
            <sz val="9"/>
            <color indexed="81"/>
            <rFont val="Tahoma"/>
            <family val="2"/>
            <charset val="204"/>
          </rPr>
          <t>здесь план корректирую по факту Аниных авансовых за покупку конвертов</t>
        </r>
        <r>
          <rPr>
            <sz val="9"/>
            <color indexed="81"/>
            <rFont val="Tahoma"/>
            <family val="2"/>
            <charset val="204"/>
          </rPr>
          <t xml:space="preserve">
</t>
        </r>
      </text>
    </comment>
    <comment ref="K154" authorId="1">
      <text>
        <r>
          <rPr>
            <sz val="10"/>
            <color indexed="81"/>
            <rFont val="Tahoma"/>
            <family val="2"/>
            <charset val="204"/>
          </rPr>
          <t>защищенный канал между Энгельса 11 и проезд Советов 4 (ЦООД)</t>
        </r>
      </text>
    </comment>
    <comment ref="L159" authorId="0">
      <text>
        <r>
          <rPr>
            <b/>
            <sz val="9"/>
            <color indexed="81"/>
            <rFont val="Tahoma"/>
            <family val="2"/>
            <charset val="204"/>
          </rPr>
          <t xml:space="preserve">у Оли 1 199 595,54
</t>
        </r>
      </text>
    </comment>
    <comment ref="Q159" authorId="0">
      <text>
        <r>
          <rPr>
            <b/>
            <sz val="9"/>
            <color indexed="81"/>
            <rFont val="Tahoma"/>
            <family val="2"/>
            <charset val="204"/>
          </rPr>
          <t xml:space="preserve">у Оли 1 199 595,54
</t>
        </r>
      </text>
    </comment>
    <comment ref="S159" authorId="0">
      <text>
        <r>
          <rPr>
            <b/>
            <sz val="9"/>
            <color indexed="81"/>
            <rFont val="Tahoma"/>
            <family val="2"/>
            <charset val="204"/>
          </rPr>
          <t xml:space="preserve">у Оли 1 199 595,54
</t>
        </r>
      </text>
    </comment>
    <comment ref="I160" authorId="1">
      <text>
        <r>
          <rPr>
            <b/>
            <sz val="9"/>
            <color indexed="81"/>
            <rFont val="Tahoma"/>
            <family val="2"/>
            <charset val="204"/>
          </rPr>
          <t xml:space="preserve">здесь разбивка на 247 и 244 КВР
</t>
        </r>
      </text>
    </comment>
    <comment ref="L163" authorId="0">
      <text>
        <r>
          <rPr>
            <b/>
            <sz val="9"/>
            <color indexed="81"/>
            <rFont val="Tahoma"/>
            <family val="2"/>
            <charset val="204"/>
          </rPr>
          <t>годовая сумма 
12 428 476,80 по договору аренды, уже с учетом ТО инженерных систем</t>
        </r>
      </text>
    </comment>
    <comment ref="AY174" authorId="1">
      <text>
        <r>
          <rPr>
            <b/>
            <sz val="9"/>
            <color indexed="81"/>
            <rFont val="Tahoma"/>
            <family val="2"/>
            <charset val="204"/>
          </rPr>
          <t>по счету на оплату  продления домена 1009р. и хостинга 1400,00р. teatr-petrushka.ru на 1 год, по счету №56 от 10.02.2021</t>
        </r>
        <r>
          <rPr>
            <sz val="9"/>
            <color indexed="81"/>
            <rFont val="Tahoma"/>
            <family val="2"/>
            <charset val="204"/>
          </rPr>
          <t xml:space="preserve">
</t>
        </r>
      </text>
    </comment>
    <comment ref="K175" authorId="0">
      <text>
        <r>
          <rPr>
            <b/>
            <sz val="9"/>
            <color indexed="81"/>
            <rFont val="Tahoma"/>
            <family val="2"/>
            <charset val="204"/>
          </rPr>
          <t>приобретение доступа для 2 рабочих мест к зарплате 1 бухгалтеру и 1 кадрам. Приобретение права пользования 1С:Предприятие 8 ПРОФ. Клиентская лицензия на 1 рабочее место - 2 шт.</t>
        </r>
      </text>
    </comment>
    <comment ref="K176" authorId="0">
      <text>
        <r>
          <rPr>
            <b/>
            <sz val="9"/>
            <color indexed="81"/>
            <rFont val="Tahoma"/>
            <family val="2"/>
            <charset val="204"/>
          </rPr>
          <t>4 ключа 1 раз в год</t>
        </r>
        <r>
          <rPr>
            <sz val="9"/>
            <color indexed="81"/>
            <rFont val="Tahoma"/>
            <family val="2"/>
            <charset val="204"/>
          </rPr>
          <t xml:space="preserve">
</t>
        </r>
      </text>
    </comment>
    <comment ref="L184" authorId="0">
      <text>
        <r>
          <rPr>
            <b/>
            <sz val="9"/>
            <color indexed="81"/>
            <rFont val="Tahoma"/>
            <family val="2"/>
            <charset val="204"/>
          </rPr>
          <t xml:space="preserve">0,15% на зп
</t>
        </r>
      </text>
    </comment>
    <comment ref="K185" authorId="0">
      <text>
        <r>
          <rPr>
            <b/>
            <sz val="9"/>
            <color indexed="81"/>
            <rFont val="Tahoma"/>
            <family val="2"/>
            <charset val="204"/>
          </rPr>
          <t>для Назарова</t>
        </r>
      </text>
    </comment>
    <comment ref="K186" authorId="0">
      <text>
        <r>
          <rPr>
            <b/>
            <sz val="9"/>
            <color indexed="81"/>
            <rFont val="Tahoma"/>
            <family val="2"/>
            <charset val="204"/>
          </rPr>
          <t>3 шт</t>
        </r>
      </text>
    </comment>
    <comment ref="K187" authorId="0">
      <text>
        <r>
          <rPr>
            <b/>
            <sz val="9"/>
            <color indexed="81"/>
            <rFont val="Tahoma"/>
            <family val="2"/>
            <charset val="204"/>
          </rPr>
          <t>5 шт</t>
        </r>
        <r>
          <rPr>
            <sz val="9"/>
            <color indexed="81"/>
            <rFont val="Tahoma"/>
            <family val="2"/>
            <charset val="204"/>
          </rPr>
          <t xml:space="preserve">
</t>
        </r>
      </text>
    </comment>
    <comment ref="K188" authorId="0">
      <text>
        <r>
          <rPr>
            <b/>
            <sz val="9"/>
            <color indexed="81"/>
            <rFont val="Tahoma"/>
            <family val="2"/>
            <charset val="204"/>
          </rPr>
          <t>5 шт</t>
        </r>
      </text>
    </comment>
    <comment ref="V192" authorId="1">
      <text>
        <r>
          <rPr>
            <b/>
            <sz val="9"/>
            <color indexed="81"/>
            <rFont val="Tahoma"/>
            <family val="2"/>
            <charset val="204"/>
          </rPr>
          <t>Работает без печати</t>
        </r>
      </text>
    </comment>
    <comment ref="K194" authorId="1">
      <text>
        <r>
          <rPr>
            <sz val="9"/>
            <color indexed="81"/>
            <rFont val="Tahoma"/>
            <family val="2"/>
            <charset val="204"/>
          </rPr>
          <t>здесь можем только Спецодеждудля сотрудников купить, мягкие игрушки для подарков, но никакой мягкий инвентарь в рамках мероприятий купить не можем</t>
        </r>
      </text>
    </comment>
  </commentList>
</comments>
</file>

<file path=xl/comments6.xml><?xml version="1.0" encoding="utf-8"?>
<comments xmlns="http://schemas.openxmlformats.org/spreadsheetml/2006/main">
  <authors>
    <author>Nazarov</author>
    <author>Экономист</author>
    <author>Александр</author>
  </authors>
  <commentList>
    <comment ref="BA8" authorId="0">
      <text>
        <r>
          <rPr>
            <b/>
            <sz val="9"/>
            <color indexed="81"/>
            <rFont val="Tahoma"/>
            <family val="2"/>
            <charset val="204"/>
          </rPr>
          <t>это разрыв между начислением (кассовый метод) и для выполнения индикативного, это 1/2зп марта переносится из месяца в месяц и выравнивается в декабре</t>
        </r>
      </text>
    </comment>
    <comment ref="BB8" authorId="0">
      <text>
        <r>
          <rPr>
            <b/>
            <sz val="9"/>
            <color indexed="81"/>
            <rFont val="Tahoma"/>
            <family val="2"/>
            <charset val="204"/>
          </rPr>
          <t xml:space="preserve">индик 73668,5*44числ*3мес
</t>
        </r>
      </text>
    </comment>
    <comment ref="D10" authorId="0">
      <text>
        <r>
          <rPr>
            <b/>
            <sz val="10"/>
            <color indexed="81"/>
            <rFont val="Tahoma"/>
            <family val="2"/>
            <charset val="204"/>
          </rPr>
          <t>итогиСИ</t>
        </r>
        <r>
          <rPr>
            <sz val="10"/>
            <color indexed="81"/>
            <rFont val="Tahoma"/>
            <family val="2"/>
            <charset val="204"/>
          </rPr>
          <t xml:space="preserve">    - ИТОГИ Содержание имущества
</t>
        </r>
        <r>
          <rPr>
            <b/>
            <sz val="10"/>
            <color indexed="81"/>
            <rFont val="Tahoma"/>
            <family val="2"/>
            <charset val="204"/>
          </rPr>
          <t>СИ</t>
        </r>
        <r>
          <rPr>
            <sz val="10"/>
            <color indexed="81"/>
            <rFont val="Tahoma"/>
            <family val="2"/>
            <charset val="204"/>
          </rPr>
          <t xml:space="preserve">              - детальные строки Содержание Имущества
</t>
        </r>
        <r>
          <rPr>
            <b/>
            <sz val="10"/>
            <color indexed="81"/>
            <rFont val="Tahoma"/>
            <family val="2"/>
            <charset val="204"/>
          </rPr>
          <t>ОЦИ</t>
        </r>
        <r>
          <rPr>
            <sz val="10"/>
            <color indexed="81"/>
            <rFont val="Tahoma"/>
            <family val="2"/>
            <charset val="204"/>
          </rPr>
          <t xml:space="preserve">           - содержание Особо Ценного Имущества
</t>
        </r>
        <r>
          <rPr>
            <b/>
            <sz val="10"/>
            <color indexed="81"/>
            <rFont val="Tahoma"/>
            <family val="2"/>
            <charset val="204"/>
          </rPr>
          <t>Аврора</t>
        </r>
        <r>
          <rPr>
            <sz val="10"/>
            <color indexed="81"/>
            <rFont val="Tahoma"/>
            <family val="2"/>
            <charset val="204"/>
          </rPr>
          <t xml:space="preserve">       - содержание имущества в Авроре
</t>
        </r>
        <r>
          <rPr>
            <b/>
            <sz val="10"/>
            <color indexed="81"/>
            <rFont val="Tahoma"/>
            <family val="2"/>
            <charset val="204"/>
          </rPr>
          <t>неСИ</t>
        </r>
        <r>
          <rPr>
            <sz val="10"/>
            <color indexed="81"/>
            <rFont val="Tahoma"/>
            <family val="2"/>
            <charset val="204"/>
          </rPr>
          <t xml:space="preserve">          - не содержание имущества, т.к. к СИ относим </t>
        </r>
        <r>
          <rPr>
            <b/>
            <u/>
            <sz val="10"/>
            <color indexed="81"/>
            <rFont val="Tahoma"/>
            <family val="2"/>
            <charset val="204"/>
          </rPr>
          <t>ТОЛЬКО</t>
        </r>
        <r>
          <rPr>
            <sz val="10"/>
            <color indexed="81"/>
            <rFont val="Tahoma"/>
            <family val="2"/>
            <charset val="204"/>
          </rPr>
          <t xml:space="preserve"> содержание </t>
        </r>
        <r>
          <rPr>
            <b/>
            <u/>
            <sz val="10"/>
            <color indexed="81"/>
            <rFont val="Tahoma"/>
            <family val="2"/>
            <charset val="204"/>
          </rPr>
          <t>МУНИЦИПАЛЬНОГО</t>
        </r>
        <r>
          <rPr>
            <sz val="10"/>
            <color indexed="81"/>
            <rFont val="Tahoma"/>
            <family val="2"/>
            <charset val="204"/>
          </rPr>
          <t xml:space="preserve"> имущества</t>
        </r>
      </text>
    </comment>
    <comment ref="P12" authorId="1">
      <text>
        <r>
          <rPr>
            <b/>
            <sz val="9"/>
            <color indexed="81"/>
            <rFont val="Tahoma"/>
            <family val="2"/>
            <charset val="204"/>
          </rPr>
          <t>ЦООД сам считает НРО по з/п нам им подавать на эти цели не нужно</t>
        </r>
        <r>
          <rPr>
            <sz val="9"/>
            <color indexed="81"/>
            <rFont val="Tahoma"/>
            <family val="2"/>
            <charset val="204"/>
          </rPr>
          <t xml:space="preserve">
</t>
        </r>
      </text>
    </comment>
    <comment ref="AW12" authorId="0">
      <text>
        <r>
          <rPr>
            <sz val="9"/>
            <color indexed="81"/>
            <rFont val="Tahoma"/>
            <family val="2"/>
            <charset val="204"/>
          </rPr>
          <t xml:space="preserve">только аванс января
</t>
        </r>
      </text>
    </comment>
    <comment ref="AY12" authorId="0">
      <text>
        <r>
          <rPr>
            <b/>
            <sz val="9"/>
            <color indexed="81"/>
            <rFont val="Tahoma"/>
            <family val="2"/>
            <charset val="204"/>
          </rPr>
          <t xml:space="preserve">средняя з/п за месяц без премий и т.п.
</t>
        </r>
      </text>
    </comment>
    <comment ref="BA12" authorId="0">
      <text>
        <r>
          <rPr>
            <b/>
            <sz val="9"/>
            <color indexed="81"/>
            <rFont val="Tahoma"/>
            <family val="2"/>
            <charset val="204"/>
          </rPr>
          <t xml:space="preserve">+ премия к дню работника культуры 1 ФОТ+ ежекв.премия
</t>
        </r>
      </text>
    </comment>
    <comment ref="BE12" authorId="0">
      <text>
        <r>
          <rPr>
            <b/>
            <sz val="9"/>
            <color indexed="81"/>
            <rFont val="Tahoma"/>
            <family val="2"/>
            <charset val="204"/>
          </rPr>
          <t>отпуска + мат.помощь к отпуску основной массы работников (пропорция примерно 2,8 к обычной з/п)</t>
        </r>
      </text>
    </comment>
    <comment ref="BG12" authorId="0">
      <text>
        <r>
          <rPr>
            <b/>
            <sz val="9"/>
            <color indexed="81"/>
            <rFont val="Tahoma"/>
            <family val="2"/>
            <charset val="204"/>
          </rPr>
          <t xml:space="preserve">плюс квартальная
</t>
        </r>
      </text>
    </comment>
    <comment ref="BS12" authorId="0">
      <text>
        <r>
          <rPr>
            <b/>
            <sz val="9"/>
            <color indexed="81"/>
            <rFont val="Tahoma"/>
            <family val="2"/>
            <charset val="204"/>
          </rPr>
          <t xml:space="preserve">1/2 ноября, + весь декабрь +ежекварт.
 премии + годовая
</t>
        </r>
      </text>
    </comment>
    <comment ref="H13" authorId="1">
      <text>
        <r>
          <rPr>
            <b/>
            <sz val="9"/>
            <color indexed="81"/>
            <rFont val="Tahoma"/>
            <family val="2"/>
            <charset val="204"/>
          </rPr>
          <t>компенсация внебюджет в рамках МЗ</t>
        </r>
      </text>
    </comment>
    <comment ref="P13" authorId="1">
      <text>
        <r>
          <rPr>
            <b/>
            <sz val="9"/>
            <color indexed="81"/>
            <rFont val="Tahoma"/>
            <family val="2"/>
            <charset val="204"/>
          </rPr>
          <t>ЦООД сам считает НРО по з/п нам им подавать на эти цели не нужно</t>
        </r>
        <r>
          <rPr>
            <sz val="9"/>
            <color indexed="81"/>
            <rFont val="Tahoma"/>
            <family val="2"/>
            <charset val="204"/>
          </rPr>
          <t xml:space="preserve">
</t>
        </r>
      </text>
    </comment>
    <comment ref="AW13" authorId="0">
      <text>
        <r>
          <rPr>
            <sz val="9"/>
            <color indexed="81"/>
            <rFont val="Tahoma"/>
            <family val="2"/>
            <charset val="204"/>
          </rPr>
          <t xml:space="preserve">только аванс января
</t>
        </r>
      </text>
    </comment>
    <comment ref="AY13" authorId="0">
      <text>
        <r>
          <rPr>
            <b/>
            <sz val="9"/>
            <color indexed="81"/>
            <rFont val="Tahoma"/>
            <family val="2"/>
            <charset val="204"/>
          </rPr>
          <t xml:space="preserve">средняя з/п за месяц без премий и т.п.
</t>
        </r>
      </text>
    </comment>
    <comment ref="BA13" authorId="0">
      <text>
        <r>
          <rPr>
            <b/>
            <sz val="9"/>
            <color indexed="81"/>
            <rFont val="Tahoma"/>
            <family val="2"/>
            <charset val="204"/>
          </rPr>
          <t xml:space="preserve">+ премия к дню работника культуры 1 ФОТ+ ежекв.премия
</t>
        </r>
      </text>
    </comment>
    <comment ref="BE13" authorId="0">
      <text>
        <r>
          <rPr>
            <b/>
            <sz val="9"/>
            <color indexed="81"/>
            <rFont val="Tahoma"/>
            <family val="2"/>
            <charset val="204"/>
          </rPr>
          <t>отпуска + мат.помощь к отпуску основной массы работников (пропорция примерно 2,8 к обычной з/п)</t>
        </r>
      </text>
    </comment>
    <comment ref="BG13" authorId="0">
      <text>
        <r>
          <rPr>
            <b/>
            <sz val="9"/>
            <color indexed="81"/>
            <rFont val="Tahoma"/>
            <family val="2"/>
            <charset val="204"/>
          </rPr>
          <t xml:space="preserve">плюс квартальная
</t>
        </r>
      </text>
    </comment>
    <comment ref="BS13" authorId="0">
      <text>
        <r>
          <rPr>
            <b/>
            <sz val="9"/>
            <color indexed="81"/>
            <rFont val="Tahoma"/>
            <family val="2"/>
            <charset val="204"/>
          </rPr>
          <t xml:space="preserve">1/2 ноября, + весь декабрь +ежекварт.
 премии + годовая
</t>
        </r>
      </text>
    </comment>
    <comment ref="N14" authorId="1">
      <text>
        <r>
          <rPr>
            <sz val="9"/>
            <color indexed="81"/>
            <rFont val="Tahoma"/>
            <family val="2"/>
            <charset val="204"/>
          </rPr>
          <t>минус 370 000, это перенос на КСГУ 266 4 дня оплачиваемого отпуска по уходу за ребенком -инвалидом с 2021 года на 266 отражается</t>
        </r>
      </text>
    </comment>
    <comment ref="H15" authorId="1">
      <text>
        <r>
          <rPr>
            <b/>
            <sz val="9"/>
            <color indexed="81"/>
            <rFont val="Tahoma"/>
            <family val="2"/>
            <charset val="204"/>
          </rPr>
          <t>компенсация внебюджет в рамках МЗ</t>
        </r>
      </text>
    </comment>
    <comment ref="F16" authorId="0">
      <text>
        <r>
          <rPr>
            <b/>
            <sz val="9"/>
            <color indexed="81"/>
            <rFont val="Tahoma"/>
            <family val="2"/>
            <charset val="204"/>
          </rPr>
          <t>прошлых лет</t>
        </r>
      </text>
    </comment>
    <comment ref="K16" authorId="0">
      <text>
        <r>
          <rPr>
            <b/>
            <sz val="9"/>
            <color indexed="81"/>
            <rFont val="Tahoma"/>
            <family val="2"/>
            <charset val="204"/>
          </rPr>
          <t>прошлых лет</t>
        </r>
      </text>
    </comment>
    <comment ref="L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Q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S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L19" authorId="0">
      <text>
        <r>
          <rPr>
            <b/>
            <sz val="9"/>
            <color indexed="81"/>
            <rFont val="Tahoma"/>
            <family val="2"/>
            <charset val="204"/>
          </rPr>
          <t>2 чел</t>
        </r>
      </text>
    </comment>
    <comment ref="Q19" authorId="0">
      <text>
        <r>
          <rPr>
            <b/>
            <sz val="9"/>
            <color indexed="81"/>
            <rFont val="Tahoma"/>
            <family val="2"/>
            <charset val="204"/>
          </rPr>
          <t>2 чел</t>
        </r>
      </text>
    </comment>
    <comment ref="S19" authorId="0">
      <text>
        <r>
          <rPr>
            <b/>
            <sz val="9"/>
            <color indexed="81"/>
            <rFont val="Tahoma"/>
            <family val="2"/>
            <charset val="204"/>
          </rPr>
          <t>2 чел</t>
        </r>
      </text>
    </comment>
    <comment ref="L20" authorId="0">
      <text>
        <r>
          <rPr>
            <b/>
            <sz val="9"/>
            <color indexed="81"/>
            <rFont val="Tahoma"/>
            <family val="2"/>
            <charset val="204"/>
          </rPr>
          <t xml:space="preserve">3 чел по 5000
</t>
        </r>
        <r>
          <rPr>
            <sz val="9"/>
            <color indexed="81"/>
            <rFont val="Tahoma"/>
            <family val="2"/>
            <charset val="204"/>
          </rPr>
          <t xml:space="preserve">
</t>
        </r>
      </text>
    </comment>
    <comment ref="Q20" authorId="0">
      <text>
        <r>
          <rPr>
            <b/>
            <sz val="9"/>
            <color indexed="81"/>
            <rFont val="Tahoma"/>
            <family val="2"/>
            <charset val="204"/>
          </rPr>
          <t xml:space="preserve">3 чел по 5000
</t>
        </r>
        <r>
          <rPr>
            <sz val="9"/>
            <color indexed="81"/>
            <rFont val="Tahoma"/>
            <family val="2"/>
            <charset val="204"/>
          </rPr>
          <t xml:space="preserve">
</t>
        </r>
      </text>
    </comment>
    <comment ref="S20" authorId="0">
      <text>
        <r>
          <rPr>
            <b/>
            <sz val="9"/>
            <color indexed="81"/>
            <rFont val="Tahoma"/>
            <family val="2"/>
            <charset val="204"/>
          </rPr>
          <t xml:space="preserve">3 чел по 5000
</t>
        </r>
        <r>
          <rPr>
            <sz val="9"/>
            <color indexed="81"/>
            <rFont val="Tahoma"/>
            <family val="2"/>
            <charset val="204"/>
          </rPr>
          <t xml:space="preserve">
</t>
        </r>
      </text>
    </comment>
    <comment ref="L21" authorId="0">
      <text>
        <r>
          <rPr>
            <b/>
            <sz val="10"/>
            <color indexed="81"/>
            <rFont val="Tahoma"/>
            <family val="2"/>
            <charset val="204"/>
          </rPr>
          <t>Согласно Коллективного договора (там еще на стр.17 есть сылка на Постановление Адм и Решение Думы)</t>
        </r>
        <r>
          <rPr>
            <b/>
            <u/>
            <sz val="10"/>
            <color indexed="81"/>
            <rFont val="Tahoma"/>
            <family val="2"/>
            <charset val="204"/>
          </rPr>
          <t xml:space="preserve">
на КВР 111 КОСГУ 266 перенес 6000 (остался на 211 запас 2000 + 2000 от Черемных осталось)</t>
        </r>
        <r>
          <rPr>
            <b/>
            <sz val="9"/>
            <color indexed="81"/>
            <rFont val="Tahoma"/>
            <family val="2"/>
            <charset val="204"/>
          </rPr>
          <t xml:space="preserve">
Находящимся по уходу за ребенком до трех лет:
</t>
        </r>
        <r>
          <rPr>
            <sz val="9"/>
            <color indexed="81"/>
            <rFont val="Tahoma"/>
            <family val="2"/>
            <charset val="204"/>
          </rPr>
          <t xml:space="preserve">- Решетова Мария Николаевна 1000 * 4 раза, за 4 квартал заявление не написали поэтому будет 3 раза
- Гиренко Виорика Валерьевна 1000 * 4 раза, за 4 квартал заявление не написали поэтому будет 3 раза
</t>
        </r>
        <r>
          <rPr>
            <b/>
            <sz val="9"/>
            <color indexed="81"/>
            <rFont val="Tahoma"/>
            <family val="2"/>
            <charset val="204"/>
          </rPr>
          <t xml:space="preserve">
</t>
        </r>
        <r>
          <rPr>
            <b/>
            <u/>
            <sz val="10"/>
            <color indexed="81"/>
            <rFont val="Tahoma"/>
            <family val="2"/>
            <charset val="204"/>
          </rPr>
          <t>Останутся на КВР111 КОСГУ 211</t>
        </r>
        <r>
          <rPr>
            <b/>
            <sz val="9"/>
            <color indexed="81"/>
            <rFont val="Tahoma"/>
            <family val="2"/>
            <charset val="204"/>
          </rPr>
          <t xml:space="preserve">
Имеющим на иждивении ребенка-инвалида, инвалида I, II, III группы с причиной инвалидности "инвалид с детства":
</t>
        </r>
        <r>
          <rPr>
            <sz val="9"/>
            <color indexed="81"/>
            <rFont val="Tahoma"/>
            <family val="2"/>
            <charset val="204"/>
          </rPr>
          <t>- Мурзина Галина Николаевна 1000 * 4 раза
- Гречушникова Екатерина Николаевна 1000 * 4 раза</t>
        </r>
        <r>
          <rPr>
            <b/>
            <sz val="9"/>
            <color indexed="81"/>
            <rFont val="Tahoma"/>
            <family val="2"/>
            <charset val="204"/>
          </rPr>
          <t xml:space="preserve">
- уволился его убираем </t>
        </r>
        <r>
          <rPr>
            <sz val="9"/>
            <color indexed="81"/>
            <rFont val="Tahoma"/>
            <family val="2"/>
            <charset val="204"/>
          </rPr>
          <t>Черемных Максим Владимирович 1000 * 4 раза (2000 перешло на Мулачанова) 2000 запас</t>
        </r>
        <r>
          <rPr>
            <b/>
            <sz val="9"/>
            <color indexed="81"/>
            <rFont val="Tahoma"/>
            <family val="2"/>
            <charset val="204"/>
          </rPr>
          <t xml:space="preserve">
Имеющим трех и более детей в возрасте до 18 лет:
</t>
        </r>
        <r>
          <rPr>
            <sz val="9"/>
            <color indexed="81"/>
            <rFont val="Tahoma"/>
            <family val="2"/>
            <charset val="204"/>
          </rPr>
          <t xml:space="preserve">- Соловьев Иван Викторович 1000 * 4 раза
- Репина (вместо ошибочной Кондратьева Екатерина Константиновна) 1000 * 4 раза
- Дремин Алексей Анатольевич  1000 * 4 раза
- Шарова Анна (вместо Карасик Наиля Ильгизяровна) 1000 * 4 раза 
</t>
        </r>
        <r>
          <rPr>
            <b/>
            <sz val="9"/>
            <color indexed="81"/>
            <rFont val="Tahoma"/>
            <family val="2"/>
            <charset val="204"/>
          </rPr>
          <t>- добавился</t>
        </r>
        <r>
          <rPr>
            <sz val="9"/>
            <color indexed="81"/>
            <rFont val="Tahoma"/>
            <family val="2"/>
            <charset val="204"/>
          </rPr>
          <t xml:space="preserve"> Мулачанов Рустам Равильевич 1000 * 2 раза (т.к.  1 квартал не полный)</t>
        </r>
        <r>
          <rPr>
            <b/>
            <sz val="9"/>
            <color indexed="81"/>
            <rFont val="Tahoma"/>
            <family val="2"/>
            <charset val="204"/>
          </rPr>
          <t xml:space="preserve">
По бухгалтерии они просто получают выплату как "материальная помощь"
</t>
        </r>
      </text>
    </comment>
    <comment ref="Q21"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4 раза
</t>
        </r>
        <r>
          <rPr>
            <sz val="9"/>
            <color indexed="81"/>
            <rFont val="Tahoma"/>
            <family val="2"/>
            <charset val="204"/>
          </rPr>
          <t>- Гиренко Виорика Валерьевна 1000</t>
        </r>
        <r>
          <rPr>
            <b/>
            <sz val="9"/>
            <color indexed="81"/>
            <rFont val="Tahoma"/>
            <family val="2"/>
            <charset val="204"/>
          </rPr>
          <t xml:space="preserve"> * 4 раза
</t>
        </r>
        <r>
          <rPr>
            <sz val="9"/>
            <color indexed="81"/>
            <rFont val="Tahoma"/>
            <family val="2"/>
            <charset val="204"/>
          </rPr>
          <t>- Гречушникова Екатерина Николаевна 1000</t>
        </r>
        <r>
          <rPr>
            <b/>
            <sz val="9"/>
            <color indexed="81"/>
            <rFont val="Tahoma"/>
            <family val="2"/>
            <charset val="204"/>
          </rPr>
          <t xml:space="preserve"> * 2 раза !!!!!!!!!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4 раза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S21"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3 раза !!!!!!!!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3 раза !!!!!!!!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L24" authorId="0">
      <text>
        <r>
          <rPr>
            <b/>
            <sz val="10"/>
            <color indexed="81"/>
            <rFont val="Tahoma"/>
            <family val="2"/>
            <charset val="204"/>
          </rPr>
          <t>Согласно Коллективного договора (там еще на стр.17 есть сылка на Постановление Адм и Решение Думы)</t>
        </r>
        <r>
          <rPr>
            <b/>
            <u/>
            <sz val="10"/>
            <color indexed="81"/>
            <rFont val="Tahoma"/>
            <family val="2"/>
            <charset val="204"/>
          </rPr>
          <t xml:space="preserve">
на КВР 111 КОСГУ 266 перенес 6000 (остался на 211 запас 2000 + 2000 от Черемных осталось)</t>
        </r>
        <r>
          <rPr>
            <b/>
            <sz val="9"/>
            <color indexed="81"/>
            <rFont val="Tahoma"/>
            <family val="2"/>
            <charset val="204"/>
          </rPr>
          <t xml:space="preserve">
Находящимся по уходу за ребенком до трех лет:
</t>
        </r>
        <r>
          <rPr>
            <sz val="9"/>
            <color indexed="81"/>
            <rFont val="Tahoma"/>
            <family val="2"/>
            <charset val="204"/>
          </rPr>
          <t>- Решетова Мария Николаевна 1000 * 4 раза, за 4 квартал заявление не написали поэтому будет 3 раза
- Гиренко Виорика Валерьевна 1000 * 4 раза, за 4 квартал заявление не написали поэтому будет 3 раза</t>
        </r>
        <r>
          <rPr>
            <b/>
            <sz val="9"/>
            <color indexed="81"/>
            <rFont val="Tahoma"/>
            <family val="2"/>
            <charset val="204"/>
          </rPr>
          <t xml:space="preserve">
</t>
        </r>
      </text>
    </comment>
    <comment ref="L25"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Q25"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S25"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K26" authorId="1">
      <text>
        <r>
          <rPr>
            <b/>
            <u/>
            <sz val="10"/>
            <color indexed="81"/>
            <rFont val="Tahoma"/>
            <family val="2"/>
            <charset val="204"/>
          </rPr>
          <t xml:space="preserve">2 работника могут воспользоваться:
- Мурзина (ставлю 10 раз т.к. </t>
        </r>
        <r>
          <rPr>
            <sz val="10"/>
            <color indexed="81"/>
            <rFont val="Tahoma"/>
            <family val="2"/>
            <charset val="204"/>
          </rPr>
          <t>пока она сама не знает, была операция у ребенка) у Мурзиной (зп за январь 37 691,54р.) средникй размер за 4 дня  зп + начисления за январь 12260р. в 1С показало, считаются как и отпускные за посление 12 мес, поэтому сумма может сильно варьироваться.</t>
        </r>
        <r>
          <rPr>
            <b/>
            <u/>
            <sz val="10"/>
            <color indexed="81"/>
            <rFont val="Tahoma"/>
            <family val="2"/>
            <charset val="204"/>
          </rPr>
          <t xml:space="preserve"> Для расчета взял 13000
</t>
        </r>
        <r>
          <rPr>
            <sz val="10"/>
            <color indexed="81"/>
            <rFont val="Tahoma"/>
            <family val="2"/>
            <charset val="204"/>
          </rPr>
          <t>-</t>
        </r>
        <r>
          <rPr>
            <b/>
            <sz val="10"/>
            <color indexed="81"/>
            <rFont val="Tahoma"/>
            <family val="2"/>
            <charset val="204"/>
          </rPr>
          <t xml:space="preserve"> Дремин </t>
        </r>
        <r>
          <rPr>
            <sz val="10"/>
            <color indexed="81"/>
            <rFont val="Tahoma"/>
            <family val="2"/>
            <charset val="204"/>
          </rPr>
          <t xml:space="preserve">сказал что не больше </t>
        </r>
        <r>
          <rPr>
            <b/>
            <sz val="10"/>
            <color indexed="81"/>
            <rFont val="Tahoma"/>
            <family val="2"/>
            <charset val="204"/>
          </rPr>
          <t xml:space="preserve">5 раз </t>
        </r>
        <r>
          <rPr>
            <sz val="10"/>
            <color indexed="81"/>
            <rFont val="Tahoma"/>
            <family val="2"/>
            <charset val="204"/>
          </rPr>
          <t xml:space="preserve">воспользуется (но скорее всего 2-3 раза всего возьмет) (зп январь 70 375,50р.) в пропорции от Мурзиной будет 13000 это 54% итого </t>
        </r>
        <r>
          <rPr>
            <b/>
            <sz val="10"/>
            <color indexed="81"/>
            <rFont val="Tahoma"/>
            <family val="2"/>
            <charset val="204"/>
          </rPr>
          <t>будет примерно 24 000 руб.</t>
        </r>
        <r>
          <rPr>
            <sz val="10"/>
            <color indexed="81"/>
            <rFont val="Tahoma"/>
            <family val="2"/>
            <charset val="204"/>
          </rPr>
          <t xml:space="preserve">
</t>
        </r>
        <r>
          <rPr>
            <b/>
            <u/>
            <sz val="10"/>
            <color indexed="81"/>
            <rFont val="Tahoma"/>
            <family val="2"/>
            <charset val="204"/>
          </rPr>
          <t xml:space="preserve">
Здесь и зп и начисления на зп одновременно по КВР 111 ГОСГУ 266</t>
        </r>
        <r>
          <rPr>
            <sz val="9"/>
            <color indexed="81"/>
            <rFont val="Tahoma"/>
            <family val="2"/>
            <charset val="204"/>
          </rPr>
          <t xml:space="preserve">
Раньше эти расходы были на КВР 111 КОСГУ 213
четыре дополнительных оплачиваемых выходных дня в месяц для ухода за детьми-инвалидами установлена ст. 262 ТК РФ. Каждый дополнительный выходной день оплачивается в размере среднего заработка.
Частью 17 ст. 37 Федерального закона от 24.07.2009 № 213-ФЗ, п. 8 положения о ФСС РФ, утв. постановлением Правительства РФ от 12.02.1994 № 101, установлено, что финансовое обеспечение расходов на оплату дополнительных выходных дней для ухода за детьми-инвалидами (включая начисленные страховые взносы в государственные внебюджетные фонды) осуществляется за счет межбюджетных трансфертов из федерального бюджета, предоставляемых бюджету ФСС РФ. Таким образом, эти расходы не являются обязательством учреждения.
</t>
        </r>
        <r>
          <rPr>
            <b/>
            <sz val="10"/>
            <color indexed="81"/>
            <rFont val="Tahoma"/>
            <family val="2"/>
            <charset val="204"/>
          </rPr>
          <t>С 2021 года на всей территории РФ действует механизм прямых выплат,</t>
        </r>
        <r>
          <rPr>
            <sz val="9"/>
            <color indexed="81"/>
            <rFont val="Tahoma"/>
            <family val="2"/>
            <charset val="204"/>
          </rPr>
          <t xml:space="preserve"> предусматривающий выплату пособий напрямую из ФСС РФ, а не через работодателя. </t>
        </r>
        <r>
          <rPr>
            <u/>
            <sz val="10"/>
            <color indexed="81"/>
            <rFont val="Tahoma"/>
            <family val="2"/>
            <charset val="204"/>
          </rPr>
          <t xml:space="preserve">Выплата среднего заработка за дополнительные выходные дни (не более четырех в месяц) по уходу за детьми-инвалидами </t>
        </r>
        <r>
          <rPr>
            <b/>
            <u/>
            <sz val="11"/>
            <color indexed="81"/>
            <rFont val="Tahoma"/>
            <family val="2"/>
            <charset val="204"/>
          </rPr>
          <t>является исключением</t>
        </r>
        <r>
          <rPr>
            <u/>
            <sz val="10"/>
            <color indexed="81"/>
            <rFont val="Tahoma"/>
            <family val="2"/>
            <charset val="204"/>
          </rPr>
          <t>.</t>
        </r>
        <r>
          <rPr>
            <sz val="9"/>
            <color indexed="81"/>
            <rFont val="Tahoma"/>
            <family val="2"/>
            <charset val="204"/>
          </rPr>
          <t xml:space="preserve"> Работодатель должен назначить и выплатить физлицу средний заработок, впоследствии фонд возместит такие расходы.
Оплата четырех дополнительных выходных дней в месяц родителю (опекуну, попечителю) для ухода за детьми-инвалидами отражается по элементу</t>
        </r>
        <r>
          <rPr>
            <b/>
            <u/>
            <sz val="9"/>
            <color indexed="81"/>
            <rFont val="Tahoma"/>
            <family val="2"/>
            <charset val="204"/>
          </rPr>
          <t xml:space="preserve"> видов расходов 119 "</t>
        </r>
        <r>
          <rPr>
            <sz val="9"/>
            <color indexed="81"/>
            <rFont val="Tahoma"/>
            <family val="2"/>
            <charset val="204"/>
          </rPr>
          <t xml:space="preserve">Взносы по обязательному социальному страхованию на выплаты по оплате труда работников и иные выплаты работникам учреждений" и </t>
        </r>
        <r>
          <rPr>
            <b/>
            <u/>
            <sz val="9"/>
            <color indexed="81"/>
            <rFont val="Tahoma"/>
            <family val="2"/>
            <charset val="204"/>
          </rPr>
          <t xml:space="preserve">подстатье 266 "Социальные пособия и компенсации персоналу в денежной форме" КОСГУ. </t>
        </r>
        <r>
          <rPr>
            <sz val="9"/>
            <color indexed="81"/>
            <rFont val="Tahoma"/>
            <family val="2"/>
            <charset val="204"/>
          </rPr>
          <t>Это установлено п. 48.1.4 порядка, утв. приказом Минфина России от 06.06.2019 № 85н, п. 10.6.6 порядка, утв. приказом Минфина России от 29.11.2017 № 209н.</t>
        </r>
      </text>
    </comment>
    <comment ref="L26" authorId="1">
      <text>
        <r>
          <rPr>
            <b/>
            <u/>
            <sz val="10"/>
            <color indexed="81"/>
            <rFont val="Tahoma"/>
            <family val="2"/>
            <charset val="204"/>
          </rPr>
          <t xml:space="preserve">2 работника могут воспользоваться:
- Мурзина (ставлю 10 раз т.к. </t>
        </r>
        <r>
          <rPr>
            <sz val="10"/>
            <color indexed="81"/>
            <rFont val="Tahoma"/>
            <family val="2"/>
            <charset val="204"/>
          </rPr>
          <t>пока она сама не знает, была операция у ребенка) у Мурзиной (зп за январь 37 691,54р.) средникй размер за 4 дня  зп + начисления за январь 12260р. в 1С показало, считаются как и отпускные за посление 12 мес, поэтому сумма может сильно варьироваться.</t>
        </r>
        <r>
          <rPr>
            <b/>
            <u/>
            <sz val="10"/>
            <color indexed="81"/>
            <rFont val="Tahoma"/>
            <family val="2"/>
            <charset val="204"/>
          </rPr>
          <t xml:space="preserve"> Для расчета взял 13000
</t>
        </r>
        <r>
          <rPr>
            <sz val="10"/>
            <color indexed="81"/>
            <rFont val="Tahoma"/>
            <family val="2"/>
            <charset val="204"/>
          </rPr>
          <t>-</t>
        </r>
        <r>
          <rPr>
            <b/>
            <sz val="10"/>
            <color indexed="81"/>
            <rFont val="Tahoma"/>
            <family val="2"/>
            <charset val="204"/>
          </rPr>
          <t xml:space="preserve"> Дремин </t>
        </r>
        <r>
          <rPr>
            <sz val="10"/>
            <color indexed="81"/>
            <rFont val="Tahoma"/>
            <family val="2"/>
            <charset val="204"/>
          </rPr>
          <t xml:space="preserve">сказал что не больше </t>
        </r>
        <r>
          <rPr>
            <b/>
            <sz val="10"/>
            <color indexed="81"/>
            <rFont val="Tahoma"/>
            <family val="2"/>
            <charset val="204"/>
          </rPr>
          <t xml:space="preserve">5 раз </t>
        </r>
        <r>
          <rPr>
            <sz val="10"/>
            <color indexed="81"/>
            <rFont val="Tahoma"/>
            <family val="2"/>
            <charset val="204"/>
          </rPr>
          <t xml:space="preserve">воспользуется (но скорее всего 2-3 раза всего возьмет) (зп январь 70 375,50р.) в пропорции от Мурзиной будет 13000 это 54% итого </t>
        </r>
        <r>
          <rPr>
            <b/>
            <sz val="10"/>
            <color indexed="81"/>
            <rFont val="Tahoma"/>
            <family val="2"/>
            <charset val="204"/>
          </rPr>
          <t>будет примерно 24 000 руб.</t>
        </r>
        <r>
          <rPr>
            <sz val="10"/>
            <color indexed="81"/>
            <rFont val="Tahoma"/>
            <family val="2"/>
            <charset val="204"/>
          </rPr>
          <t xml:space="preserve">
</t>
        </r>
        <r>
          <rPr>
            <b/>
            <u/>
            <sz val="10"/>
            <color indexed="81"/>
            <rFont val="Tahoma"/>
            <family val="2"/>
            <charset val="204"/>
          </rPr>
          <t xml:space="preserve">
Здесь и зп и начисления на зп одновременно по КВР 111 ГОСГУ 266</t>
        </r>
        <r>
          <rPr>
            <sz val="9"/>
            <color indexed="81"/>
            <rFont val="Tahoma"/>
            <family val="2"/>
            <charset val="204"/>
          </rPr>
          <t xml:space="preserve">
Раньше эти расходы были на КВР 111 КОСГУ 213
четыре дополнительных оплачиваемых выходных дня в месяц для ухода за детьми-инвалидами установлена ст. 262 ТК РФ. Каждый дополнительный выходной день оплачивается в размере среднего заработка.
Частью 17 ст. 37 Федерального закона от 24.07.2009 № 213-ФЗ, п. 8 положения о ФСС РФ, утв. постановлением Правительства РФ от 12.02.1994 № 101, установлено, что финансовое обеспечение расходов на оплату дополнительных выходных дней для ухода за детьми-инвалидами (включая начисленные страховые взносы в государственные внебюджетные фонды) осуществляется за счет межбюджетных трансфертов из федерального бюджета, предоставляемых бюджету ФСС РФ. Таким образом, эти расходы не являются обязательством учреждения.
</t>
        </r>
        <r>
          <rPr>
            <b/>
            <sz val="10"/>
            <color indexed="81"/>
            <rFont val="Tahoma"/>
            <family val="2"/>
            <charset val="204"/>
          </rPr>
          <t>С 2021 года на всей территории РФ действует механизм прямых выплат,</t>
        </r>
        <r>
          <rPr>
            <sz val="9"/>
            <color indexed="81"/>
            <rFont val="Tahoma"/>
            <family val="2"/>
            <charset val="204"/>
          </rPr>
          <t xml:space="preserve"> предусматривающий выплату пособий напрямую из ФСС РФ, а не через работодателя. </t>
        </r>
        <r>
          <rPr>
            <u/>
            <sz val="10"/>
            <color indexed="81"/>
            <rFont val="Tahoma"/>
            <family val="2"/>
            <charset val="204"/>
          </rPr>
          <t xml:space="preserve">Выплата среднего заработка за дополнительные выходные дни (не более четырех в месяц) по уходу за детьми-инвалидами </t>
        </r>
        <r>
          <rPr>
            <b/>
            <u/>
            <sz val="11"/>
            <color indexed="81"/>
            <rFont val="Tahoma"/>
            <family val="2"/>
            <charset val="204"/>
          </rPr>
          <t>является исключением</t>
        </r>
        <r>
          <rPr>
            <u/>
            <sz val="10"/>
            <color indexed="81"/>
            <rFont val="Tahoma"/>
            <family val="2"/>
            <charset val="204"/>
          </rPr>
          <t>.</t>
        </r>
        <r>
          <rPr>
            <sz val="9"/>
            <color indexed="81"/>
            <rFont val="Tahoma"/>
            <family val="2"/>
            <charset val="204"/>
          </rPr>
          <t xml:space="preserve"> Работодатель должен назначить и выплатить физлицу средний заработок, впоследствии фонд возместит такие расходы.
Оплата четырех дополнительных выходных дней в месяц родителю (опекуну, попечителю) для ухода за детьми-инвалидами отражается по элементу</t>
        </r>
        <r>
          <rPr>
            <b/>
            <u/>
            <sz val="9"/>
            <color indexed="81"/>
            <rFont val="Tahoma"/>
            <family val="2"/>
            <charset val="204"/>
          </rPr>
          <t xml:space="preserve"> видов расходов 119 "</t>
        </r>
        <r>
          <rPr>
            <sz val="9"/>
            <color indexed="81"/>
            <rFont val="Tahoma"/>
            <family val="2"/>
            <charset val="204"/>
          </rPr>
          <t xml:space="preserve">Взносы по обязательному социальному страхованию на выплаты по оплате труда работников и иные выплаты работникам учреждений" и </t>
        </r>
        <r>
          <rPr>
            <b/>
            <u/>
            <sz val="9"/>
            <color indexed="81"/>
            <rFont val="Tahoma"/>
            <family val="2"/>
            <charset val="204"/>
          </rPr>
          <t xml:space="preserve">подстатье 266 "Социальные пособия и компенсации персоналу в денежной форме" КОСГУ. </t>
        </r>
        <r>
          <rPr>
            <sz val="9"/>
            <color indexed="81"/>
            <rFont val="Tahoma"/>
            <family val="2"/>
            <charset val="204"/>
          </rPr>
          <t>Это установлено п. 48.1.4 порядка, утв. приказом Минфина России от 06.06.2019 № 85н, п. 10.6.6 порядка, утв. приказом Минфина России от 29.11.2017 № 209н.</t>
        </r>
      </text>
    </comment>
    <comment ref="I27" authorId="1">
      <text>
        <r>
          <rPr>
            <b/>
            <sz val="9"/>
            <color indexed="81"/>
            <rFont val="Tahoma"/>
            <family val="2"/>
            <charset val="204"/>
          </rPr>
          <t>перенес на КВР 111 т.к. эти расходы там отражаются</t>
        </r>
      </text>
    </comment>
    <comment ref="L27"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L28" authorId="0">
      <text>
        <r>
          <rPr>
            <b/>
            <sz val="9"/>
            <color indexed="81"/>
            <rFont val="Tahoma"/>
            <family val="2"/>
            <charset val="204"/>
          </rPr>
          <t>30,2%</t>
        </r>
        <r>
          <rPr>
            <sz val="9"/>
            <color indexed="81"/>
            <rFont val="Tahoma"/>
            <family val="2"/>
            <charset val="204"/>
          </rPr>
          <t xml:space="preserve">
</t>
        </r>
      </text>
    </comment>
    <comment ref="Q28" authorId="0">
      <text>
        <r>
          <rPr>
            <b/>
            <sz val="9"/>
            <color indexed="81"/>
            <rFont val="Tahoma"/>
            <family val="2"/>
            <charset val="204"/>
          </rPr>
          <t>30,2%</t>
        </r>
        <r>
          <rPr>
            <sz val="9"/>
            <color indexed="81"/>
            <rFont val="Tahoma"/>
            <family val="2"/>
            <charset val="204"/>
          </rPr>
          <t xml:space="preserve">
</t>
        </r>
      </text>
    </comment>
    <comment ref="S28" authorId="0">
      <text>
        <r>
          <rPr>
            <b/>
            <sz val="9"/>
            <color indexed="81"/>
            <rFont val="Tahoma"/>
            <family val="2"/>
            <charset val="204"/>
          </rPr>
          <t>30,2%</t>
        </r>
        <r>
          <rPr>
            <sz val="9"/>
            <color indexed="81"/>
            <rFont val="Tahoma"/>
            <family val="2"/>
            <charset val="204"/>
          </rPr>
          <t xml:space="preserve">
</t>
        </r>
      </text>
    </comment>
    <comment ref="L30" authorId="0">
      <text>
        <r>
          <rPr>
            <b/>
            <sz val="9"/>
            <color indexed="81"/>
            <rFont val="Tahoma"/>
            <family val="2"/>
            <charset val="204"/>
          </rPr>
          <t>2 чел</t>
        </r>
        <r>
          <rPr>
            <sz val="9"/>
            <color indexed="81"/>
            <rFont val="Tahoma"/>
            <family val="2"/>
            <charset val="204"/>
          </rPr>
          <t xml:space="preserve">
</t>
        </r>
      </text>
    </comment>
    <comment ref="L31" authorId="0">
      <text>
        <r>
          <rPr>
            <b/>
            <sz val="9"/>
            <color indexed="81"/>
            <rFont val="Tahoma"/>
            <family val="2"/>
            <charset val="204"/>
          </rPr>
          <t>3 чел</t>
        </r>
      </text>
    </comment>
    <comment ref="L32" authorId="0">
      <text>
        <r>
          <rPr>
            <b/>
            <sz val="9"/>
            <color indexed="81"/>
            <rFont val="Tahoma"/>
            <family val="2"/>
            <charset val="204"/>
          </rPr>
          <t xml:space="preserve">30,2% на КОСГУ 266
</t>
        </r>
        <r>
          <rPr>
            <sz val="9"/>
            <color indexed="81"/>
            <rFont val="Tahoma"/>
            <family val="2"/>
            <charset val="204"/>
          </rPr>
          <t xml:space="preserve">
</t>
        </r>
      </text>
    </comment>
    <comment ref="AW33" authorId="0">
      <text>
        <r>
          <rPr>
            <sz val="9"/>
            <color indexed="81"/>
            <rFont val="Tahoma"/>
            <family val="2"/>
            <charset val="204"/>
          </rPr>
          <t xml:space="preserve">только аванс января
</t>
        </r>
      </text>
    </comment>
    <comment ref="BS33" authorId="0">
      <text>
        <r>
          <rPr>
            <b/>
            <sz val="9"/>
            <color indexed="81"/>
            <rFont val="Tahoma"/>
            <family val="2"/>
            <charset val="204"/>
          </rPr>
          <t>половина зп ноября + вся зп за декабрь</t>
        </r>
      </text>
    </comment>
    <comment ref="K36" authorId="1">
      <text>
        <r>
          <rPr>
            <b/>
            <sz val="9"/>
            <color indexed="81"/>
            <rFont val="Tahoma"/>
            <family val="2"/>
            <charset val="204"/>
          </rPr>
          <t>ежемесячные компенсационные выплаты в размере 50 рублей сотрудникам (работникам), находящимся в отпуске по уходу за ребенком до достижения им возраста 3 лет, назначаемые и выплачиваемые в соответствии с постановлением Правительства Российской Федерации от 3 ноября 1994 года N 1206 "Об утверждении порядка назначения и выплаты ежемесячных компенсационных выплат отдельным категориям граждан" (Собрание законодательства Российской Федерации, 1994, N 29, ст. 3035; 2018, N 50, ст. 7755)</t>
        </r>
      </text>
    </comment>
    <comment ref="K38" authorId="0">
      <text>
        <r>
          <rPr>
            <b/>
            <sz val="9"/>
            <color indexed="81"/>
            <rFont val="Tahoma"/>
            <family val="2"/>
            <charset val="204"/>
          </rPr>
          <t>здесь план корректирую по факту Аниных авансовых за покупку конвертов</t>
        </r>
        <r>
          <rPr>
            <sz val="9"/>
            <color indexed="81"/>
            <rFont val="Tahoma"/>
            <family val="2"/>
            <charset val="204"/>
          </rPr>
          <t xml:space="preserve">
</t>
        </r>
      </text>
    </comment>
    <comment ref="K40" authorId="1">
      <text>
        <r>
          <rPr>
            <sz val="10"/>
            <color indexed="81"/>
            <rFont val="Tahoma"/>
            <family val="2"/>
            <charset val="204"/>
          </rPr>
          <t>защищенный канал между Энгельса 11 и проезд Советов 4 (ЦООД)</t>
        </r>
      </text>
    </comment>
    <comment ref="W41" authorId="1">
      <text>
        <r>
          <rPr>
            <sz val="11"/>
            <color indexed="81"/>
            <rFont val="Tahoma"/>
            <family val="2"/>
            <charset val="204"/>
          </rPr>
          <t>лицевой счет 
683088687886</t>
        </r>
      </text>
    </comment>
    <comment ref="L50" authorId="0">
      <text>
        <r>
          <rPr>
            <b/>
            <sz val="9"/>
            <color indexed="81"/>
            <rFont val="Tahoma"/>
            <family val="2"/>
            <charset val="204"/>
          </rPr>
          <t>годовая сумма 
12 428 476,80 по договору аренды, уже с учетом ТО инженерных систем</t>
        </r>
      </text>
    </comment>
    <comment ref="X50" authorId="1">
      <text>
        <r>
          <rPr>
            <b/>
            <sz val="9"/>
            <color indexed="81"/>
            <rFont val="Tahoma"/>
            <family val="2"/>
            <charset val="204"/>
          </rPr>
          <t>8 мес, чтобы не регистрировать в Росреестре и не была по бух учету Крупная сделка больше 9млн.</t>
        </r>
      </text>
    </comment>
    <comment ref="X54" authorId="1">
      <text>
        <r>
          <rPr>
            <b/>
            <sz val="9"/>
            <color indexed="81"/>
            <rFont val="Tahoma"/>
            <family val="2"/>
            <charset val="204"/>
          </rPr>
          <t>январь, июль и август исключаем</t>
        </r>
      </text>
    </comment>
    <comment ref="D55"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V55" authorId="0">
      <text>
        <r>
          <rPr>
            <b/>
            <sz val="9"/>
            <color indexed="81"/>
            <rFont val="Tahoma"/>
            <family val="2"/>
            <charset val="204"/>
          </rPr>
          <t xml:space="preserve">внебюджет
</t>
        </r>
      </text>
    </comment>
    <comment ref="X55" authorId="0">
      <text>
        <r>
          <rPr>
            <b/>
            <sz val="9"/>
            <color indexed="81"/>
            <rFont val="Tahoma"/>
            <family val="2"/>
            <charset val="204"/>
          </rPr>
          <t xml:space="preserve">доля от общего объема услуги по 4 и 2-ке
</t>
        </r>
        <r>
          <rPr>
            <sz val="9"/>
            <color indexed="81"/>
            <rFont val="Tahoma"/>
            <family val="2"/>
            <charset val="204"/>
          </rPr>
          <t xml:space="preserve">
</t>
        </r>
      </text>
    </comment>
    <comment ref="D56"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AS56" authorId="1">
      <text>
        <r>
          <rPr>
            <b/>
            <sz val="9"/>
            <color indexed="81"/>
            <rFont val="Tahoma"/>
            <family val="2"/>
            <charset val="204"/>
          </rPr>
          <t xml:space="preserve">с учетом открытия с 01.02.2021 уборка дополнительно в суб и воскр 354,9м2*42дня*1,61руб=23 998,34
Воскр с 8 до 16
</t>
        </r>
      </text>
    </comment>
    <comment ref="K58" authorId="0">
      <text>
        <r>
          <rPr>
            <b/>
            <sz val="9"/>
            <color indexed="81"/>
            <rFont val="Tahoma"/>
            <family val="2"/>
            <charset val="204"/>
          </rPr>
          <t xml:space="preserve">первый показ и Лягушка и Первинка - январь-февраль
</t>
        </r>
      </text>
    </comment>
    <comment ref="K59" authorId="0">
      <text>
        <r>
          <rPr>
            <b/>
            <sz val="9"/>
            <color indexed="81"/>
            <rFont val="Tahoma"/>
            <family val="2"/>
            <charset val="204"/>
          </rPr>
          <t xml:space="preserve">первый показ - апрель
</t>
        </r>
        <r>
          <rPr>
            <sz val="9"/>
            <color indexed="81"/>
            <rFont val="Tahoma"/>
            <family val="2"/>
            <charset val="204"/>
          </rPr>
          <t xml:space="preserve">
</t>
        </r>
      </text>
    </comment>
    <comment ref="K60" authorId="0">
      <text>
        <r>
          <rPr>
            <b/>
            <sz val="9"/>
            <color indexed="81"/>
            <rFont val="Tahoma"/>
            <family val="2"/>
            <charset val="204"/>
          </rPr>
          <t xml:space="preserve">первый показ - апрель
</t>
        </r>
        <r>
          <rPr>
            <sz val="9"/>
            <color indexed="81"/>
            <rFont val="Tahoma"/>
            <family val="2"/>
            <charset val="204"/>
          </rPr>
          <t xml:space="preserve">
</t>
        </r>
      </text>
    </comment>
    <comment ref="K61" authorId="0">
      <text>
        <r>
          <rPr>
            <b/>
            <sz val="9"/>
            <color indexed="81"/>
            <rFont val="Tahoma"/>
            <family val="2"/>
            <charset val="204"/>
          </rPr>
          <t>первый показ - ноябрь</t>
        </r>
      </text>
    </comment>
    <comment ref="D62"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L62" authorId="0">
      <text>
        <r>
          <rPr>
            <b/>
            <sz val="9"/>
            <color indexed="81"/>
            <rFont val="Tahoma"/>
            <family val="2"/>
            <charset val="204"/>
          </rPr>
          <t xml:space="preserve">у Оли было 458180,41
130,28р*количество часов охраны составит 5 110 часов: (365 дней*14 часа/день*1 чел.)
</t>
        </r>
      </text>
    </comment>
    <comment ref="V62" authorId="0">
      <text>
        <r>
          <rPr>
            <b/>
            <sz val="9"/>
            <color indexed="81"/>
            <rFont val="Tahoma"/>
            <family val="2"/>
            <charset val="204"/>
          </rPr>
          <t xml:space="preserve">внебюджет
</t>
        </r>
      </text>
    </comment>
    <comment ref="X62" authorId="0">
      <text>
        <r>
          <rPr>
            <b/>
            <sz val="9"/>
            <color indexed="81"/>
            <rFont val="Tahoma"/>
            <family val="2"/>
            <charset val="204"/>
          </rPr>
          <t xml:space="preserve">доля от общего объема услуги по 4 и 2-ке
</t>
        </r>
        <r>
          <rPr>
            <sz val="9"/>
            <color indexed="81"/>
            <rFont val="Tahoma"/>
            <family val="2"/>
            <charset val="204"/>
          </rPr>
          <t xml:space="preserve">
</t>
        </r>
      </text>
    </comment>
    <comment ref="D63"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AY63" authorId="1">
      <text>
        <r>
          <rPr>
            <sz val="9"/>
            <color indexed="81"/>
            <rFont val="Tahoma"/>
            <family val="2"/>
            <charset val="204"/>
          </rPr>
          <t>цена 150 * 12 часов * 15 дней
(с 06.02.21 добавляется еще суббота и воскресенье: пн-суб. с 8 до 20, вокр с с 9 до 17)</t>
        </r>
      </text>
    </comment>
    <comment ref="AY65" authorId="1">
      <text>
        <r>
          <rPr>
            <b/>
            <sz val="9"/>
            <color indexed="81"/>
            <rFont val="Tahoma"/>
            <family val="2"/>
            <charset val="204"/>
          </rPr>
          <t>в январе было без суб и воскр, 
с февраля 12 часов (с 8 до 20) в т.ч. в суб и воскр., с 11.01.21 будет 180 часов *6,05 руб. в час= 1089,00</t>
        </r>
        <r>
          <rPr>
            <sz val="9"/>
            <color indexed="81"/>
            <rFont val="Tahoma"/>
            <family val="2"/>
            <charset val="204"/>
          </rPr>
          <t xml:space="preserve">
было при планировании 49,18*31кол-во дней (с ООО "Страж" был такой расчет)</t>
        </r>
      </text>
    </comment>
    <comment ref="AY66" authorId="1">
      <text>
        <r>
          <rPr>
            <b/>
            <sz val="9"/>
            <color indexed="81"/>
            <rFont val="Tahoma"/>
            <family val="2"/>
            <charset val="204"/>
          </rPr>
          <t>6 чел/часов в месяц * стимость часа 724,60 (по Постановлению Адм Сургтута №9168 от 06.12.2019)= 4 347,60 в мес.</t>
        </r>
      </text>
    </comment>
    <comment ref="K69" authorId="0">
      <text>
        <r>
          <rPr>
            <sz val="9"/>
            <color indexed="81"/>
            <rFont val="Tahoma"/>
            <family val="2"/>
            <charset val="204"/>
          </rPr>
          <t>"1С: Бухгалтерия государственного учреждения"
"1С: Зарплата и Кадры бюджетного учреждения"</t>
        </r>
      </text>
    </comment>
    <comment ref="X69" authorId="1">
      <text>
        <r>
          <rPr>
            <b/>
            <sz val="9"/>
            <color indexed="81"/>
            <rFont val="Tahoma"/>
            <family val="2"/>
            <charset val="204"/>
          </rPr>
          <t>пока на 6 мес, чтобы меньше 100 000р.</t>
        </r>
      </text>
    </comment>
    <comment ref="K70" authorId="0">
      <text>
        <r>
          <rPr>
            <b/>
            <sz val="9"/>
            <color indexed="81"/>
            <rFont val="Tahoma"/>
            <family val="2"/>
            <charset val="204"/>
          </rPr>
          <t>4 ключа 1 раз в год</t>
        </r>
        <r>
          <rPr>
            <sz val="9"/>
            <color indexed="81"/>
            <rFont val="Tahoma"/>
            <family val="2"/>
            <charset val="204"/>
          </rPr>
          <t xml:space="preserve">
</t>
        </r>
      </text>
    </comment>
    <comment ref="K75" authorId="0">
      <text>
        <r>
          <rPr>
            <b/>
            <sz val="9"/>
            <color indexed="81"/>
            <rFont val="Tahoma"/>
            <family val="2"/>
            <charset val="204"/>
          </rPr>
          <t>Мероприятия</t>
        </r>
      </text>
    </comment>
    <comment ref="L76" authorId="1">
      <text>
        <r>
          <rPr>
            <b/>
            <sz val="9"/>
            <color indexed="81"/>
            <rFont val="Tahoma"/>
            <family val="2"/>
            <charset val="204"/>
          </rPr>
          <t>начальная 340 187,83</t>
        </r>
      </text>
    </comment>
    <comment ref="K111" authorId="0">
      <text>
        <r>
          <rPr>
            <b/>
            <sz val="9"/>
            <color indexed="81"/>
            <rFont val="Tahoma"/>
            <family val="2"/>
            <charset val="204"/>
          </rPr>
          <t>Мероприятия</t>
        </r>
      </text>
    </comment>
    <comment ref="L139" authorId="0">
      <text>
        <r>
          <rPr>
            <b/>
            <sz val="9"/>
            <color indexed="81"/>
            <rFont val="Tahoma"/>
            <family val="2"/>
            <charset val="204"/>
          </rPr>
          <t xml:space="preserve">у Оли было 114 103,74
</t>
        </r>
      </text>
    </comment>
    <comment ref="Q139" authorId="0">
      <text>
        <r>
          <rPr>
            <b/>
            <sz val="9"/>
            <color indexed="81"/>
            <rFont val="Tahoma"/>
            <family val="2"/>
            <charset val="204"/>
          </rPr>
          <t>Оли 131 233,54</t>
        </r>
      </text>
    </comment>
    <comment ref="S139" authorId="0">
      <text>
        <r>
          <rPr>
            <b/>
            <sz val="9"/>
            <color indexed="81"/>
            <rFont val="Tahoma"/>
            <family val="2"/>
            <charset val="204"/>
          </rPr>
          <t>Оли 122 383,74</t>
        </r>
      </text>
    </comment>
    <comment ref="W140" authorId="1">
      <text>
        <r>
          <rPr>
            <b/>
            <sz val="9"/>
            <color indexed="81"/>
            <rFont val="Tahoma"/>
            <family val="2"/>
            <charset val="204"/>
          </rPr>
          <t>на 31 640,00</t>
        </r>
      </text>
    </comment>
    <comment ref="L142" authorId="0">
      <text>
        <r>
          <rPr>
            <b/>
            <sz val="9"/>
            <color indexed="81"/>
            <rFont val="Tahoma"/>
            <family val="2"/>
            <charset val="204"/>
          </rPr>
          <t>земельный налог за 2020 год (платится 1 раз в год)</t>
        </r>
      </text>
    </comment>
    <comment ref="L143" authorId="0">
      <text>
        <r>
          <rPr>
            <b/>
            <sz val="9"/>
            <color indexed="81"/>
            <rFont val="Tahoma"/>
            <family val="2"/>
            <charset val="204"/>
          </rPr>
          <t xml:space="preserve">0,15% с зп
</t>
        </r>
      </text>
    </comment>
    <comment ref="L144" authorId="0">
      <text>
        <r>
          <rPr>
            <b/>
            <sz val="9"/>
            <color indexed="81"/>
            <rFont val="Tahoma"/>
            <family val="2"/>
            <charset val="204"/>
          </rPr>
          <t xml:space="preserve">было у Оли 9 740,39
</t>
        </r>
      </text>
    </comment>
    <comment ref="Q144" authorId="0">
      <text>
        <r>
          <rPr>
            <b/>
            <sz val="9"/>
            <color indexed="81"/>
            <rFont val="Tahoma"/>
            <family val="2"/>
            <charset val="204"/>
          </rPr>
          <t xml:space="preserve">было у Оли 9 740,39
</t>
        </r>
      </text>
    </comment>
    <comment ref="S144" authorId="0">
      <text>
        <r>
          <rPr>
            <b/>
            <sz val="9"/>
            <color indexed="81"/>
            <rFont val="Tahoma"/>
            <family val="2"/>
            <charset val="204"/>
          </rPr>
          <t xml:space="preserve">было у Оли 9 740,39
</t>
        </r>
      </text>
    </comment>
    <comment ref="B145" authorId="1">
      <text>
        <r>
          <rPr>
            <b/>
            <sz val="9"/>
            <color indexed="81"/>
            <rFont val="Tahoma"/>
            <family val="2"/>
            <charset val="204"/>
          </rPr>
          <t>должно быть (увеличиваем через НРО?)
с учетом доп средств 119 578,95</t>
        </r>
      </text>
    </comment>
    <comment ref="L146" authorId="0">
      <text>
        <r>
          <rPr>
            <b/>
            <sz val="9"/>
            <color indexed="81"/>
            <rFont val="Tahoma"/>
            <family val="2"/>
            <charset val="204"/>
          </rPr>
          <t xml:space="preserve">было у Оли 9 740,39
</t>
        </r>
      </text>
    </comment>
    <comment ref="Q146" authorId="0">
      <text>
        <r>
          <rPr>
            <b/>
            <sz val="9"/>
            <color indexed="81"/>
            <rFont val="Tahoma"/>
            <family val="2"/>
            <charset val="204"/>
          </rPr>
          <t xml:space="preserve">было у Оли 9 740,39
</t>
        </r>
      </text>
    </comment>
    <comment ref="S146" authorId="0">
      <text>
        <r>
          <rPr>
            <b/>
            <sz val="9"/>
            <color indexed="81"/>
            <rFont val="Tahoma"/>
            <family val="2"/>
            <charset val="204"/>
          </rPr>
          <t xml:space="preserve">было у Оли 9 740,39
</t>
        </r>
      </text>
    </comment>
    <comment ref="B147" authorId="1">
      <text>
        <r>
          <rPr>
            <b/>
            <sz val="9"/>
            <color indexed="81"/>
            <rFont val="Tahoma"/>
            <family val="2"/>
            <charset val="204"/>
          </rPr>
          <t>должно быть 
с учетом доп средств 119 578,95</t>
        </r>
      </text>
    </comment>
    <comment ref="L147" authorId="0">
      <text>
        <r>
          <rPr>
            <b/>
            <sz val="9"/>
            <color indexed="81"/>
            <rFont val="Tahoma"/>
            <family val="2"/>
            <charset val="204"/>
          </rPr>
          <t xml:space="preserve">Сообщить Эсли, чтобы откорректировал 10 рублей, у них 715 900 округляет
</t>
        </r>
      </text>
    </comment>
    <comment ref="Q147" authorId="0">
      <text>
        <r>
          <rPr>
            <b/>
            <sz val="9"/>
            <color indexed="81"/>
            <rFont val="Tahoma"/>
            <family val="2"/>
            <charset val="204"/>
          </rPr>
          <t xml:space="preserve">Сообщить Эсли, чтобы откорректировал 10 рублей, у них 715 900 округляет
</t>
        </r>
      </text>
    </comment>
    <comment ref="S147" authorId="0">
      <text>
        <r>
          <rPr>
            <b/>
            <sz val="9"/>
            <color indexed="81"/>
            <rFont val="Tahoma"/>
            <family val="2"/>
            <charset val="204"/>
          </rPr>
          <t xml:space="preserve">Сообщить Эсли, чтобы откорректировал 10 рублей, у них 715 900 округляет
</t>
        </r>
      </text>
    </comment>
    <comment ref="L148" authorId="0">
      <text>
        <r>
          <rPr>
            <b/>
            <sz val="9"/>
            <color indexed="81"/>
            <rFont val="Tahoma"/>
            <family val="2"/>
            <charset val="204"/>
          </rPr>
          <t xml:space="preserve">было у Оли 9 740,39
</t>
        </r>
      </text>
    </comment>
    <comment ref="Q148" authorId="0">
      <text>
        <r>
          <rPr>
            <b/>
            <sz val="9"/>
            <color indexed="81"/>
            <rFont val="Tahoma"/>
            <family val="2"/>
            <charset val="204"/>
          </rPr>
          <t xml:space="preserve">было у Оли 9 740,39
</t>
        </r>
      </text>
    </comment>
    <comment ref="S148" authorId="0">
      <text>
        <r>
          <rPr>
            <b/>
            <sz val="9"/>
            <color indexed="81"/>
            <rFont val="Tahoma"/>
            <family val="2"/>
            <charset val="204"/>
          </rPr>
          <t xml:space="preserve">было у Оли 9 740,39
</t>
        </r>
      </text>
    </comment>
    <comment ref="B149" authorId="1">
      <text>
        <r>
          <rPr>
            <b/>
            <sz val="9"/>
            <color indexed="81"/>
            <rFont val="Tahoma"/>
            <family val="2"/>
            <charset val="204"/>
          </rPr>
          <t>должно быть 
с учетом доп средств 119 578,95</t>
        </r>
      </text>
    </comment>
    <comment ref="L156" authorId="0">
      <text>
        <r>
          <rPr>
            <b/>
            <sz val="9"/>
            <color indexed="81"/>
            <rFont val="Tahoma"/>
            <family val="2"/>
            <charset val="204"/>
          </rPr>
          <t>осталось обучить 25 чел</t>
        </r>
      </text>
    </comment>
    <comment ref="L168" authorId="0">
      <text>
        <r>
          <rPr>
            <b/>
            <sz val="9"/>
            <color indexed="81"/>
            <rFont val="Tahoma"/>
            <family val="2"/>
            <charset val="204"/>
          </rPr>
          <t xml:space="preserve">Компенсационную выплату работникам, находящимся в отпуске по уходу за ребенком до достижения им возраста 3-х лет:
- Лалаян Юлия Маратовна - 85р * 12 раз
</t>
        </r>
      </text>
    </comment>
    <comment ref="Q168" authorId="0">
      <text>
        <r>
          <rPr>
            <b/>
            <sz val="9"/>
            <color indexed="81"/>
            <rFont val="Tahoma"/>
            <family val="2"/>
            <charset val="204"/>
          </rPr>
          <t>Компенсационную выплату работникам, находящимся в отпуске по уходу за ребенком до достижения им возраста 3-х лет:
- Лалаян Юлия Маратовна - 85р * 5 раза</t>
        </r>
      </text>
    </comment>
    <comment ref="K171" authorId="0">
      <text>
        <r>
          <rPr>
            <b/>
            <sz val="9"/>
            <color indexed="81"/>
            <rFont val="Tahoma"/>
            <family val="2"/>
            <charset val="204"/>
          </rPr>
          <t>здесь план корректирую по факту Аниных авансовых за покупку конвертов</t>
        </r>
        <r>
          <rPr>
            <sz val="9"/>
            <color indexed="81"/>
            <rFont val="Tahoma"/>
            <family val="2"/>
            <charset val="204"/>
          </rPr>
          <t xml:space="preserve">
</t>
        </r>
      </text>
    </comment>
    <comment ref="K173" authorId="1">
      <text>
        <r>
          <rPr>
            <sz val="10"/>
            <color indexed="81"/>
            <rFont val="Tahoma"/>
            <family val="2"/>
            <charset val="204"/>
          </rPr>
          <t>защищенный канал между Энгельса 11 и проезд Советов 4 (ЦООД)</t>
        </r>
      </text>
    </comment>
    <comment ref="L178" authorId="0">
      <text>
        <r>
          <rPr>
            <b/>
            <sz val="9"/>
            <color indexed="81"/>
            <rFont val="Tahoma"/>
            <family val="2"/>
            <charset val="204"/>
          </rPr>
          <t xml:space="preserve">у Оли 1 199 595,54
</t>
        </r>
      </text>
    </comment>
    <comment ref="Q178" authorId="0">
      <text>
        <r>
          <rPr>
            <b/>
            <sz val="9"/>
            <color indexed="81"/>
            <rFont val="Tahoma"/>
            <family val="2"/>
            <charset val="204"/>
          </rPr>
          <t xml:space="preserve">у Оли 1 199 595,54
</t>
        </r>
      </text>
    </comment>
    <comment ref="S178" authorId="0">
      <text>
        <r>
          <rPr>
            <b/>
            <sz val="9"/>
            <color indexed="81"/>
            <rFont val="Tahoma"/>
            <family val="2"/>
            <charset val="204"/>
          </rPr>
          <t xml:space="preserve">у Оли 1 199 595,54
</t>
        </r>
      </text>
    </comment>
    <comment ref="L182" authorId="0">
      <text>
        <r>
          <rPr>
            <b/>
            <sz val="9"/>
            <color indexed="81"/>
            <rFont val="Tahoma"/>
            <family val="2"/>
            <charset val="204"/>
          </rPr>
          <t>годовая сумма 
12 428 476,80 по договору аренды, уже с учетом ТО инженерных систем</t>
        </r>
      </text>
    </comment>
    <comment ref="D183"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184"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185"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BA185" authorId="1">
      <text>
        <r>
          <rPr>
            <b/>
            <sz val="9"/>
            <color indexed="81"/>
            <rFont val="Tahoma"/>
            <family val="2"/>
            <charset val="204"/>
          </rPr>
          <t>Настройка 3 касс, онлайн коннект</t>
        </r>
      </text>
    </comment>
    <comment ref="D186"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187"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188"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D189"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D190"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D191"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AY195" authorId="1">
      <text>
        <r>
          <rPr>
            <b/>
            <sz val="9"/>
            <color indexed="81"/>
            <rFont val="Tahoma"/>
            <family val="2"/>
            <charset val="204"/>
          </rPr>
          <t>по счету на оплату  продления домена 1009р. и хостинга 1400,00р. teatr-petrushka.ru на 1 год, по счету №56 от 10.02.2021</t>
        </r>
        <r>
          <rPr>
            <sz val="9"/>
            <color indexed="81"/>
            <rFont val="Tahoma"/>
            <family val="2"/>
            <charset val="204"/>
          </rPr>
          <t xml:space="preserve">
</t>
        </r>
      </text>
    </comment>
    <comment ref="K196" authorId="0">
      <text>
        <r>
          <rPr>
            <b/>
            <sz val="9"/>
            <color indexed="81"/>
            <rFont val="Tahoma"/>
            <family val="2"/>
            <charset val="204"/>
          </rPr>
          <t>приобретение доступа для 2 рабочих мест к зарплате 1 бухгалтеру и 1 кадрам. Приобретение права пользования 1С:Предприятие 8 ПРОФ. Клиентская лицензия на 1 рабочее место - 2 шт.</t>
        </r>
      </text>
    </comment>
    <comment ref="K197" authorId="0">
      <text>
        <r>
          <rPr>
            <b/>
            <sz val="9"/>
            <color indexed="81"/>
            <rFont val="Tahoma"/>
            <family val="2"/>
            <charset val="204"/>
          </rPr>
          <t>4 ключа 1 раз в год</t>
        </r>
        <r>
          <rPr>
            <sz val="9"/>
            <color indexed="81"/>
            <rFont val="Tahoma"/>
            <family val="2"/>
            <charset val="204"/>
          </rPr>
          <t xml:space="preserve">
</t>
        </r>
      </text>
    </comment>
    <comment ref="L199" authorId="1">
      <text>
        <r>
          <rPr>
            <b/>
            <sz val="9"/>
            <color indexed="81"/>
            <rFont val="Tahoma"/>
            <family val="2"/>
            <charset val="204"/>
          </rPr>
          <t>было =1303567,18-100000+69426,41-39600-12600-2500-2700-10560-5346-6175-9130-4290-18244</t>
        </r>
      </text>
    </comment>
    <comment ref="AY204" authorId="1">
      <text>
        <r>
          <rPr>
            <b/>
            <sz val="9"/>
            <color indexed="81"/>
            <rFont val="Tahoma"/>
            <family val="2"/>
            <charset val="204"/>
          </rPr>
          <t>мероприятие 26.02.21</t>
        </r>
      </text>
    </comment>
    <comment ref="AY205" authorId="1">
      <text>
        <r>
          <rPr>
            <b/>
            <sz val="9"/>
            <color indexed="81"/>
            <rFont val="Tahoma"/>
            <family val="2"/>
            <charset val="204"/>
          </rPr>
          <t>мероприятие 18.02.21</t>
        </r>
      </text>
    </comment>
    <comment ref="AY206" authorId="1">
      <text>
        <r>
          <rPr>
            <b/>
            <sz val="9"/>
            <color indexed="81"/>
            <rFont val="Tahoma"/>
            <family val="2"/>
            <charset val="204"/>
          </rPr>
          <t>мероприятие 26.02.21</t>
        </r>
      </text>
    </comment>
    <comment ref="BC206" authorId="1">
      <text>
        <r>
          <rPr>
            <b/>
            <sz val="9"/>
            <color indexed="81"/>
            <rFont val="Tahoma"/>
            <family val="2"/>
            <charset val="204"/>
          </rPr>
          <t>на март нельзя, т.к. услуга по нахождению на стендах рамещенной рекламы действует до 31.03.21</t>
        </r>
      </text>
    </comment>
    <comment ref="L209" authorId="0">
      <text>
        <r>
          <rPr>
            <b/>
            <sz val="9"/>
            <color indexed="81"/>
            <rFont val="Tahoma"/>
            <family val="2"/>
            <charset val="204"/>
          </rPr>
          <t>экологический налог за 1 квартал 2020 год (платится 1 раз в год до 10 марта 2021)</t>
        </r>
      </text>
    </comment>
    <comment ref="L210" authorId="0">
      <text>
        <r>
          <rPr>
            <b/>
            <sz val="9"/>
            <color indexed="81"/>
            <rFont val="Tahoma"/>
            <family val="2"/>
            <charset val="204"/>
          </rPr>
          <t xml:space="preserve">0,15% на зп
</t>
        </r>
      </text>
    </comment>
    <comment ref="K211" authorId="0">
      <text>
        <r>
          <rPr>
            <b/>
            <sz val="9"/>
            <color indexed="81"/>
            <rFont val="Tahoma"/>
            <family val="2"/>
            <charset val="204"/>
          </rPr>
          <t>для Назарова</t>
        </r>
      </text>
    </comment>
    <comment ref="L215" authorId="2">
      <text>
        <r>
          <rPr>
            <b/>
            <sz val="9"/>
            <color indexed="81"/>
            <rFont val="Tahoma"/>
            <family val="2"/>
            <charset val="204"/>
          </rPr>
          <t>Александр:</t>
        </r>
        <r>
          <rPr>
            <sz val="9"/>
            <color indexed="81"/>
            <rFont val="Tahoma"/>
            <family val="2"/>
            <charset val="204"/>
          </rPr>
          <t xml:space="preserve">
</t>
        </r>
      </text>
    </comment>
    <comment ref="O216" authorId="2">
      <text>
        <r>
          <rPr>
            <b/>
            <sz val="9"/>
            <color indexed="81"/>
            <rFont val="Tahoma"/>
            <family val="2"/>
            <charset val="204"/>
          </rPr>
          <t xml:space="preserve">38 шт. по 325 руб.
</t>
        </r>
      </text>
    </comment>
    <comment ref="K218" authorId="0">
      <text>
        <r>
          <rPr>
            <b/>
            <sz val="9"/>
            <color indexed="81"/>
            <rFont val="Tahoma"/>
            <family val="2"/>
            <charset val="204"/>
          </rPr>
          <t>для Назарова</t>
        </r>
      </text>
    </comment>
    <comment ref="K219" authorId="0">
      <text>
        <r>
          <rPr>
            <b/>
            <sz val="9"/>
            <color indexed="81"/>
            <rFont val="Tahoma"/>
            <family val="2"/>
            <charset val="204"/>
          </rPr>
          <t>3 шт</t>
        </r>
      </text>
    </comment>
    <comment ref="K220" authorId="0">
      <text>
        <r>
          <rPr>
            <b/>
            <sz val="9"/>
            <color indexed="81"/>
            <rFont val="Tahoma"/>
            <family val="2"/>
            <charset val="204"/>
          </rPr>
          <t>5 шт</t>
        </r>
        <r>
          <rPr>
            <sz val="9"/>
            <color indexed="81"/>
            <rFont val="Tahoma"/>
            <family val="2"/>
            <charset val="204"/>
          </rPr>
          <t xml:space="preserve">
</t>
        </r>
      </text>
    </comment>
    <comment ref="K221" authorId="0">
      <text>
        <r>
          <rPr>
            <b/>
            <sz val="9"/>
            <color indexed="81"/>
            <rFont val="Tahoma"/>
            <family val="2"/>
            <charset val="204"/>
          </rPr>
          <t>5 шт</t>
        </r>
      </text>
    </comment>
    <comment ref="L224" authorId="2">
      <text>
        <r>
          <rPr>
            <b/>
            <sz val="9"/>
            <color indexed="81"/>
            <rFont val="Tahoma"/>
            <family val="2"/>
            <charset val="204"/>
          </rPr>
          <t xml:space="preserve">20 000 не прибавлять они уже сидят внутри 100 67,29
</t>
        </r>
      </text>
    </comment>
    <comment ref="V226" authorId="1">
      <text>
        <r>
          <rPr>
            <b/>
            <sz val="9"/>
            <color indexed="81"/>
            <rFont val="Tahoma"/>
            <family val="2"/>
            <charset val="204"/>
          </rPr>
          <t>Работает без печати</t>
        </r>
      </text>
    </comment>
    <comment ref="V227" authorId="1">
      <text>
        <r>
          <rPr>
            <b/>
            <sz val="9"/>
            <color indexed="81"/>
            <rFont val="Tahoma"/>
            <family val="2"/>
            <charset val="204"/>
          </rPr>
          <t>Работает без печати</t>
        </r>
      </text>
    </comment>
    <comment ref="K228" authorId="0">
      <text>
        <r>
          <rPr>
            <b/>
            <sz val="9"/>
            <color indexed="81"/>
            <rFont val="Tahoma"/>
            <family val="2"/>
            <charset val="204"/>
          </rPr>
          <t>для Назарова</t>
        </r>
      </text>
    </comment>
    <comment ref="K231" authorId="1">
      <text>
        <r>
          <rPr>
            <b/>
            <sz val="9"/>
            <color indexed="81"/>
            <rFont val="Tahoma"/>
            <family val="2"/>
            <charset val="204"/>
          </rPr>
          <t xml:space="preserve">для ведущего монтажера
</t>
        </r>
      </text>
    </comment>
    <comment ref="K232" authorId="1">
      <text>
        <r>
          <rPr>
            <b/>
            <sz val="9"/>
            <color indexed="81"/>
            <rFont val="Tahoma"/>
            <family val="2"/>
            <charset val="204"/>
          </rPr>
          <t xml:space="preserve">для ведущего монтажера
</t>
        </r>
      </text>
    </comment>
    <comment ref="W234" authorId="1">
      <text>
        <r>
          <rPr>
            <b/>
            <sz val="9"/>
            <color indexed="81"/>
            <rFont val="Tahoma"/>
            <family val="2"/>
            <charset val="204"/>
          </rPr>
          <t xml:space="preserve">в марте на 2000
</t>
        </r>
        <r>
          <rPr>
            <sz val="9"/>
            <color indexed="81"/>
            <rFont val="Tahoma"/>
            <family val="2"/>
            <charset val="204"/>
          </rPr>
          <t xml:space="preserve">
</t>
        </r>
      </text>
    </comment>
    <comment ref="W235" authorId="1">
      <text>
        <r>
          <rPr>
            <b/>
            <sz val="9"/>
            <color indexed="81"/>
            <rFont val="Tahoma"/>
            <family val="2"/>
            <charset val="204"/>
          </rPr>
          <t xml:space="preserve">в марте на 2000
</t>
        </r>
        <r>
          <rPr>
            <sz val="9"/>
            <color indexed="81"/>
            <rFont val="Tahoma"/>
            <family val="2"/>
            <charset val="204"/>
          </rPr>
          <t xml:space="preserve">
</t>
        </r>
      </text>
    </comment>
    <comment ref="K238" authorId="1">
      <text>
        <r>
          <rPr>
            <sz val="9"/>
            <color indexed="81"/>
            <rFont val="Tahoma"/>
            <family val="2"/>
            <charset val="204"/>
          </rPr>
          <t>здесь можем только Спецодеждудля сотрудников купить, мягкие игрушки для подарков, но никакой мягкий инвентарь в рамках мероприятий купить не можем</t>
        </r>
      </text>
    </comment>
    <comment ref="O239" authorId="2">
      <text>
        <r>
          <rPr>
            <b/>
            <sz val="9"/>
            <color indexed="81"/>
            <rFont val="Tahoma"/>
            <family val="2"/>
            <charset val="204"/>
          </rPr>
          <t>- колготки 20 белых и 20 светло-бежевых - по 200 р. * 40 = 8000
- носки 20 бел и 20 черн пар - по 100 р. * 40 = 4000
- футболки 16 бел и 16 черн - по 600р. * 32 = 19200</t>
        </r>
      </text>
    </comment>
    <comment ref="O240" authorId="1">
      <text>
        <r>
          <rPr>
            <b/>
            <sz val="9"/>
            <color indexed="81"/>
            <rFont val="Tahoma"/>
            <family val="2"/>
            <charset val="204"/>
          </rPr>
          <t xml:space="preserve">нужно 15 шт, цену посмотреть в интернете до 2500 можно взять
</t>
        </r>
      </text>
    </comment>
  </commentList>
</comments>
</file>

<file path=xl/comments7.xml><?xml version="1.0" encoding="utf-8"?>
<comments xmlns="http://schemas.openxmlformats.org/spreadsheetml/2006/main">
  <authors>
    <author>Экономист</author>
  </authors>
  <commentList>
    <comment ref="K36" authorId="0">
      <text>
        <r>
          <rPr>
            <b/>
            <sz val="9"/>
            <color indexed="81"/>
            <rFont val="Tahoma"/>
            <family val="2"/>
            <charset val="204"/>
          </rPr>
          <t xml:space="preserve">для ведущего монтажера
</t>
        </r>
      </text>
    </comment>
    <comment ref="K37" authorId="0">
      <text>
        <r>
          <rPr>
            <b/>
            <sz val="9"/>
            <color indexed="81"/>
            <rFont val="Tahoma"/>
            <family val="2"/>
            <charset val="204"/>
          </rPr>
          <t xml:space="preserve">для ведущего монтажера
</t>
        </r>
      </text>
    </comment>
  </commentList>
</comments>
</file>

<file path=xl/comments8.xml><?xml version="1.0" encoding="utf-8"?>
<comments xmlns="http://schemas.openxmlformats.org/spreadsheetml/2006/main">
  <authors>
    <author>Nazarov</author>
    <author>Экономист</author>
    <author>Александр</author>
  </authors>
  <commentList>
    <comment ref="BA8" authorId="0">
      <text>
        <r>
          <rPr>
            <b/>
            <sz val="9"/>
            <color indexed="81"/>
            <rFont val="Tahoma"/>
            <family val="2"/>
            <charset val="204"/>
          </rPr>
          <t>это разрыв между начислением (кассовый метод) и для выполнения индикативного, это 1/2зп марта переносится из месяца в месяц и выравнивается в декабре</t>
        </r>
      </text>
    </comment>
    <comment ref="BB8" authorId="0">
      <text>
        <r>
          <rPr>
            <b/>
            <sz val="9"/>
            <color indexed="81"/>
            <rFont val="Tahoma"/>
            <family val="2"/>
            <charset val="204"/>
          </rPr>
          <t xml:space="preserve">индик 73668,5*44числ*3мес
</t>
        </r>
      </text>
    </comment>
    <comment ref="D10" authorId="0">
      <text>
        <r>
          <rPr>
            <b/>
            <sz val="10"/>
            <color indexed="81"/>
            <rFont val="Tahoma"/>
            <family val="2"/>
            <charset val="204"/>
          </rPr>
          <t>итогиСИ</t>
        </r>
        <r>
          <rPr>
            <sz val="10"/>
            <color indexed="81"/>
            <rFont val="Tahoma"/>
            <family val="2"/>
            <charset val="204"/>
          </rPr>
          <t xml:space="preserve">    - ИТОГИ Содержание имущества
</t>
        </r>
        <r>
          <rPr>
            <b/>
            <sz val="10"/>
            <color indexed="81"/>
            <rFont val="Tahoma"/>
            <family val="2"/>
            <charset val="204"/>
          </rPr>
          <t>СИ</t>
        </r>
        <r>
          <rPr>
            <sz val="10"/>
            <color indexed="81"/>
            <rFont val="Tahoma"/>
            <family val="2"/>
            <charset val="204"/>
          </rPr>
          <t xml:space="preserve">              - детальные строки Содержание Имущества
</t>
        </r>
        <r>
          <rPr>
            <b/>
            <sz val="10"/>
            <color indexed="81"/>
            <rFont val="Tahoma"/>
            <family val="2"/>
            <charset val="204"/>
          </rPr>
          <t>ОЦИ</t>
        </r>
        <r>
          <rPr>
            <sz val="10"/>
            <color indexed="81"/>
            <rFont val="Tahoma"/>
            <family val="2"/>
            <charset val="204"/>
          </rPr>
          <t xml:space="preserve">           - содержание Особо Ценного Имущества
</t>
        </r>
        <r>
          <rPr>
            <b/>
            <sz val="10"/>
            <color indexed="81"/>
            <rFont val="Tahoma"/>
            <family val="2"/>
            <charset val="204"/>
          </rPr>
          <t>Аврора</t>
        </r>
        <r>
          <rPr>
            <sz val="10"/>
            <color indexed="81"/>
            <rFont val="Tahoma"/>
            <family val="2"/>
            <charset val="204"/>
          </rPr>
          <t xml:space="preserve">       - содержание имущества в Авроре
</t>
        </r>
        <r>
          <rPr>
            <b/>
            <sz val="10"/>
            <color indexed="81"/>
            <rFont val="Tahoma"/>
            <family val="2"/>
            <charset val="204"/>
          </rPr>
          <t>неСИ</t>
        </r>
        <r>
          <rPr>
            <sz val="10"/>
            <color indexed="81"/>
            <rFont val="Tahoma"/>
            <family val="2"/>
            <charset val="204"/>
          </rPr>
          <t xml:space="preserve">          - не содержание имущества, т.к. к СИ относим </t>
        </r>
        <r>
          <rPr>
            <b/>
            <u/>
            <sz val="10"/>
            <color indexed="81"/>
            <rFont val="Tahoma"/>
            <family val="2"/>
            <charset val="204"/>
          </rPr>
          <t>ТОЛЬКО</t>
        </r>
        <r>
          <rPr>
            <sz val="10"/>
            <color indexed="81"/>
            <rFont val="Tahoma"/>
            <family val="2"/>
            <charset val="204"/>
          </rPr>
          <t xml:space="preserve"> содержание </t>
        </r>
        <r>
          <rPr>
            <b/>
            <u/>
            <sz val="10"/>
            <color indexed="81"/>
            <rFont val="Tahoma"/>
            <family val="2"/>
            <charset val="204"/>
          </rPr>
          <t>МУНИЦИПАЛЬНОГО</t>
        </r>
        <r>
          <rPr>
            <sz val="10"/>
            <color indexed="81"/>
            <rFont val="Tahoma"/>
            <family val="2"/>
            <charset val="204"/>
          </rPr>
          <t xml:space="preserve"> имущества</t>
        </r>
      </text>
    </comment>
    <comment ref="P12" authorId="1">
      <text>
        <r>
          <rPr>
            <b/>
            <sz val="9"/>
            <color indexed="81"/>
            <rFont val="Tahoma"/>
            <family val="2"/>
            <charset val="204"/>
          </rPr>
          <t>ЦООД сам считает НРО по з/п нам им подавать на эти цели не нужно</t>
        </r>
        <r>
          <rPr>
            <sz val="9"/>
            <color indexed="81"/>
            <rFont val="Tahoma"/>
            <family val="2"/>
            <charset val="204"/>
          </rPr>
          <t xml:space="preserve">
</t>
        </r>
      </text>
    </comment>
    <comment ref="AW12" authorId="0">
      <text>
        <r>
          <rPr>
            <sz val="9"/>
            <color indexed="81"/>
            <rFont val="Tahoma"/>
            <family val="2"/>
            <charset val="204"/>
          </rPr>
          <t xml:space="preserve">только аванс января
</t>
        </r>
      </text>
    </comment>
    <comment ref="AY12" authorId="0">
      <text>
        <r>
          <rPr>
            <b/>
            <sz val="9"/>
            <color indexed="81"/>
            <rFont val="Tahoma"/>
            <family val="2"/>
            <charset val="204"/>
          </rPr>
          <t xml:space="preserve">средняя з/п за месяц без премий и т.п.
</t>
        </r>
      </text>
    </comment>
    <comment ref="BA12" authorId="0">
      <text>
        <r>
          <rPr>
            <b/>
            <sz val="9"/>
            <color indexed="81"/>
            <rFont val="Tahoma"/>
            <family val="2"/>
            <charset val="204"/>
          </rPr>
          <t xml:space="preserve">+ премия к дню работника культуры 1 ФОТ+ ежекв.премия
</t>
        </r>
      </text>
    </comment>
    <comment ref="BE12" authorId="0">
      <text>
        <r>
          <rPr>
            <b/>
            <sz val="9"/>
            <color indexed="81"/>
            <rFont val="Tahoma"/>
            <family val="2"/>
            <charset val="204"/>
          </rPr>
          <t>отпуска + мат.помощь к отпуску основной массы работников (пропорция примерно 2,8 к обычной з/п)</t>
        </r>
      </text>
    </comment>
    <comment ref="BG12" authorId="0">
      <text>
        <r>
          <rPr>
            <b/>
            <sz val="9"/>
            <color indexed="81"/>
            <rFont val="Tahoma"/>
            <family val="2"/>
            <charset val="204"/>
          </rPr>
          <t xml:space="preserve">плюс квартальная
</t>
        </r>
      </text>
    </comment>
    <comment ref="BS12" authorId="0">
      <text>
        <r>
          <rPr>
            <b/>
            <sz val="9"/>
            <color indexed="81"/>
            <rFont val="Tahoma"/>
            <family val="2"/>
            <charset val="204"/>
          </rPr>
          <t xml:space="preserve">1/2 ноября, + весь декабрь +ежекварт.
 премии + годовая
</t>
        </r>
      </text>
    </comment>
    <comment ref="H13" authorId="1">
      <text>
        <r>
          <rPr>
            <b/>
            <sz val="9"/>
            <color indexed="81"/>
            <rFont val="Tahoma"/>
            <family val="2"/>
            <charset val="204"/>
          </rPr>
          <t>компенсация внебюджет в рамках МЗ</t>
        </r>
      </text>
    </comment>
    <comment ref="P13" authorId="1">
      <text>
        <r>
          <rPr>
            <b/>
            <sz val="9"/>
            <color indexed="81"/>
            <rFont val="Tahoma"/>
            <family val="2"/>
            <charset val="204"/>
          </rPr>
          <t>ЦООД сам считает НРО по з/п нам им подавать на эти цели не нужно</t>
        </r>
        <r>
          <rPr>
            <sz val="9"/>
            <color indexed="81"/>
            <rFont val="Tahoma"/>
            <family val="2"/>
            <charset val="204"/>
          </rPr>
          <t xml:space="preserve">
</t>
        </r>
      </text>
    </comment>
    <comment ref="AW13" authorId="0">
      <text>
        <r>
          <rPr>
            <sz val="9"/>
            <color indexed="81"/>
            <rFont val="Tahoma"/>
            <family val="2"/>
            <charset val="204"/>
          </rPr>
          <t xml:space="preserve">только аванс января
</t>
        </r>
      </text>
    </comment>
    <comment ref="AY13" authorId="0">
      <text>
        <r>
          <rPr>
            <b/>
            <sz val="9"/>
            <color indexed="81"/>
            <rFont val="Tahoma"/>
            <family val="2"/>
            <charset val="204"/>
          </rPr>
          <t xml:space="preserve">средняя з/п за месяц без премий и т.п.
</t>
        </r>
      </text>
    </comment>
    <comment ref="BA13" authorId="0">
      <text>
        <r>
          <rPr>
            <b/>
            <sz val="9"/>
            <color indexed="81"/>
            <rFont val="Tahoma"/>
            <family val="2"/>
            <charset val="204"/>
          </rPr>
          <t xml:space="preserve">+ премия к дню работника культуры 1 ФОТ+ ежекв.премия
</t>
        </r>
      </text>
    </comment>
    <comment ref="BE13" authorId="0">
      <text>
        <r>
          <rPr>
            <b/>
            <sz val="9"/>
            <color indexed="81"/>
            <rFont val="Tahoma"/>
            <family val="2"/>
            <charset val="204"/>
          </rPr>
          <t>отпуска + мат.помощь к отпуску основной массы работников (пропорция примерно 2,8 к обычной з/п)</t>
        </r>
      </text>
    </comment>
    <comment ref="BG13" authorId="0">
      <text>
        <r>
          <rPr>
            <b/>
            <sz val="9"/>
            <color indexed="81"/>
            <rFont val="Tahoma"/>
            <family val="2"/>
            <charset val="204"/>
          </rPr>
          <t xml:space="preserve">плюс квартальная
</t>
        </r>
      </text>
    </comment>
    <comment ref="BS13" authorId="0">
      <text>
        <r>
          <rPr>
            <b/>
            <sz val="9"/>
            <color indexed="81"/>
            <rFont val="Tahoma"/>
            <family val="2"/>
            <charset val="204"/>
          </rPr>
          <t xml:space="preserve">1/2 ноября, + весь декабрь +ежекварт.
 премии + годовая
</t>
        </r>
      </text>
    </comment>
    <comment ref="H15" authorId="1">
      <text>
        <r>
          <rPr>
            <b/>
            <sz val="9"/>
            <color indexed="81"/>
            <rFont val="Tahoma"/>
            <family val="2"/>
            <charset val="204"/>
          </rPr>
          <t>компенсация внебюджет в рамках МЗ</t>
        </r>
      </text>
    </comment>
    <comment ref="F16" authorId="0">
      <text>
        <r>
          <rPr>
            <b/>
            <sz val="9"/>
            <color indexed="81"/>
            <rFont val="Tahoma"/>
            <family val="2"/>
            <charset val="204"/>
          </rPr>
          <t>прошлых лет</t>
        </r>
      </text>
    </comment>
    <comment ref="K16" authorId="0">
      <text>
        <r>
          <rPr>
            <b/>
            <sz val="9"/>
            <color indexed="81"/>
            <rFont val="Tahoma"/>
            <family val="2"/>
            <charset val="204"/>
          </rPr>
          <t>прошлых лет</t>
        </r>
      </text>
    </comment>
    <comment ref="L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Q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S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L19" authorId="0">
      <text>
        <r>
          <rPr>
            <b/>
            <sz val="9"/>
            <color indexed="81"/>
            <rFont val="Tahoma"/>
            <family val="2"/>
            <charset val="204"/>
          </rPr>
          <t>2 чел</t>
        </r>
      </text>
    </comment>
    <comment ref="Q19" authorId="0">
      <text>
        <r>
          <rPr>
            <b/>
            <sz val="9"/>
            <color indexed="81"/>
            <rFont val="Tahoma"/>
            <family val="2"/>
            <charset val="204"/>
          </rPr>
          <t>2 чел</t>
        </r>
      </text>
    </comment>
    <comment ref="S19" authorId="0">
      <text>
        <r>
          <rPr>
            <b/>
            <sz val="9"/>
            <color indexed="81"/>
            <rFont val="Tahoma"/>
            <family val="2"/>
            <charset val="204"/>
          </rPr>
          <t>2 чел</t>
        </r>
      </text>
    </comment>
    <comment ref="L20" authorId="0">
      <text>
        <r>
          <rPr>
            <b/>
            <sz val="9"/>
            <color indexed="81"/>
            <rFont val="Tahoma"/>
            <family val="2"/>
            <charset val="204"/>
          </rPr>
          <t xml:space="preserve">3 чел по 5000
</t>
        </r>
        <r>
          <rPr>
            <sz val="9"/>
            <color indexed="81"/>
            <rFont val="Tahoma"/>
            <family val="2"/>
            <charset val="204"/>
          </rPr>
          <t xml:space="preserve">
</t>
        </r>
      </text>
    </comment>
    <comment ref="Q20" authorId="0">
      <text>
        <r>
          <rPr>
            <b/>
            <sz val="9"/>
            <color indexed="81"/>
            <rFont val="Tahoma"/>
            <family val="2"/>
            <charset val="204"/>
          </rPr>
          <t xml:space="preserve">3 чел по 5000
</t>
        </r>
        <r>
          <rPr>
            <sz val="9"/>
            <color indexed="81"/>
            <rFont val="Tahoma"/>
            <family val="2"/>
            <charset val="204"/>
          </rPr>
          <t xml:space="preserve">
</t>
        </r>
      </text>
    </comment>
    <comment ref="S20" authorId="0">
      <text>
        <r>
          <rPr>
            <b/>
            <sz val="9"/>
            <color indexed="81"/>
            <rFont val="Tahoma"/>
            <family val="2"/>
            <charset val="204"/>
          </rPr>
          <t xml:space="preserve">3 чел по 5000
</t>
        </r>
        <r>
          <rPr>
            <sz val="9"/>
            <color indexed="81"/>
            <rFont val="Tahoma"/>
            <family val="2"/>
            <charset val="204"/>
          </rPr>
          <t xml:space="preserve">
</t>
        </r>
      </text>
    </comment>
    <comment ref="AZ21" authorId="1">
      <text>
        <r>
          <rPr>
            <b/>
            <sz val="9"/>
            <color indexed="81"/>
            <rFont val="Tahoma"/>
            <family val="2"/>
            <charset val="204"/>
          </rPr>
          <t xml:space="preserve">Сидоренко Дарье в свзи со смертью отца
</t>
        </r>
      </text>
    </comment>
    <comment ref="L22" authorId="0">
      <text>
        <r>
          <rPr>
            <b/>
            <sz val="10"/>
            <color indexed="81"/>
            <rFont val="Tahoma"/>
            <family val="2"/>
            <charset val="204"/>
          </rPr>
          <t>Согласно Коллективного договора (там еще на стр.17 есть сылка на Постановление Адм и Решение Думы)</t>
        </r>
        <r>
          <rPr>
            <b/>
            <u/>
            <sz val="10"/>
            <color indexed="81"/>
            <rFont val="Tahoma"/>
            <family val="2"/>
            <charset val="204"/>
          </rPr>
          <t xml:space="preserve">
на КВР 111 КОСГУ 266 перенес 6000 (остался на 211 запас 2000 + 2000 от Черемных осталось)</t>
        </r>
        <r>
          <rPr>
            <b/>
            <sz val="9"/>
            <color indexed="81"/>
            <rFont val="Tahoma"/>
            <family val="2"/>
            <charset val="204"/>
          </rPr>
          <t xml:space="preserve">
Находящимся по уходу за ребенком до трех лет:
</t>
        </r>
        <r>
          <rPr>
            <sz val="9"/>
            <color indexed="81"/>
            <rFont val="Tahoma"/>
            <family val="2"/>
            <charset val="204"/>
          </rPr>
          <t xml:space="preserve">- Решетова Мария Николаевна 1000 * 4 раза, за 4 квартал заявление не написали поэтому будет 3 раза
- Гиренко Виорика Валерьевна 1000 * 4 раза, за 4 квартал заявление не написали поэтому будет 3 раза
</t>
        </r>
        <r>
          <rPr>
            <b/>
            <sz val="9"/>
            <color indexed="81"/>
            <rFont val="Tahoma"/>
            <family val="2"/>
            <charset val="204"/>
          </rPr>
          <t xml:space="preserve">
</t>
        </r>
        <r>
          <rPr>
            <b/>
            <u/>
            <sz val="10"/>
            <color indexed="81"/>
            <rFont val="Tahoma"/>
            <family val="2"/>
            <charset val="204"/>
          </rPr>
          <t>Останутся на КВР111 КОСГУ 211</t>
        </r>
        <r>
          <rPr>
            <b/>
            <sz val="9"/>
            <color indexed="81"/>
            <rFont val="Tahoma"/>
            <family val="2"/>
            <charset val="204"/>
          </rPr>
          <t xml:space="preserve">
Имеющим на иждивении ребенка-инвалида, инвалида I, II, III группы с причиной инвалидности "инвалид с детства":
</t>
        </r>
        <r>
          <rPr>
            <sz val="9"/>
            <color indexed="81"/>
            <rFont val="Tahoma"/>
            <family val="2"/>
            <charset val="204"/>
          </rPr>
          <t>- Мурзина Галина Николаевна 1000 * 4 раза
- Гречушникова Екатерина Николаевна 1000 * 4 раза</t>
        </r>
        <r>
          <rPr>
            <b/>
            <sz val="9"/>
            <color indexed="81"/>
            <rFont val="Tahoma"/>
            <family val="2"/>
            <charset val="204"/>
          </rPr>
          <t xml:space="preserve">
- уволился его убираем </t>
        </r>
        <r>
          <rPr>
            <sz val="9"/>
            <color indexed="81"/>
            <rFont val="Tahoma"/>
            <family val="2"/>
            <charset val="204"/>
          </rPr>
          <t>Черемных Максим Владимирович 1000 * 4 раза (2000 перешло на Мулачанова) 2000 запас</t>
        </r>
        <r>
          <rPr>
            <b/>
            <sz val="9"/>
            <color indexed="81"/>
            <rFont val="Tahoma"/>
            <family val="2"/>
            <charset val="204"/>
          </rPr>
          <t xml:space="preserve">
Имеющим трех и более детей в возрасте до 18 лет:
</t>
        </r>
        <r>
          <rPr>
            <sz val="9"/>
            <color indexed="81"/>
            <rFont val="Tahoma"/>
            <family val="2"/>
            <charset val="204"/>
          </rPr>
          <t xml:space="preserve">- Соловьев Иван Викторович 1000 * 4 раза
- Репина (вместо ошибочной Кондратьева Екатерина Константиновна) 1000 * 4 раза
- Дремин Алексей Анатольевич  1000 * 4 раза
- Шарова Анна (вместо Карасик Наиля Ильгизяровна) 1000 * 4 раза 
</t>
        </r>
        <r>
          <rPr>
            <b/>
            <sz val="9"/>
            <color indexed="81"/>
            <rFont val="Tahoma"/>
            <family val="2"/>
            <charset val="204"/>
          </rPr>
          <t>- добавился</t>
        </r>
        <r>
          <rPr>
            <sz val="9"/>
            <color indexed="81"/>
            <rFont val="Tahoma"/>
            <family val="2"/>
            <charset val="204"/>
          </rPr>
          <t xml:space="preserve"> Мулачанов Рустам Равильевич 1000 * 2 раза (т.к.  1 квартал не полный)</t>
        </r>
        <r>
          <rPr>
            <b/>
            <sz val="9"/>
            <color indexed="81"/>
            <rFont val="Tahoma"/>
            <family val="2"/>
            <charset val="204"/>
          </rPr>
          <t xml:space="preserve">
По бухгалтерии они просто получают выплату как "материальная помощь"
</t>
        </r>
      </text>
    </comment>
    <comment ref="Q22"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4 раза
</t>
        </r>
        <r>
          <rPr>
            <sz val="9"/>
            <color indexed="81"/>
            <rFont val="Tahoma"/>
            <family val="2"/>
            <charset val="204"/>
          </rPr>
          <t>- Гиренко Виорика Валерьевна 1000</t>
        </r>
        <r>
          <rPr>
            <b/>
            <sz val="9"/>
            <color indexed="81"/>
            <rFont val="Tahoma"/>
            <family val="2"/>
            <charset val="204"/>
          </rPr>
          <t xml:space="preserve"> * 4 раза
</t>
        </r>
        <r>
          <rPr>
            <sz val="9"/>
            <color indexed="81"/>
            <rFont val="Tahoma"/>
            <family val="2"/>
            <charset val="204"/>
          </rPr>
          <t>- Гречушникова Екатерина Николаевна 1000</t>
        </r>
        <r>
          <rPr>
            <b/>
            <sz val="9"/>
            <color indexed="81"/>
            <rFont val="Tahoma"/>
            <family val="2"/>
            <charset val="204"/>
          </rPr>
          <t xml:space="preserve"> * 2 раза !!!!!!!!!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4 раза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S22"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3 раза !!!!!!!!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3 раза !!!!!!!!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L25" authorId="0">
      <text>
        <r>
          <rPr>
            <b/>
            <sz val="10"/>
            <color indexed="81"/>
            <rFont val="Tahoma"/>
            <family val="2"/>
            <charset val="204"/>
          </rPr>
          <t>Согласно Коллективного договора (там еще на стр.17 есть сылка на Постановление Адм и Решение Думы)</t>
        </r>
        <r>
          <rPr>
            <b/>
            <u/>
            <sz val="10"/>
            <color indexed="81"/>
            <rFont val="Tahoma"/>
            <family val="2"/>
            <charset val="204"/>
          </rPr>
          <t xml:space="preserve">
на КВР 111 КОСГУ 266 перенес 6000 (остался на 211 запас 2000 + 2000 от Черемных осталось)</t>
        </r>
        <r>
          <rPr>
            <b/>
            <sz val="9"/>
            <color indexed="81"/>
            <rFont val="Tahoma"/>
            <family val="2"/>
            <charset val="204"/>
          </rPr>
          <t xml:space="preserve">
Находящимся по уходу за ребенком до трех лет:
</t>
        </r>
        <r>
          <rPr>
            <sz val="9"/>
            <color indexed="81"/>
            <rFont val="Tahoma"/>
            <family val="2"/>
            <charset val="204"/>
          </rPr>
          <t>- Решетова Мария Николаевна 1000 * 4 раза, за 4 квартал заявление не написали поэтому будет 3 раза
- Гиренко Виорика Валерьевна 1000 * 4 раза, за 4 квартал заявление не написали поэтому будет 3 раза</t>
        </r>
        <r>
          <rPr>
            <b/>
            <sz val="9"/>
            <color indexed="81"/>
            <rFont val="Tahoma"/>
            <family val="2"/>
            <charset val="204"/>
          </rPr>
          <t xml:space="preserve">
</t>
        </r>
      </text>
    </comment>
    <comment ref="L26"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Q26"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S26"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K27" authorId="1">
      <text>
        <r>
          <rPr>
            <b/>
            <u/>
            <sz val="10"/>
            <color indexed="81"/>
            <rFont val="Tahoma"/>
            <family val="2"/>
            <charset val="204"/>
          </rPr>
          <t xml:space="preserve">2 работника могут воспользоваться:
- Мурзина (ставлю 10 раз т.к. </t>
        </r>
        <r>
          <rPr>
            <sz val="10"/>
            <color indexed="81"/>
            <rFont val="Tahoma"/>
            <family val="2"/>
            <charset val="204"/>
          </rPr>
          <t>пока она сама не знает, была операция у ребенка) у Мурзиной (зп за январь 37 691,54р.) средникй размер за 4 дня  зп + начисления за январь 12260р. в 1С показало, считаются как и отпускные за посление 12 мес, поэтому сумма может сильно варьироваться.</t>
        </r>
        <r>
          <rPr>
            <b/>
            <u/>
            <sz val="10"/>
            <color indexed="81"/>
            <rFont val="Tahoma"/>
            <family val="2"/>
            <charset val="204"/>
          </rPr>
          <t xml:space="preserve"> Для расчета взял 13000
</t>
        </r>
        <r>
          <rPr>
            <sz val="10"/>
            <color indexed="81"/>
            <rFont val="Tahoma"/>
            <family val="2"/>
            <charset val="204"/>
          </rPr>
          <t>-</t>
        </r>
        <r>
          <rPr>
            <b/>
            <sz val="10"/>
            <color indexed="81"/>
            <rFont val="Tahoma"/>
            <family val="2"/>
            <charset val="204"/>
          </rPr>
          <t xml:space="preserve"> Дремин </t>
        </r>
        <r>
          <rPr>
            <sz val="10"/>
            <color indexed="81"/>
            <rFont val="Tahoma"/>
            <family val="2"/>
            <charset val="204"/>
          </rPr>
          <t xml:space="preserve">сказал что не больше </t>
        </r>
        <r>
          <rPr>
            <b/>
            <sz val="10"/>
            <color indexed="81"/>
            <rFont val="Tahoma"/>
            <family val="2"/>
            <charset val="204"/>
          </rPr>
          <t xml:space="preserve">5 раз </t>
        </r>
        <r>
          <rPr>
            <sz val="10"/>
            <color indexed="81"/>
            <rFont val="Tahoma"/>
            <family val="2"/>
            <charset val="204"/>
          </rPr>
          <t xml:space="preserve">воспользуется (но скорее всего 2-3 раза всего возьмет) (зп январь 70 375,50р.) в пропорции от Мурзиной будет 13000 это 54% итого </t>
        </r>
        <r>
          <rPr>
            <b/>
            <sz val="10"/>
            <color indexed="81"/>
            <rFont val="Tahoma"/>
            <family val="2"/>
            <charset val="204"/>
          </rPr>
          <t>будет примерно 24 000 руб.</t>
        </r>
        <r>
          <rPr>
            <sz val="10"/>
            <color indexed="81"/>
            <rFont val="Tahoma"/>
            <family val="2"/>
            <charset val="204"/>
          </rPr>
          <t xml:space="preserve">
</t>
        </r>
        <r>
          <rPr>
            <b/>
            <u/>
            <sz val="10"/>
            <color indexed="81"/>
            <rFont val="Tahoma"/>
            <family val="2"/>
            <charset val="204"/>
          </rPr>
          <t xml:space="preserve">
Здесь и зп и начисления на зп одновременно по КВР 111 ГОСГУ 266</t>
        </r>
        <r>
          <rPr>
            <sz val="9"/>
            <color indexed="81"/>
            <rFont val="Tahoma"/>
            <family val="2"/>
            <charset val="204"/>
          </rPr>
          <t xml:space="preserve">
Раньше эти расходы были на КВР 111 КОСГУ 213
четыре дополнительных оплачиваемых выходных дня в месяц для ухода за детьми-инвалидами установлена ст. 262 ТК РФ. Каждый дополнительный выходной день оплачивается в размере среднего заработка.
Частью 17 ст. 37 Федерального закона от 24.07.2009 № 213-ФЗ, п. 8 положения о ФСС РФ, утв. постановлением Правительства РФ от 12.02.1994 № 101, установлено, что финансовое обеспечение расходов на оплату дополнительных выходных дней для ухода за детьми-инвалидами (включая начисленные страховые взносы в государственные внебюджетные фонды) осуществляется за счет межбюджетных трансфертов из федерального бюджета, предоставляемых бюджету ФСС РФ. Таким образом, эти расходы не являются обязательством учреждения.
</t>
        </r>
        <r>
          <rPr>
            <b/>
            <sz val="10"/>
            <color indexed="81"/>
            <rFont val="Tahoma"/>
            <family val="2"/>
            <charset val="204"/>
          </rPr>
          <t>С 2021 года на всей территории РФ действует механизм прямых выплат,</t>
        </r>
        <r>
          <rPr>
            <sz val="9"/>
            <color indexed="81"/>
            <rFont val="Tahoma"/>
            <family val="2"/>
            <charset val="204"/>
          </rPr>
          <t xml:space="preserve"> предусматривающий выплату пособий напрямую из ФСС РФ, а не через работодателя. </t>
        </r>
        <r>
          <rPr>
            <u/>
            <sz val="10"/>
            <color indexed="81"/>
            <rFont val="Tahoma"/>
            <family val="2"/>
            <charset val="204"/>
          </rPr>
          <t xml:space="preserve">Выплата среднего заработка за дополнительные выходные дни (не более четырех в месяц) по уходу за детьми-инвалидами </t>
        </r>
        <r>
          <rPr>
            <b/>
            <u/>
            <sz val="11"/>
            <color indexed="81"/>
            <rFont val="Tahoma"/>
            <family val="2"/>
            <charset val="204"/>
          </rPr>
          <t>является исключением</t>
        </r>
        <r>
          <rPr>
            <u/>
            <sz val="10"/>
            <color indexed="81"/>
            <rFont val="Tahoma"/>
            <family val="2"/>
            <charset val="204"/>
          </rPr>
          <t>.</t>
        </r>
        <r>
          <rPr>
            <sz val="9"/>
            <color indexed="81"/>
            <rFont val="Tahoma"/>
            <family val="2"/>
            <charset val="204"/>
          </rPr>
          <t xml:space="preserve"> Работодатель должен назначить и выплатить физлицу средний заработок, впоследствии фонд возместит такие расходы.
Оплата четырех дополнительных выходных дней в месяц родителю (опекуну, попечителю) для ухода за детьми-инвалидами отражается по элементу</t>
        </r>
        <r>
          <rPr>
            <b/>
            <u/>
            <sz val="9"/>
            <color indexed="81"/>
            <rFont val="Tahoma"/>
            <family val="2"/>
            <charset val="204"/>
          </rPr>
          <t xml:space="preserve"> видов расходов 119 "</t>
        </r>
        <r>
          <rPr>
            <sz val="9"/>
            <color indexed="81"/>
            <rFont val="Tahoma"/>
            <family val="2"/>
            <charset val="204"/>
          </rPr>
          <t xml:space="preserve">Взносы по обязательному социальному страхованию на выплаты по оплате труда работников и иные выплаты работникам учреждений" и </t>
        </r>
        <r>
          <rPr>
            <b/>
            <u/>
            <sz val="9"/>
            <color indexed="81"/>
            <rFont val="Tahoma"/>
            <family val="2"/>
            <charset val="204"/>
          </rPr>
          <t xml:space="preserve">подстатье 266 "Социальные пособия и компенсации персоналу в денежной форме" КОСГУ. </t>
        </r>
        <r>
          <rPr>
            <sz val="9"/>
            <color indexed="81"/>
            <rFont val="Tahoma"/>
            <family val="2"/>
            <charset val="204"/>
          </rPr>
          <t>Это установлено п. 48.1.4 порядка, утв. приказом Минфина России от 06.06.2019 № 85н, п. 10.6.6 порядка, утв. приказом Минфина России от 29.11.2017 № 209н.</t>
        </r>
      </text>
    </comment>
    <comment ref="L27" authorId="1">
      <text>
        <r>
          <rPr>
            <b/>
            <u/>
            <sz val="10"/>
            <color indexed="81"/>
            <rFont val="Tahoma"/>
            <family val="2"/>
            <charset val="204"/>
          </rPr>
          <t xml:space="preserve">2 работника могут воспользоваться:
- Мурзина (ставлю 10 раз т.к. </t>
        </r>
        <r>
          <rPr>
            <sz val="10"/>
            <color indexed="81"/>
            <rFont val="Tahoma"/>
            <family val="2"/>
            <charset val="204"/>
          </rPr>
          <t>пока она сама не знает, была операция у ребенка) у Мурзиной (зп за январь 37 691,54р.) средникй размер за 4 дня  зп + начисления за январь 12260р. в 1С показало, считаются как и отпускные за посление 12 мес, поэтому сумма может сильно варьироваться.</t>
        </r>
        <r>
          <rPr>
            <b/>
            <u/>
            <sz val="10"/>
            <color indexed="81"/>
            <rFont val="Tahoma"/>
            <family val="2"/>
            <charset val="204"/>
          </rPr>
          <t xml:space="preserve"> Для расчета взял 13000
</t>
        </r>
        <r>
          <rPr>
            <sz val="10"/>
            <color indexed="81"/>
            <rFont val="Tahoma"/>
            <family val="2"/>
            <charset val="204"/>
          </rPr>
          <t>-</t>
        </r>
        <r>
          <rPr>
            <b/>
            <sz val="10"/>
            <color indexed="81"/>
            <rFont val="Tahoma"/>
            <family val="2"/>
            <charset val="204"/>
          </rPr>
          <t xml:space="preserve"> Дремин </t>
        </r>
        <r>
          <rPr>
            <sz val="10"/>
            <color indexed="81"/>
            <rFont val="Tahoma"/>
            <family val="2"/>
            <charset val="204"/>
          </rPr>
          <t xml:space="preserve">сказал что не больше </t>
        </r>
        <r>
          <rPr>
            <b/>
            <sz val="10"/>
            <color indexed="81"/>
            <rFont val="Tahoma"/>
            <family val="2"/>
            <charset val="204"/>
          </rPr>
          <t xml:space="preserve">5 раз </t>
        </r>
        <r>
          <rPr>
            <sz val="10"/>
            <color indexed="81"/>
            <rFont val="Tahoma"/>
            <family val="2"/>
            <charset val="204"/>
          </rPr>
          <t xml:space="preserve">воспользуется (но скорее всего 2-3 раза всего возьмет) (зп январь 70 375,50р.) в пропорции от Мурзиной будет 13000 это 54% итого </t>
        </r>
        <r>
          <rPr>
            <b/>
            <sz val="10"/>
            <color indexed="81"/>
            <rFont val="Tahoma"/>
            <family val="2"/>
            <charset val="204"/>
          </rPr>
          <t>будет примерно 24 000 руб.</t>
        </r>
        <r>
          <rPr>
            <sz val="10"/>
            <color indexed="81"/>
            <rFont val="Tahoma"/>
            <family val="2"/>
            <charset val="204"/>
          </rPr>
          <t xml:space="preserve">
</t>
        </r>
        <r>
          <rPr>
            <b/>
            <u/>
            <sz val="10"/>
            <color indexed="81"/>
            <rFont val="Tahoma"/>
            <family val="2"/>
            <charset val="204"/>
          </rPr>
          <t xml:space="preserve">
Здесь и зп и начисления на зп одновременно по КВР 111 ГОСГУ 266</t>
        </r>
        <r>
          <rPr>
            <sz val="9"/>
            <color indexed="81"/>
            <rFont val="Tahoma"/>
            <family val="2"/>
            <charset val="204"/>
          </rPr>
          <t xml:space="preserve">
Раньше эти расходы были на КВР 111 КОСГУ 213
четыре дополнительных оплачиваемых выходных дня в месяц для ухода за детьми-инвалидами установлена ст. 262 ТК РФ. Каждый дополнительный выходной день оплачивается в размере среднего заработка.
Частью 17 ст. 37 Федерального закона от 24.07.2009 № 213-ФЗ, п. 8 положения о ФСС РФ, утв. постановлением Правительства РФ от 12.02.1994 № 101, установлено, что финансовое обеспечение расходов на оплату дополнительных выходных дней для ухода за детьми-инвалидами (включая начисленные страховые взносы в государственные внебюджетные фонды) осуществляется за счет межбюджетных трансфертов из федерального бюджета, предоставляемых бюджету ФСС РФ. Таким образом, эти расходы не являются обязательством учреждения.
</t>
        </r>
        <r>
          <rPr>
            <b/>
            <sz val="10"/>
            <color indexed="81"/>
            <rFont val="Tahoma"/>
            <family val="2"/>
            <charset val="204"/>
          </rPr>
          <t>С 2021 года на всей территории РФ действует механизм прямых выплат,</t>
        </r>
        <r>
          <rPr>
            <sz val="9"/>
            <color indexed="81"/>
            <rFont val="Tahoma"/>
            <family val="2"/>
            <charset val="204"/>
          </rPr>
          <t xml:space="preserve"> предусматривающий выплату пособий напрямую из ФСС РФ, а не через работодателя. </t>
        </r>
        <r>
          <rPr>
            <u/>
            <sz val="10"/>
            <color indexed="81"/>
            <rFont val="Tahoma"/>
            <family val="2"/>
            <charset val="204"/>
          </rPr>
          <t xml:space="preserve">Выплата среднего заработка за дополнительные выходные дни (не более четырех в месяц) по уходу за детьми-инвалидами </t>
        </r>
        <r>
          <rPr>
            <b/>
            <u/>
            <sz val="11"/>
            <color indexed="81"/>
            <rFont val="Tahoma"/>
            <family val="2"/>
            <charset val="204"/>
          </rPr>
          <t>является исключением</t>
        </r>
        <r>
          <rPr>
            <u/>
            <sz val="10"/>
            <color indexed="81"/>
            <rFont val="Tahoma"/>
            <family val="2"/>
            <charset val="204"/>
          </rPr>
          <t>.</t>
        </r>
        <r>
          <rPr>
            <sz val="9"/>
            <color indexed="81"/>
            <rFont val="Tahoma"/>
            <family val="2"/>
            <charset val="204"/>
          </rPr>
          <t xml:space="preserve"> Работодатель должен назначить и выплатить физлицу средний заработок, впоследствии фонд возместит такие расходы.
Оплата четырех дополнительных выходных дней в месяц родителю (опекуну, попечителю) для ухода за детьми-инвалидами отражается по элементу</t>
        </r>
        <r>
          <rPr>
            <b/>
            <u/>
            <sz val="9"/>
            <color indexed="81"/>
            <rFont val="Tahoma"/>
            <family val="2"/>
            <charset val="204"/>
          </rPr>
          <t xml:space="preserve"> видов расходов 119 "</t>
        </r>
        <r>
          <rPr>
            <sz val="9"/>
            <color indexed="81"/>
            <rFont val="Tahoma"/>
            <family val="2"/>
            <charset val="204"/>
          </rPr>
          <t xml:space="preserve">Взносы по обязательному социальному страхованию на выплаты по оплате труда работников и иные выплаты работникам учреждений" и </t>
        </r>
        <r>
          <rPr>
            <b/>
            <u/>
            <sz val="9"/>
            <color indexed="81"/>
            <rFont val="Tahoma"/>
            <family val="2"/>
            <charset val="204"/>
          </rPr>
          <t xml:space="preserve">подстатье 266 "Социальные пособия и компенсации персоналу в денежной форме" КОСГУ. </t>
        </r>
        <r>
          <rPr>
            <sz val="9"/>
            <color indexed="81"/>
            <rFont val="Tahoma"/>
            <family val="2"/>
            <charset val="204"/>
          </rPr>
          <t>Это установлено п. 48.1.4 порядка, утв. приказом Минфина России от 06.06.2019 № 85н, п. 10.6.6 порядка, утв. приказом Минфина России от 29.11.2017 № 209н.</t>
        </r>
      </text>
    </comment>
    <comment ref="L28" authorId="0">
      <text>
        <r>
          <rPr>
            <b/>
            <sz val="9"/>
            <color indexed="81"/>
            <rFont val="Tahoma"/>
            <family val="2"/>
            <charset val="204"/>
          </rPr>
          <t>30,2%</t>
        </r>
        <r>
          <rPr>
            <sz val="9"/>
            <color indexed="81"/>
            <rFont val="Tahoma"/>
            <family val="2"/>
            <charset val="204"/>
          </rPr>
          <t xml:space="preserve">
</t>
        </r>
      </text>
    </comment>
    <comment ref="Q28" authorId="0">
      <text>
        <r>
          <rPr>
            <b/>
            <sz val="9"/>
            <color indexed="81"/>
            <rFont val="Tahoma"/>
            <family val="2"/>
            <charset val="204"/>
          </rPr>
          <t>30,2%</t>
        </r>
        <r>
          <rPr>
            <sz val="9"/>
            <color indexed="81"/>
            <rFont val="Tahoma"/>
            <family val="2"/>
            <charset val="204"/>
          </rPr>
          <t xml:space="preserve">
</t>
        </r>
      </text>
    </comment>
    <comment ref="S28" authorId="0">
      <text>
        <r>
          <rPr>
            <b/>
            <sz val="9"/>
            <color indexed="81"/>
            <rFont val="Tahoma"/>
            <family val="2"/>
            <charset val="204"/>
          </rPr>
          <t>30,2%</t>
        </r>
        <r>
          <rPr>
            <sz val="9"/>
            <color indexed="81"/>
            <rFont val="Tahoma"/>
            <family val="2"/>
            <charset val="204"/>
          </rPr>
          <t xml:space="preserve">
</t>
        </r>
      </text>
    </comment>
    <comment ref="L30" authorId="0">
      <text>
        <r>
          <rPr>
            <b/>
            <sz val="9"/>
            <color indexed="81"/>
            <rFont val="Tahoma"/>
            <family val="2"/>
            <charset val="204"/>
          </rPr>
          <t>2 чел</t>
        </r>
        <r>
          <rPr>
            <sz val="9"/>
            <color indexed="81"/>
            <rFont val="Tahoma"/>
            <family val="2"/>
            <charset val="204"/>
          </rPr>
          <t xml:space="preserve">
</t>
        </r>
      </text>
    </comment>
    <comment ref="L31" authorId="0">
      <text>
        <r>
          <rPr>
            <b/>
            <sz val="9"/>
            <color indexed="81"/>
            <rFont val="Tahoma"/>
            <family val="2"/>
            <charset val="204"/>
          </rPr>
          <t>3 чел</t>
        </r>
      </text>
    </comment>
    <comment ref="L32" authorId="0">
      <text>
        <r>
          <rPr>
            <b/>
            <sz val="9"/>
            <color indexed="81"/>
            <rFont val="Tahoma"/>
            <family val="2"/>
            <charset val="204"/>
          </rPr>
          <t xml:space="preserve">30,2% на КОСГУ 266
</t>
        </r>
        <r>
          <rPr>
            <sz val="9"/>
            <color indexed="81"/>
            <rFont val="Tahoma"/>
            <family val="2"/>
            <charset val="204"/>
          </rPr>
          <t xml:space="preserve">
</t>
        </r>
      </text>
    </comment>
    <comment ref="AW33" authorId="0">
      <text>
        <r>
          <rPr>
            <sz val="9"/>
            <color indexed="81"/>
            <rFont val="Tahoma"/>
            <family val="2"/>
            <charset val="204"/>
          </rPr>
          <t xml:space="preserve">только аванс января
</t>
        </r>
      </text>
    </comment>
    <comment ref="BS33" authorId="0">
      <text>
        <r>
          <rPr>
            <b/>
            <sz val="9"/>
            <color indexed="81"/>
            <rFont val="Tahoma"/>
            <family val="2"/>
            <charset val="204"/>
          </rPr>
          <t>половина зп ноября + вся зп за декабрь</t>
        </r>
      </text>
    </comment>
    <comment ref="K36" authorId="1">
      <text>
        <r>
          <rPr>
            <b/>
            <sz val="9"/>
            <color indexed="81"/>
            <rFont val="Tahoma"/>
            <family val="2"/>
            <charset val="204"/>
          </rPr>
          <t>ежемесячные компенсационные выплаты в размере 50 рублей сотрудникам (работникам), находящимся в отпуске по уходу за ребенком до достижения им возраста 3 лет, назначаемые и выплачиваемые в соответствии с постановлением Правительства Российской Федерации от 3 ноября 1994 года N 1206 "Об утверждении порядка назначения и выплаты ежемесячных компенсационных выплат отдельным категориям граждан" (Собрание законодательства Российской Федерации, 1994, N 29, ст. 3035; 2018, N 50, ст. 7755)</t>
        </r>
      </text>
    </comment>
    <comment ref="K38" authorId="0">
      <text>
        <r>
          <rPr>
            <b/>
            <sz val="9"/>
            <color indexed="81"/>
            <rFont val="Tahoma"/>
            <family val="2"/>
            <charset val="204"/>
          </rPr>
          <t>здесь план корректирую по факту Аниных авансовых за покупку конвертов</t>
        </r>
        <r>
          <rPr>
            <sz val="9"/>
            <color indexed="81"/>
            <rFont val="Tahoma"/>
            <family val="2"/>
            <charset val="204"/>
          </rPr>
          <t xml:space="preserve">
</t>
        </r>
      </text>
    </comment>
    <comment ref="K40" authorId="1">
      <text>
        <r>
          <rPr>
            <sz val="10"/>
            <color indexed="81"/>
            <rFont val="Tahoma"/>
            <family val="2"/>
            <charset val="204"/>
          </rPr>
          <t>защищенный канал между Энгельса 11 и проезд Советов 4 (ЦООД)</t>
        </r>
      </text>
    </comment>
    <comment ref="W41" authorId="1">
      <text>
        <r>
          <rPr>
            <sz val="11"/>
            <color indexed="81"/>
            <rFont val="Tahoma"/>
            <family val="2"/>
            <charset val="204"/>
          </rPr>
          <t>лицевой счет 
683088687886</t>
        </r>
      </text>
    </comment>
    <comment ref="BC45" authorId="1">
      <text>
        <r>
          <rPr>
            <b/>
            <sz val="9"/>
            <color indexed="81"/>
            <rFont val="Tahoma"/>
            <family val="2"/>
            <charset val="204"/>
          </rPr>
          <t>счет Б0000340 от 04.04.2021 на 1800р за 03,04 апреля
счет №Б0000369 от 11.04.2021 на 1200р. За 10,11 апреля
счет№Б0000439 от 26.04.2021 на 1800р. За 17,24,25 апреля</t>
        </r>
      </text>
    </comment>
    <comment ref="BE45" authorId="1">
      <text>
        <r>
          <rPr>
            <b/>
            <sz val="9"/>
            <color indexed="81"/>
            <rFont val="Tahoma"/>
            <family val="2"/>
            <charset val="204"/>
          </rPr>
          <t xml:space="preserve">счет №Б0000473 от 30.04.2021 - 550р за 30 апреля
счет №Б0000519 от 12.05.2021 за 06,09,11 мая на 3000р.
</t>
        </r>
      </text>
    </comment>
    <comment ref="AZ47" authorId="1">
      <text>
        <r>
          <rPr>
            <b/>
            <sz val="9"/>
            <color indexed="81"/>
            <rFont val="Tahoma"/>
            <family val="2"/>
            <charset val="204"/>
          </rPr>
          <t>включая ТКО, не делится в платежке</t>
        </r>
      </text>
    </comment>
    <comment ref="L50" authorId="0">
      <text>
        <r>
          <rPr>
            <b/>
            <sz val="9"/>
            <color indexed="81"/>
            <rFont val="Tahoma"/>
            <family val="2"/>
            <charset val="204"/>
          </rPr>
          <t>годовая сумма 
12 428 476,80 по договору аренды, уже с учетом ТО инженерных систем</t>
        </r>
      </text>
    </comment>
    <comment ref="X50" authorId="1">
      <text>
        <r>
          <rPr>
            <b/>
            <sz val="9"/>
            <color indexed="81"/>
            <rFont val="Tahoma"/>
            <family val="2"/>
            <charset val="204"/>
          </rPr>
          <t>8 мес, чтобы не регистрировать в Росреестре и не была по бух учету Крупная сделка больше 9млн.</t>
        </r>
      </text>
    </comment>
    <comment ref="X54" authorId="1">
      <text>
        <r>
          <rPr>
            <b/>
            <sz val="9"/>
            <color indexed="81"/>
            <rFont val="Tahoma"/>
            <family val="2"/>
            <charset val="204"/>
          </rPr>
          <t>январь, июль и август исключаем</t>
        </r>
      </text>
    </comment>
    <comment ref="D55"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V55" authorId="0">
      <text>
        <r>
          <rPr>
            <b/>
            <sz val="9"/>
            <color indexed="81"/>
            <rFont val="Tahoma"/>
            <family val="2"/>
            <charset val="204"/>
          </rPr>
          <t xml:space="preserve">внебюджет
</t>
        </r>
      </text>
    </comment>
    <comment ref="X55" authorId="0">
      <text>
        <r>
          <rPr>
            <b/>
            <sz val="9"/>
            <color indexed="81"/>
            <rFont val="Tahoma"/>
            <family val="2"/>
            <charset val="204"/>
          </rPr>
          <t xml:space="preserve">доля от общего объема услуги по 4 и 2-ке
</t>
        </r>
        <r>
          <rPr>
            <sz val="9"/>
            <color indexed="81"/>
            <rFont val="Tahoma"/>
            <family val="2"/>
            <charset val="204"/>
          </rPr>
          <t xml:space="preserve">
</t>
        </r>
      </text>
    </comment>
    <comment ref="D56"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AS56" authorId="1">
      <text>
        <r>
          <rPr>
            <b/>
            <sz val="9"/>
            <color indexed="81"/>
            <rFont val="Tahoma"/>
            <family val="2"/>
            <charset val="204"/>
          </rPr>
          <t xml:space="preserve">с учетом открытия с 01.02.2021 уборка дополнительно в суб и воскр 354,9м2*42дня*1,61руб=23 998,34
Воскр с 8 до 16
</t>
        </r>
      </text>
    </comment>
    <comment ref="K58" authorId="0">
      <text>
        <r>
          <rPr>
            <b/>
            <sz val="9"/>
            <color indexed="81"/>
            <rFont val="Tahoma"/>
            <family val="2"/>
            <charset val="204"/>
          </rPr>
          <t xml:space="preserve">первый показ - апрель
</t>
        </r>
        <r>
          <rPr>
            <sz val="9"/>
            <color indexed="81"/>
            <rFont val="Tahoma"/>
            <family val="2"/>
            <charset val="204"/>
          </rPr>
          <t xml:space="preserve">
</t>
        </r>
      </text>
    </comment>
    <comment ref="BC58" authorId="1">
      <text>
        <r>
          <rPr>
            <b/>
            <sz val="9"/>
            <color indexed="81"/>
            <rFont val="Tahoma"/>
            <family val="2"/>
            <charset val="204"/>
          </rPr>
          <t>на 2520 дог
 3/21-О от 12.03.2021</t>
        </r>
      </text>
    </comment>
    <comment ref="K59" authorId="0">
      <text>
        <r>
          <rPr>
            <b/>
            <sz val="9"/>
            <color indexed="81"/>
            <rFont val="Tahoma"/>
            <family val="2"/>
            <charset val="204"/>
          </rPr>
          <t xml:space="preserve">первый показ и Лягушка и Первинка - январь-февраль
</t>
        </r>
      </text>
    </comment>
    <comment ref="K60" authorId="0">
      <text>
        <r>
          <rPr>
            <b/>
            <sz val="9"/>
            <color indexed="81"/>
            <rFont val="Tahoma"/>
            <family val="2"/>
            <charset val="204"/>
          </rPr>
          <t xml:space="preserve">первый показ - апрель
</t>
        </r>
        <r>
          <rPr>
            <sz val="9"/>
            <color indexed="81"/>
            <rFont val="Tahoma"/>
            <family val="2"/>
            <charset val="204"/>
          </rPr>
          <t xml:space="preserve">
</t>
        </r>
      </text>
    </comment>
    <comment ref="K61" authorId="0">
      <text>
        <r>
          <rPr>
            <b/>
            <sz val="9"/>
            <color indexed="81"/>
            <rFont val="Tahoma"/>
            <family val="2"/>
            <charset val="204"/>
          </rPr>
          <t>первый показ - ноябрь</t>
        </r>
      </text>
    </comment>
    <comment ref="D65"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L65" authorId="0">
      <text>
        <r>
          <rPr>
            <b/>
            <sz val="9"/>
            <color indexed="81"/>
            <rFont val="Tahoma"/>
            <family val="2"/>
            <charset val="204"/>
          </rPr>
          <t xml:space="preserve">у Оли было 458180,41
130,28р*количество часов охраны составит 5 110 часов: (365 дней*14 часа/день*1 чел.)
</t>
        </r>
      </text>
    </comment>
    <comment ref="V65" authorId="0">
      <text>
        <r>
          <rPr>
            <b/>
            <sz val="9"/>
            <color indexed="81"/>
            <rFont val="Tahoma"/>
            <family val="2"/>
            <charset val="204"/>
          </rPr>
          <t xml:space="preserve">внебюджет
</t>
        </r>
      </text>
    </comment>
    <comment ref="X65" authorId="0">
      <text>
        <r>
          <rPr>
            <b/>
            <sz val="9"/>
            <color indexed="81"/>
            <rFont val="Tahoma"/>
            <family val="2"/>
            <charset val="204"/>
          </rPr>
          <t xml:space="preserve">доля от общего объема услуги по 4 и 2-ке
</t>
        </r>
        <r>
          <rPr>
            <sz val="9"/>
            <color indexed="81"/>
            <rFont val="Tahoma"/>
            <family val="2"/>
            <charset val="204"/>
          </rPr>
          <t xml:space="preserve">
</t>
        </r>
      </text>
    </comment>
    <comment ref="D66"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AY66" authorId="1">
      <text>
        <r>
          <rPr>
            <sz val="9"/>
            <color indexed="81"/>
            <rFont val="Tahoma"/>
            <family val="2"/>
            <charset val="204"/>
          </rPr>
          <t>цена 150 * 12 часов * 15 дней
(с 06.02.21 добавляется еще суббота и воскресенье: пн-суб. с 8 до 20, вокр с с 9 до 17)</t>
        </r>
      </text>
    </comment>
    <comment ref="AY68" authorId="1">
      <text>
        <r>
          <rPr>
            <b/>
            <sz val="9"/>
            <color indexed="81"/>
            <rFont val="Tahoma"/>
            <family val="2"/>
            <charset val="204"/>
          </rPr>
          <t>в январе было без суб и воскр, 
с февраля 12 часов (с 8 до 20) в т.ч. в суб и воскр., с 11.01.21 будет 180 часов *6,05 руб. в час= 1089,00</t>
        </r>
        <r>
          <rPr>
            <sz val="9"/>
            <color indexed="81"/>
            <rFont val="Tahoma"/>
            <family val="2"/>
            <charset val="204"/>
          </rPr>
          <t xml:space="preserve">
было при планировании 49,18*31кол-во дней (с ООО "Страж" был такой расчет)</t>
        </r>
      </text>
    </comment>
    <comment ref="AY69" authorId="1">
      <text>
        <r>
          <rPr>
            <b/>
            <sz val="9"/>
            <color indexed="81"/>
            <rFont val="Tahoma"/>
            <family val="2"/>
            <charset val="204"/>
          </rPr>
          <t>6 чел/часов в месяц * стимость часа 724,60 (по Постановлению Адм Сургтута №9168 от 06.12.2019)= 4 347,60 в мес.</t>
        </r>
      </text>
    </comment>
    <comment ref="K73" authorId="0">
      <text>
        <r>
          <rPr>
            <sz val="9"/>
            <color indexed="81"/>
            <rFont val="Tahoma"/>
            <family val="2"/>
            <charset val="204"/>
          </rPr>
          <t>"1С: Бухгалтерия государственного учреждения"
"1С: Зарплата и Кадры бюджетного учреждения"</t>
        </r>
      </text>
    </comment>
    <comment ref="X73" authorId="1">
      <text>
        <r>
          <rPr>
            <b/>
            <sz val="9"/>
            <color indexed="81"/>
            <rFont val="Tahoma"/>
            <family val="2"/>
            <charset val="204"/>
          </rPr>
          <t>пока на 6 мес, чтобы меньше 100 000р.</t>
        </r>
      </text>
    </comment>
    <comment ref="K74" authorId="0">
      <text>
        <r>
          <rPr>
            <b/>
            <sz val="9"/>
            <color indexed="81"/>
            <rFont val="Tahoma"/>
            <family val="2"/>
            <charset val="204"/>
          </rPr>
          <t>4 ключа 1 раз в год</t>
        </r>
        <r>
          <rPr>
            <sz val="9"/>
            <color indexed="81"/>
            <rFont val="Tahoma"/>
            <family val="2"/>
            <charset val="204"/>
          </rPr>
          <t xml:space="preserve">
</t>
        </r>
      </text>
    </comment>
    <comment ref="K78" authorId="0">
      <text>
        <r>
          <rPr>
            <b/>
            <sz val="9"/>
            <color indexed="81"/>
            <rFont val="Tahoma"/>
            <family val="2"/>
            <charset val="204"/>
          </rPr>
          <t>Мероприятия</t>
        </r>
      </text>
    </comment>
    <comment ref="L79" authorId="1">
      <text>
        <r>
          <rPr>
            <b/>
            <sz val="9"/>
            <color indexed="81"/>
            <rFont val="Tahoma"/>
            <family val="2"/>
            <charset val="204"/>
          </rPr>
          <t>начальная 340 187,83</t>
        </r>
      </text>
    </comment>
    <comment ref="L86" authorId="1">
      <text>
        <r>
          <rPr>
            <sz val="9"/>
            <color indexed="81"/>
            <rFont val="Tahoma"/>
            <family val="2"/>
            <charset val="204"/>
          </rPr>
          <t>было на 2021 год:
559 569,35 - всего
319 887,83 - Услуги по организации постановки спектакля  (режиссер-постановщик, художник-постановщик)
112 266,67 - Услуги по изготовлению кукол
74 054,95 - Услуги композитора
28 300,00 - Услуги по разработке рекламных материалов (ИП Овчинников)
28 059,90 - Услуги по печати на ткани по эскизу</t>
        </r>
      </text>
    </comment>
    <comment ref="K116" authorId="0">
      <text>
        <r>
          <rPr>
            <b/>
            <sz val="9"/>
            <color indexed="81"/>
            <rFont val="Tahoma"/>
            <family val="2"/>
            <charset val="204"/>
          </rPr>
          <t>Мероприятия</t>
        </r>
      </text>
    </comment>
    <comment ref="L117" authorId="1">
      <text>
        <r>
          <rPr>
            <b/>
            <sz val="9"/>
            <color indexed="81"/>
            <rFont val="Tahoma"/>
            <family val="2"/>
            <charset val="204"/>
          </rPr>
          <t xml:space="preserve">установлено 64 879,15
</t>
        </r>
        <r>
          <rPr>
            <sz val="9"/>
            <color indexed="81"/>
            <rFont val="Tahoma"/>
            <family val="2"/>
            <charset val="204"/>
          </rPr>
          <t xml:space="preserve">
</t>
        </r>
      </text>
    </comment>
    <comment ref="L157" authorId="0">
      <text>
        <r>
          <rPr>
            <b/>
            <sz val="9"/>
            <color indexed="81"/>
            <rFont val="Tahoma"/>
            <family val="2"/>
            <charset val="204"/>
          </rPr>
          <t xml:space="preserve">у Оли было 114 103,74
</t>
        </r>
      </text>
    </comment>
    <comment ref="Q157" authorId="0">
      <text>
        <r>
          <rPr>
            <b/>
            <sz val="9"/>
            <color indexed="81"/>
            <rFont val="Tahoma"/>
            <family val="2"/>
            <charset val="204"/>
          </rPr>
          <t>Оли 131 233,54</t>
        </r>
      </text>
    </comment>
    <comment ref="S157" authorId="0">
      <text>
        <r>
          <rPr>
            <b/>
            <sz val="9"/>
            <color indexed="81"/>
            <rFont val="Tahoma"/>
            <family val="2"/>
            <charset val="204"/>
          </rPr>
          <t>Оли 122 383,74</t>
        </r>
      </text>
    </comment>
    <comment ref="W158" authorId="1">
      <text>
        <r>
          <rPr>
            <b/>
            <sz val="9"/>
            <color indexed="81"/>
            <rFont val="Tahoma"/>
            <family val="2"/>
            <charset val="204"/>
          </rPr>
          <t>на 31 640,00 дог 08/21 от 28.01.2021
на 12 962,50 дог от марта</t>
        </r>
      </text>
    </comment>
    <comment ref="BE159" authorId="1">
      <text>
        <r>
          <rPr>
            <b/>
            <sz val="9"/>
            <color indexed="81"/>
            <rFont val="Tahoma"/>
            <family val="2"/>
            <charset val="204"/>
          </rPr>
          <t>закупка через Информационную систему</t>
        </r>
      </text>
    </comment>
    <comment ref="W160" authorId="1">
      <text>
        <r>
          <rPr>
            <b/>
            <sz val="9"/>
            <color indexed="81"/>
            <rFont val="Tahoma"/>
            <family val="2"/>
            <charset val="204"/>
          </rPr>
          <t>на 31 640,00 дог 08/21 от 28.01.2021
на 12 962,50 дог от марта</t>
        </r>
      </text>
    </comment>
    <comment ref="L162" authorId="0">
      <text>
        <r>
          <rPr>
            <b/>
            <sz val="9"/>
            <color indexed="81"/>
            <rFont val="Tahoma"/>
            <family val="2"/>
            <charset val="204"/>
          </rPr>
          <t>земельный налог за 2020 год (платится 1 раз в год)</t>
        </r>
      </text>
    </comment>
    <comment ref="L163" authorId="0">
      <text>
        <r>
          <rPr>
            <b/>
            <sz val="9"/>
            <color indexed="81"/>
            <rFont val="Tahoma"/>
            <family val="2"/>
            <charset val="204"/>
          </rPr>
          <t xml:space="preserve">0,15% с ФОТ, отчисляет отдельно работодатель в 4 квартале, помимо этого еще удерживается с з/н сотрудника
</t>
        </r>
      </text>
    </comment>
    <comment ref="L164" authorId="0">
      <text>
        <r>
          <rPr>
            <b/>
            <sz val="9"/>
            <color indexed="81"/>
            <rFont val="Tahoma"/>
            <family val="2"/>
            <charset val="204"/>
          </rPr>
          <t xml:space="preserve">было у Оли 9 740,39
</t>
        </r>
      </text>
    </comment>
    <comment ref="Q164" authorId="0">
      <text>
        <r>
          <rPr>
            <b/>
            <sz val="9"/>
            <color indexed="81"/>
            <rFont val="Tahoma"/>
            <family val="2"/>
            <charset val="204"/>
          </rPr>
          <t xml:space="preserve">было у Оли 9 740,39
</t>
        </r>
      </text>
    </comment>
    <comment ref="S164" authorId="0">
      <text>
        <r>
          <rPr>
            <b/>
            <sz val="9"/>
            <color indexed="81"/>
            <rFont val="Tahoma"/>
            <family val="2"/>
            <charset val="204"/>
          </rPr>
          <t xml:space="preserve">было у Оли 9 740,39
</t>
        </r>
      </text>
    </comment>
    <comment ref="B165" authorId="1">
      <text>
        <r>
          <rPr>
            <b/>
            <sz val="9"/>
            <color indexed="81"/>
            <rFont val="Tahoma"/>
            <family val="2"/>
            <charset val="204"/>
          </rPr>
          <t>должно быть (увеличиваем через НРО?)
с учетом доп средств 119 578,95</t>
        </r>
      </text>
    </comment>
    <comment ref="L166" authorId="0">
      <text>
        <r>
          <rPr>
            <b/>
            <sz val="9"/>
            <color indexed="81"/>
            <rFont val="Tahoma"/>
            <family val="2"/>
            <charset val="204"/>
          </rPr>
          <t xml:space="preserve">было у Оли 9 740,39
</t>
        </r>
      </text>
    </comment>
    <comment ref="Q166" authorId="0">
      <text>
        <r>
          <rPr>
            <b/>
            <sz val="9"/>
            <color indexed="81"/>
            <rFont val="Tahoma"/>
            <family val="2"/>
            <charset val="204"/>
          </rPr>
          <t xml:space="preserve">было у Оли 9 740,39
</t>
        </r>
      </text>
    </comment>
    <comment ref="S166" authorId="0">
      <text>
        <r>
          <rPr>
            <b/>
            <sz val="9"/>
            <color indexed="81"/>
            <rFont val="Tahoma"/>
            <family val="2"/>
            <charset val="204"/>
          </rPr>
          <t xml:space="preserve">было у Оли 9 740,39
</t>
        </r>
      </text>
    </comment>
    <comment ref="B167" authorId="1">
      <text>
        <r>
          <rPr>
            <b/>
            <sz val="9"/>
            <color indexed="81"/>
            <rFont val="Tahoma"/>
            <family val="2"/>
            <charset val="204"/>
          </rPr>
          <t>должно быть 
с учетом доп средств 119 578,95</t>
        </r>
      </text>
    </comment>
    <comment ref="L167" authorId="0">
      <text>
        <r>
          <rPr>
            <b/>
            <sz val="9"/>
            <color indexed="81"/>
            <rFont val="Tahoma"/>
            <family val="2"/>
            <charset val="204"/>
          </rPr>
          <t xml:space="preserve">Сообщить Эсли, чтобы откорректировал 10 рублей, у них 715 900 округляет
</t>
        </r>
      </text>
    </comment>
    <comment ref="Q167" authorId="0">
      <text>
        <r>
          <rPr>
            <b/>
            <sz val="9"/>
            <color indexed="81"/>
            <rFont val="Tahoma"/>
            <family val="2"/>
            <charset val="204"/>
          </rPr>
          <t xml:space="preserve">Сообщить Эсли, чтобы откорректировал 10 рублей, у них 715 900 округляет
</t>
        </r>
      </text>
    </comment>
    <comment ref="S167" authorId="0">
      <text>
        <r>
          <rPr>
            <b/>
            <sz val="9"/>
            <color indexed="81"/>
            <rFont val="Tahoma"/>
            <family val="2"/>
            <charset val="204"/>
          </rPr>
          <t xml:space="preserve">Сообщить Эсли, чтобы откорректировал 10 рублей, у них 715 900 округляет
</t>
        </r>
      </text>
    </comment>
    <comment ref="L168" authorId="0">
      <text>
        <r>
          <rPr>
            <b/>
            <sz val="9"/>
            <color indexed="81"/>
            <rFont val="Tahoma"/>
            <family val="2"/>
            <charset val="204"/>
          </rPr>
          <t xml:space="preserve">было у Оли 9 740,39
</t>
        </r>
      </text>
    </comment>
    <comment ref="Q168" authorId="0">
      <text>
        <r>
          <rPr>
            <b/>
            <sz val="9"/>
            <color indexed="81"/>
            <rFont val="Tahoma"/>
            <family val="2"/>
            <charset val="204"/>
          </rPr>
          <t xml:space="preserve">было у Оли 9 740,39
</t>
        </r>
      </text>
    </comment>
    <comment ref="S168" authorId="0">
      <text>
        <r>
          <rPr>
            <b/>
            <sz val="9"/>
            <color indexed="81"/>
            <rFont val="Tahoma"/>
            <family val="2"/>
            <charset val="204"/>
          </rPr>
          <t xml:space="preserve">было у Оли 9 740,39
</t>
        </r>
      </text>
    </comment>
    <comment ref="B169" authorId="1">
      <text>
        <r>
          <rPr>
            <b/>
            <sz val="9"/>
            <color indexed="81"/>
            <rFont val="Tahoma"/>
            <family val="2"/>
            <charset val="204"/>
          </rPr>
          <t>должно быть 
с учетом доп средств 119 578,95</t>
        </r>
      </text>
    </comment>
    <comment ref="L176" authorId="0">
      <text>
        <r>
          <rPr>
            <b/>
            <sz val="9"/>
            <color indexed="81"/>
            <rFont val="Tahoma"/>
            <family val="2"/>
            <charset val="204"/>
          </rPr>
          <t>осталось обучить 25 чел</t>
        </r>
      </text>
    </comment>
    <comment ref="L190" authorId="0">
      <text>
        <r>
          <rPr>
            <b/>
            <sz val="9"/>
            <color indexed="81"/>
            <rFont val="Tahoma"/>
            <family val="2"/>
            <charset val="204"/>
          </rPr>
          <t xml:space="preserve">Компенсационную выплату работникам, находящимся в отпуске по уходу за ребенком до достижения им возраста 3-х лет:
- Лалаян Юлия Маратовна - 85р * 12 раз
</t>
        </r>
      </text>
    </comment>
    <comment ref="Q190" authorId="0">
      <text>
        <r>
          <rPr>
            <b/>
            <sz val="9"/>
            <color indexed="81"/>
            <rFont val="Tahoma"/>
            <family val="2"/>
            <charset val="204"/>
          </rPr>
          <t>Компенсационную выплату работникам, находящимся в отпуске по уходу за ребенком до достижения им возраста 3-х лет:
- Лалаян Юлия Маратовна - 85р * 5 раза</t>
        </r>
      </text>
    </comment>
    <comment ref="K193" authorId="0">
      <text>
        <r>
          <rPr>
            <b/>
            <sz val="9"/>
            <color indexed="81"/>
            <rFont val="Tahoma"/>
            <family val="2"/>
            <charset val="204"/>
          </rPr>
          <t>здесь план корректирую по факту Аниных авансовых за покупку конвертов</t>
        </r>
        <r>
          <rPr>
            <sz val="9"/>
            <color indexed="81"/>
            <rFont val="Tahoma"/>
            <family val="2"/>
            <charset val="204"/>
          </rPr>
          <t xml:space="preserve">
</t>
        </r>
      </text>
    </comment>
    <comment ref="BB193" authorId="1">
      <text>
        <r>
          <rPr>
            <b/>
            <sz val="9"/>
            <color indexed="81"/>
            <rFont val="Tahoma"/>
            <family val="2"/>
            <charset val="204"/>
          </rPr>
          <t>Тереньева А.А. авансовый №10 от 03.03.2021</t>
        </r>
      </text>
    </comment>
    <comment ref="BC193" authorId="1">
      <text>
        <r>
          <rPr>
            <b/>
            <sz val="9"/>
            <color indexed="81"/>
            <rFont val="Tahoma"/>
            <family val="2"/>
            <charset val="204"/>
          </rPr>
          <t>два авансовых на одинаковую сумму 261,50р.
1) авансовый №26 от 23.04.21
2) авансовый от 26.04.21</t>
        </r>
      </text>
    </comment>
    <comment ref="K195" authorId="1">
      <text>
        <r>
          <rPr>
            <sz val="10"/>
            <color indexed="81"/>
            <rFont val="Tahoma"/>
            <family val="2"/>
            <charset val="204"/>
          </rPr>
          <t>защищенный канал между Энгельса 11 и проезд Советов 4 (ЦООД)</t>
        </r>
      </text>
    </comment>
    <comment ref="L200" authorId="0">
      <text>
        <r>
          <rPr>
            <b/>
            <sz val="9"/>
            <color indexed="81"/>
            <rFont val="Tahoma"/>
            <family val="2"/>
            <charset val="204"/>
          </rPr>
          <t xml:space="preserve">у Оли 1 199 595,54
</t>
        </r>
      </text>
    </comment>
    <comment ref="Q200" authorId="0">
      <text>
        <r>
          <rPr>
            <b/>
            <sz val="9"/>
            <color indexed="81"/>
            <rFont val="Tahoma"/>
            <family val="2"/>
            <charset val="204"/>
          </rPr>
          <t xml:space="preserve">у Оли 1 199 595,54
</t>
        </r>
      </text>
    </comment>
    <comment ref="S200" authorId="0">
      <text>
        <r>
          <rPr>
            <b/>
            <sz val="9"/>
            <color indexed="81"/>
            <rFont val="Tahoma"/>
            <family val="2"/>
            <charset val="204"/>
          </rPr>
          <t xml:space="preserve">у Оли 1 199 595,54
</t>
        </r>
      </text>
    </comment>
    <comment ref="L204" authorId="0">
      <text>
        <r>
          <rPr>
            <b/>
            <sz val="9"/>
            <color indexed="81"/>
            <rFont val="Tahoma"/>
            <family val="2"/>
            <charset val="204"/>
          </rPr>
          <t>годовая сумма 
12 428 476,80 по договору аренды, уже с учетом ТО инженерных систем</t>
        </r>
      </text>
    </comment>
    <comment ref="D205"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206"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207"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K207" authorId="0">
      <text>
        <r>
          <rPr>
            <b/>
            <sz val="9"/>
            <color indexed="81"/>
            <rFont val="Tahoma"/>
            <family val="2"/>
            <charset val="204"/>
          </rPr>
          <t>первый показ - ноябрь</t>
        </r>
      </text>
    </comment>
    <comment ref="BC207" authorId="1">
      <text>
        <r>
          <rPr>
            <b/>
            <sz val="9"/>
            <color indexed="81"/>
            <rFont val="Tahoma"/>
            <family val="2"/>
            <charset val="204"/>
          </rPr>
          <t>ткань по 140р.*18м.кв=2520
140р.*12м.кв.=1680</t>
        </r>
      </text>
    </comment>
    <comment ref="D208"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BA208" authorId="1">
      <text>
        <r>
          <rPr>
            <b/>
            <sz val="9"/>
            <color indexed="81"/>
            <rFont val="Tahoma"/>
            <family val="2"/>
            <charset val="204"/>
          </rPr>
          <t>2 спектакля "МойДоДыр" и "Алладин и волшебный светильник"</t>
        </r>
      </text>
    </comment>
    <comment ref="BC208" authorId="1">
      <text>
        <r>
          <rPr>
            <b/>
            <sz val="9"/>
            <color indexed="81"/>
            <rFont val="Tahoma"/>
            <family val="2"/>
            <charset val="204"/>
          </rPr>
          <t>10/21 от 29.03.2021 Спектакль "Сказ о Емеле, царе и щучьем волшебстве"</t>
        </r>
      </text>
    </comment>
    <comment ref="D209"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210"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211"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D212"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D215"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D216"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BA216" authorId="1">
      <text>
        <r>
          <rPr>
            <b/>
            <sz val="9"/>
            <color indexed="81"/>
            <rFont val="Tahoma"/>
            <family val="2"/>
            <charset val="204"/>
          </rPr>
          <t xml:space="preserve">доп за февраль на 450 руб. это 3 часа по 150р.
</t>
        </r>
      </text>
    </comment>
    <comment ref="AY220" authorId="1">
      <text>
        <r>
          <rPr>
            <b/>
            <sz val="9"/>
            <color indexed="81"/>
            <rFont val="Tahoma"/>
            <family val="2"/>
            <charset val="204"/>
          </rPr>
          <t>по счету на оплату  продления домена 1009р. и хостинга 1400,00р. teatr-petrushka.ru на 1 год, по счету №56 от 10.02.2021</t>
        </r>
        <r>
          <rPr>
            <sz val="9"/>
            <color indexed="81"/>
            <rFont val="Tahoma"/>
            <family val="2"/>
            <charset val="204"/>
          </rPr>
          <t xml:space="preserve">
</t>
        </r>
      </text>
    </comment>
    <comment ref="BC220" authorId="1">
      <text>
        <r>
          <rPr>
            <b/>
            <sz val="9"/>
            <color indexed="81"/>
            <rFont val="Tahoma"/>
            <family val="2"/>
            <charset val="204"/>
          </rPr>
          <t xml:space="preserve">дог на модернизацию сайта на 15000
</t>
        </r>
      </text>
    </comment>
    <comment ref="K221" authorId="0">
      <text>
        <r>
          <rPr>
            <b/>
            <sz val="9"/>
            <color indexed="81"/>
            <rFont val="Tahoma"/>
            <family val="2"/>
            <charset val="204"/>
          </rPr>
          <t>приобретение доступа для 2 рабочих мест к зарплате 1 бухгалтеру и 1 кадрам. Приобретение права пользования 1С:Предприятие 8 ПРОФ. Клиентская лицензия на 1 рабочее место - 2 шт.</t>
        </r>
      </text>
    </comment>
    <comment ref="K223" authorId="0">
      <text>
        <r>
          <rPr>
            <b/>
            <sz val="9"/>
            <color indexed="81"/>
            <rFont val="Tahoma"/>
            <family val="2"/>
            <charset val="204"/>
          </rPr>
          <t>4 ключа 1 раз в год</t>
        </r>
        <r>
          <rPr>
            <sz val="9"/>
            <color indexed="81"/>
            <rFont val="Tahoma"/>
            <family val="2"/>
            <charset val="204"/>
          </rPr>
          <t xml:space="preserve">
</t>
        </r>
      </text>
    </comment>
    <comment ref="L225" authorId="1">
      <text>
        <r>
          <rPr>
            <b/>
            <sz val="9"/>
            <color indexed="81"/>
            <rFont val="Tahoma"/>
            <family val="2"/>
            <charset val="204"/>
          </rPr>
          <t>было =1303567,18-100000+69426,41-39600-12600-2500-2700-10560-5346-6175-9130-4290-18244</t>
        </r>
      </text>
    </comment>
    <comment ref="BC225" authorId="1">
      <text>
        <r>
          <rPr>
            <b/>
            <sz val="9"/>
            <color indexed="81"/>
            <rFont val="Tahoma"/>
            <family val="2"/>
            <charset val="204"/>
          </rPr>
          <t>плюс компенсация бумаги и мыла</t>
        </r>
      </text>
    </comment>
    <comment ref="BE225" authorId="1">
      <text>
        <r>
          <rPr>
            <sz val="9"/>
            <color indexed="81"/>
            <rFont val="Tahoma"/>
            <family val="2"/>
            <charset val="204"/>
          </rPr>
          <t>15/21 от 01.04.21 на 66275,80 (01.04.2021-31.05.2021)</t>
        </r>
      </text>
    </comment>
    <comment ref="BG225" authorId="1">
      <text>
        <r>
          <rPr>
            <b/>
            <sz val="9"/>
            <color indexed="81"/>
            <rFont val="Tahoma"/>
            <family val="2"/>
            <charset val="204"/>
          </rPr>
          <t>29/21 от 11.05.21 на 96 933,01 (01.05.2021-30.06.2021)</t>
        </r>
      </text>
    </comment>
    <comment ref="BA230" authorId="1">
      <text>
        <r>
          <rPr>
            <b/>
            <sz val="9"/>
            <color indexed="81"/>
            <rFont val="Tahoma"/>
            <family val="2"/>
            <charset val="204"/>
          </rPr>
          <t>мероприятие 26.02.21</t>
        </r>
      </text>
    </comment>
    <comment ref="AY231" authorId="1">
      <text>
        <r>
          <rPr>
            <b/>
            <sz val="9"/>
            <color indexed="81"/>
            <rFont val="Tahoma"/>
            <family val="2"/>
            <charset val="204"/>
          </rPr>
          <t>мероприятие 18.02.21</t>
        </r>
      </text>
    </comment>
    <comment ref="AY232" authorId="1">
      <text>
        <r>
          <rPr>
            <b/>
            <sz val="9"/>
            <color indexed="81"/>
            <rFont val="Tahoma"/>
            <family val="2"/>
            <charset val="204"/>
          </rPr>
          <t>мероприятие 26.02.21</t>
        </r>
      </text>
    </comment>
    <comment ref="BC232" authorId="1">
      <text>
        <r>
          <rPr>
            <b/>
            <sz val="9"/>
            <color indexed="81"/>
            <rFont val="Tahoma"/>
            <family val="2"/>
            <charset val="204"/>
          </rPr>
          <t>на март нельзя, т.к. услуга по нахождению на стендах рамещенной рекламы действует до 31.03.21</t>
        </r>
      </text>
    </comment>
    <comment ref="D235"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BA235" authorId="1">
      <text>
        <r>
          <rPr>
            <b/>
            <sz val="9"/>
            <color indexed="81"/>
            <rFont val="Tahoma"/>
            <family val="2"/>
            <charset val="204"/>
          </rPr>
          <t>Настройка 3 касс, онлайн коннект</t>
        </r>
      </text>
    </comment>
    <comment ref="BC236" authorId="1">
      <text>
        <r>
          <rPr>
            <b/>
            <sz val="9"/>
            <color indexed="81"/>
            <rFont val="Tahoma"/>
            <family val="2"/>
            <charset val="204"/>
          </rPr>
          <t xml:space="preserve">    расчетный листок №1 за 1 кв.2021 - 4106,00руб
    расчетный листок №/2 за 1 кв.2021 - 349,00руб.</t>
        </r>
      </text>
    </comment>
    <comment ref="L238" authorId="0">
      <text>
        <r>
          <rPr>
            <b/>
            <sz val="9"/>
            <color indexed="81"/>
            <rFont val="Tahoma"/>
            <family val="2"/>
            <charset val="204"/>
          </rPr>
          <t>экологический налог за 1 квартал 2020 год (платится 1 раз в год до 10 марта 2021)</t>
        </r>
      </text>
    </comment>
    <comment ref="BM240" authorId="1">
      <text>
        <r>
          <rPr>
            <b/>
            <sz val="9"/>
            <color indexed="81"/>
            <rFont val="Tahoma"/>
            <family val="2"/>
            <charset val="204"/>
          </rPr>
          <t>5 000-до 15.09.21
10 000-до 30.09.21</t>
        </r>
      </text>
    </comment>
    <comment ref="BO240" authorId="1">
      <text>
        <r>
          <rPr>
            <b/>
            <sz val="9"/>
            <color indexed="81"/>
            <rFont val="Tahoma"/>
            <family val="2"/>
            <charset val="204"/>
          </rPr>
          <t>10 000-до 15.10.21
100 000-до 29.10.21</t>
        </r>
      </text>
    </comment>
    <comment ref="BQ240" authorId="1">
      <text>
        <r>
          <rPr>
            <b/>
            <sz val="9"/>
            <color indexed="81"/>
            <rFont val="Tahoma"/>
            <family val="2"/>
            <charset val="204"/>
          </rPr>
          <t>100 000-до 15.11.21
100 000-до 30.11.21</t>
        </r>
      </text>
    </comment>
    <comment ref="BS240" authorId="1">
      <text>
        <r>
          <rPr>
            <b/>
            <sz val="9"/>
            <color indexed="81"/>
            <rFont val="Tahoma"/>
            <family val="2"/>
            <charset val="204"/>
          </rPr>
          <t>100 000-до 10.12.21
100 000-до 17.12.21
50 500,68 -до 22.12.21</t>
        </r>
      </text>
    </comment>
    <comment ref="L242" authorId="0">
      <text>
        <r>
          <rPr>
            <b/>
            <sz val="9"/>
            <color indexed="81"/>
            <rFont val="Tahoma"/>
            <family val="2"/>
            <charset val="204"/>
          </rPr>
          <t xml:space="preserve">0,15% на зп
</t>
        </r>
      </text>
    </comment>
    <comment ref="K243" authorId="0">
      <text>
        <r>
          <rPr>
            <b/>
            <sz val="9"/>
            <color indexed="81"/>
            <rFont val="Tahoma"/>
            <family val="2"/>
            <charset val="204"/>
          </rPr>
          <t>для Назарова</t>
        </r>
      </text>
    </comment>
    <comment ref="L250" authorId="2">
      <text>
        <r>
          <rPr>
            <b/>
            <sz val="9"/>
            <color indexed="81"/>
            <rFont val="Tahoma"/>
            <family val="2"/>
            <charset val="204"/>
          </rPr>
          <t>Александр:</t>
        </r>
        <r>
          <rPr>
            <sz val="9"/>
            <color indexed="81"/>
            <rFont val="Tahoma"/>
            <family val="2"/>
            <charset val="204"/>
          </rPr>
          <t xml:space="preserve">
</t>
        </r>
      </text>
    </comment>
    <comment ref="L251" authorId="2">
      <text>
        <r>
          <rPr>
            <sz val="9"/>
            <color indexed="81"/>
            <rFont val="Tahoma"/>
            <family val="2"/>
            <charset val="204"/>
          </rPr>
          <t>дог будет на 11 000р. По факту нашил воду по 200р. Банка итого купим 55 банок по договору. Изначальный расчет был 38 шт. по 325 руб.</t>
        </r>
        <r>
          <rPr>
            <b/>
            <sz val="9"/>
            <color indexed="81"/>
            <rFont val="Tahoma"/>
            <family val="2"/>
            <charset val="204"/>
          </rPr>
          <t xml:space="preserve">
</t>
        </r>
      </text>
    </comment>
    <comment ref="O251" authorId="2">
      <text>
        <r>
          <rPr>
            <b/>
            <sz val="9"/>
            <color indexed="81"/>
            <rFont val="Tahoma"/>
            <family val="2"/>
            <charset val="204"/>
          </rPr>
          <t xml:space="preserve">55 шт. по 200 руб.
</t>
        </r>
      </text>
    </comment>
    <comment ref="L253" authorId="2">
      <text>
        <r>
          <rPr>
            <b/>
            <sz val="9"/>
            <color indexed="81"/>
            <rFont val="Tahoma"/>
            <family val="2"/>
            <charset val="204"/>
          </rPr>
          <t>Александр:</t>
        </r>
        <r>
          <rPr>
            <sz val="9"/>
            <color indexed="81"/>
            <rFont val="Tahoma"/>
            <family val="2"/>
            <charset val="204"/>
          </rPr>
          <t xml:space="preserve">
</t>
        </r>
      </text>
    </comment>
    <comment ref="L254" authorId="2">
      <text>
        <r>
          <rPr>
            <sz val="9"/>
            <color indexed="81"/>
            <rFont val="Tahoma"/>
            <family val="2"/>
            <charset val="204"/>
          </rPr>
          <t>дог будет на 11 000р. По факту нашил воду по 200р. Банка итого купим 55 банок по договору. Изначальный расчет был 38 шт. по 325 руб.</t>
        </r>
        <r>
          <rPr>
            <b/>
            <sz val="9"/>
            <color indexed="81"/>
            <rFont val="Tahoma"/>
            <family val="2"/>
            <charset val="204"/>
          </rPr>
          <t xml:space="preserve">
</t>
        </r>
      </text>
    </comment>
    <comment ref="O254" authorId="2">
      <text>
        <r>
          <rPr>
            <b/>
            <sz val="9"/>
            <color indexed="81"/>
            <rFont val="Tahoma"/>
            <family val="2"/>
            <charset val="204"/>
          </rPr>
          <t xml:space="preserve">55 шт. по 200 руб.
</t>
        </r>
      </text>
    </comment>
    <comment ref="W254" authorId="1">
      <text>
        <r>
          <rPr>
            <b/>
            <sz val="9"/>
            <color indexed="81"/>
            <rFont val="Tahoma"/>
            <family val="2"/>
            <charset val="204"/>
          </rPr>
          <t>55 бут. По 200 р. =11000</t>
        </r>
      </text>
    </comment>
    <comment ref="BC254" authorId="1">
      <text>
        <r>
          <rPr>
            <b/>
            <sz val="9"/>
            <color indexed="81"/>
            <rFont val="Tahoma"/>
            <family val="2"/>
            <charset val="204"/>
          </rPr>
          <t>по счету №1508 от 08.04.2021</t>
        </r>
      </text>
    </comment>
    <comment ref="O255" authorId="2">
      <text>
        <r>
          <rPr>
            <b/>
            <sz val="9"/>
            <color indexed="81"/>
            <rFont val="Tahoma"/>
            <family val="2"/>
            <charset val="204"/>
          </rPr>
          <t xml:space="preserve">38 шт. по 325 руб.
</t>
        </r>
      </text>
    </comment>
    <comment ref="K257" authorId="0">
      <text>
        <r>
          <rPr>
            <b/>
            <sz val="9"/>
            <color indexed="81"/>
            <rFont val="Tahoma"/>
            <family val="2"/>
            <charset val="204"/>
          </rPr>
          <t>для Назарова</t>
        </r>
      </text>
    </comment>
    <comment ref="K258" authorId="0">
      <text>
        <r>
          <rPr>
            <b/>
            <sz val="9"/>
            <color indexed="81"/>
            <rFont val="Tahoma"/>
            <family val="2"/>
            <charset val="204"/>
          </rPr>
          <t>3 шт</t>
        </r>
      </text>
    </comment>
    <comment ref="K259" authorId="0">
      <text>
        <r>
          <rPr>
            <b/>
            <sz val="9"/>
            <color indexed="81"/>
            <rFont val="Tahoma"/>
            <family val="2"/>
            <charset val="204"/>
          </rPr>
          <t>5 шт</t>
        </r>
        <r>
          <rPr>
            <sz val="9"/>
            <color indexed="81"/>
            <rFont val="Tahoma"/>
            <family val="2"/>
            <charset val="204"/>
          </rPr>
          <t xml:space="preserve">
</t>
        </r>
      </text>
    </comment>
    <comment ref="K260" authorId="0">
      <text>
        <r>
          <rPr>
            <b/>
            <sz val="9"/>
            <color indexed="81"/>
            <rFont val="Tahoma"/>
            <family val="2"/>
            <charset val="204"/>
          </rPr>
          <t>5 шт</t>
        </r>
      </text>
    </comment>
    <comment ref="L267" authorId="2">
      <text>
        <r>
          <rPr>
            <b/>
            <sz val="9"/>
            <color indexed="81"/>
            <rFont val="Tahoma"/>
            <family val="2"/>
            <charset val="204"/>
          </rPr>
          <t xml:space="preserve">20 000 не прибавлять они уже сидят внутри 100 67,29
</t>
        </r>
      </text>
    </comment>
    <comment ref="V269" authorId="1">
      <text>
        <r>
          <rPr>
            <b/>
            <sz val="9"/>
            <color indexed="81"/>
            <rFont val="Tahoma"/>
            <family val="2"/>
            <charset val="204"/>
          </rPr>
          <t>Работает без печати</t>
        </r>
      </text>
    </comment>
    <comment ref="V270" authorId="1">
      <text>
        <r>
          <rPr>
            <b/>
            <sz val="9"/>
            <color indexed="81"/>
            <rFont val="Tahoma"/>
            <family val="2"/>
            <charset val="204"/>
          </rPr>
          <t>Работает без печати</t>
        </r>
      </text>
    </comment>
    <comment ref="V271" authorId="1">
      <text>
        <r>
          <rPr>
            <b/>
            <sz val="9"/>
            <color indexed="81"/>
            <rFont val="Tahoma"/>
            <family val="2"/>
            <charset val="204"/>
          </rPr>
          <t>Работает без печати</t>
        </r>
      </text>
    </comment>
    <comment ref="K274" authorId="0">
      <text>
        <r>
          <rPr>
            <b/>
            <sz val="9"/>
            <color indexed="81"/>
            <rFont val="Tahoma"/>
            <family val="2"/>
            <charset val="204"/>
          </rPr>
          <t>для Назарова</t>
        </r>
      </text>
    </comment>
    <comment ref="K277" authorId="1">
      <text>
        <r>
          <rPr>
            <b/>
            <sz val="9"/>
            <color indexed="81"/>
            <rFont val="Tahoma"/>
            <family val="2"/>
            <charset val="204"/>
          </rPr>
          <t xml:space="preserve">для ведущего монтажера
</t>
        </r>
      </text>
    </comment>
    <comment ref="K278" authorId="1">
      <text>
        <r>
          <rPr>
            <b/>
            <sz val="9"/>
            <color indexed="81"/>
            <rFont val="Tahoma"/>
            <family val="2"/>
            <charset val="204"/>
          </rPr>
          <t xml:space="preserve">для ведущего монтажера
</t>
        </r>
      </text>
    </comment>
    <comment ref="W281" authorId="1">
      <text>
        <r>
          <rPr>
            <b/>
            <sz val="9"/>
            <color indexed="81"/>
            <rFont val="Tahoma"/>
            <family val="2"/>
            <charset val="204"/>
          </rPr>
          <t xml:space="preserve">в марте на 2000
</t>
        </r>
        <r>
          <rPr>
            <sz val="9"/>
            <color indexed="81"/>
            <rFont val="Tahoma"/>
            <family val="2"/>
            <charset val="204"/>
          </rPr>
          <t xml:space="preserve">
</t>
        </r>
      </text>
    </comment>
    <comment ref="W282" authorId="1">
      <text>
        <r>
          <rPr>
            <b/>
            <sz val="9"/>
            <color indexed="81"/>
            <rFont val="Tahoma"/>
            <family val="2"/>
            <charset val="204"/>
          </rPr>
          <t xml:space="preserve">в марте на 2000
</t>
        </r>
        <r>
          <rPr>
            <sz val="9"/>
            <color indexed="81"/>
            <rFont val="Tahoma"/>
            <family val="2"/>
            <charset val="204"/>
          </rPr>
          <t xml:space="preserve">
</t>
        </r>
      </text>
    </comment>
    <comment ref="L283" authorId="1">
      <text>
        <r>
          <rPr>
            <b/>
            <sz val="9"/>
            <color indexed="81"/>
            <rFont val="Tahoma"/>
            <family val="2"/>
            <charset val="204"/>
          </rPr>
          <t xml:space="preserve">сюда перенес деньгивыделенные на аптечку 1000
</t>
        </r>
      </text>
    </comment>
    <comment ref="BC285" authorId="1">
      <text>
        <r>
          <rPr>
            <b/>
            <sz val="9"/>
            <color indexed="81"/>
            <rFont val="Tahoma"/>
            <family val="2"/>
            <charset val="204"/>
          </rPr>
          <t>требуется 450 штук в год, закупили до августа 150 шт.</t>
        </r>
      </text>
    </comment>
    <comment ref="BC286" authorId="1">
      <text>
        <r>
          <rPr>
            <b/>
            <sz val="9"/>
            <color indexed="81"/>
            <rFont val="Tahoma"/>
            <family val="2"/>
            <charset val="204"/>
          </rPr>
          <t>учитываем на 346, т.к. быстро срываются грани и становятся непригодными для дальнейшего использовния</t>
        </r>
      </text>
    </comment>
    <comment ref="K289" authorId="1">
      <text>
        <r>
          <rPr>
            <sz val="9"/>
            <color indexed="81"/>
            <rFont val="Tahoma"/>
            <family val="2"/>
            <charset val="204"/>
          </rPr>
          <t>здесь можем только Спецодеждудля сотрудников купить, мягкие игрушки для подарков, но никакой мягкий инвентарь в рамках мероприятий купить не можем</t>
        </r>
      </text>
    </comment>
    <comment ref="L290" authorId="2">
      <text>
        <r>
          <rPr>
            <b/>
            <sz val="9"/>
            <color indexed="81"/>
            <rFont val="Tahoma"/>
            <family val="2"/>
            <charset val="204"/>
          </rPr>
          <t>- колготки 20 белых и 20 светло-бежевых - по 200 р. * 40 = 8000
- носки 20 бел и 20 черн пар - по 100 р. * 40 = 4000
- футболки 16 бел и 16 черн - по 600р. * 32 = 19200</t>
        </r>
      </text>
    </comment>
    <comment ref="O290" authorId="2">
      <text>
        <r>
          <rPr>
            <b/>
            <sz val="9"/>
            <color indexed="81"/>
            <rFont val="Tahoma"/>
            <family val="2"/>
            <charset val="204"/>
          </rPr>
          <t>- колготки 20 белых и 20 светло-бежевых - по 200 р. * 40 = 8000
- носки 20 бел и 20 черн пар - по 100 р. * 40 = 4000
- футболки 16 бел и 16 черн - по 600р. * 32 = 19200</t>
        </r>
      </text>
    </comment>
    <comment ref="L291" authorId="1">
      <text>
        <r>
          <rPr>
            <b/>
            <sz val="9"/>
            <color indexed="81"/>
            <rFont val="Tahoma"/>
            <family val="2"/>
            <charset val="204"/>
          </rPr>
          <t xml:space="preserve">нужно 15 шт, цену посмотреть в интернете до 2500 можно взять
</t>
        </r>
      </text>
    </comment>
    <comment ref="O291" authorId="1">
      <text>
        <r>
          <rPr>
            <b/>
            <sz val="9"/>
            <color indexed="81"/>
            <rFont val="Tahoma"/>
            <family val="2"/>
            <charset val="204"/>
          </rPr>
          <t xml:space="preserve">нужно 15 шт, цену посмотреть в интернете до 2500 можно взять
</t>
        </r>
      </text>
    </comment>
    <comment ref="K296" authorId="1">
      <text>
        <r>
          <rPr>
            <b/>
            <sz val="9"/>
            <color indexed="81"/>
            <rFont val="Tahoma"/>
            <family val="2"/>
            <charset val="204"/>
          </rPr>
          <t>дополнительно с других статей не передвигаем, берем из имеющихся средств на подарки НГ</t>
        </r>
      </text>
    </comment>
  </commentList>
</comments>
</file>

<file path=xl/comments9.xml><?xml version="1.0" encoding="utf-8"?>
<comments xmlns="http://schemas.openxmlformats.org/spreadsheetml/2006/main">
  <authors>
    <author>Nazarov</author>
    <author>Экономист</author>
    <author>Александр</author>
  </authors>
  <commentList>
    <comment ref="BA8" authorId="0">
      <text>
        <r>
          <rPr>
            <b/>
            <sz val="9"/>
            <color indexed="81"/>
            <rFont val="Tahoma"/>
            <family val="2"/>
            <charset val="204"/>
          </rPr>
          <t>это разрыв между начислением (кассовый метод) и для выполнения индикативного, это 1/2зп марта переносится из месяца в месяц и выравнивается в декабре</t>
        </r>
      </text>
    </comment>
    <comment ref="BB8" authorId="0">
      <text>
        <r>
          <rPr>
            <b/>
            <sz val="9"/>
            <color indexed="81"/>
            <rFont val="Tahoma"/>
            <family val="2"/>
            <charset val="204"/>
          </rPr>
          <t xml:space="preserve">индик 73668,5*44числ*3мес
</t>
        </r>
      </text>
    </comment>
    <comment ref="D10" authorId="0">
      <text>
        <r>
          <rPr>
            <b/>
            <sz val="10"/>
            <color indexed="81"/>
            <rFont val="Tahoma"/>
            <family val="2"/>
            <charset val="204"/>
          </rPr>
          <t>итогиСИ</t>
        </r>
        <r>
          <rPr>
            <sz val="10"/>
            <color indexed="81"/>
            <rFont val="Tahoma"/>
            <family val="2"/>
            <charset val="204"/>
          </rPr>
          <t xml:space="preserve">    - ИТОГИ Содержание имущества
</t>
        </r>
        <r>
          <rPr>
            <b/>
            <sz val="10"/>
            <color indexed="81"/>
            <rFont val="Tahoma"/>
            <family val="2"/>
            <charset val="204"/>
          </rPr>
          <t>СИ</t>
        </r>
        <r>
          <rPr>
            <sz val="10"/>
            <color indexed="81"/>
            <rFont val="Tahoma"/>
            <family val="2"/>
            <charset val="204"/>
          </rPr>
          <t xml:space="preserve">              - детальные строки Содержание Имущества
</t>
        </r>
        <r>
          <rPr>
            <b/>
            <sz val="10"/>
            <color indexed="81"/>
            <rFont val="Tahoma"/>
            <family val="2"/>
            <charset val="204"/>
          </rPr>
          <t>ОЦИ</t>
        </r>
        <r>
          <rPr>
            <sz val="10"/>
            <color indexed="81"/>
            <rFont val="Tahoma"/>
            <family val="2"/>
            <charset val="204"/>
          </rPr>
          <t xml:space="preserve">           - содержание Особо Ценного Имущества
</t>
        </r>
        <r>
          <rPr>
            <b/>
            <sz val="10"/>
            <color indexed="81"/>
            <rFont val="Tahoma"/>
            <family val="2"/>
            <charset val="204"/>
          </rPr>
          <t>Аврора</t>
        </r>
        <r>
          <rPr>
            <sz val="10"/>
            <color indexed="81"/>
            <rFont val="Tahoma"/>
            <family val="2"/>
            <charset val="204"/>
          </rPr>
          <t xml:space="preserve">       - содержание имущества в Авроре
</t>
        </r>
        <r>
          <rPr>
            <b/>
            <sz val="10"/>
            <color indexed="81"/>
            <rFont val="Tahoma"/>
            <family val="2"/>
            <charset val="204"/>
          </rPr>
          <t>неСИ</t>
        </r>
        <r>
          <rPr>
            <sz val="10"/>
            <color indexed="81"/>
            <rFont val="Tahoma"/>
            <family val="2"/>
            <charset val="204"/>
          </rPr>
          <t xml:space="preserve">          - не содержание имущества, т.к. к СИ относим </t>
        </r>
        <r>
          <rPr>
            <b/>
            <u/>
            <sz val="10"/>
            <color indexed="81"/>
            <rFont val="Tahoma"/>
            <family val="2"/>
            <charset val="204"/>
          </rPr>
          <t>ТОЛЬКО</t>
        </r>
        <r>
          <rPr>
            <sz val="10"/>
            <color indexed="81"/>
            <rFont val="Tahoma"/>
            <family val="2"/>
            <charset val="204"/>
          </rPr>
          <t xml:space="preserve"> содержание </t>
        </r>
        <r>
          <rPr>
            <b/>
            <u/>
            <sz val="10"/>
            <color indexed="81"/>
            <rFont val="Tahoma"/>
            <family val="2"/>
            <charset val="204"/>
          </rPr>
          <t>МУНИЦИПАЛЬНОГО</t>
        </r>
        <r>
          <rPr>
            <sz val="10"/>
            <color indexed="81"/>
            <rFont val="Tahoma"/>
            <family val="2"/>
            <charset val="204"/>
          </rPr>
          <t xml:space="preserve"> имущества</t>
        </r>
      </text>
    </comment>
    <comment ref="P12" authorId="1">
      <text>
        <r>
          <rPr>
            <b/>
            <sz val="9"/>
            <color indexed="81"/>
            <rFont val="Tahoma"/>
            <family val="2"/>
            <charset val="204"/>
          </rPr>
          <t>ЦООД сам считает НРО по з/п нам им подавать на эти цели не нужно</t>
        </r>
        <r>
          <rPr>
            <sz val="9"/>
            <color indexed="81"/>
            <rFont val="Tahoma"/>
            <family val="2"/>
            <charset val="204"/>
          </rPr>
          <t xml:space="preserve">
</t>
        </r>
      </text>
    </comment>
    <comment ref="AW12" authorId="0">
      <text>
        <r>
          <rPr>
            <sz val="9"/>
            <color indexed="81"/>
            <rFont val="Tahoma"/>
            <family val="2"/>
            <charset val="204"/>
          </rPr>
          <t xml:space="preserve">только аванс января
</t>
        </r>
      </text>
    </comment>
    <comment ref="AY12" authorId="0">
      <text>
        <r>
          <rPr>
            <b/>
            <sz val="9"/>
            <color indexed="81"/>
            <rFont val="Tahoma"/>
            <family val="2"/>
            <charset val="204"/>
          </rPr>
          <t xml:space="preserve">средняя з/п за месяц без премий и т.п.
</t>
        </r>
      </text>
    </comment>
    <comment ref="BA12" authorId="0">
      <text>
        <r>
          <rPr>
            <b/>
            <sz val="9"/>
            <color indexed="81"/>
            <rFont val="Tahoma"/>
            <family val="2"/>
            <charset val="204"/>
          </rPr>
          <t xml:space="preserve">+ премия к дню работника культуры 1 ФОТ+ ежекв.премия
</t>
        </r>
      </text>
    </comment>
    <comment ref="BE12" authorId="0">
      <text>
        <r>
          <rPr>
            <b/>
            <sz val="9"/>
            <color indexed="81"/>
            <rFont val="Tahoma"/>
            <family val="2"/>
            <charset val="204"/>
          </rPr>
          <t>отпуска + мат.помощь к отпуску основной массы работников (пропорция примерно 2,8 к обычной з/п)</t>
        </r>
      </text>
    </comment>
    <comment ref="BG12" authorId="0">
      <text>
        <r>
          <rPr>
            <b/>
            <sz val="9"/>
            <color indexed="81"/>
            <rFont val="Tahoma"/>
            <family val="2"/>
            <charset val="204"/>
          </rPr>
          <t xml:space="preserve">плюс квартальная
</t>
        </r>
      </text>
    </comment>
    <comment ref="BS12" authorId="0">
      <text>
        <r>
          <rPr>
            <b/>
            <sz val="9"/>
            <color indexed="81"/>
            <rFont val="Tahoma"/>
            <family val="2"/>
            <charset val="204"/>
          </rPr>
          <t xml:space="preserve">1/2 ноября, + весь декабрь +ежекварт.
 премии + годовая
</t>
        </r>
      </text>
    </comment>
    <comment ref="H13" authorId="1">
      <text>
        <r>
          <rPr>
            <b/>
            <sz val="9"/>
            <color indexed="81"/>
            <rFont val="Tahoma"/>
            <family val="2"/>
            <charset val="204"/>
          </rPr>
          <t>компенсация внебюджет в рамках МЗ</t>
        </r>
      </text>
    </comment>
    <comment ref="P13" authorId="1">
      <text>
        <r>
          <rPr>
            <b/>
            <sz val="9"/>
            <color indexed="81"/>
            <rFont val="Tahoma"/>
            <family val="2"/>
            <charset val="204"/>
          </rPr>
          <t>ЦООД сам считает НРО по з/п нам им подавать на эти цели не нужно</t>
        </r>
        <r>
          <rPr>
            <sz val="9"/>
            <color indexed="81"/>
            <rFont val="Tahoma"/>
            <family val="2"/>
            <charset val="204"/>
          </rPr>
          <t xml:space="preserve">
</t>
        </r>
      </text>
    </comment>
    <comment ref="AW13" authorId="0">
      <text>
        <r>
          <rPr>
            <sz val="9"/>
            <color indexed="81"/>
            <rFont val="Tahoma"/>
            <family val="2"/>
            <charset val="204"/>
          </rPr>
          <t xml:space="preserve">только аванс января
</t>
        </r>
      </text>
    </comment>
    <comment ref="AY13" authorId="0">
      <text>
        <r>
          <rPr>
            <b/>
            <sz val="9"/>
            <color indexed="81"/>
            <rFont val="Tahoma"/>
            <family val="2"/>
            <charset val="204"/>
          </rPr>
          <t xml:space="preserve">средняя з/п за месяц без премий и т.п.
</t>
        </r>
      </text>
    </comment>
    <comment ref="BA13" authorId="0">
      <text>
        <r>
          <rPr>
            <b/>
            <sz val="9"/>
            <color indexed="81"/>
            <rFont val="Tahoma"/>
            <family val="2"/>
            <charset val="204"/>
          </rPr>
          <t xml:space="preserve">+ премия к дню работника культуры 1 ФОТ+ ежекв.премия
</t>
        </r>
      </text>
    </comment>
    <comment ref="BE13" authorId="0">
      <text>
        <r>
          <rPr>
            <b/>
            <sz val="9"/>
            <color indexed="81"/>
            <rFont val="Tahoma"/>
            <family val="2"/>
            <charset val="204"/>
          </rPr>
          <t>отпуска + мат.помощь к отпуску основной массы работников (пропорция примерно 2,8 к обычной з/п)</t>
        </r>
      </text>
    </comment>
    <comment ref="BG13" authorId="0">
      <text>
        <r>
          <rPr>
            <b/>
            <sz val="9"/>
            <color indexed="81"/>
            <rFont val="Tahoma"/>
            <family val="2"/>
            <charset val="204"/>
          </rPr>
          <t xml:space="preserve">плюс квартальная
</t>
        </r>
      </text>
    </comment>
    <comment ref="BS13" authorId="0">
      <text>
        <r>
          <rPr>
            <b/>
            <sz val="9"/>
            <color indexed="81"/>
            <rFont val="Tahoma"/>
            <family val="2"/>
            <charset val="204"/>
          </rPr>
          <t xml:space="preserve">1/2 ноября, + весь декабрь +ежекварт.
 премии + годовая
</t>
        </r>
      </text>
    </comment>
    <comment ref="H15" authorId="1">
      <text>
        <r>
          <rPr>
            <b/>
            <sz val="9"/>
            <color indexed="81"/>
            <rFont val="Tahoma"/>
            <family val="2"/>
            <charset val="204"/>
          </rPr>
          <t>компенсация внебюджет в рамках МЗ</t>
        </r>
      </text>
    </comment>
    <comment ref="F16" authorId="0">
      <text>
        <r>
          <rPr>
            <b/>
            <sz val="9"/>
            <color indexed="81"/>
            <rFont val="Tahoma"/>
            <family val="2"/>
            <charset val="204"/>
          </rPr>
          <t>прошлых лет</t>
        </r>
      </text>
    </comment>
    <comment ref="K16" authorId="0">
      <text>
        <r>
          <rPr>
            <b/>
            <sz val="9"/>
            <color indexed="81"/>
            <rFont val="Tahoma"/>
            <family val="2"/>
            <charset val="204"/>
          </rPr>
          <t>прошлых лет</t>
        </r>
      </text>
    </comment>
    <comment ref="L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Q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S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L19" authorId="0">
      <text>
        <r>
          <rPr>
            <b/>
            <sz val="9"/>
            <color indexed="81"/>
            <rFont val="Tahoma"/>
            <family val="2"/>
            <charset val="204"/>
          </rPr>
          <t>2 чел</t>
        </r>
      </text>
    </comment>
    <comment ref="Q19" authorId="0">
      <text>
        <r>
          <rPr>
            <b/>
            <sz val="9"/>
            <color indexed="81"/>
            <rFont val="Tahoma"/>
            <family val="2"/>
            <charset val="204"/>
          </rPr>
          <t>2 чел</t>
        </r>
      </text>
    </comment>
    <comment ref="S19" authorId="0">
      <text>
        <r>
          <rPr>
            <b/>
            <sz val="9"/>
            <color indexed="81"/>
            <rFont val="Tahoma"/>
            <family val="2"/>
            <charset val="204"/>
          </rPr>
          <t>2 чел</t>
        </r>
      </text>
    </comment>
    <comment ref="L20" authorId="0">
      <text>
        <r>
          <rPr>
            <b/>
            <sz val="9"/>
            <color indexed="81"/>
            <rFont val="Tahoma"/>
            <family val="2"/>
            <charset val="204"/>
          </rPr>
          <t xml:space="preserve">3 чел по 5000
</t>
        </r>
        <r>
          <rPr>
            <sz val="9"/>
            <color indexed="81"/>
            <rFont val="Tahoma"/>
            <family val="2"/>
            <charset val="204"/>
          </rPr>
          <t xml:space="preserve">
</t>
        </r>
      </text>
    </comment>
    <comment ref="Q20" authorId="0">
      <text>
        <r>
          <rPr>
            <b/>
            <sz val="9"/>
            <color indexed="81"/>
            <rFont val="Tahoma"/>
            <family val="2"/>
            <charset val="204"/>
          </rPr>
          <t xml:space="preserve">3 чел по 5000
</t>
        </r>
        <r>
          <rPr>
            <sz val="9"/>
            <color indexed="81"/>
            <rFont val="Tahoma"/>
            <family val="2"/>
            <charset val="204"/>
          </rPr>
          <t xml:space="preserve">
</t>
        </r>
      </text>
    </comment>
    <comment ref="S20" authorId="0">
      <text>
        <r>
          <rPr>
            <b/>
            <sz val="9"/>
            <color indexed="81"/>
            <rFont val="Tahoma"/>
            <family val="2"/>
            <charset val="204"/>
          </rPr>
          <t xml:space="preserve">3 чел по 5000
</t>
        </r>
        <r>
          <rPr>
            <sz val="9"/>
            <color indexed="81"/>
            <rFont val="Tahoma"/>
            <family val="2"/>
            <charset val="204"/>
          </rPr>
          <t xml:space="preserve">
</t>
        </r>
      </text>
    </comment>
    <comment ref="AZ21" authorId="1">
      <text>
        <r>
          <rPr>
            <b/>
            <sz val="9"/>
            <color indexed="81"/>
            <rFont val="Tahoma"/>
            <family val="2"/>
            <charset val="204"/>
          </rPr>
          <t xml:space="preserve">Сидоренко Дарье в свзи со смертью отца
</t>
        </r>
      </text>
    </comment>
    <comment ref="L22" authorId="0">
      <text>
        <r>
          <rPr>
            <b/>
            <sz val="10"/>
            <color indexed="81"/>
            <rFont val="Tahoma"/>
            <family val="2"/>
            <charset val="204"/>
          </rPr>
          <t>Согласно Коллективного договора (там еще на стр.17 есть сылка на Постановление Адм и Решение Думы)</t>
        </r>
        <r>
          <rPr>
            <b/>
            <u/>
            <sz val="10"/>
            <color indexed="81"/>
            <rFont val="Tahoma"/>
            <family val="2"/>
            <charset val="204"/>
          </rPr>
          <t xml:space="preserve">
на КВР 111 КОСГУ 266 перенес 6000 (остался на 211 запас 2000 + 2000 от Черемных осталось)</t>
        </r>
        <r>
          <rPr>
            <b/>
            <sz val="9"/>
            <color indexed="81"/>
            <rFont val="Tahoma"/>
            <family val="2"/>
            <charset val="204"/>
          </rPr>
          <t xml:space="preserve">
Находящимся по уходу за ребенком до трех лет:
</t>
        </r>
        <r>
          <rPr>
            <sz val="9"/>
            <color indexed="81"/>
            <rFont val="Tahoma"/>
            <family val="2"/>
            <charset val="204"/>
          </rPr>
          <t xml:space="preserve">- Решетова Мария Николаевна 1000 * 4 раза, за 4 квартал заявление не написали поэтому будет 3 раза
- Гиренко Виорика Валерьевна 1000 * 4 раза, за 4 квартал заявление не написали поэтому будет 3 раза
</t>
        </r>
        <r>
          <rPr>
            <b/>
            <sz val="9"/>
            <color indexed="81"/>
            <rFont val="Tahoma"/>
            <family val="2"/>
            <charset val="204"/>
          </rPr>
          <t xml:space="preserve">
</t>
        </r>
        <r>
          <rPr>
            <b/>
            <u/>
            <sz val="10"/>
            <color indexed="81"/>
            <rFont val="Tahoma"/>
            <family val="2"/>
            <charset val="204"/>
          </rPr>
          <t>Останутся на КВР111 КОСГУ 211</t>
        </r>
        <r>
          <rPr>
            <b/>
            <sz val="9"/>
            <color indexed="81"/>
            <rFont val="Tahoma"/>
            <family val="2"/>
            <charset val="204"/>
          </rPr>
          <t xml:space="preserve">
Имеющим на иждивении ребенка-инвалида, инвалида I, II, III группы с причиной инвалидности "инвалид с детства":
</t>
        </r>
        <r>
          <rPr>
            <sz val="9"/>
            <color indexed="81"/>
            <rFont val="Tahoma"/>
            <family val="2"/>
            <charset val="204"/>
          </rPr>
          <t>- Мурзина Галина Николаевна 1000 * 4 раза
- Гречушникова Екатерина Николаевна 1000 * 4 раза</t>
        </r>
        <r>
          <rPr>
            <b/>
            <sz val="9"/>
            <color indexed="81"/>
            <rFont val="Tahoma"/>
            <family val="2"/>
            <charset val="204"/>
          </rPr>
          <t xml:space="preserve">
- уволился его убираем </t>
        </r>
        <r>
          <rPr>
            <sz val="9"/>
            <color indexed="81"/>
            <rFont val="Tahoma"/>
            <family val="2"/>
            <charset val="204"/>
          </rPr>
          <t>Черемных Максим Владимирович 1000 * 4 раза (2000 перешло на Мулачанова) 2000 запас</t>
        </r>
        <r>
          <rPr>
            <b/>
            <sz val="9"/>
            <color indexed="81"/>
            <rFont val="Tahoma"/>
            <family val="2"/>
            <charset val="204"/>
          </rPr>
          <t xml:space="preserve">
Имеющим трех и более детей в возрасте до 18 лет:
</t>
        </r>
        <r>
          <rPr>
            <sz val="9"/>
            <color indexed="81"/>
            <rFont val="Tahoma"/>
            <family val="2"/>
            <charset val="204"/>
          </rPr>
          <t xml:space="preserve">- Соловьев Иван Викторович 1000 * 4 раза
- Репина (вместо ошибочной Кондратьева Екатерина Константиновна) 1000 * 4 раза
- Дремин Алексей Анатольевич  1000 * 4 раза
- Шарова Анна (вместо Карасик Наиля Ильгизяровна) 1000 * 4 раза 
</t>
        </r>
        <r>
          <rPr>
            <b/>
            <sz val="9"/>
            <color indexed="81"/>
            <rFont val="Tahoma"/>
            <family val="2"/>
            <charset val="204"/>
          </rPr>
          <t>- добавился</t>
        </r>
        <r>
          <rPr>
            <sz val="9"/>
            <color indexed="81"/>
            <rFont val="Tahoma"/>
            <family val="2"/>
            <charset val="204"/>
          </rPr>
          <t xml:space="preserve"> Мулачанов Рустам Равильевич 1000 * 2 раза (т.к.  1 квартал не полный)</t>
        </r>
        <r>
          <rPr>
            <b/>
            <sz val="9"/>
            <color indexed="81"/>
            <rFont val="Tahoma"/>
            <family val="2"/>
            <charset val="204"/>
          </rPr>
          <t xml:space="preserve">
По бухгалтерии они просто получают выплату как "материальная помощь"
</t>
        </r>
      </text>
    </comment>
    <comment ref="Q22"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4 раза
</t>
        </r>
        <r>
          <rPr>
            <sz val="9"/>
            <color indexed="81"/>
            <rFont val="Tahoma"/>
            <family val="2"/>
            <charset val="204"/>
          </rPr>
          <t>- Гиренко Виорика Валерьевна 1000</t>
        </r>
        <r>
          <rPr>
            <b/>
            <sz val="9"/>
            <color indexed="81"/>
            <rFont val="Tahoma"/>
            <family val="2"/>
            <charset val="204"/>
          </rPr>
          <t xml:space="preserve"> * 4 раза
</t>
        </r>
        <r>
          <rPr>
            <sz val="9"/>
            <color indexed="81"/>
            <rFont val="Tahoma"/>
            <family val="2"/>
            <charset val="204"/>
          </rPr>
          <t>- Гречушникова Екатерина Николаевна 1000</t>
        </r>
        <r>
          <rPr>
            <b/>
            <sz val="9"/>
            <color indexed="81"/>
            <rFont val="Tahoma"/>
            <family val="2"/>
            <charset val="204"/>
          </rPr>
          <t xml:space="preserve"> * 2 раза !!!!!!!!!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4 раза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S22"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3 раза !!!!!!!!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3 раза !!!!!!!!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L25" authorId="0">
      <text>
        <r>
          <rPr>
            <b/>
            <sz val="10"/>
            <color indexed="81"/>
            <rFont val="Tahoma"/>
            <family val="2"/>
            <charset val="204"/>
          </rPr>
          <t>Согласно Коллективного договора (там еще на стр.17 есть сылка на Постановление Адм и Решение Думы)</t>
        </r>
        <r>
          <rPr>
            <b/>
            <u/>
            <sz val="10"/>
            <color indexed="81"/>
            <rFont val="Tahoma"/>
            <family val="2"/>
            <charset val="204"/>
          </rPr>
          <t xml:space="preserve">
на КВР 111 КОСГУ 266 перенес 6000 (остался на 211 запас 2000 + 2000 от Черемных осталось)</t>
        </r>
        <r>
          <rPr>
            <b/>
            <sz val="9"/>
            <color indexed="81"/>
            <rFont val="Tahoma"/>
            <family val="2"/>
            <charset val="204"/>
          </rPr>
          <t xml:space="preserve">
Находящимся по уходу за ребенком до трех лет:
</t>
        </r>
        <r>
          <rPr>
            <sz val="9"/>
            <color indexed="81"/>
            <rFont val="Tahoma"/>
            <family val="2"/>
            <charset val="204"/>
          </rPr>
          <t>- Решетова Мария Николаевна 1000 * 4 раза, за 4 квартал заявление не написали поэтому будет 3 раза
- Гиренко Виорика Валерьевна 1000 * 4 раза, за 4 квартал заявление не написали поэтому будет 3 раза</t>
        </r>
        <r>
          <rPr>
            <b/>
            <sz val="9"/>
            <color indexed="81"/>
            <rFont val="Tahoma"/>
            <family val="2"/>
            <charset val="204"/>
          </rPr>
          <t xml:space="preserve">
</t>
        </r>
      </text>
    </comment>
    <comment ref="L26"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Q26"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S26"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K27" authorId="1">
      <text>
        <r>
          <rPr>
            <b/>
            <u/>
            <sz val="10"/>
            <color indexed="81"/>
            <rFont val="Tahoma"/>
            <family val="2"/>
            <charset val="204"/>
          </rPr>
          <t xml:space="preserve">
!!! Здесь и ЗП и Начисления на зп (30,2%) одновременно по КВР 119 ГОСГУ 266
2 работника могут воспользоваться:
- Мурзина (ставлю 10 раз т.к. </t>
        </r>
        <r>
          <rPr>
            <sz val="10"/>
            <color indexed="81"/>
            <rFont val="Tahoma"/>
            <family val="2"/>
            <charset val="204"/>
          </rPr>
          <t>пока она сама не знает, была операция у ребенка) у Мурзиной (зп за январь 37 691,54р.) средникй размер за 4 дня  зп + начисления за январь 12260р. в 1С показало, считаются как и отпускные за посление 12 мес, поэтому сумма может сильно варьироваться.</t>
        </r>
        <r>
          <rPr>
            <b/>
            <u/>
            <sz val="10"/>
            <color indexed="81"/>
            <rFont val="Tahoma"/>
            <family val="2"/>
            <charset val="204"/>
          </rPr>
          <t xml:space="preserve"> Для расчета взял 13000
</t>
        </r>
        <r>
          <rPr>
            <sz val="10"/>
            <color indexed="81"/>
            <rFont val="Tahoma"/>
            <family val="2"/>
            <charset val="204"/>
          </rPr>
          <t>-</t>
        </r>
        <r>
          <rPr>
            <b/>
            <sz val="10"/>
            <color indexed="81"/>
            <rFont val="Tahoma"/>
            <family val="2"/>
            <charset val="204"/>
          </rPr>
          <t xml:space="preserve"> Дремин </t>
        </r>
        <r>
          <rPr>
            <sz val="10"/>
            <color indexed="81"/>
            <rFont val="Tahoma"/>
            <family val="2"/>
            <charset val="204"/>
          </rPr>
          <t xml:space="preserve">сказал что не больше </t>
        </r>
        <r>
          <rPr>
            <b/>
            <sz val="10"/>
            <color indexed="81"/>
            <rFont val="Tahoma"/>
            <family val="2"/>
            <charset val="204"/>
          </rPr>
          <t xml:space="preserve">5 раз </t>
        </r>
        <r>
          <rPr>
            <sz val="10"/>
            <color indexed="81"/>
            <rFont val="Tahoma"/>
            <family val="2"/>
            <charset val="204"/>
          </rPr>
          <t xml:space="preserve">воспользуется (но скорее всего 2-3 раза всего возьмет) (зп январь 70 375,50р.) в пропорции от Мурзиной будет 13000 это 54% итого </t>
        </r>
        <r>
          <rPr>
            <b/>
            <sz val="10"/>
            <color indexed="81"/>
            <rFont val="Tahoma"/>
            <family val="2"/>
            <charset val="204"/>
          </rPr>
          <t>будет примерно 24 000 руб.</t>
        </r>
        <r>
          <rPr>
            <sz val="10"/>
            <color indexed="81"/>
            <rFont val="Tahoma"/>
            <family val="2"/>
            <charset val="204"/>
          </rPr>
          <t xml:space="preserve">
</t>
        </r>
        <r>
          <rPr>
            <b/>
            <u/>
            <sz val="10"/>
            <color indexed="81"/>
            <rFont val="Tahoma"/>
            <family val="2"/>
            <charset val="204"/>
          </rPr>
          <t xml:space="preserve">
!!! Здесь и ЗП и Начисления на зп (30,2%) одновременно по КВР 119 ГОСГУ 266</t>
        </r>
        <r>
          <rPr>
            <sz val="9"/>
            <color indexed="81"/>
            <rFont val="Tahoma"/>
            <family val="2"/>
            <charset val="204"/>
          </rPr>
          <t xml:space="preserve">
Раньше эти расходы были на КВР 111 КОСГУ 213
четыре дополнительных оплачиваемых выходных дня в месяц для ухода за детьми-инвалидами установлена ст. 262 ТК РФ. Каждый дополнительный выходной день оплачивается в размере среднего заработка.
Частью 17 ст. 37 Федерального закона от 24.07.2009 № 213-ФЗ, п. 8 положения о ФСС РФ, утв. постановлением Правительства РФ от 12.02.1994 № 101, установлено, что финансовое обеспечение расходов на оплату дополнительных выходных дней для ухода за детьми-инвалидами (включая начисленные страховые взносы в государственные внебюджетные фонды) осуществляется за счет межбюджетных трансфертов из федерального бюджета, предоставляемых бюджету ФСС РФ. Таким образом, эти расходы не являются обязательством учреждения.
</t>
        </r>
        <r>
          <rPr>
            <b/>
            <sz val="10"/>
            <color indexed="81"/>
            <rFont val="Tahoma"/>
            <family val="2"/>
            <charset val="204"/>
          </rPr>
          <t>С 2021 года на всей территории РФ действует механизм прямых выплат,</t>
        </r>
        <r>
          <rPr>
            <sz val="9"/>
            <color indexed="81"/>
            <rFont val="Tahoma"/>
            <family val="2"/>
            <charset val="204"/>
          </rPr>
          <t xml:space="preserve"> предусматривающий выплату пособий напрямую из ФСС РФ, а не через работодателя. </t>
        </r>
        <r>
          <rPr>
            <u/>
            <sz val="10"/>
            <color indexed="81"/>
            <rFont val="Tahoma"/>
            <family val="2"/>
            <charset val="204"/>
          </rPr>
          <t xml:space="preserve">Выплата среднего заработка за дополнительные выходные дни (не более четырех в месяц) по уходу за детьми-инвалидами </t>
        </r>
        <r>
          <rPr>
            <b/>
            <u/>
            <sz val="11"/>
            <color indexed="81"/>
            <rFont val="Tahoma"/>
            <family val="2"/>
            <charset val="204"/>
          </rPr>
          <t>является исключением</t>
        </r>
        <r>
          <rPr>
            <u/>
            <sz val="10"/>
            <color indexed="81"/>
            <rFont val="Tahoma"/>
            <family val="2"/>
            <charset val="204"/>
          </rPr>
          <t>.</t>
        </r>
        <r>
          <rPr>
            <sz val="9"/>
            <color indexed="81"/>
            <rFont val="Tahoma"/>
            <family val="2"/>
            <charset val="204"/>
          </rPr>
          <t xml:space="preserve"> Работодатель должен назначить и выплатить физлицу средний заработок, впоследствии фонд возместит такие расходы.
Оплата четырех дополнительных выходных дней в месяц родителю (опекуну, попечителю) для ухода за детьми-инвалидами отражается по элементу</t>
        </r>
        <r>
          <rPr>
            <b/>
            <u/>
            <sz val="9"/>
            <color indexed="81"/>
            <rFont val="Tahoma"/>
            <family val="2"/>
            <charset val="204"/>
          </rPr>
          <t xml:space="preserve"> видов расходов 119 "</t>
        </r>
        <r>
          <rPr>
            <sz val="9"/>
            <color indexed="81"/>
            <rFont val="Tahoma"/>
            <family val="2"/>
            <charset val="204"/>
          </rPr>
          <t xml:space="preserve">Взносы по обязательному социальному страхованию на выплаты по оплате труда работников и иные выплаты работникам учреждений" и </t>
        </r>
        <r>
          <rPr>
            <b/>
            <u/>
            <sz val="9"/>
            <color indexed="81"/>
            <rFont val="Tahoma"/>
            <family val="2"/>
            <charset val="204"/>
          </rPr>
          <t xml:space="preserve">подстатье 266 "Социальные пособия и компенсации персоналу в денежной форме" КОСГУ. </t>
        </r>
        <r>
          <rPr>
            <sz val="9"/>
            <color indexed="81"/>
            <rFont val="Tahoma"/>
            <family val="2"/>
            <charset val="204"/>
          </rPr>
          <t>Это установлено п. 48.1.4 порядка, утв. приказом Минфина России от 06.06.2019 № 85н, п. 10.6.6 порядка, утв. приказом Минфина России от 29.11.2017 № 209н.</t>
        </r>
      </text>
    </comment>
    <comment ref="L27" authorId="1">
      <text>
        <r>
          <rPr>
            <b/>
            <u/>
            <sz val="10"/>
            <color indexed="81"/>
            <rFont val="Tahoma"/>
            <family val="2"/>
            <charset val="204"/>
          </rPr>
          <t xml:space="preserve">2 работника могут воспользоваться:
- Мурзина (ставлю 10 раз т.к. </t>
        </r>
        <r>
          <rPr>
            <sz val="10"/>
            <color indexed="81"/>
            <rFont val="Tahoma"/>
            <family val="2"/>
            <charset val="204"/>
          </rPr>
          <t>пока она сама не знает, была операция у ребенка) у Мурзиной (зп за январь 37 691,54р.) средникй размер за 4 дня  зп + начисления за январь 12260р. в 1С показало, считаются как и отпускные за посление 12 мес, поэтому сумма может сильно варьироваться.</t>
        </r>
        <r>
          <rPr>
            <b/>
            <u/>
            <sz val="10"/>
            <color indexed="81"/>
            <rFont val="Tahoma"/>
            <family val="2"/>
            <charset val="204"/>
          </rPr>
          <t xml:space="preserve"> Для расчета взял 13000
</t>
        </r>
        <r>
          <rPr>
            <sz val="10"/>
            <color indexed="81"/>
            <rFont val="Tahoma"/>
            <family val="2"/>
            <charset val="204"/>
          </rPr>
          <t>-</t>
        </r>
        <r>
          <rPr>
            <b/>
            <sz val="10"/>
            <color indexed="81"/>
            <rFont val="Tahoma"/>
            <family val="2"/>
            <charset val="204"/>
          </rPr>
          <t xml:space="preserve"> Дремин </t>
        </r>
        <r>
          <rPr>
            <sz val="10"/>
            <color indexed="81"/>
            <rFont val="Tahoma"/>
            <family val="2"/>
            <charset val="204"/>
          </rPr>
          <t xml:space="preserve">сказал что не больше </t>
        </r>
        <r>
          <rPr>
            <b/>
            <sz val="10"/>
            <color indexed="81"/>
            <rFont val="Tahoma"/>
            <family val="2"/>
            <charset val="204"/>
          </rPr>
          <t xml:space="preserve">5 раз </t>
        </r>
        <r>
          <rPr>
            <sz val="10"/>
            <color indexed="81"/>
            <rFont val="Tahoma"/>
            <family val="2"/>
            <charset val="204"/>
          </rPr>
          <t xml:space="preserve">воспользуется (но скорее всего 2-3 раза всего возьмет) (зп январь 70 375,50р.) в пропорции от Мурзиной будет 13000 это 54% итого </t>
        </r>
        <r>
          <rPr>
            <b/>
            <sz val="10"/>
            <color indexed="81"/>
            <rFont val="Tahoma"/>
            <family val="2"/>
            <charset val="204"/>
          </rPr>
          <t>будет примерно 24 000 руб.</t>
        </r>
        <r>
          <rPr>
            <sz val="10"/>
            <color indexed="81"/>
            <rFont val="Tahoma"/>
            <family val="2"/>
            <charset val="204"/>
          </rPr>
          <t xml:space="preserve">
</t>
        </r>
        <r>
          <rPr>
            <b/>
            <u/>
            <sz val="10"/>
            <color indexed="81"/>
            <rFont val="Tahoma"/>
            <family val="2"/>
            <charset val="204"/>
          </rPr>
          <t xml:space="preserve">
Здесь и зп и начисления на зп одновременно по КВР 111 ГОСГУ 266</t>
        </r>
        <r>
          <rPr>
            <sz val="9"/>
            <color indexed="81"/>
            <rFont val="Tahoma"/>
            <family val="2"/>
            <charset val="204"/>
          </rPr>
          <t xml:space="preserve">
Раньше эти расходы были на КВР 111 КОСГУ 213
четыре дополнительных оплачиваемых выходных дня в месяц для ухода за детьми-инвалидами установлена ст. 262 ТК РФ. Каждый дополнительный выходной день оплачивается в размере среднего заработка.
Частью 17 ст. 37 Федерального закона от 24.07.2009 № 213-ФЗ, п. 8 положения о ФСС РФ, утв. постановлением Правительства РФ от 12.02.1994 № 101, установлено, что финансовое обеспечение расходов на оплату дополнительных выходных дней для ухода за детьми-инвалидами (включая начисленные страховые взносы в государственные внебюджетные фонды) осуществляется за счет межбюджетных трансфертов из федерального бюджета, предоставляемых бюджету ФСС РФ. Таким образом, эти расходы не являются обязательством учреждения.
</t>
        </r>
        <r>
          <rPr>
            <b/>
            <sz val="10"/>
            <color indexed="81"/>
            <rFont val="Tahoma"/>
            <family val="2"/>
            <charset val="204"/>
          </rPr>
          <t>С 2021 года на всей территории РФ действует механизм прямых выплат,</t>
        </r>
        <r>
          <rPr>
            <sz val="9"/>
            <color indexed="81"/>
            <rFont val="Tahoma"/>
            <family val="2"/>
            <charset val="204"/>
          </rPr>
          <t xml:space="preserve"> предусматривающий выплату пособий напрямую из ФСС РФ, а не через работодателя. </t>
        </r>
        <r>
          <rPr>
            <u/>
            <sz val="10"/>
            <color indexed="81"/>
            <rFont val="Tahoma"/>
            <family val="2"/>
            <charset val="204"/>
          </rPr>
          <t xml:space="preserve">Выплата среднего заработка за дополнительные выходные дни (не более четырех в месяц) по уходу за детьми-инвалидами </t>
        </r>
        <r>
          <rPr>
            <b/>
            <u/>
            <sz val="11"/>
            <color indexed="81"/>
            <rFont val="Tahoma"/>
            <family val="2"/>
            <charset val="204"/>
          </rPr>
          <t>является исключением</t>
        </r>
        <r>
          <rPr>
            <u/>
            <sz val="10"/>
            <color indexed="81"/>
            <rFont val="Tahoma"/>
            <family val="2"/>
            <charset val="204"/>
          </rPr>
          <t>.</t>
        </r>
        <r>
          <rPr>
            <sz val="9"/>
            <color indexed="81"/>
            <rFont val="Tahoma"/>
            <family val="2"/>
            <charset val="204"/>
          </rPr>
          <t xml:space="preserve"> Работодатель должен назначить и выплатить физлицу средний заработок, впоследствии фонд возместит такие расходы.
Оплата четырех дополнительных выходных дней в месяц родителю (опекуну, попечителю) для ухода за детьми-инвалидами отражается по элементу</t>
        </r>
        <r>
          <rPr>
            <b/>
            <u/>
            <sz val="9"/>
            <color indexed="81"/>
            <rFont val="Tahoma"/>
            <family val="2"/>
            <charset val="204"/>
          </rPr>
          <t xml:space="preserve"> видов расходов 119 "</t>
        </r>
        <r>
          <rPr>
            <sz val="9"/>
            <color indexed="81"/>
            <rFont val="Tahoma"/>
            <family val="2"/>
            <charset val="204"/>
          </rPr>
          <t xml:space="preserve">Взносы по обязательному социальному страхованию на выплаты по оплате труда работников и иные выплаты работникам учреждений" и </t>
        </r>
        <r>
          <rPr>
            <b/>
            <u/>
            <sz val="9"/>
            <color indexed="81"/>
            <rFont val="Tahoma"/>
            <family val="2"/>
            <charset val="204"/>
          </rPr>
          <t xml:space="preserve">подстатье 266 "Социальные пособия и компенсации персоналу в денежной форме" КОСГУ. </t>
        </r>
        <r>
          <rPr>
            <sz val="9"/>
            <color indexed="81"/>
            <rFont val="Tahoma"/>
            <family val="2"/>
            <charset val="204"/>
          </rPr>
          <t>Это установлено п. 48.1.4 порядка, утв. приказом Минфина России от 06.06.2019 № 85н, п. 10.6.6 порядка, утв. приказом Минфина России от 29.11.2017 № 209н.</t>
        </r>
      </text>
    </comment>
    <comment ref="L28" authorId="0">
      <text>
        <r>
          <rPr>
            <b/>
            <sz val="9"/>
            <color indexed="81"/>
            <rFont val="Tahoma"/>
            <family val="2"/>
            <charset val="204"/>
          </rPr>
          <t>30,2%</t>
        </r>
        <r>
          <rPr>
            <sz val="9"/>
            <color indexed="81"/>
            <rFont val="Tahoma"/>
            <family val="2"/>
            <charset val="204"/>
          </rPr>
          <t xml:space="preserve">
</t>
        </r>
      </text>
    </comment>
    <comment ref="Q28" authorId="0">
      <text>
        <r>
          <rPr>
            <b/>
            <sz val="9"/>
            <color indexed="81"/>
            <rFont val="Tahoma"/>
            <family val="2"/>
            <charset val="204"/>
          </rPr>
          <t>30,2%</t>
        </r>
        <r>
          <rPr>
            <sz val="9"/>
            <color indexed="81"/>
            <rFont val="Tahoma"/>
            <family val="2"/>
            <charset val="204"/>
          </rPr>
          <t xml:space="preserve">
</t>
        </r>
      </text>
    </comment>
    <comment ref="S28" authorId="0">
      <text>
        <r>
          <rPr>
            <b/>
            <sz val="9"/>
            <color indexed="81"/>
            <rFont val="Tahoma"/>
            <family val="2"/>
            <charset val="204"/>
          </rPr>
          <t>30,2%</t>
        </r>
        <r>
          <rPr>
            <sz val="9"/>
            <color indexed="81"/>
            <rFont val="Tahoma"/>
            <family val="2"/>
            <charset val="204"/>
          </rPr>
          <t xml:space="preserve">
</t>
        </r>
      </text>
    </comment>
    <comment ref="L30" authorId="0">
      <text>
        <r>
          <rPr>
            <b/>
            <sz val="9"/>
            <color indexed="81"/>
            <rFont val="Tahoma"/>
            <family val="2"/>
            <charset val="204"/>
          </rPr>
          <t>2 чел</t>
        </r>
        <r>
          <rPr>
            <sz val="9"/>
            <color indexed="81"/>
            <rFont val="Tahoma"/>
            <family val="2"/>
            <charset val="204"/>
          </rPr>
          <t xml:space="preserve">
</t>
        </r>
      </text>
    </comment>
    <comment ref="L31" authorId="0">
      <text>
        <r>
          <rPr>
            <b/>
            <sz val="9"/>
            <color indexed="81"/>
            <rFont val="Tahoma"/>
            <family val="2"/>
            <charset val="204"/>
          </rPr>
          <t>3 чел</t>
        </r>
      </text>
    </comment>
    <comment ref="L32" authorId="0">
      <text>
        <r>
          <rPr>
            <b/>
            <sz val="9"/>
            <color indexed="81"/>
            <rFont val="Tahoma"/>
            <family val="2"/>
            <charset val="204"/>
          </rPr>
          <t xml:space="preserve">30,2% на КОСГУ 266
</t>
        </r>
        <r>
          <rPr>
            <sz val="9"/>
            <color indexed="81"/>
            <rFont val="Tahoma"/>
            <family val="2"/>
            <charset val="204"/>
          </rPr>
          <t xml:space="preserve">
</t>
        </r>
      </text>
    </comment>
    <comment ref="AW33" authorId="0">
      <text>
        <r>
          <rPr>
            <sz val="9"/>
            <color indexed="81"/>
            <rFont val="Tahoma"/>
            <family val="2"/>
            <charset val="204"/>
          </rPr>
          <t xml:space="preserve">только аванс января
</t>
        </r>
      </text>
    </comment>
    <comment ref="BS33" authorId="0">
      <text>
        <r>
          <rPr>
            <b/>
            <sz val="9"/>
            <color indexed="81"/>
            <rFont val="Tahoma"/>
            <family val="2"/>
            <charset val="204"/>
          </rPr>
          <t>половина зп ноября + вся зп за декабрь</t>
        </r>
      </text>
    </comment>
    <comment ref="BG35" authorId="1">
      <text>
        <r>
          <rPr>
            <b/>
            <sz val="9"/>
            <color indexed="81"/>
            <rFont val="Tahoma"/>
            <family val="2"/>
            <charset val="204"/>
          </rPr>
          <t>в том числе 7006,40 руб. компенсация проезда к месту учебы Марьянчук Е.А.</t>
        </r>
      </text>
    </comment>
    <comment ref="BG36" authorId="1">
      <text>
        <r>
          <rPr>
            <b/>
            <sz val="9"/>
            <color indexed="81"/>
            <rFont val="Tahoma"/>
            <family val="2"/>
            <charset val="204"/>
          </rPr>
          <t>Кондратьева Е. заявление от 15.06.2021 доплата 8637р.</t>
        </r>
      </text>
    </comment>
    <comment ref="K37" authorId="1">
      <text>
        <r>
          <rPr>
            <b/>
            <sz val="9"/>
            <color indexed="81"/>
            <rFont val="Tahoma"/>
            <family val="2"/>
            <charset val="204"/>
          </rPr>
          <t>Марьянчук Е.А.</t>
        </r>
        <r>
          <rPr>
            <sz val="9"/>
            <color indexed="81"/>
            <rFont val="Tahoma"/>
            <family val="2"/>
            <charset val="204"/>
          </rPr>
          <t xml:space="preserve">
7 006,40 руб в июне</t>
        </r>
      </text>
    </comment>
    <comment ref="K38" authorId="1">
      <text>
        <r>
          <rPr>
            <b/>
            <sz val="9"/>
            <color indexed="81"/>
            <rFont val="Tahoma"/>
            <family val="2"/>
            <charset val="204"/>
          </rPr>
          <t>ежемесячные компенсационные выплаты в размере 50 рублей сотрудникам (работникам), находящимся в отпуске по уходу за ребенком до достижения им возраста 3 лет, назначаемые и выплачиваемые в соответствии с постановлением Правительства Российской Федерации от 3 ноября 1994 года N 1206 "Об утверждении порядка назначения и выплаты ежемесячных компенсационных выплат отдельным категориям граждан" (Собрание законодательства Российской Федерации, 1994, N 29, ст. 3035; 2018, N 50, ст. 7755)</t>
        </r>
      </text>
    </comment>
    <comment ref="K40" authorId="0">
      <text>
        <r>
          <rPr>
            <b/>
            <sz val="9"/>
            <color indexed="81"/>
            <rFont val="Tahoma"/>
            <family val="2"/>
            <charset val="204"/>
          </rPr>
          <t>здесь план корректирую по факту Аниных авансовых за покупку конвертов</t>
        </r>
        <r>
          <rPr>
            <sz val="9"/>
            <color indexed="81"/>
            <rFont val="Tahoma"/>
            <family val="2"/>
            <charset val="204"/>
          </rPr>
          <t xml:space="preserve">
</t>
        </r>
      </text>
    </comment>
    <comment ref="K42" authorId="1">
      <text>
        <r>
          <rPr>
            <sz val="10"/>
            <color indexed="81"/>
            <rFont val="Tahoma"/>
            <family val="2"/>
            <charset val="204"/>
          </rPr>
          <t>защищенный канал между Энгельса 11 и проезд Советов 4 (ЦООД)</t>
        </r>
      </text>
    </comment>
    <comment ref="W43" authorId="1">
      <text>
        <r>
          <rPr>
            <sz val="11"/>
            <color indexed="81"/>
            <rFont val="Tahoma"/>
            <family val="2"/>
            <charset val="204"/>
          </rPr>
          <t>лицевой счет 
683088687886</t>
        </r>
      </text>
    </comment>
    <comment ref="BC47" authorId="1">
      <text>
        <r>
          <rPr>
            <b/>
            <sz val="9"/>
            <color indexed="81"/>
            <rFont val="Tahoma"/>
            <family val="2"/>
            <charset val="204"/>
          </rPr>
          <t>счет Б0000340 от 04.04.2021 на 1800р за 03,04 апреля
счет №Б0000369 от 11.04.2021 на 1200р. За 10,11 апреля
счет№Б0000439 от 26.04.2021 на 1800р. За 17,24,25 апреля</t>
        </r>
      </text>
    </comment>
    <comment ref="BE47" authorId="1">
      <text>
        <r>
          <rPr>
            <b/>
            <sz val="9"/>
            <color indexed="81"/>
            <rFont val="Tahoma"/>
            <family val="2"/>
            <charset val="204"/>
          </rPr>
          <t>счет №Б0000473 от 30.04.2021 - 550р за 30 апреля
счет №Б0000519 от 12.05.2021 за 06,09,11 мая на 3000р.
Счет №Б0000594 от 27.05.2021 за25,26,27 мая на 2300р.</t>
        </r>
      </text>
    </comment>
    <comment ref="BG47" authorId="1">
      <text>
        <r>
          <rPr>
            <b/>
            <sz val="9"/>
            <color indexed="81"/>
            <rFont val="Tahoma"/>
            <family val="2"/>
            <charset val="204"/>
          </rPr>
          <t>счет Б0000601 от 28.05.2021 за 28 мая на 600 р.
счет Б0000638 от 3.06.2021 за 1,2,3 июня на 4225 р.
Счет Б0000654 от 05.06.21 за 04 июня на 600р.
Счет Б0000678 от 09.06.21 за 08, 09 июня на 3300р.
Счет Б0000701 от 15.06.21 за 10,13,14 июня на 5000р.
Счет Б0000727 от 20.06.21 за 17,18,20 июня на 2250р.</t>
        </r>
      </text>
    </comment>
    <comment ref="AZ49" authorId="1">
      <text>
        <r>
          <rPr>
            <b/>
            <sz val="9"/>
            <color indexed="81"/>
            <rFont val="Tahoma"/>
            <family val="2"/>
            <charset val="204"/>
          </rPr>
          <t>включая ТКО, не делится в платежке</t>
        </r>
      </text>
    </comment>
    <comment ref="L52" authorId="0">
      <text>
        <r>
          <rPr>
            <b/>
            <sz val="9"/>
            <color indexed="81"/>
            <rFont val="Tahoma"/>
            <family val="2"/>
            <charset val="204"/>
          </rPr>
          <t>годовая сумма 
12 428 476,80 по договору аренды, уже с учетом ТО инженерных систем</t>
        </r>
      </text>
    </comment>
    <comment ref="X52" authorId="1">
      <text>
        <r>
          <rPr>
            <b/>
            <sz val="9"/>
            <color indexed="81"/>
            <rFont val="Tahoma"/>
            <family val="2"/>
            <charset val="204"/>
          </rPr>
          <t>8 мес, чтобы не регистрировать в Росреестре и не была по бух учету Крупная сделка больше 9млн.</t>
        </r>
      </text>
    </comment>
    <comment ref="X56" authorId="1">
      <text>
        <r>
          <rPr>
            <b/>
            <sz val="9"/>
            <color indexed="81"/>
            <rFont val="Tahoma"/>
            <family val="2"/>
            <charset val="204"/>
          </rPr>
          <t>январь, июль и август исключаем</t>
        </r>
      </text>
    </comment>
    <comment ref="D57"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V57" authorId="0">
      <text>
        <r>
          <rPr>
            <b/>
            <sz val="9"/>
            <color indexed="81"/>
            <rFont val="Tahoma"/>
            <family val="2"/>
            <charset val="204"/>
          </rPr>
          <t xml:space="preserve">внебюджет
</t>
        </r>
      </text>
    </comment>
    <comment ref="X57" authorId="0">
      <text>
        <r>
          <rPr>
            <b/>
            <sz val="9"/>
            <color indexed="81"/>
            <rFont val="Tahoma"/>
            <family val="2"/>
            <charset val="204"/>
          </rPr>
          <t xml:space="preserve">доля от общего объема услуги по 4 и 2-ке
</t>
        </r>
        <r>
          <rPr>
            <sz val="9"/>
            <color indexed="81"/>
            <rFont val="Tahoma"/>
            <family val="2"/>
            <charset val="204"/>
          </rPr>
          <t xml:space="preserve">
</t>
        </r>
      </text>
    </comment>
    <comment ref="D58"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AS58" authorId="1">
      <text>
        <r>
          <rPr>
            <b/>
            <sz val="9"/>
            <color indexed="81"/>
            <rFont val="Tahoma"/>
            <family val="2"/>
            <charset val="204"/>
          </rPr>
          <t xml:space="preserve">с учетом открытия с 01.02.2021 уборка дополнительно в суб и воскр 354,9м2*42дня*1,61руб=23 998,34
Воскр с 8 до 16
</t>
        </r>
      </text>
    </comment>
    <comment ref="K60" authorId="0">
      <text>
        <r>
          <rPr>
            <b/>
            <sz val="9"/>
            <color indexed="81"/>
            <rFont val="Tahoma"/>
            <family val="2"/>
            <charset val="204"/>
          </rPr>
          <t xml:space="preserve">первый показ - апрель
</t>
        </r>
        <r>
          <rPr>
            <sz val="9"/>
            <color indexed="81"/>
            <rFont val="Tahoma"/>
            <family val="2"/>
            <charset val="204"/>
          </rPr>
          <t xml:space="preserve">
</t>
        </r>
      </text>
    </comment>
    <comment ref="BC60" authorId="1">
      <text>
        <r>
          <rPr>
            <b/>
            <sz val="9"/>
            <color indexed="81"/>
            <rFont val="Tahoma"/>
            <family val="2"/>
            <charset val="204"/>
          </rPr>
          <t>на 2520 дог
 3/21-О от 12.03.2021</t>
        </r>
      </text>
    </comment>
    <comment ref="K61" authorId="0">
      <text>
        <r>
          <rPr>
            <b/>
            <sz val="9"/>
            <color indexed="81"/>
            <rFont val="Tahoma"/>
            <family val="2"/>
            <charset val="204"/>
          </rPr>
          <t xml:space="preserve">первый показ и Лягушка и Первинка - январь-февраль
</t>
        </r>
      </text>
    </comment>
    <comment ref="K62" authorId="0">
      <text>
        <r>
          <rPr>
            <b/>
            <sz val="9"/>
            <color indexed="81"/>
            <rFont val="Tahoma"/>
            <family val="2"/>
            <charset val="204"/>
          </rPr>
          <t xml:space="preserve">первый показ - апрель
</t>
        </r>
        <r>
          <rPr>
            <sz val="9"/>
            <color indexed="81"/>
            <rFont val="Tahoma"/>
            <family val="2"/>
            <charset val="204"/>
          </rPr>
          <t xml:space="preserve">
</t>
        </r>
      </text>
    </comment>
    <comment ref="K63" authorId="0">
      <text>
        <r>
          <rPr>
            <b/>
            <sz val="9"/>
            <color indexed="81"/>
            <rFont val="Tahoma"/>
            <family val="2"/>
            <charset val="204"/>
          </rPr>
          <t>первый показ - ноябрь</t>
        </r>
      </text>
    </comment>
    <comment ref="D67"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L67" authorId="0">
      <text>
        <r>
          <rPr>
            <b/>
            <sz val="9"/>
            <color indexed="81"/>
            <rFont val="Tahoma"/>
            <family val="2"/>
            <charset val="204"/>
          </rPr>
          <t xml:space="preserve">у Оли было 458180,41
130,28р*количество часов охраны составит 5 110 часов: (365 дней*14 часа/день*1 чел.)
</t>
        </r>
      </text>
    </comment>
    <comment ref="V67" authorId="0">
      <text>
        <r>
          <rPr>
            <b/>
            <sz val="9"/>
            <color indexed="81"/>
            <rFont val="Tahoma"/>
            <family val="2"/>
            <charset val="204"/>
          </rPr>
          <t xml:space="preserve">внебюджет
</t>
        </r>
      </text>
    </comment>
    <comment ref="X67" authorId="0">
      <text>
        <r>
          <rPr>
            <b/>
            <sz val="9"/>
            <color indexed="81"/>
            <rFont val="Tahoma"/>
            <family val="2"/>
            <charset val="204"/>
          </rPr>
          <t xml:space="preserve">доля от общего объема услуги по 4 и 2-ке
</t>
        </r>
        <r>
          <rPr>
            <sz val="9"/>
            <color indexed="81"/>
            <rFont val="Tahoma"/>
            <family val="2"/>
            <charset val="204"/>
          </rPr>
          <t xml:space="preserve">
</t>
        </r>
      </text>
    </comment>
    <comment ref="D68"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AY68" authorId="1">
      <text>
        <r>
          <rPr>
            <sz val="9"/>
            <color indexed="81"/>
            <rFont val="Tahoma"/>
            <family val="2"/>
            <charset val="204"/>
          </rPr>
          <t>цена 150 * 12 часов * 15 дней
(с 06.02.21 добавляется еще суббота и воскресенье: пн-суб. с 8 до 20, вокр с с 9 до 17)</t>
        </r>
      </text>
    </comment>
    <comment ref="AY70" authorId="1">
      <text>
        <r>
          <rPr>
            <b/>
            <sz val="9"/>
            <color indexed="81"/>
            <rFont val="Tahoma"/>
            <family val="2"/>
            <charset val="204"/>
          </rPr>
          <t>в январе было без суб и воскр, 
с февраля 12 часов (с 8 до 20) в т.ч. в суб и воскр., с 11.01.21 будет 180 часов *6,05 руб. в час= 1089,00</t>
        </r>
        <r>
          <rPr>
            <sz val="9"/>
            <color indexed="81"/>
            <rFont val="Tahoma"/>
            <family val="2"/>
            <charset val="204"/>
          </rPr>
          <t xml:space="preserve">
было при планировании 49,18*31кол-во дней (с ООО "Страж" был такой расчет)</t>
        </r>
      </text>
    </comment>
    <comment ref="AY71" authorId="1">
      <text>
        <r>
          <rPr>
            <b/>
            <sz val="9"/>
            <color indexed="81"/>
            <rFont val="Tahoma"/>
            <family val="2"/>
            <charset val="204"/>
          </rPr>
          <t>6 чел/часов в месяц * стимость часа 724,60 (по Постановлению Адм Сургтута №9168 от 06.12.2019)= 4 347,60 в мес.</t>
        </r>
      </text>
    </comment>
    <comment ref="K75" authorId="0">
      <text>
        <r>
          <rPr>
            <sz val="9"/>
            <color indexed="81"/>
            <rFont val="Tahoma"/>
            <family val="2"/>
            <charset val="204"/>
          </rPr>
          <t>"1С: Бухгалтерия государственного учреждения"
"1С: Зарплата и Кадры бюджетного учреждения"</t>
        </r>
      </text>
    </comment>
    <comment ref="X75" authorId="1">
      <text>
        <r>
          <rPr>
            <b/>
            <sz val="9"/>
            <color indexed="81"/>
            <rFont val="Tahoma"/>
            <family val="2"/>
            <charset val="204"/>
          </rPr>
          <t>пока на 6 мес, чтобы меньше 100 000р.</t>
        </r>
      </text>
    </comment>
    <comment ref="K76" authorId="0">
      <text>
        <r>
          <rPr>
            <sz val="9"/>
            <color indexed="81"/>
            <rFont val="Tahoma"/>
            <family val="2"/>
            <charset val="204"/>
          </rPr>
          <t>"1С: Бухгалтерия государственного учреждения"
"1С: Зарплата и Кадры бюджетного учреждения"</t>
        </r>
      </text>
    </comment>
    <comment ref="X76" authorId="1">
      <text>
        <r>
          <rPr>
            <b/>
            <sz val="9"/>
            <color indexed="81"/>
            <rFont val="Tahoma"/>
            <family val="2"/>
            <charset val="204"/>
          </rPr>
          <t>пока на 6 мес, чтобы меньше 100 000р.</t>
        </r>
      </text>
    </comment>
    <comment ref="K77" authorId="0">
      <text>
        <r>
          <rPr>
            <b/>
            <sz val="9"/>
            <color indexed="81"/>
            <rFont val="Tahoma"/>
            <family val="2"/>
            <charset val="204"/>
          </rPr>
          <t>4 ключа 1 раз в год</t>
        </r>
        <r>
          <rPr>
            <sz val="9"/>
            <color indexed="81"/>
            <rFont val="Tahoma"/>
            <family val="2"/>
            <charset val="204"/>
          </rPr>
          <t xml:space="preserve">
</t>
        </r>
      </text>
    </comment>
    <comment ref="K81" authorId="0">
      <text>
        <r>
          <rPr>
            <b/>
            <sz val="9"/>
            <color indexed="81"/>
            <rFont val="Tahoma"/>
            <family val="2"/>
            <charset val="204"/>
          </rPr>
          <t>Мероприятия</t>
        </r>
      </text>
    </comment>
    <comment ref="L82" authorId="1">
      <text>
        <r>
          <rPr>
            <b/>
            <sz val="9"/>
            <color indexed="81"/>
            <rFont val="Tahoma"/>
            <family val="2"/>
            <charset val="204"/>
          </rPr>
          <t>начальная 340 187,83</t>
        </r>
      </text>
    </comment>
    <comment ref="L89" authorId="1">
      <text>
        <r>
          <rPr>
            <sz val="9"/>
            <color indexed="81"/>
            <rFont val="Tahoma"/>
            <family val="2"/>
            <charset val="204"/>
          </rPr>
          <t>было на 2021 год:
559 569,35 - всего
319 887,83 - Услуги по организации постановки спектакля  (режиссер-постановщик, художник-постановщик)
112 266,67 - Услуги по изготовлению кукол
74 054,95 - Услуги композитора
28 300,00 - Услуги по разработке рекламных материалов (ИП Овчинников)
28 059,90 - Услуги по печати на ткани по эскизу</t>
        </r>
      </text>
    </comment>
    <comment ref="K119" authorId="0">
      <text>
        <r>
          <rPr>
            <b/>
            <sz val="9"/>
            <color indexed="81"/>
            <rFont val="Tahoma"/>
            <family val="2"/>
            <charset val="204"/>
          </rPr>
          <t>Мероприятия</t>
        </r>
      </text>
    </comment>
    <comment ref="L120" authorId="1">
      <text>
        <r>
          <rPr>
            <b/>
            <sz val="9"/>
            <color indexed="81"/>
            <rFont val="Tahoma"/>
            <family val="2"/>
            <charset val="204"/>
          </rPr>
          <t xml:space="preserve">установлено 64 879,15
</t>
        </r>
        <r>
          <rPr>
            <sz val="9"/>
            <color indexed="81"/>
            <rFont val="Tahoma"/>
            <family val="2"/>
            <charset val="204"/>
          </rPr>
          <t xml:space="preserve">
</t>
        </r>
      </text>
    </comment>
    <comment ref="L164" authorId="0">
      <text>
        <r>
          <rPr>
            <b/>
            <sz val="9"/>
            <color indexed="81"/>
            <rFont val="Tahoma"/>
            <family val="2"/>
            <charset val="204"/>
          </rPr>
          <t xml:space="preserve">у Оли было 114 103,74
</t>
        </r>
      </text>
    </comment>
    <comment ref="Q164" authorId="0">
      <text>
        <r>
          <rPr>
            <b/>
            <sz val="9"/>
            <color indexed="81"/>
            <rFont val="Tahoma"/>
            <family val="2"/>
            <charset val="204"/>
          </rPr>
          <t>Оли 131 233,54</t>
        </r>
      </text>
    </comment>
    <comment ref="S164" authorId="0">
      <text>
        <r>
          <rPr>
            <b/>
            <sz val="9"/>
            <color indexed="81"/>
            <rFont val="Tahoma"/>
            <family val="2"/>
            <charset val="204"/>
          </rPr>
          <t>Оли 122 383,74</t>
        </r>
      </text>
    </comment>
    <comment ref="W165" authorId="1">
      <text>
        <r>
          <rPr>
            <b/>
            <sz val="9"/>
            <color indexed="81"/>
            <rFont val="Tahoma"/>
            <family val="2"/>
            <charset val="204"/>
          </rPr>
          <t>на 31 640,00 дог 08/21 от 28.01.2021
на 12 962,50 дог от марта</t>
        </r>
      </text>
    </comment>
    <comment ref="BE166" authorId="1">
      <text>
        <r>
          <rPr>
            <b/>
            <sz val="9"/>
            <color indexed="81"/>
            <rFont val="Tahoma"/>
            <family val="2"/>
            <charset val="204"/>
          </rPr>
          <t>закупка через Информационную систему</t>
        </r>
      </text>
    </comment>
    <comment ref="W167" authorId="1">
      <text>
        <r>
          <rPr>
            <b/>
            <sz val="9"/>
            <color indexed="81"/>
            <rFont val="Tahoma"/>
            <family val="2"/>
            <charset val="204"/>
          </rPr>
          <t>на 31 640,00 дог 08/21 от 28.01.2021
на 12 962,50 дог от марта</t>
        </r>
      </text>
    </comment>
    <comment ref="L169" authorId="0">
      <text>
        <r>
          <rPr>
            <b/>
            <sz val="9"/>
            <color indexed="81"/>
            <rFont val="Tahoma"/>
            <family val="2"/>
            <charset val="204"/>
          </rPr>
          <t>земельный налог за 2020 год (платится 1 раз в год)</t>
        </r>
      </text>
    </comment>
    <comment ref="L170" authorId="0">
      <text>
        <r>
          <rPr>
            <b/>
            <sz val="9"/>
            <color indexed="81"/>
            <rFont val="Tahoma"/>
            <family val="2"/>
            <charset val="204"/>
          </rPr>
          <t xml:space="preserve">0,15% с ФОТ, отчисляет отдельно работодатель в 4 квартале, помимо этого еще удерживается с з/н сотрудника
</t>
        </r>
      </text>
    </comment>
    <comment ref="L171" authorId="0">
      <text>
        <r>
          <rPr>
            <b/>
            <sz val="9"/>
            <color indexed="81"/>
            <rFont val="Tahoma"/>
            <family val="2"/>
            <charset val="204"/>
          </rPr>
          <t xml:space="preserve">было у Оли 9 740,39
</t>
        </r>
      </text>
    </comment>
    <comment ref="Q171" authorId="0">
      <text>
        <r>
          <rPr>
            <b/>
            <sz val="9"/>
            <color indexed="81"/>
            <rFont val="Tahoma"/>
            <family val="2"/>
            <charset val="204"/>
          </rPr>
          <t xml:space="preserve">было у Оли 9 740,39
</t>
        </r>
      </text>
    </comment>
    <comment ref="S171" authorId="0">
      <text>
        <r>
          <rPr>
            <b/>
            <sz val="9"/>
            <color indexed="81"/>
            <rFont val="Tahoma"/>
            <family val="2"/>
            <charset val="204"/>
          </rPr>
          <t xml:space="preserve">было у Оли 9 740,39
</t>
        </r>
      </text>
    </comment>
    <comment ref="B172" authorId="1">
      <text>
        <r>
          <rPr>
            <b/>
            <sz val="9"/>
            <color indexed="81"/>
            <rFont val="Tahoma"/>
            <family val="2"/>
            <charset val="204"/>
          </rPr>
          <t>должно быть (увеличиваем через НРО?)
с учетом доп средств 119 578,95</t>
        </r>
      </text>
    </comment>
    <comment ref="L173" authorId="0">
      <text>
        <r>
          <rPr>
            <b/>
            <sz val="9"/>
            <color indexed="81"/>
            <rFont val="Tahoma"/>
            <family val="2"/>
            <charset val="204"/>
          </rPr>
          <t xml:space="preserve">было у Оли 9 740,39
</t>
        </r>
      </text>
    </comment>
    <comment ref="Q173" authorId="0">
      <text>
        <r>
          <rPr>
            <b/>
            <sz val="9"/>
            <color indexed="81"/>
            <rFont val="Tahoma"/>
            <family val="2"/>
            <charset val="204"/>
          </rPr>
          <t xml:space="preserve">было у Оли 9 740,39
</t>
        </r>
      </text>
    </comment>
    <comment ref="S173" authorId="0">
      <text>
        <r>
          <rPr>
            <b/>
            <sz val="9"/>
            <color indexed="81"/>
            <rFont val="Tahoma"/>
            <family val="2"/>
            <charset val="204"/>
          </rPr>
          <t xml:space="preserve">было у Оли 9 740,39
</t>
        </r>
      </text>
    </comment>
    <comment ref="B174" authorId="1">
      <text>
        <r>
          <rPr>
            <b/>
            <sz val="9"/>
            <color indexed="81"/>
            <rFont val="Tahoma"/>
            <family val="2"/>
            <charset val="204"/>
          </rPr>
          <t>должно быть 
с учетом доп средств 119 578,95</t>
        </r>
      </text>
    </comment>
    <comment ref="L174" authorId="0">
      <text>
        <r>
          <rPr>
            <b/>
            <sz val="9"/>
            <color indexed="81"/>
            <rFont val="Tahoma"/>
            <family val="2"/>
            <charset val="204"/>
          </rPr>
          <t xml:space="preserve">Сообщить Эсли, чтобы откорректировал 10 рублей, у них 715 900 округляет
</t>
        </r>
      </text>
    </comment>
    <comment ref="Q174" authorId="0">
      <text>
        <r>
          <rPr>
            <b/>
            <sz val="9"/>
            <color indexed="81"/>
            <rFont val="Tahoma"/>
            <family val="2"/>
            <charset val="204"/>
          </rPr>
          <t xml:space="preserve">Сообщить Эсли, чтобы откорректировал 10 рублей, у них 715 900 округляет
</t>
        </r>
      </text>
    </comment>
    <comment ref="S174" authorId="0">
      <text>
        <r>
          <rPr>
            <b/>
            <sz val="9"/>
            <color indexed="81"/>
            <rFont val="Tahoma"/>
            <family val="2"/>
            <charset val="204"/>
          </rPr>
          <t xml:space="preserve">Сообщить Эсли, чтобы откорректировал 10 рублей, у них 715 900 округляет
</t>
        </r>
      </text>
    </comment>
    <comment ref="L175" authorId="0">
      <text>
        <r>
          <rPr>
            <b/>
            <sz val="9"/>
            <color indexed="81"/>
            <rFont val="Tahoma"/>
            <family val="2"/>
            <charset val="204"/>
          </rPr>
          <t xml:space="preserve">было у Оли 9 740,39
</t>
        </r>
      </text>
    </comment>
    <comment ref="Q175" authorId="0">
      <text>
        <r>
          <rPr>
            <b/>
            <sz val="9"/>
            <color indexed="81"/>
            <rFont val="Tahoma"/>
            <family val="2"/>
            <charset val="204"/>
          </rPr>
          <t xml:space="preserve">было у Оли 9 740,39
</t>
        </r>
      </text>
    </comment>
    <comment ref="S175" authorId="0">
      <text>
        <r>
          <rPr>
            <b/>
            <sz val="9"/>
            <color indexed="81"/>
            <rFont val="Tahoma"/>
            <family val="2"/>
            <charset val="204"/>
          </rPr>
          <t xml:space="preserve">было у Оли 9 740,39
</t>
        </r>
      </text>
    </comment>
    <comment ref="B176" authorId="1">
      <text>
        <r>
          <rPr>
            <b/>
            <sz val="9"/>
            <color indexed="81"/>
            <rFont val="Tahoma"/>
            <family val="2"/>
            <charset val="204"/>
          </rPr>
          <t>должно быть 
с учетом доп средств 119 578,95</t>
        </r>
      </text>
    </comment>
    <comment ref="L183" authorId="0">
      <text>
        <r>
          <rPr>
            <b/>
            <sz val="9"/>
            <color indexed="81"/>
            <rFont val="Tahoma"/>
            <family val="2"/>
            <charset val="204"/>
          </rPr>
          <t>осталось обучить 25 чел</t>
        </r>
      </text>
    </comment>
    <comment ref="L197" authorId="0">
      <text>
        <r>
          <rPr>
            <b/>
            <sz val="9"/>
            <color indexed="81"/>
            <rFont val="Tahoma"/>
            <family val="2"/>
            <charset val="204"/>
          </rPr>
          <t xml:space="preserve">Компенсационную выплату работникам, находящимся в отпуске по уходу за ребенком до достижения им возраста 3-х лет:
- Лалаян Юлия Маратовна - 85р * 12 раз
</t>
        </r>
      </text>
    </comment>
    <comment ref="Q197" authorId="0">
      <text>
        <r>
          <rPr>
            <b/>
            <sz val="9"/>
            <color indexed="81"/>
            <rFont val="Tahoma"/>
            <family val="2"/>
            <charset val="204"/>
          </rPr>
          <t>Компенсационную выплату работникам, находящимся в отпуске по уходу за ребенком до достижения им возраста 3-х лет:
- Лалаян Юлия Маратовна - 85р * 5 раза</t>
        </r>
      </text>
    </comment>
    <comment ref="K200" authorId="0">
      <text>
        <r>
          <rPr>
            <b/>
            <sz val="9"/>
            <color indexed="81"/>
            <rFont val="Tahoma"/>
            <family val="2"/>
            <charset val="204"/>
          </rPr>
          <t>здесь план корректирую по факту Аниных авансовых за покупку конвертов</t>
        </r>
        <r>
          <rPr>
            <sz val="9"/>
            <color indexed="81"/>
            <rFont val="Tahoma"/>
            <family val="2"/>
            <charset val="204"/>
          </rPr>
          <t xml:space="preserve">
</t>
        </r>
      </text>
    </comment>
    <comment ref="BB200" authorId="1">
      <text>
        <r>
          <rPr>
            <b/>
            <sz val="9"/>
            <color indexed="81"/>
            <rFont val="Tahoma"/>
            <family val="2"/>
            <charset val="204"/>
          </rPr>
          <t>Тереньева А.А. авансовый №10 от 03.03.2021</t>
        </r>
      </text>
    </comment>
    <comment ref="BC200" authorId="1">
      <text>
        <r>
          <rPr>
            <b/>
            <sz val="9"/>
            <color indexed="81"/>
            <rFont val="Tahoma"/>
            <family val="2"/>
            <charset val="204"/>
          </rPr>
          <t>два авансовых на одинаковую сумму 261,50р.
1) авансовый №26 от 23.04.21
2) авансовый от 26.04.21</t>
        </r>
      </text>
    </comment>
    <comment ref="BE200" authorId="1">
      <text>
        <r>
          <rPr>
            <b/>
            <sz val="9"/>
            <color indexed="81"/>
            <rFont val="Tahoma"/>
            <family val="2"/>
            <charset val="204"/>
          </rPr>
          <t>276,50р. - авансовый №32 от 20.05.2021 Гаврилова С.В.
907,50р. - авансовый №35 от 26.05.2021 Гаврилова С.В.</t>
        </r>
      </text>
    </comment>
    <comment ref="BG200" authorId="1">
      <text>
        <r>
          <rPr>
            <b/>
            <sz val="9"/>
            <color indexed="81"/>
            <rFont val="Tahoma"/>
            <family val="2"/>
            <charset val="204"/>
          </rPr>
          <t xml:space="preserve">авансовый №37 от 09.06.2021
</t>
        </r>
      </text>
    </comment>
    <comment ref="K202" authorId="1">
      <text>
        <r>
          <rPr>
            <sz val="10"/>
            <color indexed="81"/>
            <rFont val="Tahoma"/>
            <family val="2"/>
            <charset val="204"/>
          </rPr>
          <t>защищенный канал между Энгельса 11 и проезд Советов 4 (ЦООД)</t>
        </r>
      </text>
    </comment>
    <comment ref="L207" authorId="0">
      <text>
        <r>
          <rPr>
            <b/>
            <sz val="9"/>
            <color indexed="81"/>
            <rFont val="Tahoma"/>
            <family val="2"/>
            <charset val="204"/>
          </rPr>
          <t xml:space="preserve">у Оли 1 199 595,54
</t>
        </r>
      </text>
    </comment>
    <comment ref="Q207" authorId="0">
      <text>
        <r>
          <rPr>
            <b/>
            <sz val="9"/>
            <color indexed="81"/>
            <rFont val="Tahoma"/>
            <family val="2"/>
            <charset val="204"/>
          </rPr>
          <t xml:space="preserve">у Оли 1 199 595,54
</t>
        </r>
      </text>
    </comment>
    <comment ref="S207" authorId="0">
      <text>
        <r>
          <rPr>
            <b/>
            <sz val="9"/>
            <color indexed="81"/>
            <rFont val="Tahoma"/>
            <family val="2"/>
            <charset val="204"/>
          </rPr>
          <t xml:space="preserve">у Оли 1 199 595,54
</t>
        </r>
      </text>
    </comment>
    <comment ref="L211" authorId="0">
      <text>
        <r>
          <rPr>
            <b/>
            <sz val="9"/>
            <color indexed="81"/>
            <rFont val="Tahoma"/>
            <family val="2"/>
            <charset val="204"/>
          </rPr>
          <t>годовая сумма 
12 428 476,80 по договору аренды, уже с учетом ТО инженерных систем</t>
        </r>
      </text>
    </comment>
    <comment ref="D212"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213"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W213" authorId="1">
      <text>
        <r>
          <rPr>
            <b/>
            <sz val="9"/>
            <color indexed="81"/>
            <rFont val="Tahoma"/>
            <family val="2"/>
            <charset val="204"/>
          </rPr>
          <t>договор на 35000</t>
        </r>
      </text>
    </comment>
    <comment ref="D214"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K214" authorId="0">
      <text>
        <r>
          <rPr>
            <b/>
            <sz val="9"/>
            <color indexed="81"/>
            <rFont val="Tahoma"/>
            <family val="2"/>
            <charset val="204"/>
          </rPr>
          <t>первый показ - ноябрь</t>
        </r>
      </text>
    </comment>
    <comment ref="BC214" authorId="1">
      <text>
        <r>
          <rPr>
            <b/>
            <sz val="9"/>
            <color indexed="81"/>
            <rFont val="Tahoma"/>
            <family val="2"/>
            <charset val="204"/>
          </rPr>
          <t>ткань по 140р.*18м.кв=2520
140р.*12м.кв.=1680</t>
        </r>
      </text>
    </comment>
    <comment ref="D215"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BA215" authorId="1">
      <text>
        <r>
          <rPr>
            <b/>
            <sz val="9"/>
            <color indexed="81"/>
            <rFont val="Tahoma"/>
            <family val="2"/>
            <charset val="204"/>
          </rPr>
          <t>2 спектакля "МойДоДыр" и "Алладин и волшебный светильник"</t>
        </r>
      </text>
    </comment>
    <comment ref="BC215" authorId="1">
      <text>
        <r>
          <rPr>
            <b/>
            <sz val="9"/>
            <color indexed="81"/>
            <rFont val="Tahoma"/>
            <family val="2"/>
            <charset val="204"/>
          </rPr>
          <t>10/21 от 29.03.2021 Спектакль "Сказ о Емеле, царе и щучьем волшебстве"</t>
        </r>
      </text>
    </comment>
    <comment ref="D216"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217"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218"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D219"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D222"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D223"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BA223" authorId="1">
      <text>
        <r>
          <rPr>
            <b/>
            <sz val="9"/>
            <color indexed="81"/>
            <rFont val="Tahoma"/>
            <family val="2"/>
            <charset val="204"/>
          </rPr>
          <t xml:space="preserve">доп за февраль на 450 руб. это 3 часа по 150р.
</t>
        </r>
      </text>
    </comment>
    <comment ref="AY227" authorId="1">
      <text>
        <r>
          <rPr>
            <b/>
            <sz val="9"/>
            <color indexed="81"/>
            <rFont val="Tahoma"/>
            <family val="2"/>
            <charset val="204"/>
          </rPr>
          <t>по счету на оплату  продления домена 1009р. и хостинга 1400,00р. teatr-petrushka.ru на 1 год, по счету №56 от 10.02.2021</t>
        </r>
        <r>
          <rPr>
            <sz val="9"/>
            <color indexed="81"/>
            <rFont val="Tahoma"/>
            <family val="2"/>
            <charset val="204"/>
          </rPr>
          <t xml:space="preserve">
</t>
        </r>
      </text>
    </comment>
    <comment ref="BC227" authorId="1">
      <text>
        <r>
          <rPr>
            <b/>
            <sz val="9"/>
            <color indexed="81"/>
            <rFont val="Tahoma"/>
            <family val="2"/>
            <charset val="204"/>
          </rPr>
          <t xml:space="preserve">дог на модернизацию сайта на 15000
</t>
        </r>
      </text>
    </comment>
    <comment ref="BG227" authorId="1">
      <text>
        <r>
          <rPr>
            <b/>
            <sz val="9"/>
            <color indexed="81"/>
            <rFont val="Tahoma"/>
            <family val="2"/>
            <charset val="204"/>
          </rPr>
          <t>установка каптчи на форму обратной связи на официальном сайте</t>
        </r>
      </text>
    </comment>
    <comment ref="K228" authorId="0">
      <text>
        <r>
          <rPr>
            <b/>
            <sz val="9"/>
            <color indexed="81"/>
            <rFont val="Tahoma"/>
            <family val="2"/>
            <charset val="204"/>
          </rPr>
          <t>приобретение доступа для 2 рабочих мест к зарплате 1 бухгалтеру и 1 кадрам. Приобретение права пользования 1С:Предприятие 8 ПРОФ. Клиентская лицензия на 1 рабочее место - 2 шт.</t>
        </r>
      </text>
    </comment>
    <comment ref="K230" authorId="0">
      <text>
        <r>
          <rPr>
            <b/>
            <sz val="9"/>
            <color indexed="81"/>
            <rFont val="Tahoma"/>
            <family val="2"/>
            <charset val="204"/>
          </rPr>
          <t>4 ключа 1 раз в год</t>
        </r>
        <r>
          <rPr>
            <sz val="9"/>
            <color indexed="81"/>
            <rFont val="Tahoma"/>
            <family val="2"/>
            <charset val="204"/>
          </rPr>
          <t xml:space="preserve">
</t>
        </r>
      </text>
    </comment>
    <comment ref="L232" authorId="1">
      <text>
        <r>
          <rPr>
            <b/>
            <sz val="9"/>
            <color indexed="81"/>
            <rFont val="Tahoma"/>
            <family val="2"/>
            <charset val="204"/>
          </rPr>
          <t>было =1303567,18-100000+69426,41-39600-12600-2500-2700-10560-5346-6175-9130-4290-18244</t>
        </r>
      </text>
    </comment>
    <comment ref="BC232" authorId="1">
      <text>
        <r>
          <rPr>
            <b/>
            <sz val="9"/>
            <color indexed="81"/>
            <rFont val="Tahoma"/>
            <family val="2"/>
            <charset val="204"/>
          </rPr>
          <t>плюс компенсация бумаги и мыла</t>
        </r>
      </text>
    </comment>
    <comment ref="BE232" authorId="1">
      <text>
        <r>
          <rPr>
            <sz val="9"/>
            <color indexed="81"/>
            <rFont val="Tahoma"/>
            <family val="2"/>
            <charset val="204"/>
          </rPr>
          <t>15/21 от 01.04.21 на 66275,80 (01.04.2021-31.05.2021)</t>
        </r>
      </text>
    </comment>
    <comment ref="BG232" authorId="1">
      <text>
        <r>
          <rPr>
            <b/>
            <sz val="9"/>
            <color indexed="81"/>
            <rFont val="Tahoma"/>
            <family val="2"/>
            <charset val="204"/>
          </rPr>
          <t>29/21 от 11.05.21 на 96 933,01 (01.05.2021-30.06.2021)</t>
        </r>
      </text>
    </comment>
    <comment ref="BI232" authorId="1">
      <text>
        <r>
          <rPr>
            <b/>
            <sz val="9"/>
            <color indexed="81"/>
            <rFont val="Tahoma"/>
            <family val="2"/>
            <charset val="204"/>
          </rPr>
          <t>36/21 от 08.06.2021 на 102 879,91 (08.06.2021-31.07.2021)</t>
        </r>
      </text>
    </comment>
    <comment ref="L234" authorId="1">
      <text>
        <r>
          <rPr>
            <b/>
            <sz val="9"/>
            <color indexed="81"/>
            <rFont val="Tahoma"/>
            <family val="2"/>
            <charset val="204"/>
          </rPr>
          <t>Указана максимальная сумма 20% (сумма может уменьшиться в зависимости от фактического кол-ва проданных билетов</t>
        </r>
      </text>
    </comment>
    <comment ref="BG234" authorId="1">
      <text>
        <r>
          <rPr>
            <b/>
            <sz val="9"/>
            <color indexed="81"/>
            <rFont val="Tahoma"/>
            <family val="2"/>
            <charset val="204"/>
          </rPr>
          <t>Указана максимальная сумма 20% (сумма может уменьшиться в зависимости от фактического кол-ва проданных билетов</t>
        </r>
      </text>
    </comment>
    <comment ref="BA238" authorId="1">
      <text>
        <r>
          <rPr>
            <b/>
            <sz val="9"/>
            <color indexed="81"/>
            <rFont val="Tahoma"/>
            <family val="2"/>
            <charset val="204"/>
          </rPr>
          <t>мероприятие 26.02.21</t>
        </r>
      </text>
    </comment>
    <comment ref="AY239" authorId="1">
      <text>
        <r>
          <rPr>
            <b/>
            <sz val="9"/>
            <color indexed="81"/>
            <rFont val="Tahoma"/>
            <family val="2"/>
            <charset val="204"/>
          </rPr>
          <t>мероприятие 18.02.21</t>
        </r>
      </text>
    </comment>
    <comment ref="AY240" authorId="1">
      <text>
        <r>
          <rPr>
            <b/>
            <sz val="9"/>
            <color indexed="81"/>
            <rFont val="Tahoma"/>
            <family val="2"/>
            <charset val="204"/>
          </rPr>
          <t>мероприятие 26.02.21</t>
        </r>
      </text>
    </comment>
    <comment ref="BC240" authorId="1">
      <text>
        <r>
          <rPr>
            <b/>
            <sz val="9"/>
            <color indexed="81"/>
            <rFont val="Tahoma"/>
            <family val="2"/>
            <charset val="204"/>
          </rPr>
          <t>на март нельзя, т.к. услуга по нахождению на стендах рамещенной рекламы действует до 31.03.21</t>
        </r>
      </text>
    </comment>
    <comment ref="D243"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BA243" authorId="1">
      <text>
        <r>
          <rPr>
            <b/>
            <sz val="9"/>
            <color indexed="81"/>
            <rFont val="Tahoma"/>
            <family val="2"/>
            <charset val="204"/>
          </rPr>
          <t>Настройка 3 касс, онлайн коннект</t>
        </r>
      </text>
    </comment>
    <comment ref="BC244" authorId="1">
      <text>
        <r>
          <rPr>
            <b/>
            <sz val="9"/>
            <color indexed="81"/>
            <rFont val="Tahoma"/>
            <family val="2"/>
            <charset val="204"/>
          </rPr>
          <t xml:space="preserve">    расчетный листок №1 за 1 кв.2021 - 4106,00руб
    расчетный листок №/2 за 1 кв.2021 - 349,00руб.</t>
        </r>
      </text>
    </comment>
    <comment ref="L246" authorId="0">
      <text>
        <r>
          <rPr>
            <b/>
            <sz val="9"/>
            <color indexed="81"/>
            <rFont val="Tahoma"/>
            <family val="2"/>
            <charset val="204"/>
          </rPr>
          <t>экологический налог за 1 квартал 2020 год (платится 1 раз в год до 10 марта 2021)</t>
        </r>
      </text>
    </comment>
    <comment ref="BM248" authorId="1">
      <text>
        <r>
          <rPr>
            <b/>
            <sz val="9"/>
            <color indexed="81"/>
            <rFont val="Tahoma"/>
            <family val="2"/>
            <charset val="204"/>
          </rPr>
          <t>5 000-до 15.09.21
10 000-до 30.09.21</t>
        </r>
      </text>
    </comment>
    <comment ref="BO248" authorId="1">
      <text>
        <r>
          <rPr>
            <b/>
            <sz val="9"/>
            <color indexed="81"/>
            <rFont val="Tahoma"/>
            <family val="2"/>
            <charset val="204"/>
          </rPr>
          <t>10 000-до 15.10.21
100 000-до 29.10.21</t>
        </r>
      </text>
    </comment>
    <comment ref="BQ248" authorId="1">
      <text>
        <r>
          <rPr>
            <b/>
            <sz val="9"/>
            <color indexed="81"/>
            <rFont val="Tahoma"/>
            <family val="2"/>
            <charset val="204"/>
          </rPr>
          <t>100 000-до 15.11.21
100 000-до 30.11.21</t>
        </r>
      </text>
    </comment>
    <comment ref="BS248" authorId="1">
      <text>
        <r>
          <rPr>
            <b/>
            <sz val="9"/>
            <color indexed="81"/>
            <rFont val="Tahoma"/>
            <family val="2"/>
            <charset val="204"/>
          </rPr>
          <t>100 000-до 10.12.21
100 000-до 17.12.21
50 500,68 -до 22.12.21</t>
        </r>
      </text>
    </comment>
    <comment ref="L250" authorId="0">
      <text>
        <r>
          <rPr>
            <b/>
            <sz val="9"/>
            <color indexed="81"/>
            <rFont val="Tahoma"/>
            <family val="2"/>
            <charset val="204"/>
          </rPr>
          <t xml:space="preserve">0,15% на зп
</t>
        </r>
      </text>
    </comment>
    <comment ref="K251" authorId="0">
      <text>
        <r>
          <rPr>
            <b/>
            <sz val="9"/>
            <color indexed="81"/>
            <rFont val="Tahoma"/>
            <family val="2"/>
            <charset val="204"/>
          </rPr>
          <t>для Назарова</t>
        </r>
      </text>
    </comment>
    <comment ref="L258" authorId="2">
      <text>
        <r>
          <rPr>
            <b/>
            <sz val="9"/>
            <color indexed="81"/>
            <rFont val="Tahoma"/>
            <family val="2"/>
            <charset val="204"/>
          </rPr>
          <t>Александр:</t>
        </r>
        <r>
          <rPr>
            <sz val="9"/>
            <color indexed="81"/>
            <rFont val="Tahoma"/>
            <family val="2"/>
            <charset val="204"/>
          </rPr>
          <t xml:space="preserve">
</t>
        </r>
      </text>
    </comment>
    <comment ref="L259" authorId="2">
      <text>
        <r>
          <rPr>
            <sz val="9"/>
            <color indexed="81"/>
            <rFont val="Tahoma"/>
            <family val="2"/>
            <charset val="204"/>
          </rPr>
          <t>дог будет на 11 000р. По факту нашил воду по 200р. Банка итого купим 55 банок по договору. Изначальный расчет был 38 шт. по 325 руб.</t>
        </r>
        <r>
          <rPr>
            <b/>
            <sz val="9"/>
            <color indexed="81"/>
            <rFont val="Tahoma"/>
            <family val="2"/>
            <charset val="204"/>
          </rPr>
          <t xml:space="preserve">
</t>
        </r>
      </text>
    </comment>
    <comment ref="O259" authorId="2">
      <text>
        <r>
          <rPr>
            <b/>
            <sz val="9"/>
            <color indexed="81"/>
            <rFont val="Tahoma"/>
            <family val="2"/>
            <charset val="204"/>
          </rPr>
          <t xml:space="preserve">55 шт. по 200 руб.
</t>
        </r>
      </text>
    </comment>
    <comment ref="L261" authorId="2">
      <text>
        <r>
          <rPr>
            <b/>
            <sz val="9"/>
            <color indexed="81"/>
            <rFont val="Tahoma"/>
            <family val="2"/>
            <charset val="204"/>
          </rPr>
          <t>Александр:</t>
        </r>
        <r>
          <rPr>
            <sz val="9"/>
            <color indexed="81"/>
            <rFont val="Tahoma"/>
            <family val="2"/>
            <charset val="204"/>
          </rPr>
          <t xml:space="preserve">
</t>
        </r>
      </text>
    </comment>
    <comment ref="L262" authorId="2">
      <text>
        <r>
          <rPr>
            <sz val="9"/>
            <color indexed="81"/>
            <rFont val="Tahoma"/>
            <family val="2"/>
            <charset val="204"/>
          </rPr>
          <t>дог будет на 11 000р. По факту нашил воду по 200р. Банка итого купим 55 банок по договору. Изначальный расчет был 38 шт. по 325 руб.</t>
        </r>
        <r>
          <rPr>
            <b/>
            <sz val="9"/>
            <color indexed="81"/>
            <rFont val="Tahoma"/>
            <family val="2"/>
            <charset val="204"/>
          </rPr>
          <t xml:space="preserve">
</t>
        </r>
      </text>
    </comment>
    <comment ref="O262" authorId="2">
      <text>
        <r>
          <rPr>
            <b/>
            <sz val="9"/>
            <color indexed="81"/>
            <rFont val="Tahoma"/>
            <family val="2"/>
            <charset val="204"/>
          </rPr>
          <t xml:space="preserve">55 шт. по 200 руб.
</t>
        </r>
      </text>
    </comment>
    <comment ref="W262" authorId="1">
      <text>
        <r>
          <rPr>
            <b/>
            <sz val="9"/>
            <color indexed="81"/>
            <rFont val="Tahoma"/>
            <family val="2"/>
            <charset val="204"/>
          </rPr>
          <t>55 бут. По 200 р. =11000</t>
        </r>
      </text>
    </comment>
    <comment ref="BC262" authorId="1">
      <text>
        <r>
          <rPr>
            <b/>
            <sz val="9"/>
            <color indexed="81"/>
            <rFont val="Tahoma"/>
            <family val="2"/>
            <charset val="204"/>
          </rPr>
          <t>по счету №1508 от 08.04.2021</t>
        </r>
      </text>
    </comment>
    <comment ref="O263" authorId="2">
      <text>
        <r>
          <rPr>
            <b/>
            <sz val="9"/>
            <color indexed="81"/>
            <rFont val="Tahoma"/>
            <family val="2"/>
            <charset val="204"/>
          </rPr>
          <t xml:space="preserve">38 шт. по 325 руб.
</t>
        </r>
      </text>
    </comment>
    <comment ref="K265" authorId="0">
      <text>
        <r>
          <rPr>
            <b/>
            <sz val="9"/>
            <color indexed="81"/>
            <rFont val="Tahoma"/>
            <family val="2"/>
            <charset val="204"/>
          </rPr>
          <t>для Назарова</t>
        </r>
      </text>
    </comment>
    <comment ref="K266" authorId="0">
      <text>
        <r>
          <rPr>
            <b/>
            <sz val="9"/>
            <color indexed="81"/>
            <rFont val="Tahoma"/>
            <family val="2"/>
            <charset val="204"/>
          </rPr>
          <t>3 шт</t>
        </r>
      </text>
    </comment>
    <comment ref="K267" authorId="0">
      <text>
        <r>
          <rPr>
            <b/>
            <sz val="9"/>
            <color indexed="81"/>
            <rFont val="Tahoma"/>
            <family val="2"/>
            <charset val="204"/>
          </rPr>
          <t>5 шт</t>
        </r>
        <r>
          <rPr>
            <sz val="9"/>
            <color indexed="81"/>
            <rFont val="Tahoma"/>
            <family val="2"/>
            <charset val="204"/>
          </rPr>
          <t xml:space="preserve">
</t>
        </r>
      </text>
    </comment>
    <comment ref="K268" authorId="0">
      <text>
        <r>
          <rPr>
            <b/>
            <sz val="9"/>
            <color indexed="81"/>
            <rFont val="Tahoma"/>
            <family val="2"/>
            <charset val="204"/>
          </rPr>
          <t>5 шт</t>
        </r>
      </text>
    </comment>
    <comment ref="L276" authorId="2">
      <text>
        <r>
          <rPr>
            <b/>
            <sz val="9"/>
            <color indexed="81"/>
            <rFont val="Tahoma"/>
            <family val="2"/>
            <charset val="204"/>
          </rPr>
          <t xml:space="preserve">20 000 не прибавлять они уже сидят внутри 100 67,29
</t>
        </r>
      </text>
    </comment>
    <comment ref="V278" authorId="1">
      <text>
        <r>
          <rPr>
            <b/>
            <sz val="9"/>
            <color indexed="81"/>
            <rFont val="Tahoma"/>
            <family val="2"/>
            <charset val="204"/>
          </rPr>
          <t>Работает без печати</t>
        </r>
      </text>
    </comment>
    <comment ref="V279" authorId="1">
      <text>
        <r>
          <rPr>
            <b/>
            <sz val="9"/>
            <color indexed="81"/>
            <rFont val="Tahoma"/>
            <family val="2"/>
            <charset val="204"/>
          </rPr>
          <t>Работает без печати</t>
        </r>
      </text>
    </comment>
    <comment ref="V280" authorId="1">
      <text>
        <r>
          <rPr>
            <b/>
            <sz val="9"/>
            <color indexed="81"/>
            <rFont val="Tahoma"/>
            <family val="2"/>
            <charset val="204"/>
          </rPr>
          <t>Работает без печати</t>
        </r>
      </text>
    </comment>
    <comment ref="K283" authorId="0">
      <text>
        <r>
          <rPr>
            <b/>
            <sz val="9"/>
            <color indexed="81"/>
            <rFont val="Tahoma"/>
            <family val="2"/>
            <charset val="204"/>
          </rPr>
          <t>для Назарова</t>
        </r>
      </text>
    </comment>
    <comment ref="K286" authorId="1">
      <text>
        <r>
          <rPr>
            <b/>
            <sz val="9"/>
            <color indexed="81"/>
            <rFont val="Tahoma"/>
            <family val="2"/>
            <charset val="204"/>
          </rPr>
          <t xml:space="preserve">для ведущего монтажера
</t>
        </r>
      </text>
    </comment>
    <comment ref="K287" authorId="1">
      <text>
        <r>
          <rPr>
            <b/>
            <sz val="9"/>
            <color indexed="81"/>
            <rFont val="Tahoma"/>
            <family val="2"/>
            <charset val="204"/>
          </rPr>
          <t xml:space="preserve">для ведущего монтажера
</t>
        </r>
      </text>
    </comment>
    <comment ref="W290" authorId="1">
      <text>
        <r>
          <rPr>
            <b/>
            <sz val="9"/>
            <color indexed="81"/>
            <rFont val="Tahoma"/>
            <family val="2"/>
            <charset val="204"/>
          </rPr>
          <t xml:space="preserve">в марте на 2000
</t>
        </r>
        <r>
          <rPr>
            <sz val="9"/>
            <color indexed="81"/>
            <rFont val="Tahoma"/>
            <family val="2"/>
            <charset val="204"/>
          </rPr>
          <t xml:space="preserve">
</t>
        </r>
      </text>
    </comment>
    <comment ref="W291" authorId="1">
      <text>
        <r>
          <rPr>
            <b/>
            <sz val="9"/>
            <color indexed="81"/>
            <rFont val="Tahoma"/>
            <family val="2"/>
            <charset val="204"/>
          </rPr>
          <t xml:space="preserve">в марте на 2000
</t>
        </r>
        <r>
          <rPr>
            <sz val="9"/>
            <color indexed="81"/>
            <rFont val="Tahoma"/>
            <family val="2"/>
            <charset val="204"/>
          </rPr>
          <t xml:space="preserve">
</t>
        </r>
      </text>
    </comment>
    <comment ref="L292" authorId="1">
      <text>
        <r>
          <rPr>
            <b/>
            <sz val="9"/>
            <color indexed="81"/>
            <rFont val="Tahoma"/>
            <family val="2"/>
            <charset val="204"/>
          </rPr>
          <t xml:space="preserve">сюда перенес деньгивыделенные на аптечку 1000
</t>
        </r>
      </text>
    </comment>
    <comment ref="BC294" authorId="1">
      <text>
        <r>
          <rPr>
            <b/>
            <sz val="9"/>
            <color indexed="81"/>
            <rFont val="Tahoma"/>
            <family val="2"/>
            <charset val="204"/>
          </rPr>
          <t>требуется 450 штук в год, закупили до августа 150 шт.</t>
        </r>
      </text>
    </comment>
    <comment ref="BC295" authorId="1">
      <text>
        <r>
          <rPr>
            <b/>
            <sz val="9"/>
            <color indexed="81"/>
            <rFont val="Tahoma"/>
            <family val="2"/>
            <charset val="204"/>
          </rPr>
          <t>учитываем на 346, т.к. быстро срываются грани и становятся непригодными для дальнейшего использовния</t>
        </r>
      </text>
    </comment>
    <comment ref="K297" authorId="1">
      <text>
        <r>
          <rPr>
            <b/>
            <sz val="9"/>
            <color indexed="81"/>
            <rFont val="Tahoma"/>
            <family val="2"/>
            <charset val="204"/>
          </rPr>
          <t>Необходимы для проведения игровой программы в рамках текущего репертуара к 1 июня день защиты детей</t>
        </r>
      </text>
    </comment>
    <comment ref="K300" authorId="1">
      <text>
        <r>
          <rPr>
            <sz val="9"/>
            <color indexed="81"/>
            <rFont val="Tahoma"/>
            <family val="2"/>
            <charset val="204"/>
          </rPr>
          <t>здесь можем только Спецодеждудля сотрудников купить, мягкие игрушки для подарков, но никакой мягкий инвентарь в рамках мероприятий купить не можем</t>
        </r>
      </text>
    </comment>
    <comment ref="L301" authorId="2">
      <text>
        <r>
          <rPr>
            <b/>
            <sz val="9"/>
            <color indexed="81"/>
            <rFont val="Tahoma"/>
            <family val="2"/>
            <charset val="204"/>
          </rPr>
          <t>- колготки 20 белых и 20 светло-бежевых - по 200 р. * 40 = 8000
- носки 20 бел и 20 черн пар - по 100 р. * 40 = 4000
- футболки 16 бел и 16 черн - по 600р. * 32 = 19200</t>
        </r>
      </text>
    </comment>
    <comment ref="O301" authorId="2">
      <text>
        <r>
          <rPr>
            <b/>
            <sz val="9"/>
            <color indexed="81"/>
            <rFont val="Tahoma"/>
            <family val="2"/>
            <charset val="204"/>
          </rPr>
          <t>- колготки 20 белых и 20 светло-бежевых - по 200 р. * 40 = 8000
- носки 20 бел и 20 черн пар - по 100 р. * 40 = 4000
- футболки 16 бел и 16 черн - по 600р. * 32 = 19200</t>
        </r>
      </text>
    </comment>
    <comment ref="L302" authorId="1">
      <text>
        <r>
          <rPr>
            <b/>
            <sz val="9"/>
            <color indexed="81"/>
            <rFont val="Tahoma"/>
            <family val="2"/>
            <charset val="204"/>
          </rPr>
          <t xml:space="preserve">нужно 15 шт, цену посмотреть в интернете до 2500 можно взять
</t>
        </r>
      </text>
    </comment>
    <comment ref="O302" authorId="1">
      <text>
        <r>
          <rPr>
            <b/>
            <sz val="9"/>
            <color indexed="81"/>
            <rFont val="Tahoma"/>
            <family val="2"/>
            <charset val="204"/>
          </rPr>
          <t xml:space="preserve">нужно 15 шт, цену посмотреть в интернете до 2500 можно взять
</t>
        </r>
      </text>
    </comment>
    <comment ref="K307" authorId="1">
      <text>
        <r>
          <rPr>
            <b/>
            <sz val="9"/>
            <color indexed="81"/>
            <rFont val="Tahoma"/>
            <family val="2"/>
            <charset val="204"/>
          </rPr>
          <t>дополнительно с других статей не передвигаем, берем из имеющихся средств на подарки НГ</t>
        </r>
      </text>
    </comment>
  </commentList>
</comments>
</file>

<file path=xl/comments10.xml><?xml version="1.0" encoding="utf-8"?>
<comments xmlns="http://schemas.openxmlformats.org/spreadsheetml/2006/main">
  <authors>
    <author>Nazarov</author>
    <author>Экономист</author>
    <author>Александр</author>
  </authors>
  <commentList>
    <comment ref="BA8" authorId="0">
      <text>
        <r>
          <rPr>
            <b/>
            <sz val="9"/>
            <color indexed="81"/>
            <rFont val="Tahoma"/>
            <family val="2"/>
            <charset val="204"/>
          </rPr>
          <t>это разрыв между начислением (кассовый метод) и для выполнения индикативного, это 1/2зп марта переносится из месяца в месяц и выравнивается в декабре</t>
        </r>
      </text>
    </comment>
    <comment ref="BB8" authorId="0">
      <text>
        <r>
          <rPr>
            <b/>
            <sz val="9"/>
            <color indexed="81"/>
            <rFont val="Tahoma"/>
            <family val="2"/>
            <charset val="204"/>
          </rPr>
          <t xml:space="preserve">индик 73668,5*44числ*3мес
</t>
        </r>
      </text>
    </comment>
    <comment ref="D10" authorId="0">
      <text>
        <r>
          <rPr>
            <b/>
            <sz val="10"/>
            <color indexed="81"/>
            <rFont val="Tahoma"/>
            <family val="2"/>
            <charset val="204"/>
          </rPr>
          <t>итогиСИ</t>
        </r>
        <r>
          <rPr>
            <sz val="10"/>
            <color indexed="81"/>
            <rFont val="Tahoma"/>
            <family val="2"/>
            <charset val="204"/>
          </rPr>
          <t xml:space="preserve">    - ИТОГИ Содержание имущества
</t>
        </r>
        <r>
          <rPr>
            <b/>
            <sz val="10"/>
            <color indexed="81"/>
            <rFont val="Tahoma"/>
            <family val="2"/>
            <charset val="204"/>
          </rPr>
          <t>СИ</t>
        </r>
        <r>
          <rPr>
            <sz val="10"/>
            <color indexed="81"/>
            <rFont val="Tahoma"/>
            <family val="2"/>
            <charset val="204"/>
          </rPr>
          <t xml:space="preserve">              - детальные строки Содержание Имущества
</t>
        </r>
        <r>
          <rPr>
            <b/>
            <sz val="10"/>
            <color indexed="81"/>
            <rFont val="Tahoma"/>
            <family val="2"/>
            <charset val="204"/>
          </rPr>
          <t>ОЦИ</t>
        </r>
        <r>
          <rPr>
            <sz val="10"/>
            <color indexed="81"/>
            <rFont val="Tahoma"/>
            <family val="2"/>
            <charset val="204"/>
          </rPr>
          <t xml:space="preserve">           - содержание Особо Ценного Имущества
</t>
        </r>
        <r>
          <rPr>
            <b/>
            <sz val="10"/>
            <color indexed="81"/>
            <rFont val="Tahoma"/>
            <family val="2"/>
            <charset val="204"/>
          </rPr>
          <t>Аврора</t>
        </r>
        <r>
          <rPr>
            <sz val="10"/>
            <color indexed="81"/>
            <rFont val="Tahoma"/>
            <family val="2"/>
            <charset val="204"/>
          </rPr>
          <t xml:space="preserve">       - содержание имущества в Авроре
</t>
        </r>
        <r>
          <rPr>
            <b/>
            <sz val="10"/>
            <color indexed="81"/>
            <rFont val="Tahoma"/>
            <family val="2"/>
            <charset val="204"/>
          </rPr>
          <t>неСИ</t>
        </r>
        <r>
          <rPr>
            <sz val="10"/>
            <color indexed="81"/>
            <rFont val="Tahoma"/>
            <family val="2"/>
            <charset val="204"/>
          </rPr>
          <t xml:space="preserve">          - не содержание имущества, т.к. к СИ относим </t>
        </r>
        <r>
          <rPr>
            <b/>
            <u/>
            <sz val="10"/>
            <color indexed="81"/>
            <rFont val="Tahoma"/>
            <family val="2"/>
            <charset val="204"/>
          </rPr>
          <t>ТОЛЬКО</t>
        </r>
        <r>
          <rPr>
            <sz val="10"/>
            <color indexed="81"/>
            <rFont val="Tahoma"/>
            <family val="2"/>
            <charset val="204"/>
          </rPr>
          <t xml:space="preserve"> содержание </t>
        </r>
        <r>
          <rPr>
            <b/>
            <u/>
            <sz val="10"/>
            <color indexed="81"/>
            <rFont val="Tahoma"/>
            <family val="2"/>
            <charset val="204"/>
          </rPr>
          <t>МУНИЦИПАЛЬНОГО</t>
        </r>
        <r>
          <rPr>
            <sz val="10"/>
            <color indexed="81"/>
            <rFont val="Tahoma"/>
            <family val="2"/>
            <charset val="204"/>
          </rPr>
          <t xml:space="preserve"> имущества</t>
        </r>
      </text>
    </comment>
    <comment ref="P12" authorId="1">
      <text>
        <r>
          <rPr>
            <b/>
            <sz val="9"/>
            <color indexed="81"/>
            <rFont val="Tahoma"/>
            <family val="2"/>
            <charset val="204"/>
          </rPr>
          <t>ЦООД сам считает НРО по з/п нам им подавать на эти цели не нужно</t>
        </r>
        <r>
          <rPr>
            <sz val="9"/>
            <color indexed="81"/>
            <rFont val="Tahoma"/>
            <family val="2"/>
            <charset val="204"/>
          </rPr>
          <t xml:space="preserve">
</t>
        </r>
      </text>
    </comment>
    <comment ref="AW12" authorId="0">
      <text>
        <r>
          <rPr>
            <sz val="9"/>
            <color indexed="81"/>
            <rFont val="Tahoma"/>
            <family val="2"/>
            <charset val="204"/>
          </rPr>
          <t xml:space="preserve">только аванс января
</t>
        </r>
      </text>
    </comment>
    <comment ref="AY12" authorId="0">
      <text>
        <r>
          <rPr>
            <b/>
            <sz val="9"/>
            <color indexed="81"/>
            <rFont val="Tahoma"/>
            <family val="2"/>
            <charset val="204"/>
          </rPr>
          <t xml:space="preserve">средняя з/п за месяц без премий и т.п.
</t>
        </r>
      </text>
    </comment>
    <comment ref="BA12" authorId="0">
      <text>
        <r>
          <rPr>
            <b/>
            <sz val="9"/>
            <color indexed="81"/>
            <rFont val="Tahoma"/>
            <family val="2"/>
            <charset val="204"/>
          </rPr>
          <t xml:space="preserve">+ премия к дню работника культуры 1 ФОТ+ ежекв.премия
</t>
        </r>
      </text>
    </comment>
    <comment ref="BE12" authorId="0">
      <text>
        <r>
          <rPr>
            <b/>
            <sz val="9"/>
            <color indexed="81"/>
            <rFont val="Tahoma"/>
            <family val="2"/>
            <charset val="204"/>
          </rPr>
          <t>отпуска + мат.помощь к отпуску основной массы работников (пропорция примерно 2,8 к обычной з/п)</t>
        </r>
      </text>
    </comment>
    <comment ref="BG12" authorId="0">
      <text>
        <r>
          <rPr>
            <b/>
            <sz val="9"/>
            <color indexed="81"/>
            <rFont val="Tahoma"/>
            <family val="2"/>
            <charset val="204"/>
          </rPr>
          <t xml:space="preserve">плюс квартальная
</t>
        </r>
      </text>
    </comment>
    <comment ref="BS12" authorId="0">
      <text>
        <r>
          <rPr>
            <b/>
            <sz val="9"/>
            <color indexed="81"/>
            <rFont val="Tahoma"/>
            <family val="2"/>
            <charset val="204"/>
          </rPr>
          <t xml:space="preserve">1/2 ноября, + весь декабрь +ежекварт.
 премии + годовая
</t>
        </r>
      </text>
    </comment>
    <comment ref="H13" authorId="1">
      <text>
        <r>
          <rPr>
            <b/>
            <sz val="9"/>
            <color indexed="81"/>
            <rFont val="Tahoma"/>
            <family val="2"/>
            <charset val="204"/>
          </rPr>
          <t>компенсация внебюджет в рамках МЗ</t>
        </r>
      </text>
    </comment>
    <comment ref="P13" authorId="1">
      <text>
        <r>
          <rPr>
            <b/>
            <sz val="9"/>
            <color indexed="81"/>
            <rFont val="Tahoma"/>
            <family val="2"/>
            <charset val="204"/>
          </rPr>
          <t>ЦООД сам считает НРО по з/п нам им подавать на эти цели не нужно</t>
        </r>
        <r>
          <rPr>
            <sz val="9"/>
            <color indexed="81"/>
            <rFont val="Tahoma"/>
            <family val="2"/>
            <charset val="204"/>
          </rPr>
          <t xml:space="preserve">
</t>
        </r>
      </text>
    </comment>
    <comment ref="AW13" authorId="0">
      <text>
        <r>
          <rPr>
            <sz val="9"/>
            <color indexed="81"/>
            <rFont val="Tahoma"/>
            <family val="2"/>
            <charset val="204"/>
          </rPr>
          <t xml:space="preserve">только аванс января
</t>
        </r>
      </text>
    </comment>
    <comment ref="AY13" authorId="0">
      <text>
        <r>
          <rPr>
            <b/>
            <sz val="9"/>
            <color indexed="81"/>
            <rFont val="Tahoma"/>
            <family val="2"/>
            <charset val="204"/>
          </rPr>
          <t xml:space="preserve">средняя з/п за месяц без премий и т.п.
</t>
        </r>
      </text>
    </comment>
    <comment ref="BA13" authorId="0">
      <text>
        <r>
          <rPr>
            <b/>
            <sz val="9"/>
            <color indexed="81"/>
            <rFont val="Tahoma"/>
            <family val="2"/>
            <charset val="204"/>
          </rPr>
          <t xml:space="preserve">+ премия к дню работника культуры 1 ФОТ+ ежекв.премия
</t>
        </r>
      </text>
    </comment>
    <comment ref="BE13" authorId="0">
      <text>
        <r>
          <rPr>
            <b/>
            <sz val="9"/>
            <color indexed="81"/>
            <rFont val="Tahoma"/>
            <family val="2"/>
            <charset val="204"/>
          </rPr>
          <t>отпуска + мат.помощь к отпуску основной массы работников (пропорция примерно 2,8 к обычной з/п)</t>
        </r>
      </text>
    </comment>
    <comment ref="BG13" authorId="0">
      <text>
        <r>
          <rPr>
            <b/>
            <sz val="9"/>
            <color indexed="81"/>
            <rFont val="Tahoma"/>
            <family val="2"/>
            <charset val="204"/>
          </rPr>
          <t xml:space="preserve">плюс квартальная
</t>
        </r>
      </text>
    </comment>
    <comment ref="BS13" authorId="0">
      <text>
        <r>
          <rPr>
            <b/>
            <sz val="9"/>
            <color indexed="81"/>
            <rFont val="Tahoma"/>
            <family val="2"/>
            <charset val="204"/>
          </rPr>
          <t xml:space="preserve">1/2 ноября, + весь декабрь +ежекварт.
 премии + годовая
</t>
        </r>
      </text>
    </comment>
    <comment ref="H15" authorId="1">
      <text>
        <r>
          <rPr>
            <b/>
            <sz val="9"/>
            <color indexed="81"/>
            <rFont val="Tahoma"/>
            <family val="2"/>
            <charset val="204"/>
          </rPr>
          <t>компенсация внебюджет в рамках МЗ</t>
        </r>
      </text>
    </comment>
    <comment ref="F16" authorId="0">
      <text>
        <r>
          <rPr>
            <b/>
            <sz val="9"/>
            <color indexed="81"/>
            <rFont val="Tahoma"/>
            <family val="2"/>
            <charset val="204"/>
          </rPr>
          <t>прошлых лет</t>
        </r>
      </text>
    </comment>
    <comment ref="K16" authorId="0">
      <text>
        <r>
          <rPr>
            <b/>
            <sz val="9"/>
            <color indexed="81"/>
            <rFont val="Tahoma"/>
            <family val="2"/>
            <charset val="204"/>
          </rPr>
          <t>прошлых лет</t>
        </r>
      </text>
    </comment>
    <comment ref="L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Q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S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L19" authorId="0">
      <text>
        <r>
          <rPr>
            <b/>
            <sz val="9"/>
            <color indexed="81"/>
            <rFont val="Tahoma"/>
            <family val="2"/>
            <charset val="204"/>
          </rPr>
          <t>2 чел</t>
        </r>
      </text>
    </comment>
    <comment ref="Q19" authorId="0">
      <text>
        <r>
          <rPr>
            <b/>
            <sz val="9"/>
            <color indexed="81"/>
            <rFont val="Tahoma"/>
            <family val="2"/>
            <charset val="204"/>
          </rPr>
          <t>2 чел</t>
        </r>
      </text>
    </comment>
    <comment ref="S19" authorId="0">
      <text>
        <r>
          <rPr>
            <b/>
            <sz val="9"/>
            <color indexed="81"/>
            <rFont val="Tahoma"/>
            <family val="2"/>
            <charset val="204"/>
          </rPr>
          <t>2 чел</t>
        </r>
      </text>
    </comment>
    <comment ref="L20" authorId="0">
      <text>
        <r>
          <rPr>
            <b/>
            <sz val="9"/>
            <color indexed="81"/>
            <rFont val="Tahoma"/>
            <family val="2"/>
            <charset val="204"/>
          </rPr>
          <t xml:space="preserve">3 чел по 5000
</t>
        </r>
        <r>
          <rPr>
            <sz val="9"/>
            <color indexed="81"/>
            <rFont val="Tahoma"/>
            <family val="2"/>
            <charset val="204"/>
          </rPr>
          <t xml:space="preserve">
</t>
        </r>
      </text>
    </comment>
    <comment ref="Q20" authorId="0">
      <text>
        <r>
          <rPr>
            <b/>
            <sz val="9"/>
            <color indexed="81"/>
            <rFont val="Tahoma"/>
            <family val="2"/>
            <charset val="204"/>
          </rPr>
          <t xml:space="preserve">3 чел по 5000
</t>
        </r>
        <r>
          <rPr>
            <sz val="9"/>
            <color indexed="81"/>
            <rFont val="Tahoma"/>
            <family val="2"/>
            <charset val="204"/>
          </rPr>
          <t xml:space="preserve">
</t>
        </r>
      </text>
    </comment>
    <comment ref="S20" authorId="0">
      <text>
        <r>
          <rPr>
            <b/>
            <sz val="9"/>
            <color indexed="81"/>
            <rFont val="Tahoma"/>
            <family val="2"/>
            <charset val="204"/>
          </rPr>
          <t xml:space="preserve">3 чел по 5000
</t>
        </r>
        <r>
          <rPr>
            <sz val="9"/>
            <color indexed="81"/>
            <rFont val="Tahoma"/>
            <family val="2"/>
            <charset val="204"/>
          </rPr>
          <t xml:space="preserve">
</t>
        </r>
      </text>
    </comment>
    <comment ref="AZ21" authorId="1">
      <text>
        <r>
          <rPr>
            <b/>
            <sz val="9"/>
            <color indexed="81"/>
            <rFont val="Tahoma"/>
            <family val="2"/>
            <charset val="204"/>
          </rPr>
          <t xml:space="preserve">Сидоренко Дарье в свзи со смертью отца
</t>
        </r>
      </text>
    </comment>
    <comment ref="L22" authorId="0">
      <text>
        <r>
          <rPr>
            <b/>
            <sz val="10"/>
            <color indexed="81"/>
            <rFont val="Tahoma"/>
            <family val="2"/>
            <charset val="204"/>
          </rPr>
          <t>Согласно Коллективного договора (там еще на стр.17 есть сылка на Постановление Адм и Решение Думы)</t>
        </r>
        <r>
          <rPr>
            <b/>
            <u/>
            <sz val="10"/>
            <color indexed="81"/>
            <rFont val="Tahoma"/>
            <family val="2"/>
            <charset val="204"/>
          </rPr>
          <t xml:space="preserve">
на КВР 111 КОСГУ 266 перенес 6000 (остался на 211 запас 2000 + 2000 от Черемных осталось)</t>
        </r>
        <r>
          <rPr>
            <b/>
            <sz val="9"/>
            <color indexed="81"/>
            <rFont val="Tahoma"/>
            <family val="2"/>
            <charset val="204"/>
          </rPr>
          <t xml:space="preserve">
Находящимся по уходу за ребенком до трех лет:
</t>
        </r>
        <r>
          <rPr>
            <sz val="9"/>
            <color indexed="81"/>
            <rFont val="Tahoma"/>
            <family val="2"/>
            <charset val="204"/>
          </rPr>
          <t xml:space="preserve">- Решетова Мария Николаевна 1000 * 4 раза, за 4 квартал заявление не написали поэтому будет 3 раза
- Гиренко Виорика Валерьевна 1000 * 4 раза, за 4 квартал заявление не написали поэтому будет 3 раза
</t>
        </r>
        <r>
          <rPr>
            <b/>
            <sz val="9"/>
            <color indexed="81"/>
            <rFont val="Tahoma"/>
            <family val="2"/>
            <charset val="204"/>
          </rPr>
          <t xml:space="preserve">
</t>
        </r>
        <r>
          <rPr>
            <b/>
            <u/>
            <sz val="10"/>
            <color indexed="81"/>
            <rFont val="Tahoma"/>
            <family val="2"/>
            <charset val="204"/>
          </rPr>
          <t>Останутся на КВР111 КОСГУ 211</t>
        </r>
        <r>
          <rPr>
            <b/>
            <sz val="9"/>
            <color indexed="81"/>
            <rFont val="Tahoma"/>
            <family val="2"/>
            <charset val="204"/>
          </rPr>
          <t xml:space="preserve">
Имеющим на иждивении ребенка-инвалида, инвалида I, II, III группы с причиной инвалидности "инвалид с детства":
</t>
        </r>
        <r>
          <rPr>
            <sz val="9"/>
            <color indexed="81"/>
            <rFont val="Tahoma"/>
            <family val="2"/>
            <charset val="204"/>
          </rPr>
          <t>- Мурзина Галина Николаевна 1000 * 4 раза
- Гречушникова Екатерина Николаевна 1000 * 4 раза</t>
        </r>
        <r>
          <rPr>
            <b/>
            <sz val="9"/>
            <color indexed="81"/>
            <rFont val="Tahoma"/>
            <family val="2"/>
            <charset val="204"/>
          </rPr>
          <t xml:space="preserve">
- уволился его убираем </t>
        </r>
        <r>
          <rPr>
            <sz val="9"/>
            <color indexed="81"/>
            <rFont val="Tahoma"/>
            <family val="2"/>
            <charset val="204"/>
          </rPr>
          <t>Черемных Максим Владимирович 1000 * 4 раза (2000 перешло на Мулачанова) 2000 запас</t>
        </r>
        <r>
          <rPr>
            <b/>
            <sz val="9"/>
            <color indexed="81"/>
            <rFont val="Tahoma"/>
            <family val="2"/>
            <charset val="204"/>
          </rPr>
          <t xml:space="preserve">
Имеющим трех и более детей в возрасте до 18 лет:
</t>
        </r>
        <r>
          <rPr>
            <sz val="9"/>
            <color indexed="81"/>
            <rFont val="Tahoma"/>
            <family val="2"/>
            <charset val="204"/>
          </rPr>
          <t xml:space="preserve">- Соловьев Иван Викторович 1000 * 4 раза
- Репина (вместо ошибочной Кондратьева Екатерина Константиновна) 1000 * 4 раза
- Дремин Алексей Анатольевич  1000 * 4 раза
- Шарова Анна (вместо Карасик Наиля Ильгизяровна) 1000 * 4 раза 
</t>
        </r>
        <r>
          <rPr>
            <b/>
            <sz val="9"/>
            <color indexed="81"/>
            <rFont val="Tahoma"/>
            <family val="2"/>
            <charset val="204"/>
          </rPr>
          <t>- добавился</t>
        </r>
        <r>
          <rPr>
            <sz val="9"/>
            <color indexed="81"/>
            <rFont val="Tahoma"/>
            <family val="2"/>
            <charset val="204"/>
          </rPr>
          <t xml:space="preserve"> Мулачанов Рустам Равильевич 1000 * 2 раза (т.к.  1 квартал не полный)</t>
        </r>
        <r>
          <rPr>
            <b/>
            <sz val="9"/>
            <color indexed="81"/>
            <rFont val="Tahoma"/>
            <family val="2"/>
            <charset val="204"/>
          </rPr>
          <t xml:space="preserve">
По бухгалтерии они просто получают выплату как "материальная помощь"
</t>
        </r>
      </text>
    </comment>
    <comment ref="Q22"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4 раза
</t>
        </r>
        <r>
          <rPr>
            <sz val="9"/>
            <color indexed="81"/>
            <rFont val="Tahoma"/>
            <family val="2"/>
            <charset val="204"/>
          </rPr>
          <t>- Гиренко Виорика Валерьевна 1000</t>
        </r>
        <r>
          <rPr>
            <b/>
            <sz val="9"/>
            <color indexed="81"/>
            <rFont val="Tahoma"/>
            <family val="2"/>
            <charset val="204"/>
          </rPr>
          <t xml:space="preserve"> * 4 раза
</t>
        </r>
        <r>
          <rPr>
            <sz val="9"/>
            <color indexed="81"/>
            <rFont val="Tahoma"/>
            <family val="2"/>
            <charset val="204"/>
          </rPr>
          <t>- Гречушникова Екатерина Николаевна 1000</t>
        </r>
        <r>
          <rPr>
            <b/>
            <sz val="9"/>
            <color indexed="81"/>
            <rFont val="Tahoma"/>
            <family val="2"/>
            <charset val="204"/>
          </rPr>
          <t xml:space="preserve"> * 2 раза !!!!!!!!!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4 раза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S22"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3 раза !!!!!!!!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3 раза !!!!!!!!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L25" authorId="0">
      <text>
        <r>
          <rPr>
            <b/>
            <sz val="10"/>
            <color indexed="81"/>
            <rFont val="Tahoma"/>
            <family val="2"/>
            <charset val="204"/>
          </rPr>
          <t>Согласно Коллективного договора (там еще на стр.17 есть сылка на Постановление Адм и Решение Думы)</t>
        </r>
        <r>
          <rPr>
            <b/>
            <u/>
            <sz val="10"/>
            <color indexed="81"/>
            <rFont val="Tahoma"/>
            <family val="2"/>
            <charset val="204"/>
          </rPr>
          <t xml:space="preserve">
на КВР 111 КОСГУ 266 перенес 6000 (остался на 211 запас 2000 + 2000 от Черемных осталось)</t>
        </r>
        <r>
          <rPr>
            <b/>
            <sz val="9"/>
            <color indexed="81"/>
            <rFont val="Tahoma"/>
            <family val="2"/>
            <charset val="204"/>
          </rPr>
          <t xml:space="preserve">
Находящимся по уходу за ребенком до трех лет:
</t>
        </r>
        <r>
          <rPr>
            <sz val="9"/>
            <color indexed="81"/>
            <rFont val="Tahoma"/>
            <family val="2"/>
            <charset val="204"/>
          </rPr>
          <t>- Решетова Мария Николаевна 1000 * 4 раза, за 4 квартал заявление не написали поэтому будет 3 раза
- Гиренко Виорика Валерьевна 1000 * 4 раза, за 4 квартал заявление не написали поэтому будет 3 раза</t>
        </r>
        <r>
          <rPr>
            <b/>
            <sz val="9"/>
            <color indexed="81"/>
            <rFont val="Tahoma"/>
            <family val="2"/>
            <charset val="204"/>
          </rPr>
          <t xml:space="preserve">
</t>
        </r>
      </text>
    </comment>
    <comment ref="L26"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Q26"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S26"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K27" authorId="1">
      <text>
        <r>
          <rPr>
            <b/>
            <u/>
            <sz val="10"/>
            <color indexed="81"/>
            <rFont val="Tahoma"/>
            <family val="2"/>
            <charset val="204"/>
          </rPr>
          <t xml:space="preserve">
!!! Здесь и ЗП и Начисления на зп (30,2%) одновременно по КВР 119 ГОСГУ 266
2 работника могут воспользоваться:
- Мурзина (ставлю 10 раз т.к. </t>
        </r>
        <r>
          <rPr>
            <sz val="10"/>
            <color indexed="81"/>
            <rFont val="Tahoma"/>
            <family val="2"/>
            <charset val="204"/>
          </rPr>
          <t>пока она сама не знает, была операция у ребенка) у Мурзиной (зп за январь 37 691,54р.) средникй размер за 4 дня  зп + начисления за январь 12260р. в 1С показало, считаются как и отпускные за посление 12 мес, поэтому сумма может сильно варьироваться.</t>
        </r>
        <r>
          <rPr>
            <b/>
            <u/>
            <sz val="10"/>
            <color indexed="81"/>
            <rFont val="Tahoma"/>
            <family val="2"/>
            <charset val="204"/>
          </rPr>
          <t xml:space="preserve"> Для расчета взял 13000
</t>
        </r>
        <r>
          <rPr>
            <sz val="10"/>
            <color indexed="81"/>
            <rFont val="Tahoma"/>
            <family val="2"/>
            <charset val="204"/>
          </rPr>
          <t>-</t>
        </r>
        <r>
          <rPr>
            <b/>
            <sz val="10"/>
            <color indexed="81"/>
            <rFont val="Tahoma"/>
            <family val="2"/>
            <charset val="204"/>
          </rPr>
          <t xml:space="preserve"> Дремин </t>
        </r>
        <r>
          <rPr>
            <sz val="10"/>
            <color indexed="81"/>
            <rFont val="Tahoma"/>
            <family val="2"/>
            <charset val="204"/>
          </rPr>
          <t xml:space="preserve">сказал что не больше </t>
        </r>
        <r>
          <rPr>
            <b/>
            <sz val="10"/>
            <color indexed="81"/>
            <rFont val="Tahoma"/>
            <family val="2"/>
            <charset val="204"/>
          </rPr>
          <t xml:space="preserve">5 раз </t>
        </r>
        <r>
          <rPr>
            <sz val="10"/>
            <color indexed="81"/>
            <rFont val="Tahoma"/>
            <family val="2"/>
            <charset val="204"/>
          </rPr>
          <t xml:space="preserve">воспользуется (но скорее всего 2-3 раза всего возьмет) (зп январь 70 375,50р.) в пропорции от Мурзиной будет 13000 это 54% итого </t>
        </r>
        <r>
          <rPr>
            <b/>
            <sz val="10"/>
            <color indexed="81"/>
            <rFont val="Tahoma"/>
            <family val="2"/>
            <charset val="204"/>
          </rPr>
          <t>будет примерно 24 000 руб.</t>
        </r>
        <r>
          <rPr>
            <sz val="10"/>
            <color indexed="81"/>
            <rFont val="Tahoma"/>
            <family val="2"/>
            <charset val="204"/>
          </rPr>
          <t xml:space="preserve">
</t>
        </r>
        <r>
          <rPr>
            <b/>
            <u/>
            <sz val="10"/>
            <color indexed="81"/>
            <rFont val="Tahoma"/>
            <family val="2"/>
            <charset val="204"/>
          </rPr>
          <t xml:space="preserve">
!!! Здесь и ЗП и Начисления на зп (30,2%) одновременно по КВР 119 ГОСГУ 266</t>
        </r>
        <r>
          <rPr>
            <sz val="9"/>
            <color indexed="81"/>
            <rFont val="Tahoma"/>
            <family val="2"/>
            <charset val="204"/>
          </rPr>
          <t xml:space="preserve">
Раньше эти расходы были на КВР 111 КОСГУ 213
четыре дополнительных оплачиваемых выходных дня в месяц для ухода за детьми-инвалидами установлена ст. 262 ТК РФ. Каждый дополнительный выходной день оплачивается в размере среднего заработка.
Частью 17 ст. 37 Федерального закона от 24.07.2009 № 213-ФЗ, п. 8 положения о ФСС РФ, утв. постановлением Правительства РФ от 12.02.1994 № 101, установлено, что финансовое обеспечение расходов на оплату дополнительных выходных дней для ухода за детьми-инвалидами (включая начисленные страховые взносы в государственные внебюджетные фонды) осуществляется за счет межбюджетных трансфертов из федерального бюджета, предоставляемых бюджету ФСС РФ. Таким образом, эти расходы не являются обязательством учреждения.
</t>
        </r>
        <r>
          <rPr>
            <b/>
            <sz val="10"/>
            <color indexed="81"/>
            <rFont val="Tahoma"/>
            <family val="2"/>
            <charset val="204"/>
          </rPr>
          <t>С 2021 года на всей территории РФ действует механизм прямых выплат,</t>
        </r>
        <r>
          <rPr>
            <sz val="9"/>
            <color indexed="81"/>
            <rFont val="Tahoma"/>
            <family val="2"/>
            <charset val="204"/>
          </rPr>
          <t xml:space="preserve"> предусматривающий выплату пособий напрямую из ФСС РФ, а не через работодателя. </t>
        </r>
        <r>
          <rPr>
            <u/>
            <sz val="10"/>
            <color indexed="81"/>
            <rFont val="Tahoma"/>
            <family val="2"/>
            <charset val="204"/>
          </rPr>
          <t xml:space="preserve">Выплата среднего заработка за дополнительные выходные дни (не более четырех в месяц) по уходу за детьми-инвалидами </t>
        </r>
        <r>
          <rPr>
            <b/>
            <u/>
            <sz val="11"/>
            <color indexed="81"/>
            <rFont val="Tahoma"/>
            <family val="2"/>
            <charset val="204"/>
          </rPr>
          <t>является исключением</t>
        </r>
        <r>
          <rPr>
            <u/>
            <sz val="10"/>
            <color indexed="81"/>
            <rFont val="Tahoma"/>
            <family val="2"/>
            <charset val="204"/>
          </rPr>
          <t>.</t>
        </r>
        <r>
          <rPr>
            <sz val="9"/>
            <color indexed="81"/>
            <rFont val="Tahoma"/>
            <family val="2"/>
            <charset val="204"/>
          </rPr>
          <t xml:space="preserve"> Работодатель должен назначить и выплатить физлицу средний заработок, впоследствии фонд возместит такие расходы.
Оплата четырех дополнительных выходных дней в месяц родителю (опекуну, попечителю) для ухода за детьми-инвалидами отражается по элементу</t>
        </r>
        <r>
          <rPr>
            <b/>
            <u/>
            <sz val="9"/>
            <color indexed="81"/>
            <rFont val="Tahoma"/>
            <family val="2"/>
            <charset val="204"/>
          </rPr>
          <t xml:space="preserve"> видов расходов 119 "</t>
        </r>
        <r>
          <rPr>
            <sz val="9"/>
            <color indexed="81"/>
            <rFont val="Tahoma"/>
            <family val="2"/>
            <charset val="204"/>
          </rPr>
          <t xml:space="preserve">Взносы по обязательному социальному страхованию на выплаты по оплате труда работников и иные выплаты работникам учреждений" и </t>
        </r>
        <r>
          <rPr>
            <b/>
            <u/>
            <sz val="9"/>
            <color indexed="81"/>
            <rFont val="Tahoma"/>
            <family val="2"/>
            <charset val="204"/>
          </rPr>
          <t xml:space="preserve">подстатье 266 "Социальные пособия и компенсации персоналу в денежной форме" КОСГУ. </t>
        </r>
        <r>
          <rPr>
            <sz val="9"/>
            <color indexed="81"/>
            <rFont val="Tahoma"/>
            <family val="2"/>
            <charset val="204"/>
          </rPr>
          <t>Это установлено п. 48.1.4 порядка, утв. приказом Минфина России от 06.06.2019 № 85н, п. 10.6.6 порядка, утв. приказом Минфина России от 29.11.2017 № 209н.</t>
        </r>
      </text>
    </comment>
    <comment ref="L27" authorId="1">
      <text>
        <r>
          <rPr>
            <b/>
            <u/>
            <sz val="10"/>
            <color indexed="81"/>
            <rFont val="Tahoma"/>
            <family val="2"/>
            <charset val="204"/>
          </rPr>
          <t xml:space="preserve">2 работника могут воспользоваться:
- Мурзина (ставлю 10 раз т.к. </t>
        </r>
        <r>
          <rPr>
            <sz val="10"/>
            <color indexed="81"/>
            <rFont val="Tahoma"/>
            <family val="2"/>
            <charset val="204"/>
          </rPr>
          <t>пока она сама не знает, была операция у ребенка) у Мурзиной (зп за январь 37 691,54р.) средникй размер за 4 дня  зп + начисления за январь 12260р. в 1С показало, считаются как и отпускные за посление 12 мес, поэтому сумма может сильно варьироваться.</t>
        </r>
        <r>
          <rPr>
            <b/>
            <u/>
            <sz val="10"/>
            <color indexed="81"/>
            <rFont val="Tahoma"/>
            <family val="2"/>
            <charset val="204"/>
          </rPr>
          <t xml:space="preserve"> Для расчета взял 13000
</t>
        </r>
        <r>
          <rPr>
            <sz val="10"/>
            <color indexed="81"/>
            <rFont val="Tahoma"/>
            <family val="2"/>
            <charset val="204"/>
          </rPr>
          <t>-</t>
        </r>
        <r>
          <rPr>
            <b/>
            <sz val="10"/>
            <color indexed="81"/>
            <rFont val="Tahoma"/>
            <family val="2"/>
            <charset val="204"/>
          </rPr>
          <t xml:space="preserve"> Дремин </t>
        </r>
        <r>
          <rPr>
            <sz val="10"/>
            <color indexed="81"/>
            <rFont val="Tahoma"/>
            <family val="2"/>
            <charset val="204"/>
          </rPr>
          <t xml:space="preserve">сказал что не больше </t>
        </r>
        <r>
          <rPr>
            <b/>
            <sz val="10"/>
            <color indexed="81"/>
            <rFont val="Tahoma"/>
            <family val="2"/>
            <charset val="204"/>
          </rPr>
          <t xml:space="preserve">5 раз </t>
        </r>
        <r>
          <rPr>
            <sz val="10"/>
            <color indexed="81"/>
            <rFont val="Tahoma"/>
            <family val="2"/>
            <charset val="204"/>
          </rPr>
          <t xml:space="preserve">воспользуется (но скорее всего 2-3 раза всего возьмет) (зп январь 70 375,50р.) в пропорции от Мурзиной будет 13000 это 54% итого </t>
        </r>
        <r>
          <rPr>
            <b/>
            <sz val="10"/>
            <color indexed="81"/>
            <rFont val="Tahoma"/>
            <family val="2"/>
            <charset val="204"/>
          </rPr>
          <t>будет примерно 24 000 руб.</t>
        </r>
        <r>
          <rPr>
            <sz val="10"/>
            <color indexed="81"/>
            <rFont val="Tahoma"/>
            <family val="2"/>
            <charset val="204"/>
          </rPr>
          <t xml:space="preserve">
</t>
        </r>
        <r>
          <rPr>
            <b/>
            <u/>
            <sz val="10"/>
            <color indexed="81"/>
            <rFont val="Tahoma"/>
            <family val="2"/>
            <charset val="204"/>
          </rPr>
          <t xml:space="preserve">
Здесь и зп и начисления на зп одновременно по КВР 111 ГОСГУ 266</t>
        </r>
        <r>
          <rPr>
            <sz val="9"/>
            <color indexed="81"/>
            <rFont val="Tahoma"/>
            <family val="2"/>
            <charset val="204"/>
          </rPr>
          <t xml:space="preserve">
Раньше эти расходы были на КВР 111 КОСГУ 213
четыре дополнительных оплачиваемых выходных дня в месяц для ухода за детьми-инвалидами установлена ст. 262 ТК РФ. Каждый дополнительный выходной день оплачивается в размере среднего заработка.
Частью 17 ст. 37 Федерального закона от 24.07.2009 № 213-ФЗ, п. 8 положения о ФСС РФ, утв. постановлением Правительства РФ от 12.02.1994 № 101, установлено, что финансовое обеспечение расходов на оплату дополнительных выходных дней для ухода за детьми-инвалидами (включая начисленные страховые взносы в государственные внебюджетные фонды) осуществляется за счет межбюджетных трансфертов из федерального бюджета, предоставляемых бюджету ФСС РФ. Таким образом, эти расходы не являются обязательством учреждения.
</t>
        </r>
        <r>
          <rPr>
            <b/>
            <sz val="10"/>
            <color indexed="81"/>
            <rFont val="Tahoma"/>
            <family val="2"/>
            <charset val="204"/>
          </rPr>
          <t>С 2021 года на всей территории РФ действует механизм прямых выплат,</t>
        </r>
        <r>
          <rPr>
            <sz val="9"/>
            <color indexed="81"/>
            <rFont val="Tahoma"/>
            <family val="2"/>
            <charset val="204"/>
          </rPr>
          <t xml:space="preserve"> предусматривающий выплату пособий напрямую из ФСС РФ, а не через работодателя. </t>
        </r>
        <r>
          <rPr>
            <u/>
            <sz val="10"/>
            <color indexed="81"/>
            <rFont val="Tahoma"/>
            <family val="2"/>
            <charset val="204"/>
          </rPr>
          <t xml:space="preserve">Выплата среднего заработка за дополнительные выходные дни (не более четырех в месяц) по уходу за детьми-инвалидами </t>
        </r>
        <r>
          <rPr>
            <b/>
            <u/>
            <sz val="11"/>
            <color indexed="81"/>
            <rFont val="Tahoma"/>
            <family val="2"/>
            <charset val="204"/>
          </rPr>
          <t>является исключением</t>
        </r>
        <r>
          <rPr>
            <u/>
            <sz val="10"/>
            <color indexed="81"/>
            <rFont val="Tahoma"/>
            <family val="2"/>
            <charset val="204"/>
          </rPr>
          <t>.</t>
        </r>
        <r>
          <rPr>
            <sz val="9"/>
            <color indexed="81"/>
            <rFont val="Tahoma"/>
            <family val="2"/>
            <charset val="204"/>
          </rPr>
          <t xml:space="preserve"> Работодатель должен назначить и выплатить физлицу средний заработок, впоследствии фонд возместит такие расходы.
Оплата четырех дополнительных выходных дней в месяц родителю (опекуну, попечителю) для ухода за детьми-инвалидами отражается по элементу</t>
        </r>
        <r>
          <rPr>
            <b/>
            <u/>
            <sz val="9"/>
            <color indexed="81"/>
            <rFont val="Tahoma"/>
            <family val="2"/>
            <charset val="204"/>
          </rPr>
          <t xml:space="preserve"> видов расходов 119 "</t>
        </r>
        <r>
          <rPr>
            <sz val="9"/>
            <color indexed="81"/>
            <rFont val="Tahoma"/>
            <family val="2"/>
            <charset val="204"/>
          </rPr>
          <t xml:space="preserve">Взносы по обязательному социальному страхованию на выплаты по оплате труда работников и иные выплаты работникам учреждений" и </t>
        </r>
        <r>
          <rPr>
            <b/>
            <u/>
            <sz val="9"/>
            <color indexed="81"/>
            <rFont val="Tahoma"/>
            <family val="2"/>
            <charset val="204"/>
          </rPr>
          <t xml:space="preserve">подстатье 266 "Социальные пособия и компенсации персоналу в денежной форме" КОСГУ. </t>
        </r>
        <r>
          <rPr>
            <sz val="9"/>
            <color indexed="81"/>
            <rFont val="Tahoma"/>
            <family val="2"/>
            <charset val="204"/>
          </rPr>
          <t>Это установлено п. 48.1.4 порядка, утв. приказом Минфина России от 06.06.2019 № 85н, п. 10.6.6 порядка, утв. приказом Минфина России от 29.11.2017 № 209н.</t>
        </r>
      </text>
    </comment>
    <comment ref="L28" authorId="0">
      <text>
        <r>
          <rPr>
            <b/>
            <sz val="9"/>
            <color indexed="81"/>
            <rFont val="Tahoma"/>
            <family val="2"/>
            <charset val="204"/>
          </rPr>
          <t>30,2%</t>
        </r>
        <r>
          <rPr>
            <sz val="9"/>
            <color indexed="81"/>
            <rFont val="Tahoma"/>
            <family val="2"/>
            <charset val="204"/>
          </rPr>
          <t xml:space="preserve">
</t>
        </r>
      </text>
    </comment>
    <comment ref="Q28" authorId="0">
      <text>
        <r>
          <rPr>
            <b/>
            <sz val="9"/>
            <color indexed="81"/>
            <rFont val="Tahoma"/>
            <family val="2"/>
            <charset val="204"/>
          </rPr>
          <t>30,2%</t>
        </r>
        <r>
          <rPr>
            <sz val="9"/>
            <color indexed="81"/>
            <rFont val="Tahoma"/>
            <family val="2"/>
            <charset val="204"/>
          </rPr>
          <t xml:space="preserve">
</t>
        </r>
      </text>
    </comment>
    <comment ref="S28" authorId="0">
      <text>
        <r>
          <rPr>
            <b/>
            <sz val="9"/>
            <color indexed="81"/>
            <rFont val="Tahoma"/>
            <family val="2"/>
            <charset val="204"/>
          </rPr>
          <t>30,2%</t>
        </r>
        <r>
          <rPr>
            <sz val="9"/>
            <color indexed="81"/>
            <rFont val="Tahoma"/>
            <family val="2"/>
            <charset val="204"/>
          </rPr>
          <t xml:space="preserve">
</t>
        </r>
      </text>
    </comment>
    <comment ref="L30" authorId="0">
      <text>
        <r>
          <rPr>
            <b/>
            <sz val="9"/>
            <color indexed="81"/>
            <rFont val="Tahoma"/>
            <family val="2"/>
            <charset val="204"/>
          </rPr>
          <t>2 чел</t>
        </r>
        <r>
          <rPr>
            <sz val="9"/>
            <color indexed="81"/>
            <rFont val="Tahoma"/>
            <family val="2"/>
            <charset val="204"/>
          </rPr>
          <t xml:space="preserve">
</t>
        </r>
      </text>
    </comment>
    <comment ref="L31" authorId="0">
      <text>
        <r>
          <rPr>
            <b/>
            <sz val="9"/>
            <color indexed="81"/>
            <rFont val="Tahoma"/>
            <family val="2"/>
            <charset val="204"/>
          </rPr>
          <t>3 чел</t>
        </r>
      </text>
    </comment>
    <comment ref="J32" authorId="1">
      <text>
        <r>
          <rPr>
            <b/>
            <sz val="9"/>
            <color indexed="81"/>
            <rFont val="Tahoma"/>
            <family val="2"/>
            <charset val="204"/>
          </rPr>
          <t>правильно 266, т.к. Фин деп отклонил заявку и сказал что именно эта вознаграждение платится с 266 ГОСКУ поэтому и начисления с него же, а остальные платятся с 211 КОСГУ, поэтому они по 213 ГОСГУ</t>
        </r>
      </text>
    </comment>
    <comment ref="L32" authorId="0">
      <text>
        <r>
          <rPr>
            <b/>
            <sz val="9"/>
            <color indexed="81"/>
            <rFont val="Tahoma"/>
            <family val="2"/>
            <charset val="204"/>
          </rPr>
          <t xml:space="preserve">30,2% на КОСГУ 266
</t>
        </r>
        <r>
          <rPr>
            <sz val="9"/>
            <color indexed="81"/>
            <rFont val="Tahoma"/>
            <family val="2"/>
            <charset val="204"/>
          </rPr>
          <t xml:space="preserve">
</t>
        </r>
      </text>
    </comment>
    <comment ref="AW33" authorId="0">
      <text>
        <r>
          <rPr>
            <sz val="9"/>
            <color indexed="81"/>
            <rFont val="Tahoma"/>
            <family val="2"/>
            <charset val="204"/>
          </rPr>
          <t xml:space="preserve">только аванс января
</t>
        </r>
      </text>
    </comment>
    <comment ref="BS33" authorId="0">
      <text>
        <r>
          <rPr>
            <b/>
            <sz val="9"/>
            <color indexed="81"/>
            <rFont val="Tahoma"/>
            <family val="2"/>
            <charset val="204"/>
          </rPr>
          <t>половина зп ноября + вся зп за декабрь</t>
        </r>
      </text>
    </comment>
    <comment ref="BG35" authorId="1">
      <text>
        <r>
          <rPr>
            <b/>
            <sz val="9"/>
            <color indexed="81"/>
            <rFont val="Tahoma"/>
            <family val="2"/>
            <charset val="204"/>
          </rPr>
          <t>в том числе 7006,40 руб. компенсация проезда к месту учебы Марьянчук Е.А.
15430,00 проезд к месту отпуска Сидоренко Д.С.
38870,00 проезд к месту отпуска Соловьев И.В.</t>
        </r>
      </text>
    </comment>
    <comment ref="BG36" authorId="1">
      <text>
        <r>
          <rPr>
            <b/>
            <sz val="9"/>
            <color indexed="81"/>
            <rFont val="Tahoma"/>
            <family val="2"/>
            <charset val="204"/>
          </rPr>
          <t>Кондратьева Е. заявление от 15.06.2021 доплата 8637р.</t>
        </r>
      </text>
    </comment>
    <comment ref="BO36" authorId="1">
      <text>
        <r>
          <rPr>
            <sz val="9"/>
            <color indexed="81"/>
            <rFont val="Tahoma"/>
            <family val="2"/>
            <charset val="204"/>
          </rPr>
          <t>Дремин принес 1 билет по дочери</t>
        </r>
      </text>
    </comment>
    <comment ref="K37" authorId="1">
      <text>
        <r>
          <rPr>
            <b/>
            <sz val="9"/>
            <color indexed="81"/>
            <rFont val="Tahoma"/>
            <family val="2"/>
            <charset val="204"/>
          </rPr>
          <t>Марьянчук Е.А.</t>
        </r>
        <r>
          <rPr>
            <sz val="9"/>
            <color indexed="81"/>
            <rFont val="Tahoma"/>
            <family val="2"/>
            <charset val="204"/>
          </rPr>
          <t xml:space="preserve">
7 006,40 руб в июне</t>
        </r>
      </text>
    </comment>
    <comment ref="K38" authorId="1">
      <text>
        <r>
          <rPr>
            <b/>
            <sz val="9"/>
            <color indexed="81"/>
            <rFont val="Tahoma"/>
            <family val="2"/>
            <charset val="204"/>
          </rPr>
          <t>ежемесячные компенсационные выплаты в размере 50 рублей сотрудникам (работникам), находящимся в отпуске по уходу за ребенком до достижения им возраста 3 лет, назначаемые и выплачиваемые в соответствии с постановлением Правительства Российской Федерации от 3 ноября 1994 года N 1206 "Об утверждении порядка назначения и выплаты ежемесячных компенсационных выплат отдельным категориям граждан" (Собрание законодательства Российской Федерации, 1994, N 29, ст. 3035; 2018, N 50, ст. 7755)</t>
        </r>
      </text>
    </comment>
    <comment ref="K40" authorId="0">
      <text>
        <r>
          <rPr>
            <b/>
            <sz val="9"/>
            <color indexed="81"/>
            <rFont val="Tahoma"/>
            <family val="2"/>
            <charset val="204"/>
          </rPr>
          <t>здесь план корректирую по факту Аниных авансовых за покупку конвертов</t>
        </r>
        <r>
          <rPr>
            <sz val="9"/>
            <color indexed="81"/>
            <rFont val="Tahoma"/>
            <family val="2"/>
            <charset val="204"/>
          </rPr>
          <t xml:space="preserve">
</t>
        </r>
      </text>
    </comment>
    <comment ref="K42" authorId="1">
      <text>
        <r>
          <rPr>
            <sz val="10"/>
            <color indexed="81"/>
            <rFont val="Tahoma"/>
            <family val="2"/>
            <charset val="204"/>
          </rPr>
          <t>защищенный канал между Энгельса 11 и проезд Советов 4 (ЦООД)</t>
        </r>
      </text>
    </comment>
    <comment ref="W43" authorId="1">
      <text>
        <r>
          <rPr>
            <sz val="11"/>
            <color indexed="81"/>
            <rFont val="Tahoma"/>
            <family val="2"/>
            <charset val="204"/>
          </rPr>
          <t>лицевой счет 
683088687886</t>
        </r>
      </text>
    </comment>
    <comment ref="AZ49" authorId="1">
      <text>
        <r>
          <rPr>
            <b/>
            <sz val="9"/>
            <color indexed="81"/>
            <rFont val="Tahoma"/>
            <family val="2"/>
            <charset val="204"/>
          </rPr>
          <t>включая ТКО, не делится в платежке</t>
        </r>
      </text>
    </comment>
    <comment ref="BG49" authorId="1">
      <text>
        <r>
          <rPr>
            <b/>
            <sz val="9"/>
            <color indexed="81"/>
            <rFont val="Tahoma"/>
            <family val="2"/>
            <charset val="204"/>
          </rPr>
          <t xml:space="preserve">платежку не делят оплачивают одной здесь добавится ТКО
</t>
        </r>
      </text>
    </comment>
    <comment ref="L52" authorId="0">
      <text>
        <r>
          <rPr>
            <b/>
            <sz val="9"/>
            <color indexed="81"/>
            <rFont val="Tahoma"/>
            <family val="2"/>
            <charset val="204"/>
          </rPr>
          <t>годовая сумма 
12 428 476,80 по договору аренды, уже с учетом ТО инженерных систем</t>
        </r>
      </text>
    </comment>
    <comment ref="X52" authorId="1">
      <text>
        <r>
          <rPr>
            <b/>
            <sz val="9"/>
            <color indexed="81"/>
            <rFont val="Tahoma"/>
            <family val="2"/>
            <charset val="204"/>
          </rPr>
          <t>8 мес, чтобы не регистрировать в Росреестре и не была по бух учету Крупная сделка больше 9млн.</t>
        </r>
      </text>
    </comment>
    <comment ref="BK54" authorId="1">
      <text>
        <r>
          <rPr>
            <b/>
            <sz val="9"/>
            <color indexed="81"/>
            <rFont val="Tahoma"/>
            <family val="2"/>
            <charset val="204"/>
          </rPr>
          <t>за 3 мес (май, июнь, июль)</t>
        </r>
      </text>
    </comment>
    <comment ref="X56" authorId="1">
      <text>
        <r>
          <rPr>
            <b/>
            <sz val="9"/>
            <color indexed="81"/>
            <rFont val="Tahoma"/>
            <family val="2"/>
            <charset val="204"/>
          </rPr>
          <t>январь, июль и август исключаем</t>
        </r>
      </text>
    </comment>
    <comment ref="D57"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V57" authorId="0">
      <text>
        <r>
          <rPr>
            <b/>
            <sz val="9"/>
            <color indexed="81"/>
            <rFont val="Tahoma"/>
            <family val="2"/>
            <charset val="204"/>
          </rPr>
          <t xml:space="preserve">внебюджет
</t>
        </r>
      </text>
    </comment>
    <comment ref="X57" authorId="0">
      <text>
        <r>
          <rPr>
            <b/>
            <sz val="9"/>
            <color indexed="81"/>
            <rFont val="Tahoma"/>
            <family val="2"/>
            <charset val="204"/>
          </rPr>
          <t xml:space="preserve">доля от общего объема услуги по 4 и 2-ке
</t>
        </r>
        <r>
          <rPr>
            <sz val="9"/>
            <color indexed="81"/>
            <rFont val="Tahoma"/>
            <family val="2"/>
            <charset val="204"/>
          </rPr>
          <t xml:space="preserve">
</t>
        </r>
      </text>
    </comment>
    <comment ref="D58"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D59"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AS59" authorId="1">
      <text>
        <r>
          <rPr>
            <b/>
            <sz val="9"/>
            <color indexed="81"/>
            <rFont val="Tahoma"/>
            <family val="2"/>
            <charset val="204"/>
          </rPr>
          <t xml:space="preserve">с учетом открытия с 01.02.2021 уборка дополнительно в суб и воскр 354,9м2*42дня*1,61руб=23 998,34
Воскр с 8 до 16
</t>
        </r>
      </text>
    </comment>
    <comment ref="D60"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AS60" authorId="1">
      <text>
        <r>
          <rPr>
            <b/>
            <sz val="9"/>
            <color indexed="81"/>
            <rFont val="Tahoma"/>
            <family val="2"/>
            <charset val="204"/>
          </rPr>
          <t xml:space="preserve">с учетом открытия с 01.02.2021 уборка дополнительно в суб и воскр 354,9м2*42дня*1,61руб=23 998,34
Воскр с 8 до 16
</t>
        </r>
      </text>
    </comment>
    <comment ref="D61"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AS61" authorId="1">
      <text>
        <r>
          <rPr>
            <b/>
            <sz val="9"/>
            <color indexed="81"/>
            <rFont val="Tahoma"/>
            <family val="2"/>
            <charset val="204"/>
          </rPr>
          <t xml:space="preserve">с учетом открытия с 01.02.2021 уборка дополнительно в суб и воскр 354,9м2*42дня*1,61руб=23 998,34
Воскр с 8 до 16
</t>
        </r>
      </text>
    </comment>
    <comment ref="K63" authorId="0">
      <text>
        <r>
          <rPr>
            <b/>
            <sz val="9"/>
            <color indexed="81"/>
            <rFont val="Tahoma"/>
            <family val="2"/>
            <charset val="204"/>
          </rPr>
          <t xml:space="preserve">первый показ - апрель
</t>
        </r>
        <r>
          <rPr>
            <sz val="9"/>
            <color indexed="81"/>
            <rFont val="Tahoma"/>
            <family val="2"/>
            <charset val="204"/>
          </rPr>
          <t xml:space="preserve">
</t>
        </r>
      </text>
    </comment>
    <comment ref="BC63" authorId="1">
      <text>
        <r>
          <rPr>
            <b/>
            <sz val="9"/>
            <color indexed="81"/>
            <rFont val="Tahoma"/>
            <family val="2"/>
            <charset val="204"/>
          </rPr>
          <t>на 2520 дог
 3/21-О от 12.03.2021</t>
        </r>
      </text>
    </comment>
    <comment ref="K64" authorId="0">
      <text>
        <r>
          <rPr>
            <b/>
            <sz val="9"/>
            <color indexed="81"/>
            <rFont val="Tahoma"/>
            <family val="2"/>
            <charset val="204"/>
          </rPr>
          <t xml:space="preserve">первый показ и Лягушка и Первинка - январь-февраль
</t>
        </r>
      </text>
    </comment>
    <comment ref="BO64" authorId="1">
      <text>
        <r>
          <rPr>
            <b/>
            <sz val="9"/>
            <color indexed="81"/>
            <rFont val="Tahoma"/>
            <family val="2"/>
            <charset val="204"/>
          </rPr>
          <t>Царевна-лягушка:
- ткань 5м. =700р
- дерево 10м. = 1400р.
Первинка первая:
- ткань 12м. =1680р
- дерево 3м. = 420р.
Цена одна 140р.</t>
        </r>
      </text>
    </comment>
    <comment ref="K65" authorId="0">
      <text>
        <r>
          <rPr>
            <b/>
            <sz val="9"/>
            <color indexed="81"/>
            <rFont val="Tahoma"/>
            <family val="2"/>
            <charset val="204"/>
          </rPr>
          <t xml:space="preserve">первый показ - апрель
</t>
        </r>
        <r>
          <rPr>
            <sz val="9"/>
            <color indexed="81"/>
            <rFont val="Tahoma"/>
            <family val="2"/>
            <charset val="204"/>
          </rPr>
          <t xml:space="preserve">
</t>
        </r>
      </text>
    </comment>
    <comment ref="K66" authorId="0">
      <text>
        <r>
          <rPr>
            <b/>
            <sz val="9"/>
            <color indexed="81"/>
            <rFont val="Tahoma"/>
            <family val="2"/>
            <charset val="204"/>
          </rPr>
          <t>первый показ - ноябрь</t>
        </r>
      </text>
    </comment>
    <comment ref="D70"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L70" authorId="0">
      <text>
        <r>
          <rPr>
            <b/>
            <sz val="9"/>
            <color indexed="81"/>
            <rFont val="Tahoma"/>
            <family val="2"/>
            <charset val="204"/>
          </rPr>
          <t xml:space="preserve">у Оли было 458180,41
130,28р*количество часов охраны составит 5 110 часов: (365 дней*14 часа/день*1 чел.)
</t>
        </r>
      </text>
    </comment>
    <comment ref="V70" authorId="0">
      <text>
        <r>
          <rPr>
            <b/>
            <sz val="9"/>
            <color indexed="81"/>
            <rFont val="Tahoma"/>
            <family val="2"/>
            <charset val="204"/>
          </rPr>
          <t xml:space="preserve">внебюджет
</t>
        </r>
      </text>
    </comment>
    <comment ref="X70" authorId="0">
      <text>
        <r>
          <rPr>
            <b/>
            <sz val="9"/>
            <color indexed="81"/>
            <rFont val="Tahoma"/>
            <family val="2"/>
            <charset val="204"/>
          </rPr>
          <t xml:space="preserve">доля от общего объема услуги по 4 и 2-ке
</t>
        </r>
        <r>
          <rPr>
            <sz val="9"/>
            <color indexed="81"/>
            <rFont val="Tahoma"/>
            <family val="2"/>
            <charset val="204"/>
          </rPr>
          <t xml:space="preserve">
</t>
        </r>
      </text>
    </comment>
    <comment ref="D71"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W71" authorId="1">
      <text>
        <r>
          <rPr>
            <b/>
            <sz val="9"/>
            <color indexed="81"/>
            <rFont val="Tahoma"/>
            <family val="2"/>
            <charset val="204"/>
          </rPr>
          <t>общая сумма по договору 4-ка + 2-ка всего 382 050,00р. 
!!! продление суммы договора потребуется на октябрь хватает в притирку, а на ноябрь уже нет</t>
        </r>
      </text>
    </comment>
    <comment ref="AY71" authorId="1">
      <text>
        <r>
          <rPr>
            <sz val="9"/>
            <color indexed="81"/>
            <rFont val="Tahoma"/>
            <family val="2"/>
            <charset val="204"/>
          </rPr>
          <t>цена 150 * 12 часов * 15 дней
(с 06.02.21 добавляется еще суббота и воскресенье: пн-суб. с 8 до 20, вокр с с 9 до 17)</t>
        </r>
      </text>
    </comment>
    <comment ref="AY73" authorId="1">
      <text>
        <r>
          <rPr>
            <b/>
            <sz val="9"/>
            <color indexed="81"/>
            <rFont val="Tahoma"/>
            <family val="2"/>
            <charset val="204"/>
          </rPr>
          <t>в январе было без суб и воскр, 
с февраля 12 часов (с 8 до 20) в т.ч. в суб и воскр., с 11.01.21 будет 180 часов *6,05 руб. в час= 1089,00</t>
        </r>
        <r>
          <rPr>
            <sz val="9"/>
            <color indexed="81"/>
            <rFont val="Tahoma"/>
            <family val="2"/>
            <charset val="204"/>
          </rPr>
          <t xml:space="preserve">
было при планировании 49,18*31кол-во дней (с ООО "Страж" был такой расчет)</t>
        </r>
      </text>
    </comment>
    <comment ref="AY74" authorId="1">
      <text>
        <r>
          <rPr>
            <b/>
            <sz val="9"/>
            <color indexed="81"/>
            <rFont val="Tahoma"/>
            <family val="2"/>
            <charset val="204"/>
          </rPr>
          <t>6 чел/часов в месяц * стимость часа 724,60 (по Постановлению Адм Сургтута №9168 от 06.12.2019)= 4 347,60 в мес.</t>
        </r>
      </text>
    </comment>
    <comment ref="BK74" authorId="1">
      <text>
        <r>
          <rPr>
            <b/>
            <sz val="9"/>
            <color indexed="81"/>
            <rFont val="Tahoma"/>
            <family val="2"/>
            <charset val="204"/>
          </rPr>
          <t>за 3 мес (май, июнь, июль)</t>
        </r>
      </text>
    </comment>
    <comment ref="BK75" authorId="1">
      <text>
        <r>
          <rPr>
            <b/>
            <sz val="9"/>
            <color indexed="81"/>
            <rFont val="Tahoma"/>
            <family val="2"/>
            <charset val="204"/>
          </rPr>
          <t xml:space="preserve">за 3 мес (май, июнь, июль)
</t>
        </r>
      </text>
    </comment>
    <comment ref="K78" authorId="0">
      <text>
        <r>
          <rPr>
            <sz val="9"/>
            <color indexed="81"/>
            <rFont val="Tahoma"/>
            <family val="2"/>
            <charset val="204"/>
          </rPr>
          <t>"1С: Бухгалтерия государственного учреждения"
"1С: Зарплата и Кадры бюджетного учреждения"</t>
        </r>
      </text>
    </comment>
    <comment ref="X78" authorId="1">
      <text>
        <r>
          <rPr>
            <b/>
            <sz val="9"/>
            <color indexed="81"/>
            <rFont val="Tahoma"/>
            <family val="2"/>
            <charset val="204"/>
          </rPr>
          <t>пока на 6 мес, чтобы меньше 100 000р.</t>
        </r>
      </text>
    </comment>
    <comment ref="K79" authorId="0">
      <text>
        <r>
          <rPr>
            <sz val="9"/>
            <color indexed="81"/>
            <rFont val="Tahoma"/>
            <family val="2"/>
            <charset val="204"/>
          </rPr>
          <t>"1С: Бухгалтерия государственного учреждения"
"1С: Зарплата и Кадры бюджетного учреждения"</t>
        </r>
      </text>
    </comment>
    <comment ref="X79" authorId="1">
      <text>
        <r>
          <rPr>
            <b/>
            <sz val="9"/>
            <color indexed="81"/>
            <rFont val="Tahoma"/>
            <family val="2"/>
            <charset val="204"/>
          </rPr>
          <t>пока на 6 мес, чтобы меньше 100 000р.</t>
        </r>
      </text>
    </comment>
    <comment ref="K80" authorId="0">
      <text>
        <r>
          <rPr>
            <b/>
            <sz val="9"/>
            <color indexed="81"/>
            <rFont val="Tahoma"/>
            <family val="2"/>
            <charset val="204"/>
          </rPr>
          <t>4 ключа 1 раз в год</t>
        </r>
        <r>
          <rPr>
            <sz val="9"/>
            <color indexed="81"/>
            <rFont val="Tahoma"/>
            <family val="2"/>
            <charset val="204"/>
          </rPr>
          <t xml:space="preserve">
</t>
        </r>
      </text>
    </comment>
    <comment ref="K86" authorId="0">
      <text>
        <r>
          <rPr>
            <b/>
            <sz val="9"/>
            <color indexed="81"/>
            <rFont val="Tahoma"/>
            <family val="2"/>
            <charset val="204"/>
          </rPr>
          <t>Мероприятия</t>
        </r>
      </text>
    </comment>
    <comment ref="L87" authorId="1">
      <text>
        <r>
          <rPr>
            <b/>
            <sz val="9"/>
            <color indexed="81"/>
            <rFont val="Tahoma"/>
            <family val="2"/>
            <charset val="204"/>
          </rPr>
          <t>начальная 340 187,83</t>
        </r>
      </text>
    </comment>
    <comment ref="L94" authorId="1">
      <text>
        <r>
          <rPr>
            <sz val="9"/>
            <color indexed="81"/>
            <rFont val="Tahoma"/>
            <family val="2"/>
            <charset val="204"/>
          </rPr>
          <t>было на 2021 год:
559 569,35 - всего
319 887,83 - Услуги по организации постановки спектакля  (режиссер-постановщик, художник-постановщик)
112 266,67 - Услуги по изготовлению кукол
74 054,95 - Услуги композитора
28 300,00 - Услуги по разработке рекламных материалов (ИП Овчинников)
28 059,90 - Услуги по печати на ткани по эскизу</t>
        </r>
      </text>
    </comment>
    <comment ref="K133" authorId="0">
      <text>
        <r>
          <rPr>
            <b/>
            <sz val="9"/>
            <color indexed="81"/>
            <rFont val="Tahoma"/>
            <family val="2"/>
            <charset val="204"/>
          </rPr>
          <t>Мероприятия</t>
        </r>
      </text>
    </comment>
    <comment ref="L134" authorId="1">
      <text>
        <r>
          <rPr>
            <b/>
            <sz val="9"/>
            <color indexed="81"/>
            <rFont val="Tahoma"/>
            <family val="2"/>
            <charset val="204"/>
          </rPr>
          <t xml:space="preserve">установлено 64 879,15
</t>
        </r>
        <r>
          <rPr>
            <sz val="9"/>
            <color indexed="81"/>
            <rFont val="Tahoma"/>
            <family val="2"/>
            <charset val="204"/>
          </rPr>
          <t xml:space="preserve">
</t>
        </r>
      </text>
    </comment>
    <comment ref="L198" authorId="0">
      <text>
        <r>
          <rPr>
            <b/>
            <sz val="9"/>
            <color indexed="81"/>
            <rFont val="Tahoma"/>
            <family val="2"/>
            <charset val="204"/>
          </rPr>
          <t xml:space="preserve">у Оли было 114 103,74
</t>
        </r>
      </text>
    </comment>
    <comment ref="Q198" authorId="0">
      <text>
        <r>
          <rPr>
            <b/>
            <sz val="9"/>
            <color indexed="81"/>
            <rFont val="Tahoma"/>
            <family val="2"/>
            <charset val="204"/>
          </rPr>
          <t>Оли 131 233,54</t>
        </r>
      </text>
    </comment>
    <comment ref="S198" authorId="0">
      <text>
        <r>
          <rPr>
            <b/>
            <sz val="9"/>
            <color indexed="81"/>
            <rFont val="Tahoma"/>
            <family val="2"/>
            <charset val="204"/>
          </rPr>
          <t>Оли 122 383,74</t>
        </r>
      </text>
    </comment>
    <comment ref="W199" authorId="1">
      <text>
        <r>
          <rPr>
            <b/>
            <sz val="9"/>
            <color indexed="81"/>
            <rFont val="Tahoma"/>
            <family val="2"/>
            <charset val="204"/>
          </rPr>
          <t>на 31 640,00 дог 08/21 от 28.01.2021
на 12 962,50 дог от марта</t>
        </r>
      </text>
    </comment>
    <comment ref="W200" authorId="1">
      <text>
        <r>
          <rPr>
            <b/>
            <sz val="9"/>
            <color indexed="81"/>
            <rFont val="Tahoma"/>
            <family val="2"/>
            <charset val="204"/>
          </rPr>
          <t>на 31 640,00 дог 08/21 от 28.01.2021
на 12 962,50 дог от марта</t>
        </r>
      </text>
    </comment>
    <comment ref="L202" authorId="0">
      <text>
        <r>
          <rPr>
            <b/>
            <sz val="9"/>
            <color indexed="81"/>
            <rFont val="Tahoma"/>
            <family val="2"/>
            <charset val="204"/>
          </rPr>
          <t>земельный налог за 2020 год (платится 1 раз в год)</t>
        </r>
      </text>
    </comment>
    <comment ref="L203" authorId="0">
      <text>
        <r>
          <rPr>
            <b/>
            <sz val="9"/>
            <color indexed="81"/>
            <rFont val="Tahoma"/>
            <family val="2"/>
            <charset val="204"/>
          </rPr>
          <t>земельный налог за 2020 год (платится 1 раз в год)</t>
        </r>
      </text>
    </comment>
    <comment ref="L204" authorId="0">
      <text>
        <r>
          <rPr>
            <b/>
            <sz val="9"/>
            <color indexed="81"/>
            <rFont val="Tahoma"/>
            <family val="2"/>
            <charset val="204"/>
          </rPr>
          <t xml:space="preserve">0,15% с ФОТ, отчисляет отдельно работодатель в 4 квартале, помимо этого еще удерживается с з/н сотрудника
</t>
        </r>
      </text>
    </comment>
    <comment ref="L205" authorId="0">
      <text>
        <r>
          <rPr>
            <b/>
            <sz val="9"/>
            <color indexed="81"/>
            <rFont val="Tahoma"/>
            <family val="2"/>
            <charset val="204"/>
          </rPr>
          <t xml:space="preserve">было у Оли 9 740,39
</t>
        </r>
      </text>
    </comment>
    <comment ref="Q205" authorId="0">
      <text>
        <r>
          <rPr>
            <b/>
            <sz val="9"/>
            <color indexed="81"/>
            <rFont val="Tahoma"/>
            <family val="2"/>
            <charset val="204"/>
          </rPr>
          <t xml:space="preserve">было у Оли 9 740,39
</t>
        </r>
      </text>
    </comment>
    <comment ref="S205" authorId="0">
      <text>
        <r>
          <rPr>
            <b/>
            <sz val="9"/>
            <color indexed="81"/>
            <rFont val="Tahoma"/>
            <family val="2"/>
            <charset val="204"/>
          </rPr>
          <t xml:space="preserve">было у Оли 9 740,39
</t>
        </r>
      </text>
    </comment>
    <comment ref="L207" authorId="0">
      <text>
        <r>
          <rPr>
            <b/>
            <sz val="9"/>
            <color indexed="81"/>
            <rFont val="Tahoma"/>
            <family val="2"/>
            <charset val="204"/>
          </rPr>
          <t xml:space="preserve">было у Оли 9 740,39
</t>
        </r>
      </text>
    </comment>
    <comment ref="Q207" authorId="0">
      <text>
        <r>
          <rPr>
            <b/>
            <sz val="9"/>
            <color indexed="81"/>
            <rFont val="Tahoma"/>
            <family val="2"/>
            <charset val="204"/>
          </rPr>
          <t xml:space="preserve">было у Оли 9 740,39
</t>
        </r>
      </text>
    </comment>
    <comment ref="S207" authorId="0">
      <text>
        <r>
          <rPr>
            <b/>
            <sz val="9"/>
            <color indexed="81"/>
            <rFont val="Tahoma"/>
            <family val="2"/>
            <charset val="204"/>
          </rPr>
          <t xml:space="preserve">было у Оли 9 740,39
</t>
        </r>
      </text>
    </comment>
    <comment ref="L208" authorId="0">
      <text>
        <r>
          <rPr>
            <b/>
            <sz val="9"/>
            <color indexed="81"/>
            <rFont val="Tahoma"/>
            <family val="2"/>
            <charset val="204"/>
          </rPr>
          <t xml:space="preserve">Сообщить Эсли, чтобы откорректировал 10 рублей, у них 715 900 округляет
</t>
        </r>
      </text>
    </comment>
    <comment ref="Q208" authorId="0">
      <text>
        <r>
          <rPr>
            <b/>
            <sz val="9"/>
            <color indexed="81"/>
            <rFont val="Tahoma"/>
            <family val="2"/>
            <charset val="204"/>
          </rPr>
          <t xml:space="preserve">Сообщить Эсли, чтобы откорректировал 10 рублей, у них 715 900 округляет
</t>
        </r>
      </text>
    </comment>
    <comment ref="S208" authorId="0">
      <text>
        <r>
          <rPr>
            <b/>
            <sz val="9"/>
            <color indexed="81"/>
            <rFont val="Tahoma"/>
            <family val="2"/>
            <charset val="204"/>
          </rPr>
          <t xml:space="preserve">Сообщить Эсли, чтобы откорректировал 10 рублей, у них 715 900 округляет
</t>
        </r>
      </text>
    </comment>
    <comment ref="L209" authorId="0">
      <text>
        <r>
          <rPr>
            <b/>
            <sz val="9"/>
            <color indexed="81"/>
            <rFont val="Tahoma"/>
            <family val="2"/>
            <charset val="204"/>
          </rPr>
          <t xml:space="preserve">было у Оли 9 740,39
</t>
        </r>
      </text>
    </comment>
    <comment ref="Q209" authorId="0">
      <text>
        <r>
          <rPr>
            <b/>
            <sz val="9"/>
            <color indexed="81"/>
            <rFont val="Tahoma"/>
            <family val="2"/>
            <charset val="204"/>
          </rPr>
          <t xml:space="preserve">было у Оли 9 740,39
</t>
        </r>
      </text>
    </comment>
    <comment ref="S209" authorId="0">
      <text>
        <r>
          <rPr>
            <b/>
            <sz val="9"/>
            <color indexed="81"/>
            <rFont val="Tahoma"/>
            <family val="2"/>
            <charset val="204"/>
          </rPr>
          <t xml:space="preserve">было у Оли 9 740,39
</t>
        </r>
      </text>
    </comment>
    <comment ref="L217" authorId="0">
      <text>
        <r>
          <rPr>
            <b/>
            <sz val="9"/>
            <color indexed="81"/>
            <rFont val="Tahoma"/>
            <family val="2"/>
            <charset val="204"/>
          </rPr>
          <t>осталось обучить 25 чел</t>
        </r>
      </text>
    </comment>
    <comment ref="K234" authorId="1">
      <text>
        <r>
          <rPr>
            <b/>
            <sz val="9"/>
            <color indexed="81"/>
            <rFont val="Tahoma"/>
            <family val="2"/>
            <charset val="204"/>
          </rPr>
          <t>Субсидия на реализацию наказов избирателей депутатам Думы Ханты-Мансийского автономного округа – Югры, источником финансового обеспечения которых являются иные межбюджетные трансферты (Департамент культуры ХМАО-Югры).
Приобретение:
- видеокамер - 2 шт.,
- профессиональных жестких кофров для камеры - 2 шт.,
- видеоштативов - 2 шт,
- компьютера Core i5 VS - 1 шт.,
- монитора 27" НР - 1 шт., 
- монтажной станции (рабочая нелинейного монтажа) - 1 шт., 
- гримерных столиков - 16 шт.,
- стульев - 16 шт.,
- ростовых зеркал - 4 шт.</t>
        </r>
      </text>
    </comment>
    <comment ref="K235" authorId="1">
      <text>
        <r>
          <rPr>
            <b/>
            <sz val="9"/>
            <color indexed="81"/>
            <rFont val="Tahoma"/>
            <family val="2"/>
            <charset val="204"/>
          </rPr>
          <t>Субсидия на реализацию наказов избирателей депутатам Думы Ханты-Мансийского автономного округа – Югры, источником финансового обеспечения которых являются иные межбюджетные трансферты (Департамент культуры ХМАО-Югры).
Приобретение:
- видеокамер - 2 шт.,
- профессиональных жестких кофров для камеры - 2 шт.,
- видеоштативов - 2 шт,
- компьютера Core i5 VS - 1 шт.,
- монитора 27" НР - 1 шт., 
- монтажной станции (рабочая нелинейного монтажа) - 1 шт., 
- гримерных столиков - 16 шт.,
- стульев - 16 шт.,
- ростовых зеркал - 4 шт.</t>
        </r>
      </text>
    </comment>
    <comment ref="K236" authorId="1">
      <text>
        <r>
          <rPr>
            <b/>
            <sz val="9"/>
            <color indexed="81"/>
            <rFont val="Tahoma"/>
            <family val="2"/>
            <charset val="204"/>
          </rPr>
          <t>Субсидия на реализацию наказов избирателей депутатам Думы Ханты-Мансийского автономного округа – Югры, источником финансового обеспечения которых являются иные межбюджетные трансферты (Департамент культуры ХМАО-Югры).
Приобретение:
- видеокамер - 2 шт.,
- профессиональных жестких кофров для камеры - 2 шт.,
- видеоштативов - 2 шт,
- компьютера Core i5 VS - 1 шт.,
- монитора 27" НР - 1 шт., 
- монтажной станции (рабочая нелинейного монтажа) - 1 шт., 
- гримерных столиков - 16 шт.,
- стульев - 16 шт.,
- ростовых зеркал - 4 шт.</t>
        </r>
      </text>
    </comment>
    <comment ref="BE247" authorId="1">
      <text>
        <r>
          <rPr>
            <b/>
            <sz val="9"/>
            <color indexed="81"/>
            <rFont val="Tahoma"/>
            <family val="2"/>
            <charset val="204"/>
          </rPr>
          <t>были некорректно оплачены 900р. Питание (они должны быть как суточные а их поставили в проезд проживание) потом откоректировали.</t>
        </r>
      </text>
    </comment>
    <comment ref="BM247" authorId="1">
      <text>
        <r>
          <rPr>
            <b/>
            <sz val="9"/>
            <color indexed="81"/>
            <rFont val="Tahoma"/>
            <family val="2"/>
            <charset val="204"/>
          </rPr>
          <t>1500 - Дир в Москву
3500 - Верчук в Москву</t>
        </r>
      </text>
    </comment>
    <comment ref="L250" authorId="0">
      <text>
        <r>
          <rPr>
            <b/>
            <sz val="9"/>
            <color indexed="81"/>
            <rFont val="Tahoma"/>
            <family val="2"/>
            <charset val="204"/>
          </rPr>
          <t xml:space="preserve">Компенсационную выплату работникам, находящимся в отпуске по уходу за ребенком до достижения им возраста 3-х лет:
- Лалаян Юлия Маратовна - 85р * 12 раз
</t>
        </r>
      </text>
    </comment>
    <comment ref="Q250" authorId="0">
      <text>
        <r>
          <rPr>
            <b/>
            <sz val="9"/>
            <color indexed="81"/>
            <rFont val="Tahoma"/>
            <family val="2"/>
            <charset val="204"/>
          </rPr>
          <t>Компенсационную выплату работникам, находящимся в отпуске по уходу за ребенком до достижения им возраста 3-х лет:
- Лалаян Юлия Маратовна - 85р * 5 раза</t>
        </r>
      </text>
    </comment>
    <comment ref="K253" authorId="0">
      <text>
        <r>
          <rPr>
            <b/>
            <sz val="9"/>
            <color indexed="81"/>
            <rFont val="Tahoma"/>
            <family val="2"/>
            <charset val="204"/>
          </rPr>
          <t>здесь план корректирую по факту Аниных авансовых за покупку конвертов</t>
        </r>
        <r>
          <rPr>
            <sz val="9"/>
            <color indexed="81"/>
            <rFont val="Tahoma"/>
            <family val="2"/>
            <charset val="204"/>
          </rPr>
          <t xml:space="preserve">
</t>
        </r>
      </text>
    </comment>
    <comment ref="BB253" authorId="1">
      <text>
        <r>
          <rPr>
            <b/>
            <sz val="9"/>
            <color indexed="81"/>
            <rFont val="Tahoma"/>
            <family val="2"/>
            <charset val="204"/>
          </rPr>
          <t>Тереньева А.А. авансовый №10 от 03.03.2021</t>
        </r>
      </text>
    </comment>
    <comment ref="BC253" authorId="1">
      <text>
        <r>
          <rPr>
            <b/>
            <sz val="9"/>
            <color indexed="81"/>
            <rFont val="Tahoma"/>
            <family val="2"/>
            <charset val="204"/>
          </rPr>
          <t>два авансовых на одинаковую сумму 261,50р.
1) авансовый №26 от 23.04.21
2) авансовый от 26.04.21</t>
        </r>
      </text>
    </comment>
    <comment ref="BE253" authorId="1">
      <text>
        <r>
          <rPr>
            <b/>
            <sz val="9"/>
            <color indexed="81"/>
            <rFont val="Tahoma"/>
            <family val="2"/>
            <charset val="204"/>
          </rPr>
          <t>276,50р. - авансовый №32 от 20.05.2021 Гаврилова С.В.
907,50р. - авансовый №35 от 26.05.2021 Гаврилова С.В.</t>
        </r>
      </text>
    </comment>
    <comment ref="BG253" authorId="1">
      <text>
        <r>
          <rPr>
            <b/>
            <sz val="9"/>
            <color indexed="81"/>
            <rFont val="Tahoma"/>
            <family val="2"/>
            <charset val="204"/>
          </rPr>
          <t xml:space="preserve">авансовый №37 от 09.06.2021
</t>
        </r>
      </text>
    </comment>
    <comment ref="BM253" authorId="1">
      <text>
        <r>
          <rPr>
            <b/>
            <sz val="9"/>
            <color indexed="81"/>
            <rFont val="Tahoma"/>
            <family val="2"/>
            <charset val="204"/>
          </rPr>
          <t>авнсовый №75 от 06.09.2021 на 1404,50, но там еще были батарейки-аккумуляторы для трубок телефона (КОСГУ346) на 860 рублей</t>
        </r>
      </text>
    </comment>
    <comment ref="K255" authorId="1">
      <text>
        <r>
          <rPr>
            <sz val="10"/>
            <color indexed="81"/>
            <rFont val="Tahoma"/>
            <family val="2"/>
            <charset val="204"/>
          </rPr>
          <t>защищенный канал между Энгельса 11 и проезд Советов 4 (ЦООД)</t>
        </r>
      </text>
    </comment>
    <comment ref="L260" authorId="0">
      <text>
        <r>
          <rPr>
            <b/>
            <sz val="9"/>
            <color indexed="81"/>
            <rFont val="Tahoma"/>
            <family val="2"/>
            <charset val="204"/>
          </rPr>
          <t xml:space="preserve">у Оли 1 199 595,54
</t>
        </r>
      </text>
    </comment>
    <comment ref="Q260" authorId="0">
      <text>
        <r>
          <rPr>
            <b/>
            <sz val="9"/>
            <color indexed="81"/>
            <rFont val="Tahoma"/>
            <family val="2"/>
            <charset val="204"/>
          </rPr>
          <t xml:space="preserve">у Оли 1 199 595,54
</t>
        </r>
      </text>
    </comment>
    <comment ref="S260" authorId="0">
      <text>
        <r>
          <rPr>
            <b/>
            <sz val="9"/>
            <color indexed="81"/>
            <rFont val="Tahoma"/>
            <family val="2"/>
            <charset val="204"/>
          </rPr>
          <t xml:space="preserve">у Оли 1 199 595,54
</t>
        </r>
      </text>
    </comment>
    <comment ref="L264" authorId="0">
      <text>
        <r>
          <rPr>
            <b/>
            <sz val="9"/>
            <color indexed="81"/>
            <rFont val="Tahoma"/>
            <family val="2"/>
            <charset val="204"/>
          </rPr>
          <t>годовая сумма 
12 428 476,80 по договору аренды, уже с учетом ТО инженерных систем</t>
        </r>
      </text>
    </comment>
    <comment ref="D265"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266"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W266" authorId="1">
      <text>
        <r>
          <rPr>
            <b/>
            <sz val="9"/>
            <color indexed="81"/>
            <rFont val="Tahoma"/>
            <family val="2"/>
            <charset val="204"/>
          </rPr>
          <t>договор на 35000</t>
        </r>
      </text>
    </comment>
    <comment ref="D267"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K267" authorId="0">
      <text>
        <r>
          <rPr>
            <b/>
            <sz val="9"/>
            <color indexed="81"/>
            <rFont val="Tahoma"/>
            <family val="2"/>
            <charset val="204"/>
          </rPr>
          <t>первый показ - ноябрь</t>
        </r>
      </text>
    </comment>
    <comment ref="BC267" authorId="1">
      <text>
        <r>
          <rPr>
            <b/>
            <sz val="9"/>
            <color indexed="81"/>
            <rFont val="Tahoma"/>
            <family val="2"/>
            <charset val="204"/>
          </rPr>
          <t>ткань по 140р.*18м.кв=2520
140р.*12м.кв.=1680</t>
        </r>
      </text>
    </comment>
    <comment ref="D268"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BA268" authorId="1">
      <text>
        <r>
          <rPr>
            <b/>
            <sz val="9"/>
            <color indexed="81"/>
            <rFont val="Tahoma"/>
            <family val="2"/>
            <charset val="204"/>
          </rPr>
          <t>2 спектакля "МойДоДыр" и "Алладин и волшебный светильник"</t>
        </r>
      </text>
    </comment>
    <comment ref="BC268" authorId="1">
      <text>
        <r>
          <rPr>
            <b/>
            <sz val="9"/>
            <color indexed="81"/>
            <rFont val="Tahoma"/>
            <family val="2"/>
            <charset val="204"/>
          </rPr>
          <t>10/21 от 29.03.2021 Спектакль "Сказ о Емеле, царе и щучьем волшебстве"</t>
        </r>
      </text>
    </comment>
    <comment ref="D269"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270"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271"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D272"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BE274" authorId="1">
      <text>
        <r>
          <rPr>
            <b/>
            <sz val="9"/>
            <color indexed="81"/>
            <rFont val="Tahoma"/>
            <family val="2"/>
            <charset val="204"/>
          </rPr>
          <t xml:space="preserve">изначально учил  вданной суммме расходы на питание, а это относится к КОСГУ 212 как уточные откорректировали их на 900 в суточные, а 300р. директор просто сделала возврат
</t>
        </r>
      </text>
    </comment>
    <comment ref="D275"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D276"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W276" authorId="1">
      <text>
        <r>
          <rPr>
            <b/>
            <sz val="9"/>
            <color indexed="81"/>
            <rFont val="Tahoma"/>
            <family val="2"/>
            <charset val="204"/>
          </rPr>
          <t>общая сумма по договору 4-ка + 2-ка всего 382 050,00р. 
!!! продление суммы договора потребуется на октябрь ватает, а на ноябрь уже нет</t>
        </r>
      </text>
    </comment>
    <comment ref="BA276" authorId="1">
      <text>
        <r>
          <rPr>
            <b/>
            <sz val="9"/>
            <color indexed="81"/>
            <rFont val="Tahoma"/>
            <family val="2"/>
            <charset val="204"/>
          </rPr>
          <t xml:space="preserve">доп за февраль на 450 руб. это 3 часа по 150р.
</t>
        </r>
      </text>
    </comment>
    <comment ref="BM276" authorId="1">
      <text>
        <r>
          <rPr>
            <b/>
            <sz val="9"/>
            <color indexed="81"/>
            <rFont val="Tahoma"/>
            <family val="2"/>
            <charset val="204"/>
          </rPr>
          <t>за август оплата</t>
        </r>
      </text>
    </comment>
    <comment ref="AY280" authorId="1">
      <text>
        <r>
          <rPr>
            <b/>
            <sz val="9"/>
            <color indexed="81"/>
            <rFont val="Tahoma"/>
            <family val="2"/>
            <charset val="204"/>
          </rPr>
          <t>по счету на оплату  продления домена 1009р. и хостинга 1400,00р. teatr-petrushka.ru на 1 год, по счету №56 от 10.02.2021</t>
        </r>
        <r>
          <rPr>
            <sz val="9"/>
            <color indexed="81"/>
            <rFont val="Tahoma"/>
            <family val="2"/>
            <charset val="204"/>
          </rPr>
          <t xml:space="preserve">
</t>
        </r>
      </text>
    </comment>
    <comment ref="BC280" authorId="1">
      <text>
        <r>
          <rPr>
            <b/>
            <sz val="9"/>
            <color indexed="81"/>
            <rFont val="Tahoma"/>
            <family val="2"/>
            <charset val="204"/>
          </rPr>
          <t xml:space="preserve">дог на модернизацию сайта на 15000
</t>
        </r>
      </text>
    </comment>
    <comment ref="BG280" authorId="1">
      <text>
        <r>
          <rPr>
            <b/>
            <sz val="9"/>
            <color indexed="81"/>
            <rFont val="Tahoma"/>
            <family val="2"/>
            <charset val="204"/>
          </rPr>
          <t>установка каптчи на форму обратной связи на официальном сайте</t>
        </r>
      </text>
    </comment>
    <comment ref="K281" authorId="0">
      <text>
        <r>
          <rPr>
            <b/>
            <sz val="9"/>
            <color indexed="81"/>
            <rFont val="Tahoma"/>
            <family val="2"/>
            <charset val="204"/>
          </rPr>
          <t>приобретение доступа для 2 рабочих мест к зарплате 1 бухгалтеру и 1 кадрам. Приобретение права пользования 1С:Предприятие 8 ПРОФ. Клиентская лицензия на 1 рабочее место - 2 шт.</t>
        </r>
      </text>
    </comment>
    <comment ref="K283" authorId="0">
      <text>
        <r>
          <rPr>
            <b/>
            <sz val="9"/>
            <color indexed="81"/>
            <rFont val="Tahoma"/>
            <family val="2"/>
            <charset val="204"/>
          </rPr>
          <t>4 ключа 1 раз в год</t>
        </r>
        <r>
          <rPr>
            <sz val="9"/>
            <color indexed="81"/>
            <rFont val="Tahoma"/>
            <family val="2"/>
            <charset val="204"/>
          </rPr>
          <t xml:space="preserve">
</t>
        </r>
      </text>
    </comment>
    <comment ref="L285" authorId="1">
      <text>
        <r>
          <rPr>
            <b/>
            <sz val="9"/>
            <color indexed="81"/>
            <rFont val="Tahoma"/>
            <family val="2"/>
            <charset val="204"/>
          </rPr>
          <t>было =1303567,18-100000+69426,41-39600-12600-2500-2700-10560-5346-6175-9130-4290-18244</t>
        </r>
      </text>
    </comment>
    <comment ref="BC285" authorId="1">
      <text>
        <r>
          <rPr>
            <b/>
            <sz val="9"/>
            <color indexed="81"/>
            <rFont val="Tahoma"/>
            <family val="2"/>
            <charset val="204"/>
          </rPr>
          <t>плюс компенсация бумаги и мыла</t>
        </r>
      </text>
    </comment>
    <comment ref="BE285" authorId="1">
      <text>
        <r>
          <rPr>
            <sz val="9"/>
            <color indexed="81"/>
            <rFont val="Tahoma"/>
            <family val="2"/>
            <charset val="204"/>
          </rPr>
          <t>15/21 от 01.04.21 на 66275,80 (01.04.2021-31.05.2021)</t>
        </r>
      </text>
    </comment>
    <comment ref="BG285" authorId="1">
      <text>
        <r>
          <rPr>
            <b/>
            <sz val="9"/>
            <color indexed="81"/>
            <rFont val="Tahoma"/>
            <family val="2"/>
            <charset val="204"/>
          </rPr>
          <t>29/21 от 11.05.21 на 96 933,01 (01.05.2021-30.06.2021)</t>
        </r>
      </text>
    </comment>
    <comment ref="BI285" authorId="1">
      <text>
        <r>
          <rPr>
            <b/>
            <sz val="9"/>
            <color indexed="81"/>
            <rFont val="Tahoma"/>
            <family val="2"/>
            <charset val="204"/>
          </rPr>
          <t>36/21 от 08.06.2021 на 102 879,91 (08.06.2021-31.07.2021)</t>
        </r>
      </text>
    </comment>
    <comment ref="L287" authorId="1">
      <text>
        <r>
          <rPr>
            <b/>
            <sz val="9"/>
            <color indexed="81"/>
            <rFont val="Tahoma"/>
            <family val="2"/>
            <charset val="204"/>
          </rPr>
          <t>Указана максимальная сумма 20% (сумма может уменьшиться в зависимости от фактического кол-ва проданных билетов</t>
        </r>
      </text>
    </comment>
    <comment ref="BG287" authorId="1">
      <text>
        <r>
          <rPr>
            <b/>
            <sz val="9"/>
            <color indexed="81"/>
            <rFont val="Tahoma"/>
            <family val="2"/>
            <charset val="204"/>
          </rPr>
          <t>Указана максимальная сумма 20% (сумма может уменьшиться в зависимости от фактического кол-ва проданных билетов</t>
        </r>
      </text>
    </comment>
    <comment ref="BA291" authorId="1">
      <text>
        <r>
          <rPr>
            <b/>
            <sz val="9"/>
            <color indexed="81"/>
            <rFont val="Tahoma"/>
            <family val="2"/>
            <charset val="204"/>
          </rPr>
          <t>мероприятие 26.02.21</t>
        </r>
      </text>
    </comment>
    <comment ref="AY292" authorId="1">
      <text>
        <r>
          <rPr>
            <b/>
            <sz val="9"/>
            <color indexed="81"/>
            <rFont val="Tahoma"/>
            <family val="2"/>
            <charset val="204"/>
          </rPr>
          <t>мероприятие 18.02.21</t>
        </r>
      </text>
    </comment>
    <comment ref="AY293" authorId="1">
      <text>
        <r>
          <rPr>
            <b/>
            <sz val="9"/>
            <color indexed="81"/>
            <rFont val="Tahoma"/>
            <family val="2"/>
            <charset val="204"/>
          </rPr>
          <t>мероприятие 26.02.21</t>
        </r>
      </text>
    </comment>
    <comment ref="BC293" authorId="1">
      <text>
        <r>
          <rPr>
            <b/>
            <sz val="9"/>
            <color indexed="81"/>
            <rFont val="Tahoma"/>
            <family val="2"/>
            <charset val="204"/>
          </rPr>
          <t>на март нельзя, т.к. услуга по нахождению на стендах рамещенной рекламы действует до 31.03.21</t>
        </r>
      </text>
    </comment>
    <comment ref="D296"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BA296" authorId="1">
      <text>
        <r>
          <rPr>
            <b/>
            <sz val="9"/>
            <color indexed="81"/>
            <rFont val="Tahoma"/>
            <family val="2"/>
            <charset val="204"/>
          </rPr>
          <t>Настройка 3 касс, онлайн коннект</t>
        </r>
      </text>
    </comment>
    <comment ref="BC297" authorId="1">
      <text>
        <r>
          <rPr>
            <b/>
            <sz val="9"/>
            <color indexed="81"/>
            <rFont val="Tahoma"/>
            <family val="2"/>
            <charset val="204"/>
          </rPr>
          <t xml:space="preserve">    расчетный листок №1 за 1 кв.2021 - 4106,00руб
    расчетный листок №/2 за 1 кв.2021 - 349,00руб.</t>
        </r>
      </text>
    </comment>
    <comment ref="BC298" authorId="1">
      <text>
        <r>
          <rPr>
            <b/>
            <sz val="9"/>
            <color indexed="81"/>
            <rFont val="Tahoma"/>
            <family val="2"/>
            <charset val="204"/>
          </rPr>
          <t xml:space="preserve">    расчетный листок №1 за 1 кв.2021 - 4106,00руб
    расчетный листок №/2 за 1 кв.2021 - 349,00руб.</t>
        </r>
      </text>
    </comment>
    <comment ref="BI299" authorId="1">
      <text>
        <r>
          <rPr>
            <b/>
            <sz val="9"/>
            <color indexed="81"/>
            <rFont val="Tahoma"/>
            <family val="2"/>
            <charset val="204"/>
          </rPr>
          <t>2520р - РАО Устюгов
100,50 - вознаграждение Шаинская С.В. За "Все дело в шляпе"
22,11р. - ПФР Шаинская со 100,50
5,13р. - ПФР Шаинская со 100,50
2,91р. - ПФР Шаинская со 100,50</t>
        </r>
      </text>
    </comment>
    <comment ref="K300" authorId="0">
      <text>
        <r>
          <rPr>
            <b/>
            <sz val="9"/>
            <color indexed="81"/>
            <rFont val="Tahoma"/>
            <family val="2"/>
            <charset val="204"/>
          </rPr>
          <t>Мероприятия</t>
        </r>
      </text>
    </comment>
    <comment ref="L310" authorId="0">
      <text>
        <r>
          <rPr>
            <b/>
            <sz val="9"/>
            <color indexed="81"/>
            <rFont val="Tahoma"/>
            <family val="2"/>
            <charset val="204"/>
          </rPr>
          <t>экологический налог за 1 квартал 2020 год (платится 1 раз в год до 10 марта 2021)</t>
        </r>
      </text>
    </comment>
    <comment ref="BM312" authorId="1">
      <text>
        <r>
          <rPr>
            <b/>
            <sz val="9"/>
            <color indexed="81"/>
            <rFont val="Tahoma"/>
            <family val="2"/>
            <charset val="204"/>
          </rPr>
          <t>5 000-до 15.09.21
10 000-до 30.09.21</t>
        </r>
      </text>
    </comment>
    <comment ref="BO312" authorId="1">
      <text>
        <r>
          <rPr>
            <b/>
            <sz val="9"/>
            <color indexed="81"/>
            <rFont val="Tahoma"/>
            <family val="2"/>
            <charset val="204"/>
          </rPr>
          <t>10 000-до 15.10.21
100 000-до 29.10.21</t>
        </r>
      </text>
    </comment>
    <comment ref="BQ312" authorId="1">
      <text>
        <r>
          <rPr>
            <b/>
            <sz val="9"/>
            <color indexed="81"/>
            <rFont val="Tahoma"/>
            <family val="2"/>
            <charset val="204"/>
          </rPr>
          <t>100 000-до 15.11.21
100 000-до 30.11.21</t>
        </r>
      </text>
    </comment>
    <comment ref="BS312" authorId="1">
      <text>
        <r>
          <rPr>
            <b/>
            <sz val="9"/>
            <color indexed="81"/>
            <rFont val="Tahoma"/>
            <family val="2"/>
            <charset val="204"/>
          </rPr>
          <t>100 000-до 10.12.21
100 000-до 17.12.21
50 500,68 -до 22.12.21</t>
        </r>
      </text>
    </comment>
    <comment ref="BM313" authorId="1">
      <text>
        <r>
          <rPr>
            <b/>
            <sz val="9"/>
            <color indexed="81"/>
            <rFont val="Tahoma"/>
            <family val="2"/>
            <charset val="204"/>
          </rPr>
          <t>5 000-до 15.09.21
10 000-до 30.09.21</t>
        </r>
      </text>
    </comment>
    <comment ref="L315" authorId="0">
      <text>
        <r>
          <rPr>
            <b/>
            <sz val="9"/>
            <color indexed="81"/>
            <rFont val="Tahoma"/>
            <family val="2"/>
            <charset val="204"/>
          </rPr>
          <t xml:space="preserve">0,15% на зп
</t>
        </r>
      </text>
    </comment>
    <comment ref="K316" authorId="0">
      <text>
        <r>
          <rPr>
            <b/>
            <sz val="9"/>
            <color indexed="81"/>
            <rFont val="Tahoma"/>
            <family val="2"/>
            <charset val="204"/>
          </rPr>
          <t>для Назарова</t>
        </r>
      </text>
    </comment>
    <comment ref="L323" authorId="2">
      <text>
        <r>
          <rPr>
            <b/>
            <sz val="9"/>
            <color indexed="81"/>
            <rFont val="Tahoma"/>
            <family val="2"/>
            <charset val="204"/>
          </rPr>
          <t>Александр:</t>
        </r>
        <r>
          <rPr>
            <sz val="9"/>
            <color indexed="81"/>
            <rFont val="Tahoma"/>
            <family val="2"/>
            <charset val="204"/>
          </rPr>
          <t xml:space="preserve">
</t>
        </r>
      </text>
    </comment>
    <comment ref="L324" authorId="2">
      <text>
        <r>
          <rPr>
            <sz val="9"/>
            <color indexed="81"/>
            <rFont val="Tahoma"/>
            <family val="2"/>
            <charset val="204"/>
          </rPr>
          <t>дог будет на 11 000р. По факту нашил воду по 200р. Банка итого купим 55 банок по договору. Изначальный расчет был 38 шт. по 325 руб.</t>
        </r>
        <r>
          <rPr>
            <b/>
            <sz val="9"/>
            <color indexed="81"/>
            <rFont val="Tahoma"/>
            <family val="2"/>
            <charset val="204"/>
          </rPr>
          <t xml:space="preserve">
</t>
        </r>
      </text>
    </comment>
    <comment ref="O324" authorId="2">
      <text>
        <r>
          <rPr>
            <b/>
            <sz val="9"/>
            <color indexed="81"/>
            <rFont val="Tahoma"/>
            <family val="2"/>
            <charset val="204"/>
          </rPr>
          <t xml:space="preserve">55 шт. по 200 руб.
</t>
        </r>
      </text>
    </comment>
    <comment ref="L326" authorId="2">
      <text>
        <r>
          <rPr>
            <b/>
            <sz val="9"/>
            <color indexed="81"/>
            <rFont val="Tahoma"/>
            <family val="2"/>
            <charset val="204"/>
          </rPr>
          <t>Александр:</t>
        </r>
        <r>
          <rPr>
            <sz val="9"/>
            <color indexed="81"/>
            <rFont val="Tahoma"/>
            <family val="2"/>
            <charset val="204"/>
          </rPr>
          <t xml:space="preserve">
</t>
        </r>
      </text>
    </comment>
    <comment ref="L327" authorId="2">
      <text>
        <r>
          <rPr>
            <sz val="9"/>
            <color indexed="81"/>
            <rFont val="Tahoma"/>
            <family val="2"/>
            <charset val="204"/>
          </rPr>
          <t>дог будет на 11 000р. По факту нашил воду по 200р. Банка итого купим 55 банок по договору. Изначальный расчет был 38 шт. по 325 руб.</t>
        </r>
        <r>
          <rPr>
            <b/>
            <sz val="9"/>
            <color indexed="81"/>
            <rFont val="Tahoma"/>
            <family val="2"/>
            <charset val="204"/>
          </rPr>
          <t xml:space="preserve">
</t>
        </r>
      </text>
    </comment>
    <comment ref="O327" authorId="2">
      <text>
        <r>
          <rPr>
            <b/>
            <sz val="9"/>
            <color indexed="81"/>
            <rFont val="Tahoma"/>
            <family val="2"/>
            <charset val="204"/>
          </rPr>
          <t xml:space="preserve">55 шт. по 200 руб.
</t>
        </r>
      </text>
    </comment>
    <comment ref="W327" authorId="1">
      <text>
        <r>
          <rPr>
            <b/>
            <sz val="9"/>
            <color indexed="81"/>
            <rFont val="Tahoma"/>
            <family val="2"/>
            <charset val="204"/>
          </rPr>
          <t>55 бут. По 200 р. =11000</t>
        </r>
      </text>
    </comment>
    <comment ref="BC327" authorId="1">
      <text>
        <r>
          <rPr>
            <b/>
            <sz val="9"/>
            <color indexed="81"/>
            <rFont val="Tahoma"/>
            <family val="2"/>
            <charset val="204"/>
          </rPr>
          <t>по счету №1508 от 08.04.2021</t>
        </r>
      </text>
    </comment>
    <comment ref="O328" authorId="2">
      <text>
        <r>
          <rPr>
            <b/>
            <sz val="9"/>
            <color indexed="81"/>
            <rFont val="Tahoma"/>
            <family val="2"/>
            <charset val="204"/>
          </rPr>
          <t xml:space="preserve">38 шт. по 325 руб.
</t>
        </r>
      </text>
    </comment>
    <comment ref="K330" authorId="0">
      <text>
        <r>
          <rPr>
            <b/>
            <sz val="9"/>
            <color indexed="81"/>
            <rFont val="Tahoma"/>
            <family val="2"/>
            <charset val="204"/>
          </rPr>
          <t>Мероприятия</t>
        </r>
      </text>
    </comment>
    <comment ref="L330" authorId="1">
      <text>
        <r>
          <rPr>
            <b/>
            <sz val="9"/>
            <color indexed="81"/>
            <rFont val="Tahoma"/>
            <family val="2"/>
            <charset val="204"/>
          </rPr>
          <t>по смете на 2021 год затраты на материалы не заложены, все за счет бюджета</t>
        </r>
      </text>
    </comment>
    <comment ref="K334" authorId="0">
      <text>
        <r>
          <rPr>
            <b/>
            <sz val="9"/>
            <color indexed="81"/>
            <rFont val="Tahoma"/>
            <family val="2"/>
            <charset val="204"/>
          </rPr>
          <t>для Назарова</t>
        </r>
      </text>
    </comment>
    <comment ref="K335" authorId="0">
      <text>
        <r>
          <rPr>
            <b/>
            <sz val="9"/>
            <color indexed="81"/>
            <rFont val="Tahoma"/>
            <family val="2"/>
            <charset val="204"/>
          </rPr>
          <t>3 шт</t>
        </r>
      </text>
    </comment>
    <comment ref="K336" authorId="0">
      <text>
        <r>
          <rPr>
            <b/>
            <sz val="9"/>
            <color indexed="81"/>
            <rFont val="Tahoma"/>
            <family val="2"/>
            <charset val="204"/>
          </rPr>
          <t>5 шт</t>
        </r>
        <r>
          <rPr>
            <sz val="9"/>
            <color indexed="81"/>
            <rFont val="Tahoma"/>
            <family val="2"/>
            <charset val="204"/>
          </rPr>
          <t xml:space="preserve">
</t>
        </r>
      </text>
    </comment>
    <comment ref="K337" authorId="0">
      <text>
        <r>
          <rPr>
            <b/>
            <sz val="9"/>
            <color indexed="81"/>
            <rFont val="Tahoma"/>
            <family val="2"/>
            <charset val="204"/>
          </rPr>
          <t>5 шт</t>
        </r>
      </text>
    </comment>
    <comment ref="K344" authorId="1">
      <text>
        <r>
          <rPr>
            <b/>
            <sz val="9"/>
            <color indexed="81"/>
            <rFont val="Tahoma"/>
            <family val="2"/>
            <charset val="204"/>
          </rPr>
          <t>для крепления баннеров</t>
        </r>
      </text>
    </comment>
    <comment ref="L346" authorId="2">
      <text>
        <r>
          <rPr>
            <b/>
            <sz val="9"/>
            <color indexed="81"/>
            <rFont val="Tahoma"/>
            <family val="2"/>
            <charset val="204"/>
          </rPr>
          <t xml:space="preserve">20 000 не прибавлять они уже сидят внутри 100 67,29
</t>
        </r>
      </text>
    </comment>
    <comment ref="V348" authorId="1">
      <text>
        <r>
          <rPr>
            <b/>
            <sz val="9"/>
            <color indexed="81"/>
            <rFont val="Tahoma"/>
            <family val="2"/>
            <charset val="204"/>
          </rPr>
          <t>Работает без печати</t>
        </r>
      </text>
    </comment>
    <comment ref="V349" authorId="1">
      <text>
        <r>
          <rPr>
            <b/>
            <sz val="9"/>
            <color indexed="81"/>
            <rFont val="Tahoma"/>
            <family val="2"/>
            <charset val="204"/>
          </rPr>
          <t>Работает без печати</t>
        </r>
      </text>
    </comment>
    <comment ref="V350" authorId="1">
      <text>
        <r>
          <rPr>
            <b/>
            <sz val="9"/>
            <color indexed="81"/>
            <rFont val="Tahoma"/>
            <family val="2"/>
            <charset val="204"/>
          </rPr>
          <t>Работает без печати</t>
        </r>
      </text>
    </comment>
    <comment ref="BK352" authorId="1">
      <text>
        <r>
          <rPr>
            <b/>
            <sz val="9"/>
            <color indexed="81"/>
            <rFont val="Tahoma"/>
            <family val="2"/>
            <charset val="204"/>
          </rPr>
          <t>по счету №1104 от 17.08.2021</t>
        </r>
      </text>
    </comment>
    <comment ref="K353" authorId="0">
      <text>
        <r>
          <rPr>
            <b/>
            <sz val="9"/>
            <color indexed="81"/>
            <rFont val="Tahoma"/>
            <family val="2"/>
            <charset val="204"/>
          </rPr>
          <t>для Назарова</t>
        </r>
      </text>
    </comment>
    <comment ref="K356" authorId="1">
      <text>
        <r>
          <rPr>
            <b/>
            <sz val="9"/>
            <color indexed="81"/>
            <rFont val="Tahoma"/>
            <family val="2"/>
            <charset val="204"/>
          </rPr>
          <t xml:space="preserve">для ведущего монтажера
</t>
        </r>
      </text>
    </comment>
    <comment ref="K357" authorId="1">
      <text>
        <r>
          <rPr>
            <b/>
            <sz val="9"/>
            <color indexed="81"/>
            <rFont val="Tahoma"/>
            <family val="2"/>
            <charset val="204"/>
          </rPr>
          <t xml:space="preserve">для ведущего монтажера
</t>
        </r>
      </text>
    </comment>
    <comment ref="W360" authorId="1">
      <text>
        <r>
          <rPr>
            <b/>
            <sz val="9"/>
            <color indexed="81"/>
            <rFont val="Tahoma"/>
            <family val="2"/>
            <charset val="204"/>
          </rPr>
          <t xml:space="preserve">в марте на 2000
</t>
        </r>
        <r>
          <rPr>
            <sz val="9"/>
            <color indexed="81"/>
            <rFont val="Tahoma"/>
            <family val="2"/>
            <charset val="204"/>
          </rPr>
          <t xml:space="preserve">
</t>
        </r>
      </text>
    </comment>
    <comment ref="W361" authorId="1">
      <text>
        <r>
          <rPr>
            <b/>
            <sz val="9"/>
            <color indexed="81"/>
            <rFont val="Tahoma"/>
            <family val="2"/>
            <charset val="204"/>
          </rPr>
          <t xml:space="preserve">в марте на 2000
</t>
        </r>
        <r>
          <rPr>
            <sz val="9"/>
            <color indexed="81"/>
            <rFont val="Tahoma"/>
            <family val="2"/>
            <charset val="204"/>
          </rPr>
          <t xml:space="preserve">
</t>
        </r>
      </text>
    </comment>
    <comment ref="L362" authorId="1">
      <text>
        <r>
          <rPr>
            <b/>
            <sz val="9"/>
            <color indexed="81"/>
            <rFont val="Tahoma"/>
            <family val="2"/>
            <charset val="204"/>
          </rPr>
          <t xml:space="preserve">сюда перенес деньгивыделенные на аптечку 1000
</t>
        </r>
      </text>
    </comment>
    <comment ref="BC364" authorId="1">
      <text>
        <r>
          <rPr>
            <b/>
            <sz val="9"/>
            <color indexed="81"/>
            <rFont val="Tahoma"/>
            <family val="2"/>
            <charset val="204"/>
          </rPr>
          <t>требуется 450 штук в год, закупили до августа 150 шт.</t>
        </r>
      </text>
    </comment>
    <comment ref="BC365" authorId="1">
      <text>
        <r>
          <rPr>
            <b/>
            <sz val="9"/>
            <color indexed="81"/>
            <rFont val="Tahoma"/>
            <family val="2"/>
            <charset val="204"/>
          </rPr>
          <t>требуется 450 штук в год, закупили до августа 150 шт.</t>
        </r>
      </text>
    </comment>
    <comment ref="BC366" authorId="1">
      <text>
        <r>
          <rPr>
            <b/>
            <sz val="9"/>
            <color indexed="81"/>
            <rFont val="Tahoma"/>
            <family val="2"/>
            <charset val="204"/>
          </rPr>
          <t>учитываем на 346, т.к. быстро срываются грани и становятся непригодными для дальнейшего использовния</t>
        </r>
      </text>
    </comment>
    <comment ref="K368" authorId="1">
      <text>
        <r>
          <rPr>
            <b/>
            <sz val="9"/>
            <color indexed="81"/>
            <rFont val="Tahoma"/>
            <family val="2"/>
            <charset val="204"/>
          </rPr>
          <t>Необходимы для проведения игровой программы в рамках текущего репертуара к 1 июня день защиты детей</t>
        </r>
      </text>
    </comment>
    <comment ref="K373" authorId="1">
      <text>
        <r>
          <rPr>
            <b/>
            <sz val="9"/>
            <color indexed="81"/>
            <rFont val="Tahoma"/>
            <family val="2"/>
            <charset val="204"/>
          </rPr>
          <t>для крепления баннеров</t>
        </r>
      </text>
    </comment>
    <comment ref="K375" authorId="1">
      <text>
        <r>
          <rPr>
            <sz val="9"/>
            <color indexed="81"/>
            <rFont val="Tahoma"/>
            <family val="2"/>
            <charset val="204"/>
          </rPr>
          <t>здесь можем только Спецодеждудля сотрудников купить, мягкие игрушки для подарков, но никакой мягкий инвентарь в рамках мероприятий купить не можем</t>
        </r>
      </text>
    </comment>
    <comment ref="L376" authorId="2">
      <text>
        <r>
          <rPr>
            <b/>
            <sz val="9"/>
            <color indexed="81"/>
            <rFont val="Tahoma"/>
            <family val="2"/>
            <charset val="204"/>
          </rPr>
          <t>- колготки 20 белых и 20 светло-бежевых - по 200 р. * 40 = 8000
- носки 20 бел и 20 черн пар - по 100 р. * 40 = 4000
- футболки 16 бел и 16 черн - по 600р. * 32 = 19200</t>
        </r>
      </text>
    </comment>
    <comment ref="O376" authorId="2">
      <text>
        <r>
          <rPr>
            <b/>
            <sz val="9"/>
            <color indexed="81"/>
            <rFont val="Tahoma"/>
            <family val="2"/>
            <charset val="204"/>
          </rPr>
          <t>- колготки 20 белых и 20 светло-бежевых - по 200 р. * 40 = 8000
- носки 20 бел и 20 черн пар - по 100 р. * 40 = 4000
- футболки 16 бел и 16 черн - по 600р. * 32 = 19200</t>
        </r>
      </text>
    </comment>
    <comment ref="L377" authorId="1">
      <text>
        <r>
          <rPr>
            <b/>
            <sz val="9"/>
            <color indexed="81"/>
            <rFont val="Tahoma"/>
            <family val="2"/>
            <charset val="204"/>
          </rPr>
          <t xml:space="preserve">нужно 15 шт, цену посмотреть в интернете до 2500 можно взять
</t>
        </r>
      </text>
    </comment>
    <comment ref="O377" authorId="1">
      <text>
        <r>
          <rPr>
            <b/>
            <sz val="9"/>
            <color indexed="81"/>
            <rFont val="Tahoma"/>
            <family val="2"/>
            <charset val="204"/>
          </rPr>
          <t xml:space="preserve">нужно 15 шт, цену посмотреть в интернете до 2500 можно взять
</t>
        </r>
      </text>
    </comment>
    <comment ref="BG379" authorId="1">
      <text>
        <r>
          <rPr>
            <b/>
            <sz val="9"/>
            <color indexed="81"/>
            <rFont val="Tahoma"/>
            <family val="2"/>
            <charset val="204"/>
          </rPr>
          <t>30 000 шт. хватит на весь сезон, т.е. до следующего лета</t>
        </r>
      </text>
    </comment>
    <comment ref="K382" authorId="1">
      <text>
        <r>
          <rPr>
            <b/>
            <sz val="9"/>
            <color indexed="81"/>
            <rFont val="Tahoma"/>
            <family val="2"/>
            <charset val="204"/>
          </rPr>
          <t>дополнительно с других статей не передвигаем, берем из имеющихся средств на подарки НГ</t>
        </r>
      </text>
    </comment>
  </commentList>
</comments>
</file>

<file path=xl/comments11.xml><?xml version="1.0" encoding="utf-8"?>
<comments xmlns="http://schemas.openxmlformats.org/spreadsheetml/2006/main">
  <authors>
    <author>Экономист</author>
  </authors>
  <commentList>
    <comment ref="A32" authorId="0">
      <text>
        <r>
          <rPr>
            <b/>
            <sz val="9"/>
            <color indexed="81"/>
            <rFont val="Tahoma"/>
            <family val="2"/>
            <charset val="204"/>
          </rPr>
          <t>ФЕД</t>
        </r>
        <r>
          <rPr>
            <sz val="9"/>
            <color indexed="81"/>
            <rFont val="Tahoma"/>
            <family val="2"/>
            <charset val="204"/>
          </rPr>
          <t xml:space="preserve">
</t>
        </r>
      </text>
    </comment>
    <comment ref="A33" authorId="0">
      <text>
        <r>
          <rPr>
            <b/>
            <sz val="9"/>
            <color indexed="81"/>
            <rFont val="Tahoma"/>
            <family val="2"/>
            <charset val="204"/>
          </rPr>
          <t>ОКРУГ</t>
        </r>
      </text>
    </comment>
    <comment ref="A34" authorId="0">
      <text>
        <r>
          <rPr>
            <b/>
            <sz val="9"/>
            <color indexed="81"/>
            <rFont val="Tahoma"/>
            <family val="2"/>
            <charset val="204"/>
          </rPr>
          <t>ФЕД</t>
        </r>
        <r>
          <rPr>
            <sz val="9"/>
            <color indexed="81"/>
            <rFont val="Tahoma"/>
            <family val="2"/>
            <charset val="204"/>
          </rPr>
          <t xml:space="preserve">
</t>
        </r>
      </text>
    </comment>
    <comment ref="A35" authorId="0">
      <text>
        <r>
          <rPr>
            <b/>
            <sz val="9"/>
            <color indexed="81"/>
            <rFont val="Tahoma"/>
            <family val="2"/>
            <charset val="204"/>
          </rPr>
          <t>Округ</t>
        </r>
      </text>
    </comment>
  </commentList>
</comments>
</file>

<file path=xl/comments12.xml><?xml version="1.0" encoding="utf-8"?>
<comments xmlns="http://schemas.openxmlformats.org/spreadsheetml/2006/main">
  <authors>
    <author>Nazarov</author>
    <author>Экономист</author>
  </authors>
  <commentList>
    <comment ref="AX7" authorId="0">
      <text>
        <r>
          <rPr>
            <b/>
            <sz val="9"/>
            <color indexed="81"/>
            <rFont val="Tahoma"/>
            <family val="2"/>
            <charset val="204"/>
          </rPr>
          <t>это разрыв между начислением (кассовый метод) и для выполнения индикативного, это 1/2зп марта переносится из месяца в месяц и выравнивается в декабре</t>
        </r>
      </text>
    </comment>
    <comment ref="AY7" authorId="0">
      <text>
        <r>
          <rPr>
            <b/>
            <sz val="9"/>
            <color indexed="81"/>
            <rFont val="Tahoma"/>
            <family val="2"/>
            <charset val="204"/>
          </rPr>
          <t xml:space="preserve">индик 73668,5*44числ*3мес
</t>
        </r>
      </text>
    </comment>
    <comment ref="B9" authorId="0">
      <text>
        <r>
          <rPr>
            <b/>
            <sz val="10"/>
            <color indexed="81"/>
            <rFont val="Tahoma"/>
            <family val="2"/>
            <charset val="204"/>
          </rPr>
          <t>итогиСИ</t>
        </r>
        <r>
          <rPr>
            <sz val="10"/>
            <color indexed="81"/>
            <rFont val="Tahoma"/>
            <family val="2"/>
            <charset val="204"/>
          </rPr>
          <t xml:space="preserve">    - ИТОГИ Содержание имущества
</t>
        </r>
        <r>
          <rPr>
            <b/>
            <sz val="10"/>
            <color indexed="81"/>
            <rFont val="Tahoma"/>
            <family val="2"/>
            <charset val="204"/>
          </rPr>
          <t>СИ</t>
        </r>
        <r>
          <rPr>
            <sz val="10"/>
            <color indexed="81"/>
            <rFont val="Tahoma"/>
            <family val="2"/>
            <charset val="204"/>
          </rPr>
          <t xml:space="preserve">              - детальные строки Содержание Имущества
</t>
        </r>
        <r>
          <rPr>
            <b/>
            <sz val="10"/>
            <color indexed="81"/>
            <rFont val="Tahoma"/>
            <family val="2"/>
            <charset val="204"/>
          </rPr>
          <t>ОЦИ</t>
        </r>
        <r>
          <rPr>
            <sz val="10"/>
            <color indexed="81"/>
            <rFont val="Tahoma"/>
            <family val="2"/>
            <charset val="204"/>
          </rPr>
          <t xml:space="preserve">           - содержание Особо Ценного Имущества
</t>
        </r>
        <r>
          <rPr>
            <b/>
            <sz val="10"/>
            <color indexed="81"/>
            <rFont val="Tahoma"/>
            <family val="2"/>
            <charset val="204"/>
          </rPr>
          <t>Аврора</t>
        </r>
        <r>
          <rPr>
            <sz val="10"/>
            <color indexed="81"/>
            <rFont val="Tahoma"/>
            <family val="2"/>
            <charset val="204"/>
          </rPr>
          <t xml:space="preserve">       - содержание имущества в Авроре
</t>
        </r>
        <r>
          <rPr>
            <b/>
            <sz val="10"/>
            <color indexed="81"/>
            <rFont val="Tahoma"/>
            <family val="2"/>
            <charset val="204"/>
          </rPr>
          <t>неСИ</t>
        </r>
        <r>
          <rPr>
            <sz val="10"/>
            <color indexed="81"/>
            <rFont val="Tahoma"/>
            <family val="2"/>
            <charset val="204"/>
          </rPr>
          <t xml:space="preserve">          - не содержание имущества, т.к. к СИ относим </t>
        </r>
        <r>
          <rPr>
            <b/>
            <u/>
            <sz val="10"/>
            <color indexed="81"/>
            <rFont val="Tahoma"/>
            <family val="2"/>
            <charset val="204"/>
          </rPr>
          <t>ТОЛЬКО</t>
        </r>
        <r>
          <rPr>
            <sz val="10"/>
            <color indexed="81"/>
            <rFont val="Tahoma"/>
            <family val="2"/>
            <charset val="204"/>
          </rPr>
          <t xml:space="preserve"> содержание </t>
        </r>
        <r>
          <rPr>
            <b/>
            <u/>
            <sz val="10"/>
            <color indexed="81"/>
            <rFont val="Tahoma"/>
            <family val="2"/>
            <charset val="204"/>
          </rPr>
          <t>МУНИЦИПАЛЬНОГО</t>
        </r>
        <r>
          <rPr>
            <sz val="10"/>
            <color indexed="81"/>
            <rFont val="Tahoma"/>
            <family val="2"/>
            <charset val="204"/>
          </rPr>
          <t xml:space="preserve"> имущества</t>
        </r>
      </text>
    </comment>
    <comment ref="AT12" authorId="0">
      <text>
        <r>
          <rPr>
            <sz val="9"/>
            <color indexed="81"/>
            <rFont val="Tahoma"/>
            <family val="2"/>
            <charset val="204"/>
          </rPr>
          <t xml:space="preserve">только аванс января
</t>
        </r>
      </text>
    </comment>
    <comment ref="AV12" authorId="0">
      <text>
        <r>
          <rPr>
            <b/>
            <sz val="9"/>
            <color indexed="81"/>
            <rFont val="Tahoma"/>
            <family val="2"/>
            <charset val="204"/>
          </rPr>
          <t xml:space="preserve">средняя з/п за месяц без премий и т.п.
</t>
        </r>
      </text>
    </comment>
    <comment ref="AX12" authorId="0">
      <text>
        <r>
          <rPr>
            <b/>
            <sz val="9"/>
            <color indexed="81"/>
            <rFont val="Tahoma"/>
            <family val="2"/>
            <charset val="204"/>
          </rPr>
          <t xml:space="preserve">+ премия к дню работника культуры 1 ФОТ+ ежекв.премия
</t>
        </r>
      </text>
    </comment>
    <comment ref="BB12" authorId="0">
      <text>
        <r>
          <rPr>
            <b/>
            <sz val="9"/>
            <color indexed="81"/>
            <rFont val="Tahoma"/>
            <family val="2"/>
            <charset val="204"/>
          </rPr>
          <t>отпуска + мат.помощь к отпуску основной массы работников (пропорция примерно 2,8 к обычной з/п)</t>
        </r>
      </text>
    </comment>
    <comment ref="BD12" authorId="0">
      <text>
        <r>
          <rPr>
            <b/>
            <sz val="9"/>
            <color indexed="81"/>
            <rFont val="Tahoma"/>
            <family val="2"/>
            <charset val="204"/>
          </rPr>
          <t xml:space="preserve">плюс квартальная
</t>
        </r>
      </text>
    </comment>
    <comment ref="BP12" authorId="0">
      <text>
        <r>
          <rPr>
            <b/>
            <sz val="9"/>
            <color indexed="81"/>
            <rFont val="Tahoma"/>
            <family val="2"/>
            <charset val="204"/>
          </rPr>
          <t xml:space="preserve">1/2 ноября, + весь декабрь +ежекварт.
 премии + годовая
</t>
        </r>
      </text>
    </comment>
    <comment ref="D14" authorId="0">
      <text>
        <r>
          <rPr>
            <b/>
            <sz val="9"/>
            <color indexed="81"/>
            <rFont val="Tahoma"/>
            <family val="2"/>
            <charset val="204"/>
          </rPr>
          <t>прошлых лет</t>
        </r>
      </text>
    </comment>
    <comment ref="I14" authorId="0">
      <text>
        <r>
          <rPr>
            <b/>
            <sz val="9"/>
            <color indexed="81"/>
            <rFont val="Tahoma"/>
            <family val="2"/>
            <charset val="204"/>
          </rPr>
          <t>прошлых лет</t>
        </r>
      </text>
    </comment>
    <comment ref="J16"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N16"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P16"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J17" authorId="0">
      <text>
        <r>
          <rPr>
            <b/>
            <sz val="9"/>
            <color indexed="81"/>
            <rFont val="Tahoma"/>
            <family val="2"/>
            <charset val="204"/>
          </rPr>
          <t>2 чел</t>
        </r>
      </text>
    </comment>
    <comment ref="N17" authorId="0">
      <text>
        <r>
          <rPr>
            <b/>
            <sz val="9"/>
            <color indexed="81"/>
            <rFont val="Tahoma"/>
            <family val="2"/>
            <charset val="204"/>
          </rPr>
          <t>2 чел</t>
        </r>
      </text>
    </comment>
    <comment ref="P17" authorId="0">
      <text>
        <r>
          <rPr>
            <b/>
            <sz val="9"/>
            <color indexed="81"/>
            <rFont val="Tahoma"/>
            <family val="2"/>
            <charset val="204"/>
          </rPr>
          <t>2 чел</t>
        </r>
      </text>
    </comment>
    <comment ref="J18" authorId="0">
      <text>
        <r>
          <rPr>
            <b/>
            <sz val="9"/>
            <color indexed="81"/>
            <rFont val="Tahoma"/>
            <family val="2"/>
            <charset val="204"/>
          </rPr>
          <t xml:space="preserve">3 чел по 5000
</t>
        </r>
        <r>
          <rPr>
            <sz val="9"/>
            <color indexed="81"/>
            <rFont val="Tahoma"/>
            <family val="2"/>
            <charset val="204"/>
          </rPr>
          <t xml:space="preserve">
</t>
        </r>
      </text>
    </comment>
    <comment ref="N18" authorId="0">
      <text>
        <r>
          <rPr>
            <b/>
            <sz val="9"/>
            <color indexed="81"/>
            <rFont val="Tahoma"/>
            <family val="2"/>
            <charset val="204"/>
          </rPr>
          <t xml:space="preserve">3 чел по 5000
</t>
        </r>
        <r>
          <rPr>
            <sz val="9"/>
            <color indexed="81"/>
            <rFont val="Tahoma"/>
            <family val="2"/>
            <charset val="204"/>
          </rPr>
          <t xml:space="preserve">
</t>
        </r>
      </text>
    </comment>
    <comment ref="P18" authorId="0">
      <text>
        <r>
          <rPr>
            <b/>
            <sz val="9"/>
            <color indexed="81"/>
            <rFont val="Tahoma"/>
            <family val="2"/>
            <charset val="204"/>
          </rPr>
          <t xml:space="preserve">3 чел по 5000
</t>
        </r>
        <r>
          <rPr>
            <sz val="9"/>
            <color indexed="81"/>
            <rFont val="Tahoma"/>
            <family val="2"/>
            <charset val="204"/>
          </rPr>
          <t xml:space="preserve">
</t>
        </r>
      </text>
    </comment>
    <comment ref="J19"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4 раза
</t>
        </r>
        <r>
          <rPr>
            <sz val="9"/>
            <color indexed="81"/>
            <rFont val="Tahoma"/>
            <family val="2"/>
            <charset val="204"/>
          </rPr>
          <t>- Гиренко Виорика Валерьевна 1000</t>
        </r>
        <r>
          <rPr>
            <b/>
            <sz val="9"/>
            <color indexed="81"/>
            <rFont val="Tahoma"/>
            <family val="2"/>
            <charset val="204"/>
          </rPr>
          <t xml:space="preserve"> * 4 раза
</t>
        </r>
        <r>
          <rPr>
            <sz val="9"/>
            <color indexed="81"/>
            <rFont val="Tahoma"/>
            <family val="2"/>
            <charset val="204"/>
          </rPr>
          <t>- Карасик Наиля Ильгизяровна</t>
        </r>
        <r>
          <rPr>
            <b/>
            <sz val="9"/>
            <color indexed="81"/>
            <rFont val="Tahoma"/>
            <family val="2"/>
            <charset val="204"/>
          </rPr>
          <t xml:space="preserve"> 1000 * 4 раза
</t>
        </r>
        <r>
          <rPr>
            <sz val="9"/>
            <color indexed="81"/>
            <rFont val="Tahoma"/>
            <family val="2"/>
            <charset val="204"/>
          </rPr>
          <t>- Гречушникова Екатерина Николаевна 1000</t>
        </r>
        <r>
          <rPr>
            <b/>
            <sz val="9"/>
            <color indexed="81"/>
            <rFont val="Tahoma"/>
            <family val="2"/>
            <charset val="204"/>
          </rPr>
          <t xml:space="preserve"> * 4 раза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4 раза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N19"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4 раза
</t>
        </r>
        <r>
          <rPr>
            <sz val="9"/>
            <color indexed="81"/>
            <rFont val="Tahoma"/>
            <family val="2"/>
            <charset val="204"/>
          </rPr>
          <t>- Гиренко Виорика Валерьевна 1000</t>
        </r>
        <r>
          <rPr>
            <b/>
            <sz val="9"/>
            <color indexed="81"/>
            <rFont val="Tahoma"/>
            <family val="2"/>
            <charset val="204"/>
          </rPr>
          <t xml:space="preserve"> * 4 раза
</t>
        </r>
        <r>
          <rPr>
            <sz val="9"/>
            <color indexed="81"/>
            <rFont val="Tahoma"/>
            <family val="2"/>
            <charset val="204"/>
          </rPr>
          <t>- Гречушникова Екатерина Николаевна 1000</t>
        </r>
        <r>
          <rPr>
            <b/>
            <sz val="9"/>
            <color indexed="81"/>
            <rFont val="Tahoma"/>
            <family val="2"/>
            <charset val="204"/>
          </rPr>
          <t xml:space="preserve"> * 2 раза !!!!!!!!!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4 раза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P19"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3 раза !!!!!!!!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3 раза !!!!!!!!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J20"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N20"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P20"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J21" authorId="0">
      <text>
        <r>
          <rPr>
            <b/>
            <sz val="9"/>
            <color indexed="81"/>
            <rFont val="Tahoma"/>
            <family val="2"/>
            <charset val="204"/>
          </rPr>
          <t>30,2%</t>
        </r>
        <r>
          <rPr>
            <sz val="9"/>
            <color indexed="81"/>
            <rFont val="Tahoma"/>
            <family val="2"/>
            <charset val="204"/>
          </rPr>
          <t xml:space="preserve">
</t>
        </r>
      </text>
    </comment>
    <comment ref="N21" authorId="0">
      <text>
        <r>
          <rPr>
            <b/>
            <sz val="9"/>
            <color indexed="81"/>
            <rFont val="Tahoma"/>
            <family val="2"/>
            <charset val="204"/>
          </rPr>
          <t>30,2%</t>
        </r>
        <r>
          <rPr>
            <sz val="9"/>
            <color indexed="81"/>
            <rFont val="Tahoma"/>
            <family val="2"/>
            <charset val="204"/>
          </rPr>
          <t xml:space="preserve">
</t>
        </r>
      </text>
    </comment>
    <comment ref="P21" authorId="0">
      <text>
        <r>
          <rPr>
            <b/>
            <sz val="9"/>
            <color indexed="81"/>
            <rFont val="Tahoma"/>
            <family val="2"/>
            <charset val="204"/>
          </rPr>
          <t>30,2%</t>
        </r>
        <r>
          <rPr>
            <sz val="9"/>
            <color indexed="81"/>
            <rFont val="Tahoma"/>
            <family val="2"/>
            <charset val="204"/>
          </rPr>
          <t xml:space="preserve">
</t>
        </r>
      </text>
    </comment>
    <comment ref="J23" authorId="0">
      <text>
        <r>
          <rPr>
            <b/>
            <sz val="9"/>
            <color indexed="81"/>
            <rFont val="Tahoma"/>
            <family val="2"/>
            <charset val="204"/>
          </rPr>
          <t>2 чел</t>
        </r>
        <r>
          <rPr>
            <sz val="9"/>
            <color indexed="81"/>
            <rFont val="Tahoma"/>
            <family val="2"/>
            <charset val="204"/>
          </rPr>
          <t xml:space="preserve">
</t>
        </r>
      </text>
    </comment>
    <comment ref="J24" authorId="0">
      <text>
        <r>
          <rPr>
            <b/>
            <sz val="9"/>
            <color indexed="81"/>
            <rFont val="Tahoma"/>
            <family val="2"/>
            <charset val="204"/>
          </rPr>
          <t>3 чел</t>
        </r>
      </text>
    </comment>
    <comment ref="J25" authorId="0">
      <text>
        <r>
          <rPr>
            <b/>
            <sz val="9"/>
            <color indexed="81"/>
            <rFont val="Tahoma"/>
            <family val="2"/>
            <charset val="204"/>
          </rPr>
          <t xml:space="preserve">30,2% на КОСГУ 266
</t>
        </r>
        <r>
          <rPr>
            <sz val="9"/>
            <color indexed="81"/>
            <rFont val="Tahoma"/>
            <family val="2"/>
            <charset val="204"/>
          </rPr>
          <t xml:space="preserve">
</t>
        </r>
      </text>
    </comment>
    <comment ref="AT26" authorId="0">
      <text>
        <r>
          <rPr>
            <sz val="9"/>
            <color indexed="81"/>
            <rFont val="Tahoma"/>
            <family val="2"/>
            <charset val="204"/>
          </rPr>
          <t xml:space="preserve">только аванс января
</t>
        </r>
      </text>
    </comment>
    <comment ref="BP26" authorId="0">
      <text>
        <r>
          <rPr>
            <b/>
            <sz val="9"/>
            <color indexed="81"/>
            <rFont val="Tahoma"/>
            <family val="2"/>
            <charset val="204"/>
          </rPr>
          <t>половина зп ноября + вся зп за декабрь</t>
        </r>
      </text>
    </comment>
    <comment ref="I32" authorId="0">
      <text>
        <r>
          <rPr>
            <b/>
            <sz val="9"/>
            <color indexed="81"/>
            <rFont val="Tahoma"/>
            <family val="2"/>
            <charset val="204"/>
          </rPr>
          <t>здесь план корректирую по факту Аниных авансовых за покупку конвертов</t>
        </r>
        <r>
          <rPr>
            <sz val="9"/>
            <color indexed="81"/>
            <rFont val="Tahoma"/>
            <family val="2"/>
            <charset val="204"/>
          </rPr>
          <t xml:space="preserve">
</t>
        </r>
      </text>
    </comment>
    <comment ref="J43" authorId="0">
      <text>
        <r>
          <rPr>
            <b/>
            <sz val="9"/>
            <color indexed="81"/>
            <rFont val="Tahoma"/>
            <family val="2"/>
            <charset val="204"/>
          </rPr>
          <t>годовая сумма 
12 428 476,80 по договору аренды, уже с учетом ТО инженерных систем</t>
        </r>
      </text>
    </comment>
    <comment ref="B46" authorId="0">
      <text>
        <r>
          <rPr>
            <sz val="9"/>
            <color indexed="81"/>
            <rFont val="Tahoma"/>
            <family val="2"/>
            <charset val="204"/>
          </rPr>
          <t xml:space="preserve">??????
</t>
        </r>
      </text>
    </comment>
    <comment ref="U47" authorId="1">
      <text>
        <r>
          <rPr>
            <b/>
            <sz val="9"/>
            <color indexed="81"/>
            <rFont val="Tahoma"/>
            <family val="2"/>
            <charset val="204"/>
          </rPr>
          <t>январь, июль и август исключаем</t>
        </r>
      </text>
    </comment>
    <comment ref="S48" authorId="0">
      <text>
        <r>
          <rPr>
            <b/>
            <sz val="9"/>
            <color indexed="81"/>
            <rFont val="Tahoma"/>
            <family val="2"/>
            <charset val="204"/>
          </rPr>
          <t xml:space="preserve">внебюджет
</t>
        </r>
      </text>
    </comment>
    <comment ref="U48" authorId="0">
      <text>
        <r>
          <rPr>
            <b/>
            <sz val="9"/>
            <color indexed="81"/>
            <rFont val="Tahoma"/>
            <family val="2"/>
            <charset val="204"/>
          </rPr>
          <t xml:space="preserve">доля от общего объема услуги по 4 и 2-ке
</t>
        </r>
        <r>
          <rPr>
            <sz val="9"/>
            <color indexed="81"/>
            <rFont val="Tahoma"/>
            <family val="2"/>
            <charset val="204"/>
          </rPr>
          <t xml:space="preserve">
</t>
        </r>
      </text>
    </comment>
    <comment ref="I51" authorId="0">
      <text>
        <r>
          <rPr>
            <b/>
            <sz val="9"/>
            <color indexed="81"/>
            <rFont val="Tahoma"/>
            <family val="2"/>
            <charset val="204"/>
          </rPr>
          <t xml:space="preserve">первый показ и Лягушка и Первинка - январь-февраль
</t>
        </r>
      </text>
    </comment>
    <comment ref="I52" authorId="0">
      <text>
        <r>
          <rPr>
            <b/>
            <sz val="9"/>
            <color indexed="81"/>
            <rFont val="Tahoma"/>
            <family val="2"/>
            <charset val="204"/>
          </rPr>
          <t xml:space="preserve">первый показ - апрель
</t>
        </r>
        <r>
          <rPr>
            <sz val="9"/>
            <color indexed="81"/>
            <rFont val="Tahoma"/>
            <family val="2"/>
            <charset val="204"/>
          </rPr>
          <t xml:space="preserve">
</t>
        </r>
      </text>
    </comment>
    <comment ref="I53" authorId="0">
      <text>
        <r>
          <rPr>
            <b/>
            <sz val="9"/>
            <color indexed="81"/>
            <rFont val="Tahoma"/>
            <family val="2"/>
            <charset val="204"/>
          </rPr>
          <t xml:space="preserve">первый показ - апрель
</t>
        </r>
        <r>
          <rPr>
            <sz val="9"/>
            <color indexed="81"/>
            <rFont val="Tahoma"/>
            <family val="2"/>
            <charset val="204"/>
          </rPr>
          <t xml:space="preserve">
</t>
        </r>
      </text>
    </comment>
    <comment ref="I54" authorId="0">
      <text>
        <r>
          <rPr>
            <b/>
            <sz val="9"/>
            <color indexed="81"/>
            <rFont val="Tahoma"/>
            <family val="2"/>
            <charset val="204"/>
          </rPr>
          <t>первый показ - ноябрь</t>
        </r>
      </text>
    </comment>
    <comment ref="J55" authorId="0">
      <text>
        <r>
          <rPr>
            <b/>
            <sz val="9"/>
            <color indexed="81"/>
            <rFont val="Tahoma"/>
            <family val="2"/>
            <charset val="204"/>
          </rPr>
          <t xml:space="preserve">у Оли было 458180,41
130,28р*количество часов охраны составит 5 110 часов: (365 дней*14 часа/день*1 чел.)
</t>
        </r>
      </text>
    </comment>
    <comment ref="S55" authorId="0">
      <text>
        <r>
          <rPr>
            <b/>
            <sz val="9"/>
            <color indexed="81"/>
            <rFont val="Tahoma"/>
            <family val="2"/>
            <charset val="204"/>
          </rPr>
          <t xml:space="preserve">внебюджет
</t>
        </r>
      </text>
    </comment>
    <comment ref="U55" authorId="0">
      <text>
        <r>
          <rPr>
            <b/>
            <sz val="9"/>
            <color indexed="81"/>
            <rFont val="Tahoma"/>
            <family val="2"/>
            <charset val="204"/>
          </rPr>
          <t xml:space="preserve">доля от общего объема услуги по 4 и 2-ке
</t>
        </r>
        <r>
          <rPr>
            <sz val="9"/>
            <color indexed="81"/>
            <rFont val="Tahoma"/>
            <family val="2"/>
            <charset val="204"/>
          </rPr>
          <t xml:space="preserve">
</t>
        </r>
      </text>
    </comment>
    <comment ref="AV56" authorId="1">
      <text>
        <r>
          <rPr>
            <sz val="9"/>
            <color indexed="81"/>
            <rFont val="Tahoma"/>
            <family val="2"/>
            <charset val="204"/>
          </rPr>
          <t xml:space="preserve">цена 150 * 12 часов * 15 дней
</t>
        </r>
      </text>
    </comment>
    <comment ref="AV59" authorId="1">
      <text>
        <r>
          <rPr>
            <b/>
            <sz val="9"/>
            <color indexed="81"/>
            <rFont val="Tahoma"/>
            <family val="2"/>
            <charset val="204"/>
          </rPr>
          <t>6 чел/часов в месяц * стимость часа 724,60 (по Постановлению Адм Сургтута №9168 от 06.12.2019)= 4 347,60 в мес.</t>
        </r>
      </text>
    </comment>
    <comment ref="I62" authorId="0">
      <text>
        <r>
          <rPr>
            <b/>
            <sz val="9"/>
            <color indexed="81"/>
            <rFont val="Tahoma"/>
            <family val="2"/>
            <charset val="204"/>
          </rPr>
          <t>"1С: Бухгалтерия государственного учреждения"
"1С: Зарплата и Кадры бюджетного учреждения"</t>
        </r>
      </text>
    </comment>
    <comment ref="I63" authorId="0">
      <text>
        <r>
          <rPr>
            <b/>
            <sz val="9"/>
            <color indexed="81"/>
            <rFont val="Tahoma"/>
            <family val="2"/>
            <charset val="204"/>
          </rPr>
          <t>4 ключа 1 раз в год</t>
        </r>
        <r>
          <rPr>
            <sz val="9"/>
            <color indexed="81"/>
            <rFont val="Tahoma"/>
            <family val="2"/>
            <charset val="204"/>
          </rPr>
          <t xml:space="preserve">
</t>
        </r>
      </text>
    </comment>
    <comment ref="I68" authorId="0">
      <text>
        <r>
          <rPr>
            <b/>
            <sz val="9"/>
            <color indexed="81"/>
            <rFont val="Tahoma"/>
            <family val="2"/>
            <charset val="204"/>
          </rPr>
          <t>Мероприятия</t>
        </r>
      </text>
    </comment>
    <comment ref="I100" authorId="0">
      <text>
        <r>
          <rPr>
            <b/>
            <sz val="9"/>
            <color indexed="81"/>
            <rFont val="Tahoma"/>
            <family val="2"/>
            <charset val="204"/>
          </rPr>
          <t>Мероприятия</t>
        </r>
      </text>
    </comment>
    <comment ref="J119" authorId="0">
      <text>
        <r>
          <rPr>
            <b/>
            <sz val="9"/>
            <color indexed="81"/>
            <rFont val="Tahoma"/>
            <family val="2"/>
            <charset val="204"/>
          </rPr>
          <t xml:space="preserve">у Оли было 114 103,74
</t>
        </r>
      </text>
    </comment>
    <comment ref="N119" authorId="0">
      <text>
        <r>
          <rPr>
            <b/>
            <sz val="9"/>
            <color indexed="81"/>
            <rFont val="Tahoma"/>
            <family val="2"/>
            <charset val="204"/>
          </rPr>
          <t>Оли 131 233,54</t>
        </r>
      </text>
    </comment>
    <comment ref="P119" authorId="0">
      <text>
        <r>
          <rPr>
            <b/>
            <sz val="9"/>
            <color indexed="81"/>
            <rFont val="Tahoma"/>
            <family val="2"/>
            <charset val="204"/>
          </rPr>
          <t>Оли 122 383,74</t>
        </r>
      </text>
    </comment>
    <comment ref="J122" authorId="0">
      <text>
        <r>
          <rPr>
            <b/>
            <sz val="9"/>
            <color indexed="81"/>
            <rFont val="Tahoma"/>
            <family val="2"/>
            <charset val="204"/>
          </rPr>
          <t>земельный налог за 2020 год (платится 1 раз в год)</t>
        </r>
      </text>
    </comment>
    <comment ref="J123" authorId="0">
      <text>
        <r>
          <rPr>
            <b/>
            <sz val="9"/>
            <color indexed="81"/>
            <rFont val="Tahoma"/>
            <family val="2"/>
            <charset val="204"/>
          </rPr>
          <t xml:space="preserve">0,15% с зп
</t>
        </r>
      </text>
    </comment>
    <comment ref="J124" authorId="0">
      <text>
        <r>
          <rPr>
            <b/>
            <sz val="9"/>
            <color indexed="81"/>
            <rFont val="Tahoma"/>
            <family val="2"/>
            <charset val="204"/>
          </rPr>
          <t xml:space="preserve">было у Оли 9 740,39
</t>
        </r>
      </text>
    </comment>
    <comment ref="N124" authorId="0">
      <text>
        <r>
          <rPr>
            <b/>
            <sz val="9"/>
            <color indexed="81"/>
            <rFont val="Tahoma"/>
            <family val="2"/>
            <charset val="204"/>
          </rPr>
          <t xml:space="preserve">было у Оли 9 740,39
</t>
        </r>
      </text>
    </comment>
    <comment ref="P124" authorId="0">
      <text>
        <r>
          <rPr>
            <b/>
            <sz val="9"/>
            <color indexed="81"/>
            <rFont val="Tahoma"/>
            <family val="2"/>
            <charset val="204"/>
          </rPr>
          <t xml:space="preserve">было у Оли 9 740,39
</t>
        </r>
      </text>
    </comment>
    <comment ref="J126" authorId="0">
      <text>
        <r>
          <rPr>
            <b/>
            <sz val="9"/>
            <color indexed="81"/>
            <rFont val="Tahoma"/>
            <family val="2"/>
            <charset val="204"/>
          </rPr>
          <t xml:space="preserve">было у Оли 9 740,39
</t>
        </r>
      </text>
    </comment>
    <comment ref="N126" authorId="0">
      <text>
        <r>
          <rPr>
            <b/>
            <sz val="9"/>
            <color indexed="81"/>
            <rFont val="Tahoma"/>
            <family val="2"/>
            <charset val="204"/>
          </rPr>
          <t xml:space="preserve">было у Оли 9 740,39
</t>
        </r>
      </text>
    </comment>
    <comment ref="P126" authorId="0">
      <text>
        <r>
          <rPr>
            <b/>
            <sz val="9"/>
            <color indexed="81"/>
            <rFont val="Tahoma"/>
            <family val="2"/>
            <charset val="204"/>
          </rPr>
          <t xml:space="preserve">было у Оли 9 740,39
</t>
        </r>
      </text>
    </comment>
    <comment ref="J127" authorId="0">
      <text>
        <r>
          <rPr>
            <b/>
            <sz val="9"/>
            <color indexed="81"/>
            <rFont val="Tahoma"/>
            <family val="2"/>
            <charset val="204"/>
          </rPr>
          <t xml:space="preserve">Сообщить Эсли, чтобы откорректировал 10 рублей, у них 715 900 округляет
</t>
        </r>
      </text>
    </comment>
    <comment ref="N127" authorId="0">
      <text>
        <r>
          <rPr>
            <b/>
            <sz val="9"/>
            <color indexed="81"/>
            <rFont val="Tahoma"/>
            <family val="2"/>
            <charset val="204"/>
          </rPr>
          <t xml:space="preserve">Сообщить Эсли, чтобы откорректировал 10 рублей, у них 715 900 округляет
</t>
        </r>
      </text>
    </comment>
    <comment ref="P127" authorId="0">
      <text>
        <r>
          <rPr>
            <b/>
            <sz val="9"/>
            <color indexed="81"/>
            <rFont val="Tahoma"/>
            <family val="2"/>
            <charset val="204"/>
          </rPr>
          <t xml:space="preserve">Сообщить Эсли, чтобы откорректировал 10 рублей, у них 715 900 округляет
</t>
        </r>
      </text>
    </comment>
    <comment ref="J128" authorId="0">
      <text>
        <r>
          <rPr>
            <b/>
            <sz val="9"/>
            <color indexed="81"/>
            <rFont val="Tahoma"/>
            <family val="2"/>
            <charset val="204"/>
          </rPr>
          <t xml:space="preserve">было у Оли 9 740,39
</t>
        </r>
      </text>
    </comment>
    <comment ref="N128" authorId="0">
      <text>
        <r>
          <rPr>
            <b/>
            <sz val="9"/>
            <color indexed="81"/>
            <rFont val="Tahoma"/>
            <family val="2"/>
            <charset val="204"/>
          </rPr>
          <t xml:space="preserve">было у Оли 9 740,39
</t>
        </r>
      </text>
    </comment>
    <comment ref="P128" authorId="0">
      <text>
        <r>
          <rPr>
            <b/>
            <sz val="9"/>
            <color indexed="81"/>
            <rFont val="Tahoma"/>
            <family val="2"/>
            <charset val="204"/>
          </rPr>
          <t xml:space="preserve">было у Оли 9 740,39
</t>
        </r>
      </text>
    </comment>
    <comment ref="J135" authorId="0">
      <text>
        <r>
          <rPr>
            <b/>
            <sz val="9"/>
            <color indexed="81"/>
            <rFont val="Tahoma"/>
            <family val="2"/>
            <charset val="204"/>
          </rPr>
          <t>осталось обучить 25 чел</t>
        </r>
      </text>
    </comment>
    <comment ref="J146" authorId="0">
      <text>
        <r>
          <rPr>
            <b/>
            <sz val="9"/>
            <color indexed="81"/>
            <rFont val="Tahoma"/>
            <family val="2"/>
            <charset val="204"/>
          </rPr>
          <t xml:space="preserve">Компенсационную выплату работникам, находящимся в отпуске по уходу за ребенком до достижения им возраста 3-х лет:
- Лалаян Юлия Маратовна - 85р * 12 раз
</t>
        </r>
      </text>
    </comment>
    <comment ref="N146" authorId="0">
      <text>
        <r>
          <rPr>
            <b/>
            <sz val="9"/>
            <color indexed="81"/>
            <rFont val="Tahoma"/>
            <family val="2"/>
            <charset val="204"/>
          </rPr>
          <t>Компенсационную выплату работникам, находящимся в отпуске по уходу за ребенком до достижения им возраста 3-х лет:
- Лалаян Юлия Маратовна - 85р * 5 раза</t>
        </r>
      </text>
    </comment>
    <comment ref="I149" authorId="0">
      <text>
        <r>
          <rPr>
            <b/>
            <sz val="9"/>
            <color indexed="81"/>
            <rFont val="Tahoma"/>
            <family val="2"/>
            <charset val="204"/>
          </rPr>
          <t>здесь план корректирую по факту Аниных авансовых за покупку конвертов</t>
        </r>
        <r>
          <rPr>
            <sz val="9"/>
            <color indexed="81"/>
            <rFont val="Tahoma"/>
            <family val="2"/>
            <charset val="204"/>
          </rPr>
          <t xml:space="preserve">
</t>
        </r>
      </text>
    </comment>
    <comment ref="J153" authorId="0">
      <text>
        <r>
          <rPr>
            <b/>
            <sz val="9"/>
            <color indexed="81"/>
            <rFont val="Tahoma"/>
            <family val="2"/>
            <charset val="204"/>
          </rPr>
          <t xml:space="preserve">у Оли 1 199 595,54
</t>
        </r>
      </text>
    </comment>
    <comment ref="N153" authorId="0">
      <text>
        <r>
          <rPr>
            <b/>
            <sz val="9"/>
            <color indexed="81"/>
            <rFont val="Tahoma"/>
            <family val="2"/>
            <charset val="204"/>
          </rPr>
          <t xml:space="preserve">у Оли 1 199 595,54
</t>
        </r>
      </text>
    </comment>
    <comment ref="P153" authorId="0">
      <text>
        <r>
          <rPr>
            <b/>
            <sz val="9"/>
            <color indexed="81"/>
            <rFont val="Tahoma"/>
            <family val="2"/>
            <charset val="204"/>
          </rPr>
          <t xml:space="preserve">у Оли 1 199 595,54
</t>
        </r>
      </text>
    </comment>
    <comment ref="J160" authorId="0">
      <text>
        <r>
          <rPr>
            <b/>
            <sz val="9"/>
            <color indexed="81"/>
            <rFont val="Tahoma"/>
            <family val="2"/>
            <charset val="204"/>
          </rPr>
          <t>годовая сумма 
12 428 476,80 по договору аренды, уже с учетом ТО инженерных систем</t>
        </r>
      </text>
    </comment>
    <comment ref="I171" authorId="0">
      <text>
        <r>
          <rPr>
            <b/>
            <sz val="9"/>
            <color indexed="81"/>
            <rFont val="Tahoma"/>
            <family val="2"/>
            <charset val="204"/>
          </rPr>
          <t>"1С: Бухгалтерия государственного учреждения"
"1С: Зарплата и Кадры бюджетного учреждения"</t>
        </r>
      </text>
    </comment>
    <comment ref="I172" authorId="0">
      <text>
        <r>
          <rPr>
            <b/>
            <sz val="9"/>
            <color indexed="81"/>
            <rFont val="Tahoma"/>
            <family val="2"/>
            <charset val="204"/>
          </rPr>
          <t>4 ключа 1 раз в год</t>
        </r>
        <r>
          <rPr>
            <sz val="9"/>
            <color indexed="81"/>
            <rFont val="Tahoma"/>
            <family val="2"/>
            <charset val="204"/>
          </rPr>
          <t xml:space="preserve">
</t>
        </r>
      </text>
    </comment>
    <comment ref="J180" authorId="0">
      <text>
        <r>
          <rPr>
            <b/>
            <sz val="9"/>
            <color indexed="81"/>
            <rFont val="Tahoma"/>
            <family val="2"/>
            <charset val="204"/>
          </rPr>
          <t xml:space="preserve">0,15% на зп
</t>
        </r>
      </text>
    </comment>
    <comment ref="I181" authorId="0">
      <text>
        <r>
          <rPr>
            <b/>
            <sz val="9"/>
            <color indexed="81"/>
            <rFont val="Tahoma"/>
            <family val="2"/>
            <charset val="204"/>
          </rPr>
          <t>для Назарова</t>
        </r>
      </text>
    </comment>
    <comment ref="I182" authorId="0">
      <text>
        <r>
          <rPr>
            <b/>
            <sz val="9"/>
            <color indexed="81"/>
            <rFont val="Tahoma"/>
            <family val="2"/>
            <charset val="204"/>
          </rPr>
          <t>3 шт</t>
        </r>
      </text>
    </comment>
    <comment ref="I183" authorId="0">
      <text>
        <r>
          <rPr>
            <b/>
            <sz val="9"/>
            <color indexed="81"/>
            <rFont val="Tahoma"/>
            <family val="2"/>
            <charset val="204"/>
          </rPr>
          <t>5 шт</t>
        </r>
        <r>
          <rPr>
            <sz val="9"/>
            <color indexed="81"/>
            <rFont val="Tahoma"/>
            <family val="2"/>
            <charset val="204"/>
          </rPr>
          <t xml:space="preserve">
</t>
        </r>
      </text>
    </comment>
    <comment ref="I184" authorId="0">
      <text>
        <r>
          <rPr>
            <b/>
            <sz val="9"/>
            <color indexed="81"/>
            <rFont val="Tahoma"/>
            <family val="2"/>
            <charset val="204"/>
          </rPr>
          <t>5 шт</t>
        </r>
      </text>
    </comment>
  </commentList>
</comments>
</file>

<file path=xl/comments13.xml><?xml version="1.0" encoding="utf-8"?>
<comments xmlns="http://schemas.openxmlformats.org/spreadsheetml/2006/main">
  <authors>
    <author>Nazarov</author>
    <author>Экономист</author>
    <author>Александр</author>
  </authors>
  <commentList>
    <comment ref="BA8" authorId="0">
      <text>
        <r>
          <rPr>
            <b/>
            <sz val="9"/>
            <color indexed="81"/>
            <rFont val="Tahoma"/>
            <family val="2"/>
            <charset val="204"/>
          </rPr>
          <t>это разрыв между начислением (кассовый метод) и для выполнения индикативного, это 1/2зп марта переносится из месяца в месяц и выравнивается в декабре</t>
        </r>
      </text>
    </comment>
    <comment ref="BB8" authorId="0">
      <text>
        <r>
          <rPr>
            <b/>
            <sz val="9"/>
            <color indexed="81"/>
            <rFont val="Tahoma"/>
            <family val="2"/>
            <charset val="204"/>
          </rPr>
          <t xml:space="preserve">индик 73668,5*44числ*3мес
</t>
        </r>
      </text>
    </comment>
    <comment ref="D10" authorId="0">
      <text>
        <r>
          <rPr>
            <b/>
            <sz val="10"/>
            <color indexed="81"/>
            <rFont val="Tahoma"/>
            <family val="2"/>
            <charset val="204"/>
          </rPr>
          <t>итогиСИ</t>
        </r>
        <r>
          <rPr>
            <sz val="10"/>
            <color indexed="81"/>
            <rFont val="Tahoma"/>
            <family val="2"/>
            <charset val="204"/>
          </rPr>
          <t xml:space="preserve">    - ИТОГИ Содержание имущества
</t>
        </r>
        <r>
          <rPr>
            <b/>
            <sz val="10"/>
            <color indexed="81"/>
            <rFont val="Tahoma"/>
            <family val="2"/>
            <charset val="204"/>
          </rPr>
          <t>СИ</t>
        </r>
        <r>
          <rPr>
            <sz val="10"/>
            <color indexed="81"/>
            <rFont val="Tahoma"/>
            <family val="2"/>
            <charset val="204"/>
          </rPr>
          <t xml:space="preserve">              - детальные строки Содержание Имущества
</t>
        </r>
        <r>
          <rPr>
            <b/>
            <sz val="10"/>
            <color indexed="81"/>
            <rFont val="Tahoma"/>
            <family val="2"/>
            <charset val="204"/>
          </rPr>
          <t>ОЦИ</t>
        </r>
        <r>
          <rPr>
            <sz val="10"/>
            <color indexed="81"/>
            <rFont val="Tahoma"/>
            <family val="2"/>
            <charset val="204"/>
          </rPr>
          <t xml:space="preserve">           - содержание Особо Ценного Имущества
</t>
        </r>
        <r>
          <rPr>
            <b/>
            <sz val="10"/>
            <color indexed="81"/>
            <rFont val="Tahoma"/>
            <family val="2"/>
            <charset val="204"/>
          </rPr>
          <t>Аврора</t>
        </r>
        <r>
          <rPr>
            <sz val="10"/>
            <color indexed="81"/>
            <rFont val="Tahoma"/>
            <family val="2"/>
            <charset val="204"/>
          </rPr>
          <t xml:space="preserve">       - содержание имущества в Авроре
</t>
        </r>
        <r>
          <rPr>
            <b/>
            <sz val="10"/>
            <color indexed="81"/>
            <rFont val="Tahoma"/>
            <family val="2"/>
            <charset val="204"/>
          </rPr>
          <t>неСИ</t>
        </r>
        <r>
          <rPr>
            <sz val="10"/>
            <color indexed="81"/>
            <rFont val="Tahoma"/>
            <family val="2"/>
            <charset val="204"/>
          </rPr>
          <t xml:space="preserve">          - не содержание имущества, т.к. к СИ относим </t>
        </r>
        <r>
          <rPr>
            <b/>
            <u/>
            <sz val="10"/>
            <color indexed="81"/>
            <rFont val="Tahoma"/>
            <family val="2"/>
            <charset val="204"/>
          </rPr>
          <t>ТОЛЬКО</t>
        </r>
        <r>
          <rPr>
            <sz val="10"/>
            <color indexed="81"/>
            <rFont val="Tahoma"/>
            <family val="2"/>
            <charset val="204"/>
          </rPr>
          <t xml:space="preserve"> содержание </t>
        </r>
        <r>
          <rPr>
            <b/>
            <u/>
            <sz val="10"/>
            <color indexed="81"/>
            <rFont val="Tahoma"/>
            <family val="2"/>
            <charset val="204"/>
          </rPr>
          <t>МУНИЦИПАЛЬНОГО</t>
        </r>
        <r>
          <rPr>
            <sz val="10"/>
            <color indexed="81"/>
            <rFont val="Tahoma"/>
            <family val="2"/>
            <charset val="204"/>
          </rPr>
          <t xml:space="preserve"> имущества</t>
        </r>
      </text>
    </comment>
    <comment ref="P12" authorId="1">
      <text>
        <r>
          <rPr>
            <b/>
            <sz val="9"/>
            <color indexed="81"/>
            <rFont val="Tahoma"/>
            <family val="2"/>
            <charset val="204"/>
          </rPr>
          <t>ЦООД сам считает НРО по з/п нам им подавать на эти цели не нужно</t>
        </r>
        <r>
          <rPr>
            <sz val="9"/>
            <color indexed="81"/>
            <rFont val="Tahoma"/>
            <family val="2"/>
            <charset val="204"/>
          </rPr>
          <t xml:space="preserve">
</t>
        </r>
      </text>
    </comment>
    <comment ref="AW12" authorId="0">
      <text>
        <r>
          <rPr>
            <sz val="9"/>
            <color indexed="81"/>
            <rFont val="Tahoma"/>
            <family val="2"/>
            <charset val="204"/>
          </rPr>
          <t xml:space="preserve">только аванс января
</t>
        </r>
      </text>
    </comment>
    <comment ref="AY12" authorId="0">
      <text>
        <r>
          <rPr>
            <b/>
            <sz val="9"/>
            <color indexed="81"/>
            <rFont val="Tahoma"/>
            <family val="2"/>
            <charset val="204"/>
          </rPr>
          <t xml:space="preserve">средняя з/п за месяц без премий и т.п.
</t>
        </r>
      </text>
    </comment>
    <comment ref="BA12" authorId="0">
      <text>
        <r>
          <rPr>
            <b/>
            <sz val="9"/>
            <color indexed="81"/>
            <rFont val="Tahoma"/>
            <family val="2"/>
            <charset val="204"/>
          </rPr>
          <t xml:space="preserve">+ премия к дню работника культуры 1 ФОТ+ ежекв.премия
</t>
        </r>
      </text>
    </comment>
    <comment ref="BE12" authorId="0">
      <text>
        <r>
          <rPr>
            <b/>
            <sz val="9"/>
            <color indexed="81"/>
            <rFont val="Tahoma"/>
            <family val="2"/>
            <charset val="204"/>
          </rPr>
          <t>отпуска + мат.помощь к отпуску основной массы работников (пропорция примерно 2,8 к обычной з/п)</t>
        </r>
      </text>
    </comment>
    <comment ref="BG12" authorId="0">
      <text>
        <r>
          <rPr>
            <b/>
            <sz val="9"/>
            <color indexed="81"/>
            <rFont val="Tahoma"/>
            <family val="2"/>
            <charset val="204"/>
          </rPr>
          <t xml:space="preserve">плюс квартальная
</t>
        </r>
      </text>
    </comment>
    <comment ref="BS12" authorId="0">
      <text>
        <r>
          <rPr>
            <b/>
            <sz val="9"/>
            <color indexed="81"/>
            <rFont val="Tahoma"/>
            <family val="2"/>
            <charset val="204"/>
          </rPr>
          <t xml:space="preserve">1/2 ноября, + весь декабрь +ежекварт.
 премии + годовая
</t>
        </r>
      </text>
    </comment>
    <comment ref="H13" authorId="1">
      <text>
        <r>
          <rPr>
            <b/>
            <sz val="9"/>
            <color indexed="81"/>
            <rFont val="Tahoma"/>
            <family val="2"/>
            <charset val="204"/>
          </rPr>
          <t>компенсация внебюджет в рамках МЗ</t>
        </r>
      </text>
    </comment>
    <comment ref="P13" authorId="1">
      <text>
        <r>
          <rPr>
            <b/>
            <sz val="9"/>
            <color indexed="81"/>
            <rFont val="Tahoma"/>
            <family val="2"/>
            <charset val="204"/>
          </rPr>
          <t>ЦООД сам считает НРО по з/п нам им подавать на эти цели не нужно</t>
        </r>
        <r>
          <rPr>
            <sz val="9"/>
            <color indexed="81"/>
            <rFont val="Tahoma"/>
            <family val="2"/>
            <charset val="204"/>
          </rPr>
          <t xml:space="preserve">
</t>
        </r>
      </text>
    </comment>
    <comment ref="AW13" authorId="0">
      <text>
        <r>
          <rPr>
            <sz val="9"/>
            <color indexed="81"/>
            <rFont val="Tahoma"/>
            <family val="2"/>
            <charset val="204"/>
          </rPr>
          <t xml:space="preserve">только аванс января
</t>
        </r>
      </text>
    </comment>
    <comment ref="AY13" authorId="0">
      <text>
        <r>
          <rPr>
            <b/>
            <sz val="9"/>
            <color indexed="81"/>
            <rFont val="Tahoma"/>
            <family val="2"/>
            <charset val="204"/>
          </rPr>
          <t xml:space="preserve">средняя з/п за месяц без премий и т.п.
</t>
        </r>
      </text>
    </comment>
    <comment ref="BA13" authorId="0">
      <text>
        <r>
          <rPr>
            <b/>
            <sz val="9"/>
            <color indexed="81"/>
            <rFont val="Tahoma"/>
            <family val="2"/>
            <charset val="204"/>
          </rPr>
          <t xml:space="preserve">+ премия к дню работника культуры 1 ФОТ+ ежекв.премия
</t>
        </r>
      </text>
    </comment>
    <comment ref="BE13" authorId="0">
      <text>
        <r>
          <rPr>
            <b/>
            <sz val="9"/>
            <color indexed="81"/>
            <rFont val="Tahoma"/>
            <family val="2"/>
            <charset val="204"/>
          </rPr>
          <t>отпуска + мат.помощь к отпуску основной массы работников (пропорция примерно 2,8 к обычной з/п)</t>
        </r>
      </text>
    </comment>
    <comment ref="BG13" authorId="0">
      <text>
        <r>
          <rPr>
            <b/>
            <sz val="9"/>
            <color indexed="81"/>
            <rFont val="Tahoma"/>
            <family val="2"/>
            <charset val="204"/>
          </rPr>
          <t xml:space="preserve">плюс квартальная
</t>
        </r>
      </text>
    </comment>
    <comment ref="BS13" authorId="0">
      <text>
        <r>
          <rPr>
            <b/>
            <sz val="9"/>
            <color indexed="81"/>
            <rFont val="Tahoma"/>
            <family val="2"/>
            <charset val="204"/>
          </rPr>
          <t xml:space="preserve">1/2 ноября, + весь декабрь +ежекварт.
 премии + годовая
</t>
        </r>
      </text>
    </comment>
    <comment ref="H15" authorId="1">
      <text>
        <r>
          <rPr>
            <b/>
            <sz val="9"/>
            <color indexed="81"/>
            <rFont val="Tahoma"/>
            <family val="2"/>
            <charset val="204"/>
          </rPr>
          <t>компенсация внебюджет в рамках МЗ</t>
        </r>
      </text>
    </comment>
    <comment ref="F16" authorId="0">
      <text>
        <r>
          <rPr>
            <b/>
            <sz val="9"/>
            <color indexed="81"/>
            <rFont val="Tahoma"/>
            <family val="2"/>
            <charset val="204"/>
          </rPr>
          <t>прошлых лет</t>
        </r>
      </text>
    </comment>
    <comment ref="K16" authorId="0">
      <text>
        <r>
          <rPr>
            <b/>
            <sz val="9"/>
            <color indexed="81"/>
            <rFont val="Tahoma"/>
            <family val="2"/>
            <charset val="204"/>
          </rPr>
          <t>прошлых лет</t>
        </r>
      </text>
    </comment>
    <comment ref="L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Q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S18" authorId="0">
      <text>
        <r>
          <rPr>
            <b/>
            <sz val="9"/>
            <color indexed="81"/>
            <rFont val="Tahoma"/>
            <family val="2"/>
            <charset val="204"/>
          </rPr>
          <t>2021
Блинова Елена Анатольевна 21.03.1971
2022
Поздняков Николай Анатольевич 08.08.1957
Брагина Анна Юрьевна 27,09,1972
Черемных Максим Владимирович 04.04.1972
2023
Дремин Алексей Анатольевич 13.05.1973</t>
        </r>
      </text>
    </comment>
    <comment ref="L19" authorId="0">
      <text>
        <r>
          <rPr>
            <b/>
            <sz val="9"/>
            <color indexed="81"/>
            <rFont val="Tahoma"/>
            <family val="2"/>
            <charset val="204"/>
          </rPr>
          <t>2 чел</t>
        </r>
      </text>
    </comment>
    <comment ref="Q19" authorId="0">
      <text>
        <r>
          <rPr>
            <b/>
            <sz val="9"/>
            <color indexed="81"/>
            <rFont val="Tahoma"/>
            <family val="2"/>
            <charset val="204"/>
          </rPr>
          <t>2 чел</t>
        </r>
      </text>
    </comment>
    <comment ref="S19" authorId="0">
      <text>
        <r>
          <rPr>
            <b/>
            <sz val="9"/>
            <color indexed="81"/>
            <rFont val="Tahoma"/>
            <family val="2"/>
            <charset val="204"/>
          </rPr>
          <t>2 чел</t>
        </r>
      </text>
    </comment>
    <comment ref="L20" authorId="0">
      <text>
        <r>
          <rPr>
            <b/>
            <sz val="9"/>
            <color indexed="81"/>
            <rFont val="Tahoma"/>
            <family val="2"/>
            <charset val="204"/>
          </rPr>
          <t xml:space="preserve">3 чел по 5000
</t>
        </r>
        <r>
          <rPr>
            <sz val="9"/>
            <color indexed="81"/>
            <rFont val="Tahoma"/>
            <family val="2"/>
            <charset val="204"/>
          </rPr>
          <t xml:space="preserve">
</t>
        </r>
      </text>
    </comment>
    <comment ref="Q20" authorId="0">
      <text>
        <r>
          <rPr>
            <b/>
            <sz val="9"/>
            <color indexed="81"/>
            <rFont val="Tahoma"/>
            <family val="2"/>
            <charset val="204"/>
          </rPr>
          <t xml:space="preserve">3 чел по 5000
</t>
        </r>
        <r>
          <rPr>
            <sz val="9"/>
            <color indexed="81"/>
            <rFont val="Tahoma"/>
            <family val="2"/>
            <charset val="204"/>
          </rPr>
          <t xml:space="preserve">
</t>
        </r>
      </text>
    </comment>
    <comment ref="S20" authorId="0">
      <text>
        <r>
          <rPr>
            <b/>
            <sz val="9"/>
            <color indexed="81"/>
            <rFont val="Tahoma"/>
            <family val="2"/>
            <charset val="204"/>
          </rPr>
          <t xml:space="preserve">3 чел по 5000
</t>
        </r>
        <r>
          <rPr>
            <sz val="9"/>
            <color indexed="81"/>
            <rFont val="Tahoma"/>
            <family val="2"/>
            <charset val="204"/>
          </rPr>
          <t xml:space="preserve">
</t>
        </r>
      </text>
    </comment>
    <comment ref="AZ21" authorId="1">
      <text>
        <r>
          <rPr>
            <b/>
            <sz val="9"/>
            <color indexed="81"/>
            <rFont val="Tahoma"/>
            <family val="2"/>
            <charset val="204"/>
          </rPr>
          <t xml:space="preserve">Сидоренко Дарье в свзи со смертью отца
</t>
        </r>
      </text>
    </comment>
    <comment ref="L22" authorId="0">
      <text>
        <r>
          <rPr>
            <b/>
            <sz val="10"/>
            <color indexed="81"/>
            <rFont val="Tahoma"/>
            <family val="2"/>
            <charset val="204"/>
          </rPr>
          <t>Согласно Коллективного договора (там еще на стр.17 есть сылка на Постановление Адм и Решение Думы)</t>
        </r>
        <r>
          <rPr>
            <b/>
            <u/>
            <sz val="10"/>
            <color indexed="81"/>
            <rFont val="Tahoma"/>
            <family val="2"/>
            <charset val="204"/>
          </rPr>
          <t xml:space="preserve">
на КВР 111 КОСГУ 266 перенес 6000 (остался на 211 запас 2000 + 2000 от Черемных осталось)</t>
        </r>
        <r>
          <rPr>
            <b/>
            <sz val="9"/>
            <color indexed="81"/>
            <rFont val="Tahoma"/>
            <family val="2"/>
            <charset val="204"/>
          </rPr>
          <t xml:space="preserve">
Находящимся по уходу за ребенком до трех лет:
</t>
        </r>
        <r>
          <rPr>
            <sz val="9"/>
            <color indexed="81"/>
            <rFont val="Tahoma"/>
            <family val="2"/>
            <charset val="204"/>
          </rPr>
          <t xml:space="preserve">- Решетова Мария Николаевна 1000 * 4 раза, за 4 квартал заявление не написали поэтому будет 3 раза
- Гиренко Виорика Валерьевна 1000 * 4 раза, за 4 квартал заявление не написали поэтому будет 3 раза
</t>
        </r>
        <r>
          <rPr>
            <b/>
            <sz val="9"/>
            <color indexed="81"/>
            <rFont val="Tahoma"/>
            <family val="2"/>
            <charset val="204"/>
          </rPr>
          <t xml:space="preserve">
</t>
        </r>
        <r>
          <rPr>
            <b/>
            <u/>
            <sz val="10"/>
            <color indexed="81"/>
            <rFont val="Tahoma"/>
            <family val="2"/>
            <charset val="204"/>
          </rPr>
          <t>Останутся на КВР111 КОСГУ 211</t>
        </r>
        <r>
          <rPr>
            <b/>
            <sz val="9"/>
            <color indexed="81"/>
            <rFont val="Tahoma"/>
            <family val="2"/>
            <charset val="204"/>
          </rPr>
          <t xml:space="preserve">
Имеющим на иждивении ребенка-инвалида, инвалида I, II, III группы с причиной инвалидности "инвалид с детства":
</t>
        </r>
        <r>
          <rPr>
            <sz val="9"/>
            <color indexed="81"/>
            <rFont val="Tahoma"/>
            <family val="2"/>
            <charset val="204"/>
          </rPr>
          <t>- Мурзина Галина Николаевна 1000 * 4 раза
- Гречушникова Екатерина Николаевна 1000 * 4 раза</t>
        </r>
        <r>
          <rPr>
            <b/>
            <sz val="9"/>
            <color indexed="81"/>
            <rFont val="Tahoma"/>
            <family val="2"/>
            <charset val="204"/>
          </rPr>
          <t xml:space="preserve">
- уволился его убираем </t>
        </r>
        <r>
          <rPr>
            <sz val="9"/>
            <color indexed="81"/>
            <rFont val="Tahoma"/>
            <family val="2"/>
            <charset val="204"/>
          </rPr>
          <t>Черемных Максим Владимирович 1000 * 4 раза (2000 перешло на Мулачанова) 2000 запас</t>
        </r>
        <r>
          <rPr>
            <b/>
            <sz val="9"/>
            <color indexed="81"/>
            <rFont val="Tahoma"/>
            <family val="2"/>
            <charset val="204"/>
          </rPr>
          <t xml:space="preserve">
Имеющим трех и более детей в возрасте до 18 лет:
</t>
        </r>
        <r>
          <rPr>
            <sz val="9"/>
            <color indexed="81"/>
            <rFont val="Tahoma"/>
            <family val="2"/>
            <charset val="204"/>
          </rPr>
          <t xml:space="preserve">- Соловьев Иван Викторович 1000 * 4 раза
- Репина (вместо ошибочной Кондратьева Екатерина Константиновна) 1000 * 4 раза
- Дремин Алексей Анатольевич  1000 * 4 раза
- Шарова Анна (вместо Карасик Наиля Ильгизяровна) 1000 * 4 раза 
</t>
        </r>
        <r>
          <rPr>
            <b/>
            <sz val="9"/>
            <color indexed="81"/>
            <rFont val="Tahoma"/>
            <family val="2"/>
            <charset val="204"/>
          </rPr>
          <t>- добавился</t>
        </r>
        <r>
          <rPr>
            <sz val="9"/>
            <color indexed="81"/>
            <rFont val="Tahoma"/>
            <family val="2"/>
            <charset val="204"/>
          </rPr>
          <t xml:space="preserve"> Мулачанов Рустам Равильевич 1000 * 2 раза (т.к.  1 квартал не полный)</t>
        </r>
        <r>
          <rPr>
            <b/>
            <sz val="9"/>
            <color indexed="81"/>
            <rFont val="Tahoma"/>
            <family val="2"/>
            <charset val="204"/>
          </rPr>
          <t xml:space="preserve">
По бухгалтерии они просто получают выплату как "материальная помощь"
</t>
        </r>
      </text>
    </comment>
    <comment ref="Q22"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4 раза
</t>
        </r>
        <r>
          <rPr>
            <sz val="9"/>
            <color indexed="81"/>
            <rFont val="Tahoma"/>
            <family val="2"/>
            <charset val="204"/>
          </rPr>
          <t>- Гиренко Виорика Валерьевна 1000</t>
        </r>
        <r>
          <rPr>
            <b/>
            <sz val="9"/>
            <color indexed="81"/>
            <rFont val="Tahoma"/>
            <family val="2"/>
            <charset val="204"/>
          </rPr>
          <t xml:space="preserve"> * 4 раза
</t>
        </r>
        <r>
          <rPr>
            <sz val="9"/>
            <color indexed="81"/>
            <rFont val="Tahoma"/>
            <family val="2"/>
            <charset val="204"/>
          </rPr>
          <t>- Гречушникова Екатерина Николаевна 1000</t>
        </r>
        <r>
          <rPr>
            <b/>
            <sz val="9"/>
            <color indexed="81"/>
            <rFont val="Tahoma"/>
            <family val="2"/>
            <charset val="204"/>
          </rPr>
          <t xml:space="preserve"> * 2 раза !!!!!!!!!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4 раза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S22" authorId="0">
      <text>
        <r>
          <rPr>
            <b/>
            <sz val="9"/>
            <color indexed="81"/>
            <rFont val="Tahoma"/>
            <family val="2"/>
            <charset val="204"/>
          </rPr>
          <t xml:space="preserve">Находящимся по уходу за ребенком до трех лет:
</t>
        </r>
        <r>
          <rPr>
            <sz val="9"/>
            <color indexed="81"/>
            <rFont val="Tahoma"/>
            <family val="2"/>
            <charset val="204"/>
          </rPr>
          <t>- Решетова Мария Николаевна 1000</t>
        </r>
        <r>
          <rPr>
            <b/>
            <sz val="9"/>
            <color indexed="81"/>
            <rFont val="Tahoma"/>
            <family val="2"/>
            <charset val="204"/>
          </rPr>
          <t xml:space="preserve"> * 3 раза !!!!!!!!
Имеющим на иждивении ребенка-инвалида, инвалида I, II, III группы с причиной инвалидности "инвалид с детства":
</t>
        </r>
        <r>
          <rPr>
            <sz val="9"/>
            <color indexed="81"/>
            <rFont val="Tahoma"/>
            <family val="2"/>
            <charset val="204"/>
          </rPr>
          <t xml:space="preserve">- Мурзина Галина Николаевна 1000 </t>
        </r>
        <r>
          <rPr>
            <b/>
            <sz val="9"/>
            <color indexed="81"/>
            <rFont val="Tahoma"/>
            <family val="2"/>
            <charset val="204"/>
          </rPr>
          <t xml:space="preserve">* 4 раза
</t>
        </r>
        <r>
          <rPr>
            <sz val="9"/>
            <color indexed="81"/>
            <rFont val="Tahoma"/>
            <family val="2"/>
            <charset val="204"/>
          </rPr>
          <t xml:space="preserve">- Черемных Максим Владимирович 1000 </t>
        </r>
        <r>
          <rPr>
            <b/>
            <sz val="9"/>
            <color indexed="81"/>
            <rFont val="Tahoma"/>
            <family val="2"/>
            <charset val="204"/>
          </rPr>
          <t xml:space="preserve">* 4 раза
Имеющим трех и более детей в возрасте до 18 лет:
</t>
        </r>
        <r>
          <rPr>
            <sz val="9"/>
            <color indexed="81"/>
            <rFont val="Tahoma"/>
            <family val="2"/>
            <charset val="204"/>
          </rPr>
          <t>- Соловьев Иван Викторович 1000</t>
        </r>
        <r>
          <rPr>
            <b/>
            <sz val="9"/>
            <color indexed="81"/>
            <rFont val="Tahoma"/>
            <family val="2"/>
            <charset val="204"/>
          </rPr>
          <t xml:space="preserve"> * 4 раза
</t>
        </r>
        <r>
          <rPr>
            <sz val="9"/>
            <color indexed="81"/>
            <rFont val="Tahoma"/>
            <family val="2"/>
            <charset val="204"/>
          </rPr>
          <t>- Кондратьева Екатерина Константиновна 1000</t>
        </r>
        <r>
          <rPr>
            <b/>
            <sz val="9"/>
            <color indexed="81"/>
            <rFont val="Tahoma"/>
            <family val="2"/>
            <charset val="204"/>
          </rPr>
          <t xml:space="preserve"> * 3 раза !!!!!!!!
</t>
        </r>
        <r>
          <rPr>
            <sz val="9"/>
            <color indexed="81"/>
            <rFont val="Tahoma"/>
            <family val="2"/>
            <charset val="204"/>
          </rPr>
          <t>- Дремин Алексей Анатольевич  1000</t>
        </r>
        <r>
          <rPr>
            <b/>
            <sz val="9"/>
            <color indexed="81"/>
            <rFont val="Tahoma"/>
            <family val="2"/>
            <charset val="204"/>
          </rPr>
          <t xml:space="preserve"> * 4 раза</t>
        </r>
      </text>
    </comment>
    <comment ref="L25" authorId="0">
      <text>
        <r>
          <rPr>
            <b/>
            <sz val="10"/>
            <color indexed="81"/>
            <rFont val="Tahoma"/>
            <family val="2"/>
            <charset val="204"/>
          </rPr>
          <t>Согласно Коллективного договора (там еще на стр.17 есть сылка на Постановление Адм и Решение Думы)</t>
        </r>
        <r>
          <rPr>
            <b/>
            <u/>
            <sz val="10"/>
            <color indexed="81"/>
            <rFont val="Tahoma"/>
            <family val="2"/>
            <charset val="204"/>
          </rPr>
          <t xml:space="preserve">
на КВР 111 КОСГУ 266 перенес 6000 (остался на 211 запас 2000 + 2000 от Черемных осталось)</t>
        </r>
        <r>
          <rPr>
            <b/>
            <sz val="9"/>
            <color indexed="81"/>
            <rFont val="Tahoma"/>
            <family val="2"/>
            <charset val="204"/>
          </rPr>
          <t xml:space="preserve">
Находящимся по уходу за ребенком до трех лет:
</t>
        </r>
        <r>
          <rPr>
            <sz val="9"/>
            <color indexed="81"/>
            <rFont val="Tahoma"/>
            <family val="2"/>
            <charset val="204"/>
          </rPr>
          <t>- Решетова Мария Николаевна 1000 * 4 раза, за 4 квартал заявление не написали поэтому будет 3 раза
- Гиренко Виорика Валерьевна 1000 * 4 раза, за 4 квартал заявление не написали поэтому будет 3 раза</t>
        </r>
        <r>
          <rPr>
            <b/>
            <sz val="9"/>
            <color indexed="81"/>
            <rFont val="Tahoma"/>
            <family val="2"/>
            <charset val="204"/>
          </rPr>
          <t xml:space="preserve">
</t>
        </r>
      </text>
    </comment>
    <comment ref="L26"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Q26"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S26" authorId="0">
      <text>
        <r>
          <rPr>
            <b/>
            <sz val="9"/>
            <color indexed="81"/>
            <rFont val="Tahoma"/>
            <family val="2"/>
            <charset val="204"/>
          </rPr>
          <t>2021
Блинова Елена Анатольевна31 год 3 мес. (21.03.1971 г.р.) - 122 483,46
Брагина Анна Юрьевна24 года 5 мес. (27.09.1967 г.р.) - 80 287,02
2022
Тажимова Гульнара Галиевна30 лет 6 мес. (09.01.1970 г.р.) - 85 738,18
Коптяева Галина Валерьевна35 лет 10 мес. (02.05.1965 г.р.) - 88 759,84
2023
Павловская Анна Всеволодовна27 лет 10 мес. (21.03.1970 г.р.) - 51 895,67
Швабенланд Альбина Накиповна32 года 7 мес. (04.05.1965 г.р.) - 47 506,8
Иванова Елена Анатольевна26 лет 9 мес. (22.04.1970 г.р.) - 47 114,5</t>
        </r>
      </text>
    </comment>
    <comment ref="K27" authorId="1">
      <text>
        <r>
          <rPr>
            <b/>
            <u/>
            <sz val="10"/>
            <color indexed="81"/>
            <rFont val="Tahoma"/>
            <family val="2"/>
            <charset val="204"/>
          </rPr>
          <t xml:space="preserve">
!!! Здесь и ЗП и Начисления на зп (30,2%) одновременно по КВР 119 ГОСГУ 266
2 работника могут воспользоваться:
- Мурзина (ставлю 10 раз т.к. </t>
        </r>
        <r>
          <rPr>
            <sz val="10"/>
            <color indexed="81"/>
            <rFont val="Tahoma"/>
            <family val="2"/>
            <charset val="204"/>
          </rPr>
          <t>пока она сама не знает, была операция у ребенка) у Мурзиной (зп за январь 37 691,54р.) средникй размер за 4 дня  зп + начисления за январь 12260р. в 1С показало, считаются как и отпускные за посление 12 мес, поэтому сумма может сильно варьироваться.</t>
        </r>
        <r>
          <rPr>
            <b/>
            <u/>
            <sz val="10"/>
            <color indexed="81"/>
            <rFont val="Tahoma"/>
            <family val="2"/>
            <charset val="204"/>
          </rPr>
          <t xml:space="preserve"> Для расчета взял 13000
</t>
        </r>
        <r>
          <rPr>
            <sz val="10"/>
            <color indexed="81"/>
            <rFont val="Tahoma"/>
            <family val="2"/>
            <charset val="204"/>
          </rPr>
          <t>-</t>
        </r>
        <r>
          <rPr>
            <b/>
            <sz val="10"/>
            <color indexed="81"/>
            <rFont val="Tahoma"/>
            <family val="2"/>
            <charset val="204"/>
          </rPr>
          <t xml:space="preserve"> Дремин </t>
        </r>
        <r>
          <rPr>
            <sz val="10"/>
            <color indexed="81"/>
            <rFont val="Tahoma"/>
            <family val="2"/>
            <charset val="204"/>
          </rPr>
          <t xml:space="preserve">сказал что не больше </t>
        </r>
        <r>
          <rPr>
            <b/>
            <sz val="10"/>
            <color indexed="81"/>
            <rFont val="Tahoma"/>
            <family val="2"/>
            <charset val="204"/>
          </rPr>
          <t xml:space="preserve">5 раз </t>
        </r>
        <r>
          <rPr>
            <sz val="10"/>
            <color indexed="81"/>
            <rFont val="Tahoma"/>
            <family val="2"/>
            <charset val="204"/>
          </rPr>
          <t xml:space="preserve">воспользуется (но скорее всего 2-3 раза всего возьмет) (зп январь 70 375,50р.) в пропорции от Мурзиной будет 13000 это 54% итого </t>
        </r>
        <r>
          <rPr>
            <b/>
            <sz val="10"/>
            <color indexed="81"/>
            <rFont val="Tahoma"/>
            <family val="2"/>
            <charset val="204"/>
          </rPr>
          <t>будет примерно 24 000 руб.</t>
        </r>
        <r>
          <rPr>
            <sz val="10"/>
            <color indexed="81"/>
            <rFont val="Tahoma"/>
            <family val="2"/>
            <charset val="204"/>
          </rPr>
          <t xml:space="preserve">
</t>
        </r>
        <r>
          <rPr>
            <b/>
            <u/>
            <sz val="10"/>
            <color indexed="81"/>
            <rFont val="Tahoma"/>
            <family val="2"/>
            <charset val="204"/>
          </rPr>
          <t xml:space="preserve">
!!! Здесь и ЗП и Начисления на зп (30,2%) одновременно по КВР 119 ГОСГУ 266</t>
        </r>
        <r>
          <rPr>
            <sz val="9"/>
            <color indexed="81"/>
            <rFont val="Tahoma"/>
            <family val="2"/>
            <charset val="204"/>
          </rPr>
          <t xml:space="preserve">
Раньше эти расходы были на КВР 111 КОСГУ 213
четыре дополнительных оплачиваемых выходных дня в месяц для ухода за детьми-инвалидами установлена ст. 262 ТК РФ. Каждый дополнительный выходной день оплачивается в размере среднего заработка.
Частью 17 ст. 37 Федерального закона от 24.07.2009 № 213-ФЗ, п. 8 положения о ФСС РФ, утв. постановлением Правительства РФ от 12.02.1994 № 101, установлено, что финансовое обеспечение расходов на оплату дополнительных выходных дней для ухода за детьми-инвалидами (включая начисленные страховые взносы в государственные внебюджетные фонды) осуществляется за счет межбюджетных трансфертов из федерального бюджета, предоставляемых бюджету ФСС РФ. Таким образом, эти расходы не являются обязательством учреждения.
</t>
        </r>
        <r>
          <rPr>
            <b/>
            <sz val="10"/>
            <color indexed="81"/>
            <rFont val="Tahoma"/>
            <family val="2"/>
            <charset val="204"/>
          </rPr>
          <t>С 2021 года на всей территории РФ действует механизм прямых выплат,</t>
        </r>
        <r>
          <rPr>
            <sz val="9"/>
            <color indexed="81"/>
            <rFont val="Tahoma"/>
            <family val="2"/>
            <charset val="204"/>
          </rPr>
          <t xml:space="preserve"> предусматривающий выплату пособий напрямую из ФСС РФ, а не через работодателя. </t>
        </r>
        <r>
          <rPr>
            <u/>
            <sz val="10"/>
            <color indexed="81"/>
            <rFont val="Tahoma"/>
            <family val="2"/>
            <charset val="204"/>
          </rPr>
          <t xml:space="preserve">Выплата среднего заработка за дополнительные выходные дни (не более четырех в месяц) по уходу за детьми-инвалидами </t>
        </r>
        <r>
          <rPr>
            <b/>
            <u/>
            <sz val="11"/>
            <color indexed="81"/>
            <rFont val="Tahoma"/>
            <family val="2"/>
            <charset val="204"/>
          </rPr>
          <t>является исключением</t>
        </r>
        <r>
          <rPr>
            <u/>
            <sz val="10"/>
            <color indexed="81"/>
            <rFont val="Tahoma"/>
            <family val="2"/>
            <charset val="204"/>
          </rPr>
          <t>.</t>
        </r>
        <r>
          <rPr>
            <sz val="9"/>
            <color indexed="81"/>
            <rFont val="Tahoma"/>
            <family val="2"/>
            <charset val="204"/>
          </rPr>
          <t xml:space="preserve"> Работодатель должен назначить и выплатить физлицу средний заработок, впоследствии фонд возместит такие расходы.
Оплата четырех дополнительных выходных дней в месяц родителю (опекуну, попечителю) для ухода за детьми-инвалидами отражается по элементу</t>
        </r>
        <r>
          <rPr>
            <b/>
            <u/>
            <sz val="9"/>
            <color indexed="81"/>
            <rFont val="Tahoma"/>
            <family val="2"/>
            <charset val="204"/>
          </rPr>
          <t xml:space="preserve"> видов расходов 119 "</t>
        </r>
        <r>
          <rPr>
            <sz val="9"/>
            <color indexed="81"/>
            <rFont val="Tahoma"/>
            <family val="2"/>
            <charset val="204"/>
          </rPr>
          <t xml:space="preserve">Взносы по обязательному социальному страхованию на выплаты по оплате труда работников и иные выплаты работникам учреждений" и </t>
        </r>
        <r>
          <rPr>
            <b/>
            <u/>
            <sz val="9"/>
            <color indexed="81"/>
            <rFont val="Tahoma"/>
            <family val="2"/>
            <charset val="204"/>
          </rPr>
          <t xml:space="preserve">подстатье 266 "Социальные пособия и компенсации персоналу в денежной форме" КОСГУ. </t>
        </r>
        <r>
          <rPr>
            <sz val="9"/>
            <color indexed="81"/>
            <rFont val="Tahoma"/>
            <family val="2"/>
            <charset val="204"/>
          </rPr>
          <t>Это установлено п. 48.1.4 порядка, утв. приказом Минфина России от 06.06.2019 № 85н, п. 10.6.6 порядка, утв. приказом Минфина России от 29.11.2017 № 209н.</t>
        </r>
      </text>
    </comment>
    <comment ref="L27" authorId="1">
      <text>
        <r>
          <rPr>
            <b/>
            <u/>
            <sz val="10"/>
            <color indexed="81"/>
            <rFont val="Tahoma"/>
            <family val="2"/>
            <charset val="204"/>
          </rPr>
          <t xml:space="preserve">2 работника могут воспользоваться:
- Мурзина (ставлю 10 раз т.к. </t>
        </r>
        <r>
          <rPr>
            <sz val="10"/>
            <color indexed="81"/>
            <rFont val="Tahoma"/>
            <family val="2"/>
            <charset val="204"/>
          </rPr>
          <t>пока она сама не знает, была операция у ребенка) у Мурзиной (зп за январь 37 691,54р.) средникй размер за 4 дня  зп + начисления за январь 12260р. в 1С показало, считаются как и отпускные за посление 12 мес, поэтому сумма может сильно варьироваться.</t>
        </r>
        <r>
          <rPr>
            <b/>
            <u/>
            <sz val="10"/>
            <color indexed="81"/>
            <rFont val="Tahoma"/>
            <family val="2"/>
            <charset val="204"/>
          </rPr>
          <t xml:space="preserve"> Для расчета взял 13000
</t>
        </r>
        <r>
          <rPr>
            <sz val="10"/>
            <color indexed="81"/>
            <rFont val="Tahoma"/>
            <family val="2"/>
            <charset val="204"/>
          </rPr>
          <t>-</t>
        </r>
        <r>
          <rPr>
            <b/>
            <sz val="10"/>
            <color indexed="81"/>
            <rFont val="Tahoma"/>
            <family val="2"/>
            <charset val="204"/>
          </rPr>
          <t xml:space="preserve"> Дремин </t>
        </r>
        <r>
          <rPr>
            <sz val="10"/>
            <color indexed="81"/>
            <rFont val="Tahoma"/>
            <family val="2"/>
            <charset val="204"/>
          </rPr>
          <t xml:space="preserve">сказал что не больше </t>
        </r>
        <r>
          <rPr>
            <b/>
            <sz val="10"/>
            <color indexed="81"/>
            <rFont val="Tahoma"/>
            <family val="2"/>
            <charset val="204"/>
          </rPr>
          <t xml:space="preserve">5 раз </t>
        </r>
        <r>
          <rPr>
            <sz val="10"/>
            <color indexed="81"/>
            <rFont val="Tahoma"/>
            <family val="2"/>
            <charset val="204"/>
          </rPr>
          <t xml:space="preserve">воспользуется (но скорее всего 2-3 раза всего возьмет) (зп январь 70 375,50р.) в пропорции от Мурзиной будет 13000 это 54% итого </t>
        </r>
        <r>
          <rPr>
            <b/>
            <sz val="10"/>
            <color indexed="81"/>
            <rFont val="Tahoma"/>
            <family val="2"/>
            <charset val="204"/>
          </rPr>
          <t>будет примерно 24 000 руб.</t>
        </r>
        <r>
          <rPr>
            <sz val="10"/>
            <color indexed="81"/>
            <rFont val="Tahoma"/>
            <family val="2"/>
            <charset val="204"/>
          </rPr>
          <t xml:space="preserve">
</t>
        </r>
        <r>
          <rPr>
            <b/>
            <u/>
            <sz val="10"/>
            <color indexed="81"/>
            <rFont val="Tahoma"/>
            <family val="2"/>
            <charset val="204"/>
          </rPr>
          <t xml:space="preserve">
Здесь и зп и начисления на зп одновременно по КВР 111 ГОСГУ 266</t>
        </r>
        <r>
          <rPr>
            <sz val="9"/>
            <color indexed="81"/>
            <rFont val="Tahoma"/>
            <family val="2"/>
            <charset val="204"/>
          </rPr>
          <t xml:space="preserve">
Раньше эти расходы были на КВР 111 КОСГУ 213
четыре дополнительных оплачиваемых выходных дня в месяц для ухода за детьми-инвалидами установлена ст. 262 ТК РФ. Каждый дополнительный выходной день оплачивается в размере среднего заработка.
Частью 17 ст. 37 Федерального закона от 24.07.2009 № 213-ФЗ, п. 8 положения о ФСС РФ, утв. постановлением Правительства РФ от 12.02.1994 № 101, установлено, что финансовое обеспечение расходов на оплату дополнительных выходных дней для ухода за детьми-инвалидами (включая начисленные страховые взносы в государственные внебюджетные фонды) осуществляется за счет межбюджетных трансфертов из федерального бюджета, предоставляемых бюджету ФСС РФ. Таким образом, эти расходы не являются обязательством учреждения.
</t>
        </r>
        <r>
          <rPr>
            <b/>
            <sz val="10"/>
            <color indexed="81"/>
            <rFont val="Tahoma"/>
            <family val="2"/>
            <charset val="204"/>
          </rPr>
          <t>С 2021 года на всей территории РФ действует механизм прямых выплат,</t>
        </r>
        <r>
          <rPr>
            <sz val="9"/>
            <color indexed="81"/>
            <rFont val="Tahoma"/>
            <family val="2"/>
            <charset val="204"/>
          </rPr>
          <t xml:space="preserve"> предусматривающий выплату пособий напрямую из ФСС РФ, а не через работодателя. </t>
        </r>
        <r>
          <rPr>
            <u/>
            <sz val="10"/>
            <color indexed="81"/>
            <rFont val="Tahoma"/>
            <family val="2"/>
            <charset val="204"/>
          </rPr>
          <t xml:space="preserve">Выплата среднего заработка за дополнительные выходные дни (не более четырех в месяц) по уходу за детьми-инвалидами </t>
        </r>
        <r>
          <rPr>
            <b/>
            <u/>
            <sz val="11"/>
            <color indexed="81"/>
            <rFont val="Tahoma"/>
            <family val="2"/>
            <charset val="204"/>
          </rPr>
          <t>является исключением</t>
        </r>
        <r>
          <rPr>
            <u/>
            <sz val="10"/>
            <color indexed="81"/>
            <rFont val="Tahoma"/>
            <family val="2"/>
            <charset val="204"/>
          </rPr>
          <t>.</t>
        </r>
        <r>
          <rPr>
            <sz val="9"/>
            <color indexed="81"/>
            <rFont val="Tahoma"/>
            <family val="2"/>
            <charset val="204"/>
          </rPr>
          <t xml:space="preserve"> Работодатель должен назначить и выплатить физлицу средний заработок, впоследствии фонд возместит такие расходы.
Оплата четырех дополнительных выходных дней в месяц родителю (опекуну, попечителю) для ухода за детьми-инвалидами отражается по элементу</t>
        </r>
        <r>
          <rPr>
            <b/>
            <u/>
            <sz val="9"/>
            <color indexed="81"/>
            <rFont val="Tahoma"/>
            <family val="2"/>
            <charset val="204"/>
          </rPr>
          <t xml:space="preserve"> видов расходов 119 "</t>
        </r>
        <r>
          <rPr>
            <sz val="9"/>
            <color indexed="81"/>
            <rFont val="Tahoma"/>
            <family val="2"/>
            <charset val="204"/>
          </rPr>
          <t xml:space="preserve">Взносы по обязательному социальному страхованию на выплаты по оплате труда работников и иные выплаты работникам учреждений" и </t>
        </r>
        <r>
          <rPr>
            <b/>
            <u/>
            <sz val="9"/>
            <color indexed="81"/>
            <rFont val="Tahoma"/>
            <family val="2"/>
            <charset val="204"/>
          </rPr>
          <t xml:space="preserve">подстатье 266 "Социальные пособия и компенсации персоналу в денежной форме" КОСГУ. </t>
        </r>
        <r>
          <rPr>
            <sz val="9"/>
            <color indexed="81"/>
            <rFont val="Tahoma"/>
            <family val="2"/>
            <charset val="204"/>
          </rPr>
          <t>Это установлено п. 48.1.4 порядка, утв. приказом Минфина России от 06.06.2019 № 85н, п. 10.6.6 порядка, утв. приказом Минфина России от 29.11.2017 № 209н.</t>
        </r>
      </text>
    </comment>
    <comment ref="J28" authorId="1">
      <text>
        <r>
          <rPr>
            <b/>
            <sz val="9"/>
            <color indexed="81"/>
            <rFont val="Tahoma"/>
            <family val="2"/>
            <charset val="204"/>
          </rPr>
          <t>правильно 266, т.к. Фин деп отклонил заявку и сказал что именно эта вознаграждение платится с 266 ГОСКУ поэтому и начисления с него же, а остальные платятся с 211 КОСГУ, поэтому они по 213 ГОСГУ</t>
        </r>
      </text>
    </comment>
    <comment ref="L28" authorId="0">
      <text>
        <r>
          <rPr>
            <b/>
            <sz val="9"/>
            <color indexed="81"/>
            <rFont val="Tahoma"/>
            <family val="2"/>
            <charset val="204"/>
          </rPr>
          <t xml:space="preserve">30,2% на КОСГУ 266
</t>
        </r>
        <r>
          <rPr>
            <sz val="9"/>
            <color indexed="81"/>
            <rFont val="Tahoma"/>
            <family val="2"/>
            <charset val="204"/>
          </rPr>
          <t xml:space="preserve">
</t>
        </r>
      </text>
    </comment>
    <comment ref="BM28" authorId="1">
      <text>
        <r>
          <rPr>
            <b/>
            <sz val="9"/>
            <color indexed="81"/>
            <rFont val="Tahoma"/>
            <family val="2"/>
            <charset val="204"/>
          </rPr>
          <t>налоги на выплату Тажимовой Г.Г. в связи с выходом на пенсию</t>
        </r>
      </text>
    </comment>
    <comment ref="L29" authorId="0">
      <text>
        <r>
          <rPr>
            <b/>
            <sz val="9"/>
            <color indexed="81"/>
            <rFont val="Tahoma"/>
            <family val="2"/>
            <charset val="204"/>
          </rPr>
          <t>30,2%</t>
        </r>
        <r>
          <rPr>
            <sz val="9"/>
            <color indexed="81"/>
            <rFont val="Tahoma"/>
            <family val="2"/>
            <charset val="204"/>
          </rPr>
          <t xml:space="preserve">
</t>
        </r>
      </text>
    </comment>
    <comment ref="Q29" authorId="0">
      <text>
        <r>
          <rPr>
            <b/>
            <sz val="9"/>
            <color indexed="81"/>
            <rFont val="Tahoma"/>
            <family val="2"/>
            <charset val="204"/>
          </rPr>
          <t>30,2%</t>
        </r>
        <r>
          <rPr>
            <sz val="9"/>
            <color indexed="81"/>
            <rFont val="Tahoma"/>
            <family val="2"/>
            <charset val="204"/>
          </rPr>
          <t xml:space="preserve">
</t>
        </r>
      </text>
    </comment>
    <comment ref="S29" authorId="0">
      <text>
        <r>
          <rPr>
            <b/>
            <sz val="9"/>
            <color indexed="81"/>
            <rFont val="Tahoma"/>
            <family val="2"/>
            <charset val="204"/>
          </rPr>
          <t>30,2%</t>
        </r>
        <r>
          <rPr>
            <sz val="9"/>
            <color indexed="81"/>
            <rFont val="Tahoma"/>
            <family val="2"/>
            <charset val="204"/>
          </rPr>
          <t xml:space="preserve">
</t>
        </r>
      </text>
    </comment>
    <comment ref="L31" authorId="0">
      <text>
        <r>
          <rPr>
            <b/>
            <sz val="9"/>
            <color indexed="81"/>
            <rFont val="Tahoma"/>
            <family val="2"/>
            <charset val="204"/>
          </rPr>
          <t>2 чел</t>
        </r>
        <r>
          <rPr>
            <sz val="9"/>
            <color indexed="81"/>
            <rFont val="Tahoma"/>
            <family val="2"/>
            <charset val="204"/>
          </rPr>
          <t xml:space="preserve">
</t>
        </r>
      </text>
    </comment>
    <comment ref="L32" authorId="0">
      <text>
        <r>
          <rPr>
            <b/>
            <sz val="9"/>
            <color indexed="81"/>
            <rFont val="Tahoma"/>
            <family val="2"/>
            <charset val="204"/>
          </rPr>
          <t>3 чел</t>
        </r>
      </text>
    </comment>
    <comment ref="J33" authorId="1">
      <text>
        <r>
          <rPr>
            <b/>
            <sz val="9"/>
            <color indexed="81"/>
            <rFont val="Tahoma"/>
            <family val="2"/>
            <charset val="204"/>
          </rPr>
          <t>правильно 266, т.к. Фин деп отклонил заявку и сказал что именно эта вознаграждение платится с 266 ГОСКУ поэтому и начисления с него же, а остальные платятся с 211 КОСГУ, поэтому они по 213 ГОСГУ</t>
        </r>
      </text>
    </comment>
    <comment ref="L33" authorId="0">
      <text>
        <r>
          <rPr>
            <b/>
            <sz val="9"/>
            <color indexed="81"/>
            <rFont val="Tahoma"/>
            <family val="2"/>
            <charset val="204"/>
          </rPr>
          <t xml:space="preserve">30,2% на КОСГУ 266
</t>
        </r>
        <r>
          <rPr>
            <sz val="9"/>
            <color indexed="81"/>
            <rFont val="Tahoma"/>
            <family val="2"/>
            <charset val="204"/>
          </rPr>
          <t xml:space="preserve">
</t>
        </r>
      </text>
    </comment>
    <comment ref="AW34" authorId="0">
      <text>
        <r>
          <rPr>
            <sz val="9"/>
            <color indexed="81"/>
            <rFont val="Tahoma"/>
            <family val="2"/>
            <charset val="204"/>
          </rPr>
          <t xml:space="preserve">только аванс января
</t>
        </r>
      </text>
    </comment>
    <comment ref="BS34" authorId="0">
      <text>
        <r>
          <rPr>
            <b/>
            <sz val="9"/>
            <color indexed="81"/>
            <rFont val="Tahoma"/>
            <family val="2"/>
            <charset val="204"/>
          </rPr>
          <t>половина зп ноября + вся зп за декабрь</t>
        </r>
      </text>
    </comment>
    <comment ref="BG36" authorId="1">
      <text>
        <r>
          <rPr>
            <b/>
            <sz val="9"/>
            <color indexed="81"/>
            <rFont val="Tahoma"/>
            <family val="2"/>
            <charset val="204"/>
          </rPr>
          <t>в том числе 7006,40 руб. компенсация проезда к месту учебы Марьянчук Е.А.
15430,00 проезд к месту отпуска Сидоренко Д.С.
38870,00 проезд к месту отпуска Соловьев И.В.</t>
        </r>
      </text>
    </comment>
    <comment ref="BG37" authorId="1">
      <text>
        <r>
          <rPr>
            <b/>
            <sz val="9"/>
            <color indexed="81"/>
            <rFont val="Tahoma"/>
            <family val="2"/>
            <charset val="204"/>
          </rPr>
          <t>Кондратьева Е. заявление от 15.06.2021 доплата 8637р.</t>
        </r>
      </text>
    </comment>
    <comment ref="BO37" authorId="1">
      <text>
        <r>
          <rPr>
            <sz val="9"/>
            <color indexed="81"/>
            <rFont val="Tahoma"/>
            <family val="2"/>
            <charset val="204"/>
          </rPr>
          <t>Дремин принес 1 билет по дочери</t>
        </r>
      </text>
    </comment>
    <comment ref="K38" authorId="1">
      <text>
        <r>
          <rPr>
            <b/>
            <sz val="9"/>
            <color indexed="81"/>
            <rFont val="Tahoma"/>
            <family val="2"/>
            <charset val="204"/>
          </rPr>
          <t>Марьянчук Е.А.</t>
        </r>
        <r>
          <rPr>
            <sz val="9"/>
            <color indexed="81"/>
            <rFont val="Tahoma"/>
            <family val="2"/>
            <charset val="204"/>
          </rPr>
          <t xml:space="preserve">
7 006,40 руб в июне</t>
        </r>
      </text>
    </comment>
    <comment ref="K39" authorId="1">
      <text>
        <r>
          <rPr>
            <b/>
            <sz val="9"/>
            <color indexed="81"/>
            <rFont val="Tahoma"/>
            <family val="2"/>
            <charset val="204"/>
          </rPr>
          <t>ежемесячные компенсационные выплаты в размере 50 рублей сотрудникам (работникам), находящимся в отпуске по уходу за ребенком до достижения им возраста 3 лет, назначаемые и выплачиваемые в соответствии с постановлением Правительства Российской Федерации от 3 ноября 1994 года N 1206 "Об утверждении порядка назначения и выплаты ежемесячных компенсационных выплат отдельным категориям граждан" (Собрание законодательства Российской Федерации, 1994, N 29, ст. 3035; 2018, N 50, ст. 7755)</t>
        </r>
      </text>
    </comment>
    <comment ref="K41" authorId="0">
      <text>
        <r>
          <rPr>
            <b/>
            <sz val="9"/>
            <color indexed="81"/>
            <rFont val="Tahoma"/>
            <family val="2"/>
            <charset val="204"/>
          </rPr>
          <t>здесь план корректирую по факту Аниных авансовых за покупку конвертов</t>
        </r>
        <r>
          <rPr>
            <sz val="9"/>
            <color indexed="81"/>
            <rFont val="Tahoma"/>
            <family val="2"/>
            <charset val="204"/>
          </rPr>
          <t xml:space="preserve">
</t>
        </r>
      </text>
    </comment>
    <comment ref="K43" authorId="1">
      <text>
        <r>
          <rPr>
            <sz val="10"/>
            <color indexed="81"/>
            <rFont val="Tahoma"/>
            <family val="2"/>
            <charset val="204"/>
          </rPr>
          <t>защищенный канал между Энгельса 11 и проезд Советов 4 (ЦООД)</t>
        </r>
      </text>
    </comment>
    <comment ref="W44" authorId="1">
      <text>
        <r>
          <rPr>
            <sz val="11"/>
            <color indexed="81"/>
            <rFont val="Tahoma"/>
            <family val="2"/>
            <charset val="204"/>
          </rPr>
          <t>лицевой счет 
683088687886</t>
        </r>
      </text>
    </comment>
    <comment ref="AZ50" authorId="1">
      <text>
        <r>
          <rPr>
            <b/>
            <sz val="9"/>
            <color indexed="81"/>
            <rFont val="Tahoma"/>
            <family val="2"/>
            <charset val="204"/>
          </rPr>
          <t>включая ТКО, не делится в платежке</t>
        </r>
      </text>
    </comment>
    <comment ref="BG50" authorId="1">
      <text>
        <r>
          <rPr>
            <b/>
            <sz val="9"/>
            <color indexed="81"/>
            <rFont val="Tahoma"/>
            <family val="2"/>
            <charset val="204"/>
          </rPr>
          <t xml:space="preserve">платежку не делят оплачивают одной здесь добавится ТКО
</t>
        </r>
      </text>
    </comment>
    <comment ref="L53" authorId="0">
      <text>
        <r>
          <rPr>
            <b/>
            <sz val="9"/>
            <color indexed="81"/>
            <rFont val="Tahoma"/>
            <family val="2"/>
            <charset val="204"/>
          </rPr>
          <t>годовая сумма 
12 428 476,80 по договору аренды, уже с учетом ТО инженерных систем</t>
        </r>
      </text>
    </comment>
    <comment ref="X53" authorId="1">
      <text>
        <r>
          <rPr>
            <b/>
            <sz val="9"/>
            <color indexed="81"/>
            <rFont val="Tahoma"/>
            <family val="2"/>
            <charset val="204"/>
          </rPr>
          <t>8 мес, чтобы не регистрировать в Росреестре и не была по бух учету Крупная сделка больше 9млн.</t>
        </r>
      </text>
    </comment>
    <comment ref="BK55" authorId="1">
      <text>
        <r>
          <rPr>
            <b/>
            <sz val="9"/>
            <color indexed="81"/>
            <rFont val="Tahoma"/>
            <family val="2"/>
            <charset val="204"/>
          </rPr>
          <t>за 3 мес (май, июнь, июль)</t>
        </r>
      </text>
    </comment>
    <comment ref="X57" authorId="1">
      <text>
        <r>
          <rPr>
            <b/>
            <sz val="9"/>
            <color indexed="81"/>
            <rFont val="Tahoma"/>
            <family val="2"/>
            <charset val="204"/>
          </rPr>
          <t>январь, июль и август исключаем</t>
        </r>
      </text>
    </comment>
    <comment ref="D58"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V58" authorId="0">
      <text>
        <r>
          <rPr>
            <b/>
            <sz val="9"/>
            <color indexed="81"/>
            <rFont val="Tahoma"/>
            <family val="2"/>
            <charset val="204"/>
          </rPr>
          <t xml:space="preserve">внебюджет
</t>
        </r>
      </text>
    </comment>
    <comment ref="X58" authorId="0">
      <text>
        <r>
          <rPr>
            <b/>
            <sz val="9"/>
            <color indexed="81"/>
            <rFont val="Tahoma"/>
            <family val="2"/>
            <charset val="204"/>
          </rPr>
          <t xml:space="preserve">доля от общего объема услуги по 4 и 2-ке
</t>
        </r>
        <r>
          <rPr>
            <sz val="9"/>
            <color indexed="81"/>
            <rFont val="Tahoma"/>
            <family val="2"/>
            <charset val="204"/>
          </rPr>
          <t xml:space="preserve">
</t>
        </r>
      </text>
    </comment>
    <comment ref="D59"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D60"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AS60" authorId="1">
      <text>
        <r>
          <rPr>
            <b/>
            <sz val="9"/>
            <color indexed="81"/>
            <rFont val="Tahoma"/>
            <family val="2"/>
            <charset val="204"/>
          </rPr>
          <t xml:space="preserve">с учетом открытия с 01.02.2021 уборка дополнительно в суб и воскр 354,9м2*42дня*1,61руб=23 998,34
Воскр с 8 до 16
</t>
        </r>
      </text>
    </comment>
    <comment ref="D61"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AS61" authorId="1">
      <text>
        <r>
          <rPr>
            <b/>
            <sz val="9"/>
            <color indexed="81"/>
            <rFont val="Tahoma"/>
            <family val="2"/>
            <charset val="204"/>
          </rPr>
          <t xml:space="preserve">с учетом открытия с 01.02.2021 уборка дополнительно в суб и воскр 354,9м2*42дня*1,61руб=23 998,34
Воскр с 8 до 16
</t>
        </r>
      </text>
    </comment>
    <comment ref="D62"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AS62" authorId="1">
      <text>
        <r>
          <rPr>
            <b/>
            <sz val="9"/>
            <color indexed="81"/>
            <rFont val="Tahoma"/>
            <family val="2"/>
            <charset val="204"/>
          </rPr>
          <t xml:space="preserve">с учетом открытия с 01.02.2021 уборка дополнительно в суб и воскр 354,9м2*42дня*1,61руб=23 998,34
Воскр с 8 до 16
</t>
        </r>
      </text>
    </comment>
    <comment ref="K64" authorId="0">
      <text>
        <r>
          <rPr>
            <b/>
            <sz val="9"/>
            <color indexed="81"/>
            <rFont val="Tahoma"/>
            <family val="2"/>
            <charset val="204"/>
          </rPr>
          <t xml:space="preserve">первый показ - апрель
</t>
        </r>
        <r>
          <rPr>
            <sz val="9"/>
            <color indexed="81"/>
            <rFont val="Tahoma"/>
            <family val="2"/>
            <charset val="204"/>
          </rPr>
          <t xml:space="preserve">
</t>
        </r>
      </text>
    </comment>
    <comment ref="BC64" authorId="1">
      <text>
        <r>
          <rPr>
            <b/>
            <sz val="9"/>
            <color indexed="81"/>
            <rFont val="Tahoma"/>
            <family val="2"/>
            <charset val="204"/>
          </rPr>
          <t>на 2520 дог
 3/21-О от 12.03.2021</t>
        </r>
      </text>
    </comment>
    <comment ref="K65" authorId="0">
      <text>
        <r>
          <rPr>
            <b/>
            <sz val="9"/>
            <color indexed="81"/>
            <rFont val="Tahoma"/>
            <family val="2"/>
            <charset val="204"/>
          </rPr>
          <t xml:space="preserve">первый показ и Лягушка и Первинка - январь-февраль
</t>
        </r>
      </text>
    </comment>
    <comment ref="BO65" authorId="1">
      <text>
        <r>
          <rPr>
            <b/>
            <sz val="9"/>
            <color indexed="81"/>
            <rFont val="Tahoma"/>
            <family val="2"/>
            <charset val="204"/>
          </rPr>
          <t>Царевна-лягушка:
- ткань 5м. =700р
- дерево 10м. = 1400р.
Первинка первая:
- ткань 12м. =1680р
- дерево 3м. = 420р.
Цена одна 140р.</t>
        </r>
      </text>
    </comment>
    <comment ref="K66" authorId="0">
      <text>
        <r>
          <rPr>
            <b/>
            <sz val="9"/>
            <color indexed="81"/>
            <rFont val="Tahoma"/>
            <family val="2"/>
            <charset val="204"/>
          </rPr>
          <t xml:space="preserve">первый показ - апрель
</t>
        </r>
        <r>
          <rPr>
            <sz val="9"/>
            <color indexed="81"/>
            <rFont val="Tahoma"/>
            <family val="2"/>
            <charset val="204"/>
          </rPr>
          <t xml:space="preserve">
</t>
        </r>
      </text>
    </comment>
    <comment ref="K67" authorId="0">
      <text>
        <r>
          <rPr>
            <b/>
            <sz val="9"/>
            <color indexed="81"/>
            <rFont val="Tahoma"/>
            <family val="2"/>
            <charset val="204"/>
          </rPr>
          <t>первый показ - ноябрь</t>
        </r>
      </text>
    </comment>
    <comment ref="D71"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L71" authorId="0">
      <text>
        <r>
          <rPr>
            <b/>
            <sz val="9"/>
            <color indexed="81"/>
            <rFont val="Tahoma"/>
            <family val="2"/>
            <charset val="204"/>
          </rPr>
          <t xml:space="preserve">у Оли было 458180,41
130,28р*количество часов охраны составит 5 110 часов: (365 дней*14 часа/день*1 чел.)
</t>
        </r>
      </text>
    </comment>
    <comment ref="V71" authorId="0">
      <text>
        <r>
          <rPr>
            <b/>
            <sz val="9"/>
            <color indexed="81"/>
            <rFont val="Tahoma"/>
            <family val="2"/>
            <charset val="204"/>
          </rPr>
          <t xml:space="preserve">внебюджет
</t>
        </r>
      </text>
    </comment>
    <comment ref="X71" authorId="0">
      <text>
        <r>
          <rPr>
            <b/>
            <sz val="9"/>
            <color indexed="81"/>
            <rFont val="Tahoma"/>
            <family val="2"/>
            <charset val="204"/>
          </rPr>
          <t xml:space="preserve">доля от общего объема услуги по 4 и 2-ке
</t>
        </r>
        <r>
          <rPr>
            <sz val="9"/>
            <color indexed="81"/>
            <rFont val="Tahoma"/>
            <family val="2"/>
            <charset val="204"/>
          </rPr>
          <t xml:space="preserve">
</t>
        </r>
      </text>
    </comment>
    <comment ref="D72"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W72" authorId="1">
      <text>
        <r>
          <rPr>
            <b/>
            <sz val="9"/>
            <color indexed="81"/>
            <rFont val="Tahoma"/>
            <family val="2"/>
            <charset val="204"/>
          </rPr>
          <t>общая сумма по договору 4-ка + 2-ка всего 382 050,00р. 
!!! продление суммы договора потребуется на октябрь хватает в притирку, а на ноябрь уже нет</t>
        </r>
      </text>
    </comment>
    <comment ref="AY72" authorId="1">
      <text>
        <r>
          <rPr>
            <sz val="9"/>
            <color indexed="81"/>
            <rFont val="Tahoma"/>
            <family val="2"/>
            <charset val="204"/>
          </rPr>
          <t>цена 150 * 12 часов * 15 дней
(с 06.02.21 добавляется еще суббота и воскресенье: пн-суб. с 8 до 20, вокр с с 9 до 17)</t>
        </r>
      </text>
    </comment>
    <comment ref="AY74" authorId="1">
      <text>
        <r>
          <rPr>
            <b/>
            <sz val="9"/>
            <color indexed="81"/>
            <rFont val="Tahoma"/>
            <family val="2"/>
            <charset val="204"/>
          </rPr>
          <t>в январе было без суб и воскр, 
с февраля 12 часов (с 8 до 20) в т.ч. в суб и воскр., с 11.01.21 будет 180 часов *6,05 руб. в час= 1089,00</t>
        </r>
        <r>
          <rPr>
            <sz val="9"/>
            <color indexed="81"/>
            <rFont val="Tahoma"/>
            <family val="2"/>
            <charset val="204"/>
          </rPr>
          <t xml:space="preserve">
было при планировании 49,18*31кол-во дней (с ООО "Страж" был такой расчет)</t>
        </r>
      </text>
    </comment>
    <comment ref="AY75" authorId="1">
      <text>
        <r>
          <rPr>
            <b/>
            <sz val="9"/>
            <color indexed="81"/>
            <rFont val="Tahoma"/>
            <family val="2"/>
            <charset val="204"/>
          </rPr>
          <t>6 чел/часов в месяц * стимость часа 724,60 (по Постановлению Адм Сургтута №9168 от 06.12.2019)= 4 347,60 в мес.</t>
        </r>
      </text>
    </comment>
    <comment ref="BK75" authorId="1">
      <text>
        <r>
          <rPr>
            <b/>
            <sz val="9"/>
            <color indexed="81"/>
            <rFont val="Tahoma"/>
            <family val="2"/>
            <charset val="204"/>
          </rPr>
          <t>за 3 мес (май, июнь, июль)</t>
        </r>
      </text>
    </comment>
    <comment ref="BK76" authorId="1">
      <text>
        <r>
          <rPr>
            <b/>
            <sz val="9"/>
            <color indexed="81"/>
            <rFont val="Tahoma"/>
            <family val="2"/>
            <charset val="204"/>
          </rPr>
          <t xml:space="preserve">за 3 мес (май, июнь, июль)
</t>
        </r>
      </text>
    </comment>
    <comment ref="K79" authorId="0">
      <text>
        <r>
          <rPr>
            <sz val="9"/>
            <color indexed="81"/>
            <rFont val="Tahoma"/>
            <family val="2"/>
            <charset val="204"/>
          </rPr>
          <t>"1С: Бухгалтерия государственного учреждения"
"1С: Зарплата и Кадры бюджетного учреждения"</t>
        </r>
      </text>
    </comment>
    <comment ref="X79" authorId="1">
      <text>
        <r>
          <rPr>
            <b/>
            <sz val="9"/>
            <color indexed="81"/>
            <rFont val="Tahoma"/>
            <family val="2"/>
            <charset val="204"/>
          </rPr>
          <t>пока на 6 мес, чтобы меньше 100 000р.</t>
        </r>
      </text>
    </comment>
    <comment ref="K80" authorId="0">
      <text>
        <r>
          <rPr>
            <sz val="9"/>
            <color indexed="81"/>
            <rFont val="Tahoma"/>
            <family val="2"/>
            <charset val="204"/>
          </rPr>
          <t>"1С: Бухгалтерия государственного учреждения"
"1С: Зарплата и Кадры бюджетного учреждения"</t>
        </r>
      </text>
    </comment>
    <comment ref="X80" authorId="1">
      <text>
        <r>
          <rPr>
            <b/>
            <sz val="9"/>
            <color indexed="81"/>
            <rFont val="Tahoma"/>
            <family val="2"/>
            <charset val="204"/>
          </rPr>
          <t>пока на 6 мес, чтобы меньше 100 000р.</t>
        </r>
      </text>
    </comment>
    <comment ref="K81" authorId="0">
      <text>
        <r>
          <rPr>
            <b/>
            <sz val="9"/>
            <color indexed="81"/>
            <rFont val="Tahoma"/>
            <family val="2"/>
            <charset val="204"/>
          </rPr>
          <t>4 ключа 1 раз в год</t>
        </r>
        <r>
          <rPr>
            <sz val="9"/>
            <color indexed="81"/>
            <rFont val="Tahoma"/>
            <family val="2"/>
            <charset val="204"/>
          </rPr>
          <t xml:space="preserve">
</t>
        </r>
      </text>
    </comment>
    <comment ref="K88" authorId="0">
      <text>
        <r>
          <rPr>
            <b/>
            <sz val="9"/>
            <color indexed="81"/>
            <rFont val="Tahoma"/>
            <family val="2"/>
            <charset val="204"/>
          </rPr>
          <t>Мероприятия</t>
        </r>
      </text>
    </comment>
    <comment ref="L88" authorId="1">
      <text>
        <r>
          <rPr>
            <b/>
            <sz val="9"/>
            <color indexed="81"/>
            <rFont val="Tahoma"/>
            <family val="2"/>
            <charset val="204"/>
          </rPr>
          <t>исходное значение    2 100 099,31</t>
        </r>
      </text>
    </comment>
    <comment ref="L89" authorId="1">
      <text>
        <r>
          <rPr>
            <b/>
            <sz val="9"/>
            <color indexed="81"/>
            <rFont val="Tahoma"/>
            <family val="2"/>
            <charset val="204"/>
          </rPr>
          <t>начальная 340 187,83</t>
        </r>
      </text>
    </comment>
    <comment ref="L96" authorId="1">
      <text>
        <r>
          <rPr>
            <sz val="9"/>
            <color indexed="81"/>
            <rFont val="Tahoma"/>
            <family val="2"/>
            <charset val="204"/>
          </rPr>
          <t>было на 2021 год:
559 569,35 - всего
319 887,83 - Услуги по организации постановки спектакля  (режиссер-постановщик, художник-постановщик)
112 266,67 - Услуги по изготовлению кукол
74 054,95 - Услуги композитора
28 300,00 - Услуги по разработке рекламных материалов (ИП Овчинников)
28 059,90 - Услуги по печати на ткани по эскизу</t>
        </r>
      </text>
    </comment>
    <comment ref="L105" authorId="1">
      <text>
        <r>
          <rPr>
            <b/>
            <sz val="9"/>
            <color indexed="81"/>
            <rFont val="Tahoma"/>
            <family val="2"/>
            <charset val="204"/>
          </rPr>
          <t>исходное значение 
340 187,83</t>
        </r>
      </text>
    </comment>
    <comment ref="L111" authorId="1">
      <text>
        <r>
          <rPr>
            <b/>
            <sz val="9"/>
            <color indexed="81"/>
            <rFont val="Tahoma"/>
            <family val="2"/>
            <charset val="204"/>
          </rPr>
          <t>исходное значение
421 906,70</t>
        </r>
      </text>
    </comment>
    <comment ref="L126" authorId="1">
      <text>
        <r>
          <rPr>
            <b/>
            <sz val="9"/>
            <color indexed="81"/>
            <rFont val="Tahoma"/>
            <family val="2"/>
            <charset val="204"/>
          </rPr>
          <t>исходное значение 345 187,83</t>
        </r>
      </text>
    </comment>
    <comment ref="L134" authorId="1">
      <text>
        <r>
          <rPr>
            <b/>
            <sz val="9"/>
            <color indexed="81"/>
            <rFont val="Tahoma"/>
            <family val="2"/>
            <charset val="204"/>
          </rPr>
          <t>исходное значение
93 059,77</t>
        </r>
      </text>
    </comment>
    <comment ref="K139" authorId="0">
      <text>
        <r>
          <rPr>
            <b/>
            <sz val="9"/>
            <color indexed="81"/>
            <rFont val="Tahoma"/>
            <family val="2"/>
            <charset val="204"/>
          </rPr>
          <t>Мероприятия</t>
        </r>
      </text>
    </comment>
    <comment ref="L139" authorId="1">
      <text>
        <r>
          <rPr>
            <b/>
            <sz val="9"/>
            <color indexed="81"/>
            <rFont val="Tahoma"/>
            <family val="2"/>
            <charset val="204"/>
          </rPr>
          <t>исходное значение
359 298,91</t>
        </r>
      </text>
    </comment>
    <comment ref="L140" authorId="1">
      <text>
        <r>
          <rPr>
            <b/>
            <sz val="9"/>
            <color indexed="81"/>
            <rFont val="Tahoma"/>
            <family val="2"/>
            <charset val="204"/>
          </rPr>
          <t xml:space="preserve">установлено 64 879,15
</t>
        </r>
        <r>
          <rPr>
            <sz val="9"/>
            <color indexed="81"/>
            <rFont val="Tahoma"/>
            <family val="2"/>
            <charset val="204"/>
          </rPr>
          <t xml:space="preserve">
</t>
        </r>
      </text>
    </comment>
    <comment ref="L154" authorId="1">
      <text>
        <r>
          <rPr>
            <b/>
            <sz val="9"/>
            <color indexed="81"/>
            <rFont val="Tahoma"/>
            <family val="2"/>
            <charset val="204"/>
          </rPr>
          <t>сиходное значение
134 005,82</t>
        </r>
      </text>
    </comment>
    <comment ref="L173" authorId="1">
      <text>
        <r>
          <rPr>
            <b/>
            <sz val="9"/>
            <color indexed="81"/>
            <rFont val="Tahoma"/>
            <family val="2"/>
            <charset val="204"/>
          </rPr>
          <t>исходное значение
27 459,50</t>
        </r>
      </text>
    </comment>
    <comment ref="L184" authorId="1">
      <text>
        <r>
          <rPr>
            <b/>
            <sz val="9"/>
            <color indexed="81"/>
            <rFont val="Tahoma"/>
            <family val="2"/>
            <charset val="204"/>
          </rPr>
          <t>исходное значение
40 774,18</t>
        </r>
      </text>
    </comment>
    <comment ref="L192" authorId="1">
      <text>
        <r>
          <rPr>
            <b/>
            <sz val="9"/>
            <color indexed="81"/>
            <rFont val="Tahoma"/>
            <family val="2"/>
            <charset val="204"/>
          </rPr>
          <t>исходное значение
58 096,96</t>
        </r>
      </text>
    </comment>
    <comment ref="L203" authorId="1">
      <text>
        <r>
          <rPr>
            <b/>
            <sz val="9"/>
            <color indexed="81"/>
            <rFont val="Tahoma"/>
            <family val="2"/>
            <charset val="204"/>
          </rPr>
          <t>исходное значение
34 083,30</t>
        </r>
      </text>
    </comment>
    <comment ref="L206" authorId="0">
      <text>
        <r>
          <rPr>
            <b/>
            <sz val="9"/>
            <color indexed="81"/>
            <rFont val="Tahoma"/>
            <family val="2"/>
            <charset val="204"/>
          </rPr>
          <t xml:space="preserve">у Оли было 114 103,74
</t>
        </r>
      </text>
    </comment>
    <comment ref="Q206" authorId="0">
      <text>
        <r>
          <rPr>
            <b/>
            <sz val="9"/>
            <color indexed="81"/>
            <rFont val="Tahoma"/>
            <family val="2"/>
            <charset val="204"/>
          </rPr>
          <t>Оли 131 233,54</t>
        </r>
      </text>
    </comment>
    <comment ref="S206" authorId="0">
      <text>
        <r>
          <rPr>
            <b/>
            <sz val="9"/>
            <color indexed="81"/>
            <rFont val="Tahoma"/>
            <family val="2"/>
            <charset val="204"/>
          </rPr>
          <t>Оли 122 383,74</t>
        </r>
      </text>
    </comment>
    <comment ref="W207" authorId="1">
      <text>
        <r>
          <rPr>
            <b/>
            <sz val="9"/>
            <color indexed="81"/>
            <rFont val="Tahoma"/>
            <family val="2"/>
            <charset val="204"/>
          </rPr>
          <t>на 31 640,00 дог 08/21 от 28.01.2021
на 12 962,50 дог от марта</t>
        </r>
      </text>
    </comment>
    <comment ref="W208" authorId="1">
      <text>
        <r>
          <rPr>
            <b/>
            <sz val="9"/>
            <color indexed="81"/>
            <rFont val="Tahoma"/>
            <family val="2"/>
            <charset val="204"/>
          </rPr>
          <t>на 31 640,00 дог 08/21 от 28.01.2021
на 12 962,50 дог от марта</t>
        </r>
      </text>
    </comment>
    <comment ref="W210" authorId="1">
      <text>
        <r>
          <rPr>
            <b/>
            <sz val="9"/>
            <color indexed="81"/>
            <rFont val="Tahoma"/>
            <family val="2"/>
            <charset val="204"/>
          </rPr>
          <t>на 31 640,00 дог 08/21 от 28.01.2021
на 12 962,50 дог от марта</t>
        </r>
      </text>
    </comment>
    <comment ref="L212" authorId="0">
      <text>
        <r>
          <rPr>
            <b/>
            <sz val="9"/>
            <color indexed="81"/>
            <rFont val="Tahoma"/>
            <family val="2"/>
            <charset val="204"/>
          </rPr>
          <t>земельный налог за 2020 год (платится 1 раз в год)</t>
        </r>
      </text>
    </comment>
    <comment ref="L213" authorId="0">
      <text>
        <r>
          <rPr>
            <b/>
            <sz val="9"/>
            <color indexed="81"/>
            <rFont val="Tahoma"/>
            <family val="2"/>
            <charset val="204"/>
          </rPr>
          <t>земельный налог за 2020 год (платится 1 раз в год)</t>
        </r>
      </text>
    </comment>
    <comment ref="L214" authorId="0">
      <text>
        <r>
          <rPr>
            <b/>
            <sz val="9"/>
            <color indexed="81"/>
            <rFont val="Tahoma"/>
            <family val="2"/>
            <charset val="204"/>
          </rPr>
          <t xml:space="preserve">0,15% с ФОТ, отчисляет отдельно работодатель в 4 квартале, помимо этого еще удерживается с з/н сотрудника
</t>
        </r>
      </text>
    </comment>
    <comment ref="L215" authorId="0">
      <text>
        <r>
          <rPr>
            <b/>
            <sz val="9"/>
            <color indexed="81"/>
            <rFont val="Tahoma"/>
            <family val="2"/>
            <charset val="204"/>
          </rPr>
          <t xml:space="preserve">было у Оли 9 740,39
</t>
        </r>
      </text>
    </comment>
    <comment ref="Q215" authorId="0">
      <text>
        <r>
          <rPr>
            <b/>
            <sz val="9"/>
            <color indexed="81"/>
            <rFont val="Tahoma"/>
            <family val="2"/>
            <charset val="204"/>
          </rPr>
          <t xml:space="preserve">было у Оли 9 740,39
</t>
        </r>
      </text>
    </comment>
    <comment ref="S215" authorId="0">
      <text>
        <r>
          <rPr>
            <b/>
            <sz val="9"/>
            <color indexed="81"/>
            <rFont val="Tahoma"/>
            <family val="2"/>
            <charset val="204"/>
          </rPr>
          <t xml:space="preserve">было у Оли 9 740,39
</t>
        </r>
      </text>
    </comment>
    <comment ref="L217" authorId="0">
      <text>
        <r>
          <rPr>
            <b/>
            <sz val="9"/>
            <color indexed="81"/>
            <rFont val="Tahoma"/>
            <family val="2"/>
            <charset val="204"/>
          </rPr>
          <t xml:space="preserve">было у Оли 9 740,39
</t>
        </r>
      </text>
    </comment>
    <comment ref="Q217" authorId="0">
      <text>
        <r>
          <rPr>
            <b/>
            <sz val="9"/>
            <color indexed="81"/>
            <rFont val="Tahoma"/>
            <family val="2"/>
            <charset val="204"/>
          </rPr>
          <t xml:space="preserve">было у Оли 9 740,39
</t>
        </r>
      </text>
    </comment>
    <comment ref="S217" authorId="0">
      <text>
        <r>
          <rPr>
            <b/>
            <sz val="9"/>
            <color indexed="81"/>
            <rFont val="Tahoma"/>
            <family val="2"/>
            <charset val="204"/>
          </rPr>
          <t xml:space="preserve">было у Оли 9 740,39
</t>
        </r>
      </text>
    </comment>
    <comment ref="L218" authorId="0">
      <text>
        <r>
          <rPr>
            <b/>
            <sz val="9"/>
            <color indexed="81"/>
            <rFont val="Tahoma"/>
            <family val="2"/>
            <charset val="204"/>
          </rPr>
          <t xml:space="preserve">Сообщить Эсли, чтобы откорректировал 10 рублей, у них 715 900 округляет
</t>
        </r>
      </text>
    </comment>
    <comment ref="Q218" authorId="0">
      <text>
        <r>
          <rPr>
            <b/>
            <sz val="9"/>
            <color indexed="81"/>
            <rFont val="Tahoma"/>
            <family val="2"/>
            <charset val="204"/>
          </rPr>
          <t xml:space="preserve">Сообщить Эсли, чтобы откорректировал 10 рублей, у них 715 900 округляет
</t>
        </r>
      </text>
    </comment>
    <comment ref="S218" authorId="0">
      <text>
        <r>
          <rPr>
            <b/>
            <sz val="9"/>
            <color indexed="81"/>
            <rFont val="Tahoma"/>
            <family val="2"/>
            <charset val="204"/>
          </rPr>
          <t xml:space="preserve">Сообщить Эсли, чтобы откорректировал 10 рублей, у них 715 900 округляет
</t>
        </r>
      </text>
    </comment>
    <comment ref="L219" authorId="0">
      <text>
        <r>
          <rPr>
            <b/>
            <sz val="9"/>
            <color indexed="81"/>
            <rFont val="Tahoma"/>
            <family val="2"/>
            <charset val="204"/>
          </rPr>
          <t xml:space="preserve">было у Оли 9 740,39
</t>
        </r>
      </text>
    </comment>
    <comment ref="Q219" authorId="0">
      <text>
        <r>
          <rPr>
            <b/>
            <sz val="9"/>
            <color indexed="81"/>
            <rFont val="Tahoma"/>
            <family val="2"/>
            <charset val="204"/>
          </rPr>
          <t xml:space="preserve">было у Оли 9 740,39
</t>
        </r>
      </text>
    </comment>
    <comment ref="S219" authorId="0">
      <text>
        <r>
          <rPr>
            <b/>
            <sz val="9"/>
            <color indexed="81"/>
            <rFont val="Tahoma"/>
            <family val="2"/>
            <charset val="204"/>
          </rPr>
          <t xml:space="preserve">было у Оли 9 740,39
</t>
        </r>
      </text>
    </comment>
    <comment ref="L227" authorId="0">
      <text>
        <r>
          <rPr>
            <b/>
            <sz val="9"/>
            <color indexed="81"/>
            <rFont val="Tahoma"/>
            <family val="2"/>
            <charset val="204"/>
          </rPr>
          <t>осталось обучить 25 чел</t>
        </r>
      </text>
    </comment>
    <comment ref="K244" authorId="1">
      <text>
        <r>
          <rPr>
            <b/>
            <sz val="9"/>
            <color indexed="81"/>
            <rFont val="Tahoma"/>
            <family val="2"/>
            <charset val="204"/>
          </rPr>
          <t>Субсидия на реализацию наказов избирателей депутатам Думы Ханты-Мансийского автономного округа – Югры, источником финансового обеспечения которых являются иные межбюджетные трансферты (Департамент культуры ХМАО-Югры).
Приобретение:
- видеокамер - 2 шт.,
- профессиональных жестких кофров для камеры - 2 шт.,
- видеоштативов - 2 шт,
- компьютера Core i5 VS - 1 шт.,
- монитора 27" НР - 1 шт., 
- монтажной станции (рабочая нелинейного монтажа) - 1 шт., 
- гримерных столиков - 16 шт.,
- стульев - 16 шт.,
- ростовых зеркал - 4 шт.</t>
        </r>
      </text>
    </comment>
    <comment ref="K245" authorId="1">
      <text>
        <r>
          <rPr>
            <b/>
            <sz val="9"/>
            <color indexed="81"/>
            <rFont val="Tahoma"/>
            <family val="2"/>
            <charset val="204"/>
          </rPr>
          <t>Субсидия на реализацию наказов избирателей депутатам Думы Ханты-Мансийского автономного округа – Югры, источником финансового обеспечения которых являются иные межбюджетные трансферты (Департамент культуры ХМАО-Югры).
Приобретение:
- видеокамер - 2 шт.,
- профессиональных жестких кофров для камеры - 2 шт.,
- видеоштативов - 2 шт,
- компьютера Core i5 VS - 1 шт.,
- монитора 27" НР - 1 шт., 
- монтажной станции (рабочая нелинейного монтажа) - 1 шт., 
- гримерных столиков - 16 шт.,
- стульев - 16 шт.,
- ростовых зеркал - 4 шт.</t>
        </r>
      </text>
    </comment>
    <comment ref="K246" authorId="1">
      <text>
        <r>
          <rPr>
            <b/>
            <sz val="9"/>
            <color indexed="81"/>
            <rFont val="Tahoma"/>
            <family val="2"/>
            <charset val="204"/>
          </rPr>
          <t>Субсидия на реализацию наказов избирателей депутатам Думы Ханты-Мансийского автономного округа – Югры, источником финансового обеспечения которых являются иные межбюджетные трансферты (Департамент культуры ХМАО-Югры).
Приобретение:
- видеокамер - 2 шт.,
- профессиональных жестких кофров для камеры - 2 шт.,
- видеоштативов - 2 шт,
- компьютера Core i5 VS - 1 шт.,
- монитора 27" НР - 1 шт., 
- монтажной станции (рабочая нелинейного монтажа) - 1 шт., 
- гримерных столиков - 16 шт.,
- стульев - 16 шт.,
- ростовых зеркал - 4 шт.</t>
        </r>
      </text>
    </comment>
    <comment ref="M253" authorId="1">
      <text>
        <r>
          <rPr>
            <b/>
            <sz val="9"/>
            <color indexed="81"/>
            <rFont val="Tahoma"/>
            <family val="2"/>
            <charset val="204"/>
          </rPr>
          <t>Иные иные ЮРАРДИ разбвка 190 000р. На 211 и 213 Переходящие с 2020 года. Как доход были отражены в 2020. В июне заключали доп соглашение по которому транспортные и иные расходы отпали, осталась только зарплата, поэтому все распределили на нее, а по друим статьям не трогали, просто остались как итоги.</t>
        </r>
      </text>
    </comment>
    <comment ref="N253" authorId="1">
      <text>
        <r>
          <rPr>
            <b/>
            <sz val="9"/>
            <color indexed="81"/>
            <rFont val="Tahoma"/>
            <family val="2"/>
            <charset val="204"/>
          </rPr>
          <t>Иные иные:
136538,34 - зп  премия сотрудникам по командировке в Мытищи
4608,14 - зп Рысину за сценарий весенние загадки</t>
        </r>
      </text>
    </comment>
    <comment ref="BE257" authorId="1">
      <text>
        <r>
          <rPr>
            <b/>
            <sz val="9"/>
            <color indexed="81"/>
            <rFont val="Tahoma"/>
            <family val="2"/>
            <charset val="204"/>
          </rPr>
          <t>были некорректно оплачены 900р. Питание (они должны быть как суточные а их поставили в проезд проживание) потом откоректировали.</t>
        </r>
      </text>
    </comment>
    <comment ref="BM257" authorId="1">
      <text>
        <r>
          <rPr>
            <b/>
            <sz val="9"/>
            <color indexed="81"/>
            <rFont val="Tahoma"/>
            <family val="2"/>
            <charset val="204"/>
          </rPr>
          <t>1500 - Дир в Москву
3500 - Верчук в Москву</t>
        </r>
      </text>
    </comment>
    <comment ref="M258" authorId="1">
      <text>
        <r>
          <rPr>
            <b/>
            <sz val="9"/>
            <color indexed="81"/>
            <rFont val="Tahoma"/>
            <family val="2"/>
            <charset val="204"/>
          </rPr>
          <t xml:space="preserve">Иные иные ЮРАРДИ разбвка 190 000р. На 211 и 213 Переходящие с 2020 года. Как доход были отражены в 2020. В июне заключали доп соглашение по которому транспортные и иные расходы отпали, осталась только зарплата, поэтому все распределили на нее, а по друим статьям не трогали, просто остались как итоги.
!!!!!!
</t>
        </r>
        <r>
          <rPr>
            <b/>
            <u/>
            <sz val="9"/>
            <color indexed="81"/>
            <rFont val="Tahoma"/>
            <family val="2"/>
            <charset val="204"/>
          </rPr>
          <t>Остаток средств на начало текущего финансового года в сумме 2 442,91 руб., распределяется следующим образом:</t>
        </r>
        <r>
          <rPr>
            <b/>
            <sz val="9"/>
            <color indexed="81"/>
            <rFont val="Tahoma"/>
            <family val="2"/>
            <charset val="204"/>
          </rPr>
          <t xml:space="preserve">
  - КОСГУ 266 в сумме</t>
        </r>
        <r>
          <rPr>
            <b/>
            <u/>
            <sz val="9"/>
            <color indexed="81"/>
            <rFont val="Tahoma"/>
            <family val="2"/>
            <charset val="204"/>
          </rPr>
          <t xml:space="preserve"> 900 руб</t>
        </r>
        <r>
          <rPr>
            <b/>
            <sz val="9"/>
            <color indexed="81"/>
            <rFont val="Tahoma"/>
            <family val="2"/>
            <charset val="204"/>
          </rPr>
          <t>. - для выплаты пособия по уходу за ребенком до 3-х лет;
  - КОСГУ 213 в сумме</t>
        </r>
        <r>
          <rPr>
            <b/>
            <u/>
            <sz val="9"/>
            <color indexed="81"/>
            <rFont val="Tahoma"/>
            <family val="2"/>
            <charset val="204"/>
          </rPr>
          <t xml:space="preserve"> 1 542,91 </t>
        </r>
        <r>
          <rPr>
            <b/>
            <sz val="9"/>
            <color indexed="81"/>
            <rFont val="Tahoma"/>
            <family val="2"/>
            <charset val="204"/>
          </rPr>
          <t>руб. - резерв средств для оплаты начислений на выплаты по оплате труда в 2021 году.</t>
        </r>
      </text>
    </comment>
    <comment ref="N258" authorId="1">
      <text>
        <r>
          <rPr>
            <b/>
            <sz val="9"/>
            <color indexed="81"/>
            <rFont val="Tahoma"/>
            <family val="2"/>
            <charset val="204"/>
          </rPr>
          <t>Иные иные:
39881,57 - начисления на зп  сотрудникам по командировке в Мытищи
1391,86 - начисления на зп Рысину за сценарий весенние загадки</t>
        </r>
      </text>
    </comment>
    <comment ref="L260" authorId="0">
      <text>
        <r>
          <rPr>
            <b/>
            <sz val="9"/>
            <color indexed="81"/>
            <rFont val="Tahoma"/>
            <family val="2"/>
            <charset val="204"/>
          </rPr>
          <t xml:space="preserve">Компенсационную выплату работникам, находящимся в отпуске по уходу за ребенком до достижения им возраста 3-х лет:
- Лалаян Юлия Маратовна - 85р * 12 раз
</t>
        </r>
      </text>
    </comment>
    <comment ref="M260" authorId="1">
      <text>
        <r>
          <rPr>
            <b/>
            <sz val="9"/>
            <color indexed="81"/>
            <rFont val="Tahoma"/>
            <family val="2"/>
            <charset val="204"/>
          </rPr>
          <t>!!!!</t>
        </r>
        <r>
          <rPr>
            <b/>
            <u/>
            <sz val="9"/>
            <color indexed="81"/>
            <rFont val="Tahoma"/>
            <family val="2"/>
            <charset val="204"/>
          </rPr>
          <t>!!
Остаток средств на начало текущего финансового года в сумме 2 442,91 руб., распределяется следующим образом</t>
        </r>
        <r>
          <rPr>
            <b/>
            <sz val="9"/>
            <color indexed="81"/>
            <rFont val="Tahoma"/>
            <family val="2"/>
            <charset val="204"/>
          </rPr>
          <t xml:space="preserve">:
  - КОСГУ 266 в сумме </t>
        </r>
        <r>
          <rPr>
            <b/>
            <u/>
            <sz val="9"/>
            <color indexed="81"/>
            <rFont val="Tahoma"/>
            <family val="2"/>
            <charset val="204"/>
          </rPr>
          <t>900</t>
        </r>
        <r>
          <rPr>
            <b/>
            <sz val="9"/>
            <color indexed="81"/>
            <rFont val="Tahoma"/>
            <family val="2"/>
            <charset val="204"/>
          </rPr>
          <t xml:space="preserve"> руб. - для выплаты пособия по уходу за ребенком до 3-х лет;
  - КОСГУ 213 в сумме </t>
        </r>
        <r>
          <rPr>
            <b/>
            <u/>
            <sz val="9"/>
            <color indexed="81"/>
            <rFont val="Tahoma"/>
            <family val="2"/>
            <charset val="204"/>
          </rPr>
          <t xml:space="preserve">1 542,91 </t>
        </r>
        <r>
          <rPr>
            <b/>
            <sz val="9"/>
            <color indexed="81"/>
            <rFont val="Tahoma"/>
            <family val="2"/>
            <charset val="204"/>
          </rPr>
          <t>руб. - резерв средств для оплаты начислений на выплаты по оплате труда в 2021 году.</t>
        </r>
      </text>
    </comment>
    <comment ref="Q260" authorId="0">
      <text>
        <r>
          <rPr>
            <b/>
            <sz val="9"/>
            <color indexed="81"/>
            <rFont val="Tahoma"/>
            <family val="2"/>
            <charset val="204"/>
          </rPr>
          <t>Компенсационную выплату работникам, находящимся в отпуске по уходу за ребенком до достижения им возраста 3-х лет:
- Лалаян Юлия Маратовна - 85р * 5 раза</t>
        </r>
      </text>
    </comment>
    <comment ref="K263" authorId="0">
      <text>
        <r>
          <rPr>
            <b/>
            <sz val="9"/>
            <color indexed="81"/>
            <rFont val="Tahoma"/>
            <family val="2"/>
            <charset val="204"/>
          </rPr>
          <t>здесь план корректирую по факту Аниных авансовых за покупку конвертов</t>
        </r>
        <r>
          <rPr>
            <sz val="9"/>
            <color indexed="81"/>
            <rFont val="Tahoma"/>
            <family val="2"/>
            <charset val="204"/>
          </rPr>
          <t xml:space="preserve">
</t>
        </r>
      </text>
    </comment>
    <comment ref="BB263" authorId="1">
      <text>
        <r>
          <rPr>
            <b/>
            <sz val="9"/>
            <color indexed="81"/>
            <rFont val="Tahoma"/>
            <family val="2"/>
            <charset val="204"/>
          </rPr>
          <t>Тереньева А.А. авансовый №10 от 03.03.2021</t>
        </r>
      </text>
    </comment>
    <comment ref="BC263" authorId="1">
      <text>
        <r>
          <rPr>
            <b/>
            <sz val="9"/>
            <color indexed="81"/>
            <rFont val="Tahoma"/>
            <family val="2"/>
            <charset val="204"/>
          </rPr>
          <t>два авансовых на одинаковую сумму 261,50р.
1) авансовый №26 от 23.04.21
2) авансовый от 26.04.21</t>
        </r>
      </text>
    </comment>
    <comment ref="BE263" authorId="1">
      <text>
        <r>
          <rPr>
            <b/>
            <sz val="9"/>
            <color indexed="81"/>
            <rFont val="Tahoma"/>
            <family val="2"/>
            <charset val="204"/>
          </rPr>
          <t>276,50р. - авансовый №32 от 20.05.2021 Гаврилова С.В.
907,50р. - авансовый №35 от 26.05.2021 Гаврилова С.В.</t>
        </r>
      </text>
    </comment>
    <comment ref="BG263" authorId="1">
      <text>
        <r>
          <rPr>
            <b/>
            <sz val="9"/>
            <color indexed="81"/>
            <rFont val="Tahoma"/>
            <family val="2"/>
            <charset val="204"/>
          </rPr>
          <t xml:space="preserve">авансовый №37 от 09.06.2021
</t>
        </r>
      </text>
    </comment>
    <comment ref="BM263" authorId="1">
      <text>
        <r>
          <rPr>
            <b/>
            <sz val="9"/>
            <color indexed="81"/>
            <rFont val="Tahoma"/>
            <family val="2"/>
            <charset val="204"/>
          </rPr>
          <t>авнсовый №75 от 06.09.2021 на 1404,50, но там еще были батарейки-аккумуляторы для трубок телефона (КОСГУ346) на 860 рублей</t>
        </r>
      </text>
    </comment>
    <comment ref="K265" authorId="1">
      <text>
        <r>
          <rPr>
            <sz val="10"/>
            <color indexed="81"/>
            <rFont val="Tahoma"/>
            <family val="2"/>
            <charset val="204"/>
          </rPr>
          <t>защищенный канал между Энгельса 11 и проезд Советов 4 (ЦООД)</t>
        </r>
      </text>
    </comment>
    <comment ref="L270" authorId="0">
      <text>
        <r>
          <rPr>
            <b/>
            <sz val="9"/>
            <color indexed="81"/>
            <rFont val="Tahoma"/>
            <family val="2"/>
            <charset val="204"/>
          </rPr>
          <t xml:space="preserve">у Оли 1 199 595,54
</t>
        </r>
      </text>
    </comment>
    <comment ref="Q270" authorId="0">
      <text>
        <r>
          <rPr>
            <b/>
            <sz val="9"/>
            <color indexed="81"/>
            <rFont val="Tahoma"/>
            <family val="2"/>
            <charset val="204"/>
          </rPr>
          <t xml:space="preserve">у Оли 1 199 595,54
</t>
        </r>
      </text>
    </comment>
    <comment ref="S270" authorId="0">
      <text>
        <r>
          <rPr>
            <b/>
            <sz val="9"/>
            <color indexed="81"/>
            <rFont val="Tahoma"/>
            <family val="2"/>
            <charset val="204"/>
          </rPr>
          <t xml:space="preserve">у Оли 1 199 595,54
</t>
        </r>
      </text>
    </comment>
    <comment ref="L274" authorId="0">
      <text>
        <r>
          <rPr>
            <b/>
            <sz val="9"/>
            <color indexed="81"/>
            <rFont val="Tahoma"/>
            <family val="2"/>
            <charset val="204"/>
          </rPr>
          <t>годовая сумма 
12 428 476,80 по договору аренды, уже с учетом ТО инженерных систем</t>
        </r>
      </text>
    </comment>
    <comment ref="D275"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276"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W276" authorId="1">
      <text>
        <r>
          <rPr>
            <b/>
            <sz val="9"/>
            <color indexed="81"/>
            <rFont val="Tahoma"/>
            <family val="2"/>
            <charset val="204"/>
          </rPr>
          <t>договор на 35000</t>
        </r>
      </text>
    </comment>
    <comment ref="D277"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K277" authorId="0">
      <text>
        <r>
          <rPr>
            <b/>
            <sz val="9"/>
            <color indexed="81"/>
            <rFont val="Tahoma"/>
            <family val="2"/>
            <charset val="204"/>
          </rPr>
          <t>первый показ - ноябрь</t>
        </r>
      </text>
    </comment>
    <comment ref="BC277" authorId="1">
      <text>
        <r>
          <rPr>
            <b/>
            <sz val="9"/>
            <color indexed="81"/>
            <rFont val="Tahoma"/>
            <family val="2"/>
            <charset val="204"/>
          </rPr>
          <t>ткань по 140р.*18м.кв=2520
140р.*12м.кв.=1680</t>
        </r>
      </text>
    </comment>
    <comment ref="D278"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BA278" authorId="1">
      <text>
        <r>
          <rPr>
            <b/>
            <sz val="9"/>
            <color indexed="81"/>
            <rFont val="Tahoma"/>
            <family val="2"/>
            <charset val="204"/>
          </rPr>
          <t>2 спектакля "МойДоДыр" и "Алладин и волшебный светильник"</t>
        </r>
      </text>
    </comment>
    <comment ref="BC278" authorId="1">
      <text>
        <r>
          <rPr>
            <b/>
            <sz val="9"/>
            <color indexed="81"/>
            <rFont val="Tahoma"/>
            <family val="2"/>
            <charset val="204"/>
          </rPr>
          <t>10/21 от 29.03.2021 Спектакль "Сказ о Емеле, царе и щучьем волшебстве"</t>
        </r>
      </text>
    </comment>
    <comment ref="D279"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280"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D281"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D282" authorId="1">
      <text>
        <r>
          <rPr>
            <b/>
            <sz val="9"/>
            <color indexed="81"/>
            <rFont val="Tahoma"/>
            <family val="2"/>
            <charset val="204"/>
          </rPr>
          <t xml:space="preserve">т.к. обслуживается не собственое имущество а арендованное
</t>
        </r>
        <r>
          <rPr>
            <sz val="9"/>
            <color indexed="81"/>
            <rFont val="Tahoma"/>
            <family val="2"/>
            <charset val="204"/>
          </rPr>
          <t xml:space="preserve">
</t>
        </r>
      </text>
    </comment>
    <comment ref="BE284" authorId="1">
      <text>
        <r>
          <rPr>
            <b/>
            <sz val="9"/>
            <color indexed="81"/>
            <rFont val="Tahoma"/>
            <family val="2"/>
            <charset val="204"/>
          </rPr>
          <t xml:space="preserve">изначально учил  вданной суммме расходы на питание, а это относится к КОСГУ 212 как уточные откорректировали их на 900 в суточные, а 300р. директор просто сделала возврат
</t>
        </r>
      </text>
    </comment>
    <comment ref="D285"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D286" authorId="1">
      <text>
        <r>
          <rPr>
            <b/>
            <sz val="9"/>
            <color indexed="81"/>
            <rFont val="Tahoma"/>
            <family val="2"/>
            <charset val="204"/>
          </rPr>
          <t xml:space="preserve">т.к. обслуживается не собственое имущество а арендованное и сам договор на охрану ЗДАНИЯ, а не находящегося в нем имущества
</t>
        </r>
        <r>
          <rPr>
            <sz val="9"/>
            <color indexed="81"/>
            <rFont val="Tahoma"/>
            <family val="2"/>
            <charset val="204"/>
          </rPr>
          <t xml:space="preserve">
</t>
        </r>
      </text>
    </comment>
    <comment ref="W286" authorId="1">
      <text>
        <r>
          <rPr>
            <b/>
            <sz val="9"/>
            <color indexed="81"/>
            <rFont val="Tahoma"/>
            <family val="2"/>
            <charset val="204"/>
          </rPr>
          <t>общая сумма по договору 4-ка + 2-ка всего 382 050,00р. 
!!! продление суммы договора потребуется на октябрь ватает, а на ноябрь уже нет</t>
        </r>
      </text>
    </comment>
    <comment ref="BA286" authorId="1">
      <text>
        <r>
          <rPr>
            <b/>
            <sz val="9"/>
            <color indexed="81"/>
            <rFont val="Tahoma"/>
            <family val="2"/>
            <charset val="204"/>
          </rPr>
          <t xml:space="preserve">доп за февраль на 450 руб. это 3 часа по 150р.
</t>
        </r>
      </text>
    </comment>
    <comment ref="BM286" authorId="1">
      <text>
        <r>
          <rPr>
            <b/>
            <sz val="9"/>
            <color indexed="81"/>
            <rFont val="Tahoma"/>
            <family val="2"/>
            <charset val="204"/>
          </rPr>
          <t>за август оплата</t>
        </r>
      </text>
    </comment>
    <comment ref="AY290" authorId="1">
      <text>
        <r>
          <rPr>
            <b/>
            <sz val="9"/>
            <color indexed="81"/>
            <rFont val="Tahoma"/>
            <family val="2"/>
            <charset val="204"/>
          </rPr>
          <t>по счету на оплату  продления домена 1009р. и хостинга 1400,00р. teatr-petrushka.ru на 1 год, по счету №56 от 10.02.2021</t>
        </r>
        <r>
          <rPr>
            <sz val="9"/>
            <color indexed="81"/>
            <rFont val="Tahoma"/>
            <family val="2"/>
            <charset val="204"/>
          </rPr>
          <t xml:space="preserve">
</t>
        </r>
      </text>
    </comment>
    <comment ref="BC290" authorId="1">
      <text>
        <r>
          <rPr>
            <b/>
            <sz val="9"/>
            <color indexed="81"/>
            <rFont val="Tahoma"/>
            <family val="2"/>
            <charset val="204"/>
          </rPr>
          <t xml:space="preserve">дог на модернизацию сайта на 15000
</t>
        </r>
      </text>
    </comment>
    <comment ref="BG290" authorId="1">
      <text>
        <r>
          <rPr>
            <b/>
            <sz val="9"/>
            <color indexed="81"/>
            <rFont val="Tahoma"/>
            <family val="2"/>
            <charset val="204"/>
          </rPr>
          <t>установка каптчи на форму обратной связи на официальном сайте</t>
        </r>
      </text>
    </comment>
    <comment ref="K291" authorId="0">
      <text>
        <r>
          <rPr>
            <b/>
            <sz val="9"/>
            <color indexed="81"/>
            <rFont val="Tahoma"/>
            <family val="2"/>
            <charset val="204"/>
          </rPr>
          <t>приобретение доступа для 2 рабочих мест к зарплате 1 бухгалтеру и 1 кадрам. Приобретение права пользования 1С:Предприятие 8 ПРОФ. Клиентская лицензия на 1 рабочее место - 2 шт.</t>
        </r>
      </text>
    </comment>
    <comment ref="K293" authorId="0">
      <text>
        <r>
          <rPr>
            <b/>
            <sz val="9"/>
            <color indexed="81"/>
            <rFont val="Tahoma"/>
            <family val="2"/>
            <charset val="204"/>
          </rPr>
          <t>4 ключа 1 раз в год</t>
        </r>
        <r>
          <rPr>
            <sz val="9"/>
            <color indexed="81"/>
            <rFont val="Tahoma"/>
            <family val="2"/>
            <charset val="204"/>
          </rPr>
          <t xml:space="preserve">
</t>
        </r>
      </text>
    </comment>
    <comment ref="L295" authorId="1">
      <text>
        <r>
          <rPr>
            <b/>
            <sz val="9"/>
            <color indexed="81"/>
            <rFont val="Tahoma"/>
            <family val="2"/>
            <charset val="204"/>
          </rPr>
          <t>было =1303567,18-100000+69426,41-39600-12600-2500-2700-10560-5346-6175-9130-4290-18244</t>
        </r>
      </text>
    </comment>
    <comment ref="BC295" authorId="1">
      <text>
        <r>
          <rPr>
            <b/>
            <sz val="9"/>
            <color indexed="81"/>
            <rFont val="Tahoma"/>
            <family val="2"/>
            <charset val="204"/>
          </rPr>
          <t>плюс компенсация бумаги и мыла</t>
        </r>
      </text>
    </comment>
    <comment ref="BE295" authorId="1">
      <text>
        <r>
          <rPr>
            <sz val="9"/>
            <color indexed="81"/>
            <rFont val="Tahoma"/>
            <family val="2"/>
            <charset val="204"/>
          </rPr>
          <t>15/21 от 01.04.21 на 66275,80 (01.04.2021-31.05.2021)</t>
        </r>
      </text>
    </comment>
    <comment ref="BG295" authorId="1">
      <text>
        <r>
          <rPr>
            <b/>
            <sz val="9"/>
            <color indexed="81"/>
            <rFont val="Tahoma"/>
            <family val="2"/>
            <charset val="204"/>
          </rPr>
          <t>29/21 от 11.05.21 на 96 933,01 (01.05.2021-30.06.2021)</t>
        </r>
      </text>
    </comment>
    <comment ref="BI295" authorId="1">
      <text>
        <r>
          <rPr>
            <b/>
            <sz val="9"/>
            <color indexed="81"/>
            <rFont val="Tahoma"/>
            <family val="2"/>
            <charset val="204"/>
          </rPr>
          <t>36/21 от 08.06.2021 на 102 879,91 (08.06.2021-31.07.2021)</t>
        </r>
      </text>
    </comment>
    <comment ref="L297" authorId="1">
      <text>
        <r>
          <rPr>
            <b/>
            <sz val="9"/>
            <color indexed="81"/>
            <rFont val="Tahoma"/>
            <family val="2"/>
            <charset val="204"/>
          </rPr>
          <t>Указана максимальная сумма 20% (сумма может уменьшиться в зависимости от фактического кол-ва проданных билетов</t>
        </r>
      </text>
    </comment>
    <comment ref="BG297" authorId="1">
      <text>
        <r>
          <rPr>
            <b/>
            <sz val="9"/>
            <color indexed="81"/>
            <rFont val="Tahoma"/>
            <family val="2"/>
            <charset val="204"/>
          </rPr>
          <t>Указана максимальная сумма 20% (сумма может уменьшиться в зависимости от фактического кол-ва проданных билетов</t>
        </r>
      </text>
    </comment>
    <comment ref="BA301" authorId="1">
      <text>
        <r>
          <rPr>
            <b/>
            <sz val="9"/>
            <color indexed="81"/>
            <rFont val="Tahoma"/>
            <family val="2"/>
            <charset val="204"/>
          </rPr>
          <t>мероприятие 26.02.21</t>
        </r>
      </text>
    </comment>
    <comment ref="AY302" authorId="1">
      <text>
        <r>
          <rPr>
            <b/>
            <sz val="9"/>
            <color indexed="81"/>
            <rFont val="Tahoma"/>
            <family val="2"/>
            <charset val="204"/>
          </rPr>
          <t>мероприятие 18.02.21</t>
        </r>
      </text>
    </comment>
    <comment ref="AY303" authorId="1">
      <text>
        <r>
          <rPr>
            <b/>
            <sz val="9"/>
            <color indexed="81"/>
            <rFont val="Tahoma"/>
            <family val="2"/>
            <charset val="204"/>
          </rPr>
          <t>мероприятие 26.02.21</t>
        </r>
      </text>
    </comment>
    <comment ref="BC303" authorId="1">
      <text>
        <r>
          <rPr>
            <b/>
            <sz val="9"/>
            <color indexed="81"/>
            <rFont val="Tahoma"/>
            <family val="2"/>
            <charset val="204"/>
          </rPr>
          <t>на март нельзя, т.к. услуга по нахождению на стендах рамещенной рекламы действует до 31.03.21</t>
        </r>
      </text>
    </comment>
    <comment ref="D306" authorId="1">
      <text>
        <r>
          <rPr>
            <sz val="9"/>
            <color indexed="81"/>
            <rFont val="Tahoma"/>
            <family val="2"/>
            <charset val="204"/>
          </rPr>
          <t>Т.к. имущество купленное за счет собственных средств не по 4-ке, к содержанию имущества не относится, сами купили сами и содержите и в отчеты по Содержанию имущества поэтому включается только то что стоит на 4-ке</t>
        </r>
      </text>
    </comment>
    <comment ref="BA306" authorId="1">
      <text>
        <r>
          <rPr>
            <b/>
            <sz val="9"/>
            <color indexed="81"/>
            <rFont val="Tahoma"/>
            <family val="2"/>
            <charset val="204"/>
          </rPr>
          <t>Настройка 3 касс, онлайн коннект</t>
        </r>
      </text>
    </comment>
    <comment ref="BC307" authorId="1">
      <text>
        <r>
          <rPr>
            <b/>
            <sz val="9"/>
            <color indexed="81"/>
            <rFont val="Tahoma"/>
            <family val="2"/>
            <charset val="204"/>
          </rPr>
          <t xml:space="preserve">    расчетный листок №1 за 1 кв.2021 - 4106,00руб
    расчетный листок №/2 за 1 кв.2021 - 349,00руб.</t>
        </r>
      </text>
    </comment>
    <comment ref="BC308" authorId="1">
      <text>
        <r>
          <rPr>
            <b/>
            <sz val="9"/>
            <color indexed="81"/>
            <rFont val="Tahoma"/>
            <family val="2"/>
            <charset val="204"/>
          </rPr>
          <t xml:space="preserve">    расчетный листок №1 за 1 кв.2021 - 4106,00руб
    расчетный листок №/2 за 1 кв.2021 - 349,00руб.</t>
        </r>
      </text>
    </comment>
    <comment ref="BI309" authorId="1">
      <text>
        <r>
          <rPr>
            <b/>
            <sz val="9"/>
            <color indexed="81"/>
            <rFont val="Tahoma"/>
            <family val="2"/>
            <charset val="204"/>
          </rPr>
          <t>2520р - РАО Устюгов
100,50 - вознаграждение Шаинская С.В. За "Все дело в шляпе"
22,11р. - ПФР Шаинская со 100,50
5,13р. - ПФР Шаинская со 100,50
2,91р. - ПФР Шаинская со 100,50</t>
        </r>
      </text>
    </comment>
    <comment ref="K312" authorId="0">
      <text>
        <r>
          <rPr>
            <b/>
            <sz val="9"/>
            <color indexed="81"/>
            <rFont val="Tahoma"/>
            <family val="2"/>
            <charset val="204"/>
          </rPr>
          <t>Мероприятия</t>
        </r>
      </text>
    </comment>
    <comment ref="L322" authorId="0">
      <text>
        <r>
          <rPr>
            <b/>
            <sz val="9"/>
            <color indexed="81"/>
            <rFont val="Tahoma"/>
            <family val="2"/>
            <charset val="204"/>
          </rPr>
          <t>экологический налог за 1 квартал 2020 год (платится 1 раз в год до 10 марта 2021)</t>
        </r>
      </text>
    </comment>
    <comment ref="BM324" authorId="1">
      <text>
        <r>
          <rPr>
            <b/>
            <sz val="9"/>
            <color indexed="81"/>
            <rFont val="Tahoma"/>
            <family val="2"/>
            <charset val="204"/>
          </rPr>
          <t>5 000-до 15.09.21
10 000-до 30.09.21</t>
        </r>
      </text>
    </comment>
    <comment ref="BO324" authorId="1">
      <text>
        <r>
          <rPr>
            <b/>
            <sz val="9"/>
            <color indexed="81"/>
            <rFont val="Tahoma"/>
            <family val="2"/>
            <charset val="204"/>
          </rPr>
          <t>10 000-до 15.10.21
100 000-до 29.10.21</t>
        </r>
      </text>
    </comment>
    <comment ref="BQ324" authorId="1">
      <text>
        <r>
          <rPr>
            <b/>
            <sz val="9"/>
            <color indexed="81"/>
            <rFont val="Tahoma"/>
            <family val="2"/>
            <charset val="204"/>
          </rPr>
          <t>100 000-до 15.11.21
100 000-до 30.11.21</t>
        </r>
      </text>
    </comment>
    <comment ref="BS324" authorId="1">
      <text>
        <r>
          <rPr>
            <b/>
            <sz val="9"/>
            <color indexed="81"/>
            <rFont val="Tahoma"/>
            <family val="2"/>
            <charset val="204"/>
          </rPr>
          <t>100 000-до 10.12.21
100 000-до 17.12.21
50 500,68 -до 22.12.21</t>
        </r>
      </text>
    </comment>
    <comment ref="BM325" authorId="1">
      <text>
        <r>
          <rPr>
            <b/>
            <sz val="9"/>
            <color indexed="81"/>
            <rFont val="Tahoma"/>
            <family val="2"/>
            <charset val="204"/>
          </rPr>
          <t>5 000-до 15.09.21
10 000-до 30.09.21</t>
        </r>
      </text>
    </comment>
    <comment ref="L327" authorId="0">
      <text>
        <r>
          <rPr>
            <b/>
            <sz val="9"/>
            <color indexed="81"/>
            <rFont val="Tahoma"/>
            <family val="2"/>
            <charset val="204"/>
          </rPr>
          <t xml:space="preserve">0,15% на зп
</t>
        </r>
      </text>
    </comment>
    <comment ref="K328" authorId="0">
      <text>
        <r>
          <rPr>
            <b/>
            <sz val="9"/>
            <color indexed="81"/>
            <rFont val="Tahoma"/>
            <family val="2"/>
            <charset val="204"/>
          </rPr>
          <t>для Назарова</t>
        </r>
      </text>
    </comment>
    <comment ref="L347" authorId="2">
      <text>
        <r>
          <rPr>
            <b/>
            <sz val="9"/>
            <color indexed="81"/>
            <rFont val="Tahoma"/>
            <family val="2"/>
            <charset val="204"/>
          </rPr>
          <t>Александр:</t>
        </r>
        <r>
          <rPr>
            <sz val="9"/>
            <color indexed="81"/>
            <rFont val="Tahoma"/>
            <family val="2"/>
            <charset val="204"/>
          </rPr>
          <t xml:space="preserve">
</t>
        </r>
      </text>
    </comment>
    <comment ref="L348" authorId="2">
      <text>
        <r>
          <rPr>
            <sz val="9"/>
            <color indexed="81"/>
            <rFont val="Tahoma"/>
            <family val="2"/>
            <charset val="204"/>
          </rPr>
          <t>дог будет на 11 000р. По факту нашил воду по 200р. Банка итого купим 55 банок по договору. Изначальный расчет был 38 шт. по 325 руб.</t>
        </r>
        <r>
          <rPr>
            <b/>
            <sz val="9"/>
            <color indexed="81"/>
            <rFont val="Tahoma"/>
            <family val="2"/>
            <charset val="204"/>
          </rPr>
          <t xml:space="preserve">
</t>
        </r>
      </text>
    </comment>
    <comment ref="O348" authorId="2">
      <text>
        <r>
          <rPr>
            <b/>
            <sz val="9"/>
            <color indexed="81"/>
            <rFont val="Tahoma"/>
            <family val="2"/>
            <charset val="204"/>
          </rPr>
          <t xml:space="preserve">55 шт. по 200 руб.
</t>
        </r>
      </text>
    </comment>
    <comment ref="L350" authorId="2">
      <text>
        <r>
          <rPr>
            <b/>
            <sz val="9"/>
            <color indexed="81"/>
            <rFont val="Tahoma"/>
            <family val="2"/>
            <charset val="204"/>
          </rPr>
          <t>Александр:</t>
        </r>
        <r>
          <rPr>
            <sz val="9"/>
            <color indexed="81"/>
            <rFont val="Tahoma"/>
            <family val="2"/>
            <charset val="204"/>
          </rPr>
          <t xml:space="preserve">
</t>
        </r>
      </text>
    </comment>
    <comment ref="L351" authorId="2">
      <text>
        <r>
          <rPr>
            <sz val="9"/>
            <color indexed="81"/>
            <rFont val="Tahoma"/>
            <family val="2"/>
            <charset val="204"/>
          </rPr>
          <t>дог будет на 11 000р. По факту нашил воду по 200р. Банка итого купим 55 банок по договору. Изначальный расчет был 38 шт. по 325 руб.</t>
        </r>
        <r>
          <rPr>
            <b/>
            <sz val="9"/>
            <color indexed="81"/>
            <rFont val="Tahoma"/>
            <family val="2"/>
            <charset val="204"/>
          </rPr>
          <t xml:space="preserve">
</t>
        </r>
      </text>
    </comment>
    <comment ref="O351" authorId="2">
      <text>
        <r>
          <rPr>
            <b/>
            <sz val="9"/>
            <color indexed="81"/>
            <rFont val="Tahoma"/>
            <family val="2"/>
            <charset val="204"/>
          </rPr>
          <t xml:space="preserve">55 шт. по 200 руб.
</t>
        </r>
      </text>
    </comment>
    <comment ref="W351" authorId="1">
      <text>
        <r>
          <rPr>
            <b/>
            <sz val="9"/>
            <color indexed="81"/>
            <rFont val="Tahoma"/>
            <family val="2"/>
            <charset val="204"/>
          </rPr>
          <t>55 бут. По 200 р. =11000</t>
        </r>
      </text>
    </comment>
    <comment ref="BC351" authorId="1">
      <text>
        <r>
          <rPr>
            <b/>
            <sz val="9"/>
            <color indexed="81"/>
            <rFont val="Tahoma"/>
            <family val="2"/>
            <charset val="204"/>
          </rPr>
          <t>по счету №1508 от 08.04.2021</t>
        </r>
      </text>
    </comment>
    <comment ref="O352" authorId="2">
      <text>
        <r>
          <rPr>
            <b/>
            <sz val="9"/>
            <color indexed="81"/>
            <rFont val="Tahoma"/>
            <family val="2"/>
            <charset val="204"/>
          </rPr>
          <t xml:space="preserve">38 шт. по 325 руб.
</t>
        </r>
      </text>
    </comment>
    <comment ref="K354" authorId="0">
      <text>
        <r>
          <rPr>
            <b/>
            <sz val="9"/>
            <color indexed="81"/>
            <rFont val="Tahoma"/>
            <family val="2"/>
            <charset val="204"/>
          </rPr>
          <t>Мероприятия</t>
        </r>
      </text>
    </comment>
    <comment ref="L354" authorId="1">
      <text>
        <r>
          <rPr>
            <b/>
            <sz val="9"/>
            <color indexed="81"/>
            <rFont val="Tahoma"/>
            <family val="2"/>
            <charset val="204"/>
          </rPr>
          <t>по смете на 2021 год затраты на материалы не заложены, все за счет бюджета</t>
        </r>
      </text>
    </comment>
    <comment ref="K358" authorId="0">
      <text>
        <r>
          <rPr>
            <b/>
            <sz val="9"/>
            <color indexed="81"/>
            <rFont val="Tahoma"/>
            <family val="2"/>
            <charset val="204"/>
          </rPr>
          <t>для Назарова</t>
        </r>
      </text>
    </comment>
    <comment ref="K359" authorId="0">
      <text>
        <r>
          <rPr>
            <b/>
            <sz val="9"/>
            <color indexed="81"/>
            <rFont val="Tahoma"/>
            <family val="2"/>
            <charset val="204"/>
          </rPr>
          <t>3 шт</t>
        </r>
      </text>
    </comment>
    <comment ref="K360" authorId="0">
      <text>
        <r>
          <rPr>
            <b/>
            <sz val="9"/>
            <color indexed="81"/>
            <rFont val="Tahoma"/>
            <family val="2"/>
            <charset val="204"/>
          </rPr>
          <t>5 шт</t>
        </r>
        <r>
          <rPr>
            <sz val="9"/>
            <color indexed="81"/>
            <rFont val="Tahoma"/>
            <family val="2"/>
            <charset val="204"/>
          </rPr>
          <t xml:space="preserve">
</t>
        </r>
      </text>
    </comment>
    <comment ref="K361" authorId="0">
      <text>
        <r>
          <rPr>
            <b/>
            <sz val="9"/>
            <color indexed="81"/>
            <rFont val="Tahoma"/>
            <family val="2"/>
            <charset val="204"/>
          </rPr>
          <t>5 шт</t>
        </r>
      </text>
    </comment>
    <comment ref="K368" authorId="1">
      <text>
        <r>
          <rPr>
            <b/>
            <sz val="9"/>
            <color indexed="81"/>
            <rFont val="Tahoma"/>
            <family val="2"/>
            <charset val="204"/>
          </rPr>
          <t>для крепления баннеров</t>
        </r>
      </text>
    </comment>
    <comment ref="L370" authorId="2">
      <text>
        <r>
          <rPr>
            <b/>
            <sz val="9"/>
            <color indexed="81"/>
            <rFont val="Tahoma"/>
            <family val="2"/>
            <charset val="204"/>
          </rPr>
          <t xml:space="preserve">20 000 не прибавлять они уже сидят внутри 100 867,29
</t>
        </r>
      </text>
    </comment>
    <comment ref="V372" authorId="1">
      <text>
        <r>
          <rPr>
            <b/>
            <sz val="9"/>
            <color indexed="81"/>
            <rFont val="Tahoma"/>
            <family val="2"/>
            <charset val="204"/>
          </rPr>
          <t>Работает без печати</t>
        </r>
      </text>
    </comment>
    <comment ref="V373" authorId="1">
      <text>
        <r>
          <rPr>
            <b/>
            <sz val="9"/>
            <color indexed="81"/>
            <rFont val="Tahoma"/>
            <family val="2"/>
            <charset val="204"/>
          </rPr>
          <t>Работает без печати</t>
        </r>
      </text>
    </comment>
    <comment ref="V374" authorId="1">
      <text>
        <r>
          <rPr>
            <b/>
            <sz val="9"/>
            <color indexed="81"/>
            <rFont val="Tahoma"/>
            <family val="2"/>
            <charset val="204"/>
          </rPr>
          <t>Работает без печати</t>
        </r>
      </text>
    </comment>
    <comment ref="BK376" authorId="1">
      <text>
        <r>
          <rPr>
            <b/>
            <sz val="9"/>
            <color indexed="81"/>
            <rFont val="Tahoma"/>
            <family val="2"/>
            <charset val="204"/>
          </rPr>
          <t>по счету №1104 от 17.08.2021</t>
        </r>
      </text>
    </comment>
    <comment ref="K377" authorId="0">
      <text>
        <r>
          <rPr>
            <b/>
            <sz val="9"/>
            <color indexed="81"/>
            <rFont val="Tahoma"/>
            <family val="2"/>
            <charset val="204"/>
          </rPr>
          <t>для Назарова</t>
        </r>
      </text>
    </comment>
    <comment ref="K380" authorId="1">
      <text>
        <r>
          <rPr>
            <b/>
            <sz val="9"/>
            <color indexed="81"/>
            <rFont val="Tahoma"/>
            <family val="2"/>
            <charset val="204"/>
          </rPr>
          <t xml:space="preserve">для ведущего монтажера
</t>
        </r>
      </text>
    </comment>
    <comment ref="K381" authorId="1">
      <text>
        <r>
          <rPr>
            <b/>
            <sz val="9"/>
            <color indexed="81"/>
            <rFont val="Tahoma"/>
            <family val="2"/>
            <charset val="204"/>
          </rPr>
          <t xml:space="preserve">для ведущего монтажера
</t>
        </r>
      </text>
    </comment>
    <comment ref="W384" authorId="1">
      <text>
        <r>
          <rPr>
            <b/>
            <sz val="9"/>
            <color indexed="81"/>
            <rFont val="Tahoma"/>
            <family val="2"/>
            <charset val="204"/>
          </rPr>
          <t xml:space="preserve">в марте на 2000
</t>
        </r>
        <r>
          <rPr>
            <sz val="9"/>
            <color indexed="81"/>
            <rFont val="Tahoma"/>
            <family val="2"/>
            <charset val="204"/>
          </rPr>
          <t xml:space="preserve">
</t>
        </r>
      </text>
    </comment>
    <comment ref="W385" authorId="1">
      <text>
        <r>
          <rPr>
            <b/>
            <sz val="9"/>
            <color indexed="81"/>
            <rFont val="Tahoma"/>
            <family val="2"/>
            <charset val="204"/>
          </rPr>
          <t xml:space="preserve">в марте на 2000
</t>
        </r>
        <r>
          <rPr>
            <sz val="9"/>
            <color indexed="81"/>
            <rFont val="Tahoma"/>
            <family val="2"/>
            <charset val="204"/>
          </rPr>
          <t xml:space="preserve">
</t>
        </r>
      </text>
    </comment>
    <comment ref="L386" authorId="1">
      <text>
        <r>
          <rPr>
            <b/>
            <sz val="9"/>
            <color indexed="81"/>
            <rFont val="Tahoma"/>
            <family val="2"/>
            <charset val="204"/>
          </rPr>
          <t xml:space="preserve">сюда перенес деньгивыделенные на аптечку 1000
</t>
        </r>
      </text>
    </comment>
    <comment ref="BC388" authorId="1">
      <text>
        <r>
          <rPr>
            <b/>
            <sz val="9"/>
            <color indexed="81"/>
            <rFont val="Tahoma"/>
            <family val="2"/>
            <charset val="204"/>
          </rPr>
          <t>требуется 450 штук в год, закупили до августа 150 шт.</t>
        </r>
      </text>
    </comment>
    <comment ref="BC389" authorId="1">
      <text>
        <r>
          <rPr>
            <b/>
            <sz val="9"/>
            <color indexed="81"/>
            <rFont val="Tahoma"/>
            <family val="2"/>
            <charset val="204"/>
          </rPr>
          <t>требуется 450 штук в год, закупили до августа 150 шт.</t>
        </r>
      </text>
    </comment>
    <comment ref="BC390" authorId="1">
      <text>
        <r>
          <rPr>
            <b/>
            <sz val="9"/>
            <color indexed="81"/>
            <rFont val="Tahoma"/>
            <family val="2"/>
            <charset val="204"/>
          </rPr>
          <t>учитываем на 346, т.к. быстро срываются грани и становятся непригодными для дальнейшего использовния</t>
        </r>
      </text>
    </comment>
    <comment ref="K392" authorId="1">
      <text>
        <r>
          <rPr>
            <b/>
            <sz val="9"/>
            <color indexed="81"/>
            <rFont val="Tahoma"/>
            <family val="2"/>
            <charset val="204"/>
          </rPr>
          <t>Необходимы для проведения игровой программы в рамках текущего репертуара к 1 июня день защиты детей</t>
        </r>
      </text>
    </comment>
    <comment ref="K397" authorId="1">
      <text>
        <r>
          <rPr>
            <b/>
            <sz val="9"/>
            <color indexed="81"/>
            <rFont val="Tahoma"/>
            <family val="2"/>
            <charset val="204"/>
          </rPr>
          <t>для крепления баннеров</t>
        </r>
      </text>
    </comment>
    <comment ref="K398" authorId="1">
      <text>
        <r>
          <rPr>
            <b/>
            <sz val="9"/>
            <color indexed="81"/>
            <rFont val="Tahoma"/>
            <family val="2"/>
            <charset val="204"/>
          </rPr>
          <t>для крепления баннеров</t>
        </r>
      </text>
    </comment>
    <comment ref="K399" authorId="1">
      <text>
        <r>
          <rPr>
            <b/>
            <sz val="9"/>
            <color indexed="81"/>
            <rFont val="Tahoma"/>
            <family val="2"/>
            <charset val="204"/>
          </rPr>
          <t>для крепления баннеров</t>
        </r>
      </text>
    </comment>
    <comment ref="K400" authorId="1">
      <text>
        <r>
          <rPr>
            <b/>
            <sz val="9"/>
            <color indexed="81"/>
            <rFont val="Tahoma"/>
            <family val="2"/>
            <charset val="204"/>
          </rPr>
          <t>для крепления баннеров</t>
        </r>
      </text>
    </comment>
    <comment ref="K401" authorId="1">
      <text>
        <r>
          <rPr>
            <b/>
            <sz val="9"/>
            <color indexed="81"/>
            <rFont val="Tahoma"/>
            <family val="2"/>
            <charset val="204"/>
          </rPr>
          <t>для крепления баннеров</t>
        </r>
      </text>
    </comment>
    <comment ref="K405" authorId="1">
      <text>
        <r>
          <rPr>
            <sz val="9"/>
            <color indexed="81"/>
            <rFont val="Tahoma"/>
            <family val="2"/>
            <charset val="204"/>
          </rPr>
          <t>здесь можем только Спецодеждудля сотрудников купить, мягкие игрушки для подарков, но никакой мягкий инвентарь в рамках мероприятий купить не можем</t>
        </r>
      </text>
    </comment>
    <comment ref="L406" authorId="2">
      <text>
        <r>
          <rPr>
            <b/>
            <sz val="9"/>
            <color indexed="81"/>
            <rFont val="Tahoma"/>
            <family val="2"/>
            <charset val="204"/>
          </rPr>
          <t>- колготки 20 белых и 20 светло-бежевых - по 200 р. * 40 = 8000
- носки 20 бел и 20 черн пар - по 100 р. * 40 = 4000
- футболки 16 бел и 16 черн - по 600р. * 32 = 19200</t>
        </r>
      </text>
    </comment>
    <comment ref="O406" authorId="2">
      <text>
        <r>
          <rPr>
            <b/>
            <sz val="9"/>
            <color indexed="81"/>
            <rFont val="Tahoma"/>
            <family val="2"/>
            <charset val="204"/>
          </rPr>
          <t>- колготки 20 белых и 20 светло-бежевых - по 200 р. * 40 = 8000
- носки 20 бел и 20 черн пар - по 100 р. * 40 = 4000
- футболки 16 бел и 16 черн - по 600р. * 32 = 19200</t>
        </r>
      </text>
    </comment>
    <comment ref="L407" authorId="1">
      <text>
        <r>
          <rPr>
            <b/>
            <sz val="9"/>
            <color indexed="81"/>
            <rFont val="Tahoma"/>
            <family val="2"/>
            <charset val="204"/>
          </rPr>
          <t xml:space="preserve">нужно 15 шт, цену посмотреть в интернете до 2500 можно взять
</t>
        </r>
      </text>
    </comment>
    <comment ref="O407" authorId="1">
      <text>
        <r>
          <rPr>
            <b/>
            <sz val="9"/>
            <color indexed="81"/>
            <rFont val="Tahoma"/>
            <family val="2"/>
            <charset val="204"/>
          </rPr>
          <t xml:space="preserve">нужно 15 шт, цену посмотреть в интернете до 2500 можно взять
</t>
        </r>
      </text>
    </comment>
    <comment ref="BG409" authorId="1">
      <text>
        <r>
          <rPr>
            <b/>
            <sz val="9"/>
            <color indexed="81"/>
            <rFont val="Tahoma"/>
            <family val="2"/>
            <charset val="204"/>
          </rPr>
          <t>30 000 шт. хватит на весь сезон, т.е. до следующего лета</t>
        </r>
      </text>
    </comment>
    <comment ref="K412" authorId="1">
      <text>
        <r>
          <rPr>
            <b/>
            <sz val="9"/>
            <color indexed="81"/>
            <rFont val="Tahoma"/>
            <family val="2"/>
            <charset val="204"/>
          </rPr>
          <t>дополнительно с других статей не передвигаем, берем из имеющихся средств на подарки НГ</t>
        </r>
      </text>
    </comment>
  </commentList>
</comments>
</file>

<file path=xl/sharedStrings.xml><?xml version="1.0" encoding="utf-8"?>
<sst xmlns="http://schemas.openxmlformats.org/spreadsheetml/2006/main" count="13773" uniqueCount="1259">
  <si>
    <t>(руб.)</t>
  </si>
  <si>
    <t>Код целевой субсидии</t>
  </si>
  <si>
    <t>КФВО</t>
  </si>
  <si>
    <t>Отраслевой  код</t>
  </si>
  <si>
    <t>КВР</t>
  </si>
  <si>
    <t>КОСГУ</t>
  </si>
  <si>
    <t>Наименование КОСГУ</t>
  </si>
  <si>
    <t>3-001-0000</t>
  </si>
  <si>
    <t>Заработная плата</t>
  </si>
  <si>
    <t>Прочие выплаты</t>
  </si>
  <si>
    <t>Начисления на выплаты по оплате труда</t>
  </si>
  <si>
    <t>Услуги связи</t>
  </si>
  <si>
    <t>Транспортные услуги</t>
  </si>
  <si>
    <t>Коммунальные услуги</t>
  </si>
  <si>
    <t>Работы, услуги по содержанию имущества</t>
  </si>
  <si>
    <t>Прочие работы, услуги</t>
  </si>
  <si>
    <t>Увеличение стоимости материальных запасов</t>
  </si>
  <si>
    <t>Итого:</t>
  </si>
  <si>
    <t>Субсидия автономному учреждению МАУ "ТАиК "Петрушка" на иные цели</t>
  </si>
  <si>
    <t>3-516-0000</t>
  </si>
  <si>
    <t>Увеличение стоимости основных средств</t>
  </si>
  <si>
    <t>ИТОГО :</t>
  </si>
  <si>
    <t>За счёт собственных доходов учреждения МАУ "ТАиК "Петрушка"</t>
  </si>
  <si>
    <t>0-000-0000</t>
  </si>
  <si>
    <t>ВСЕГО:</t>
  </si>
  <si>
    <t>Ведущий экономист</t>
  </si>
  <si>
    <t>Субсидия автономному учреждению МАУ "ТАиК "Петрушка"
 на финансовое обеспечение муниципального задания 
на оказание муниципальных услуг</t>
  </si>
  <si>
    <t>тел. 35-12-56</t>
  </si>
  <si>
    <t>Налоги, пошлины и сборы</t>
  </si>
  <si>
    <t xml:space="preserve">МАУ "Театр актера и куклы "Петрушка" </t>
  </si>
  <si>
    <t>3-001-5204</t>
  </si>
  <si>
    <t>3-001-2214</t>
  </si>
  <si>
    <t>О.В. Кондрашенко</t>
  </si>
  <si>
    <t>Сумма расходов на 2021 год</t>
  </si>
  <si>
    <t>Прочие выплаты (суточные)</t>
  </si>
  <si>
    <t>Прочие выплаты (льготный)</t>
  </si>
  <si>
    <r>
      <t xml:space="preserve"> Прочие работы, услуги (</t>
    </r>
    <r>
      <rPr>
        <sz val="10"/>
        <color indexed="8"/>
        <rFont val="Times New Roman"/>
        <family val="1"/>
        <charset val="204"/>
      </rPr>
      <t>проезд, проживание в коммандировке</t>
    </r>
    <r>
      <rPr>
        <sz val="12"/>
        <color indexed="8"/>
        <rFont val="Times New Roman"/>
        <family val="1"/>
        <charset val="204"/>
      </rPr>
      <t>)</t>
    </r>
  </si>
  <si>
    <t>3.04.4.02.61700.200000</t>
  </si>
  <si>
    <t>Иные расходы (отчисления профсоюзам)</t>
  </si>
  <si>
    <t>приобретение материальных запасов</t>
  </si>
  <si>
    <t>Иные расходы (неработающим пенсионерам)</t>
  </si>
  <si>
    <t>Социальные пособия и компенсации персоналу в денежной форме  (до 3- х лет  
85 руб. /мес.)</t>
  </si>
  <si>
    <t xml:space="preserve"> Прочие работы, услуги (проезд, проживание в коммандировке)</t>
  </si>
  <si>
    <t>Социальные пособия и компенсации персоналу в денежной форме  (три дня нетрудоспособности за счет работодателя)</t>
  </si>
  <si>
    <t>3-512-0000</t>
  </si>
  <si>
    <t>3.04.4.02.61700.100000</t>
  </si>
  <si>
    <t>3.04.4.02.61700.700000</t>
  </si>
  <si>
    <t>3.04.4.02.L5170.000000</t>
  </si>
  <si>
    <t>3.34.0.03.61700.200000</t>
  </si>
  <si>
    <t>Социальные пособия и компенсации персоналу в денежной форме  (первый брак, рождение ребенка, юбилейные даты, ежекв. мат. помощь работникам, имеющим на иждивении ребёнка-инвалида или многодетным родителям )</t>
  </si>
  <si>
    <t>Сумма расходов на 2022 год</t>
  </si>
  <si>
    <t xml:space="preserve">Показатели  плана финансово-хозяйственной деятельности на 2020 год и плановый период 2021-2022 годов </t>
  </si>
  <si>
    <t>Сумма расходов по утвержденному ПФХД                     на 2020 год</t>
  </si>
  <si>
    <t>Сумма расходов на 2022 год НОВАЯ</t>
  </si>
  <si>
    <t>Сумма расходов на 2021 год  НОВАЯ</t>
  </si>
  <si>
    <t>Сумма расходов по утвержденному ПФХД                     на 2020 год НОВАЯ</t>
  </si>
  <si>
    <t>пожар 1 выплата</t>
  </si>
  <si>
    <t>юбилейные даты (14 чел.)</t>
  </si>
  <si>
    <t>рождение-2, брак-1</t>
  </si>
  <si>
    <t>мат. помощь работникам, имеющим на иждивении ребёнка-инвалида или многодетным родителям</t>
  </si>
  <si>
    <t>по смерти 2 выплаты</t>
  </si>
  <si>
    <t>Начисления на выплаты единовременной материальной помощи</t>
  </si>
  <si>
    <t>НРО</t>
  </si>
  <si>
    <t>переносим на иные цели 5</t>
  </si>
  <si>
    <t>содерж. Имущества по соглашению</t>
  </si>
  <si>
    <t xml:space="preserve">Начисления на социальные пособия и компенсации персоналу в денежной форме по выходу на пенсию в первые </t>
  </si>
  <si>
    <t>Социальные пособия и компенсации персоналу в денежной форме  (до 3- х лет  
85 руб. /мес., по выходу на пенсию в первые)</t>
  </si>
  <si>
    <t>Начисления на выплаты  на иные выплаты (за исключением выплаты заработной платы)</t>
  </si>
  <si>
    <t>Отраслевой  код нов</t>
  </si>
  <si>
    <t>3.04.4.02.20980.200000</t>
  </si>
  <si>
    <t>3.04.4.02.20980.700000</t>
  </si>
  <si>
    <t>3.04.4.02.20980.100000</t>
  </si>
  <si>
    <t>3.34.0.03.20980.200000</t>
  </si>
  <si>
    <t>в том числе остаток на начало года</t>
  </si>
  <si>
    <t>Перемещение расходов к изменению ПФХД на 2020 год</t>
  </si>
  <si>
    <t>Сумма расходов                  на 2020 год</t>
  </si>
  <si>
    <t>Согласовано:</t>
  </si>
  <si>
    <t>Председатель</t>
  </si>
  <si>
    <t>комитета культуры и туризма</t>
  </si>
  <si>
    <t>_______________В.П. Фризен</t>
  </si>
  <si>
    <t>Аналитическая группа</t>
  </si>
  <si>
    <t xml:space="preserve">Наименование </t>
  </si>
  <si>
    <t>План</t>
  </si>
  <si>
    <t>Изменения</t>
  </si>
  <si>
    <t>План с изменениями</t>
  </si>
  <si>
    <t>Примечание</t>
  </si>
  <si>
    <t>Поступления, в том числе</t>
  </si>
  <si>
    <t>Выплаты, в том числе</t>
  </si>
  <si>
    <t>Директор</t>
  </si>
  <si>
    <t>Е.А. Блинова</t>
  </si>
  <si>
    <t>Исполнитель:</t>
  </si>
  <si>
    <t>Кондрашенко Ольга Викторовна</t>
  </si>
  <si>
    <t>" ___ "  ______________ 2020 г.</t>
  </si>
  <si>
    <t>ПОЯСНИТЕЛЬНАЯ ЗАПИСКА 
к изменениям в план финансово-хозяйственной деятельности на 2020 год 
МАУ «Театр актера и куклы «Петрушка»</t>
  </si>
  <si>
    <t>00000000000000000</t>
  </si>
  <si>
    <t>Остаток средств на начало текущего финансового года</t>
  </si>
  <si>
    <t xml:space="preserve">За счёт доходов от приносящей доход деятельности учреждения </t>
  </si>
  <si>
    <t>Увеличение средств для оплаты услуг оказываемых сторонними организациями в период новогодней компании -январь 2020 года.</t>
  </si>
  <si>
    <t>Увеличение средств для своевременной выплаты заработной платы за первую половину месяца (январь 2020 года) работникам учреждения.</t>
  </si>
  <si>
    <t>Увеличение средств для выплаты страховых взносов в Пенсионный фонд Российской Федерации за декабрь 2019 года.</t>
  </si>
  <si>
    <t>Остаток средств на начало текущего финансового года, резерв для оплаты услуг оказываемых сторонними организациями в период новогодней компании -январь 2020 года.</t>
  </si>
  <si>
    <t>Прохождение медкомиссии</t>
  </si>
  <si>
    <t>Возмещение мед. Комиссии</t>
  </si>
  <si>
    <t>00000000000000150</t>
  </si>
  <si>
    <t>Итого</t>
  </si>
  <si>
    <t>Субсидия на иные цели</t>
  </si>
  <si>
    <t>_______________А.А. Акулов</t>
  </si>
  <si>
    <t>3-544-0302</t>
  </si>
  <si>
    <t xml:space="preserve"> Прочие работы, услуги </t>
  </si>
  <si>
    <t>Приобретение материальных запасов</t>
  </si>
  <si>
    <t>3-505-2302</t>
  </si>
  <si>
    <t>Увеличение стоимости мягкого инвентаря</t>
  </si>
  <si>
    <t>Увеличение стоимости прочих оборотных запасов (материалов)</t>
  </si>
  <si>
    <t>00000000000000510</t>
  </si>
  <si>
    <t>Возврат дебиторской задолженности прошлых лет</t>
  </si>
  <si>
    <t>Возмещение расходов на пособие по обязательному социальному страхованию на случай временной нетрудоспособности и в связи с материнством за 2019 год- 
747 243,03 руб.: 152 709,05 руб.-внебюджет, 594 533,98 руб.- бюджет.</t>
  </si>
  <si>
    <t>За счёт собственных доходов учреждения</t>
  </si>
  <si>
    <t>Увеличение средств для оплаты услуг (работ) по содержанию имущества, в том числе на сервисное обслуживание ККТ.</t>
  </si>
  <si>
    <t>Увеличение средств для оплаты транспортных услуг.</t>
  </si>
  <si>
    <t>Увеличение средств для оплаты услуг по разработке паспорта доступности для возможности открытия бэби-зала в арендованном помещении по месту нахождения театра.</t>
  </si>
  <si>
    <t>Увеличение средств для приобретение канцелярских и хозяйственных товаров, необходимых для жизнедеятельности учреждения.</t>
  </si>
  <si>
    <t>Возмещение расходов на пособие по обязательному социальному страхованию на случай временной нетрудоспособности и в связи с материнством за 2019 год.</t>
  </si>
  <si>
    <t>Субсидия  на финансовое обеспечение муниципального задания на оказание муниципальных услуг</t>
  </si>
  <si>
    <t xml:space="preserve">Социальные пособия и компенсации персоналу в денежной форме  </t>
  </si>
  <si>
    <t>Социальные пособия и компенсации персоналу в денежной форме</t>
  </si>
  <si>
    <t>Увеличение средств по КОСГУ 266 (КВР 111) на 
35 000,00 руб. в связи с необходимостью выплаты компенсации персоналу за три дня нетрудоспособности за счет работодателя, в счет экономии по КОСГУ 266 (КВР 112) выплаты по выходу на пенсию в первые.</t>
  </si>
  <si>
    <t>Увеличение средств для оплаты услуг (работ) по содержанию имущества, в том числе на техническое обслуживание ПК, настройке серверного программного обеспечения, в счет экономии по коммунальным услугам.</t>
  </si>
  <si>
    <t>Перенос средств на КОСГУ 225, 226, 224 для покрытия необходимых затрат.</t>
  </si>
  <si>
    <t xml:space="preserve">Субсидия на финансирование наказов избирателей депутатам Думы Ханты-Мансийского автономного округа -Югры (средства окружного бюджета) </t>
  </si>
  <si>
    <t>Субсидия на финансирование наказов избирателей депутатам Думы Ханты-Мансийского автономного округа -Югры (средства окружного бюджета) на постановку спектаклей "Весна, "Лето", а так же на приобретение расходных материалов и оборудования для сценического оформления бэби-зала.</t>
  </si>
  <si>
    <t>Увеличение средств для покрытия затрат по договору аренды на нежилое помещение, в котором в настоящее время располагается театр, в связи с незначительным увеличением площади аренды - на 11,8 м2, в счет экономии по коммунальным услугам.</t>
  </si>
  <si>
    <t>Увеличение средств на оплату услуг по обслуживанию бухгалтерских программ: 1С:Бухгалтерия государственного учреждения 8", "1С: Зарплата  кадры бюджетного учреждения 8" " на период с 01.07.2020 по 31.12.2020  в счет в экономии по коммунальным услугам.</t>
  </si>
  <si>
    <t>Корректировка средств между федеральным и окружным бюджетом в связи с уточнением процента разбивки.</t>
  </si>
  <si>
    <t>ВСЕГО</t>
  </si>
  <si>
    <t>Увеличение средств по КОСГУ 211 на 57 961,00 руб. в связи с необходимостью выплаты отпускных сотрудникам учреждения за счет экономии по КОСГУ 226 - уменьшение суммы фактических отчислений в РАО за 1 квартал 2020 года. Сумма отпускных увеличилась в связи с переносом сроков отпуска на более ранний период.</t>
  </si>
  <si>
    <t>3-001-0002</t>
  </si>
  <si>
    <t>3.04.4.02.85160.000000</t>
  </si>
  <si>
    <t xml:space="preserve">Показатели  плана финансово-хозяйственной деятельности на 2021 год и плановый период 2022-2023 годов </t>
  </si>
  <si>
    <t>Сумма расходов на 2023 год</t>
  </si>
  <si>
    <t>первый брак</t>
  </si>
  <si>
    <t>Начисления на выплаты  на иные выплаты (за исключением выплаты заработной платы) первый брак</t>
  </si>
  <si>
    <t>рождение ребенка</t>
  </si>
  <si>
    <t>Начисления на выплаты  на иные выплаты (за исключением выплаты заработной платы) рождение ребенка</t>
  </si>
  <si>
    <t xml:space="preserve">мат. помощь работникам, имеющим на иждивении ребёнка-инвалида или многодетным родителям </t>
  </si>
  <si>
    <t>Социальные пособия и компенсации персоналу в денежной форме  (по выходу на пенсию в первые)</t>
  </si>
  <si>
    <t xml:space="preserve"> юбилейные даты</t>
  </si>
  <si>
    <t>Начисления на выплаты  на иные выплаты (за исключением выплаты заработной платы) ЮБИЛЕЙ</t>
  </si>
  <si>
    <t>Коммунальные услуги (ТБО)</t>
  </si>
  <si>
    <t>Работы, услуги по содержанию имущества (уборка помещения)</t>
  </si>
  <si>
    <t>Работы, услуги по содержанию имущества (собственное имущество)</t>
  </si>
  <si>
    <t>Прочие работы, услуги (охрана)</t>
  </si>
  <si>
    <t>Прочие работы, услуги (аренда)</t>
  </si>
  <si>
    <t>Прочие работы, услуги  (ГАРАНТ)</t>
  </si>
  <si>
    <t>Прочие работы, услуги  (ДЕЛО)</t>
  </si>
  <si>
    <t>Прочие работы, услуги  (АНТИВИРУС)</t>
  </si>
  <si>
    <t>Прочие работы, услуги  (сопровождение сайта)</t>
  </si>
  <si>
    <t>Прочие работы, услуги  (тех. Сопровождение Филармония)</t>
  </si>
  <si>
    <t>Прочие работы, услуги  (1 С)</t>
  </si>
  <si>
    <t>Прочие работы, услуги  (электронный ключ)</t>
  </si>
  <si>
    <t>Прочие работы, услуги  (реализация билетов)</t>
  </si>
  <si>
    <t>Прочие работы, услуги  (анаматоры-статисты)</t>
  </si>
  <si>
    <t>Прочие работы, услуги  (РАО)</t>
  </si>
  <si>
    <t>Прочие работы, услуги  (ВОИС)</t>
  </si>
  <si>
    <t>приобретение материальных запасов (БСО)</t>
  </si>
  <si>
    <t>приобретение материальных запасов (НГ подарки)</t>
  </si>
  <si>
    <t>приобретение материальных запасов (канц)</t>
  </si>
  <si>
    <t>приобретение материальных запасов (спец одежда)</t>
  </si>
  <si>
    <t>приобретение материальных запасов (полиграфия)</t>
  </si>
  <si>
    <t>приобретение материальных запасов (для НАЗАРОВА)</t>
  </si>
  <si>
    <t>Прочие работы, услуги  (дизайнерские услуги)</t>
  </si>
  <si>
    <t xml:space="preserve">Прочие работы, услуги </t>
  </si>
  <si>
    <t>РАО</t>
  </si>
  <si>
    <t>ВОИС</t>
  </si>
  <si>
    <t>0-000-0001</t>
  </si>
  <si>
    <t xml:space="preserve">Начисления на выплаты  на иные выплаты (за исключением выплаты заработной платы) </t>
  </si>
  <si>
    <t>Спектакль "Культурное пространство"</t>
  </si>
  <si>
    <t>Оборудование в рамках "Культурное пространство"</t>
  </si>
  <si>
    <t>Факт</t>
  </si>
  <si>
    <t>ФЕВРАЛЬ</t>
  </si>
  <si>
    <t>ЯНВАРЬ</t>
  </si>
  <si>
    <t>МАРТ</t>
  </si>
  <si>
    <t>2 квартал ИТОГО</t>
  </si>
  <si>
    <t>1 квартал ИТОГО</t>
  </si>
  <si>
    <t>АПРЕЛЬ</t>
  </si>
  <si>
    <t>МАЙ</t>
  </si>
  <si>
    <t>ИЮНЬ</t>
  </si>
  <si>
    <t>3 квартал ИТОГО</t>
  </si>
  <si>
    <t>9 месяцев    ИТОГО</t>
  </si>
  <si>
    <t>6 месяцев    ИТОГО</t>
  </si>
  <si>
    <t>4 квартал ИТОГО</t>
  </si>
  <si>
    <t>ИЮЛЬ</t>
  </si>
  <si>
    <t>АВГУСТ</t>
  </si>
  <si>
    <t>СЕНТЯБРЬ</t>
  </si>
  <si>
    <t>ОКТЯБРЬ</t>
  </si>
  <si>
    <t>НОЯБРЬ</t>
  </si>
  <si>
    <t>ДЕКАБРЬ</t>
  </si>
  <si>
    <t>ОСТАТОК</t>
  </si>
  <si>
    <t>округл</t>
  </si>
  <si>
    <t>корректировка погрешности</t>
  </si>
  <si>
    <t>формула с окрглением</t>
  </si>
  <si>
    <t>Табл. Показатели</t>
  </si>
  <si>
    <t>п</t>
  </si>
  <si>
    <r>
      <t>Сумма расходов на 2021 год</t>
    </r>
    <r>
      <rPr>
        <b/>
        <sz val="11"/>
        <color rgb="FFFF0000"/>
        <rFont val="Times New Roman"/>
        <family val="1"/>
        <charset val="204"/>
      </rPr>
      <t xml:space="preserve"> (по утвержденному ПФХД)</t>
    </r>
  </si>
  <si>
    <t>Перемещение расходов к изменению ПФХД на 2021 год</t>
  </si>
  <si>
    <t>контроль</t>
  </si>
  <si>
    <t>Содерж. Имущ.</t>
  </si>
  <si>
    <t>итогиСИ</t>
  </si>
  <si>
    <t>неСИ</t>
  </si>
  <si>
    <t xml:space="preserve">ИП Рахматуллин </t>
  </si>
  <si>
    <t xml:space="preserve">Санитарное содержание и обслуживание (уборка) офисных и бытовых помещений </t>
  </si>
  <si>
    <t>Контрагент</t>
  </si>
  <si>
    <t>№ договора</t>
  </si>
  <si>
    <t>Срок действия
 договора</t>
  </si>
  <si>
    <t>ИТОГО 2021 год</t>
  </si>
  <si>
    <t>шаблон строки детализации</t>
  </si>
  <si>
    <t>шаблон строки постатейных итогов</t>
  </si>
  <si>
    <t>СИ</t>
  </si>
  <si>
    <r>
      <t xml:space="preserve">За счёт </t>
    </r>
    <r>
      <rPr>
        <b/>
        <sz val="16"/>
        <color rgb="FF0000FF"/>
        <rFont val="Times New Roman"/>
        <family val="1"/>
        <charset val="204"/>
      </rPr>
      <t xml:space="preserve">собственных доходов </t>
    </r>
    <r>
      <rPr>
        <b/>
        <sz val="16"/>
        <color indexed="8"/>
        <rFont val="Times New Roman"/>
        <family val="1"/>
        <charset val="204"/>
      </rPr>
      <t>учреждения МАУ "ТАиК "Петрушка"</t>
    </r>
  </si>
  <si>
    <r>
      <t xml:space="preserve">Субсидия автономному учреждению МАУ "ТАиК "Петрушка" на </t>
    </r>
    <r>
      <rPr>
        <b/>
        <sz val="16"/>
        <color rgb="FF0000FF"/>
        <rFont val="Times New Roman"/>
        <family val="1"/>
        <charset val="204"/>
      </rPr>
      <t>иные цели</t>
    </r>
  </si>
  <si>
    <r>
      <t xml:space="preserve">Субсидия автономному учреждению МАУ "ТАиК "Петрушка"  
на финансовое </t>
    </r>
    <r>
      <rPr>
        <b/>
        <sz val="12"/>
        <color rgb="FF0000FF"/>
        <rFont val="Times New Roman"/>
        <family val="1"/>
        <charset val="204"/>
      </rPr>
      <t>обеспечение муниципального задания</t>
    </r>
    <r>
      <rPr>
        <b/>
        <sz val="12"/>
        <color indexed="8"/>
        <rFont val="Times New Roman"/>
        <family val="1"/>
        <charset val="204"/>
      </rPr>
      <t xml:space="preserve"> на оказание муниципальных услуг</t>
    </r>
  </si>
  <si>
    <t>Социальные пособия и компенсации персоналу в денежной форме  (до 3- х лет 85 руб. /мес.)</t>
  </si>
  <si>
    <r>
      <t>Начисления на выплаты по оплате труда (</t>
    </r>
    <r>
      <rPr>
        <b/>
        <sz val="12"/>
        <color rgb="FFFF0000"/>
        <rFont val="Times New Roman"/>
        <family val="1"/>
        <charset val="204"/>
      </rPr>
      <t>прошлых лет</t>
    </r>
    <r>
      <rPr>
        <b/>
        <sz val="12"/>
        <color indexed="8"/>
        <rFont val="Times New Roman"/>
        <family val="1"/>
        <charset val="204"/>
      </rPr>
      <t>)</t>
    </r>
  </si>
  <si>
    <r>
      <t xml:space="preserve">Заработная плата </t>
    </r>
    <r>
      <rPr>
        <b/>
        <sz val="12"/>
        <color rgb="FFFF0000"/>
        <rFont val="Times New Roman"/>
        <family val="1"/>
        <charset val="204"/>
      </rPr>
      <t>(внешн. совм.)</t>
    </r>
  </si>
  <si>
    <r>
      <t xml:space="preserve">Начисления на выплаты по оплате труда </t>
    </r>
    <r>
      <rPr>
        <b/>
        <sz val="12"/>
        <color rgb="FFFF0000"/>
        <rFont val="Times New Roman"/>
        <family val="1"/>
        <charset val="204"/>
      </rPr>
      <t>(внешн. совм.)</t>
    </r>
  </si>
  <si>
    <r>
      <t>3.04.4.02.20980.</t>
    </r>
    <r>
      <rPr>
        <b/>
        <sz val="12"/>
        <color rgb="FFFF0000"/>
        <rFont val="Times New Roman"/>
        <family val="1"/>
        <charset val="204"/>
      </rPr>
      <t>3</t>
    </r>
    <r>
      <rPr>
        <b/>
        <sz val="12"/>
        <color indexed="8"/>
        <rFont val="Times New Roman"/>
        <family val="1"/>
        <charset val="204"/>
      </rPr>
      <t>00000</t>
    </r>
  </si>
  <si>
    <r>
      <t>3.04.4.02.20980.</t>
    </r>
    <r>
      <rPr>
        <b/>
        <sz val="12"/>
        <color rgb="FFFF0000"/>
        <rFont val="Times New Roman"/>
        <family val="1"/>
        <charset val="204"/>
      </rPr>
      <t>3</t>
    </r>
    <r>
      <rPr>
        <b/>
        <sz val="12"/>
        <rFont val="Times New Roman"/>
        <family val="1"/>
        <charset val="204"/>
      </rPr>
      <t>00000</t>
    </r>
  </si>
  <si>
    <r>
      <t>3.04.4.02.20980.</t>
    </r>
    <r>
      <rPr>
        <b/>
        <sz val="12"/>
        <color rgb="FFFF0000"/>
        <rFont val="Times New Roman"/>
        <family val="1"/>
        <charset val="204"/>
      </rPr>
      <t>2</t>
    </r>
    <r>
      <rPr>
        <b/>
        <sz val="12"/>
        <color indexed="8"/>
        <rFont val="Times New Roman"/>
        <family val="1"/>
        <charset val="204"/>
      </rPr>
      <t>00000</t>
    </r>
  </si>
  <si>
    <t>внешник</t>
  </si>
  <si>
    <t xml:space="preserve">оказание услуг по предоставлению Интернет </t>
  </si>
  <si>
    <t>VPN</t>
  </si>
  <si>
    <t xml:space="preserve">предоставление услуг местной, внутризоновой, междугородней и мж/народ телеф. связи зоновой связи (ХМАО+ сотовые-мин.)
</t>
  </si>
  <si>
    <t>ООО "Нэт Бай Нэт Холдинг"</t>
  </si>
  <si>
    <t>22490019/20 от 25.03.2020</t>
  </si>
  <si>
    <t>01.04.2020-31.12.2020</t>
  </si>
  <si>
    <t>Ростелеком</t>
  </si>
  <si>
    <t>01.07.2020-31.12.2020</t>
  </si>
  <si>
    <t>услуги почты</t>
  </si>
  <si>
    <t>ООО Дени</t>
  </si>
  <si>
    <t>38/20 от 23.03.2020</t>
  </si>
  <si>
    <t>23.03.2020-31.12.2020</t>
  </si>
  <si>
    <t>ИП Бурко (такси ЛАнДо)</t>
  </si>
  <si>
    <t>34/20 от 28.02.2020</t>
  </si>
  <si>
    <t>28.02.2020-31.12.2020</t>
  </si>
  <si>
    <t>01.01.2020-31.12.2020</t>
  </si>
  <si>
    <t>услуги по перевозке (грузоперевозки)</t>
  </si>
  <si>
    <t>транспортные услуги (такси)</t>
  </si>
  <si>
    <t>договор на коммунальные услуги в арендуемом помещении</t>
  </si>
  <si>
    <t>ООО ТК Сибирь</t>
  </si>
  <si>
    <t>328 от 00.00.2020</t>
  </si>
  <si>
    <t>01.05.2020-31.12.2020</t>
  </si>
  <si>
    <t>АО "Югра-Экология"</t>
  </si>
  <si>
    <t>00002977 от 01.01.2020</t>
  </si>
  <si>
    <t>услуги по вывозу ТКО (ТБО)</t>
  </si>
  <si>
    <t>МКУ "УИТС г.Сургута"</t>
  </si>
  <si>
    <t>ООО "Аудит пожарной безопасности" ("АПБ")</t>
  </si>
  <si>
    <t>ИП Захарко</t>
  </si>
  <si>
    <t>31/20 от 27.02.2020</t>
  </si>
  <si>
    <t>02.03.2020-11.03.2020</t>
  </si>
  <si>
    <t>ИП Гаркушин</t>
  </si>
  <si>
    <t>ОЦИ</t>
  </si>
  <si>
    <r>
      <t>огнезащитная обработка декораций</t>
    </r>
    <r>
      <rPr>
        <b/>
        <sz val="10"/>
        <color rgb="FF0000FF"/>
        <rFont val="Arial"/>
        <family val="2"/>
        <charset val="204"/>
      </rPr>
      <t xml:space="preserve"> 
</t>
    </r>
    <r>
      <rPr>
        <b/>
        <sz val="10"/>
        <color rgb="FF993300"/>
        <rFont val="Arial"/>
        <family val="2"/>
        <charset val="204"/>
      </rPr>
      <t>(Козья сказка)</t>
    </r>
  </si>
  <si>
    <r>
      <t xml:space="preserve">огнезащитная обработка декораций 
</t>
    </r>
    <r>
      <rPr>
        <b/>
        <sz val="10"/>
        <color rgb="FF993300"/>
        <rFont val="Arial"/>
        <family val="2"/>
        <charset val="204"/>
      </rPr>
      <t>(Земляника под снегом)</t>
    </r>
  </si>
  <si>
    <t>Услуги по ТО и ремонту средств вычислительной и офисной техники, переферийного оборудования, устройств связи и защиты информации (1 моноблок - АЦК-планирование и АЦК-финансы)</t>
  </si>
  <si>
    <t>Программное ТО (чистка временных данных, проверка на вирусы, обновление ПО) 
(моноблок-2 шт.), тех. обслуживание (МФУ-2 шт.) (очистка от пыли и тонера, очистка сканера, очистка роликов, тестирование копированием на разных форматах)</t>
  </si>
  <si>
    <t>аренда нежилых помещений ТК Сибирь</t>
  </si>
  <si>
    <t>ООО "СИБЭНЕРГОРЕСУРС"</t>
  </si>
  <si>
    <r>
      <t>3.04.4.02.20980.</t>
    </r>
    <r>
      <rPr>
        <b/>
        <sz val="12"/>
        <color rgb="FFFF0000"/>
        <rFont val="Times New Roman"/>
        <family val="1"/>
        <charset val="204"/>
      </rPr>
      <t>7</t>
    </r>
    <r>
      <rPr>
        <sz val="12"/>
        <color indexed="8"/>
        <rFont val="Times New Roman"/>
        <family val="1"/>
        <charset val="204"/>
      </rPr>
      <t>00000</t>
    </r>
  </si>
  <si>
    <t>обеспечение физической охраны объекта (охранных услуг)</t>
  </si>
  <si>
    <t>ООО СТРАЖ</t>
  </si>
  <si>
    <t>8120 от 00.00.2020</t>
  </si>
  <si>
    <t>01.10.2020-31.12.2020</t>
  </si>
  <si>
    <t>Лягушка-царевна</t>
  </si>
  <si>
    <t>Первинка-первая</t>
  </si>
  <si>
    <t>Козья сказка</t>
  </si>
  <si>
    <t>Земляника под снегом</t>
  </si>
  <si>
    <t>Мероприятие</t>
  </si>
  <si>
    <t>Куклоград</t>
  </si>
  <si>
    <t>Елка Главы</t>
  </si>
  <si>
    <r>
      <rPr>
        <sz val="10"/>
        <color rgb="FF0000FF"/>
        <rFont val="Arial"/>
        <family val="2"/>
        <charset val="204"/>
      </rPr>
      <t xml:space="preserve">Создание кукольного спектакля малой формы </t>
    </r>
    <r>
      <rPr>
        <b/>
        <sz val="12"/>
        <color rgb="FF0000FF"/>
        <rFont val="Arial"/>
        <family val="2"/>
        <charset val="204"/>
      </rPr>
      <t>«Первинка первая»</t>
    </r>
    <r>
      <rPr>
        <sz val="10"/>
        <color rgb="FF0000FF"/>
        <rFont val="Arial"/>
        <family val="2"/>
        <charset val="204"/>
      </rPr>
      <t xml:space="preserve"> проект «Добрая сказка входит в дом» 0 + (рекомендован с 1,5 лет)
(август-сентябрь 2021 года)</t>
    </r>
  </si>
  <si>
    <r>
      <rPr>
        <sz val="10"/>
        <color rgb="FF003300"/>
        <rFont val="Arial"/>
        <family val="2"/>
        <charset val="204"/>
      </rPr>
      <t xml:space="preserve">Создание кукольного спектакля малой формы для дошкольников </t>
    </r>
    <r>
      <rPr>
        <b/>
        <sz val="12"/>
        <color rgb="FF003300"/>
        <rFont val="Arial"/>
        <family val="2"/>
        <charset val="204"/>
      </rPr>
      <t>«Козья сказка»</t>
    </r>
    <r>
      <rPr>
        <sz val="10"/>
        <color rgb="FF003300"/>
        <rFont val="Arial"/>
        <family val="2"/>
        <charset val="204"/>
      </rPr>
      <t xml:space="preserve"> в рамках театрально-просветительского проекта "Внекласное чтение" 0 + (рекомендован с 3 лет)
(апрель 2021 года)</t>
    </r>
  </si>
  <si>
    <r>
      <rPr>
        <sz val="10"/>
        <color rgb="FF0000FF"/>
        <rFont val="Arial"/>
        <family val="2"/>
        <charset val="204"/>
      </rPr>
      <t xml:space="preserve">Создание кукольного спектакля малой формы </t>
    </r>
    <r>
      <rPr>
        <b/>
        <sz val="12"/>
        <color rgb="FF0000FF"/>
        <rFont val="Arial"/>
        <family val="2"/>
        <charset val="204"/>
      </rPr>
      <t>«Лягушка-царевна»</t>
    </r>
    <r>
      <rPr>
        <sz val="10"/>
        <color rgb="FF0000FF"/>
        <rFont val="Arial"/>
        <family val="2"/>
        <charset val="204"/>
      </rPr>
      <t xml:space="preserve">  0 + (рекомендован с 4 лет)
(январь-февраль 2021 года)</t>
    </r>
  </si>
  <si>
    <r>
      <rPr>
        <sz val="10"/>
        <color rgb="FF003300"/>
        <rFont val="Arial"/>
        <family val="2"/>
        <charset val="204"/>
      </rPr>
      <t xml:space="preserve">Организация и проведение культурно-массовых мероприятий -VI городского открытого фестиваля  </t>
    </r>
    <r>
      <rPr>
        <b/>
        <sz val="12"/>
        <color rgb="FF003300"/>
        <rFont val="Arial"/>
        <family val="2"/>
        <charset val="204"/>
      </rPr>
      <t>"КУКЛАГРАД"</t>
    </r>
    <r>
      <rPr>
        <sz val="10"/>
        <color rgb="FF003300"/>
        <rFont val="Arial"/>
        <family val="2"/>
        <charset val="204"/>
      </rPr>
      <t xml:space="preserve">  0 + (рекомендован с 1,5 лет)
(октябрь-ноябрь 2021 года)</t>
    </r>
  </si>
  <si>
    <r>
      <rPr>
        <sz val="10"/>
        <color rgb="FF003300"/>
        <rFont val="Arial"/>
        <family val="2"/>
        <charset val="204"/>
      </rPr>
      <t xml:space="preserve">Организация и проведение культурно-массовых мероприятий - </t>
    </r>
    <r>
      <rPr>
        <b/>
        <sz val="12"/>
        <color rgb="FF003300"/>
        <rFont val="Arial"/>
        <family val="2"/>
        <charset val="204"/>
      </rPr>
      <t>Новогодняя Елка для одаренных детей с участием Главы города</t>
    </r>
    <r>
      <rPr>
        <sz val="10"/>
        <color rgb="FF003300"/>
        <rFont val="Arial"/>
        <family val="2"/>
        <charset val="204"/>
      </rPr>
      <t>, 6+
(декабрь 2021 года)</t>
    </r>
  </si>
  <si>
    <r>
      <rPr>
        <sz val="10"/>
        <color rgb="FF0000FF"/>
        <rFont val="Arial"/>
        <family val="2"/>
        <charset val="204"/>
      </rPr>
      <t xml:space="preserve">Создание кукольного спектакля малой формы </t>
    </r>
    <r>
      <rPr>
        <b/>
        <sz val="12"/>
        <color rgb="FF0000FF"/>
        <rFont val="Arial"/>
        <family val="2"/>
        <charset val="204"/>
      </rPr>
      <t>«Земляника под снегом»</t>
    </r>
    <r>
      <rPr>
        <sz val="10"/>
        <color rgb="FF0000FF"/>
        <rFont val="Arial"/>
        <family val="2"/>
        <charset val="204"/>
      </rPr>
      <t xml:space="preserve"> проект  «Сказки со всего света» 0 + (рекомендован с 3 лет)     
(ноябрь 2021 года)</t>
    </r>
  </si>
  <si>
    <t>пустая строка (не трогать)</t>
  </si>
  <si>
    <t>Услуги по организации постановки спектакля  (режиссер-постановщик, художник-постановщик)</t>
  </si>
  <si>
    <t xml:space="preserve">Услуги по изготовлению кукол </t>
  </si>
  <si>
    <t>Услуги композитора</t>
  </si>
  <si>
    <t>Услуги по разработке макета афиш с нуля</t>
  </si>
  <si>
    <t>Услуги по печати на ткани по эскизу</t>
  </si>
  <si>
    <t>Услуги по организации постановки спектакля (режиссер-постановщик, художник-постановщик)</t>
  </si>
  <si>
    <t>Услуги по организации постановки спектакля (режиссер -постановщик, художник-постановщик)</t>
  </si>
  <si>
    <t>Участие театров  кукол ХМАО-Югры со спектаклями</t>
  </si>
  <si>
    <t xml:space="preserve">Участие  Тюменского театра кукол  со спектаклями </t>
  </si>
  <si>
    <t xml:space="preserve">Участие  Владимировского областного  театра кукол  со спектаклями  </t>
  </si>
  <si>
    <t xml:space="preserve">Участие  Ивановского  театра кукол  со спектаклями </t>
  </si>
  <si>
    <t>Услуги по печати на ткани по эскизу 60 кв/м</t>
  </si>
  <si>
    <t>Услуги по разработке макета для фотопечати (на ткани)</t>
  </si>
  <si>
    <t>Услуги по разработке макетов для новогодних декораций</t>
  </si>
  <si>
    <t>Услуги по печати на ткани по эскизу (30 кв.м*935,33 руб.)</t>
  </si>
  <si>
    <t>Услуги по фотопечати на пленке (40 кв.м. *1 483,33 руб.)</t>
  </si>
  <si>
    <t>материальные запасы</t>
  </si>
  <si>
    <t>Оборудование в рамках государственной программы ХМАО - Югры «Культурное пространство»</t>
  </si>
  <si>
    <t>Приобретение оборудования</t>
  </si>
  <si>
    <t>приобретение материальных запасов (канцтовары)</t>
  </si>
  <si>
    <t>приобретение материальных запасов (полиграфия, афишы, листовки, баннеры на текущий репертуар)</t>
  </si>
  <si>
    <t>Увеличение стоимости материальных запасов по мероприятиям</t>
  </si>
  <si>
    <t>Прочие работы, услуги по мероприятиям</t>
  </si>
  <si>
    <t>Приобретение жидкости для машин мыльных пузырей</t>
  </si>
  <si>
    <t>Приобретение жидкости для генераторов дыма</t>
  </si>
  <si>
    <t>Приобретение жидкости для генератора тумана</t>
  </si>
  <si>
    <t>приобретение материальных запасов (спецодежда)</t>
  </si>
  <si>
    <t>приобретение канцелярских товаров</t>
  </si>
  <si>
    <t>удалили из 2021 года</t>
  </si>
  <si>
    <t>3 источника</t>
  </si>
  <si>
    <r>
      <t xml:space="preserve">Начисления на единовременное вознаграждение работникам в связи с </t>
    </r>
    <r>
      <rPr>
        <sz val="10"/>
        <color rgb="FFC00000"/>
        <rFont val="Arial"/>
        <family val="2"/>
        <charset val="204"/>
      </rPr>
      <t>юбилейными датами</t>
    </r>
    <r>
      <rPr>
        <sz val="10"/>
        <color rgb="FF0000FF"/>
        <rFont val="Arial"/>
        <family val="2"/>
        <charset val="204"/>
      </rPr>
      <t xml:space="preserve"> (за исключением выплаты заработной платы)</t>
    </r>
  </si>
  <si>
    <r>
      <t xml:space="preserve">Единовременное вознаграждение работникам в связи с </t>
    </r>
    <r>
      <rPr>
        <sz val="10"/>
        <color rgb="FFC00000"/>
        <rFont val="Arial"/>
        <family val="2"/>
        <charset val="204"/>
      </rPr>
      <t>юбилейными датами</t>
    </r>
  </si>
  <si>
    <r>
      <t xml:space="preserve">Единовременное пособие работникам, вступающим в </t>
    </r>
    <r>
      <rPr>
        <sz val="10"/>
        <color rgb="FFC00000"/>
        <rFont val="Arial"/>
        <family val="2"/>
        <charset val="204"/>
      </rPr>
      <t>первый брак</t>
    </r>
  </si>
  <si>
    <r>
      <t>Единовременное пособие работнику при</t>
    </r>
    <r>
      <rPr>
        <sz val="10"/>
        <color rgb="FFC00000"/>
        <rFont val="Arial"/>
        <family val="2"/>
        <charset val="204"/>
      </rPr>
      <t xml:space="preserve"> рождении ребенка</t>
    </r>
  </si>
  <si>
    <r>
      <t xml:space="preserve">Начисления на единовременное пособие работникам, вступающим в </t>
    </r>
    <r>
      <rPr>
        <sz val="10"/>
        <color rgb="FFC00000"/>
        <rFont val="Arial"/>
        <family val="2"/>
        <charset val="204"/>
      </rPr>
      <t>первый брак</t>
    </r>
    <r>
      <rPr>
        <sz val="10"/>
        <color rgb="FF0000FF"/>
        <rFont val="Arial"/>
        <family val="2"/>
        <charset val="204"/>
      </rPr>
      <t xml:space="preserve"> (за исключением выплаты заработной платы)</t>
    </r>
  </si>
  <si>
    <r>
      <t xml:space="preserve">Начисления на единовременное вознаграждение при прекращении трудовых отношений в связи </t>
    </r>
    <r>
      <rPr>
        <sz val="10"/>
        <color rgb="FFC00000"/>
        <rFont val="Arial"/>
        <family val="2"/>
        <charset val="204"/>
      </rPr>
      <t xml:space="preserve">с выходом на пенсию </t>
    </r>
    <r>
      <rPr>
        <sz val="10"/>
        <color rgb="FF0000FF"/>
        <rFont val="Arial"/>
        <family val="2"/>
        <charset val="204"/>
      </rPr>
      <t>по старости впервые (за исключением выплаты заработной платы)</t>
    </r>
  </si>
  <si>
    <r>
      <t xml:space="preserve">Начисления на единовременное пособие работнику при </t>
    </r>
    <r>
      <rPr>
        <sz val="10"/>
        <color rgb="FFC00000"/>
        <rFont val="Arial"/>
        <family val="2"/>
        <charset val="204"/>
      </rPr>
      <t>рождении ребенка</t>
    </r>
    <r>
      <rPr>
        <sz val="10"/>
        <color rgb="FF0000FF"/>
        <rFont val="Arial"/>
        <family val="2"/>
        <charset val="204"/>
      </rPr>
      <t xml:space="preserve"> (за исключением выплаты заработной платы)</t>
    </r>
  </si>
  <si>
    <r>
      <t xml:space="preserve">Ежеквартальная материальная помощь работникам, имеющим на иждивении </t>
    </r>
    <r>
      <rPr>
        <sz val="10"/>
        <color rgb="FFC00000"/>
        <rFont val="Arial"/>
        <family val="2"/>
        <charset val="204"/>
      </rPr>
      <t>ребёнка-инвалида</t>
    </r>
    <r>
      <rPr>
        <sz val="10"/>
        <color rgb="FF0000FF"/>
        <rFont val="Arial"/>
        <family val="2"/>
        <charset val="204"/>
      </rPr>
      <t xml:space="preserve"> или </t>
    </r>
    <r>
      <rPr>
        <sz val="10"/>
        <color rgb="FFC00000"/>
        <rFont val="Arial"/>
        <family val="2"/>
        <charset val="204"/>
      </rPr>
      <t>многодетным родителям</t>
    </r>
    <r>
      <rPr>
        <sz val="10"/>
        <color rgb="FF0000FF"/>
        <rFont val="Arial"/>
        <family val="2"/>
        <charset val="204"/>
      </rPr>
      <t xml:space="preserve"> </t>
    </r>
  </si>
  <si>
    <r>
      <t xml:space="preserve">Социальные пособия и компенсации персоналу в денежной форме  </t>
    </r>
    <r>
      <rPr>
        <sz val="12"/>
        <color indexed="8"/>
        <rFont val="Times New Roman"/>
        <family val="1"/>
        <charset val="204"/>
      </rPr>
      <t>(первый брак, рождение ребенка, юбилейные даты, ежеквартальная мат. помощь работникам, имеющим на иждивении ребёнка-инвалида или многодетным родителям )</t>
    </r>
  </si>
  <si>
    <r>
      <t xml:space="preserve">Социальные пособия и компенсации персоналу в денежной форме </t>
    </r>
    <r>
      <rPr>
        <sz val="12"/>
        <color indexed="8"/>
        <rFont val="Times New Roman"/>
        <family val="1"/>
        <charset val="204"/>
      </rPr>
      <t xml:space="preserve"> (первый брак, рождение ребенка, юбилейные даты, ежеквартальная мат. помощь работникам, имеющим на иждивении ребёнка-инвалида или многодетным родителям )</t>
    </r>
  </si>
  <si>
    <t>172-20 от 09.09.2020</t>
  </si>
  <si>
    <t>08.09.2020-31.12.2020</t>
  </si>
  <si>
    <t>ИП Мараховка</t>
  </si>
  <si>
    <t>39/20 от 25.03.2020</t>
  </si>
  <si>
    <t>01.04.2020-30.06.2020</t>
  </si>
  <si>
    <t>СЭД-05-20 от 07.12.2019</t>
  </si>
  <si>
    <t>ООО Гарант Пронет</t>
  </si>
  <si>
    <t>4114/ГН-20 от 01.01.2020</t>
  </si>
  <si>
    <t>82/20 от 23.09.2020</t>
  </si>
  <si>
    <t>23.09.2020-30.11.2020</t>
  </si>
  <si>
    <t>ООО Салекс (СПОПАТ)</t>
  </si>
  <si>
    <t>1-02 ОТ 01.02.2020</t>
  </si>
  <si>
    <t>01.02.2020-31.07.2020</t>
  </si>
  <si>
    <t>МАУ Сургутская Филармония</t>
  </si>
  <si>
    <t>52/20 от 06.05.2020</t>
  </si>
  <si>
    <t>06.05.2020-30.06.2020</t>
  </si>
  <si>
    <t>ООО АПОГЕЙ-БК</t>
  </si>
  <si>
    <t>54/20 от 15.06.2020</t>
  </si>
  <si>
    <t>Услуги по сопровождению автоматизированной информационной системы СЭД "Дело"</t>
  </si>
  <si>
    <t>Услуги по приобретение программного обеспечения (антивирус)</t>
  </si>
  <si>
    <t xml:space="preserve">Услуги по сопровождению сайта </t>
  </si>
  <si>
    <t>Услуги  по обслуживанию программных продуктов "1С"</t>
  </si>
  <si>
    <t>Услуги  по техническому сопровождению при проведении мероприятий в МАУ "Сургутская филармония"</t>
  </si>
  <si>
    <t>Услуги по реализации билетов  при проведении мероприятий в МАУ "Сургутская филармония"</t>
  </si>
  <si>
    <t>Услуги аниматоров-статистов</t>
  </si>
  <si>
    <t>Дизайнерские услуги по  разработке афиш, программок для спектаклей текущего репертуара</t>
  </si>
  <si>
    <t>Услуги по обеспечению охраны объекта  с помощью КТС</t>
  </si>
  <si>
    <t>Услуги по администрированию Баз данных</t>
  </si>
  <si>
    <t xml:space="preserve">Услуги по размещению рекламы </t>
  </si>
  <si>
    <t>коммунальные услуги в арендуемом помещении</t>
  </si>
  <si>
    <t>ООО Стройматик</t>
  </si>
  <si>
    <t>155/19 от 00.12.2019</t>
  </si>
  <si>
    <t>00.12.2019-29.02.2019</t>
  </si>
  <si>
    <t>ООО "НИИ Техэеспертиза"</t>
  </si>
  <si>
    <t>1630/СОУТ-20 от 28.09.2020</t>
  </si>
  <si>
    <t>28.09.2020-30.11.2020</t>
  </si>
  <si>
    <t>Тех. обслуживание и текущий ремонт машины стиральной Electrolux W 4240H и сушильного барабана Electrolux Т 4290</t>
  </si>
  <si>
    <r>
      <t>огнезащитная обработка декораций</t>
    </r>
    <r>
      <rPr>
        <b/>
        <sz val="10"/>
        <color rgb="FF0000FF"/>
        <rFont val="Arial"/>
        <family val="2"/>
        <charset val="204"/>
      </rPr>
      <t xml:space="preserve"> 
</t>
    </r>
    <r>
      <rPr>
        <b/>
        <sz val="10"/>
        <color theme="9" tint="-0.499984740745262"/>
        <rFont val="Arial"/>
        <family val="2"/>
        <charset val="204"/>
      </rPr>
      <t>(Лягушка-царевна)</t>
    </r>
  </si>
  <si>
    <r>
      <t>огнезащитная обработка декораций</t>
    </r>
    <r>
      <rPr>
        <b/>
        <sz val="10"/>
        <color rgb="FF0000FF"/>
        <rFont val="Arial"/>
        <family val="2"/>
        <charset val="204"/>
      </rPr>
      <t xml:space="preserve"> 
</t>
    </r>
    <r>
      <rPr>
        <b/>
        <sz val="10"/>
        <color rgb="FF993300"/>
        <rFont val="Arial"/>
        <family val="2"/>
        <charset val="204"/>
      </rPr>
      <t>(Первинка-первая)</t>
    </r>
  </si>
  <si>
    <t>Работы, услуги по содержанию имущества (огнезащитная обработка декораций)</t>
  </si>
  <si>
    <r>
      <t xml:space="preserve">Единовременное вознаграждение при прекращении трудовых отношений в связи с </t>
    </r>
    <r>
      <rPr>
        <b/>
        <sz val="12"/>
        <color rgb="FFC00000"/>
        <rFont val="Times New Roman"/>
        <family val="1"/>
        <charset val="204"/>
      </rPr>
      <t>выходом на пенсию</t>
    </r>
    <r>
      <rPr>
        <b/>
        <sz val="12"/>
        <color indexed="8"/>
        <rFont val="Times New Roman"/>
        <family val="1"/>
        <charset val="204"/>
      </rPr>
      <t xml:space="preserve"> по старости впервые</t>
    </r>
  </si>
  <si>
    <r>
      <t xml:space="preserve">Начисления на выплаты  на иные выплаты </t>
    </r>
    <r>
      <rPr>
        <sz val="12"/>
        <color indexed="8"/>
        <rFont val="Times New Roman"/>
        <family val="1"/>
        <charset val="204"/>
      </rPr>
      <t xml:space="preserve">(за исключением выплаты заработной платы) </t>
    </r>
  </si>
  <si>
    <t>Услуги по специальной оценке условий труда</t>
  </si>
  <si>
    <t>разница</t>
  </si>
  <si>
    <t>№2249020/20 от 31.03.2020</t>
  </si>
  <si>
    <t>предоставление услуг местной, внутризоновой, междугородней и мж/народ телеф. связи зоновой связи (ХМАО+ сотовые-мин.)</t>
  </si>
  <si>
    <t xml:space="preserve">Перевыпуск сертификата ключа проверки электронной подписи для осуществления операций на сайте http://zakupki.gov.ru </t>
  </si>
  <si>
    <r>
      <t>Вознаграждения за публичное исполнение фонограмм в коммерческих целях Всемирная Организация Интеллектуальной Собственности (</t>
    </r>
    <r>
      <rPr>
        <sz val="10"/>
        <color rgb="FFC00000"/>
        <rFont val="Arial"/>
        <family val="2"/>
        <charset val="204"/>
      </rPr>
      <t>ВОИС</t>
    </r>
    <r>
      <rPr>
        <sz val="10"/>
        <color rgb="FF0000FF"/>
        <rFont val="Arial"/>
        <family val="2"/>
        <charset val="204"/>
      </rPr>
      <t>)</t>
    </r>
  </si>
  <si>
    <r>
      <t xml:space="preserve">Отчисления авторам произведений по лицензионным договорам </t>
    </r>
    <r>
      <rPr>
        <sz val="10"/>
        <color rgb="FFC00000"/>
        <rFont val="Arial"/>
        <family val="2"/>
        <charset val="204"/>
      </rPr>
      <t>РАО</t>
    </r>
    <r>
      <rPr>
        <sz val="10"/>
        <color rgb="FF0000FF"/>
        <rFont val="Arial"/>
        <family val="2"/>
        <charset val="204"/>
      </rPr>
      <t xml:space="preserve"> (Российское Авторское Общество)</t>
    </r>
  </si>
  <si>
    <t>транспортные услуги (такси) (работникам)</t>
  </si>
  <si>
    <t>услуги по перевозке (грузоперевозки) (мероприятия)</t>
  </si>
  <si>
    <t>Промежуточные ИТОГИ</t>
  </si>
  <si>
    <t>Итоги</t>
  </si>
  <si>
    <t>Итоги 2 уровень</t>
  </si>
  <si>
    <t>Приобретение материальных запасов (комплектующие)</t>
  </si>
  <si>
    <t>Содерж. Имущ./
Мероприятие</t>
  </si>
  <si>
    <t>01.01.2021-31.12.2021</t>
  </si>
  <si>
    <t>заключен</t>
  </si>
  <si>
    <t>срочно заключить</t>
  </si>
  <si>
    <t>тензор</t>
  </si>
  <si>
    <t>Кассовый план на 2021 так разбит</t>
  </si>
  <si>
    <t>4205/ГН-21 от 01.01.2021</t>
  </si>
  <si>
    <t>01.01.2021-31.05.2021</t>
  </si>
  <si>
    <t>Заправка картриджей</t>
  </si>
  <si>
    <t>Приобретение новых картриджей</t>
  </si>
  <si>
    <t>ООО "Орион"</t>
  </si>
  <si>
    <t>есть СЗ, дог. в работе</t>
  </si>
  <si>
    <t>01.01.2021-31.08.2021</t>
  </si>
  <si>
    <r>
      <rPr>
        <sz val="10"/>
        <rFont val="Arial"/>
        <family val="2"/>
        <charset val="204"/>
      </rPr>
      <t>6523981</t>
    </r>
    <r>
      <rPr>
        <sz val="10"/>
        <color rgb="FFFF0000"/>
        <rFont val="Arial"/>
        <family val="2"/>
        <charset val="204"/>
      </rPr>
      <t xml:space="preserve"> от ________</t>
    </r>
  </si>
  <si>
    <t>ТО и АДМ-03-21 от 01.01.2021</t>
  </si>
  <si>
    <t>СЭД-05-21 от 01.01.2021</t>
  </si>
  <si>
    <t>Услуги по предоставлению экземпляров электронного периодического справочника "Система ГАРАНТ"</t>
  </si>
  <si>
    <r>
      <rPr>
        <sz val="10"/>
        <color rgb="FFFF0000"/>
        <rFont val="Arial"/>
        <family val="2"/>
        <charset val="204"/>
      </rPr>
      <t>___</t>
    </r>
    <r>
      <rPr>
        <sz val="10"/>
        <rFont val="Arial"/>
        <family val="2"/>
        <charset val="204"/>
      </rPr>
      <t>.01.2020-31.08.2020</t>
    </r>
  </si>
  <si>
    <t>01/21 от ________</t>
  </si>
  <si>
    <t>Сумма расходов на 2021 год (по утвержденному ПФХД)</t>
  </si>
  <si>
    <t>Субсидия автономному учреждению МАУ "ТАиК "Петрушка"  
на финансовое обеспечение муниципального задания на оказание муниципальных услуг</t>
  </si>
  <si>
    <t>Начисления на выплаты по оплате труда (прошлых лет)</t>
  </si>
  <si>
    <r>
      <t xml:space="preserve">Социальные пособия и компенсации персоналу в денежной форме  </t>
    </r>
    <r>
      <rPr>
        <sz val="12"/>
        <rFont val="Times New Roman"/>
        <family val="1"/>
        <charset val="204"/>
      </rPr>
      <t>(первый брак, рождение ребенка, юбилейные даты, ежеквартальная мат. помощь работникам, имеющим на иждивении ребёнка-инвалида или многодетным родителям )</t>
    </r>
  </si>
  <si>
    <t>Единовременное вознаграждение при прекращении трудовых отношений в связи с выходом на пенсию по старости впервые</t>
  </si>
  <si>
    <r>
      <t xml:space="preserve">Начисления на выплаты  на иные выплаты </t>
    </r>
    <r>
      <rPr>
        <sz val="12"/>
        <rFont val="Times New Roman"/>
        <family val="1"/>
        <charset val="204"/>
      </rPr>
      <t xml:space="preserve">(за исключением выплаты заработной платы) </t>
    </r>
  </si>
  <si>
    <t>Начисления на единовременное вознаграждение работникам в связи с юбилейными датами (за исключением выплаты заработной платы)</t>
  </si>
  <si>
    <t>Начисления на единовременное пособие работникам, вступающим в первый брак (за исключением выплаты заработной платы)</t>
  </si>
  <si>
    <t>Начисления на единовременное пособие работнику при рождении ребенка (за исключением выплаты заработной платы)</t>
  </si>
  <si>
    <t>Начисления на единовременное вознаграждение при прекращении трудовых отношений в связи с выходом на пенсию по старости впервые (за исключением выплаты заработной платы)</t>
  </si>
  <si>
    <t>3.04.4.02.20980.300000</t>
  </si>
  <si>
    <t>Заработная плата (внешн. совм.)</t>
  </si>
  <si>
    <t>Начисления на выплаты по оплате труда (внешн. совм.)</t>
  </si>
  <si>
    <r>
      <t>3.04.4.02.20980.7</t>
    </r>
    <r>
      <rPr>
        <sz val="12"/>
        <rFont val="Times New Roman"/>
        <family val="1"/>
        <charset val="204"/>
      </rPr>
      <t>00000</t>
    </r>
  </si>
  <si>
    <r>
      <t xml:space="preserve">Социальные пособия и компенсации персоналу в денежной форме </t>
    </r>
    <r>
      <rPr>
        <sz val="12"/>
        <rFont val="Times New Roman"/>
        <family val="1"/>
        <charset val="204"/>
      </rPr>
      <t xml:space="preserve"> (первый брак, рождение ребенка, юбилейные даты, ежеквартальная мат. помощь работникам, имеющим на иждивении ребёнка-инвалида или многодетным родителям )</t>
    </r>
  </si>
  <si>
    <t>02/21 от 01.01.2021</t>
  </si>
  <si>
    <t>3-720-0000</t>
  </si>
  <si>
    <t>11.01.2021-31.08.2021</t>
  </si>
  <si>
    <t>01.01.2021-31.08.2020</t>
  </si>
  <si>
    <t>Услуги сотовой связи для кнопки тревожной сигнализации (КТС)</t>
  </si>
  <si>
    <t>ПАО "Мегафон"</t>
  </si>
  <si>
    <t>100309392 от 28.12.2020</t>
  </si>
  <si>
    <t>оказание услуг связи (канал сети передачи данных VPN)</t>
  </si>
  <si>
    <t xml:space="preserve">оказание услуг доступа к сети Интернет </t>
  </si>
  <si>
    <t>2249019/21 от 01.01.2021</t>
  </si>
  <si>
    <t>2278040/21 от 01.01.2021</t>
  </si>
  <si>
    <t>03/21/20 от 01.01.2021</t>
  </si>
  <si>
    <t>01.01.2021-30.06.2021</t>
  </si>
  <si>
    <t>6523981 от 01.01.2021</t>
  </si>
  <si>
    <t>оказание услуг местной, внутризоновой, междугородней связи ("Виртуальная АТС")</t>
  </si>
  <si>
    <t>04/21 от 01.01.2021</t>
  </si>
  <si>
    <t>Приносящая доход деятельность (собственные доходы учреждения)</t>
  </si>
  <si>
    <t>Остаток на начало  года</t>
  </si>
  <si>
    <t>Е.А.Блинова</t>
  </si>
  <si>
    <t>Кондрашенко Александр Александрович</t>
  </si>
  <si>
    <t>ПОЯСНИТЕЛЬНАЯ ЗАПИСКА 
к изменениям в план финансово-хозяйственной деятельности на 2021 год 
МАУ «Театр актера и куклы «Петрушка»</t>
  </si>
  <si>
    <t>Остаток средств на начало года</t>
  </si>
  <si>
    <t>Расходы на оказание услуг (выполнения работ) за счёт приносящей доход деятельности (собственных доходов учреждения)</t>
  </si>
  <si>
    <t>" ___ "  ______________ 2021 г.</t>
  </si>
  <si>
    <t>Остаток средств на начало текущего финансового года.</t>
  </si>
  <si>
    <t xml:space="preserve">Работы, услуги по содержанию имущества </t>
  </si>
  <si>
    <t>ДОПОЛНИТЕЛЬНАЯ ПОЯСНИТЕЛЬНАЯ ЗАПИСКА 
к изменениям в план финансово-хозяйственной деятельности на 2021 год 
МАУ «Театр актера и куклы «Петрушка»</t>
  </si>
  <si>
    <t>А.А. Кондрашенко</t>
  </si>
  <si>
    <t>Остаток средств на начало текущего финансового года в сумме 2 442,91 руб., распределяется следующим образом:
  - КОСГУ 266 в сумме 900 руб. - для выплаты пособия по уходу за ребенком до 3-х лет;
  - КОСГУ 213 в сумме 1 542,91 руб. - резерв средств для оплаты начислений на выплаты по оплате труда в 2021 году.
Остаток средств на начало текущего финансового года в сумме 190 000,00 руб., является остатком средств по договору №13-20-АРДИ от 10.09.2020, заключенного с Югорской региональной ассоцияцией родителей детей - инвалидов (ЮРАРДИ), на оказание услуг по показу 6 (шести) спектаклей для детей в рамках реализации проекта "Новая надежда", срок оказания услуг: март-май 2021 года, сентябрь-ноябрь 2021 года, распределяется следующим образом:
  - КОСГУ 211 в сумме 112 442,91 руб. - заработная плата сотрудников, принимающих участие в показах спектаклей;
  - КОСГУ 213 в сумме 2 557,09 руб. - начисления по выплаты по оплате труда сотрудников, принимающих участие в показах спектаклей;
  - КОСГУ 222 в сумме 15 000 руб. - оплата услуг по перевозке персонала и декораций к месту показа спектаклей;
  - КОСГУ 225 в сумме 5 000 руб. - оплата услуг по настройке и програмно-технического обслуживания оборудования используемого при показе спектаклей;
  - КОСГУ 226 в сумме 35 000 руб. - оплата дизайнерских услуги по разработке программок и услуг по печати на ткани в рамках показа спектаклей;
  - КОСГУ 346 в сумме 20 000 руб. - приобретение материальных запасов, необходимых для мелкого ремонта декораций для показа спектаклей, и полиграфической продукции.</t>
  </si>
  <si>
    <r>
      <rPr>
        <sz val="10"/>
        <rFont val="Arial"/>
        <family val="2"/>
        <charset val="204"/>
      </rPr>
      <t>328 от</t>
    </r>
    <r>
      <rPr>
        <sz val="10"/>
        <color rgb="FFFF0000"/>
        <rFont val="Arial"/>
        <family val="2"/>
        <charset val="204"/>
      </rPr>
      <t xml:space="preserve"> 00.00.2021</t>
    </r>
  </si>
  <si>
    <t>ООО ТК "Сибирь"</t>
  </si>
  <si>
    <t>06/21 от 11.01.2021</t>
  </si>
  <si>
    <t>11.01.2021-31.12.2021</t>
  </si>
  <si>
    <t>Услуги по охране объекта путем оперативного реагирования наряда полиции на сигнал тревожного оповещения (КТС)</t>
  </si>
  <si>
    <t>ФГКУ "УВО ВНГ России по Ханты-Мансийскомуавтономному округу-Югре"</t>
  </si>
  <si>
    <t>100% экономия</t>
  </si>
  <si>
    <t>исходный порядок строк</t>
  </si>
  <si>
    <t>Передвижки и дополнения</t>
  </si>
  <si>
    <t>№3 от 11.01.2021</t>
  </si>
  <si>
    <t>11.01.2021-31.05.2021</t>
  </si>
  <si>
    <t>№07/21/ТО от 21.01.2021</t>
  </si>
  <si>
    <t>01.02.2021-30.06.2021 и 01.09.2021-31.12.2021</t>
  </si>
  <si>
    <t>ИП Кожуркина Е.Д.</t>
  </si>
  <si>
    <t>08/21 от 28.01.2021</t>
  </si>
  <si>
    <t>28.01.2021-31.03.2021</t>
  </si>
  <si>
    <t>ООО "Грузовичков-Север"</t>
  </si>
  <si>
    <t>05/21 от 21.01.2021</t>
  </si>
  <si>
    <t>21.01.2021-31.12.2021</t>
  </si>
  <si>
    <t>квр поменять на 111 Снаия звонила сказала</t>
  </si>
  <si>
    <t>ИП Василенко И.В.</t>
  </si>
  <si>
    <t>Поставка полиграфической продукции (афиши А3, текущий репертуар)</t>
  </si>
  <si>
    <t>06-21 от 11.01.2020 и ДС №1 от 05.02.2021</t>
  </si>
  <si>
    <t>09/21 от 08.02.2021</t>
  </si>
  <si>
    <t>08.02.2021-31.03.2021</t>
  </si>
  <si>
    <t>12600 на ГОСГУ 342</t>
  </si>
  <si>
    <t>коррект</t>
  </si>
  <si>
    <t>ИП Мараховка И.А.</t>
  </si>
  <si>
    <t>ИП Бельков А.П.</t>
  </si>
  <si>
    <t>СЗ от 11.02.2021</t>
  </si>
  <si>
    <t>передвинуть на КОСГУ 266 (см. примечание</t>
  </si>
  <si>
    <t>А7989/1074 от 11.01.2021
ДС №1 от 05.02.2021</t>
  </si>
  <si>
    <t>СОГЛАСОВАНО</t>
  </si>
  <si>
    <t>Комитета культуры и туризма</t>
  </si>
  <si>
    <t>3.04.4.02.20980.210000</t>
  </si>
  <si>
    <t>Оказание услуг по организации и проведению семинара по теме "Новое в системе оплаты труда в государственных и муниципальных учреждениях в 2021 году. Новая методика исчисления среднего месячного зарабтка" в режиме ОНЛАЙН.</t>
  </si>
  <si>
    <t>ООО "Интеллект-сервис"</t>
  </si>
  <si>
    <t>Оказание услуг по организации и проведению семинара по теме "Отдельные вопросы учета нефинансовых активов в свете последних изменений законодательства, реализация положений федеральных стандартов по учету нефинансовых активов, изменения отдельных положений Инструкций по учету" в режиме ОНЛАЙН.</t>
  </si>
  <si>
    <t>дог</t>
  </si>
  <si>
    <t>коррект с тех Филарм</t>
  </si>
  <si>
    <t>авансовый Дремин А.А.</t>
  </si>
  <si>
    <t>№3 от 05.02.2021</t>
  </si>
  <si>
    <t>№4 от 05.02.2021</t>
  </si>
  <si>
    <t>материальные запасы (лента ORAMOUNT)</t>
  </si>
  <si>
    <t>материальные запасы (пиломатериал, брусок)</t>
  </si>
  <si>
    <r>
      <rPr>
        <sz val="10"/>
        <color rgb="FF003300"/>
        <rFont val="Arial"/>
        <family val="2"/>
        <charset val="204"/>
      </rPr>
      <t xml:space="preserve">Организация и проведение культурно-массовых мероприятий - VI городского открытого фестиваля  </t>
    </r>
    <r>
      <rPr>
        <b/>
        <sz val="12"/>
        <color rgb="FF003300"/>
        <rFont val="Arial"/>
        <family val="2"/>
        <charset val="204"/>
      </rPr>
      <t>"КУКЛАГРАД"</t>
    </r>
    <r>
      <rPr>
        <sz val="10"/>
        <color rgb="FF003300"/>
        <rFont val="Arial"/>
        <family val="2"/>
        <charset val="204"/>
      </rPr>
      <t xml:space="preserve">  0 + (рекомендован с 1,5 лет)
(октябрь-ноябрь 2021 года)</t>
    </r>
  </si>
  <si>
    <r>
      <t>3.04.4.02.20980.</t>
    </r>
    <r>
      <rPr>
        <b/>
        <sz val="12"/>
        <color rgb="FFFF0000"/>
        <rFont val="Times New Roman"/>
        <family val="1"/>
        <charset val="204"/>
      </rPr>
      <t>21</t>
    </r>
    <r>
      <rPr>
        <b/>
        <sz val="12"/>
        <color indexed="8"/>
        <rFont val="Times New Roman"/>
        <family val="1"/>
        <charset val="204"/>
      </rPr>
      <t>0000</t>
    </r>
  </si>
  <si>
    <t>ООО "Студия рекламы Элемент"</t>
  </si>
  <si>
    <r>
      <rPr>
        <sz val="10"/>
        <rFont val="Arial"/>
        <family val="2"/>
        <charset val="204"/>
      </rPr>
      <t xml:space="preserve">Создание кукольного спектакля малой формы </t>
    </r>
    <r>
      <rPr>
        <b/>
        <sz val="12"/>
        <rFont val="Arial"/>
        <family val="2"/>
        <charset val="204"/>
      </rPr>
      <t>«Лягушка-царевна»</t>
    </r>
    <r>
      <rPr>
        <sz val="10"/>
        <rFont val="Arial"/>
        <family val="2"/>
        <charset val="204"/>
      </rPr>
      <t xml:space="preserve">  0 + (рекомендован с 4 лет)
(июнь 2021 года)</t>
    </r>
  </si>
  <si>
    <r>
      <rPr>
        <sz val="10"/>
        <color rgb="FF0000FF"/>
        <rFont val="Arial"/>
        <family val="2"/>
        <charset val="204"/>
      </rPr>
      <t xml:space="preserve">Создание кукольного спектакля малой формы для дошкольников </t>
    </r>
    <r>
      <rPr>
        <b/>
        <sz val="12"/>
        <color rgb="FF0000FF"/>
        <rFont val="Arial"/>
        <family val="2"/>
        <charset val="204"/>
      </rPr>
      <t xml:space="preserve">«Загадка козьей хатки» </t>
    </r>
    <r>
      <rPr>
        <sz val="12"/>
        <color rgb="FF0000FF"/>
        <rFont val="Arial"/>
        <family val="2"/>
        <charset val="204"/>
      </rPr>
      <t>(</t>
    </r>
    <r>
      <rPr>
        <i/>
        <sz val="12"/>
        <color rgb="FF0000FF"/>
        <rFont val="Arial"/>
        <family val="2"/>
        <charset val="204"/>
      </rPr>
      <t>первоначальное название «Козья сказка»</t>
    </r>
    <r>
      <rPr>
        <sz val="12"/>
        <color rgb="FF0000FF"/>
        <rFont val="Arial"/>
        <family val="2"/>
        <charset val="204"/>
      </rPr>
      <t>)</t>
    </r>
    <r>
      <rPr>
        <sz val="10"/>
        <color rgb="FF0000FF"/>
        <rFont val="Arial"/>
        <family val="2"/>
        <charset val="204"/>
      </rPr>
      <t xml:space="preserve"> в рамках театрально-просветительского проекта "Внекласное чтение" 0 + (рекомендован с 3 лет)
(март 2021 года)</t>
    </r>
  </si>
  <si>
    <t>Услуги по разработке рекламных материалов</t>
  </si>
  <si>
    <t>ИП Овчинников И.А.</t>
  </si>
  <si>
    <t>ООО "СУРГУТЛАК"</t>
  </si>
  <si>
    <t>Счет-фактура №КА-521 от 11.02.2021</t>
  </si>
  <si>
    <t>материальные запасы (краски, шпаклевки, клеи, морилки, колеры, лаки)</t>
  </si>
  <si>
    <t>Приобретение материальных запасов (бутилированная питьевая вода)</t>
  </si>
  <si>
    <t>Приобретение материальных запасов (прочие)</t>
  </si>
  <si>
    <t>Поставка бутилированной питьевой воды</t>
  </si>
  <si>
    <t>Приобретение расходных электроматериалов (провод, розетки, вилки, изотента)</t>
  </si>
  <si>
    <t>ИП Казанцев А.Н.</t>
  </si>
  <si>
    <t>сч на 2409,00</t>
  </si>
  <si>
    <t>Услуги режиссера-постановщика по организации постановки спектакля</t>
  </si>
  <si>
    <t>Субсидия автономному учреждению МАУ "ТАиК "Петрушка" на финансовое обеспечение муниципального задания на оказание муниципальных услуг</t>
  </si>
  <si>
    <t>№0000041 от 17.02.2021</t>
  </si>
  <si>
    <t>17.02.2021-31.03.2021</t>
  </si>
  <si>
    <t>№0000059 от 19.02.2021</t>
  </si>
  <si>
    <t>19.02.2021-31.03.2021</t>
  </si>
  <si>
    <t>Приобретение грима профессионального театрального</t>
  </si>
  <si>
    <t>ООО "АРТЭ Грим"</t>
  </si>
  <si>
    <t>Социальные пособия и компенсации персоналу в денежной форме  (первый брак, рождение ребенка, юбилейные даты, ежеквартальная мат. помощь работникам, имеющим на иждивении ребёнка-инвалида или многодетным родителям и т.п.)</t>
  </si>
  <si>
    <r>
      <t xml:space="preserve">Социальные пособия и компенсации персоналу в денежной форме  </t>
    </r>
    <r>
      <rPr>
        <sz val="12"/>
        <color indexed="8"/>
        <rFont val="Times New Roman"/>
        <family val="1"/>
        <charset val="204"/>
      </rPr>
      <t>(первый брак, рождение ребенка, юбилейные даты, ежеквартальная мат. помощь работникам, имеющим на иждивении ребёнка-инвалида или многодетным родителям и т.п.)</t>
    </r>
  </si>
  <si>
    <t>Оплата четырех дополнительных выходных дней в месяц родителю (опекуну, попечителю) для ухода за детьми-инвалидами</t>
  </si>
  <si>
    <t>Перенос средств в рамках КОСГУ 211 в сумме 236 972,16 руб. и в рамках КОСГУ 213 в сумме 71 565,58 руб. с аналитического кода 3.04.4.02.20980.200000 на аналитический код 3.04.4.02.20980.210000 в соответствии с распоряжением Администрации города от 10.02.2021 №120 "Об утверждении справочников отраслевых кодов главного распорядителя бюджетных средств Администрации города Сургута", по заработной плате и начислениям на оплату труда персонала (внебюджетные ставки) за январь 2021 года, в целях компенсации недополученных доходов от оказания (выполнения) муниципальным учреждением платных услуг (работ) в рамках муниципального задания при сокращении объема доходов от оказания (выполнения) платных услуг (работ), учтенного при определении объема субсидии на финансовое обеспечение выполнения муниципального задания, в связи с невозможностью оказания (выполнения) муниципальных услуг (работ) за плату в случае введения ограничительных мероприятий в условиях чрезвычайной ситуации, режима повышенной готовности и (или) при возникновении угрозы распространения заболеваний, представляющих опасность для окружающих.
Также с КОСГУ 213 с аналитическим кодом 3.04.4.02.20980.200000 перенос средств в сумме 250 000,00 руб. на КОСГУ 266 в части оплаты четырех дополнительных выходных дней в месяц родителю (опекуну, попечителю) для ухода за детьми-инвалидами, в связи с поступившим обращением от работников учреждения по данной выплате.</t>
  </si>
  <si>
    <t>Перенос средств в сумме 250 000,00 руб. с КОСГУ 213 с аналитическим кодом 3.04.4.02.20980.200000  на КОСГУ 266 в части оплаты четырех дополнительных выходных дней в месяц родителю (опекуну, попечителю) для ухода за детьми-инвалидами, в связи с поступившим обращением от работников учреждения по данной выплате.</t>
  </si>
  <si>
    <t>снял с техФил</t>
  </si>
  <si>
    <t>Приобретение мягкого инвентаря для показа текущего репертуара (колготки, носки, футболки)</t>
  </si>
  <si>
    <t>Приобретение антистатика 20 шт. и смягчитель для стирки Ленор 3 шт. в рамках показа спектаклей текущего репертуара</t>
  </si>
  <si>
    <t>Приобретение мягкого инвентаря для показа текущего репертуара (обувь)</t>
  </si>
  <si>
    <t>Приобретение одноразовых стаканчиков для обеспечения питьевого режима</t>
  </si>
  <si>
    <t>Приобретение внешнего жесткого диска на 4ТБ для хранения видеоматерала</t>
  </si>
  <si>
    <t>Приобретение стремянки</t>
  </si>
  <si>
    <t>Приобретение материальных запасов (спецодежда, мягкий инвентарь)</t>
  </si>
  <si>
    <t>Приобретение материальных запасов (БСО)</t>
  </si>
  <si>
    <t>Приобретение материальных запасов (НГ подарки)</t>
  </si>
  <si>
    <r>
      <rPr>
        <sz val="10"/>
        <color rgb="FFC00000"/>
        <rFont val="Arial"/>
        <family val="2"/>
        <charset val="204"/>
      </rPr>
      <t>Ежеквартальная</t>
    </r>
    <r>
      <rPr>
        <sz val="10"/>
        <color rgb="FF0000FF"/>
        <rFont val="Arial"/>
        <family val="2"/>
        <charset val="204"/>
      </rPr>
      <t xml:space="preserve"> материальная помощь работникам, находящимся в отпуске</t>
    </r>
    <r>
      <rPr>
        <sz val="10"/>
        <color rgb="FFC00000"/>
        <rFont val="Arial"/>
        <family val="2"/>
        <charset val="204"/>
      </rPr>
      <t xml:space="preserve"> по уходу за ребенком до </t>
    </r>
    <r>
      <rPr>
        <sz val="10"/>
        <color rgb="FF0000FF"/>
        <rFont val="Arial"/>
        <family val="2"/>
        <charset val="204"/>
      </rPr>
      <t xml:space="preserve">достижения им возраста </t>
    </r>
    <r>
      <rPr>
        <sz val="10"/>
        <color rgb="FFC00000"/>
        <rFont val="Arial"/>
        <family val="2"/>
        <charset val="204"/>
      </rPr>
      <t>трёх лет</t>
    </r>
  </si>
  <si>
    <r>
      <t>Единовременное вознаграждение при прекращении трудовых отношений</t>
    </r>
    <r>
      <rPr>
        <sz val="10"/>
        <color rgb="FFC00000"/>
        <rFont val="Arial"/>
        <family val="2"/>
        <charset val="204"/>
      </rPr>
      <t xml:space="preserve"> в связи с выходом на пенсию</t>
    </r>
    <r>
      <rPr>
        <sz val="10"/>
        <color rgb="FF0000FF"/>
        <rFont val="Arial"/>
        <family val="2"/>
        <charset val="204"/>
      </rPr>
      <t xml:space="preserve"> по старости впервые</t>
    </r>
  </si>
  <si>
    <t>Перенос средств в размере 6000 руб. с КОСГУ 211 на КОСГУ 266, относящихся к ежеквартальной материальной помощи работникам, находящимся в отпуске по уходу за ребенком до достижения им возраста трёх лет.
В рамках КОСГУ 266 в сумме 156 570,48 руб. изменение КВР 112 на КВР 111 в части единовременного вознаграждения работнику при прекращении трудовых отношений в связи с выходом на пенсию по старости впервые.</t>
  </si>
  <si>
    <r>
      <t xml:space="preserve">Оплата </t>
    </r>
    <r>
      <rPr>
        <b/>
        <sz val="12"/>
        <color rgb="FFC00000"/>
        <rFont val="Times New Roman"/>
        <family val="1"/>
        <charset val="204"/>
      </rPr>
      <t>четырех дополнительных выходных дней в месяц</t>
    </r>
    <r>
      <rPr>
        <b/>
        <sz val="12"/>
        <color indexed="8"/>
        <rFont val="Times New Roman"/>
        <family val="1"/>
        <charset val="204"/>
      </rPr>
      <t xml:space="preserve"> родителю (опекуну, попечителю)</t>
    </r>
    <r>
      <rPr>
        <b/>
        <sz val="12"/>
        <color rgb="FFC00000"/>
        <rFont val="Times New Roman"/>
        <family val="1"/>
        <charset val="204"/>
      </rPr>
      <t xml:space="preserve"> для ухода за детьми-инвалидами</t>
    </r>
  </si>
  <si>
    <t>0</t>
  </si>
  <si>
    <t>Приобретение основных средств</t>
  </si>
  <si>
    <t>Приобретение антискользящего напольного покрытия в фойе</t>
  </si>
  <si>
    <t xml:space="preserve">квр поменять на 111 Снаия </t>
  </si>
  <si>
    <r>
      <t>Социальные пособия и компенсации персоналу в денежной форме  (</t>
    </r>
    <r>
      <rPr>
        <sz val="10"/>
        <color rgb="FFC00000"/>
        <rFont val="Arial"/>
        <family val="2"/>
        <charset val="204"/>
      </rPr>
      <t xml:space="preserve">три дня нетрудоспособности </t>
    </r>
    <r>
      <rPr>
        <sz val="10"/>
        <color rgb="FF0000FF"/>
        <rFont val="Arial"/>
        <family val="2"/>
        <charset val="204"/>
      </rPr>
      <t>за счет работодателя)</t>
    </r>
  </si>
  <si>
    <r>
      <rPr>
        <b/>
        <sz val="12"/>
        <rFont val="Times New Roman"/>
        <family val="1"/>
        <charset val="204"/>
      </rPr>
      <t>Социальные пособия и компенсации персоналу в денежной форме  (</t>
    </r>
    <r>
      <rPr>
        <b/>
        <sz val="12"/>
        <color rgb="FFC00000"/>
        <rFont val="Times New Roman"/>
        <family val="1"/>
        <charset val="204"/>
      </rPr>
      <t xml:space="preserve">три дня нетрудоспособности </t>
    </r>
    <r>
      <rPr>
        <b/>
        <sz val="12"/>
        <rFont val="Times New Roman"/>
        <family val="1"/>
        <charset val="204"/>
      </rPr>
      <t xml:space="preserve">за счет работодателя, в отпуске </t>
    </r>
    <r>
      <rPr>
        <b/>
        <sz val="12"/>
        <color rgb="FFC00000"/>
        <rFont val="Times New Roman"/>
        <family val="1"/>
        <charset val="204"/>
      </rPr>
      <t>по уходу за ребенком до трёх лет</t>
    </r>
    <r>
      <rPr>
        <b/>
        <sz val="12"/>
        <rFont val="Times New Roman"/>
        <family val="1"/>
        <charset val="204"/>
      </rPr>
      <t xml:space="preserve">, </t>
    </r>
    <r>
      <rPr>
        <b/>
        <sz val="12"/>
        <color rgb="FFC00000"/>
        <rFont val="Times New Roman"/>
        <family val="1"/>
        <charset val="204"/>
      </rPr>
      <t>выход на пенсию</t>
    </r>
    <r>
      <rPr>
        <b/>
        <sz val="12"/>
        <rFont val="Times New Roman"/>
        <family val="1"/>
        <charset val="204"/>
      </rPr>
      <t xml:space="preserve"> впервые)</t>
    </r>
  </si>
  <si>
    <t>Социальные пособия и компенсации персоналу в денежной форме  (три дня нетрудоспособности за счет работодателя, в отпуске по уходу за ребенком до трёх лет, выход на пенсию впервые)</t>
  </si>
  <si>
    <t>Прочие работы, услуги (за исключением охраны)</t>
  </si>
  <si>
    <t>№11/21 от 24.02.2021</t>
  </si>
  <si>
    <t>24.02.2021-15.04.2021</t>
  </si>
  <si>
    <t>Приобретение аптечки первой помощи работникам</t>
  </si>
  <si>
    <t>В связи с включением в муниципальное задание услуги показ спектаклей в стационаре, количество показов на площадке Филармонии сократится, что повлечет уменьшение затрат в размере 228 988,11 руб. на услугах  по техническому сопровождению  мероприятий в МАУ "Сургутская филармония". Освободившиеся средства по КОСГУ 226 в сумме 228 988,11 руб. перераспределяется для покрытия расходов в рамках текущей деятельности:
   - на КОСГУ 291 в сумме 4 827,11 руб. для оплаты экологического налога за первый квартал 2020 года, когда театр находился в здании кинотеатра "Аврора" (пр.Ленина, д.47);
   - на КОСГУ 310 в сумме 64 790,00 руб. для приобретения антискользящего напольного покрытия в фойе (для исключения травм посетителей) и стремянки в костюмерную (ранее отсутвовала, требуется в связи с высоким расположением костюмов в костюмерной в два уровня);
    - на КОСГУ 342 в сумме 12 350,00 руб. для приобретения бутилированной питьевой воды в целях обеспечения питьевого режима для посетителей театра;
   - на КОСГУ 346 в сумме 78 320,00 руб. на приобретение материальных запасов (прочие): одноразовые стаканчики для обеспечения питьевого режима посетителей театра, профессиональный грим, аптечка первой помощи работникам, провода, розетки, жесткие диски для работы с видеоматериалом, бытовая химия для стирки и ухода за сценической одеждой и т.п.;
   - на КОСГУ 345 в сумме 68 700,00 руб. для обновления одежды и обуви используемой в спектаклях текущего репертуара.</t>
  </si>
  <si>
    <t>Услуги драматурга (автор инсценировки) по организации постановки спектакля</t>
  </si>
  <si>
    <t>ФЛ Чураева С.Р.</t>
  </si>
  <si>
    <t>Услуги композитора по организации постановки спектакля</t>
  </si>
  <si>
    <t>Перенос средств в рамках КОСГУ 223 в размере 965 221,10 руб. с КВР 247 на КВР 244, согласно дополнительному пояснению (письмо УБУиО от 20.01.2021 № 20-02-133/1) по отражению стоимости коммунальных услуг по электроэнергии и теплоснабжению для возмещения арендодателю.</t>
  </si>
  <si>
    <t>Перенос средств в рамках КОСГУ 223 в размере 177 188,92 руб. с КВР 247 на КВР 244, согласно дополнительному пояснению (письмо УБУиО от 20.01.2021 № 20-02-133/1) по отражению стоимости коммунальных услуг по электроэнергии и теплоснабжению для возмещения арендодателю.</t>
  </si>
  <si>
    <t>Услуги по изготовлению и размещению рекламной продукции в лифтах многоквартирных домов</t>
  </si>
  <si>
    <t>12-Р от24.2.2021</t>
  </si>
  <si>
    <t>24.02.2021-31.05.2021</t>
  </si>
  <si>
    <t>Счет-фактура №АНКм-000232 от 24.02.2021</t>
  </si>
  <si>
    <t>Услуги по изготовлению костюмов</t>
  </si>
  <si>
    <t>ИП Балашов Е.В.</t>
  </si>
  <si>
    <t>материальные запасы (фанера, трба профильная, пенополистирол, болты, гайки)</t>
  </si>
  <si>
    <t>ООО "КБГ"</t>
  </si>
  <si>
    <t>Счет-фактура №КБГ00005447 и №КБГ0000549 от 18.02.2021</t>
  </si>
  <si>
    <t>копия ОК</t>
  </si>
  <si>
    <t>ООО "УралСиб Девелопмент</t>
  </si>
  <si>
    <t>Счет-фактура №4241, №4242, №4243 от 18.02.2021</t>
  </si>
  <si>
    <t>материальные запасы (колеса, колесные опоры, блоки, ручки-кнопки, петтли, шпагат, саморезы, магниты)</t>
  </si>
  <si>
    <t>снять копии исправленые Счет-фактур</t>
  </si>
  <si>
    <t>материальные запасы (алебастр)</t>
  </si>
  <si>
    <t>№7 от 20.02.2021</t>
  </si>
  <si>
    <t>материальные запасы (изолон)</t>
  </si>
  <si>
    <t>материальные запасы (Остаток)</t>
  </si>
  <si>
    <t>№8 от 26.02.2021</t>
  </si>
  <si>
    <t>ООО "КитМаркет"</t>
  </si>
  <si>
    <t>Счет №215 от 01.03.2021</t>
  </si>
  <si>
    <t>материальные запасы (светодиоды, электродвигатель, батарейный отсек, переключатель, фонари, провод, термоусадочная трубка)</t>
  </si>
  <si>
    <t>ИП Бережной Л.А.</t>
  </si>
  <si>
    <t>Счет-фактура №31 от 25.02.2021</t>
  </si>
  <si>
    <t xml:space="preserve">нет копии товарной накладной </t>
  </si>
  <si>
    <t>Платежки</t>
  </si>
  <si>
    <r>
      <t>огнезащитная обработка декораций</t>
    </r>
    <r>
      <rPr>
        <b/>
        <sz val="10"/>
        <color rgb="FF0000FF"/>
        <rFont val="Arial"/>
        <family val="2"/>
        <charset val="204"/>
      </rPr>
      <t xml:space="preserve"> 
</t>
    </r>
    <r>
      <rPr>
        <b/>
        <sz val="10"/>
        <color rgb="FF993300"/>
        <rFont val="Arial"/>
        <family val="2"/>
        <charset val="204"/>
      </rPr>
      <t>(Загадка козьей хатки)</t>
    </r>
  </si>
  <si>
    <t>Услуги  по обслуживанию спектаклей при проведении мероприятий в МАУ "Сургутская филармония"</t>
  </si>
  <si>
    <t>03/21 от 10.02.21 на 46262,96 (14.02.021-28.02.2021)
04/21 от 01.03.21 на 74344,04 (07.03.2021-28.03.2021)</t>
  </si>
  <si>
    <t>(14.02.021-28.02.2021) и (07.03.2021-28.03.2021)</t>
  </si>
  <si>
    <t>12/21 от 02.03.2021</t>
  </si>
  <si>
    <t>АО "Первый"</t>
  </si>
  <si>
    <t>02.03.2021-30.04.2021</t>
  </si>
  <si>
    <t>Счет-фактура №1\РНк-0000071 от 01.03.2021</t>
  </si>
  <si>
    <t>ИП Кожуркин И.С.</t>
  </si>
  <si>
    <t>материальные запасы (грунт, краски, картон, магниты, текстурная паста)</t>
  </si>
  <si>
    <t>Приобретение жесткого диска на 1ТБ для работы с видеоматериалом на выезде</t>
  </si>
  <si>
    <t>Услуги по проведению оценки качества огнезащитной обработки</t>
  </si>
  <si>
    <t>Корект +1</t>
  </si>
  <si>
    <t>Корект -1</t>
  </si>
  <si>
    <t>СИ-ОЦИ</t>
  </si>
  <si>
    <t>6/21 от 01.03.2021</t>
  </si>
  <si>
    <t>01.03.2021-31.05.2021</t>
  </si>
  <si>
    <t>ООО "Западно-Сибирский центр технических систем безопасности и экспертиз" (ООО "ЗАПСИБЦТСиЭ")</t>
  </si>
  <si>
    <t>СЗ Штырляева О.В.</t>
  </si>
  <si>
    <t>13/21 от 09.03.2021</t>
  </si>
  <si>
    <t>09.03.2021-31.07.2021</t>
  </si>
  <si>
    <t>Поставка полиграфической продукции (баннер, листовки А6, текущий репертуар)</t>
  </si>
  <si>
    <t>к -2</t>
  </si>
  <si>
    <t>к +2</t>
  </si>
  <si>
    <t>ИП Каракулиди Р.В.</t>
  </si>
  <si>
    <t>ИП Захарко В.И.</t>
  </si>
  <si>
    <t>Услуги по настройке, информационно-техническому обслуживанию онлайн-кассы и переадресации ККТ (3 кассовых аппарата)</t>
  </si>
  <si>
    <t>КС-286 от 01.03.2021</t>
  </si>
  <si>
    <t>01.03.2021-31.07.2021</t>
  </si>
  <si>
    <r>
      <t>Услуги по реализации билетов   (электронных билетов) через сайт</t>
    </r>
    <r>
      <rPr>
        <sz val="10"/>
        <color rgb="FFC00000"/>
        <rFont val="Arial"/>
        <family val="2"/>
        <charset val="204"/>
      </rPr>
      <t xml:space="preserve"> https://quicktickets.ru</t>
    </r>
    <r>
      <rPr>
        <sz val="10"/>
        <color rgb="FF0000FF"/>
        <rFont val="Arial"/>
        <family val="2"/>
        <charset val="204"/>
      </rPr>
      <t xml:space="preserve"> в сети Интернет</t>
    </r>
  </si>
  <si>
    <t>К +3</t>
  </si>
  <si>
    <t>коррект
К -3</t>
  </si>
  <si>
    <t>ООО "Гриф Т"</t>
  </si>
  <si>
    <t>45-А-21 от 29.01.2021</t>
  </si>
  <si>
    <t>29.01.2021-31.12.2021</t>
  </si>
  <si>
    <t>ООО "Уралпак"</t>
  </si>
  <si>
    <t>Счет-фактура №С-001237 от 02.03.2021</t>
  </si>
  <si>
    <t>ООО "Апогей КРД"</t>
  </si>
  <si>
    <t>АБК-2002586ио от 01.01.2021</t>
  </si>
  <si>
    <t>К +1</t>
  </si>
  <si>
    <t>№12 от 09.03.2021</t>
  </si>
  <si>
    <t>материальные запасы (ткань и швейые принадлежности )</t>
  </si>
  <si>
    <t>ИП Шабалина О.И.</t>
  </si>
  <si>
    <t>№11 от 05.03.2021</t>
  </si>
  <si>
    <t>материальные запасы (фанера, труба профильная, пенополистирол, болты, гайки)</t>
  </si>
  <si>
    <t>К+4</t>
  </si>
  <si>
    <r>
      <t>Услуги по реализации билетов (электронных билетов) через сайт</t>
    </r>
    <r>
      <rPr>
        <sz val="10"/>
        <color rgb="FFC00000"/>
        <rFont val="Arial"/>
        <family val="2"/>
        <charset val="204"/>
      </rPr>
      <t xml:space="preserve"> https://quicktickets.ru</t>
    </r>
    <r>
      <rPr>
        <sz val="10"/>
        <color rgb="FF0000FF"/>
        <rFont val="Arial"/>
        <family val="2"/>
        <charset val="204"/>
      </rPr>
      <t xml:space="preserve"> в сети Интернет</t>
    </r>
  </si>
  <si>
    <t>Возмещение мед. комиссии Шаповаловой Л.В.</t>
  </si>
  <si>
    <t>Возмещение мед. комиссии Мулачанов Р.Р.</t>
  </si>
  <si>
    <t>К+5</t>
  </si>
  <si>
    <t>К-5</t>
  </si>
  <si>
    <t>авансовый Шаповаловой Л.В.</t>
  </si>
  <si>
    <t>9 от 03.03.2021</t>
  </si>
  <si>
    <t xml:space="preserve">Услуги по сопровождению и модернизации сайта </t>
  </si>
  <si>
    <t>ООО "Атон-Техносферная Безопасность и Охрана Труда</t>
  </si>
  <si>
    <t>К +6</t>
  </si>
  <si>
    <t>Услуги по проведению оценки профессиональных рисков в учреждении</t>
  </si>
  <si>
    <t>Монтажные и пусконаладочные работы системы охранного телевидения (СОТ) (антитеррор)</t>
  </si>
  <si>
    <t>К +7</t>
  </si>
  <si>
    <t>Приобретение видеорегистратора  HDCVI и видеокамеры HDCVI (антитеррор)</t>
  </si>
  <si>
    <t>К+9</t>
  </si>
  <si>
    <t>Приобретение жесткого диска на 4ТБ для хранения видеоматерала</t>
  </si>
  <si>
    <t>Приобретение жесткого диска на 8ТБ для хранения видеозаписей (антитеррор)</t>
  </si>
  <si>
    <t>ИП Гордеев А.А.</t>
  </si>
  <si>
    <t>ООО "Субос"</t>
  </si>
  <si>
    <t>авансовый №2 от 04.02.2021</t>
  </si>
  <si>
    <t>Авансовый Тереньевой А.А.</t>
  </si>
  <si>
    <r>
      <t>Сумма расходов на 2021 год</t>
    </r>
    <r>
      <rPr>
        <b/>
        <sz val="11"/>
        <color rgb="FFFF0000"/>
        <rFont val="Calibri"/>
        <family val="2"/>
        <charset val="204"/>
        <scheme val="minor"/>
      </rPr>
      <t xml:space="preserve"> (по утвержденному ПФХД)</t>
    </r>
  </si>
  <si>
    <t>авансовый №14 от 15.03.2021</t>
  </si>
  <si>
    <t>материальные запасы (ткань и швейные принадлежности)</t>
  </si>
  <si>
    <t>ООО "Стиль и мода"</t>
  </si>
  <si>
    <t>платежки и копии</t>
  </si>
  <si>
    <t>Услуги драматурга по созданию инсценировки</t>
  </si>
  <si>
    <t>12-21 от 01.03.2021</t>
  </si>
  <si>
    <t>14 от 05.03.2021</t>
  </si>
  <si>
    <t>05.03.2021-31.05.2021</t>
  </si>
  <si>
    <t>авансовый МулачановаР.Р.</t>
  </si>
  <si>
    <t>15 от 16.03.2021</t>
  </si>
  <si>
    <t>счет № от 17.03.2021</t>
  </si>
  <si>
    <t>3/21-О от 12.03.2021</t>
  </si>
  <si>
    <t>12.03.2021-31.05.2021</t>
  </si>
  <si>
    <t>21 от 15.03.2021</t>
  </si>
  <si>
    <t>9 от 10.03.2021</t>
  </si>
  <si>
    <t>10.03.2021-31.05.2021</t>
  </si>
  <si>
    <t>14/21 от 10.03.2021</t>
  </si>
  <si>
    <t>ФЛ Хабибуллин Т.Д.</t>
  </si>
  <si>
    <t>10.03.2021-31.07.2021</t>
  </si>
  <si>
    <t>15/21 от 10.03.2021</t>
  </si>
  <si>
    <t>01 от 02.02.2021</t>
  </si>
  <si>
    <t>02.02.2021-31.05.021</t>
  </si>
  <si>
    <t>Услуги по настройке и подключению программно-аппаратного комплекса (онлайн-кассы) для формирования и передачи фискальных данных о выполненных кассовых операциях (3 кассовых аппарата)</t>
  </si>
  <si>
    <t>ООО "Палитра"</t>
  </si>
  <si>
    <t>счет №38 от 27.01.2021</t>
  </si>
  <si>
    <t>Приобретение расходных материалов (подставка для пишущих принадлежностей)</t>
  </si>
  <si>
    <t>2472/СОУТ-21 от 12.03.2021</t>
  </si>
  <si>
    <t>12.03.2021-31.12.2021</t>
  </si>
  <si>
    <t>ООО "НИИ Техэкспертиза"</t>
  </si>
  <si>
    <t>16/21 от 26.03.2021</t>
  </si>
  <si>
    <t>26.03.2021-31.12.2021</t>
  </si>
  <si>
    <t>Поставка расходных материалов для крепления и подключения звукового и светового оборудования</t>
  </si>
  <si>
    <t>ООО "ВИДАУ СИСТЕМС"</t>
  </si>
  <si>
    <t>15/21 от 24.03.2021</t>
  </si>
  <si>
    <t>24.03.2021-31.07.2021</t>
  </si>
  <si>
    <t>Приобретение утюга (для глажки деликатных тканей)</t>
  </si>
  <si>
    <t>к+9</t>
  </si>
  <si>
    <t>маг DNS</t>
  </si>
  <si>
    <r>
      <t>Единовременная маериальная помощь работнику</t>
    </r>
    <r>
      <rPr>
        <sz val="10"/>
        <color rgb="FFC00000"/>
        <rFont val="Arial"/>
        <family val="2"/>
        <charset val="204"/>
      </rPr>
      <t xml:space="preserve"> в связи со смертью родственника</t>
    </r>
  </si>
  <si>
    <t>К+15</t>
  </si>
  <si>
    <t>к+16</t>
  </si>
  <si>
    <t>к-16</t>
  </si>
  <si>
    <t>к+17</t>
  </si>
  <si>
    <t>01/21 от 11.01.2021</t>
  </si>
  <si>
    <t>11.01.2020-31.08.2020</t>
  </si>
  <si>
    <r>
      <rPr>
        <sz val="10"/>
        <rFont val="Arial"/>
        <family val="2"/>
        <charset val="204"/>
      </rPr>
      <t xml:space="preserve">Создание кукольного спектакля малой формы </t>
    </r>
    <r>
      <rPr>
        <b/>
        <sz val="12"/>
        <rFont val="Arial"/>
        <family val="2"/>
        <charset val="204"/>
      </rPr>
      <t xml:space="preserve">«Царевна-лягушка» </t>
    </r>
    <r>
      <rPr>
        <i/>
        <sz val="10"/>
        <rFont val="Arial"/>
        <family val="2"/>
        <charset val="204"/>
      </rPr>
      <t>(первоначальное название «Лягушка-царевна»)</t>
    </r>
    <r>
      <rPr>
        <sz val="10"/>
        <rFont val="Arial"/>
        <family val="2"/>
        <charset val="204"/>
      </rPr>
      <t xml:space="preserve"> 0 + (рекомендован с 4 лет)
(июнь 2021 года)</t>
    </r>
  </si>
  <si>
    <t>пустая строка (ОСТАТОК)</t>
  </si>
  <si>
    <t>Поставка полиграфической продукции (баннер, листовки А0, А1, А4, А6, текущий репертуар)</t>
  </si>
  <si>
    <t>14.02.2021-28.02.2021,
07.03.2021-28.03.2021,
01.04.2021-31.05.2021,</t>
  </si>
  <si>
    <t>28.01.2021-31.03.2021,
29.03.2021-30.06.2021</t>
  </si>
  <si>
    <t>08/21 от 28.01.2021 на 31640,00
17/21 от 29.03.2021 на 12962,50</t>
  </si>
  <si>
    <t>6/21 от 01.03.2021,
10/21 от 29.03.2021</t>
  </si>
  <si>
    <t>01.03.2021-31.05.2021,
29.03.2021-30.06.2021</t>
  </si>
  <si>
    <t>Приобретение расходных материалов (батарейки 150 шт.)</t>
  </si>
  <si>
    <t>Услуги санитарной обработки кулеров для воды (2 шт.)</t>
  </si>
  <si>
    <t>счет  №ЦБ-1719 от 31.03.2021</t>
  </si>
  <si>
    <t>ООО "Северная Чистая Вода"</t>
  </si>
  <si>
    <t>к+18</t>
  </si>
  <si>
    <r>
      <t xml:space="preserve">Огнезащитная обработка декораций спектакля </t>
    </r>
    <r>
      <rPr>
        <b/>
        <sz val="10"/>
        <color rgb="FF993300"/>
        <rFont val="Arial"/>
        <family val="2"/>
        <charset val="204"/>
      </rPr>
      <t>"Золотой ключик или приключения Буратино"</t>
    </r>
    <r>
      <rPr>
        <sz val="10"/>
        <color rgb="FF0000FF"/>
        <rFont val="Arial"/>
        <family val="2"/>
        <charset val="204"/>
      </rPr>
      <t xml:space="preserve"> (текущий репертуар)</t>
    </r>
  </si>
  <si>
    <t>4/21-О от 29.03.2021</t>
  </si>
  <si>
    <t>29.03.2021-30.06.2021</t>
  </si>
  <si>
    <t>Терентьева А.А.</t>
  </si>
  <si>
    <t>авансовый №10 от 03.03.2021</t>
  </si>
  <si>
    <t>Приобретение расходных материалов (уголок, шайба)</t>
  </si>
  <si>
    <t>Авансовый Дремин А.А.</t>
  </si>
  <si>
    <t>авансовый №1 от 22.01.2021</t>
  </si>
  <si>
    <t>к+21</t>
  </si>
  <si>
    <t>Приобретение печатной продукции (книга ФЗ, проспект защиты прав потребителей)</t>
  </si>
  <si>
    <t>авансовый №10 от 03.02.2021</t>
  </si>
  <si>
    <t>к+25</t>
  </si>
  <si>
    <t>Приобретение расходных материалов (ключ комбинированный - 6 шт.)</t>
  </si>
  <si>
    <t>авансовый №17 от 02.04.2021</t>
  </si>
  <si>
    <t>к+26</t>
  </si>
  <si>
    <r>
      <t>приобретение канцелярских товаров (офисная бумага А4, через единую информационную систему в сфере закупок</t>
    </r>
    <r>
      <rPr>
        <sz val="10"/>
        <color rgb="FF993300"/>
        <rFont val="Arial"/>
        <family val="2"/>
        <charset val="204"/>
      </rPr>
      <t xml:space="preserve"> https://zakupki.gov.ru</t>
    </r>
    <r>
      <rPr>
        <sz val="10"/>
        <color rgb="FF0000FF"/>
        <rFont val="Arial"/>
        <family val="2"/>
        <charset val="204"/>
      </rPr>
      <t>)</t>
    </r>
  </si>
  <si>
    <t>к+30</t>
  </si>
  <si>
    <t>к+29</t>
  </si>
  <si>
    <t>через Аукцион</t>
  </si>
  <si>
    <t>Услуги по переходу с 1С:Бухгалтерия государственного учреждения с версии 1.0 на версию 2.0, настройка онлайн-кассы в 1С:Бухгалтерия государственного учреждения  версии 2.0</t>
  </si>
  <si>
    <t>№2 от 29.03.2021</t>
  </si>
  <si>
    <t>29.03.2021-31.12.2021</t>
  </si>
  <si>
    <t>Приобретение полиграфической продукции (книга отзывов - 2 шт.)</t>
  </si>
  <si>
    <t>ООО "Печатный мир г. Сургут"</t>
  </si>
  <si>
    <t>ТЮ0425/Е от 29.03.2021</t>
  </si>
  <si>
    <t>29.03.2021-31.07.2021</t>
  </si>
  <si>
    <t>материальные запасы (гипс, шпаклевка)</t>
  </si>
  <si>
    <t>материальные запасы (запарник 13л с пластиковой вставкой, сито)</t>
  </si>
  <si>
    <t>ООО "Надо Маркет"</t>
  </si>
  <si>
    <t>материальные запасы (трубы, колесные опоры, петли, муфты, швеллер, брезент, штангодержатель, поролон, шнур, гвозди, саморезы, заклепки, гайки, винты, болты)</t>
  </si>
  <si>
    <t>ООО "УралСиб Девелопмент"</t>
  </si>
  <si>
    <t>материальные запасы (поликорбонат, фанера, трубы, пенополистирол)</t>
  </si>
  <si>
    <t>материальные запасы (цветы декоративные, искусственые ветки)</t>
  </si>
  <si>
    <t>авансовый №18 от 12.04.2021</t>
  </si>
  <si>
    <t>19/21 от 12.04.2021</t>
  </si>
  <si>
    <t>12.04.2021-31.08.2021 копия ОК</t>
  </si>
  <si>
    <t>20/21 от 12.04.2021</t>
  </si>
  <si>
    <r>
      <rPr>
        <i/>
        <sz val="10"/>
        <rFont val="Arial"/>
        <family val="2"/>
        <charset val="204"/>
      </rPr>
      <t xml:space="preserve">12.04.2021-31.08.2021 </t>
    </r>
    <r>
      <rPr>
        <i/>
        <sz val="10"/>
        <color rgb="FFFF0000"/>
        <rFont val="Arial"/>
        <family val="2"/>
        <charset val="204"/>
      </rPr>
      <t>третье коммрч со строит технологиями копию</t>
    </r>
  </si>
  <si>
    <t>по документу</t>
  </si>
  <si>
    <t>26.03.2021-31.07.2021</t>
  </si>
  <si>
    <t>сч №56 от 10.02.21 на 2409,00, 06/21 от 26.03.2021 на 15000,00</t>
  </si>
  <si>
    <t>21 от 01.04.2021</t>
  </si>
  <si>
    <t>01.04.2021-31.12.2021</t>
  </si>
  <si>
    <t>материальные запасы (колеры, краски-колеры, клей, шпаклевка, грунт акриловый, водный лак, лента креп., скотч)</t>
  </si>
  <si>
    <t>коммерческие откопировать</t>
  </si>
  <si>
    <t>материальные запасы (грунт, калька, краски, проволока, фетр, фом эма замша)</t>
  </si>
  <si>
    <t>копии ОК</t>
  </si>
  <si>
    <t>материальные запасы (остаток)</t>
  </si>
  <si>
    <t>Приобретение станка для крепления угловой шлифовальной машины (УШМ)</t>
  </si>
  <si>
    <t>Приобретение расходных материалов (пистолет для продувки, ключ разводной, диски пильные по дереву)</t>
  </si>
  <si>
    <t>авансовый</t>
  </si>
  <si>
    <t>к+35</t>
  </si>
  <si>
    <t>к+36</t>
  </si>
  <si>
    <t>СП/1472/2817-ТТ от 24.11.2016</t>
  </si>
  <si>
    <r>
      <t>Вознаграждения за публичное исполнение фонограмм в коммерческих целях Всероссийская Организация Интеллектуальной Собственности (</t>
    </r>
    <r>
      <rPr>
        <sz val="10"/>
        <color rgb="FFC00000"/>
        <rFont val="Arial"/>
        <family val="2"/>
        <charset val="204"/>
      </rPr>
      <t>ВОИС</t>
    </r>
    <r>
      <rPr>
        <sz val="10"/>
        <color rgb="FF0000FF"/>
        <rFont val="Arial"/>
        <family val="2"/>
        <charset val="204"/>
      </rPr>
      <t>)</t>
    </r>
  </si>
  <si>
    <t>К+8</t>
  </si>
  <si>
    <t>К+10.1 и 10.2</t>
  </si>
  <si>
    <r>
      <t>Услуги по проведению оценки качества огнезащитной обработки декараций спектаклей</t>
    </r>
    <r>
      <rPr>
        <sz val="10"/>
        <color rgb="FFC00000"/>
        <rFont val="Arial"/>
        <family val="2"/>
        <charset val="204"/>
      </rPr>
      <t xml:space="preserve"> </t>
    </r>
    <r>
      <rPr>
        <b/>
        <sz val="10"/>
        <color rgb="FFC00000"/>
        <rFont val="Arial"/>
        <family val="2"/>
        <charset val="204"/>
      </rPr>
      <t>"МойДоДыр", "Алладин и волшебный светильник" и  "Сказ о Емеле, царе и щучьем волшебстве"</t>
    </r>
    <r>
      <rPr>
        <sz val="10"/>
        <color rgb="FF0000FF"/>
        <rFont val="Arial"/>
        <family val="2"/>
        <charset val="204"/>
      </rPr>
      <t xml:space="preserve"> (текущий репертуар)</t>
    </r>
  </si>
  <si>
    <r>
      <t xml:space="preserve">Приобретение цветов для артистов на премьерные спектакли </t>
    </r>
    <r>
      <rPr>
        <b/>
        <sz val="10"/>
        <color rgb="FFC00000"/>
        <rFont val="Arial"/>
        <family val="2"/>
        <charset val="204"/>
      </rPr>
      <t>"Теркин"</t>
    </r>
    <r>
      <rPr>
        <sz val="10"/>
        <color rgb="FF0000FF"/>
        <rFont val="Arial"/>
        <family val="2"/>
        <charset val="204"/>
      </rPr>
      <t xml:space="preserve"> и </t>
    </r>
    <r>
      <rPr>
        <b/>
        <sz val="10"/>
        <color rgb="FFC00000"/>
        <rFont val="Arial"/>
        <family val="2"/>
        <charset val="204"/>
      </rPr>
      <t>"Фабрика слов"</t>
    </r>
  </si>
  <si>
    <r>
      <t xml:space="preserve">Приобретение материальных запасов </t>
    </r>
    <r>
      <rPr>
        <sz val="10"/>
        <color rgb="FFC00000"/>
        <rFont val="Arial"/>
        <family val="2"/>
        <charset val="204"/>
      </rPr>
      <t>(НГ подарки)</t>
    </r>
  </si>
  <si>
    <t>к+37</t>
  </si>
  <si>
    <t>материальные запасы (электроды)</t>
  </si>
  <si>
    <t>авансовый №19 от 15.04.2021</t>
  </si>
  <si>
    <t>21/21 от 14.04.2021</t>
  </si>
  <si>
    <t>14.04.2021-31.07.2021</t>
  </si>
  <si>
    <r>
      <t xml:space="preserve">Прочие несоциальные выплаты персоналу </t>
    </r>
    <r>
      <rPr>
        <sz val="12"/>
        <color indexed="8"/>
        <rFont val="Times New Roman"/>
        <family val="1"/>
        <charset val="204"/>
      </rPr>
      <t xml:space="preserve"> (суточные)</t>
    </r>
  </si>
  <si>
    <t>Суточные</t>
  </si>
  <si>
    <t>к+38</t>
  </si>
  <si>
    <t>Проезд, проживание в командировке, возмещение мед.комиссии</t>
  </si>
  <si>
    <r>
      <t>Прочие работы, услуги</t>
    </r>
    <r>
      <rPr>
        <sz val="12"/>
        <color indexed="8"/>
        <rFont val="Times New Roman"/>
        <family val="1"/>
        <charset val="204"/>
      </rPr>
      <t xml:space="preserve"> (проезд, проживание в командировке, возмещение мед.комиссии)</t>
    </r>
  </si>
  <si>
    <t>к+39</t>
  </si>
  <si>
    <t>Прочие работы, услуги (возмещение мед. комиссии)</t>
  </si>
  <si>
    <r>
      <rPr>
        <sz val="10"/>
        <color rgb="FF66FF66"/>
        <rFont val="Times New Roman"/>
        <family val="1"/>
        <charset val="204"/>
      </rPr>
      <t>к-29</t>
    </r>
    <r>
      <rPr>
        <sz val="10"/>
        <color rgb="FFFFFF00"/>
        <rFont val="Times New Roman"/>
        <family val="1"/>
        <charset val="204"/>
      </rPr>
      <t xml:space="preserve">
к-30</t>
    </r>
  </si>
  <si>
    <t>15.03.2021-31.05.2021</t>
  </si>
  <si>
    <t>Услуги по организации постановки спектакля  (художник-постановщик)</t>
  </si>
  <si>
    <t>Передвинуть +3000</t>
  </si>
  <si>
    <t>ИП Баджи В.И.</t>
  </si>
  <si>
    <t>ООО "СтройМатик"</t>
  </si>
  <si>
    <t>приобретение тканей и фурнитуры</t>
  </si>
  <si>
    <t>материальные запасы (багет, заклепки, гвозди)</t>
  </si>
  <si>
    <t>Услуги по организации постановки спектакля  (режиссер-постановщик и композитор)</t>
  </si>
  <si>
    <t>Председатель комитета культуры</t>
  </si>
  <si>
    <t>Администрации города</t>
  </si>
  <si>
    <t>Перенос средств в размере 6 734,00 руб. с КОСГУ 114 на КОСГУ 226 для возмещения расходов на прохождение мед. комиссии двум новым сотрудникам.</t>
  </si>
  <si>
    <r>
      <t xml:space="preserve">В связи с изменением количества показов спектаклей на площадке Сургутской филармонии (без изменения годовых объемов показателей, утвержденных муниципальным заданием), возникает экономия в размере 183 706,00 руб. по услугам на техническое сопровождение мероприятий. Экономия по КОСГУ 226 в сумме 183 706,00 руб. перераспределяется для покрытия расходов в рамках текущей деятельности:
   - на КОСГУ 310 в сумме 43 188,00 руб. для приобретения видеорегистратора  HDCVI и видеокамеры HDCVI (в рамках исполнения решения комиссии по антитеррористической деятельности), утюга (для предотвращения повреждения деликатных тканей сценических костюмов), станка для крепления угловой шлифовальной машины (УШМ) (требуется для точной нарезки угловых элементов металлических конструкций при изготовлении сложных декораций);
 </t>
    </r>
    <r>
      <rPr>
        <sz val="17"/>
        <color rgb="FFFF0000"/>
        <rFont val="Times New Roman"/>
        <family val="1"/>
        <charset val="204"/>
      </rPr>
      <t xml:space="preserve"> </t>
    </r>
    <r>
      <rPr>
        <sz val="17"/>
        <rFont val="Times New Roman"/>
        <family val="1"/>
        <charset val="204"/>
      </rPr>
      <t>- на КОСГУ 341 в сумме 1 159,00 руб. для приобретения аптечки первой помощи работникам;</t>
    </r>
    <r>
      <rPr>
        <sz val="17"/>
        <color rgb="FFFF0000"/>
        <rFont val="Times New Roman"/>
        <family val="1"/>
        <charset val="204"/>
      </rPr>
      <t xml:space="preserve">
  </t>
    </r>
    <r>
      <rPr>
        <sz val="17"/>
        <rFont val="Times New Roman"/>
        <family val="1"/>
        <charset val="204"/>
      </rPr>
      <t>- на КОСГУ 346 в сумме 72 367,00 руб. для приобретения материальных запасов: жесткого диска на 8ТБ для хранения видеозаписей (в рамках исполнения решения комиссии по антитеррористической деятельности), провода, тросика, крепления для оборудования, пистолета для продувки и дисков пильных по дереву (используются при изготовлении декораций), батареек (необходимы для функционирования переносного оборудования), ключа разводного и ключей комбинированных (интенсивно используются при сборке/разборке декораций при показах на разных площадках);
   - на КОСГУ 212 в сумме 13 300,00 руб. для оплаты суточных работникам, находящимся в служебной командировке (командировка в г. Ханты-Мансийск для участия в 17-ой Ассамблее деятелей культуры и искусства - 6 сотрудников учреждения), командировка директора и художественного руководителя в г. Тюмень для участия в VIII - Отчетно-выборной конференции Тюменского отделения Общероссийской общественной организации "Союз театральных деятелей РФ (Всероссийское театральное общество)", командировка директора в г. Москва на Вахтанговский фестиваль театральных менеджеров), командировка 5-ти сотрудников учреждения для участия в фестивале "Белое пространство";
   - на КОСГУ 226 (КВР 112) в сумме 39 692,00 руб. для оплаты проезда и проживания работникам, находящимся в служебной командировке (командировка в г. Ханты-Мансийск для участия в 17-ой Ассамблее деятелей культуры и искусства - 6 сотрудников учреждения, командировка директора и художественного руководителя в г. Тюмень для участия в VIII - Отчетно-выборной конференции Тюменского отделения Общероссийской общественной организации "Союз театральных деятелей РФ (Всероссийское театральное общество)", командировка директора в г. Москва на Вахтанговский фестиваль театральных менеджеров, командировка 5-ти сотрудников учреждения для участия в фестивале "Белое пространство");</t>
    </r>
    <r>
      <rPr>
        <sz val="17"/>
        <color rgb="FFFF0000"/>
        <rFont val="Times New Roman"/>
        <family val="1"/>
        <charset val="204"/>
      </rPr>
      <t xml:space="preserve">
  </t>
    </r>
    <r>
      <rPr>
        <sz val="17"/>
        <rFont val="Times New Roman"/>
        <family val="1"/>
        <charset val="204"/>
      </rPr>
      <t>- на КОСГУ 225 в сумме 14 000,00 руб. для огнезащитной обработки декораций одного спектакля текущего репертуара, проведения оценки качества огнезащитной обработки декораций трех спектаклей текущего репертуара и оплаты услуг по санитарной обработке кулеров для воды.</t>
    </r>
  </si>
  <si>
    <t>Прочие несоциальные выплаты персоналу  (суточные)</t>
  </si>
  <si>
    <t>Прочие работы, услуги (проезд, проживание в командировке)</t>
  </si>
  <si>
    <t>00000000000000130</t>
  </si>
  <si>
    <t>Субсидия на финансовое обеспечение муниципального задания на оказание муниципальных услуг</t>
  </si>
  <si>
    <t>Приобретение оборудования в рамках государственной программы  Ханты-Мансийского автономного округа  - Югры "Культурное пространство", согласно Cоглашению о предоставлении субсидии из бюджета субъекта Российской Федерации местному бюджету № 71876000-1-2021-009, между Департаментом культуры Ханты-Мансийского автономного округа - Югры и Администрацией города Сургута.</t>
  </si>
  <si>
    <t>Приобретение основных средств в рамках государственной программы ХМАО - Югры «Культурное пространство»</t>
  </si>
  <si>
    <t>ПОЯСНИТЕЛЬНАЯ ЗАПИСКА 
к изменениям в план финансово-хозяйственной деятельности на 2021 год 
МАУ «ТАиК «Петрушка»</t>
  </si>
  <si>
    <t>Увеличение объема субсидии по государственной программе  Ханты-Мансийского автономного округа  - Югры "Культурное пространство", согласно Cоглашению о предоставлении субсидии из бюджета субъекта Российской Федерации местному бюджету № 71876000-1-2021-009, между Департаментом культуры Ханты-Мансийского автономного округа - Югры и Администрацией города Сургута.</t>
  </si>
  <si>
    <t>За счёт приносящей доход деятельности (собственных доходов учреждения)</t>
  </si>
  <si>
    <t>За счёт субсидии на финансовое обеспечение муниципального задания на оказание муниципальных услуг</t>
  </si>
  <si>
    <t>Другие экономические санкции</t>
  </si>
  <si>
    <t>Субсидия, подлежащая возврату в бюджет города в связи с недостижением учреждением установленных на 2019 год показателей муниципального задания</t>
  </si>
  <si>
    <t>Бюджет города Сургута</t>
  </si>
  <si>
    <t>Перенос средств в размере 590 500,68 руб. с КОСГУ 349 на КОСГУ 295 для возмещения субсидии, подлежащей возврату в бюджет города в целях устранения выявленных нарушений, изложенных в представлении Контрольно-счетной палаты города, за счет планируемой экономии по расходам на приобретение сувенирной продукции и новогодних подарков (по причине сохраняющихся ограничений на проведение мероприятий, вызванных коронавирусной инфекцией).</t>
  </si>
  <si>
    <r>
      <t>Приобретение материальных запасов</t>
    </r>
    <r>
      <rPr>
        <sz val="16"/>
        <color rgb="FFFF0000"/>
        <rFont val="Times New Roman"/>
        <family val="1"/>
        <charset val="204"/>
      </rPr>
      <t xml:space="preserve"> (прочие)</t>
    </r>
  </si>
  <si>
    <r>
      <t>Приобретение материальных запасов (лекарственные препараты и материалы, применяемы</t>
    </r>
    <r>
      <rPr>
        <sz val="16"/>
        <color rgb="FFFF0000"/>
        <rFont val="Times New Roman"/>
        <family val="1"/>
        <charset val="204"/>
      </rPr>
      <t>е</t>
    </r>
    <r>
      <rPr>
        <sz val="16"/>
        <color indexed="64"/>
        <rFont val="Times New Roman"/>
        <family val="1"/>
        <charset val="204"/>
      </rPr>
      <t xml:space="preserve"> в медицинских целях)</t>
    </r>
  </si>
  <si>
    <t>Приобретение материальных запасов (лекарственные препараты и материалы, применяемые в медицинских целях)</t>
  </si>
  <si>
    <t>Услуги по обслуживанию спектаклей при проведении мероприятий в МАУ "Сургутская филармония"</t>
  </si>
  <si>
    <t>25/21 от 23.04.2021</t>
  </si>
  <si>
    <t>23.04.2021-31.07.2021</t>
  </si>
  <si>
    <t>26/21 от 11.05.2021</t>
  </si>
  <si>
    <t>11.05.2021-30.06.2021</t>
  </si>
  <si>
    <t>Царевна-лягушка</t>
  </si>
  <si>
    <t>28/05 от 17.05.2021</t>
  </si>
  <si>
    <t>17.05.2021-30.08.2021</t>
  </si>
  <si>
    <t>27/05 от 17.05.2021</t>
  </si>
  <si>
    <t>Приобретение расходных материалов (изолента, преобразователь понижающий, светодиоды, батарейные отсеки, переключатель)</t>
  </si>
  <si>
    <t>счет-фактура №78 от 14.05.2021</t>
  </si>
  <si>
    <t xml:space="preserve">К-3, К-4, 
К-6, К-7
К-8, К-9
К-15, К-35
К-36
К-10.1и10.2
к-21, к-25
к-26, к-17
к-1, к-18
к-37, 38, 39
</t>
  </si>
  <si>
    <t>Услуги по системному администрированию, администрированию баз данных и систем защиты информации</t>
  </si>
  <si>
    <t>03/21 от 10.02.21 на 46262,96 (14.02.2021-28.02.2021)
04/21 от 01.03.21 на 76652,90 (07.03.2021-30.04.2021 включая Доп №1 на 12060,06)
15/21 от 01.04.21 на 66275,80 (01.04.2021-31.05.2021)
29/21 от 11.05.21 на 96 933,01 (01.05.2021-30.06.2021)</t>
  </si>
  <si>
    <t>к-30</t>
  </si>
  <si>
    <t>авансовый Терентьева А.А., авансовый Гаврилова С.В.</t>
  </si>
  <si>
    <t>Авансовый Коптяев А.М.</t>
  </si>
  <si>
    <t>Приобретение расходных материалов (очки, лента для ограждений)</t>
  </si>
  <si>
    <t>к+1</t>
  </si>
  <si>
    <t>18/21 от 08.04.2021</t>
  </si>
  <si>
    <t>08.04.2021-31.07.2021</t>
  </si>
  <si>
    <t>материальные запасы (бруски)</t>
  </si>
  <si>
    <t>№34 от 26.05.2021</t>
  </si>
  <si>
    <t>материальные запасы (пена монтажная)</t>
  </si>
  <si>
    <t>счет-фактура №АНК-м000684 от 28.05.2021</t>
  </si>
  <si>
    <t>к+2</t>
  </si>
  <si>
    <r>
      <t xml:space="preserve">Услуги по сопросовждению спектаклей, театрализованных представлений, проводимых в </t>
    </r>
    <r>
      <rPr>
        <sz val="10"/>
        <color rgb="FFC00000"/>
        <rFont val="Arial"/>
        <family val="2"/>
        <charset val="204"/>
      </rPr>
      <t>АНО "Мультимедийный исторический парк "Моя история"</t>
    </r>
  </si>
  <si>
    <t>АНО "Мультимедийный исторический парк "Моя история"</t>
  </si>
  <si>
    <t>30/21 от 26.05.2021</t>
  </si>
  <si>
    <t>26.05.2021-31.08.2021</t>
  </si>
  <si>
    <t>ИП Рахматуллин А.У.</t>
  </si>
  <si>
    <t>материальные запасы (ОСТАТОК)</t>
  </si>
  <si>
    <t>материальные запасы (трубы профильные)</t>
  </si>
  <si>
    <t xml:space="preserve">     Перенос средств осуществляется для выплаты заработной платы и начислений на оплату труда по внебюджетным ставкам за июнь, июль, август 2021 года, за счет субсидии на финансовое обеспечение выполнения муниципального задания, в рамках компенсации недополученных доходов от оказания (выполнения) муниципальным учреждением платных услуг (работ), в период действия ограничительных мероприятий, что разрешено в соответствии с постановлением Администрации г. Сургута от 28 января 2021 г. № 626 "Об установлении отдельных особенностей финансового обеспечения муниципальных бюджетных и автономных учреждений в 2021 году". Наличие ограничительных мероприятий, подтверждается продлением режима повышенной готовности, согласно постановлению Губернатора Ханты-Мансийского АО - Югры от 9 апреля 2020 г. № 29 "О мерах по предотвращению завоза и распространения новой коронавирусной инфекции, вызванной COVID-19, в Ханты-Мансийском автономном округе - Югре" (с изм. от 25.05.2021).
     Указанные выше затраты, в соответствии с распоряжением Администрации города от 10.02.2021 № 120 "О внесении изменения в распоряжение Администрации города от 31.12.2019 № 2872 "Об утверждении справочников отраслевых кодов главного распорядителя бюджетных средств Администрации города Сургута", необходимо отражать на отраслевом коде 3.04.4.02.20980.210000. В связи с этим осуществляется перенос средств в рамках КОСГУ 211 в сумме 472 800,74 руб. и в рамках КОСГУ 213 в сумме 45 120,30 руб. с отраслевого кода 3.04.4.02.20980.200000 на отраслевой код 3.04.4.02.20980.210000.</t>
  </si>
  <si>
    <t>к-3</t>
  </si>
  <si>
    <t>к+3</t>
  </si>
  <si>
    <t>Услуги по обслуживанию программных продуктов "1С:Предприятие 8"</t>
  </si>
  <si>
    <t>2472/СОУТ-21 от 12.03.2021, Доп согл. №1 от 02.06.2021 (увеличение кол-ва раб мест до 29 и суммы на 5526,31р)</t>
  </si>
  <si>
    <t>03/21 от 10.02.21 на 46262,96 (14.02.2021-28.02.2021)
04/21 от 01.03.21 на 76652,90 (07.03.2021-30.04.2021 включая Доп №1 на 12060,06)
15/21 от 01.04.21 на 66275,80 (01.04.2021-31.05.2021)
29/21 от 11.05.21 на 96 933,01 (01.05.2021-30.06.2021)
36/21 от 08.06.2021 на 102 879,91 (08.06.2021-31.07.2021)</t>
  </si>
  <si>
    <t>14.02.2021-28.02.2021,
07.03.2021-28.03.2021,
01.04.2021-31.05.2021,
01.05.2021-30.06.2021,
08.06.2021-31.07.2021,</t>
  </si>
  <si>
    <r>
      <t xml:space="preserve">к-2
 </t>
    </r>
    <r>
      <rPr>
        <sz val="10"/>
        <color rgb="FFFFC000"/>
        <rFont val="Times New Roman"/>
        <family val="1"/>
        <charset val="204"/>
      </rPr>
      <t>денег осталось на 1-2 мес, потом нужно откуда-то передвигать сюда</t>
    </r>
  </si>
  <si>
    <t>Возмещение расходов на проезд к месту учебы</t>
  </si>
  <si>
    <t>Компенсация расходов на оплату стоимости проезда и провоза багажа к месту использования отпуска и обратно для лиц, работающих в районах Крайнего Севера и приравненных к ним местностях, и членов их семей</t>
  </si>
  <si>
    <t>Авансовый Марьянчук Е.А.</t>
  </si>
  <si>
    <t>Увеличение объема субсидии по государственной программе  Ханты-Мансийского автономного округа - Югры "Культурное пространство".</t>
  </si>
  <si>
    <t>Приобретение светового и звукового оборудования в рамках государственной программы  Ханты-Мансийского автономного округа - Югры "Культурное пространство".</t>
  </si>
  <si>
    <t>Приобретение канцелярских товаров</t>
  </si>
  <si>
    <t>Субсидия на финансовое обеспечение выполнения муниципального задания</t>
  </si>
  <si>
    <t>Увеличение объема субсидии на финансовое обеспечение выполнения муниципального задания МАУ "ТАиК "Петрушка" на 2021 год для обеспечения выплаты заработной платы и начислений на выплаты по оплате труда.</t>
  </si>
  <si>
    <t>Увеличение расходов по выплате заработной платы и начислений на выплаты по оплате труда в рамках дополнительного объема субсидии на выполнение муниципального задания.</t>
  </si>
  <si>
    <t>БЕЗ остатков прошлых лет</t>
  </si>
  <si>
    <t>БЕЗ 5-ки (4-ка + 2-ка) без прошлых лет</t>
  </si>
  <si>
    <t>31/21 от 03.06.2021</t>
  </si>
  <si>
    <t>03.06.2021-30.09.2021</t>
  </si>
  <si>
    <t>4 от 02.06.2021</t>
  </si>
  <si>
    <t>02.06.2021-31.12.2021</t>
  </si>
  <si>
    <t xml:space="preserve">08/21 от 28.01.2021 на 31640,00
17/21 от 29.03.2021 на 12962,50
32/12 от 09.06.2021 на 19745,76
</t>
  </si>
  <si>
    <t xml:space="preserve">32/12 от 09.06.2021 на 19745,76
</t>
  </si>
  <si>
    <t>28.01.2021-31.03.2021,
29.03.2021-30.06.2021,
09.06.2021-31.08.2021</t>
  </si>
  <si>
    <t>09.06.2021-31.08.2021</t>
  </si>
  <si>
    <t>авансовый №10 от 03.03.2021, 
№32 от 20.05.2021 Гаврилова С.В. на 276,50р.,
№37 от 09.06.2021 на 494,50р,
№40 от 18.06.2021 на 129,30р</t>
  </si>
  <si>
    <t>Кондратьева Е. заявление от 15.06.2021 доплата 8637р.</t>
  </si>
  <si>
    <t>Приобретение расходных материалов (краны питьевые на куллер для горячей и холодной воды)</t>
  </si>
  <si>
    <t>ООО "АКВАВИТА"</t>
  </si>
  <si>
    <t>счет №29 от 21.06.2021</t>
  </si>
  <si>
    <t>к+4</t>
  </si>
  <si>
    <t>к-1, к-4</t>
  </si>
  <si>
    <t>№41 от 22.06.2021</t>
  </si>
  <si>
    <t>30/21 от 26.05.2021
ДС №1 от 11.06.2021 на 28200р.</t>
  </si>
  <si>
    <t>сч №56 от 10.02.21 на 2409,00, 
06/21 от 26.03.2021 на 15000,00
32/21 от 10.06.2021 на 7500,00 (каптча)</t>
  </si>
  <si>
    <t>01.07.2021-31.12.2021</t>
  </si>
  <si>
    <t>33/21 от 01.07.2021 на 88908,00р.</t>
  </si>
  <si>
    <t xml:space="preserve">08/21 от 28.01.2021 на 31640,00
17/21 от 29.03.2021 на 12962,50
32/21 от 09.06.2021 на 19745,76
</t>
  </si>
  <si>
    <t>328 от 22.01.2021</t>
  </si>
  <si>
    <t>Куклаград</t>
  </si>
  <si>
    <t>3-790-2301</t>
  </si>
  <si>
    <t>ООО "НПО "Неопринт"</t>
  </si>
  <si>
    <t>ИП Пивоваров Д.К.</t>
  </si>
  <si>
    <t>материальные запасы (краска, клей)</t>
  </si>
  <si>
    <t>материальные запасы (барашки, колесики, петли)</t>
  </si>
  <si>
    <t>счет №15436 от 17.06.2021</t>
  </si>
  <si>
    <t>материальные запасы (клей)</t>
  </si>
  <si>
    <t>счет №КА-4476 от 21.06.2021</t>
  </si>
  <si>
    <t>счет №КА-3873 от 04.06.2021</t>
  </si>
  <si>
    <t>ООО "Строительный Двор"</t>
  </si>
  <si>
    <t>счет №1013418136 от 22.06.2021</t>
  </si>
  <si>
    <t>материальные запасы (фанера, пенополистирол)</t>
  </si>
  <si>
    <t>28.06.2021-31.08.2021</t>
  </si>
  <si>
    <t>№29/05 от 17.06.2021,
ДС №1 о продлении срока до 30.07.2021</t>
  </si>
  <si>
    <t>Услуги по предоставлению неисключительного права использования базы данных - Электронной системы "Культура"</t>
  </si>
  <si>
    <t>ООО "Системы Управленческих Решений"</t>
  </si>
  <si>
    <t>459 от 01.07.2021</t>
  </si>
  <si>
    <t>01.07.2021-01.07.2022</t>
  </si>
  <si>
    <t>материальные запасы (приобретение тканей и швейных принадлежностей)</t>
  </si>
  <si>
    <t>ИП Хохрякова Г.С.</t>
  </si>
  <si>
    <t>36/21 от 19.07.2021</t>
  </si>
  <si>
    <t>19.07.2021-31.10.2021</t>
  </si>
  <si>
    <t>01.09.2021-31.12.2021</t>
  </si>
  <si>
    <t>40/21 от 02.08.2021</t>
  </si>
  <si>
    <t>02.08.2021-30.09.2021</t>
  </si>
  <si>
    <t>226</t>
  </si>
  <si>
    <t>346</t>
  </si>
  <si>
    <t>349</t>
  </si>
  <si>
    <t>разница 4-ка</t>
  </si>
  <si>
    <t>разница 5-ка</t>
  </si>
  <si>
    <t>разница 2-ка</t>
  </si>
  <si>
    <t>За счёт субсидии на финансовое обеспечение выполнения муниципального задания на оказание муниципальных услуг (выполнение работ)</t>
  </si>
  <si>
    <t>Предоставление субсидии на реализацию наказов избирателей депутатам Думы Ханты-Мансийского автономного округа - Югры, источником финансового обеспечения которых являются иные межбюджетные трансферты (Департамент культуры ХМАО-Югры).</t>
  </si>
  <si>
    <t>Приобретение видеооборудования и мебели в рамках субсидии на реализацию наказов избирателей депутатам Думы Ханты-Мансийского автономного округа - Югры, источником финансового обеспечения которых являются иные межбюджетные трансферты (Департамент культуры ХМАО-Югры).</t>
  </si>
  <si>
    <t>Заработная плата (внебюджетные ставки)</t>
  </si>
  <si>
    <t>Начисления на выплаты по оплате труда (внебюджетные ставки)</t>
  </si>
  <si>
    <t>За счёт субсидии на иные цели, не связанные с финансовым обеспечением выполнения муниципального задания на оказание муниципальных услуг (выполнение работ)</t>
  </si>
  <si>
    <t>Субсидия на иные цели, не связанные с финансовым обеспечением выполнения муниципального задания на оказание муниципальных услуг (выполнение работ)</t>
  </si>
  <si>
    <t>Заработная плата
(внебюджетные ставки)</t>
  </si>
  <si>
    <t>Заработная плата
(внешние совместители)</t>
  </si>
  <si>
    <t>Начисления на выплаты по оплате труда 
(внебюджетные ставки)</t>
  </si>
  <si>
    <t>Начисления на выплаты по оплате труда 
(внешние совместители)</t>
  </si>
  <si>
    <t>с остатками прошлых лет</t>
  </si>
  <si>
    <t xml:space="preserve">    Перенос средств осуществляется для выплаты заработной платы и начислений на оплату труда по внебюджетным ставкам за август и сентябрь 2021 года, за счет субсидии на финансовое обеспечение выполнения муниципального задания, в рамках компенсации недополученных доходов от оказания (выполнения) муниципальным учреждением платных услуг (работ), в период действия ограничительных мероприятий, что разрешено в соответствии с постановлением Администрации г. Сургута от 28 января 2021 г. № 626 "Об установлении отдельных особенностей финансового обеспечения муниципальных бюджетных и автономных учреждений в 2021 году". Наличие ограничительных мероприятий подтверждается продлением режима повышенной готовности, согласно постановлению Губернатора Ханты-Мансийского АО - Югры от 9 апреля 2020 г. № 29 "О мерах по предотвращению завоза и распространения новой коронавирусной инфекции, вызванной COVID-19, в Ханты-Мансийском автономном округе - Югре" (с изм. от 24.07.2021).
     Указанные выше затраты, в соответствии с распоряжением Администрации города от 10.02.2021 № 120 "О внесении изменения в распоряжение Администрации города от 31.12.2019 № 2872 "Об утверждении справочников отраслевых кодов главного распорядителя бюджетных средств Администрации города Сургута", необходимо отражать на отраслевом коде 3.04.4.02.20980.210000. В связи с этим осуществляется перенос средств в рамках КОСГУ 211 в сумме 463 974,22 руб. и в рамках КОСГУ 213 в сумме 140 120,21 руб. с отраслевого кода 3.04.4.02.20980.200000 на отраслевой код 3.04.4.02.20980.210000.
     В связи с приемом внешнего совместителя на 18 дней, необходимо осуществить перенос средств в рамках КОСГУ 211 в сумме 13 843,45 руб. и в рамках КОСГУ 213 в сумме 4 180,73 руб. на выплату заработной платы и начислений на оплату труда для внешних совместителей с отраслевого кода 3.04.4.02.20980.200000 на отраслевой код 3.04.4.02.20980.300000.</t>
  </si>
  <si>
    <t>Перенос средств с КОСГУ 213 на КОСГУ 214 в сумме 448 807,12 руб. для компенсации работникам расходов на оплату стоимости проезда и провоза багажа к месту использования отпуска и обратно.</t>
  </si>
  <si>
    <t>Приобретение мебели (гримерные столики - 16 шт., ростовые зеркала - 4 шт.)</t>
  </si>
  <si>
    <t>Приобретение мебели (стулья - 16 шт)</t>
  </si>
  <si>
    <t>Приобретение видеооборудования</t>
  </si>
  <si>
    <t>ООО "Мебель-С"</t>
  </si>
  <si>
    <t>41/21 от 18.08.2021</t>
  </si>
  <si>
    <t>18.08.2021-31.12.2021</t>
  </si>
  <si>
    <t>ООО "Техно-Штурман"</t>
  </si>
  <si>
    <t>25.08.2021-31.12.2021</t>
  </si>
  <si>
    <t>42/21 от 25.08.2021</t>
  </si>
  <si>
    <t>171,2,1</t>
  </si>
  <si>
    <t>171,2,2</t>
  </si>
  <si>
    <t>171,2,3</t>
  </si>
  <si>
    <t>171,3,1</t>
  </si>
  <si>
    <t>171,3,2</t>
  </si>
  <si>
    <t>171,3,3</t>
  </si>
  <si>
    <t>Приобретение сувенирной продукции (пакет бумажный  в брендовом стиле театра)</t>
  </si>
  <si>
    <t>Приобретение сувенирной продукции (приобретение подарков для сотрудников театра)</t>
  </si>
  <si>
    <t>Приобретение сувенирной продукции (цветы)</t>
  </si>
  <si>
    <t>Материальные запасы для изготовления конструкций с целью оформления выставки (соединитель угловой, соединитель Т-образный 2-х труб, ножка-регулируемая, труба 3000*25*0,7 мм)</t>
  </si>
  <si>
    <t>Дизайнерские услуги (по разработке буклета к юбилею театра (40 стр.), по разработке полиграфической продукции (афиши, программки, баннер), по разработке сувенирной продукции)</t>
  </si>
  <si>
    <t>Приобретение сувенирной продукции (держатель "Петрушка", брелок с логотипом, пазлы с фото из спектаклей 13*18 см. 63 элемента, пазлы с фото из спектаклей 13*18 см. 12 элементов, магнит с фото из спектаклей)</t>
  </si>
  <si>
    <t>ИП Близнюк А.Н.</t>
  </si>
  <si>
    <t>дог на 40152,80</t>
  </si>
  <si>
    <t>171,3,4</t>
  </si>
  <si>
    <t>Приобретение полиграфической  продукции (буклет - 150 шт.)</t>
  </si>
  <si>
    <t>226, 346, 349, 310</t>
  </si>
  <si>
    <t>171,3,2,1</t>
  </si>
  <si>
    <t>171,3,2,2</t>
  </si>
  <si>
    <t>171,3,2,3</t>
  </si>
  <si>
    <t>171,3,3,1</t>
  </si>
  <si>
    <t>171,3,3,2</t>
  </si>
  <si>
    <t>171,3,3,3</t>
  </si>
  <si>
    <t>171,3,3,4</t>
  </si>
  <si>
    <t>171,3,4,1</t>
  </si>
  <si>
    <t>171,3,1,1</t>
  </si>
  <si>
    <t>171,3,1,2</t>
  </si>
  <si>
    <t>Приобретение полиграфической  продукции (буклет - 100 шт.)</t>
  </si>
  <si>
    <t>ИП Миронов А.П.</t>
  </si>
  <si>
    <t>дог на 65000</t>
  </si>
  <si>
    <t>дог на 97500</t>
  </si>
  <si>
    <t>Терминал сбора данных (2 шт.)</t>
  </si>
  <si>
    <t>ООО "Центр защиты информации "Гриф"</t>
  </si>
  <si>
    <t xml:space="preserve">дог </t>
  </si>
  <si>
    <t>01.01.2021-31.08.2020, 01.09.2021-31.12.2021</t>
  </si>
  <si>
    <t>02/21 от 01.01.2021
43/21 от 01.09.2021</t>
  </si>
  <si>
    <t>Поставка полиграфической продукции (афиши А3)</t>
  </si>
  <si>
    <t>34/21 от 07.07.2021</t>
  </si>
  <si>
    <t>07.07.2021-30.09.2021</t>
  </si>
  <si>
    <t>38/21 от 03.09.2021</t>
  </si>
  <si>
    <t>03.09.2021-31.12.2021</t>
  </si>
  <si>
    <t>ООО "Сувенирный сервис "Семь и цвет"</t>
  </si>
  <si>
    <t>договор закрыт</t>
  </si>
  <si>
    <r>
      <t xml:space="preserve">06-21 от 11.01.2020 и ДС №1 от 05.02.2021 - прошел остаток 24600 за август.
</t>
    </r>
    <r>
      <rPr>
        <sz val="10"/>
        <color rgb="FF0000FF"/>
        <rFont val="Arial"/>
        <family val="2"/>
        <charset val="204"/>
      </rPr>
      <t>Новый договор №65-21 от 01.09.2021
на 207600,00</t>
    </r>
  </si>
  <si>
    <r>
      <t xml:space="preserve">11.01.2021-31.08.2021, </t>
    </r>
    <r>
      <rPr>
        <sz val="10"/>
        <color rgb="FF0000FF"/>
        <rFont val="Arial"/>
        <family val="2"/>
        <charset val="204"/>
      </rPr>
      <t>новый договор 01.09.2021-31.12.2021</t>
    </r>
  </si>
  <si>
    <r>
      <rPr>
        <sz val="10"/>
        <rFont val="Arial"/>
        <family val="2"/>
        <charset val="204"/>
      </rPr>
      <t xml:space="preserve">43/21 от </t>
    </r>
    <r>
      <rPr>
        <sz val="10"/>
        <color rgb="FFFF0000"/>
        <rFont val="Arial"/>
        <family val="2"/>
        <charset val="204"/>
      </rPr>
      <t>_______2021</t>
    </r>
  </si>
  <si>
    <r>
      <rPr>
        <sz val="10"/>
        <color rgb="FFFF0000"/>
        <rFont val="Arial"/>
        <family val="2"/>
        <charset val="204"/>
      </rPr>
      <t>_________</t>
    </r>
    <r>
      <rPr>
        <sz val="10"/>
        <rFont val="Arial"/>
        <family val="2"/>
        <charset val="204"/>
      </rPr>
      <t>-31.12.2021</t>
    </r>
  </si>
  <si>
    <t>Авансовый Швабенланд А.Н.</t>
  </si>
  <si>
    <t>авансовый №6 от 07.09.21 - 316,00руб.(антистатик-4шт.)</t>
  </si>
  <si>
    <r>
      <rPr>
        <sz val="10"/>
        <rFont val="Arial"/>
        <family val="2"/>
        <charset val="204"/>
      </rPr>
      <t xml:space="preserve">44/21 от </t>
    </r>
    <r>
      <rPr>
        <sz val="10"/>
        <color rgb="FFFF0000"/>
        <rFont val="Arial"/>
        <family val="2"/>
        <charset val="204"/>
      </rPr>
      <t>_______2021</t>
    </r>
  </si>
  <si>
    <t>Услуги по организации фотосессии коллектива МАУ "ТАиК "Петрушка"</t>
  </si>
  <si>
    <t>ИП Мельник С.М.</t>
  </si>
  <si>
    <t>Санитарное содержание и обслуживание (уборка) офисных и бытовых помещений (ОСТАТОК)</t>
  </si>
  <si>
    <r>
      <rPr>
        <sz val="10"/>
        <color rgb="FFFF0000"/>
        <rFont val="Arial"/>
        <family val="2"/>
        <charset val="204"/>
      </rPr>
      <t>авансовый</t>
    </r>
    <r>
      <rPr>
        <sz val="10"/>
        <rFont val="Arial"/>
        <family val="2"/>
        <charset val="204"/>
      </rPr>
      <t xml:space="preserve"> Дремин А.А.</t>
    </r>
  </si>
  <si>
    <t>36 от 02.09.2021</t>
  </si>
  <si>
    <t>02.09.2021-31.12.2021</t>
  </si>
  <si>
    <t>В рамках мероприятий, посвященных 30-летию МАУ "ТАиК "Петрушка"</t>
  </si>
  <si>
    <t>Прочие работы, услуги в рамках мероприятий, посвященных 30-летию МАУ "ТАиК "Петрушка"</t>
  </si>
  <si>
    <t>Приобретение материальных запасов в рамках мероприятий, посвященных 30-летию МАУ "ТАиК "Петрушка"</t>
  </si>
  <si>
    <r>
      <t xml:space="preserve">Приобретение материальных запасов </t>
    </r>
    <r>
      <rPr>
        <b/>
        <sz val="12"/>
        <color rgb="FFC00000"/>
        <rFont val="Times New Roman"/>
        <family val="1"/>
        <charset val="204"/>
      </rPr>
      <t>(сувенирная продукция)</t>
    </r>
    <r>
      <rPr>
        <b/>
        <sz val="12"/>
        <rFont val="Times New Roman"/>
        <family val="1"/>
        <charset val="204"/>
      </rPr>
      <t xml:space="preserve"> в рамках мероприятий, посвященных 30-летию МАУ "ТАиК "Петрушка"</t>
    </r>
  </si>
  <si>
    <t>Приобретение основных средств в рамках мероприятий, посвященных 30-летию МАУ "ТАиК "Петрушка"</t>
  </si>
  <si>
    <t>Приобретение материальных запасов (сувенирная продукция)</t>
  </si>
  <si>
    <t>Приобретение расходных материалов (батарейки-аккумуляторы для телефонных трубок 6 шт.)</t>
  </si>
  <si>
    <t>№75 от 06.09.2021 на 860,00р.</t>
  </si>
  <si>
    <t xml:space="preserve">Оплата услуг, приобретение материальных запасов и основных средств при проведении мероприятий, посвященных 30-летию МАУ "ТАиК "Петрушка" в рамках субсидии на реализацию наказов избирателей депутатам Думы Ханты-Мансийского автономного округа - Югры, источником финансового обеспечения которых являются иные межбюджетные трансферты (Департамент культуры ХМАО-Югры), в том числе:
   - КОСГУ 226 в сумме 264 510,61 руб. - оплата дизайнерских услуг и услуг по организации фотосессии коллектива театра;
   - КОСГУ 346 в сумме 182 587,93 руб. - приобретение материальных запасов для изготовления конструкций с целью оформления выставки и приобретение полиграфической продукции;
   - КОСГУ 349 в сумме 171 156,80 руб. - приобретение сувенирной продукции;
   - КОСГУ 310 в сумме 81 744,66 руб. - приобретение двух терминалов сбора данных (распознают QR-коды на электронных билетах посетителей, позволяют автоматизировать проход зрителей при посещении театра, исключают скопления большого количества людей на входной группе, автоматически проверяют в системе факт покупки и исключают дублирование/подделку билетов).            </t>
  </si>
  <si>
    <r>
      <t xml:space="preserve">Увеличение стоимости материальных запасов </t>
    </r>
    <r>
      <rPr>
        <b/>
        <sz val="12"/>
        <color rgb="FFC00000"/>
        <rFont val="Times New Roman"/>
        <family val="1"/>
        <charset val="204"/>
      </rPr>
      <t>по мероприятиям</t>
    </r>
  </si>
  <si>
    <t>71,1,1</t>
  </si>
  <si>
    <t>71,1,2</t>
  </si>
  <si>
    <t>71,1,3</t>
  </si>
  <si>
    <t>71,1,4</t>
  </si>
  <si>
    <t>71,1,5</t>
  </si>
  <si>
    <t>71,1,6</t>
  </si>
  <si>
    <t>71,1,7</t>
  </si>
  <si>
    <t>71,1,8</t>
  </si>
  <si>
    <r>
      <t xml:space="preserve">Прочие работы, услуги </t>
    </r>
    <r>
      <rPr>
        <b/>
        <sz val="12"/>
        <color rgb="FFC00000"/>
        <rFont val="Times New Roman"/>
        <family val="1"/>
        <charset val="204"/>
      </rPr>
      <t>по мероприятиям</t>
    </r>
  </si>
  <si>
    <t>Услуги по печати на ткани по эскизу 68,5 м.кв.</t>
  </si>
  <si>
    <r>
      <t>3.04.4.02.20980.</t>
    </r>
    <r>
      <rPr>
        <sz val="16"/>
        <color rgb="FFFF0000"/>
        <rFont val="Times New Roman"/>
        <family val="1"/>
        <charset val="204"/>
      </rPr>
      <t>7</t>
    </r>
    <r>
      <rPr>
        <sz val="16"/>
        <color indexed="8"/>
        <rFont val="Times New Roman"/>
        <family val="1"/>
        <charset val="204"/>
      </rPr>
      <t>00000</t>
    </r>
  </si>
  <si>
    <t xml:space="preserve">Участие  Владимирского областного  театра кукол  со спектаклями  </t>
  </si>
  <si>
    <t>Услуги нотариуса (внесение изменений в Устав)</t>
  </si>
  <si>
    <t>Налоги, пошлины и сборы (госпошлина за внесение изменений в учредительные документы)</t>
  </si>
  <si>
    <r>
      <t xml:space="preserve">Налоги, пошлины и сборы </t>
    </r>
    <r>
      <rPr>
        <b/>
        <sz val="12"/>
        <color rgb="FFC00000"/>
        <rFont val="Times New Roman"/>
        <family val="1"/>
        <charset val="204"/>
      </rPr>
      <t>(госпошлина за внесение изменений в учредительные документы)</t>
    </r>
  </si>
  <si>
    <t>Перенос средств с КОСГУ 225 на КОСГУ 226 в сумме 2200,00 руб. и КОСГУ 291 в сумме 800,00 руб. для оплаты услуг нотариуса по внесению изменений в учредительные документы (Устав) и оплаты государственной пошлины за внесение изменений в учредительные документы (Устав).</t>
  </si>
  <si>
    <t>товар поставлен</t>
  </si>
  <si>
    <t>Штрафы по административным правонарушениям</t>
  </si>
  <si>
    <t>Перенос средств с КОСГУ 226 на КОСГУ 295 в сумме 29 147,80 руб. для оплаты штрафов по административным правонарушениям (Постановление от 02.08.2021 по делу № 5-649-2604/2021 , Постановление от 02.08.2021 по делу № 5-650-2604/2021, Постановление от 02.08.2021 по делу № 5-651-2604/2021).</t>
  </si>
  <si>
    <t xml:space="preserve">В связи с изменением статуса VI городского открытого фестиваля  "КУКЛАград" с бесплатного на платный, согласно постановлению Администрации города от 25.06.2021 № 5320 «О внесении изменений в постановление Администрации города от 30.12.2020 № 10115 «Об утверждении муниципального задания на оказание муниципальных услуг (выполнение работ) муниципальному автономному учреждению «Театр актера и куклы «Петрушка на 2021 год и плановый период 2022 и 2023 годов», осуществляется перемещение высвободившихся средств с КОСГУ 226 (отраслевой код 3.04.4.02.20980.100000) и с КОСГУ 349 в общей сумме 750 000,00 руб. на КОСГУ 226 с отраслевым кодом  3.04.4.02.20980.700000. Указанные средства будут направлены на оплату услуг по организации и проведению фестиваля "КУКЛАград", в частности, участия со спектаклями Тюменского, Владимирского, Ивановского театров кукол и 3-х театров ХМАО-Югры, оплаты услуг по разработке макетов и печати). </t>
  </si>
  <si>
    <t>Приобретение расходных материалов (пленка-стрейч - 1 шт.)</t>
  </si>
  <si>
    <t>авансовый №77 от 14.09.2021</t>
  </si>
  <si>
    <t>Сохранение в ХМАО-Югре ограничений на проведение культурно-массовых мероприятий с целью предотвращения завоза и распространения новой коронавирусной инфекции, повлияло на уменьшение объема потребности в услугах привлекаемых аниматоров-статистов на 482 098,16 руб. и уменьшении количества планируемых к приобретению новогодних подарков на 247 989,64 руб. Также указанные ограничения повлияли на уменьшение количества зрителей спектаклей и количества необходимых бланков строгой отчетности (БСО) для печати билетов.</t>
  </si>
  <si>
    <t>Перенос средств с КОСГУ 226 на КОСГУ 212 в сумме 500,00 руб. для оплаты суточных сотруднику, направляемому в командировку в г. Москва при поддержке Тюменского отделения Союза театральных деятелей РФ для участия в Международном фестивале театров кукол имени С.В. Образцова.</t>
  </si>
  <si>
    <t>Приобретение видеорегистратора  HDCVI и видеокамер HDCVI (антитеррор)</t>
  </si>
  <si>
    <t>ООО "Стиль и Мода"</t>
  </si>
  <si>
    <t>45 от 10.09.2021</t>
  </si>
  <si>
    <t>10.09.2021-31.12.2021</t>
  </si>
  <si>
    <t>авансовый №79 от 17.09.2021 на 3402,64</t>
  </si>
  <si>
    <t>Приобретение расходных материалов (пистолет для продувки, ключ разводной, диски пильные по дереву, переходные кольца к пильным дискам, пилки, сверла)</t>
  </si>
  <si>
    <t>Участие Няганьского театра кукол</t>
  </si>
  <si>
    <t>Участие Нефтеюганского театра кукол</t>
  </si>
  <si>
    <t>Участие Ханты-Мансийского театра кукол</t>
  </si>
  <si>
    <t>по счету №3256 от 20.09.2021</t>
  </si>
  <si>
    <t>ООО "Марс-Меркурий"</t>
  </si>
  <si>
    <t>Поставка полиграфической продукции (баннер, афиши А3)</t>
  </si>
  <si>
    <r>
      <t xml:space="preserve">в ПФХД выделить к-2
 </t>
    </r>
    <r>
      <rPr>
        <sz val="10"/>
        <color rgb="FFFFC000"/>
        <rFont val="Times New Roman"/>
        <family val="1"/>
        <charset val="204"/>
      </rPr>
      <t>денег осталось на 1-2 мес, потом нужно откуда-то передвигать сюда</t>
    </r>
  </si>
  <si>
    <t>в ПФХД выделить к+2</t>
  </si>
  <si>
    <t>Участие Челябинского театра кукол</t>
  </si>
  <si>
    <t>Дизайнерские услуги по разработке рекламных материалов</t>
  </si>
  <si>
    <t>Свободные средства ХАНТЫ (остаток)</t>
  </si>
  <si>
    <t>39/21 от 01.09.2021, ДС№1 добавили меропр. суб. и воскр. + 20229,3руб.</t>
  </si>
  <si>
    <t>материальные запасы (эмаль, краска)</t>
  </si>
  <si>
    <t>материальные запасы (гель-лак, база, жидкость обезжиривающая)</t>
  </si>
  <si>
    <t>счет №КА-2312 от 21.04.2021</t>
  </si>
  <si>
    <t>счет №3 от 22.04.2021</t>
  </si>
  <si>
    <t>ИП Евремов А.Н.</t>
  </si>
  <si>
    <t>к-10</t>
  </si>
  <si>
    <t>к+10</t>
  </si>
  <si>
    <t>10-21 от 01.04.2021</t>
  </si>
  <si>
    <r>
      <rPr>
        <sz val="10"/>
        <color rgb="FFFF0000"/>
        <rFont val="Arial"/>
        <family val="2"/>
        <charset val="204"/>
      </rPr>
      <t xml:space="preserve">счет № </t>
    </r>
    <r>
      <rPr>
        <sz val="10"/>
        <color rgb="FF0000FF"/>
        <rFont val="Arial"/>
        <family val="2"/>
        <charset val="204"/>
      </rPr>
      <t>от 17.03.2021</t>
    </r>
  </si>
  <si>
    <t xml:space="preserve"> (ОСТАТОК)</t>
  </si>
  <si>
    <t>ООО "Стройматик"</t>
  </si>
  <si>
    <t>37/21 от 29.07.2021</t>
  </si>
  <si>
    <t>29.07.2021-31.12.2021</t>
  </si>
  <si>
    <t>к+12</t>
  </si>
  <si>
    <t>к-12</t>
  </si>
  <si>
    <t>35/21 от 16.07.2022</t>
  </si>
  <si>
    <t>16.07.2021-31.12.2021</t>
  </si>
  <si>
    <t>Услуги по организации постановки спектакля (режиссер-постановщик, художник-постановщик) (ОСТАТОК)</t>
  </si>
  <si>
    <t>Услуги по организации постановки спектакля (художник-постановщик)</t>
  </si>
  <si>
    <t>к-7, к-8</t>
  </si>
  <si>
    <t>к+7,1</t>
  </si>
  <si>
    <t>к+7,2</t>
  </si>
  <si>
    <t>к+7,3</t>
  </si>
  <si>
    <t>к+8</t>
  </si>
  <si>
    <r>
      <t>огнезащитная обработка декораций</t>
    </r>
    <r>
      <rPr>
        <b/>
        <sz val="10"/>
        <color rgb="FF0000FF"/>
        <rFont val="Arial"/>
        <family val="2"/>
        <charset val="204"/>
      </rPr>
      <t xml:space="preserve"> 
</t>
    </r>
    <r>
      <rPr>
        <b/>
        <sz val="10"/>
        <color theme="9" tint="-0.499984740745262"/>
        <rFont val="Arial"/>
        <family val="2"/>
        <charset val="204"/>
      </rPr>
      <t>(Лягушка-царевна и Первинка первая)</t>
    </r>
  </si>
  <si>
    <r>
      <t>огнезащитная обработка декораций</t>
    </r>
    <r>
      <rPr>
        <b/>
        <sz val="10"/>
        <color rgb="FFC00000"/>
        <rFont val="Arial"/>
        <family val="2"/>
        <charset val="204"/>
      </rPr>
      <t xml:space="preserve"> 
(была Первинка-первая)</t>
    </r>
  </si>
  <si>
    <t>материальные запасы (приобретение ветка сакуры, бамбук)</t>
  </si>
  <si>
    <t>авансовый №92 от 28.09.2021</t>
  </si>
  <si>
    <t>03/21 от 10.02.21 на 46262,96 (14.02.2021-28.02.2021)
04/21 от 01.03.21 на 76652,90 (07.03.2021-30.04.2021 включая Доп №1 на 12060,06)
15/21 от 01.04.21 на 66275,80 (01.04.2021-31.05.2021)
29/21 от 11.05.21 на 96 933,01 (01.05.2021-30.06.2021)
36/21 от 08.06.2021 на 102 879,91 (08.06.2021-31.07.2021)
57/21 от 27.09.2021 на 33 700,39 (27.09.2021-31.10.2021)</t>
  </si>
  <si>
    <t>к-9</t>
  </si>
  <si>
    <t>Услуги по утилизации оборудования (шуруповерт, телефон, электроконвектор) и декорации "Комар"</t>
  </si>
  <si>
    <t>в ПФХД выдклить к+9</t>
  </si>
  <si>
    <t>ООО "Город мастеров</t>
  </si>
  <si>
    <t>материальные запасы (комплект петель для стекла, замок мебельный, кронштейны, кнопка клеевая, воск мебельный)</t>
  </si>
  <si>
    <t>Авансовый Нечесов В.В.</t>
  </si>
  <si>
    <t>авансовый №81 от 20.09.2021</t>
  </si>
  <si>
    <t>материальные запасы (стекло/зеркало, труба профильная, ДСП-Л, фанера, заглушка для профильных труб)</t>
  </si>
  <si>
    <t>Приобретение расходных материалов (шайбы, болты, гайки)</t>
  </si>
  <si>
    <t>к+11</t>
  </si>
  <si>
    <t>50/21 от 01.10.2021</t>
  </si>
  <si>
    <t>01.10.2021-31.12.2021</t>
  </si>
  <si>
    <t>6/21 от 01.10.2021</t>
  </si>
  <si>
    <t>к+13</t>
  </si>
  <si>
    <t>Приобретение расходных материалов (средства для чистки труб - 2 шт.)</t>
  </si>
  <si>
    <t>№82 от 20.09.2021</t>
  </si>
  <si>
    <t>Приобретение расходных материалов (хомуты нейлоновые)</t>
  </si>
  <si>
    <t>к+14</t>
  </si>
  <si>
    <t>к-11 к-13 к-14</t>
  </si>
  <si>
    <t>№91 от 23.09.2021</t>
  </si>
  <si>
    <t>Приобретение канцелярских товаров (маркер-краска, скотч)</t>
  </si>
  <si>
    <t>к+15</t>
  </si>
  <si>
    <t>к-15</t>
  </si>
  <si>
    <t>32/21 от 09.06.2021 на 19745,76</t>
  </si>
  <si>
    <r>
      <t>перекинуть прошлых лет на 211, 213,</t>
    </r>
    <r>
      <rPr>
        <sz val="10"/>
        <color rgb="FFFF0000"/>
        <rFont val="Arial"/>
        <family val="2"/>
        <charset val="204"/>
      </rPr>
      <t xml:space="preserve"> 297</t>
    </r>
    <r>
      <rPr>
        <sz val="10"/>
        <color rgb="FFFFFF00"/>
        <rFont val="Arial"/>
        <family val="2"/>
        <charset val="204"/>
      </rPr>
      <t xml:space="preserve"> по зп по иным иным ЮРАРДИ</t>
    </r>
  </si>
  <si>
    <t>Участие Нижневартоского театра кукол</t>
  </si>
  <si>
    <t>АУ ХМАО-Югры "Нижневартоский театр юного зрителя)</t>
  </si>
  <si>
    <t>ООО "Охота на рыбалку"</t>
  </si>
  <si>
    <t>счет-фактура №568/2</t>
  </si>
  <si>
    <t>материальные запасы (груз Конус, груз Пуля, леска)</t>
  </si>
  <si>
    <t>материальные запасы (колеры, краска-колер, растворитель, грунт-эмали, краски, клеи)</t>
  </si>
  <si>
    <t>материальные запасы (гайки, шайбы, петли дверные, шнур, проволока, колесные опоры, колеса)</t>
  </si>
  <si>
    <t>материальные запасы (трубы профильные, поликарбонат, шпильки, болты, гайки, фанера, электроды, пенополистирол, пружины, саморезы, заклепки)</t>
  </si>
  <si>
    <t>910-П-21 от 17.08.2021</t>
  </si>
  <si>
    <t>17.09.2021-31.12.2021</t>
  </si>
  <si>
    <r>
      <rPr>
        <sz val="10"/>
        <color rgb="FF003300"/>
        <rFont val="Arial"/>
        <family val="2"/>
        <charset val="204"/>
      </rPr>
      <t xml:space="preserve">Организация и проведение культурно-массовых мероприятий - VI </t>
    </r>
    <r>
      <rPr>
        <sz val="10"/>
        <color rgb="FFFF0000"/>
        <rFont val="Arial"/>
        <family val="2"/>
        <charset val="204"/>
      </rPr>
      <t xml:space="preserve">городского открытого </t>
    </r>
    <r>
      <rPr>
        <sz val="10"/>
        <color rgb="FF003300"/>
        <rFont val="Arial"/>
        <family val="2"/>
        <charset val="204"/>
      </rPr>
      <t xml:space="preserve">фестиваля  </t>
    </r>
    <r>
      <rPr>
        <b/>
        <sz val="12"/>
        <color rgb="FF003300"/>
        <rFont val="Arial"/>
        <family val="2"/>
        <charset val="204"/>
      </rPr>
      <t>"КУКЛАград"</t>
    </r>
    <r>
      <rPr>
        <sz val="10"/>
        <color rgb="FF003300"/>
        <rFont val="Arial"/>
        <family val="2"/>
        <charset val="204"/>
      </rPr>
      <t xml:space="preserve">  0 + (рекомендован с 1,5 лет)
(октябрь-</t>
    </r>
    <r>
      <rPr>
        <sz val="10"/>
        <color rgb="FFC00000"/>
        <rFont val="Arial"/>
        <family val="2"/>
        <charset val="204"/>
      </rPr>
      <t>декабрь</t>
    </r>
    <r>
      <rPr>
        <sz val="10"/>
        <color rgb="FF003300"/>
        <rFont val="Arial"/>
        <family val="2"/>
        <charset val="204"/>
      </rPr>
      <t xml:space="preserve"> 2021 года)</t>
    </r>
  </si>
  <si>
    <r>
      <rPr>
        <sz val="10"/>
        <color rgb="FF003300"/>
        <rFont val="Arial"/>
        <family val="2"/>
        <charset val="204"/>
      </rPr>
      <t>Организация и проведение культурно-массовых мероприятий -VI</t>
    </r>
    <r>
      <rPr>
        <sz val="10"/>
        <color rgb="FFFF0000"/>
        <rFont val="Arial"/>
        <family val="2"/>
        <charset val="204"/>
      </rPr>
      <t xml:space="preserve"> городского открытого фестиваля </t>
    </r>
    <r>
      <rPr>
        <sz val="10"/>
        <color rgb="FF003300"/>
        <rFont val="Arial"/>
        <family val="2"/>
        <charset val="204"/>
      </rPr>
      <t xml:space="preserve"> </t>
    </r>
    <r>
      <rPr>
        <b/>
        <sz val="12"/>
        <color rgb="FF003300"/>
        <rFont val="Arial"/>
        <family val="2"/>
        <charset val="204"/>
      </rPr>
      <t>"КУКЛАград"</t>
    </r>
    <r>
      <rPr>
        <sz val="10"/>
        <color rgb="FF003300"/>
        <rFont val="Arial"/>
        <family val="2"/>
        <charset val="204"/>
      </rPr>
      <t xml:space="preserve">  0 + (рекомендован с 1,5 лет)
(октябрь-</t>
    </r>
    <r>
      <rPr>
        <sz val="10"/>
        <color rgb="FFC00000"/>
        <rFont val="Arial"/>
        <family val="2"/>
        <charset val="204"/>
      </rPr>
      <t>декабрь</t>
    </r>
    <r>
      <rPr>
        <sz val="10"/>
        <color rgb="FF003300"/>
        <rFont val="Arial"/>
        <family val="2"/>
        <charset val="204"/>
      </rPr>
      <t xml:space="preserve"> 2021 года)</t>
    </r>
  </si>
  <si>
    <r>
      <rPr>
        <sz val="10"/>
        <color rgb="FF003300"/>
        <rFont val="Arial"/>
        <family val="2"/>
        <charset val="204"/>
      </rPr>
      <t xml:space="preserve">Организация и проведение культурно-массовых мероприятий -VI </t>
    </r>
    <r>
      <rPr>
        <sz val="10"/>
        <color rgb="FFFF0000"/>
        <rFont val="Arial"/>
        <family val="2"/>
        <charset val="204"/>
      </rPr>
      <t xml:space="preserve">городского открытого </t>
    </r>
    <r>
      <rPr>
        <sz val="10"/>
        <color rgb="FF003300"/>
        <rFont val="Arial"/>
        <family val="2"/>
        <charset val="204"/>
      </rPr>
      <t xml:space="preserve">фестиваля  </t>
    </r>
    <r>
      <rPr>
        <b/>
        <sz val="12"/>
        <color rgb="FF003300"/>
        <rFont val="Arial"/>
        <family val="2"/>
        <charset val="204"/>
      </rPr>
      <t>"КУКЛАград"</t>
    </r>
    <r>
      <rPr>
        <sz val="10"/>
        <color rgb="FF003300"/>
        <rFont val="Arial"/>
        <family val="2"/>
        <charset val="204"/>
      </rPr>
      <t xml:space="preserve">  0 + (рекомендован с 1,5 лет)
(октябрь-</t>
    </r>
    <r>
      <rPr>
        <sz val="10"/>
        <color rgb="FFC00000"/>
        <rFont val="Arial"/>
        <family val="2"/>
        <charset val="204"/>
      </rPr>
      <t>декабрь</t>
    </r>
    <r>
      <rPr>
        <sz val="10"/>
        <color rgb="FF003300"/>
        <rFont val="Arial"/>
        <family val="2"/>
        <charset val="204"/>
      </rPr>
      <t xml:space="preserve"> 2021 года)</t>
    </r>
  </si>
  <si>
    <r>
      <rPr>
        <sz val="10"/>
        <color rgb="FF003300"/>
        <rFont val="Arial"/>
        <family val="2"/>
        <charset val="204"/>
      </rPr>
      <t xml:space="preserve">Организация и проведение культурно-массовых мероприятий - VI </t>
    </r>
    <r>
      <rPr>
        <sz val="10"/>
        <color rgb="FFFF0000"/>
        <rFont val="Arial"/>
        <family val="2"/>
        <charset val="204"/>
      </rPr>
      <t>городского открытого</t>
    </r>
    <r>
      <rPr>
        <sz val="10"/>
        <color rgb="FF003300"/>
        <rFont val="Arial"/>
        <family val="2"/>
        <charset val="204"/>
      </rPr>
      <t xml:space="preserve"> фестиваля  </t>
    </r>
    <r>
      <rPr>
        <b/>
        <sz val="12"/>
        <color rgb="FF003300"/>
        <rFont val="Arial"/>
        <family val="2"/>
        <charset val="204"/>
      </rPr>
      <t>"КУКЛАград"</t>
    </r>
    <r>
      <rPr>
        <sz val="10"/>
        <color rgb="FF003300"/>
        <rFont val="Arial"/>
        <family val="2"/>
        <charset val="204"/>
      </rPr>
      <t xml:space="preserve">  0 + (рекомендован с 1,5 лет)
(октябрь-</t>
    </r>
    <r>
      <rPr>
        <sz val="10"/>
        <color rgb="FFC00000"/>
        <rFont val="Arial"/>
        <family val="2"/>
        <charset val="204"/>
      </rPr>
      <t>декабрь</t>
    </r>
    <r>
      <rPr>
        <sz val="10"/>
        <color rgb="FF003300"/>
        <rFont val="Arial"/>
        <family val="2"/>
        <charset val="204"/>
      </rPr>
      <t xml:space="preserve"> 2021 года)</t>
    </r>
  </si>
  <si>
    <t>материальные запасы (пряжа, шерсть, наполнитель, ситец, бязь)</t>
  </si>
  <si>
    <t>материальные запасы (брадсы, бумага, глина, декор, древянная заготовка, картон, клей, лента декоративная, масса д/лепки, нитки, ручки, стержни, фетр, фломастеры, фоторамки, шпагат, ластик)</t>
  </si>
  <si>
    <t>51/21 от 01.10.2021</t>
  </si>
  <si>
    <t>Кончаются деньги</t>
  </si>
  <si>
    <t>по счет №72 от 04.10.2021</t>
  </si>
  <si>
    <t>авансовый №10 от 03.03.2021, 
№32 от 20.05.2021 Гаврилова С.В. на 276,50р.,
№37 от 09.06.2021 на 494,50р,
№40 от 18.06.2021 на 129,30р,
№42 от 24.06.2021 на 273,00р,
№45 от 28.06.2021 на 156,50р,
№75 от 06.09.2021 на 544,50,
№78 от 14.09.2021 на 150,00,
№94 от 29.09.2021 на 299,18,
№82 от 20.09.2021 на 388,00,
№91 от 23.09.2021 на 181,50,
№95 от 06.10.2021 на 275,00</t>
  </si>
  <si>
    <t>Закончились средства</t>
  </si>
  <si>
    <t>материальные запасы (портьера жакард, MECSAN FJ5679/47)</t>
  </si>
  <si>
    <t>ООО "Гранд Стиль"</t>
  </si>
  <si>
    <t>Участие Няганского театра кукол</t>
  </si>
  <si>
    <t>БУ "Няганский театр юного зрителя"</t>
  </si>
  <si>
    <t>01/Ф-21 от 01.10.2021</t>
  </si>
  <si>
    <r>
      <rPr>
        <sz val="10"/>
        <color rgb="FF003300"/>
        <rFont val="Arial"/>
        <family val="2"/>
        <charset val="204"/>
      </rPr>
      <t>Организация и проведение культурно-массовых мероприятий -VI</t>
    </r>
    <r>
      <rPr>
        <sz val="10"/>
        <color rgb="FFFF0000"/>
        <rFont val="Arial"/>
        <family val="2"/>
        <charset val="204"/>
      </rPr>
      <t xml:space="preserve"> городского открытого</t>
    </r>
    <r>
      <rPr>
        <sz val="10"/>
        <rFont val="Arial"/>
        <family val="2"/>
        <charset val="204"/>
      </rPr>
      <t xml:space="preserve"> фестиваля  </t>
    </r>
    <r>
      <rPr>
        <b/>
        <sz val="12"/>
        <color rgb="FF003300"/>
        <rFont val="Arial"/>
        <family val="2"/>
        <charset val="204"/>
      </rPr>
      <t>"КУКЛАград"</t>
    </r>
    <r>
      <rPr>
        <sz val="10"/>
        <color rgb="FF003300"/>
        <rFont val="Arial"/>
        <family val="2"/>
        <charset val="204"/>
      </rPr>
      <t xml:space="preserve">  0 + (рекомендован с 1,5 лет)
(октябрь-</t>
    </r>
    <r>
      <rPr>
        <sz val="10"/>
        <color rgb="FFC00000"/>
        <rFont val="Arial"/>
        <family val="2"/>
        <charset val="204"/>
      </rPr>
      <t>декабрь</t>
    </r>
    <r>
      <rPr>
        <sz val="10"/>
        <color rgb="FF003300"/>
        <rFont val="Arial"/>
        <family val="2"/>
        <charset val="204"/>
      </rPr>
      <t xml:space="preserve"> 2021 года)</t>
    </r>
  </si>
  <si>
    <t>материальные запасы (бязь, трань подкладочная, вуаль, органза, лен, атлас, нить, косая бейка, лета, поролон)</t>
  </si>
  <si>
    <t>6/21-О от 01.10.2021</t>
  </si>
  <si>
    <t>к-?</t>
  </si>
  <si>
    <t>к-20</t>
  </si>
  <si>
    <t>к+20,1</t>
  </si>
  <si>
    <t>к+20,2</t>
  </si>
  <si>
    <t>Доходы от оказания услуг (выполнения работ) вне рамок установленного муниципального задания</t>
  </si>
  <si>
    <t>Приносящая доход деятельность (собственные доходы учреждения) вне рамок установленного муниципального задания</t>
  </si>
  <si>
    <t>№96 от 08.10.2021</t>
  </si>
  <si>
    <t>Приобретение расходных материалов (удалитель клеевой ленты/клея, гвозди мебельные, держатели для трубы, эмаль, сверла, ,пакет)</t>
  </si>
  <si>
    <t>будет возврат в бюджет 41,50р.</t>
  </si>
  <si>
    <t>будет возврат в бюджет 2,19р.</t>
  </si>
  <si>
    <t>Дополнительное финансирование для приобретения светового и звукового оборудования в рамках государственной программы  Ханты-Мансийского автономного округа - Югры "Культурное пространство".</t>
  </si>
  <si>
    <t>И.о. директора</t>
  </si>
  <si>
    <t>Тляшева Земфира Аслямовна</t>
  </si>
  <si>
    <t>Доход учреждения вне рамок оказания услуг (работ) по муниципальному заданию: 
6 000,00 руб. - оказание услуг по написанию сценария к праздничному мероприятию;
30 000,00 руб. - денежное вознаграждение за номинацию в IX окружном театральном фестивале "Белое пространство".</t>
  </si>
  <si>
    <t>Приобретение расходных материалов (перчатки нитриловые)</t>
  </si>
  <si>
    <t>№97 от 11.10.2021</t>
  </si>
  <si>
    <t>иные иные приз 30000</t>
  </si>
  <si>
    <t>Приобретение ткани для пошива одежды артистическому персоналу (в рамках текущей деятельности)</t>
  </si>
  <si>
    <t>Услуги по пошиву одежды артистическому персоналу (в рамках текущей деятельности)</t>
  </si>
  <si>
    <t>иные иные приз 850т.р</t>
  </si>
  <si>
    <t>Приобретение шлифовального станка</t>
  </si>
  <si>
    <t>Приобретение аэрографа (краскопульта)</t>
  </si>
  <si>
    <t>Приобретение компрессора</t>
  </si>
  <si>
    <t>Приобретение промышленного пылесоса</t>
  </si>
  <si>
    <t>Приобретение пистолета для термоклея</t>
  </si>
  <si>
    <t>Приобретение раздвижных манекенов (мужской - 1 шт., женский - 1 шт.)</t>
  </si>
  <si>
    <t>Приобретение коробов для хранения</t>
  </si>
  <si>
    <t>Приобретение мониторов - 3 шт. (главному бухгалтеру, документоведу, ведущему юристу</t>
  </si>
  <si>
    <t>Приобретение компьютеров - 2 шт. (главному бухгалтеру, документоведу)</t>
  </si>
  <si>
    <t>Приобретение компьютерной клавиатуры - 2 шт. (главному бухгалтеру, документоведу</t>
  </si>
  <si>
    <t>Приобретение компьютерной мыши - 2 шт. (главному бухгалтеру, документоведу</t>
  </si>
  <si>
    <t>Приобретение расходных материалов к световому оборудованию</t>
  </si>
  <si>
    <t>Приобретение МФУ лазерного, цветной печати</t>
  </si>
  <si>
    <t>Приобретение принтера</t>
  </si>
  <si>
    <t>За счёт приносящей доход деятельности (собственных доходов учреждения)  вне рамок установленного муниципального задания</t>
  </si>
  <si>
    <t>Прочие работы, услуги (проезд в командировке)</t>
  </si>
  <si>
    <t>52/21 от 06.10.2021</t>
  </si>
  <si>
    <t>06.10.2021-31.12.2021</t>
  </si>
  <si>
    <t>МБУК Театр кукол "Волшебная флейта"</t>
  </si>
  <si>
    <t>02/Ф-21 от 01.10.2021</t>
  </si>
  <si>
    <t>01.10.2021-21.12.2021</t>
  </si>
  <si>
    <t>материальные запасы (ткань костюмная, регилен, ткань клеевая, лен)</t>
  </si>
  <si>
    <t>к-11 к-13 к-14 к-15 врасшифр ПФХД</t>
  </si>
  <si>
    <t>Услуги по приобретению программного обеспечения (операционная система Windows - 2 шт.)</t>
  </si>
  <si>
    <t>Приобретение мебели для гримерных комнат(шкафы, пеналы, столы)</t>
  </si>
  <si>
    <t>Доход учреждения вне рамок оказания услуг (работ) по муниципальному заданию в размере 850 000,00 руб. в виде денежного вознаграждения за победу в номинации "Лучший кукольный спектакль для детей" в конкурсе на соискание премии имени С.Ф. Железкина в г. Мытищи, на основании протокола заседания конкурсной комиссии от 16.09.2021.</t>
  </si>
  <si>
    <t>Расходы связанные с командировкой в г. Мытищи для участия в номинации "Лучший кукольный спектакль для детей" в конкурсе на соискание премии имени С.Ф. Железкина.</t>
  </si>
  <si>
    <t>Расходы, направленные на развитие театра, за счет дополнительных доходов, полученных вне рамок оказания услуг (работ) по муниципальному заданию в виде денежного вознаграждения за победу в номинации "Лучший кукольный спектакль для детей" в конкурсе на соискание премии имени С.Ф. Железкина в г. Мытищи, распределяются следующим образом:
   КОСГУ 226:
      - 23 398,00 руб. - услуги по приобретению программного обеспечения (операционная система Windows - 2 шт.);
      - 82 794,64 руб. - услуги по пошиву одежды артистическому персоналу (в рамках текущей деятельности);
   КОСГУ 310:
      - 10 000,00 руб. - приобретение шлифовального станка;
      - 5 000,00 руб. - приобретение аэрографа (краскопульта);
      - 13 000,00 руб. - приобретение компрессора;
      - 15 000,00 руб. - приобретение промышленного пылесоса;
      - 1 000,00 руб. - приобретение пистолета для термоклея;
      - 18 000,00 руб. - приобретение раздвижных манекенов (мужской - 1 шт., женский - 1 шт.);
      - 50 000,00 руб. - приобретение коробов для хранения кукол, реквизита, декораций;
      - 161 000,00 руб. - приобретение мебели для гримерных комнат (шкафы, пеналы, столы);
      - 67 998,00 руб. - приобретение компьютеров - 2 шт. (главному бухгалтеру, документоведу);
      - 31 497,00 руб. - приобретение мониторов - 3 шт. (главному бухгалтеру, документоведу, ведущему юрисконсульту) ;
      - 17 999,00 руб. - приобретение МФУ лазерного (цветной печати) ;
      - 30 000,00 руб. - приобретение принтера;
   КОСГУ 346 (комплектующие):
      - 20 000,00 руб. - приобретение новых картриджей;
   КОСГУ 346 (прочие):
      - 10 000,00 руб. - приобретение расходных материалов к световому оборудованию;
      - 1 920,00 руб. - приобретение компьютерной клавиатуры - 2 шт. (главному бухгалтеру, документоведу);
      - 1 598,00 руб. - приобретение компьютерной мыши - 2 шт. (главному бухгалтеру, документоведу).
Расходы, направленные на развитие театра, за счет дополнительных доходов, полученных вне рамок оказания услуг (работ) по муниципальному заданию в виде денежного вознаграждения за номинацию в IX окружном театральном фестивале "Белое пространство", распределяются следующим образом:
   КОСГУ 346 (прочие):
      - 30 000,00 руб. - приобретение ткани для пошива одежды артистическому персоналу (в рамках текущей деятельности).</t>
  </si>
  <si>
    <t>Перенос средств с КВР 119 на КВР 111 в рамках КОСГУ 266 в сумме 100 000,00 руб. для оплаты трех дней нетрудоспособности за счет работодателя из-за увеличения количества болеющих сотрудников и сложившейся экономией по оплате четырех дополнительных выходных дней в месяц родителю (опекуну, попечителю) для ухода за детьми-инвалидами, в связи с отсутствием обращений в прошедший период.</t>
  </si>
  <si>
    <t xml:space="preserve">Начисления на выплаты на иные выплаты (за исключением выплаты заработной платы) </t>
  </si>
  <si>
    <t>Услуги по проживанию и питанию Няганский театр кукол</t>
  </si>
  <si>
    <t xml:space="preserve">Коммунальные услуги </t>
  </si>
  <si>
    <t>Перенос средств на КОСГУ 211 с КОСГУ 223 и КОСГУ 224 для перечисления аванса по заработной плате работникам учреждения без нарушения сроков выплат, с последующим восстановлением средств на оплату коммунальных услуг (КОСГУ 223) и аренду нежилого помещения (КОСГУ 224), после выделения дополнительного финансирования по статье - "Заработная плата" (КОСГУ 211).</t>
  </si>
  <si>
    <t>Перенос средств с КОСГУ 213 на КОСГУ 266 в связи с приведением в соответствие кода КОСГУ для отражения затрат по начислениям на единовременное вознаграждение при прекращении трудовых отношений в связи с выходом на пенсию по старости впервые (за исключением выплаты заработной платы).</t>
  </si>
  <si>
    <t>Перенос средств с КОСГУ 226 на КОСГУ 346 в сумме 96 312,07 руб. в связи с возникшей экономией средств на организацию и проведение культурно-массового мероприятия -VI фестиваль  "КУКЛАград" и увеличением объема необходимых материальных запасов для создание кукольного спектакля малой формы «Земляника под снегом».</t>
  </si>
  <si>
    <t>Субсидия, подлежащая возврату в бюджет города в связи с недостижением учреждением установленных на 2019 год показателей муниципального задания и административный штраф</t>
  </si>
  <si>
    <t>Перенос средств с КОСГУ 223 на КОСГУ 295 для возмещения субсидии, подлежащей возврату в бюджет города в целях устранения выявленных нарушений, изложенных в представлении Контрольно-счетной палаты города.</t>
  </si>
  <si>
    <t xml:space="preserve">Возмещение субсидии, подлежащей возврату в бюджет города в целях устранения выявленных нарушений, изложенных в представлении Контрольно-счетной палаты города, за счет дополнительного дохода, полученного вне рамок оказания услуг (работ) по муниципальному заданию в виде денежного вознаграждения за победу в номинации "Лучший кукольный спектакль для детей" в конкурсе на соискание премии имени С.Ф. Железкина в г. Мытищи - 
560 204,64 руб. </t>
  </si>
  <si>
    <t>Возмещение субсидии, подлежащей возврату в бюджет города в целях устранения выявленных нарушений, изложенных в представлении Контрольно-счетной палаты города, за счет дополнительного дохода, полученного вне рамок оказания услуг (работ) по муниципальному заданию в виде денежного вознаграждения за победу в номинации "Лучший кукольный спектакль для детей" в конкурсе на соискание премии имени С.Ф. Железкина в г. Мытищи - 
502 248,64 руб.</t>
  </si>
  <si>
    <t>Приобретение компьютера главному бухгалтеру в связи с острой необходимостью, так как сегодняшний ПК не справляется с большим объемом установленных ЭЦП (4 шт.). ПК главного бухгалтера будет передан и установлен на рабочее место специалиста по связям с общественностью, в настоящее время специалист не обеспечен необходимой компьютерной техникой.  
программное обеспечение (операционная система Windows) - КОСГУ 226
системный блок + монитор- КОСГУ 310
компьютерная клавиатура+ мышь - КОСГУ 346</t>
  </si>
  <si>
    <t>ООО Атлант</t>
  </si>
  <si>
    <t>53/21 от 15.10.2021</t>
  </si>
  <si>
    <t>15.10.2021-31.12.2021</t>
  </si>
  <si>
    <t>55/21 от 15.10.2021</t>
  </si>
  <si>
    <t>54/21 от 15.10.2021</t>
  </si>
  <si>
    <t>счет Б-00541286 от 21.10.2021</t>
  </si>
  <si>
    <t>по счету</t>
  </si>
  <si>
    <t>Увеличение объема субсидии на финансовое обеспечение выполнения муниципального задания.</t>
  </si>
  <si>
    <t>Услуги Филармонии (выпадающие доходы)</t>
  </si>
  <si>
    <t>Оплата РАО  (выпадающие доходы)</t>
  </si>
  <si>
    <t>приобретение жестких дисков для хранение видеозаписи спектакле   (выпадающие доходы)</t>
  </si>
  <si>
    <t>приобретение канцелярских товаров (выпадающие доходы)</t>
  </si>
  <si>
    <t xml:space="preserve">Приобретение материальных запасов </t>
  </si>
  <si>
    <t>64 999,71 руб. - приобретение канцелярских товаров, в том числе бумаги, папок, а так же одноразовых масок и перчаток для соблюдения масочного режима в учреждении;
16 290,00 руб. - приобретение жестких дисков (1 ТБ и 4 ТБ) для хранения видеозаписи спектаклей для исполнения муниципальной услуги - показ спектаклей (театральных постановок) в онлайн режиме.</t>
  </si>
  <si>
    <t>Услуги художника постановщика</t>
  </si>
  <si>
    <t>Услуги по пошиву костюмов</t>
  </si>
  <si>
    <t>Печать на ткани</t>
  </si>
  <si>
    <t>Перенос средств с КОСГУ 223 на КОСГУ 342 - приобретение бутилированной воды для куллера с целью обеспечения питьевого режима для зрителей театра.</t>
  </si>
  <si>
    <t>Перенос средств с КОСГУ 226 на КОСГУ 295 для возмещения субсидии, подлежащей возврату в бюджет города в целях устранения выявленных нарушений, изложенных в представлении Контрольно-счетной палаты города, за счет возмещения из бюджета непокрытых потребностей на оплату авторских взносов РАО и экономии по дизайнерским услугам на разработку афиш, программок для спектаклей текущего репертуара. Оплата будет осуществленна после поступления средств на счет учреждения от продажи билетов.</t>
  </si>
  <si>
    <t>И.о. председателя комитета культуры</t>
  </si>
  <si>
    <t>_______________И.П. Семковская</t>
  </si>
  <si>
    <t>Увеличение объема средств для исполнения целевого показателя по заработной плате, в том числе по внебюджетным ставкам (непокрытая потребность).</t>
  </si>
  <si>
    <t>Возврат средств на КОСГУ 223 и КОСГУ 224 в счет ранее перечисленных средств для выплаты аванса по заработной плате работникам учреждения, для недопущения нарушения сроков выплат.</t>
  </si>
  <si>
    <t>277 886,70 руб. - оплата авторских отчислений за использование произведений в Российское авторское общество за 1, 2 и 3 квартала (непокрытая потребность);
156 000,00 руб. - оплата услуг охраны (непокрытая потребность);
295 978,36 руб. - оплата услуг по техническому обслуживанию мероприятий МАУ "Сургутская филармония" (непокрытая потребность).</t>
  </si>
  <si>
    <t xml:space="preserve">Прочие выплаты </t>
  </si>
  <si>
    <t>Базарова Ксения Алексеевна</t>
  </si>
  <si>
    <t>Выделены доп. средства на доведение до средней заработной платы во исполнение Указа Президента Российской Федерации от 07.05.2012 № 597. Не учтены в проекте бюджета</t>
  </si>
  <si>
    <t>277 886,70 руб. - оплата авторских отчислений за использование произведений в Российское авторское общество за 1, 2 и 3 квартала (непокрытая потребность);
156 000,00 руб. - оплата услуг охраны (непокрытая потребность);
525 789,77 руб. - оплата услуг по техническому обслуживанию мероприятий МАУ "Сургутская филармония" (непокрытая потребность).</t>
  </si>
  <si>
    <t>Экономия сложилась в связи с отказом работников от права использования четырех дополнительных выходных дней в месяц родителю (опекуну, попечителю) для ухода за детьми-инвалидами.</t>
  </si>
  <si>
    <t>Необходимо для оплаты по договору за услуги такси и услуги грузоперевозок.</t>
  </si>
  <si>
    <t>Возврат допонительно выделенных денежных средств в рамках государственной программы 
ХМАО - Югры "Культурное пространство".</t>
  </si>
  <si>
    <t>Экономия сложилась в связи с неиспользованием работника права на оплату проезда и провоза багажа 
к месту отдыха и обратно.</t>
  </si>
  <si>
    <t>В связи с решением о проведении мероприятия Новогодняя Елка для одаренных детей с участием Главы города в онлайн формате, было принято решение перенести денежные средства на услуги по созданию кукольного спектакля малой формы "Земляника под снегом", согласно письму Комитета культуры 
от 15.11.2021 г. № 04-02-2829/1.</t>
  </si>
  <si>
    <t xml:space="preserve">Приносящая доход деятельность (собственные доходы учреждения)  </t>
  </si>
  <si>
    <t>КЦСР</t>
  </si>
  <si>
    <t>00-0-00-00000</t>
  </si>
  <si>
    <t>Прочие несоциальные выплаты персоналу в натуральной форме</t>
  </si>
  <si>
    <t>3-4-0001-0000</t>
  </si>
  <si>
    <t>3-4-0001-0001</t>
  </si>
  <si>
    <t>Безвозмездные денежные поступления</t>
  </si>
  <si>
    <t>3.04.4.02.00590.100000</t>
  </si>
  <si>
    <t>3.04.4.02.72600.000000</t>
  </si>
  <si>
    <t>0-0-0000-0000</t>
  </si>
  <si>
    <t>130</t>
  </si>
  <si>
    <t>Поступления от иной приносящей доход деятельности</t>
  </si>
  <si>
    <t>КВФО</t>
  </si>
  <si>
    <t>Средства от предпринимательской и иной приносящей доход деятельности</t>
  </si>
  <si>
    <t>0000000000</t>
  </si>
  <si>
    <t>тел.(3462) 35-12-56</t>
  </si>
  <si>
    <t>ПОЯСНИТЕЛЬНАЯ ЗАПИСКА 
к изменениям в план финансово-хозяйственной деятельности на 2026 год 
МАУ «ТАиК «Петрушка»</t>
  </si>
  <si>
    <t>В план финансово-хозяйственной деятельности на 2026 год были внесены изменения в пределах доведенных бюджетных ассигнований :</t>
  </si>
  <si>
    <t>150</t>
  </si>
  <si>
    <t>3.04.4.02.00000.100000</t>
  </si>
  <si>
    <t>Средства субсидии на иные цели, не связанные с выполнением муниципального задания</t>
  </si>
  <si>
    <t>План с изменениями на 2026 год</t>
  </si>
  <si>
    <t>Субсидия на иные цели, не связанные с выполнением муниципального задания</t>
  </si>
  <si>
    <t>Средства субсидии на выполнение муниципального задания</t>
  </si>
  <si>
    <t>3-5-0601-2301</t>
  </si>
  <si>
    <t>Низамутдинова Виктория Ивановна,</t>
  </si>
  <si>
    <t>ведущий экономист,</t>
  </si>
  <si>
    <t>Изменения от 12.10.2026</t>
  </si>
  <si>
    <t>Предоставление субсидии на иные цели, не связанные с выполнением муниципального задания (соглашение от 29.09.2026 № 5-9-5/26). Реализация наказов избирателей (приобретение светового оборудования).</t>
  </si>
  <si>
    <t>Добавлены в расходы средства полученной субсидии на иные цели (приобретение светового оборудования).</t>
  </si>
  <si>
    <t>Перемещается экономия средств, возникшая при заключении договора на охрану ПЦН (перемещение для заключения договора на оказание услуг перевозки грузов-декораций при проведении выездных спектаклей).</t>
  </si>
  <si>
    <t>Перемещается экономия, возникшая при оплате листов нетрудоспособности (3 дней за счет работодателя) в связи с заявительным характером выплат  (перемещение для заключения договора на оказание услуг перевозки грузов-декораций при проведении выездных спектаклей).</t>
  </si>
  <si>
    <t>Перемещается экономия, возникшая при заключении договора на поставку печатной продукции (перемещение для заключения договора на оказание услуг перевозки грузов-декораций при проведении выездных спектаклей).</t>
  </si>
  <si>
    <t>В связи с необходимостью заключения договора на оказание услуг перевозки грузов (декораций) при проведении выездных спектаклей.</t>
  </si>
  <si>
    <t>В связи с необходимостью оплаты командировочных расходов (проезда и проживания).</t>
  </si>
  <si>
    <t>Перемещается экономия из средств на оплату расходов сотрудникам для возмещения оплаты проезда к месту проведения отпуска в связи с заявительным характером выплат (перемещение для оплаты командировочных расходов (проезда ии проживания), расходов на материальные запасы, расходов на оплату технического сопровождения при проведении мероприятий).</t>
  </si>
  <si>
    <t>Перемещается экономия при приобретении основных средств (перемещение для оплаты командировочных расходов (проезда и проживания), расходов на материальные запасы, расходов на оплату технического сопровождения при проведении мероприятий).</t>
  </si>
  <si>
    <t>В связи с необходимостью приобретения материальных запасов для текущей деятельности.</t>
  </si>
  <si>
    <t>Добавлены в расходы средства благотворительной помощи, полученные от фонда ФИЦК "Траектория Надежды" (для оплаты услуг по организации и проведению 35-летнего юбилея театра 200 000,00 руб., для оплаты рекламных услуг-158 732,50 руб.)</t>
  </si>
  <si>
    <t>Добавлены в расходы средства благотворительной помощи, полученные от фонда ФИЦК "Траектория Надежды". В связи с необходимостью приобретения осветительных приборов.</t>
  </si>
  <si>
    <t>Добавлены в расходы средства благотворительной помощи, полученные от фонда ФИЦК "Траектория Надежды". В связи с необходимостью приобретения материальных запасов.</t>
  </si>
  <si>
    <t>Получены средства: пожертвования от фонда ФИЦК "Траектория Надежды" по договору № 05/10/26 от 05.10.2026 для  оплаты расходов на оказание услуг по организации и проведению 35-летнего юбилея театра, приобретения основных средств и материальных запасов, в сумме 435 000,00 руб.</t>
  </si>
  <si>
    <t>Поступления по договору с ГАУК Тюменской области "Тюменское концертно-театральное объединение" за показ спектакля</t>
  </si>
  <si>
    <t>Добавлены средства: 1)поступлений от гастрольной деятельности (по договору с ГАУК Тюмеской области "Тюменское концертно-театральное объединение")-240 000,00 руб; 2)экономия, сложившаяся при приобретении основных средств- 37 689,74 руб. Перемещение в связи с необходимостью оплаты расходов на техническое сопровождение при проведении мероприятий, услуги аниматоров для проведения новогодних утренников.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</si>
</sst>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8" formatCode="#,##0.00\ &quot;₽&quot;;[Red]\-#,##0.00\ &quot;₽&quot;"/>
    <numFmt numFmtId="43" formatCode="_-* #,##0.00\ _₽_-;\-* #,##0.00\ _₽_-;_-* &quot;-&quot;??\ _₽_-;_-@_-"/>
    <numFmt numFmtId="164" formatCode="_-* #,##0.00_р_._-;\-* #,##0.00_р_._-;_-* &quot;-&quot;??_р_._-;_-@_-"/>
    <numFmt numFmtId="165" formatCode="_(* #,##0.00_);_(* \(#,##0.00\);_(* &quot;-&quot;??_);_(@_)"/>
    <numFmt numFmtId="166" formatCode="_(&quot;$&quot;* #,##0.00_);_(&quot;$&quot;* \(#,##0.00\);_(&quot;$&quot;* &quot;-&quot;??_);_(@_)"/>
    <numFmt numFmtId="167" formatCode="_-* #,##0.00_-;\-* #,##0.00_-;_-* &quot;-&quot;??_-;_-@_-"/>
    <numFmt numFmtId="168" formatCode="_-&quot;Ј&quot;* #,##0_-;\-&quot;Ј&quot;* #,##0_-;_-&quot;Ј&quot;* &quot;-&quot;_-;_-@_-"/>
    <numFmt numFmtId="169" formatCode="_-&quot;Ј&quot;* #,##0.00_-;\-&quot;Ј&quot;* #,##0.00_-;_-&quot;Ј&quot;* &quot;-&quot;??_-;_-@_-"/>
    <numFmt numFmtId="170" formatCode="_(* #,##0_);_(* \(#,##0\);_(* &quot;-&quot;_);_(@_)"/>
    <numFmt numFmtId="171" formatCode="_(&quot;$&quot;* #,##0_);_(&quot;$&quot;* \(#,##0\);_(&quot;$&quot;* &quot;-&quot;_);_(@_)"/>
    <numFmt numFmtId="172" formatCode="_-* #,##0\ _F_-;\-* #,##0\ _F_-;_-* &quot;-&quot;\ _F_-;_-@_-"/>
    <numFmt numFmtId="173" formatCode="_-* #,##0.00\ _F_-;\-* #,##0.00\ _F_-;_-* &quot;-&quot;??\ _F_-;_-@_-"/>
    <numFmt numFmtId="174" formatCode="#,##0.00_ ;[Red]\-#,##0.00\ "/>
  </numFmts>
  <fonts count="250">
    <font>
      <sz val="11"/>
      <color theme="1"/>
      <name val="Calibri"/>
      <family val="2"/>
      <charset val="204"/>
      <scheme val="minor"/>
    </font>
    <font>
      <sz val="10"/>
      <name val="Arial Cyr"/>
      <charset val="204"/>
    </font>
    <font>
      <b/>
      <sz val="14"/>
      <color indexed="8"/>
      <name val="Times New Roman"/>
      <family val="1"/>
      <charset val="204"/>
    </font>
    <font>
      <sz val="10"/>
      <color indexed="8"/>
      <name val="Times New Roman"/>
      <family val="1"/>
      <charset val="204"/>
    </font>
    <font>
      <sz val="12"/>
      <color indexed="8"/>
      <name val="Times New Roman"/>
      <family val="1"/>
      <charset val="204"/>
    </font>
    <font>
      <b/>
      <sz val="12"/>
      <color indexed="8"/>
      <name val="Times New Roman"/>
      <family val="1"/>
      <charset val="204"/>
    </font>
    <font>
      <sz val="12"/>
      <name val="Times New Roman"/>
      <family val="1"/>
      <charset val="204"/>
    </font>
    <font>
      <b/>
      <sz val="12"/>
      <name val="Times New Roman"/>
      <family val="1"/>
      <charset val="204"/>
    </font>
    <font>
      <sz val="11"/>
      <color indexed="8"/>
      <name val="Times New Roman"/>
      <family val="1"/>
      <charset val="204"/>
    </font>
    <font>
      <sz val="10"/>
      <name val="Times New Roman CYR"/>
      <charset val="204"/>
    </font>
    <font>
      <sz val="10"/>
      <name val="Arial"/>
      <family val="2"/>
      <charset val="204"/>
    </font>
    <font>
      <sz val="10"/>
      <name val="Helv"/>
      <family val="2"/>
      <charset val="204"/>
    </font>
    <font>
      <sz val="11"/>
      <color theme="1"/>
      <name val="Calibri"/>
      <family val="2"/>
      <scheme val="minor"/>
    </font>
    <font>
      <u/>
      <sz val="12"/>
      <color indexed="8"/>
      <name val="Times New Roman"/>
      <family val="1"/>
      <charset val="204"/>
    </font>
    <font>
      <b/>
      <sz val="10"/>
      <color indexed="8"/>
      <name val="Times New Roman"/>
      <family val="1"/>
      <charset val="204"/>
    </font>
    <font>
      <b/>
      <sz val="11"/>
      <color indexed="8"/>
      <name val="Times New Roman"/>
      <family val="1"/>
      <charset val="204"/>
    </font>
    <font>
      <b/>
      <u/>
      <sz val="12"/>
      <color indexed="8"/>
      <name val="Times New Roman"/>
      <family val="1"/>
      <charset val="204"/>
    </font>
    <font>
      <sz val="11"/>
      <color theme="0"/>
      <name val="Calibri"/>
      <family val="2"/>
      <charset val="204"/>
      <scheme val="minor"/>
    </font>
    <font>
      <b/>
      <sz val="20"/>
      <name val="Times New Roman"/>
      <family val="1"/>
      <charset val="204"/>
    </font>
    <font>
      <sz val="11"/>
      <name val="Calibri"/>
      <family val="2"/>
      <charset val="204"/>
      <scheme val="minor"/>
    </font>
    <font>
      <sz val="20"/>
      <name val="Calibri"/>
      <family val="2"/>
      <charset val="204"/>
      <scheme val="minor"/>
    </font>
    <font>
      <sz val="20"/>
      <color theme="1"/>
      <name val="Calibri"/>
      <family val="2"/>
      <charset val="204"/>
      <scheme val="minor"/>
    </font>
    <font>
      <sz val="20"/>
      <name val="Times New Roman"/>
      <family val="1"/>
      <charset val="204"/>
    </font>
    <font>
      <b/>
      <sz val="18"/>
      <color theme="1"/>
      <name val="Calibri"/>
      <family val="2"/>
      <charset val="204"/>
      <scheme val="minor"/>
    </font>
    <font>
      <sz val="14"/>
      <color indexed="8"/>
      <name val="Times New Roman"/>
      <family val="1"/>
      <charset val="204"/>
    </font>
    <font>
      <b/>
      <sz val="18"/>
      <color indexed="8"/>
      <name val="Times New Roman"/>
      <family val="1"/>
      <charset val="204"/>
    </font>
    <font>
      <sz val="18"/>
      <name val="Times New Roman"/>
      <family val="1"/>
      <charset val="204"/>
    </font>
    <font>
      <sz val="18"/>
      <color indexed="8"/>
      <name val="Times New Roman"/>
      <family val="1"/>
      <charset val="204"/>
    </font>
    <font>
      <sz val="16"/>
      <color indexed="8"/>
      <name val="Times New Roman"/>
      <family val="1"/>
      <charset val="204"/>
    </font>
    <font>
      <sz val="20"/>
      <color theme="1"/>
      <name val="Times New Roman"/>
      <family val="1"/>
      <charset val="204"/>
    </font>
    <font>
      <sz val="9"/>
      <color indexed="81"/>
      <name val="Tahoma"/>
      <family val="2"/>
      <charset val="204"/>
    </font>
    <font>
      <b/>
      <sz val="9"/>
      <color indexed="81"/>
      <name val="Tahoma"/>
      <family val="2"/>
      <charset val="204"/>
    </font>
    <font>
      <sz val="18"/>
      <color theme="1"/>
      <name val="Times New Roman"/>
      <family val="1"/>
      <charset val="204"/>
    </font>
    <font>
      <sz val="16"/>
      <name val="Times New Roman"/>
      <family val="1"/>
      <charset val="204"/>
    </font>
    <font>
      <b/>
      <sz val="16"/>
      <name val="Times New Roman"/>
      <family val="1"/>
      <charset val="204"/>
    </font>
    <font>
      <b/>
      <sz val="11"/>
      <color theme="1"/>
      <name val="Calibri"/>
      <family val="2"/>
      <charset val="204"/>
      <scheme val="minor"/>
    </font>
    <font>
      <sz val="26"/>
      <color theme="1"/>
      <name val="Times New Roman"/>
      <family val="1"/>
      <charset val="204"/>
    </font>
    <font>
      <b/>
      <sz val="26"/>
      <name val="Times New Roman"/>
      <family val="1"/>
      <charset val="204"/>
    </font>
    <font>
      <sz val="26"/>
      <name val="Calibri"/>
      <family val="2"/>
      <charset val="204"/>
      <scheme val="minor"/>
    </font>
    <font>
      <sz val="26"/>
      <name val="Times New Roman"/>
      <family val="1"/>
      <charset val="204"/>
    </font>
    <font>
      <b/>
      <sz val="18"/>
      <name val="Times New Roman"/>
      <family val="1"/>
      <charset val="204"/>
    </font>
    <font>
      <sz val="14"/>
      <name val="Times New Roman"/>
      <family val="1"/>
      <charset val="204"/>
    </font>
    <font>
      <b/>
      <sz val="12"/>
      <color rgb="FFFF0000"/>
      <name val="Times New Roman"/>
      <family val="1"/>
      <charset val="204"/>
    </font>
    <font>
      <b/>
      <sz val="14"/>
      <name val="Times New Roman"/>
      <family val="1"/>
      <charset val="204"/>
    </font>
    <font>
      <b/>
      <sz val="11"/>
      <color rgb="FFFF0000"/>
      <name val="Times New Roman"/>
      <family val="1"/>
      <charset val="204"/>
    </font>
    <font>
      <sz val="12"/>
      <color rgb="FFFF0000"/>
      <name val="Times New Roman"/>
      <family val="1"/>
      <charset val="204"/>
    </font>
    <font>
      <sz val="10"/>
      <name val="Times New Roman"/>
      <family val="1"/>
      <charset val="204"/>
    </font>
    <font>
      <b/>
      <sz val="10"/>
      <color indexed="81"/>
      <name val="Tahoma"/>
      <family val="2"/>
      <charset val="204"/>
    </font>
    <font>
      <sz val="10"/>
      <color indexed="81"/>
      <name val="Tahoma"/>
      <family val="2"/>
      <charset val="204"/>
    </font>
    <font>
      <b/>
      <u/>
      <sz val="10"/>
      <color indexed="81"/>
      <name val="Tahoma"/>
      <family val="2"/>
      <charset val="204"/>
    </font>
    <font>
      <b/>
      <sz val="10"/>
      <color rgb="FFFF0000"/>
      <name val="Times New Roman"/>
      <family val="1"/>
      <charset val="204"/>
    </font>
    <font>
      <sz val="10"/>
      <color rgb="FF0000FF"/>
      <name val="Arial"/>
      <family val="2"/>
      <charset val="204"/>
    </font>
    <font>
      <b/>
      <sz val="10"/>
      <color rgb="FF0000FF"/>
      <name val="Arial"/>
      <family val="2"/>
      <charset val="204"/>
    </font>
    <font>
      <b/>
      <sz val="10"/>
      <name val="Times New Roman"/>
      <family val="1"/>
      <charset val="204"/>
    </font>
    <font>
      <b/>
      <sz val="12"/>
      <color rgb="FF0000FF"/>
      <name val="Times New Roman"/>
      <family val="1"/>
      <charset val="204"/>
    </font>
    <font>
      <b/>
      <sz val="16"/>
      <color indexed="8"/>
      <name val="Times New Roman"/>
      <family val="1"/>
      <charset val="204"/>
    </font>
    <font>
      <b/>
      <sz val="16"/>
      <color rgb="FF0000FF"/>
      <name val="Times New Roman"/>
      <family val="1"/>
      <charset val="204"/>
    </font>
    <font>
      <sz val="11"/>
      <color theme="1"/>
      <name val="Calibri"/>
      <family val="2"/>
      <charset val="204"/>
      <scheme val="minor"/>
    </font>
    <font>
      <sz val="10"/>
      <color rgb="FF1E0EF2"/>
      <name val="Arial"/>
      <family val="2"/>
      <charset val="204"/>
    </font>
    <font>
      <sz val="10"/>
      <color rgb="FFFF0000"/>
      <name val="Arial"/>
      <family val="2"/>
      <charset val="204"/>
    </font>
    <font>
      <sz val="10"/>
      <color rgb="FFFF0000"/>
      <name val="Times New Roman"/>
      <family val="1"/>
      <charset val="204"/>
    </font>
    <font>
      <b/>
      <sz val="10"/>
      <color theme="9" tint="-0.499984740745262"/>
      <name val="Arial"/>
      <family val="2"/>
      <charset val="204"/>
    </font>
    <font>
      <b/>
      <sz val="10"/>
      <color rgb="FF993300"/>
      <name val="Arial"/>
      <family val="2"/>
      <charset val="204"/>
    </font>
    <font>
      <b/>
      <sz val="11"/>
      <color rgb="FFFF0000"/>
      <name val="Calibri"/>
      <family val="2"/>
      <charset val="204"/>
      <scheme val="minor"/>
    </font>
    <font>
      <sz val="10"/>
      <color rgb="FF003300"/>
      <name val="Arial"/>
      <family val="2"/>
      <charset val="204"/>
    </font>
    <font>
      <sz val="11"/>
      <color rgb="FF003300"/>
      <name val="Calibri"/>
      <family val="2"/>
      <charset val="204"/>
      <scheme val="minor"/>
    </font>
    <font>
      <b/>
      <sz val="10"/>
      <color rgb="FF003300"/>
      <name val="Arial"/>
      <family val="2"/>
      <charset val="204"/>
    </font>
    <font>
      <b/>
      <sz val="11"/>
      <color rgb="FF003300"/>
      <name val="Calibri"/>
      <family val="2"/>
      <charset val="204"/>
      <scheme val="minor"/>
    </font>
    <font>
      <b/>
      <sz val="12"/>
      <color rgb="FF003300"/>
      <name val="Arial"/>
      <family val="2"/>
      <charset val="204"/>
    </font>
    <font>
      <b/>
      <sz val="10"/>
      <color rgb="FF003300"/>
      <name val="Calibri"/>
      <family val="2"/>
      <charset val="204"/>
      <scheme val="minor"/>
    </font>
    <font>
      <b/>
      <sz val="12"/>
      <color rgb="FF0000FF"/>
      <name val="Arial"/>
      <family val="2"/>
      <charset val="204"/>
    </font>
    <font>
      <b/>
      <sz val="10"/>
      <color rgb="FF1E0EF2"/>
      <name val="Arial"/>
      <family val="2"/>
      <charset val="204"/>
    </font>
    <font>
      <i/>
      <sz val="10"/>
      <color rgb="FFFF0000"/>
      <name val="Arial"/>
      <family val="2"/>
      <charset val="204"/>
    </font>
    <font>
      <i/>
      <sz val="11"/>
      <color rgb="FFFF0000"/>
      <name val="Calibri"/>
      <family val="2"/>
      <charset val="204"/>
      <scheme val="minor"/>
    </font>
    <font>
      <b/>
      <i/>
      <sz val="10"/>
      <color rgb="FFFF0000"/>
      <name val="Arial"/>
      <family val="2"/>
      <charset val="204"/>
    </font>
    <font>
      <b/>
      <i/>
      <sz val="11"/>
      <color rgb="FFFF0000"/>
      <name val="Calibri"/>
      <family val="2"/>
      <charset val="204"/>
      <scheme val="minor"/>
    </font>
    <font>
      <b/>
      <sz val="10"/>
      <color theme="1"/>
      <name val="Calibri"/>
      <family val="2"/>
      <charset val="204"/>
      <scheme val="minor"/>
    </font>
    <font>
      <sz val="10"/>
      <color theme="1"/>
      <name val="Calibri"/>
      <family val="2"/>
      <charset val="204"/>
      <scheme val="minor"/>
    </font>
    <font>
      <i/>
      <sz val="10"/>
      <color rgb="FFFF0000"/>
      <name val="Calibri"/>
      <family val="2"/>
      <charset val="204"/>
      <scheme val="minor"/>
    </font>
    <font>
      <b/>
      <i/>
      <sz val="10"/>
      <color rgb="FFFF0000"/>
      <name val="Calibri"/>
      <family val="2"/>
      <charset val="204"/>
      <scheme val="minor"/>
    </font>
    <font>
      <sz val="10"/>
      <color rgb="FF003300"/>
      <name val="Calibri"/>
      <family val="2"/>
      <charset val="204"/>
      <scheme val="minor"/>
    </font>
    <font>
      <b/>
      <sz val="12"/>
      <color rgb="FFC00000"/>
      <name val="Times New Roman"/>
      <family val="1"/>
      <charset val="204"/>
    </font>
    <font>
      <b/>
      <sz val="11"/>
      <name val="Calibri"/>
      <family val="2"/>
      <charset val="204"/>
      <scheme val="minor"/>
    </font>
    <font>
      <sz val="28"/>
      <color indexed="8"/>
      <name val="Times New Roman"/>
      <family val="1"/>
      <charset val="204"/>
    </font>
    <font>
      <sz val="10"/>
      <color rgb="FFC00000"/>
      <name val="Arial"/>
      <family val="2"/>
      <charset val="204"/>
    </font>
    <font>
      <sz val="11"/>
      <color rgb="FFFF0000"/>
      <name val="Calibri"/>
      <family val="2"/>
      <charset val="204"/>
      <scheme val="minor"/>
    </font>
    <font>
      <b/>
      <sz val="10"/>
      <color rgb="FFFF000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8"/>
      <color indexed="56"/>
      <name val="Cambria"/>
      <family val="2"/>
      <charset val="204"/>
    </font>
    <font>
      <sz val="8"/>
      <name val="Arial"/>
      <family val="2"/>
      <charset val="204"/>
    </font>
    <font>
      <u/>
      <sz val="11"/>
      <color indexed="30"/>
      <name val="Calibri"/>
      <family val="2"/>
    </font>
    <font>
      <sz val="10"/>
      <name val="Helv"/>
      <charset val="204"/>
    </font>
    <font>
      <b/>
      <sz val="8"/>
      <color indexed="8"/>
      <name val="Times New Roman"/>
      <family val="1"/>
      <charset val="204"/>
    </font>
    <font>
      <b/>
      <sz val="8"/>
      <color rgb="FF0000FF"/>
      <name val="Arial"/>
      <family val="2"/>
      <charset val="204"/>
    </font>
    <font>
      <sz val="8"/>
      <color indexed="8"/>
      <name val="Times New Roman"/>
      <family val="1"/>
      <charset val="204"/>
    </font>
    <font>
      <b/>
      <i/>
      <sz val="8"/>
      <color rgb="FFFF0000"/>
      <name val="Arial"/>
      <family val="2"/>
      <charset val="204"/>
    </font>
    <font>
      <b/>
      <sz val="8"/>
      <color rgb="FF003300"/>
      <name val="Arial"/>
      <family val="2"/>
      <charset val="204"/>
    </font>
    <font>
      <b/>
      <sz val="8"/>
      <name val="Times New Roman"/>
      <family val="1"/>
      <charset val="204"/>
    </font>
    <font>
      <sz val="8"/>
      <name val="Times New Roman"/>
      <family val="1"/>
      <charset val="204"/>
    </font>
    <font>
      <b/>
      <sz val="9"/>
      <color indexed="8"/>
      <name val="Times New Roman"/>
      <family val="1"/>
      <charset val="204"/>
    </font>
    <font>
      <b/>
      <sz val="8"/>
      <color rgb="FFFF0000"/>
      <name val="Arial"/>
      <family val="2"/>
      <charset val="204"/>
    </font>
    <font>
      <sz val="11"/>
      <name val="Times New Roman"/>
      <family val="1"/>
      <charset val="204"/>
    </font>
    <font>
      <b/>
      <sz val="11"/>
      <name val="Times New Roman"/>
      <family val="1"/>
      <charset val="204"/>
    </font>
    <font>
      <b/>
      <sz val="10"/>
      <name val="Arial"/>
      <family val="2"/>
      <charset val="204"/>
    </font>
    <font>
      <sz val="11"/>
      <color indexed="81"/>
      <name val="Tahoma"/>
      <family val="2"/>
      <charset val="204"/>
    </font>
    <font>
      <b/>
      <sz val="24"/>
      <name val="Times New Roman"/>
      <family val="1"/>
      <charset val="204"/>
    </font>
    <font>
      <sz val="24"/>
      <name val="Calibri"/>
      <family val="2"/>
      <charset val="204"/>
      <scheme val="minor"/>
    </font>
    <font>
      <sz val="24"/>
      <color theme="1"/>
      <name val="Calibri"/>
      <family val="2"/>
      <charset val="204"/>
      <scheme val="minor"/>
    </font>
    <font>
      <sz val="18"/>
      <color theme="1"/>
      <name val="Calibri"/>
      <family val="2"/>
      <charset val="204"/>
      <scheme val="minor"/>
    </font>
    <font>
      <sz val="24"/>
      <name val="Times New Roman"/>
      <family val="1"/>
      <charset val="204"/>
    </font>
    <font>
      <sz val="16"/>
      <color theme="1"/>
      <name val="Calibri"/>
      <family val="2"/>
      <charset val="204"/>
      <scheme val="minor"/>
    </font>
    <font>
      <b/>
      <sz val="16"/>
      <color theme="1"/>
      <name val="Calibri"/>
      <family val="2"/>
      <charset val="204"/>
      <scheme val="minor"/>
    </font>
    <font>
      <sz val="8"/>
      <name val="Helvetica-Narrow"/>
      <family val="2"/>
    </font>
    <font>
      <b/>
      <sz val="18"/>
      <color theme="1"/>
      <name val="Times New Roman"/>
      <family val="1"/>
      <charset val="204"/>
    </font>
    <font>
      <sz val="11"/>
      <color theme="1"/>
      <name val="Calibri"/>
      <family val="2"/>
      <charset val="204"/>
      <scheme val="minor"/>
    </font>
    <font>
      <b/>
      <sz val="24"/>
      <color theme="0"/>
      <name val="Times New Roman"/>
      <family val="1"/>
      <charset val="204"/>
    </font>
    <font>
      <sz val="24"/>
      <color theme="0"/>
      <name val="Calibri"/>
      <family val="2"/>
      <charset val="204"/>
      <scheme val="minor"/>
    </font>
    <font>
      <sz val="18"/>
      <color theme="0"/>
      <name val="Calibri"/>
      <family val="2"/>
      <charset val="204"/>
      <scheme val="minor"/>
    </font>
    <font>
      <sz val="24"/>
      <color theme="0"/>
      <name val="Times New Roman"/>
      <family val="1"/>
      <charset val="204"/>
    </font>
    <font>
      <sz val="11"/>
      <color theme="0"/>
      <name val="Calibri"/>
      <family val="2"/>
      <charset val="204"/>
      <scheme val="minor"/>
    </font>
    <font>
      <b/>
      <sz val="18"/>
      <color theme="1"/>
      <name val="Times New Roman"/>
      <family val="1"/>
      <charset val="204"/>
    </font>
    <font>
      <sz val="10"/>
      <name val="Arial Cyr"/>
    </font>
    <font>
      <sz val="16"/>
      <color indexed="64"/>
      <name val="Times New Roman"/>
      <family val="1"/>
      <charset val="204"/>
    </font>
    <font>
      <sz val="16"/>
      <color theme="1"/>
      <name val="Calibri"/>
      <family val="2"/>
      <charset val="204"/>
      <scheme val="minor"/>
    </font>
    <font>
      <b/>
      <sz val="16"/>
      <color indexed="64"/>
      <name val="Times New Roman"/>
      <family val="1"/>
      <charset val="204"/>
    </font>
    <font>
      <sz val="16"/>
      <name val="Times New Roman"/>
      <family val="1"/>
      <charset val="204"/>
    </font>
    <font>
      <sz val="18"/>
      <name val="Times New Roman"/>
      <family val="1"/>
      <charset val="204"/>
    </font>
    <font>
      <b/>
      <sz val="16"/>
      <name val="Times New Roman"/>
      <family val="1"/>
      <charset val="204"/>
    </font>
    <font>
      <b/>
      <sz val="16"/>
      <color theme="1"/>
      <name val="Calibri"/>
      <family val="2"/>
      <charset val="204"/>
      <scheme val="minor"/>
    </font>
    <font>
      <sz val="16"/>
      <color theme="1"/>
      <name val="Times New Roman"/>
      <family val="1"/>
      <charset val="204"/>
    </font>
    <font>
      <sz val="26"/>
      <color theme="1"/>
      <name val="Times New Roman"/>
      <family val="1"/>
      <charset val="204"/>
    </font>
    <font>
      <sz val="18"/>
      <color theme="1"/>
      <name val="Calibri"/>
      <family val="2"/>
      <charset val="204"/>
      <scheme val="minor"/>
    </font>
    <font>
      <sz val="26"/>
      <name val="Times New Roman"/>
      <family val="1"/>
      <charset val="204"/>
    </font>
    <font>
      <sz val="10"/>
      <color rgb="FFFFFF00"/>
      <name val="Times New Roman"/>
      <family val="1"/>
      <charset val="204"/>
    </font>
    <font>
      <b/>
      <sz val="10"/>
      <color rgb="FFFFFF00"/>
      <name val="Times New Roman"/>
      <family val="1"/>
      <charset val="204"/>
    </font>
    <font>
      <sz val="10"/>
      <color rgb="FFFFFF00"/>
      <name val="Arial"/>
      <family val="2"/>
      <charset val="204"/>
    </font>
    <font>
      <sz val="10"/>
      <color rgb="FF66FF66"/>
      <name val="Times New Roman"/>
      <family val="1"/>
      <charset val="204"/>
    </font>
    <font>
      <b/>
      <sz val="10"/>
      <color rgb="FF66FF66"/>
      <name val="Times New Roman"/>
      <family val="1"/>
      <charset val="204"/>
    </font>
    <font>
      <sz val="10"/>
      <color rgb="FF66FF66"/>
      <name val="Arial"/>
      <family val="2"/>
      <charset val="204"/>
    </font>
    <font>
      <b/>
      <sz val="10"/>
      <color rgb="FF66FF66"/>
      <name val="Arial"/>
      <family val="2"/>
      <charset val="204"/>
    </font>
    <font>
      <i/>
      <sz val="10"/>
      <color rgb="FF66FF66"/>
      <name val="Arial"/>
      <family val="2"/>
      <charset val="204"/>
    </font>
    <font>
      <b/>
      <sz val="12"/>
      <name val="Arial"/>
      <family val="2"/>
      <charset val="204"/>
    </font>
    <font>
      <b/>
      <sz val="10"/>
      <name val="Calibri"/>
      <family val="2"/>
      <charset val="204"/>
      <scheme val="minor"/>
    </font>
    <font>
      <b/>
      <sz val="8"/>
      <name val="Arial"/>
      <family val="2"/>
      <charset val="204"/>
    </font>
    <font>
      <sz val="10"/>
      <color rgb="FF0000FF"/>
      <name val="Times New Roman"/>
      <family val="1"/>
      <charset val="204"/>
    </font>
    <font>
      <b/>
      <sz val="10"/>
      <color rgb="FF0000FF"/>
      <name val="Times New Roman"/>
      <family val="1"/>
      <charset val="204"/>
    </font>
    <font>
      <sz val="12"/>
      <color rgb="FF0000FF"/>
      <name val="Arial"/>
      <family val="2"/>
      <charset val="204"/>
    </font>
    <font>
      <i/>
      <sz val="12"/>
      <color rgb="FF0000FF"/>
      <name val="Arial"/>
      <family val="2"/>
      <charset val="204"/>
    </font>
    <font>
      <b/>
      <sz val="10"/>
      <color rgb="FF0000FF"/>
      <name val="Calibri"/>
      <family val="2"/>
      <charset val="204"/>
      <scheme val="minor"/>
    </font>
    <font>
      <b/>
      <sz val="11"/>
      <color rgb="FF0000FF"/>
      <name val="Calibri"/>
      <family val="2"/>
      <charset val="204"/>
      <scheme val="minor"/>
    </font>
    <font>
      <sz val="12"/>
      <color rgb="FF0000FF"/>
      <name val="Times New Roman"/>
      <family val="1"/>
      <charset val="204"/>
    </font>
    <font>
      <sz val="12"/>
      <color rgb="FFFFFF00"/>
      <name val="Times New Roman"/>
      <family val="1"/>
      <charset val="204"/>
    </font>
    <font>
      <sz val="12"/>
      <color rgb="FF66FF66"/>
      <name val="Times New Roman"/>
      <family val="1"/>
      <charset val="204"/>
    </font>
    <font>
      <sz val="12"/>
      <color theme="1"/>
      <name val="Calibri"/>
      <family val="2"/>
      <charset val="204"/>
      <scheme val="minor"/>
    </font>
    <font>
      <b/>
      <sz val="12"/>
      <color theme="1"/>
      <name val="Calibri"/>
      <family val="2"/>
      <charset val="204"/>
      <scheme val="minor"/>
    </font>
    <font>
      <sz val="24"/>
      <color theme="1"/>
      <name val="Times New Roman"/>
      <family val="1"/>
      <charset val="204"/>
    </font>
    <font>
      <sz val="11"/>
      <color theme="1"/>
      <name val="Times New Roman"/>
      <family val="1"/>
      <charset val="204"/>
    </font>
    <font>
      <b/>
      <u/>
      <sz val="9"/>
      <color indexed="81"/>
      <name val="Tahoma"/>
      <family val="2"/>
      <charset val="204"/>
    </font>
    <font>
      <u/>
      <sz val="10"/>
      <color indexed="81"/>
      <name val="Tahoma"/>
      <family val="2"/>
      <charset val="204"/>
    </font>
    <font>
      <b/>
      <u/>
      <sz val="11"/>
      <color indexed="81"/>
      <name val="Tahoma"/>
      <family val="2"/>
      <charset val="204"/>
    </font>
    <font>
      <b/>
      <sz val="12"/>
      <color rgb="FFFFFF00"/>
      <name val="Times New Roman"/>
      <family val="1"/>
      <charset val="204"/>
    </font>
    <font>
      <sz val="10"/>
      <color rgb="FF00B050"/>
      <name val="Arial"/>
      <family val="2"/>
      <charset val="204"/>
    </font>
    <font>
      <b/>
      <sz val="10"/>
      <color indexed="8"/>
      <name val="Calibri"/>
      <family val="2"/>
      <charset val="204"/>
      <scheme val="minor"/>
    </font>
    <font>
      <b/>
      <sz val="12"/>
      <color indexed="8"/>
      <name val="Calibri"/>
      <family val="2"/>
      <charset val="204"/>
      <scheme val="minor"/>
    </font>
    <font>
      <sz val="10"/>
      <color rgb="FF0000FF"/>
      <name val="Calibri"/>
      <family val="2"/>
      <charset val="204"/>
      <scheme val="minor"/>
    </font>
    <font>
      <b/>
      <sz val="14"/>
      <color indexed="8"/>
      <name val="Calibri"/>
      <family val="2"/>
      <charset val="204"/>
      <scheme val="minor"/>
    </font>
    <font>
      <b/>
      <sz val="11"/>
      <color indexed="8"/>
      <name val="Calibri"/>
      <family val="2"/>
      <charset val="204"/>
      <scheme val="minor"/>
    </font>
    <font>
      <b/>
      <sz val="12"/>
      <color rgb="FFFF0000"/>
      <name val="Calibri"/>
      <family val="2"/>
      <charset val="204"/>
      <scheme val="minor"/>
    </font>
    <font>
      <b/>
      <sz val="10"/>
      <color rgb="FFFF0000"/>
      <name val="Calibri"/>
      <family val="2"/>
      <charset val="204"/>
      <scheme val="minor"/>
    </font>
    <font>
      <sz val="10"/>
      <color rgb="FFC00000"/>
      <name val="Calibri"/>
      <family val="2"/>
      <charset val="204"/>
      <scheme val="minor"/>
    </font>
    <font>
      <b/>
      <sz val="12"/>
      <name val="Calibri"/>
      <family val="2"/>
      <charset val="204"/>
      <scheme val="minor"/>
    </font>
    <font>
      <sz val="12"/>
      <color indexed="8"/>
      <name val="Calibri"/>
      <family val="2"/>
      <charset val="204"/>
      <scheme val="minor"/>
    </font>
    <font>
      <sz val="10"/>
      <color rgb="FFFF0000"/>
      <name val="Calibri"/>
      <family val="2"/>
      <charset val="204"/>
      <scheme val="minor"/>
    </font>
    <font>
      <b/>
      <sz val="12"/>
      <color rgb="FFFFFF00"/>
      <name val="Calibri"/>
      <family val="2"/>
      <charset val="204"/>
      <scheme val="minor"/>
    </font>
    <font>
      <sz val="10"/>
      <color indexed="8"/>
      <name val="Calibri"/>
      <family val="2"/>
      <charset val="204"/>
      <scheme val="minor"/>
    </font>
    <font>
      <b/>
      <sz val="12.5"/>
      <name val="Times New Roman"/>
      <family val="1"/>
      <charset val="204"/>
    </font>
    <font>
      <b/>
      <sz val="12.5"/>
      <color indexed="8"/>
      <name val="Times New Roman"/>
      <family val="1"/>
      <charset val="204"/>
    </font>
    <font>
      <sz val="12.5"/>
      <color rgb="FF0000FF"/>
      <name val="Arial"/>
      <family val="2"/>
      <charset val="204"/>
    </font>
    <font>
      <sz val="12.5"/>
      <color rgb="FFFF0000"/>
      <name val="Arial"/>
      <family val="2"/>
      <charset val="204"/>
    </font>
    <font>
      <sz val="12.5"/>
      <color rgb="FFC00000"/>
      <name val="Arial"/>
      <family val="2"/>
      <charset val="204"/>
    </font>
    <font>
      <b/>
      <sz val="12.5"/>
      <color rgb="FF0000FF"/>
      <name val="Arial"/>
      <family val="2"/>
      <charset val="204"/>
    </font>
    <font>
      <sz val="12.5"/>
      <color rgb="FF003300"/>
      <name val="Arial"/>
      <family val="2"/>
      <charset val="204"/>
    </font>
    <font>
      <i/>
      <sz val="12.5"/>
      <color rgb="FFFF0000"/>
      <name val="Arial"/>
      <family val="2"/>
      <charset val="204"/>
    </font>
    <font>
      <b/>
      <sz val="12.5"/>
      <color rgb="FF003300"/>
      <name val="Arial"/>
      <family val="2"/>
      <charset val="204"/>
    </font>
    <font>
      <b/>
      <sz val="12.5"/>
      <name val="Arial"/>
      <family val="2"/>
      <charset val="204"/>
    </font>
    <font>
      <sz val="10"/>
      <color rgb="FF009900"/>
      <name val="Arial"/>
      <family val="2"/>
      <charset val="204"/>
    </font>
    <font>
      <i/>
      <sz val="10"/>
      <name val="Arial"/>
      <family val="2"/>
      <charset val="204"/>
    </font>
    <font>
      <sz val="10"/>
      <color rgb="FF993300"/>
      <name val="Arial"/>
      <family val="2"/>
      <charset val="204"/>
    </font>
    <font>
      <b/>
      <sz val="12"/>
      <color theme="3" tint="-0.249977111117893"/>
      <name val="Times New Roman"/>
      <family val="1"/>
      <charset val="204"/>
    </font>
    <font>
      <b/>
      <sz val="10"/>
      <color theme="3" tint="-0.249977111117893"/>
      <name val="Arial"/>
      <family val="2"/>
      <charset val="204"/>
    </font>
    <font>
      <sz val="10"/>
      <color theme="3" tint="-0.249977111117893"/>
      <name val="Times New Roman"/>
      <family val="1"/>
      <charset val="204"/>
    </font>
    <font>
      <b/>
      <sz val="10"/>
      <color theme="3" tint="-0.249977111117893"/>
      <name val="Times New Roman"/>
      <family val="1"/>
      <charset val="204"/>
    </font>
    <font>
      <sz val="14"/>
      <color theme="3" tint="-0.249977111117893"/>
      <name val="Times New Roman"/>
      <family val="1"/>
      <charset val="204"/>
    </font>
    <font>
      <b/>
      <sz val="14"/>
      <color theme="3" tint="-0.249977111117893"/>
      <name val="Times New Roman"/>
      <family val="1"/>
      <charset val="204"/>
    </font>
    <font>
      <b/>
      <i/>
      <sz val="10"/>
      <color theme="3" tint="-0.249977111117893"/>
      <name val="Arial"/>
      <family val="2"/>
      <charset val="204"/>
    </font>
    <font>
      <sz val="12"/>
      <color theme="3" tint="-0.249977111117893"/>
      <name val="Times New Roman"/>
      <family val="1"/>
      <charset val="204"/>
    </font>
    <font>
      <sz val="10"/>
      <color rgb="FF00FF00"/>
      <name val="Arial"/>
      <family val="2"/>
      <charset val="204"/>
    </font>
    <font>
      <b/>
      <sz val="10"/>
      <color rgb="FFC00000"/>
      <name val="Arial"/>
      <family val="2"/>
      <charset val="204"/>
    </font>
    <font>
      <sz val="10"/>
      <color rgb="FF00FF00"/>
      <name val="Times New Roman"/>
      <family val="1"/>
      <charset val="204"/>
    </font>
    <font>
      <sz val="9"/>
      <name val="Sitka Subheading"/>
      <charset val="204"/>
    </font>
    <font>
      <sz val="17"/>
      <name val="Times New Roman"/>
      <family val="1"/>
      <charset val="204"/>
    </font>
    <font>
      <sz val="17"/>
      <color rgb="FFFF0000"/>
      <name val="Times New Roman"/>
      <family val="1"/>
      <charset val="204"/>
    </font>
    <font>
      <sz val="16"/>
      <color rgb="FFFF0000"/>
      <name val="Times New Roman"/>
      <family val="1"/>
      <charset val="204"/>
    </font>
    <font>
      <sz val="10"/>
      <color rgb="FFFFC000"/>
      <name val="Times New Roman"/>
      <family val="1"/>
      <charset val="204"/>
    </font>
    <font>
      <sz val="10"/>
      <name val="Arial"/>
      <family val="2"/>
      <charset val="204"/>
    </font>
    <font>
      <b/>
      <sz val="14"/>
      <color rgb="FF0000CC"/>
      <name val="Calibri"/>
      <family val="2"/>
      <charset val="204"/>
      <scheme val="minor"/>
    </font>
    <font>
      <sz val="12"/>
      <color rgb="FF0000CC"/>
      <name val="Times New Roman"/>
      <family val="1"/>
      <charset val="204"/>
    </font>
    <font>
      <b/>
      <sz val="14"/>
      <color rgb="FF00B050"/>
      <name val="Calibri"/>
      <family val="2"/>
      <charset val="204"/>
      <scheme val="minor"/>
    </font>
    <font>
      <sz val="12"/>
      <color rgb="FF00B050"/>
      <name val="Calibri"/>
      <family val="2"/>
      <charset val="204"/>
      <scheme val="minor"/>
    </font>
    <font>
      <sz val="12"/>
      <color rgb="FF0000CC"/>
      <name val="Calibri"/>
      <family val="2"/>
      <charset val="204"/>
      <scheme val="minor"/>
    </font>
    <font>
      <b/>
      <sz val="10"/>
      <color rgb="FF009900"/>
      <name val="Arial"/>
      <family val="2"/>
      <charset val="204"/>
    </font>
    <font>
      <sz val="12.5"/>
      <color rgb="FF009900"/>
      <name val="Arial"/>
      <family val="2"/>
      <charset val="204"/>
    </font>
    <font>
      <b/>
      <i/>
      <sz val="10"/>
      <color indexed="8"/>
      <name val="Arial"/>
      <family val="2"/>
      <charset val="204"/>
    </font>
    <font>
      <i/>
      <sz val="10"/>
      <color theme="9" tint="-0.499984740745262"/>
      <name val="Arial"/>
      <family val="2"/>
      <charset val="204"/>
    </font>
    <font>
      <b/>
      <i/>
      <sz val="10"/>
      <color rgb="FF0000FF"/>
      <name val="Arial"/>
      <family val="2"/>
      <charset val="204"/>
    </font>
    <font>
      <b/>
      <i/>
      <sz val="10"/>
      <color theme="9" tint="-0.499984740745262"/>
      <name val="Arial"/>
      <family val="2"/>
      <charset val="204"/>
    </font>
    <font>
      <b/>
      <i/>
      <sz val="10"/>
      <color rgb="FF003300"/>
      <name val="Arial"/>
      <family val="2"/>
      <charset val="204"/>
    </font>
    <font>
      <b/>
      <i/>
      <sz val="10"/>
      <name val="Arial"/>
      <family val="2"/>
      <charset val="204"/>
    </font>
    <font>
      <sz val="10"/>
      <color rgb="FF009900"/>
      <name val="Times New Roman"/>
      <family val="1"/>
      <charset val="204"/>
    </font>
    <font>
      <sz val="10"/>
      <name val="Calibri"/>
      <family val="2"/>
      <charset val="204"/>
      <scheme val="minor"/>
    </font>
    <font>
      <sz val="16"/>
      <color rgb="FFFFFF00"/>
      <name val="Times New Roman"/>
      <family val="1"/>
      <charset val="204"/>
    </font>
    <font>
      <sz val="16"/>
      <color rgb="FFFF0000"/>
      <name val="Calibri"/>
      <family val="2"/>
      <charset val="204"/>
      <scheme val="minor"/>
    </font>
    <font>
      <b/>
      <sz val="12"/>
      <color rgb="FF009900"/>
      <name val="Times New Roman"/>
      <family val="1"/>
      <charset val="204"/>
    </font>
    <font>
      <b/>
      <sz val="12"/>
      <color rgb="FF66FF66"/>
      <name val="Times New Roman"/>
      <family val="1"/>
      <charset val="204"/>
    </font>
    <font>
      <b/>
      <sz val="12"/>
      <color rgb="FF66FF66"/>
      <name val="Calibri"/>
      <family val="2"/>
      <charset val="204"/>
      <scheme val="minor"/>
    </font>
    <font>
      <sz val="12.5"/>
      <name val="Arial"/>
      <family val="2"/>
      <charset val="204"/>
    </font>
    <font>
      <b/>
      <sz val="22"/>
      <color theme="1"/>
      <name val="Times New Roman"/>
      <family val="1"/>
      <charset val="204"/>
    </font>
    <font>
      <sz val="22"/>
      <color theme="1"/>
      <name val="Calibri"/>
      <family val="2"/>
      <charset val="204"/>
      <scheme val="minor"/>
    </font>
    <font>
      <b/>
      <sz val="22"/>
      <name val="Times New Roman"/>
      <family val="1"/>
      <charset val="204"/>
    </font>
    <font>
      <sz val="22"/>
      <name val="Times New Roman"/>
      <family val="1"/>
      <charset val="204"/>
    </font>
    <font>
      <b/>
      <sz val="22"/>
      <color theme="1"/>
      <name val="Calibri"/>
      <family val="2"/>
      <charset val="204"/>
      <scheme val="minor"/>
    </font>
    <font>
      <sz val="22"/>
      <color theme="1"/>
      <name val="Times New Roman"/>
      <family val="1"/>
      <charset val="204"/>
    </font>
    <font>
      <b/>
      <sz val="22"/>
      <color theme="0"/>
      <name val="Times New Roman"/>
      <family val="1"/>
      <charset val="204"/>
    </font>
    <font>
      <sz val="22"/>
      <name val="Calibri"/>
      <family val="2"/>
      <charset val="204"/>
      <scheme val="minor"/>
    </font>
    <font>
      <sz val="14"/>
      <color theme="1"/>
      <name val="Calibri"/>
      <family val="2"/>
      <charset val="204"/>
      <scheme val="minor"/>
    </font>
  </fonts>
  <fills count="67">
    <fill>
      <patternFill patternType="none"/>
    </fill>
    <fill>
      <patternFill patternType="gray125"/>
    </fill>
    <fill>
      <patternFill patternType="solid">
        <fgColor rgb="FF92D050"/>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rgb="FFFFC000"/>
        <bgColor indexed="64"/>
      </patternFill>
    </fill>
    <fill>
      <patternFill patternType="solid">
        <fgColor theme="3" tint="0.39997558519241921"/>
        <bgColor indexed="64"/>
      </patternFill>
    </fill>
    <fill>
      <patternFill patternType="solid">
        <fgColor rgb="FF00B0F0"/>
        <bgColor indexed="64"/>
      </patternFill>
    </fill>
    <fill>
      <patternFill patternType="solid">
        <fgColor rgb="FFFFFF00"/>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FFFF99"/>
        <bgColor indexed="64"/>
      </patternFill>
    </fill>
    <fill>
      <patternFill patternType="solid">
        <fgColor theme="7" tint="0.79998168889431442"/>
        <bgColor indexed="64"/>
      </patternFill>
    </fill>
    <fill>
      <patternFill patternType="solid">
        <fgColor rgb="FFFFFF66"/>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0000"/>
        <bgColor indexed="64"/>
      </patternFill>
    </fill>
    <fill>
      <patternFill patternType="lightGray">
        <fgColor rgb="FFFFC000"/>
        <bgColor theme="8" tint="0.39997558519241921"/>
      </patternFill>
    </fill>
    <fill>
      <patternFill patternType="lightGray">
        <fgColor rgb="FFFFC000"/>
        <bgColor rgb="FFFFFF66"/>
      </patternFill>
    </fill>
    <fill>
      <patternFill patternType="lightGray">
        <fgColor rgb="FFFFC000"/>
      </patternFill>
    </fill>
    <fill>
      <patternFill patternType="lightGray">
        <fgColor rgb="FFFFC000"/>
        <bgColor theme="8" tint="0.59999389629810485"/>
      </patternFill>
    </fill>
    <fill>
      <patternFill patternType="mediumGray">
        <fgColor rgb="FFFFC000"/>
      </patternFill>
    </fill>
    <fill>
      <patternFill patternType="solid">
        <fgColor indexed="47"/>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theme="1"/>
        <bgColor indexed="64"/>
      </patternFill>
    </fill>
    <fill>
      <patternFill patternType="solid">
        <fgColor rgb="FF00FF00"/>
        <bgColor indexed="64"/>
      </patternFill>
    </fill>
    <fill>
      <patternFill patternType="solid">
        <fgColor theme="0"/>
        <bgColor indexed="64"/>
      </patternFill>
    </fill>
    <fill>
      <patternFill patternType="solid">
        <fgColor theme="3"/>
        <bgColor indexed="64"/>
      </patternFill>
    </fill>
    <fill>
      <patternFill patternType="solid">
        <fgColor theme="9" tint="-0.249977111117893"/>
        <bgColor indexed="64"/>
      </patternFill>
    </fill>
    <fill>
      <patternFill patternType="solid">
        <fgColor rgb="FFFFCC66"/>
        <bgColor indexed="64"/>
      </patternFill>
    </fill>
    <fill>
      <patternFill patternType="lightGray">
        <fgColor rgb="FFFFC000"/>
        <bgColor rgb="FFFFCC66"/>
      </patternFill>
    </fill>
    <fill>
      <patternFill patternType="lightGray">
        <fgColor rgb="FFFFC000"/>
        <bgColor theme="8" tint="0.79998168889431442"/>
      </patternFill>
    </fill>
    <fill>
      <patternFill patternType="solid">
        <fgColor rgb="FFFFE989"/>
        <bgColor indexed="64"/>
      </patternFill>
    </fill>
    <fill>
      <patternFill patternType="lightGray">
        <fgColor rgb="FFFFC000"/>
        <bgColor rgb="FFFFE989"/>
      </patternFill>
    </fill>
    <fill>
      <patternFill patternType="solid">
        <fgColor rgb="FF66FF66"/>
        <bgColor indexed="64"/>
      </patternFill>
    </fill>
    <fill>
      <patternFill patternType="lightGray">
        <fgColor rgb="FFFFC000"/>
        <bgColor rgb="FFFF0000"/>
      </patternFill>
    </fill>
    <fill>
      <patternFill patternType="solid">
        <fgColor theme="2" tint="-0.499984740745262"/>
        <bgColor indexed="64"/>
      </patternFill>
    </fill>
    <fill>
      <patternFill patternType="lightGray">
        <fgColor rgb="FFFFC000"/>
        <bgColor theme="2" tint="-0.499984740745262"/>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style="thin">
        <color indexed="64"/>
      </right>
      <top style="thin">
        <color indexed="64"/>
      </top>
      <bottom/>
      <diagonal/>
    </border>
  </borders>
  <cellStyleXfs count="101">
    <xf numFmtId="0" fontId="0" fillId="0" borderId="0"/>
    <xf numFmtId="0" fontId="35" fillId="0" borderId="0" applyNumberFormat="0" applyFill="0" applyBorder="0" applyAlignment="0" applyProtection="0"/>
    <xf numFmtId="0" fontId="1" fillId="0" borderId="0"/>
    <xf numFmtId="0" fontId="1" fillId="0" borderId="0"/>
    <xf numFmtId="0" fontId="9" fillId="0" borderId="0"/>
    <xf numFmtId="0" fontId="10" fillId="0" borderId="0"/>
    <xf numFmtId="0" fontId="10" fillId="0" borderId="0"/>
    <xf numFmtId="0" fontId="11"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4" fontId="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4" fontId="1" fillId="0" borderId="0" applyFont="0" applyFill="0" applyBorder="0" applyAlignment="0" applyProtection="0"/>
    <xf numFmtId="164" fontId="12"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0" fontId="57" fillId="0" borderId="0"/>
    <xf numFmtId="0" fontId="57" fillId="0" borderId="0"/>
    <xf numFmtId="0" fontId="57" fillId="0" borderId="0"/>
    <xf numFmtId="0" fontId="57" fillId="0" borderId="0"/>
    <xf numFmtId="0" fontId="87" fillId="32" borderId="0" applyNumberFormat="0" applyBorder="0" applyAlignment="0" applyProtection="0"/>
    <xf numFmtId="0" fontId="87" fillId="34" borderId="0" applyNumberFormat="0" applyBorder="0" applyAlignment="0" applyProtection="0"/>
    <xf numFmtId="0" fontId="87" fillId="36" borderId="0" applyNumberFormat="0" applyBorder="0" applyAlignment="0" applyProtection="0"/>
    <xf numFmtId="0" fontId="87" fillId="37" borderId="0" applyNumberFormat="0" applyBorder="0" applyAlignment="0" applyProtection="0"/>
    <xf numFmtId="0" fontId="87" fillId="38" borderId="0" applyNumberFormat="0" applyBorder="0" applyAlignment="0" applyProtection="0"/>
    <xf numFmtId="0" fontId="87" fillId="31" borderId="0" applyNumberFormat="0" applyBorder="0" applyAlignment="0" applyProtection="0"/>
    <xf numFmtId="0" fontId="87" fillId="40" borderId="0" applyNumberFormat="0" applyBorder="0" applyAlignment="0" applyProtection="0"/>
    <xf numFmtId="0" fontId="87" fillId="33" borderId="0" applyNumberFormat="0" applyBorder="0" applyAlignment="0" applyProtection="0"/>
    <xf numFmtId="0" fontId="87" fillId="42" borderId="0" applyNumberFormat="0" applyBorder="0" applyAlignment="0" applyProtection="0"/>
    <xf numFmtId="0" fontId="87" fillId="37" borderId="0" applyNumberFormat="0" applyBorder="0" applyAlignment="0" applyProtection="0"/>
    <xf numFmtId="0" fontId="87" fillId="40" borderId="0" applyNumberFormat="0" applyBorder="0" applyAlignment="0" applyProtection="0"/>
    <xf numFmtId="0" fontId="87" fillId="43" borderId="0" applyNumberFormat="0" applyBorder="0" applyAlignment="0" applyProtection="0"/>
    <xf numFmtId="0" fontId="88" fillId="45" borderId="0" applyNumberFormat="0" applyBorder="0" applyAlignment="0" applyProtection="0"/>
    <xf numFmtId="0" fontId="88" fillId="33" borderId="0" applyNumberFormat="0" applyBorder="0" applyAlignment="0" applyProtection="0"/>
    <xf numFmtId="0" fontId="88" fillId="42" borderId="0" applyNumberFormat="0" applyBorder="0" applyAlignment="0" applyProtection="0"/>
    <xf numFmtId="0" fontId="88" fillId="46" borderId="0" applyNumberFormat="0" applyBorder="0" applyAlignment="0" applyProtection="0"/>
    <xf numFmtId="0" fontId="88" fillId="44" borderId="0" applyNumberFormat="0" applyBorder="0" applyAlignment="0" applyProtection="0"/>
    <xf numFmtId="0" fontId="88" fillId="47" borderId="0" applyNumberFormat="0" applyBorder="0" applyAlignment="0" applyProtection="0"/>
    <xf numFmtId="0" fontId="88" fillId="48" borderId="0" applyNumberFormat="0" applyBorder="0" applyAlignment="0" applyProtection="0"/>
    <xf numFmtId="0" fontId="88" fillId="49" borderId="0" applyNumberFormat="0" applyBorder="0" applyAlignment="0" applyProtection="0"/>
    <xf numFmtId="0" fontId="88" fillId="50" borderId="0" applyNumberFormat="0" applyBorder="0" applyAlignment="0" applyProtection="0"/>
    <xf numFmtId="0" fontId="88" fillId="46" borderId="0" applyNumberFormat="0" applyBorder="0" applyAlignment="0" applyProtection="0"/>
    <xf numFmtId="0" fontId="88" fillId="44" borderId="0" applyNumberFormat="0" applyBorder="0" applyAlignment="0" applyProtection="0"/>
    <xf numFmtId="0" fontId="88" fillId="51" borderId="0" applyNumberFormat="0" applyBorder="0" applyAlignment="0" applyProtection="0"/>
    <xf numFmtId="0" fontId="89" fillId="31" borderId="26" applyNumberFormat="0" applyAlignment="0" applyProtection="0"/>
    <xf numFmtId="0" fontId="90" fillId="39" borderId="27" applyNumberFormat="0" applyAlignment="0" applyProtection="0"/>
    <xf numFmtId="0" fontId="91" fillId="39" borderId="26" applyNumberFormat="0" applyAlignment="0" applyProtection="0"/>
    <xf numFmtId="0" fontId="100" fillId="0" borderId="28" applyNumberFormat="0" applyFill="0" applyAlignment="0" applyProtection="0"/>
    <xf numFmtId="0" fontId="101" fillId="0" borderId="29" applyNumberFormat="0" applyFill="0" applyAlignment="0" applyProtection="0"/>
    <xf numFmtId="0" fontId="102" fillId="0" borderId="30" applyNumberFormat="0" applyFill="0" applyAlignment="0" applyProtection="0"/>
    <xf numFmtId="0" fontId="102" fillId="0" borderId="0" applyNumberFormat="0" applyFill="0" applyBorder="0" applyAlignment="0" applyProtection="0"/>
    <xf numFmtId="0" fontId="92" fillId="0" borderId="31" applyNumberFormat="0" applyFill="0" applyAlignment="0" applyProtection="0"/>
    <xf numFmtId="0" fontId="93" fillId="52" borderId="32" applyNumberFormat="0" applyAlignment="0" applyProtection="0"/>
    <xf numFmtId="0" fontId="103" fillId="0" borderId="0" applyNumberFormat="0" applyFill="0" applyBorder="0" applyAlignment="0" applyProtection="0"/>
    <xf numFmtId="0" fontId="94" fillId="41" borderId="0" applyNumberFormat="0" applyBorder="0" applyAlignment="0" applyProtection="0"/>
    <xf numFmtId="0" fontId="95" fillId="34" borderId="0" applyNumberFormat="0" applyBorder="0" applyAlignment="0" applyProtection="0"/>
    <xf numFmtId="0" fontId="96" fillId="0" borderId="0" applyNumberFormat="0" applyFill="0" applyBorder="0" applyAlignment="0" applyProtection="0"/>
    <xf numFmtId="0" fontId="1" fillId="35" borderId="33" applyNumberFormat="0" applyFont="0" applyAlignment="0" applyProtection="0"/>
    <xf numFmtId="0" fontId="97" fillId="0" borderId="34" applyNumberFormat="0" applyFill="0" applyAlignment="0" applyProtection="0"/>
    <xf numFmtId="0" fontId="98" fillId="0" borderId="0" applyNumberFormat="0" applyFill="0" applyBorder="0" applyAlignment="0" applyProtection="0"/>
    <xf numFmtId="0" fontId="99" fillId="36" borderId="0" applyNumberFormat="0" applyBorder="0" applyAlignment="0" applyProtection="0"/>
    <xf numFmtId="0" fontId="1" fillId="0" borderId="0"/>
    <xf numFmtId="0" fontId="12" fillId="0" borderId="0"/>
    <xf numFmtId="0" fontId="104" fillId="0" borderId="0"/>
    <xf numFmtId="0" fontId="12" fillId="0" borderId="0"/>
    <xf numFmtId="0" fontId="105" fillId="0" borderId="0" applyNumberFormat="0" applyFill="0" applyBorder="0" applyAlignment="0" applyProtection="0"/>
    <xf numFmtId="0" fontId="106" fillId="0" borderId="0"/>
    <xf numFmtId="0" fontId="11" fillId="0" borderId="0"/>
    <xf numFmtId="0" fontId="11" fillId="0" borderId="0"/>
    <xf numFmtId="167" fontId="10" fillId="0" borderId="0" applyFont="0" applyFill="0" applyBorder="0" applyAlignment="0" applyProtection="0"/>
    <xf numFmtId="168" fontId="10" fillId="0" borderId="0" applyFont="0" applyFill="0" applyBorder="0" applyAlignment="0" applyProtection="0"/>
    <xf numFmtId="169" fontId="10" fillId="0" borderId="0" applyFont="0" applyFill="0" applyBorder="0" applyAlignment="0" applyProtection="0"/>
    <xf numFmtId="170" fontId="10" fillId="0" borderId="0" applyFont="0" applyFill="0" applyBorder="0" applyAlignment="0" applyProtection="0"/>
    <xf numFmtId="165" fontId="10" fillId="0" borderId="0" applyFont="0" applyFill="0" applyBorder="0" applyAlignment="0" applyProtection="0"/>
    <xf numFmtId="171"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 fillId="0" borderId="0"/>
    <xf numFmtId="0" fontId="12" fillId="0" borderId="0"/>
    <xf numFmtId="0" fontId="12" fillId="0" borderId="0"/>
    <xf numFmtId="172" fontId="127" fillId="0" borderId="0" applyFont="0" applyFill="0" applyBorder="0" applyAlignment="0" applyProtection="0"/>
    <xf numFmtId="173" fontId="127"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29" fillId="0" borderId="0"/>
    <xf numFmtId="0" fontId="136" fillId="0" borderId="0"/>
    <xf numFmtId="0" fontId="57" fillId="0" borderId="0"/>
    <xf numFmtId="0" fontId="219" fillId="0" borderId="0"/>
    <xf numFmtId="43" fontId="10" fillId="0" borderId="0" applyFont="0" applyFill="0" applyBorder="0" applyAlignment="0" applyProtection="0"/>
  </cellStyleXfs>
  <cellXfs count="1626">
    <xf numFmtId="0" fontId="0" fillId="0" borderId="0" xfId="0"/>
    <xf numFmtId="0" fontId="3" fillId="4" borderId="0" xfId="3" applyFont="1" applyFill="1" applyAlignment="1">
      <alignment horizontal="center" vertical="center"/>
    </xf>
    <xf numFmtId="0" fontId="3" fillId="0" borderId="0" xfId="3" applyFont="1" applyFill="1" applyAlignment="1">
      <alignment vertical="center"/>
    </xf>
    <xf numFmtId="0" fontId="3" fillId="0" borderId="0" xfId="3" applyFont="1" applyFill="1" applyBorder="1" applyAlignment="1">
      <alignment horizontal="center" vertical="center"/>
    </xf>
    <xf numFmtId="4" fontId="3" fillId="0" borderId="0" xfId="3" applyNumberFormat="1" applyFont="1" applyFill="1" applyAlignment="1">
      <alignment vertical="center"/>
    </xf>
    <xf numFmtId="0" fontId="3" fillId="0" borderId="0" xfId="3" applyFont="1" applyFill="1" applyAlignment="1">
      <alignment horizontal="right" vertical="center"/>
    </xf>
    <xf numFmtId="0" fontId="5" fillId="0" borderId="0" xfId="3" applyFont="1" applyFill="1" applyBorder="1" applyAlignment="1">
      <alignment horizontal="center" vertical="center" wrapText="1"/>
    </xf>
    <xf numFmtId="4" fontId="3" fillId="0" borderId="0" xfId="3" applyNumberFormat="1" applyFont="1" applyFill="1" applyAlignment="1">
      <alignment horizontal="center" vertical="center"/>
    </xf>
    <xf numFmtId="49" fontId="4" fillId="0" borderId="1" xfId="3" applyNumberFormat="1" applyFont="1" applyFill="1" applyBorder="1" applyAlignment="1">
      <alignment horizontal="center" vertical="center" wrapText="1"/>
    </xf>
    <xf numFmtId="49" fontId="6" fillId="0" borderId="1" xfId="3" applyNumberFormat="1" applyFont="1" applyFill="1" applyBorder="1" applyAlignment="1">
      <alignment horizontal="center" vertical="center" wrapText="1"/>
    </xf>
    <xf numFmtId="4" fontId="5" fillId="0" borderId="1" xfId="3" applyNumberFormat="1" applyFont="1" applyFill="1" applyBorder="1" applyAlignment="1">
      <alignment horizontal="right" vertical="center" wrapText="1"/>
    </xf>
    <xf numFmtId="0" fontId="4" fillId="0" borderId="1" xfId="3" applyNumberFormat="1" applyFont="1" applyFill="1" applyBorder="1" applyAlignment="1">
      <alignment horizontal="center" vertical="center" wrapText="1"/>
    </xf>
    <xf numFmtId="0" fontId="8" fillId="0" borderId="1" xfId="3" applyFont="1" applyFill="1" applyBorder="1" applyAlignment="1">
      <alignment horizontal="center" vertical="center" wrapText="1"/>
    </xf>
    <xf numFmtId="4" fontId="7" fillId="0" borderId="1" xfId="3" applyNumberFormat="1" applyFont="1" applyFill="1" applyBorder="1" applyAlignment="1">
      <alignment horizontal="right" vertical="center" wrapText="1"/>
    </xf>
    <xf numFmtId="4" fontId="4" fillId="0" borderId="0" xfId="3" applyNumberFormat="1" applyFont="1" applyFill="1" applyAlignment="1">
      <alignment horizontal="center" vertical="center"/>
    </xf>
    <xf numFmtId="0" fontId="4" fillId="0" borderId="0" xfId="3" applyFont="1" applyFill="1" applyAlignment="1">
      <alignment vertical="center"/>
    </xf>
    <xf numFmtId="0" fontId="6" fillId="0" borderId="1" xfId="3" applyFont="1" applyFill="1" applyBorder="1" applyAlignment="1">
      <alignment horizontal="center" vertical="center" wrapText="1"/>
    </xf>
    <xf numFmtId="0" fontId="6" fillId="0" borderId="1" xfId="3" applyNumberFormat="1" applyFont="1" applyFill="1" applyBorder="1" applyAlignment="1">
      <alignment horizontal="center" vertical="center" wrapText="1"/>
    </xf>
    <xf numFmtId="0" fontId="3" fillId="2" borderId="0" xfId="3" applyFont="1" applyFill="1" applyAlignment="1">
      <alignment horizontal="center" vertical="center"/>
    </xf>
    <xf numFmtId="0" fontId="3" fillId="3" borderId="0" xfId="3" applyFont="1" applyFill="1" applyAlignment="1">
      <alignment horizontal="center" vertical="center"/>
    </xf>
    <xf numFmtId="0" fontId="4" fillId="5" borderId="1" xfId="3" applyFont="1" applyFill="1" applyBorder="1" applyAlignment="1">
      <alignment horizontal="center" vertical="center" wrapText="1"/>
    </xf>
    <xf numFmtId="0" fontId="4" fillId="5" borderId="1" xfId="3" applyNumberFormat="1" applyFont="1" applyFill="1" applyBorder="1" applyAlignment="1">
      <alignment horizontal="center" vertical="center" wrapText="1"/>
    </xf>
    <xf numFmtId="49" fontId="4" fillId="5" borderId="1" xfId="3" applyNumberFormat="1" applyFont="1" applyFill="1" applyBorder="1" applyAlignment="1">
      <alignment horizontal="center" vertical="center" wrapText="1"/>
    </xf>
    <xf numFmtId="4" fontId="6" fillId="5" borderId="1" xfId="3" applyNumberFormat="1" applyFont="1" applyFill="1" applyBorder="1" applyAlignment="1">
      <alignment horizontal="right" vertical="center" wrapText="1"/>
    </xf>
    <xf numFmtId="4" fontId="7" fillId="5" borderId="1" xfId="3" applyNumberFormat="1" applyFont="1" applyFill="1" applyBorder="1" applyAlignment="1">
      <alignment horizontal="right" vertical="center" wrapText="1"/>
    </xf>
    <xf numFmtId="4" fontId="4" fillId="5" borderId="1" xfId="3" applyNumberFormat="1" applyFont="1" applyFill="1" applyBorder="1" applyAlignment="1">
      <alignment horizontal="right" vertical="center" wrapText="1"/>
    </xf>
    <xf numFmtId="0" fontId="3" fillId="5" borderId="0" xfId="3" applyFont="1" applyFill="1" applyAlignment="1">
      <alignment horizontal="center" vertical="center"/>
    </xf>
    <xf numFmtId="0" fontId="4" fillId="6" borderId="1" xfId="3" applyFont="1" applyFill="1" applyBorder="1" applyAlignment="1">
      <alignment horizontal="center" vertical="center" wrapText="1"/>
    </xf>
    <xf numFmtId="0" fontId="4" fillId="6" borderId="1" xfId="3" applyNumberFormat="1" applyFont="1" applyFill="1" applyBorder="1" applyAlignment="1">
      <alignment horizontal="center" vertical="center" wrapText="1"/>
    </xf>
    <xf numFmtId="49" fontId="4" fillId="6" borderId="1" xfId="3" applyNumberFormat="1" applyFont="1" applyFill="1" applyBorder="1" applyAlignment="1">
      <alignment horizontal="center" vertical="center" wrapText="1"/>
    </xf>
    <xf numFmtId="0" fontId="3" fillId="6" borderId="0" xfId="3" applyFont="1" applyFill="1" applyAlignment="1">
      <alignment horizontal="center" vertical="center"/>
    </xf>
    <xf numFmtId="0" fontId="3" fillId="0" borderId="0" xfId="3" applyFont="1" applyFill="1" applyAlignment="1">
      <alignment horizontal="center" vertical="center"/>
    </xf>
    <xf numFmtId="0" fontId="4" fillId="0" borderId="0" xfId="3" applyFont="1" applyFill="1" applyAlignment="1">
      <alignment horizontal="center" vertical="center"/>
    </xf>
    <xf numFmtId="4" fontId="3" fillId="4" borderId="0" xfId="3" applyNumberFormat="1" applyFont="1" applyFill="1" applyAlignment="1">
      <alignment vertical="center"/>
    </xf>
    <xf numFmtId="0" fontId="3" fillId="4" borderId="0" xfId="3" applyFont="1" applyFill="1" applyAlignment="1">
      <alignment vertical="center"/>
    </xf>
    <xf numFmtId="0" fontId="3" fillId="4" borderId="0" xfId="3" applyFont="1" applyFill="1" applyBorder="1" applyAlignment="1">
      <alignment horizontal="center" vertical="center"/>
    </xf>
    <xf numFmtId="0" fontId="8" fillId="4" borderId="1" xfId="3" applyFont="1" applyFill="1" applyBorder="1" applyAlignment="1">
      <alignment horizontal="center" vertical="center" wrapText="1"/>
    </xf>
    <xf numFmtId="4" fontId="6" fillId="4" borderId="1" xfId="3" applyNumberFormat="1" applyFont="1" applyFill="1" applyBorder="1" applyAlignment="1">
      <alignment horizontal="right" vertical="center" wrapText="1"/>
    </xf>
    <xf numFmtId="4" fontId="7" fillId="4" borderId="1" xfId="3" applyNumberFormat="1" applyFont="1" applyFill="1" applyBorder="1" applyAlignment="1">
      <alignment horizontal="right" vertical="center" wrapText="1"/>
    </xf>
    <xf numFmtId="4" fontId="5" fillId="4" borderId="1" xfId="3" applyNumberFormat="1" applyFont="1" applyFill="1" applyBorder="1" applyAlignment="1">
      <alignment horizontal="right" vertical="center" wrapText="1"/>
    </xf>
    <xf numFmtId="4" fontId="4" fillId="4" borderId="1" xfId="3" applyNumberFormat="1" applyFont="1" applyFill="1" applyBorder="1" applyAlignment="1">
      <alignment horizontal="right" vertical="center" wrapText="1"/>
    </xf>
    <xf numFmtId="0" fontId="3" fillId="4" borderId="0" xfId="3" applyFont="1" applyFill="1" applyAlignment="1">
      <alignment horizontal="right" vertical="center"/>
    </xf>
    <xf numFmtId="4" fontId="13" fillId="4" borderId="0" xfId="3" applyNumberFormat="1" applyFont="1" applyFill="1" applyAlignment="1">
      <alignment horizontal="right"/>
    </xf>
    <xf numFmtId="0" fontId="4" fillId="4" borderId="0" xfId="3" applyFont="1" applyFill="1" applyAlignment="1">
      <alignment horizontal="right"/>
    </xf>
    <xf numFmtId="0" fontId="5" fillId="4" borderId="0" xfId="3" applyFont="1" applyFill="1" applyBorder="1" applyAlignment="1">
      <alignment horizontal="center" vertical="center" wrapText="1"/>
    </xf>
    <xf numFmtId="0" fontId="13" fillId="4" borderId="0" xfId="3" applyFont="1" applyFill="1" applyBorder="1" applyAlignment="1">
      <alignment vertical="center"/>
    </xf>
    <xf numFmtId="0" fontId="4" fillId="4" borderId="0" xfId="3" applyFont="1" applyFill="1" applyAlignment="1">
      <alignment vertical="top"/>
    </xf>
    <xf numFmtId="0" fontId="5" fillId="4" borderId="5" xfId="3" applyFont="1" applyFill="1" applyBorder="1" applyAlignment="1">
      <alignment horizontal="center" vertical="center" wrapText="1"/>
    </xf>
    <xf numFmtId="4" fontId="4" fillId="4" borderId="0" xfId="3" applyNumberFormat="1" applyFont="1" applyFill="1" applyAlignment="1">
      <alignment vertical="top"/>
    </xf>
    <xf numFmtId="0" fontId="3" fillId="5" borderId="0" xfId="3" applyFont="1" applyFill="1" applyAlignment="1">
      <alignment vertical="center"/>
    </xf>
    <xf numFmtId="0" fontId="8" fillId="5" borderId="1" xfId="3" applyFont="1" applyFill="1" applyBorder="1" applyAlignment="1">
      <alignment horizontal="center" vertical="center" wrapText="1"/>
    </xf>
    <xf numFmtId="4" fontId="5" fillId="5" borderId="1" xfId="3" applyNumberFormat="1" applyFont="1" applyFill="1" applyBorder="1" applyAlignment="1">
      <alignment horizontal="right" vertical="center" wrapText="1"/>
    </xf>
    <xf numFmtId="0" fontId="13" fillId="5" borderId="0" xfId="3" applyFont="1" applyFill="1" applyBorder="1" applyAlignment="1">
      <alignment vertical="center"/>
    </xf>
    <xf numFmtId="0" fontId="4" fillId="5" borderId="0" xfId="3" applyFont="1" applyFill="1" applyAlignment="1">
      <alignment vertical="top"/>
    </xf>
    <xf numFmtId="0" fontId="5" fillId="5" borderId="0" xfId="3" applyFont="1" applyFill="1" applyBorder="1" applyAlignment="1">
      <alignment horizontal="center" vertical="center" wrapText="1"/>
    </xf>
    <xf numFmtId="0" fontId="4" fillId="0" borderId="1" xfId="3" applyFont="1" applyFill="1" applyBorder="1" applyAlignment="1">
      <alignment horizontal="center" vertical="center" wrapText="1"/>
    </xf>
    <xf numFmtId="4" fontId="6" fillId="7" borderId="1" xfId="3" applyNumberFormat="1" applyFont="1" applyFill="1" applyBorder="1" applyAlignment="1">
      <alignment horizontal="right" vertical="center" wrapText="1"/>
    </xf>
    <xf numFmtId="4" fontId="4" fillId="7" borderId="1" xfId="3" applyNumberFormat="1" applyFont="1" applyFill="1" applyBorder="1" applyAlignment="1">
      <alignment horizontal="right" vertical="center" wrapText="1"/>
    </xf>
    <xf numFmtId="4" fontId="5" fillId="5" borderId="0" xfId="3" applyNumberFormat="1" applyFont="1" applyFill="1" applyBorder="1" applyAlignment="1">
      <alignment horizontal="right" vertical="center" wrapText="1"/>
    </xf>
    <xf numFmtId="0" fontId="3" fillId="5" borderId="0" xfId="3" applyFont="1" applyFill="1" applyAlignment="1">
      <alignment horizontal="right" vertical="center"/>
    </xf>
    <xf numFmtId="0" fontId="8" fillId="4" borderId="2" xfId="3" applyFont="1" applyFill="1" applyBorder="1" applyAlignment="1">
      <alignment horizontal="center" vertical="center" wrapText="1"/>
    </xf>
    <xf numFmtId="0" fontId="8" fillId="5" borderId="4" xfId="3" applyFont="1" applyFill="1" applyBorder="1" applyAlignment="1">
      <alignment horizontal="center" vertical="center" wrapText="1"/>
    </xf>
    <xf numFmtId="4" fontId="3" fillId="3" borderId="0" xfId="3" applyNumberFormat="1" applyFont="1" applyFill="1" applyAlignment="1">
      <alignment horizontal="center" vertical="center"/>
    </xf>
    <xf numFmtId="0" fontId="3" fillId="3" borderId="0" xfId="3" applyFont="1" applyFill="1" applyAlignment="1">
      <alignment horizontal="left" vertical="center"/>
    </xf>
    <xf numFmtId="4" fontId="7" fillId="5" borderId="0" xfId="3" applyNumberFormat="1" applyFont="1" applyFill="1" applyBorder="1" applyAlignment="1">
      <alignment horizontal="right" vertical="center" wrapText="1"/>
    </xf>
    <xf numFmtId="0" fontId="3" fillId="6" borderId="0" xfId="3" applyFont="1" applyFill="1" applyBorder="1" applyAlignment="1">
      <alignment horizontal="center" vertical="center"/>
    </xf>
    <xf numFmtId="4" fontId="3" fillId="4" borderId="0" xfId="3" applyNumberFormat="1" applyFont="1" applyFill="1" applyAlignment="1">
      <alignment horizontal="center" vertical="center"/>
    </xf>
    <xf numFmtId="0" fontId="4" fillId="0" borderId="0" xfId="3" applyFont="1" applyFill="1" applyAlignment="1">
      <alignment horizontal="left" vertical="center" wrapText="1"/>
    </xf>
    <xf numFmtId="0" fontId="3" fillId="4" borderId="0" xfId="3" applyFont="1" applyFill="1" applyAlignment="1">
      <alignment horizontal="center" vertical="center"/>
    </xf>
    <xf numFmtId="0" fontId="4" fillId="0" borderId="0" xfId="3" applyFont="1" applyFill="1" applyAlignment="1">
      <alignment horizontal="left" vertical="center" wrapText="1"/>
    </xf>
    <xf numFmtId="4" fontId="14" fillId="4" borderId="0" xfId="3" applyNumberFormat="1" applyFont="1" applyFill="1" applyAlignment="1">
      <alignment vertical="center"/>
    </xf>
    <xf numFmtId="0" fontId="14" fillId="4" borderId="0" xfId="3" applyFont="1" applyFill="1" applyAlignment="1">
      <alignment vertical="center"/>
    </xf>
    <xf numFmtId="4" fontId="16" fillId="4" borderId="0" xfId="3" applyNumberFormat="1" applyFont="1" applyFill="1" applyAlignment="1">
      <alignment horizontal="right"/>
    </xf>
    <xf numFmtId="0" fontId="5" fillId="4" borderId="0" xfId="3" applyFont="1" applyFill="1" applyAlignment="1">
      <alignment horizontal="right"/>
    </xf>
    <xf numFmtId="0" fontId="16" fillId="4" borderId="0" xfId="3" applyFont="1" applyFill="1" applyBorder="1" applyAlignment="1">
      <alignment vertical="center"/>
    </xf>
    <xf numFmtId="0" fontId="5" fillId="4" borderId="0" xfId="3" applyFont="1" applyFill="1" applyAlignment="1">
      <alignment vertical="top"/>
    </xf>
    <xf numFmtId="4" fontId="5" fillId="4" borderId="0" xfId="3" applyNumberFormat="1" applyFont="1" applyFill="1" applyAlignment="1">
      <alignment vertical="top"/>
    </xf>
    <xf numFmtId="0" fontId="4" fillId="8" borderId="1" xfId="3" applyFont="1" applyFill="1" applyBorder="1" applyAlignment="1">
      <alignment horizontal="center" vertical="center" wrapText="1"/>
    </xf>
    <xf numFmtId="0" fontId="4" fillId="8" borderId="1" xfId="3" applyNumberFormat="1" applyFont="1" applyFill="1" applyBorder="1" applyAlignment="1">
      <alignment horizontal="center" vertical="center" wrapText="1"/>
    </xf>
    <xf numFmtId="49" fontId="4" fillId="8" borderId="1" xfId="3" applyNumberFormat="1" applyFont="1" applyFill="1" applyBorder="1" applyAlignment="1">
      <alignment horizontal="center" vertical="center" wrapText="1"/>
    </xf>
    <xf numFmtId="4" fontId="7" fillId="8" borderId="1" xfId="3" applyNumberFormat="1" applyFont="1" applyFill="1" applyBorder="1" applyAlignment="1">
      <alignment horizontal="right" vertical="center" wrapText="1"/>
    </xf>
    <xf numFmtId="0" fontId="3" fillId="8" borderId="0" xfId="3" applyFont="1" applyFill="1" applyAlignment="1">
      <alignment horizontal="center" vertical="center"/>
    </xf>
    <xf numFmtId="4" fontId="3" fillId="8" borderId="0" xfId="3" applyNumberFormat="1" applyFont="1" applyFill="1" applyAlignment="1">
      <alignment horizontal="center" vertical="center"/>
    </xf>
    <xf numFmtId="4" fontId="6" fillId="0" borderId="0" xfId="0" applyNumberFormat="1" applyFont="1" applyAlignment="1">
      <alignment horizontal="center" vertical="top"/>
    </xf>
    <xf numFmtId="4" fontId="4" fillId="5" borderId="0" xfId="3" applyNumberFormat="1" applyFont="1" applyFill="1" applyBorder="1" applyAlignment="1">
      <alignment horizontal="right" vertical="center" wrapText="1"/>
    </xf>
    <xf numFmtId="0" fontId="14" fillId="0" borderId="0" xfId="3" applyFont="1" applyFill="1" applyAlignment="1">
      <alignment horizontal="right" vertical="center"/>
    </xf>
    <xf numFmtId="0" fontId="14" fillId="0" borderId="0" xfId="3" applyFont="1" applyFill="1" applyAlignment="1">
      <alignment horizontal="center" vertical="center"/>
    </xf>
    <xf numFmtId="0" fontId="14" fillId="0" borderId="0" xfId="3" applyFont="1" applyFill="1" applyBorder="1" applyAlignment="1">
      <alignment horizontal="center" vertical="center"/>
    </xf>
    <xf numFmtId="0" fontId="14" fillId="0" borderId="0" xfId="3" applyFont="1" applyFill="1" applyAlignment="1">
      <alignment vertical="center"/>
    </xf>
    <xf numFmtId="0" fontId="15" fillId="0" borderId="1" xfId="3" applyFont="1" applyFill="1" applyBorder="1" applyAlignment="1">
      <alignment horizontal="center" vertical="center" wrapText="1"/>
    </xf>
    <xf numFmtId="0" fontId="15" fillId="0" borderId="2" xfId="3" applyFont="1" applyFill="1" applyBorder="1" applyAlignment="1">
      <alignment horizontal="center" vertical="center" wrapText="1"/>
    </xf>
    <xf numFmtId="4" fontId="7" fillId="9" borderId="1" xfId="3" applyNumberFormat="1" applyFont="1" applyFill="1" applyBorder="1" applyAlignment="1">
      <alignment horizontal="right" vertical="center" wrapText="1"/>
    </xf>
    <xf numFmtId="0" fontId="4" fillId="0" borderId="0" xfId="3" applyFont="1" applyFill="1" applyAlignment="1">
      <alignment horizontal="left" vertical="center" wrapText="1"/>
    </xf>
    <xf numFmtId="0" fontId="5" fillId="0" borderId="0" xfId="3" applyFont="1" applyFill="1" applyBorder="1" applyAlignment="1">
      <alignment horizontal="center" vertical="center" wrapText="1"/>
    </xf>
    <xf numFmtId="4" fontId="7" fillId="6" borderId="1" xfId="3" applyNumberFormat="1" applyFont="1" applyFill="1" applyBorder="1" applyAlignment="1">
      <alignment horizontal="right" vertical="center" wrapText="1"/>
    </xf>
    <xf numFmtId="4" fontId="5" fillId="6" borderId="1" xfId="3" applyNumberFormat="1" applyFont="1" applyFill="1" applyBorder="1" applyAlignment="1">
      <alignment horizontal="right" vertical="center" wrapText="1"/>
    </xf>
    <xf numFmtId="0" fontId="4" fillId="0" borderId="0" xfId="3" applyFont="1" applyFill="1" applyAlignment="1">
      <alignment horizontal="left" vertical="center" wrapText="1"/>
    </xf>
    <xf numFmtId="4" fontId="6" fillId="9" borderId="1" xfId="3" applyNumberFormat="1" applyFont="1" applyFill="1" applyBorder="1" applyAlignment="1">
      <alignment horizontal="right" vertical="center" wrapText="1"/>
    </xf>
    <xf numFmtId="4" fontId="4" fillId="6" borderId="1" xfId="3" applyNumberFormat="1" applyFont="1" applyFill="1" applyBorder="1" applyAlignment="1">
      <alignment horizontal="right" vertical="center" wrapText="1"/>
    </xf>
    <xf numFmtId="4" fontId="4" fillId="0" borderId="1" xfId="3" applyNumberFormat="1" applyFont="1" applyFill="1" applyBorder="1" applyAlignment="1">
      <alignment horizontal="right" vertical="center" wrapText="1"/>
    </xf>
    <xf numFmtId="4" fontId="6" fillId="0" borderId="1" xfId="3" applyNumberFormat="1" applyFont="1" applyFill="1" applyBorder="1" applyAlignment="1">
      <alignment horizontal="right" vertical="center" wrapText="1"/>
    </xf>
    <xf numFmtId="4" fontId="14" fillId="0" borderId="0" xfId="3" applyNumberFormat="1" applyFont="1" applyFill="1" applyAlignment="1">
      <alignment vertical="center"/>
    </xf>
    <xf numFmtId="4" fontId="6" fillId="0" borderId="0" xfId="0" applyNumberFormat="1" applyFont="1" applyFill="1" applyAlignment="1">
      <alignment horizontal="center" vertical="top"/>
    </xf>
    <xf numFmtId="4" fontId="16" fillId="0" borderId="0" xfId="3" applyNumberFormat="1" applyFont="1" applyFill="1" applyAlignment="1">
      <alignment horizontal="right"/>
    </xf>
    <xf numFmtId="0" fontId="16" fillId="0" borderId="0" xfId="3" applyFont="1" applyFill="1" applyBorder="1" applyAlignment="1">
      <alignment vertical="center"/>
    </xf>
    <xf numFmtId="0" fontId="5" fillId="0" borderId="0" xfId="3" applyFont="1" applyFill="1" applyAlignment="1">
      <alignment horizontal="right"/>
    </xf>
    <xf numFmtId="4" fontId="5" fillId="0" borderId="0" xfId="3" applyNumberFormat="1" applyFont="1" applyFill="1" applyAlignment="1">
      <alignment vertical="top"/>
    </xf>
    <xf numFmtId="4" fontId="6" fillId="6" borderId="1" xfId="3" applyNumberFormat="1" applyFont="1" applyFill="1" applyBorder="1" applyAlignment="1">
      <alignment horizontal="right" vertical="center" wrapText="1"/>
    </xf>
    <xf numFmtId="4" fontId="6" fillId="6" borderId="0" xfId="0" applyNumberFormat="1" applyFont="1" applyFill="1" applyAlignment="1">
      <alignment horizontal="center" vertical="top"/>
    </xf>
    <xf numFmtId="4" fontId="3" fillId="6" borderId="0" xfId="3" applyNumberFormat="1" applyFont="1" applyFill="1" applyAlignment="1">
      <alignment horizontal="center" vertical="center"/>
    </xf>
    <xf numFmtId="0" fontId="3" fillId="10" borderId="0" xfId="3" applyFont="1" applyFill="1" applyAlignment="1">
      <alignment vertical="center"/>
    </xf>
    <xf numFmtId="4" fontId="3" fillId="10" borderId="0" xfId="3" applyNumberFormat="1" applyFont="1" applyFill="1" applyAlignment="1">
      <alignment vertical="center"/>
    </xf>
    <xf numFmtId="0" fontId="8" fillId="10" borderId="1" xfId="3" applyFont="1" applyFill="1" applyBorder="1" applyAlignment="1">
      <alignment horizontal="center" vertical="center" wrapText="1"/>
    </xf>
    <xf numFmtId="0" fontId="4" fillId="10" borderId="1" xfId="3" applyFont="1" applyFill="1" applyBorder="1" applyAlignment="1">
      <alignment horizontal="center" vertical="center" wrapText="1"/>
    </xf>
    <xf numFmtId="0" fontId="4" fillId="10" borderId="0" xfId="3" applyFont="1" applyFill="1" applyAlignment="1">
      <alignment vertical="center"/>
    </xf>
    <xf numFmtId="0" fontId="6" fillId="2" borderId="1" xfId="3" applyFont="1" applyFill="1" applyBorder="1" applyAlignment="1">
      <alignment horizontal="center" vertical="center" wrapText="1"/>
    </xf>
    <xf numFmtId="4" fontId="5" fillId="9" borderId="1" xfId="3" applyNumberFormat="1" applyFont="1" applyFill="1" applyBorder="1" applyAlignment="1">
      <alignment horizontal="right" vertical="center" wrapText="1"/>
    </xf>
    <xf numFmtId="0" fontId="14" fillId="11" borderId="0" xfId="3" applyFont="1" applyFill="1" applyAlignment="1">
      <alignment vertical="center"/>
    </xf>
    <xf numFmtId="4" fontId="5" fillId="11" borderId="1" xfId="3" applyNumberFormat="1" applyFont="1" applyFill="1" applyBorder="1" applyAlignment="1">
      <alignment horizontal="right" vertical="center" wrapText="1"/>
    </xf>
    <xf numFmtId="4" fontId="7" fillId="11" borderId="1" xfId="3" applyNumberFormat="1" applyFont="1" applyFill="1" applyBorder="1" applyAlignment="1">
      <alignment horizontal="right" vertical="center" wrapText="1"/>
    </xf>
    <xf numFmtId="0" fontId="5" fillId="11" borderId="0" xfId="3" applyFont="1" applyFill="1" applyBorder="1" applyAlignment="1">
      <alignment horizontal="center" vertical="center" wrapText="1"/>
    </xf>
    <xf numFmtId="4" fontId="6" fillId="11" borderId="1" xfId="3" applyNumberFormat="1" applyFont="1" applyFill="1" applyBorder="1" applyAlignment="1">
      <alignment horizontal="right" vertical="center" wrapText="1"/>
    </xf>
    <xf numFmtId="0" fontId="16" fillId="11" borderId="0" xfId="3" applyFont="1" applyFill="1" applyBorder="1" applyAlignment="1">
      <alignment vertical="center"/>
    </xf>
    <xf numFmtId="0" fontId="5" fillId="11" borderId="0" xfId="3" applyFont="1" applyFill="1" applyAlignment="1">
      <alignment vertical="top"/>
    </xf>
    <xf numFmtId="0" fontId="14" fillId="12" borderId="0" xfId="3" applyFont="1" applyFill="1" applyAlignment="1">
      <alignment vertical="center"/>
    </xf>
    <xf numFmtId="0" fontId="3" fillId="12" borderId="0" xfId="3" applyFont="1" applyFill="1" applyAlignment="1">
      <alignment horizontal="right" vertical="center"/>
    </xf>
    <xf numFmtId="0" fontId="15" fillId="12" borderId="2" xfId="3" applyFont="1" applyFill="1" applyBorder="1" applyAlignment="1">
      <alignment horizontal="center" vertical="center" wrapText="1"/>
    </xf>
    <xf numFmtId="4" fontId="5" fillId="12" borderId="1" xfId="3" applyNumberFormat="1" applyFont="1" applyFill="1" applyBorder="1" applyAlignment="1">
      <alignment horizontal="right" vertical="center" wrapText="1"/>
    </xf>
    <xf numFmtId="4" fontId="6" fillId="12" borderId="1" xfId="3" applyNumberFormat="1" applyFont="1" applyFill="1" applyBorder="1" applyAlignment="1">
      <alignment horizontal="right" vertical="center" wrapText="1"/>
    </xf>
    <xf numFmtId="0" fontId="14" fillId="12" borderId="0" xfId="3" applyFont="1" applyFill="1" applyAlignment="1">
      <alignment horizontal="center" vertical="center"/>
    </xf>
    <xf numFmtId="0" fontId="4" fillId="0" borderId="0" xfId="3" applyFont="1" applyFill="1" applyAlignment="1">
      <alignment horizontal="left" vertical="center" wrapText="1"/>
    </xf>
    <xf numFmtId="0" fontId="5" fillId="0" borderId="0" xfId="3" applyFont="1" applyFill="1" applyBorder="1" applyAlignment="1">
      <alignment horizontal="center" vertical="center" wrapText="1"/>
    </xf>
    <xf numFmtId="4" fontId="14" fillId="0" borderId="0" xfId="3" applyNumberFormat="1" applyFont="1" applyFill="1" applyAlignment="1">
      <alignment horizontal="right" vertical="center"/>
    </xf>
    <xf numFmtId="0" fontId="18" fillId="0" borderId="0" xfId="0" applyFont="1" applyFill="1" applyAlignment="1">
      <alignment horizontal="left"/>
    </xf>
    <xf numFmtId="0" fontId="19" fillId="0" borderId="0" xfId="0" applyFont="1"/>
    <xf numFmtId="0" fontId="20" fillId="0" borderId="0" xfId="0" applyFont="1"/>
    <xf numFmtId="0" fontId="21" fillId="0" borderId="0" xfId="0" applyFont="1"/>
    <xf numFmtId="0" fontId="22" fillId="0" borderId="0" xfId="0" applyFont="1" applyFill="1" applyAlignment="1">
      <alignment horizontal="left"/>
    </xf>
    <xf numFmtId="0" fontId="17" fillId="0" borderId="0" xfId="0" applyFont="1"/>
    <xf numFmtId="0" fontId="24" fillId="0" borderId="1" xfId="3" applyFont="1" applyFill="1" applyBorder="1" applyAlignment="1">
      <alignment horizontal="center" vertical="center" wrapText="1"/>
    </xf>
    <xf numFmtId="4" fontId="26" fillId="0" borderId="1" xfId="3" applyNumberFormat="1" applyFont="1" applyFill="1" applyBorder="1" applyAlignment="1">
      <alignment horizontal="right" vertical="center" wrapText="1"/>
    </xf>
    <xf numFmtId="4" fontId="27" fillId="0" borderId="1" xfId="3" applyNumberFormat="1" applyFont="1" applyFill="1" applyBorder="1" applyAlignment="1">
      <alignment horizontal="right" vertical="center" wrapText="1"/>
    </xf>
    <xf numFmtId="4" fontId="26" fillId="0" borderId="1" xfId="3" applyNumberFormat="1" applyFont="1" applyFill="1" applyBorder="1" applyAlignment="1">
      <alignment vertical="center" wrapText="1"/>
    </xf>
    <xf numFmtId="0" fontId="24" fillId="0" borderId="1" xfId="3" applyFont="1" applyFill="1" applyBorder="1" applyAlignment="1">
      <alignment horizontal="left" vertical="center" wrapText="1"/>
    </xf>
    <xf numFmtId="0" fontId="27" fillId="0" borderId="1" xfId="3" applyFont="1" applyFill="1" applyBorder="1" applyAlignment="1">
      <alignment horizontal="center" vertical="center" wrapText="1"/>
    </xf>
    <xf numFmtId="0" fontId="27" fillId="0" borderId="1" xfId="3" applyNumberFormat="1" applyFont="1" applyFill="1" applyBorder="1" applyAlignment="1">
      <alignment horizontal="center" vertical="center" wrapText="1"/>
    </xf>
    <xf numFmtId="49" fontId="28" fillId="0" borderId="1" xfId="3" applyNumberFormat="1" applyFont="1" applyFill="1" applyBorder="1" applyAlignment="1">
      <alignment horizontal="center" vertical="center" wrapText="1"/>
    </xf>
    <xf numFmtId="0" fontId="24" fillId="0" borderId="4" xfId="3" applyFont="1" applyFill="1" applyBorder="1" applyAlignment="1">
      <alignment horizontal="left" vertical="center" wrapText="1"/>
    </xf>
    <xf numFmtId="49" fontId="27" fillId="0" borderId="1" xfId="3" applyNumberFormat="1" applyFont="1" applyFill="1" applyBorder="1" applyAlignment="1">
      <alignment horizontal="center" vertical="center" wrapText="1"/>
    </xf>
    <xf numFmtId="0" fontId="27" fillId="0" borderId="0" xfId="3" applyFont="1" applyFill="1" applyBorder="1" applyAlignment="1">
      <alignment horizontal="center" vertical="center" wrapText="1"/>
    </xf>
    <xf numFmtId="0" fontId="27" fillId="0" borderId="0" xfId="3" applyNumberFormat="1" applyFont="1" applyFill="1" applyBorder="1" applyAlignment="1">
      <alignment horizontal="center" vertical="center" wrapText="1"/>
    </xf>
    <xf numFmtId="49" fontId="28" fillId="0" borderId="0" xfId="3" applyNumberFormat="1" applyFont="1" applyFill="1" applyBorder="1" applyAlignment="1">
      <alignment horizontal="center" vertical="center" wrapText="1"/>
    </xf>
    <xf numFmtId="4" fontId="26" fillId="0" borderId="0" xfId="3" applyNumberFormat="1" applyFont="1" applyFill="1" applyBorder="1" applyAlignment="1">
      <alignment horizontal="right" vertical="center" wrapText="1"/>
    </xf>
    <xf numFmtId="4" fontId="27" fillId="0" borderId="0" xfId="3" applyNumberFormat="1" applyFont="1" applyFill="1" applyBorder="1" applyAlignment="1">
      <alignment horizontal="right" vertical="center" wrapText="1"/>
    </xf>
    <xf numFmtId="4" fontId="26" fillId="0" borderId="0" xfId="3" applyNumberFormat="1" applyFont="1" applyFill="1" applyBorder="1" applyAlignment="1">
      <alignment vertical="center" wrapText="1"/>
    </xf>
    <xf numFmtId="0" fontId="24" fillId="0" borderId="0" xfId="3" applyFont="1" applyFill="1" applyBorder="1" applyAlignment="1">
      <alignment horizontal="left" vertical="center" wrapText="1"/>
    </xf>
    <xf numFmtId="0" fontId="29" fillId="0" borderId="0" xfId="0" applyFont="1"/>
    <xf numFmtId="0" fontId="24" fillId="0" borderId="6" xfId="3" applyFont="1" applyFill="1" applyBorder="1" applyAlignment="1">
      <alignment vertical="center" wrapText="1"/>
    </xf>
    <xf numFmtId="0" fontId="24" fillId="0" borderId="1" xfId="3" applyFont="1" applyFill="1" applyBorder="1" applyAlignment="1">
      <alignment vertical="center" wrapText="1"/>
    </xf>
    <xf numFmtId="0" fontId="32" fillId="0" borderId="0" xfId="0" applyFont="1"/>
    <xf numFmtId="0" fontId="33" fillId="0" borderId="1" xfId="3" applyFont="1" applyFill="1" applyBorder="1" applyAlignment="1">
      <alignment horizontal="center" vertical="center" wrapText="1"/>
    </xf>
    <xf numFmtId="0" fontId="33" fillId="0" borderId="1" xfId="3" applyNumberFormat="1" applyFont="1" applyFill="1" applyBorder="1" applyAlignment="1">
      <alignment horizontal="center" vertical="center" wrapText="1"/>
    </xf>
    <xf numFmtId="0" fontId="28" fillId="0" borderId="1" xfId="3" applyFont="1" applyFill="1" applyBorder="1" applyAlignment="1">
      <alignment horizontal="center" vertical="center" wrapText="1"/>
    </xf>
    <xf numFmtId="0" fontId="4" fillId="0" borderId="0" xfId="3" applyFont="1" applyFill="1" applyAlignment="1">
      <alignment horizontal="left" vertical="center" wrapText="1"/>
    </xf>
    <xf numFmtId="0" fontId="5" fillId="0" borderId="0" xfId="3" applyFont="1" applyFill="1" applyBorder="1" applyAlignment="1">
      <alignment horizontal="center" vertical="center" wrapText="1"/>
    </xf>
    <xf numFmtId="0" fontId="6" fillId="9" borderId="1" xfId="3" applyFont="1" applyFill="1" applyBorder="1" applyAlignment="1">
      <alignment horizontal="center" vertical="center" wrapText="1"/>
    </xf>
    <xf numFmtId="0" fontId="4" fillId="9" borderId="1" xfId="3" applyFont="1" applyFill="1" applyBorder="1" applyAlignment="1">
      <alignment horizontal="center" vertical="center" wrapText="1"/>
    </xf>
    <xf numFmtId="0" fontId="6" fillId="9" borderId="1" xfId="3" applyNumberFormat="1" applyFont="1" applyFill="1" applyBorder="1" applyAlignment="1">
      <alignment horizontal="center" vertical="center" wrapText="1"/>
    </xf>
    <xf numFmtId="49" fontId="4" fillId="9" borderId="1" xfId="3" applyNumberFormat="1" applyFont="1" applyFill="1" applyBorder="1" applyAlignment="1">
      <alignment horizontal="center" vertical="center" wrapText="1"/>
    </xf>
    <xf numFmtId="0" fontId="3" fillId="9" borderId="0" xfId="3" applyFont="1" applyFill="1" applyAlignment="1">
      <alignment horizontal="center" vertical="center"/>
    </xf>
    <xf numFmtId="4" fontId="3" fillId="9" borderId="0" xfId="3" applyNumberFormat="1" applyFont="1" applyFill="1" applyAlignment="1">
      <alignment horizontal="center" vertical="center"/>
    </xf>
    <xf numFmtId="0" fontId="4" fillId="0" borderId="0" xfId="3" applyFont="1" applyFill="1" applyAlignment="1">
      <alignment horizontal="left" vertical="center" wrapText="1"/>
    </xf>
    <xf numFmtId="0" fontId="5" fillId="0" borderId="0" xfId="3" applyFont="1" applyFill="1" applyBorder="1" applyAlignment="1">
      <alignment horizontal="center" vertical="center" wrapText="1"/>
    </xf>
    <xf numFmtId="4" fontId="33" fillId="0" borderId="1" xfId="3" applyNumberFormat="1" applyFont="1" applyFill="1" applyBorder="1" applyAlignment="1">
      <alignment horizontal="center" vertical="center" wrapText="1"/>
    </xf>
    <xf numFmtId="0" fontId="6" fillId="13" borderId="1" xfId="3" applyFont="1" applyFill="1" applyBorder="1" applyAlignment="1">
      <alignment horizontal="center" vertical="center" wrapText="1"/>
    </xf>
    <xf numFmtId="0" fontId="4" fillId="13" borderId="1" xfId="3" applyFont="1" applyFill="1" applyBorder="1" applyAlignment="1">
      <alignment horizontal="center" vertical="center" wrapText="1"/>
    </xf>
    <xf numFmtId="0" fontId="6" fillId="13" borderId="1" xfId="3" applyNumberFormat="1" applyFont="1" applyFill="1" applyBorder="1" applyAlignment="1">
      <alignment horizontal="center" vertical="center" wrapText="1"/>
    </xf>
    <xf numFmtId="49" fontId="4" fillId="13" borderId="1" xfId="3" applyNumberFormat="1" applyFont="1" applyFill="1" applyBorder="1" applyAlignment="1">
      <alignment horizontal="center" vertical="center" wrapText="1"/>
    </xf>
    <xf numFmtId="4" fontId="6" fillId="13" borderId="1" xfId="3" applyNumberFormat="1" applyFont="1" applyFill="1" applyBorder="1" applyAlignment="1">
      <alignment horizontal="right" vertical="center" wrapText="1"/>
    </xf>
    <xf numFmtId="0" fontId="3" fillId="13" borderId="0" xfId="3" applyFont="1" applyFill="1" applyAlignment="1">
      <alignment horizontal="center" vertical="center"/>
    </xf>
    <xf numFmtId="4" fontId="3" fillId="13" borderId="0" xfId="3" applyNumberFormat="1" applyFont="1" applyFill="1" applyAlignment="1">
      <alignment horizontal="center" vertical="center"/>
    </xf>
    <xf numFmtId="0" fontId="33" fillId="0" borderId="1" xfId="3" applyFont="1" applyFill="1" applyBorder="1" applyAlignment="1">
      <alignment horizontal="center" vertical="center" wrapText="1"/>
    </xf>
    <xf numFmtId="0" fontId="4" fillId="11" borderId="1" xfId="3" applyFont="1" applyFill="1" applyBorder="1" applyAlignment="1">
      <alignment horizontal="center" vertical="center" wrapText="1"/>
    </xf>
    <xf numFmtId="0" fontId="4" fillId="11" borderId="1" xfId="3" applyNumberFormat="1" applyFont="1" applyFill="1" applyBorder="1" applyAlignment="1">
      <alignment horizontal="center" vertical="center" wrapText="1"/>
    </xf>
    <xf numFmtId="49" fontId="4" fillId="11" borderId="1" xfId="3" applyNumberFormat="1" applyFont="1" applyFill="1" applyBorder="1" applyAlignment="1">
      <alignment horizontal="center" vertical="center" wrapText="1"/>
    </xf>
    <xf numFmtId="0" fontId="3" fillId="11" borderId="0" xfId="3" applyFont="1" applyFill="1" applyAlignment="1">
      <alignment horizontal="center" vertical="center"/>
    </xf>
    <xf numFmtId="0" fontId="33" fillId="0" borderId="1" xfId="3" applyFont="1" applyFill="1" applyBorder="1" applyAlignment="1">
      <alignment horizontal="center" vertical="center" wrapText="1"/>
    </xf>
    <xf numFmtId="0" fontId="34" fillId="0" borderId="1" xfId="3" applyFont="1" applyFill="1" applyBorder="1" applyAlignment="1">
      <alignment horizontal="center" vertical="center" wrapText="1"/>
    </xf>
    <xf numFmtId="0" fontId="33" fillId="0" borderId="1" xfId="3" applyFont="1" applyFill="1" applyBorder="1" applyAlignment="1">
      <alignment horizontal="center" vertical="center" wrapText="1"/>
    </xf>
    <xf numFmtId="49" fontId="33" fillId="0" borderId="1" xfId="3" applyNumberFormat="1" applyFont="1" applyFill="1" applyBorder="1" applyAlignment="1">
      <alignment horizontal="center" vertical="center" wrapText="1"/>
    </xf>
    <xf numFmtId="0" fontId="6" fillId="5" borderId="1" xfId="3" applyFont="1" applyFill="1" applyBorder="1" applyAlignment="1">
      <alignment horizontal="center" vertical="center" wrapText="1"/>
    </xf>
    <xf numFmtId="0" fontId="6" fillId="5" borderId="1" xfId="3" applyNumberFormat="1" applyFont="1" applyFill="1" applyBorder="1" applyAlignment="1">
      <alignment horizontal="center" vertical="center" wrapText="1"/>
    </xf>
    <xf numFmtId="4" fontId="3" fillId="5" borderId="0" xfId="3" applyNumberFormat="1" applyFont="1" applyFill="1" applyAlignment="1">
      <alignment horizontal="center" vertical="center"/>
    </xf>
    <xf numFmtId="0" fontId="26" fillId="0" borderId="1" xfId="3" applyFont="1" applyFill="1" applyBorder="1" applyAlignment="1">
      <alignment vertical="center" wrapText="1"/>
    </xf>
    <xf numFmtId="0" fontId="36" fillId="0" borderId="0" xfId="0" applyFont="1"/>
    <xf numFmtId="0" fontId="37" fillId="0" borderId="0" xfId="0" applyFont="1" applyFill="1" applyAlignment="1">
      <alignment horizontal="left"/>
    </xf>
    <xf numFmtId="0" fontId="38" fillId="0" borderId="0" xfId="0" applyFont="1"/>
    <xf numFmtId="0" fontId="39" fillId="0" borderId="0" xfId="0" applyFont="1" applyFill="1" applyAlignment="1">
      <alignment horizontal="left"/>
    </xf>
    <xf numFmtId="4" fontId="34" fillId="0" borderId="1" xfId="3" applyNumberFormat="1" applyFont="1" applyFill="1" applyBorder="1" applyAlignment="1">
      <alignment horizontal="center" vertical="center" wrapText="1"/>
    </xf>
    <xf numFmtId="4" fontId="40" fillId="0" borderId="1" xfId="3" applyNumberFormat="1" applyFont="1" applyFill="1" applyBorder="1" applyAlignment="1">
      <alignment horizontal="right" vertical="center" wrapText="1"/>
    </xf>
    <xf numFmtId="0" fontId="35" fillId="0" borderId="0" xfId="0" applyFont="1"/>
    <xf numFmtId="0" fontId="7" fillId="0" borderId="6" xfId="3" applyFont="1" applyFill="1" applyBorder="1" applyAlignment="1">
      <alignment vertical="center" wrapText="1"/>
    </xf>
    <xf numFmtId="4" fontId="33" fillId="0" borderId="1" xfId="3" applyNumberFormat="1" applyFont="1" applyFill="1" applyBorder="1" applyAlignment="1">
      <alignment horizontal="right" vertical="center" wrapText="1"/>
    </xf>
    <xf numFmtId="4" fontId="7" fillId="13" borderId="1" xfId="3" applyNumberFormat="1" applyFont="1" applyFill="1" applyBorder="1" applyAlignment="1">
      <alignment horizontal="right" vertical="center" wrapText="1"/>
    </xf>
    <xf numFmtId="0" fontId="5" fillId="0" borderId="2" xfId="3" applyFont="1" applyFill="1" applyBorder="1" applyAlignment="1">
      <alignment horizontal="right" vertical="center" wrapText="1"/>
    </xf>
    <xf numFmtId="0" fontId="5" fillId="0" borderId="3" xfId="3" applyFont="1" applyFill="1" applyBorder="1" applyAlignment="1">
      <alignment horizontal="right" vertical="center" wrapText="1"/>
    </xf>
    <xf numFmtId="0" fontId="5" fillId="0" borderId="4" xfId="3" applyFont="1" applyFill="1" applyBorder="1" applyAlignment="1">
      <alignment horizontal="right" vertical="center" wrapText="1"/>
    </xf>
    <xf numFmtId="0" fontId="4" fillId="0" borderId="0" xfId="3" applyFont="1" applyFill="1" applyAlignment="1">
      <alignment horizontal="left" vertical="center" wrapText="1"/>
    </xf>
    <xf numFmtId="0" fontId="5" fillId="0" borderId="0" xfId="3" applyFont="1" applyFill="1" applyBorder="1" applyAlignment="1">
      <alignment horizontal="center" vertical="center" wrapText="1"/>
    </xf>
    <xf numFmtId="0" fontId="4" fillId="0" borderId="0" xfId="3" applyFont="1" applyFill="1" applyBorder="1" applyAlignment="1">
      <alignment horizontal="right" vertical="center" wrapText="1"/>
    </xf>
    <xf numFmtId="4" fontId="5" fillId="0" borderId="0" xfId="3" applyNumberFormat="1" applyFont="1" applyFill="1" applyBorder="1" applyAlignment="1">
      <alignment horizontal="right" vertical="center" wrapText="1"/>
    </xf>
    <xf numFmtId="4" fontId="41" fillId="0" borderId="0" xfId="3" applyNumberFormat="1" applyFont="1" applyFill="1" applyBorder="1" applyAlignment="1">
      <alignment horizontal="right" vertical="center" wrapText="1"/>
    </xf>
    <xf numFmtId="0" fontId="5" fillId="0" borderId="0" xfId="3" applyFont="1" applyFill="1" applyAlignment="1">
      <alignment vertical="top"/>
    </xf>
    <xf numFmtId="0" fontId="2" fillId="0" borderId="0" xfId="3" applyFont="1" applyFill="1" applyAlignment="1">
      <alignment horizontal="center" vertical="center"/>
    </xf>
    <xf numFmtId="0" fontId="5" fillId="0" borderId="0" xfId="3" applyFont="1" applyFill="1" applyBorder="1" applyAlignment="1">
      <alignment horizontal="center" vertical="center" wrapText="1"/>
    </xf>
    <xf numFmtId="2" fontId="3" fillId="0" borderId="0" xfId="3" applyNumberFormat="1" applyFont="1" applyFill="1" applyAlignment="1">
      <alignment horizontal="center" vertical="center"/>
    </xf>
    <xf numFmtId="4" fontId="5" fillId="0" borderId="0" xfId="3" applyNumberFormat="1" applyFont="1" applyFill="1" applyBorder="1" applyAlignment="1">
      <alignment horizontal="center" vertical="center" wrapText="1"/>
    </xf>
    <xf numFmtId="0" fontId="5" fillId="0" borderId="2" xfId="3" applyFont="1" applyFill="1" applyBorder="1" applyAlignment="1">
      <alignment horizontal="right" vertical="center" wrapText="1"/>
    </xf>
    <xf numFmtId="0" fontId="5" fillId="0" borderId="3" xfId="3" applyFont="1" applyFill="1" applyBorder="1" applyAlignment="1">
      <alignment horizontal="right" vertical="center" wrapText="1"/>
    </xf>
    <xf numFmtId="0" fontId="5" fillId="0" borderId="4" xfId="3" applyFont="1" applyFill="1" applyBorder="1" applyAlignment="1">
      <alignment horizontal="right" vertical="center" wrapText="1"/>
    </xf>
    <xf numFmtId="0" fontId="4" fillId="0" borderId="0" xfId="3" applyFont="1" applyFill="1" applyAlignment="1">
      <alignment horizontal="left" vertical="center" wrapText="1"/>
    </xf>
    <xf numFmtId="0" fontId="2" fillId="0" borderId="0" xfId="3" applyFont="1" applyFill="1" applyAlignment="1">
      <alignment horizontal="center" vertical="center"/>
    </xf>
    <xf numFmtId="0" fontId="5" fillId="0" borderId="0" xfId="3" applyFont="1" applyFill="1" applyBorder="1" applyAlignment="1">
      <alignment horizontal="center" vertical="center" wrapText="1"/>
    </xf>
    <xf numFmtId="4" fontId="5" fillId="2" borderId="1" xfId="3" applyNumberFormat="1" applyFont="1" applyFill="1" applyBorder="1" applyAlignment="1">
      <alignment horizontal="right" vertical="center" wrapText="1"/>
    </xf>
    <xf numFmtId="4" fontId="7" fillId="2" borderId="1" xfId="3" applyNumberFormat="1" applyFont="1" applyFill="1" applyBorder="1" applyAlignment="1">
      <alignment horizontal="right" vertical="center" wrapText="1"/>
    </xf>
    <xf numFmtId="0" fontId="2" fillId="0" borderId="0" xfId="3" applyFont="1" applyFill="1" applyAlignment="1">
      <alignment horizontal="center" vertical="center"/>
    </xf>
    <xf numFmtId="0" fontId="5" fillId="0" borderId="2" xfId="3" applyFont="1" applyFill="1" applyBorder="1" applyAlignment="1">
      <alignment horizontal="right" vertical="center" wrapText="1"/>
    </xf>
    <xf numFmtId="0" fontId="5" fillId="0" borderId="3" xfId="3" applyFont="1" applyFill="1" applyBorder="1" applyAlignment="1">
      <alignment horizontal="right" vertical="center" wrapText="1"/>
    </xf>
    <xf numFmtId="0" fontId="5" fillId="0" borderId="4" xfId="3" applyFont="1" applyFill="1" applyBorder="1" applyAlignment="1">
      <alignment horizontal="right" vertical="center" wrapText="1"/>
    </xf>
    <xf numFmtId="0" fontId="4" fillId="0" borderId="0" xfId="3" applyFont="1" applyFill="1" applyAlignment="1">
      <alignment horizontal="left" vertical="center" wrapText="1"/>
    </xf>
    <xf numFmtId="0" fontId="5" fillId="0" borderId="0" xfId="3" applyFont="1" applyFill="1" applyBorder="1" applyAlignment="1">
      <alignment horizontal="center" vertical="center" wrapText="1"/>
    </xf>
    <xf numFmtId="4" fontId="7" fillId="14" borderId="1" xfId="3" applyNumberFormat="1" applyFont="1" applyFill="1" applyBorder="1" applyAlignment="1">
      <alignment horizontal="right" vertical="center" wrapText="1"/>
    </xf>
    <xf numFmtId="4" fontId="5" fillId="14" borderId="1" xfId="3" applyNumberFormat="1" applyFont="1" applyFill="1" applyBorder="1" applyAlignment="1">
      <alignment horizontal="right" vertical="center" wrapText="1"/>
    </xf>
    <xf numFmtId="4" fontId="5" fillId="0" borderId="1" xfId="3" applyNumberFormat="1" applyFont="1" applyFill="1" applyBorder="1" applyAlignment="1">
      <alignment vertical="center" wrapText="1"/>
    </xf>
    <xf numFmtId="4" fontId="5" fillId="9" borderId="1" xfId="3" applyNumberFormat="1" applyFont="1" applyFill="1" applyBorder="1" applyAlignment="1">
      <alignment vertical="center" wrapText="1"/>
    </xf>
    <xf numFmtId="4" fontId="42" fillId="9" borderId="1" xfId="3" applyNumberFormat="1" applyFont="1" applyFill="1" applyBorder="1" applyAlignment="1">
      <alignment horizontal="right" vertical="center" wrapText="1"/>
    </xf>
    <xf numFmtId="4" fontId="4" fillId="0" borderId="1" xfId="3" applyNumberFormat="1" applyFont="1" applyFill="1" applyBorder="1" applyAlignment="1">
      <alignment vertical="center" wrapText="1"/>
    </xf>
    <xf numFmtId="4" fontId="4" fillId="9" borderId="1" xfId="3" applyNumberFormat="1" applyFont="1" applyFill="1" applyBorder="1" applyAlignment="1">
      <alignment horizontal="right" vertical="center" wrapText="1"/>
    </xf>
    <xf numFmtId="0" fontId="2" fillId="0" borderId="0" xfId="3" applyFont="1" applyFill="1" applyAlignment="1">
      <alignment horizontal="center" vertical="center"/>
    </xf>
    <xf numFmtId="4" fontId="43" fillId="6" borderId="1" xfId="3" applyNumberFormat="1" applyFont="1" applyFill="1" applyBorder="1" applyAlignment="1">
      <alignment horizontal="right" vertical="center" wrapText="1"/>
    </xf>
    <xf numFmtId="4" fontId="2" fillId="6" borderId="1" xfId="3" applyNumberFormat="1" applyFont="1" applyFill="1" applyBorder="1" applyAlignment="1">
      <alignment horizontal="right" vertical="center" wrapText="1"/>
    </xf>
    <xf numFmtId="4" fontId="2" fillId="0" borderId="1" xfId="3" applyNumberFormat="1" applyFont="1" applyFill="1" applyBorder="1" applyAlignment="1">
      <alignment horizontal="right" vertical="center" wrapText="1"/>
    </xf>
    <xf numFmtId="0" fontId="2" fillId="0" borderId="1" xfId="3" applyFont="1" applyFill="1" applyBorder="1" applyAlignment="1">
      <alignment horizontal="center" vertical="center" wrapText="1"/>
    </xf>
    <xf numFmtId="0" fontId="2" fillId="0" borderId="1" xfId="3" applyNumberFormat="1" applyFont="1" applyFill="1" applyBorder="1" applyAlignment="1">
      <alignment horizontal="center" vertical="center" wrapText="1"/>
    </xf>
    <xf numFmtId="49" fontId="2" fillId="0" borderId="1" xfId="3" applyNumberFormat="1" applyFont="1" applyFill="1" applyBorder="1" applyAlignment="1">
      <alignment horizontal="center" vertical="center" wrapText="1"/>
    </xf>
    <xf numFmtId="4" fontId="2" fillId="0" borderId="0" xfId="3" applyNumberFormat="1" applyFont="1" applyFill="1" applyAlignment="1">
      <alignment horizontal="center" vertical="center"/>
    </xf>
    <xf numFmtId="0" fontId="15" fillId="15" borderId="2" xfId="3" applyFont="1" applyFill="1" applyBorder="1" applyAlignment="1">
      <alignment horizontal="center" vertical="center" wrapText="1"/>
    </xf>
    <xf numFmtId="4" fontId="5" fillId="15" borderId="1" xfId="3" applyNumberFormat="1" applyFont="1" applyFill="1" applyBorder="1" applyAlignment="1">
      <alignment horizontal="right" vertical="center" wrapText="1"/>
    </xf>
    <xf numFmtId="4" fontId="7" fillId="15" borderId="1" xfId="3" applyNumberFormat="1" applyFont="1" applyFill="1" applyBorder="1" applyAlignment="1">
      <alignment horizontal="right" vertical="center" wrapText="1"/>
    </xf>
    <xf numFmtId="4" fontId="5" fillId="15" borderId="0" xfId="3" applyNumberFormat="1" applyFont="1" applyFill="1" applyBorder="1" applyAlignment="1">
      <alignment horizontal="center" vertical="center" wrapText="1"/>
    </xf>
    <xf numFmtId="4" fontId="5" fillId="15" borderId="0" xfId="3" applyNumberFormat="1" applyFont="1" applyFill="1" applyBorder="1" applyAlignment="1">
      <alignment horizontal="right" vertical="center" wrapText="1"/>
    </xf>
    <xf numFmtId="4" fontId="5" fillId="16" borderId="1" xfId="3" applyNumberFormat="1" applyFont="1" applyFill="1" applyBorder="1" applyAlignment="1">
      <alignment horizontal="right" vertical="center" wrapText="1"/>
    </xf>
    <xf numFmtId="0" fontId="15" fillId="17" borderId="2" xfId="3" applyFont="1" applyFill="1" applyBorder="1" applyAlignment="1">
      <alignment horizontal="center" vertical="center" wrapText="1"/>
    </xf>
    <xf numFmtId="4" fontId="5" fillId="17" borderId="1" xfId="3" applyNumberFormat="1" applyFont="1" applyFill="1" applyBorder="1" applyAlignment="1">
      <alignment horizontal="right" vertical="center" wrapText="1"/>
    </xf>
    <xf numFmtId="4" fontId="7" fillId="17" borderId="1" xfId="3" applyNumberFormat="1" applyFont="1" applyFill="1" applyBorder="1" applyAlignment="1">
      <alignment horizontal="right" vertical="center" wrapText="1"/>
    </xf>
    <xf numFmtId="4" fontId="5" fillId="17" borderId="0" xfId="3" applyNumberFormat="1" applyFont="1" applyFill="1" applyBorder="1" applyAlignment="1">
      <alignment horizontal="center" vertical="center" wrapText="1"/>
    </xf>
    <xf numFmtId="4" fontId="5" fillId="17" borderId="0" xfId="3" applyNumberFormat="1" applyFont="1" applyFill="1" applyBorder="1" applyAlignment="1">
      <alignment horizontal="right" vertical="center" wrapText="1"/>
    </xf>
    <xf numFmtId="0" fontId="3" fillId="0" borderId="15" xfId="3" applyFont="1" applyFill="1" applyBorder="1" applyAlignment="1">
      <alignment horizontal="center" vertical="center"/>
    </xf>
    <xf numFmtId="4" fontId="7" fillId="0" borderId="13" xfId="3" applyNumberFormat="1" applyFont="1" applyFill="1" applyBorder="1" applyAlignment="1">
      <alignment horizontal="right" vertical="center" wrapText="1"/>
    </xf>
    <xf numFmtId="4" fontId="41" fillId="0" borderId="15" xfId="3" applyNumberFormat="1" applyFont="1" applyFill="1" applyBorder="1" applyAlignment="1">
      <alignment horizontal="right" vertical="center" wrapText="1"/>
    </xf>
    <xf numFmtId="4" fontId="5" fillId="0" borderId="15" xfId="3" applyNumberFormat="1" applyFont="1" applyFill="1" applyBorder="1" applyAlignment="1">
      <alignment horizontal="center" vertical="center" wrapText="1"/>
    </xf>
    <xf numFmtId="0" fontId="15" fillId="0" borderId="12" xfId="3" applyFont="1" applyFill="1" applyBorder="1" applyAlignment="1">
      <alignment horizontal="center" vertical="center" wrapText="1"/>
    </xf>
    <xf numFmtId="0" fontId="3" fillId="0" borderId="14" xfId="3" applyFont="1" applyFill="1" applyBorder="1" applyAlignment="1">
      <alignment horizontal="center" vertical="center"/>
    </xf>
    <xf numFmtId="4" fontId="5" fillId="0" borderId="16" xfId="3" applyNumberFormat="1" applyFont="1" applyFill="1" applyBorder="1" applyAlignment="1">
      <alignment horizontal="right" vertical="center" wrapText="1"/>
    </xf>
    <xf numFmtId="4" fontId="7" fillId="0" borderId="16" xfId="3" applyNumberFormat="1" applyFont="1" applyFill="1" applyBorder="1" applyAlignment="1">
      <alignment horizontal="right" vertical="center" wrapText="1"/>
    </xf>
    <xf numFmtId="4" fontId="41" fillId="0" borderId="14" xfId="3" applyNumberFormat="1" applyFont="1" applyFill="1" applyBorder="1" applyAlignment="1">
      <alignment horizontal="right" vertical="center" wrapText="1"/>
    </xf>
    <xf numFmtId="4" fontId="5" fillId="0" borderId="14" xfId="3" applyNumberFormat="1" applyFont="1" applyFill="1" applyBorder="1" applyAlignment="1">
      <alignment horizontal="center" vertical="center" wrapText="1"/>
    </xf>
    <xf numFmtId="4" fontId="5" fillId="0" borderId="14" xfId="3" applyNumberFormat="1" applyFont="1" applyFill="1" applyBorder="1" applyAlignment="1">
      <alignment horizontal="right" vertical="center" wrapText="1"/>
    </xf>
    <xf numFmtId="0" fontId="15" fillId="18" borderId="13" xfId="3" applyFont="1" applyFill="1" applyBorder="1" applyAlignment="1">
      <alignment horizontal="center" vertical="center" wrapText="1"/>
    </xf>
    <xf numFmtId="4" fontId="5" fillId="18" borderId="13" xfId="3" applyNumberFormat="1" applyFont="1" applyFill="1" applyBorder="1" applyAlignment="1">
      <alignment horizontal="right" vertical="center" wrapText="1"/>
    </xf>
    <xf numFmtId="4" fontId="7" fillId="18" borderId="13" xfId="3" applyNumberFormat="1" applyFont="1" applyFill="1" applyBorder="1" applyAlignment="1">
      <alignment horizontal="right" vertical="center" wrapText="1"/>
    </xf>
    <xf numFmtId="4" fontId="5" fillId="18" borderId="15" xfId="3" applyNumberFormat="1" applyFont="1" applyFill="1" applyBorder="1" applyAlignment="1">
      <alignment horizontal="center" vertical="center" wrapText="1"/>
    </xf>
    <xf numFmtId="4" fontId="5" fillId="18" borderId="15" xfId="3" applyNumberFormat="1" applyFont="1" applyFill="1" applyBorder="1" applyAlignment="1">
      <alignment horizontal="right" vertical="center" wrapText="1"/>
    </xf>
    <xf numFmtId="0" fontId="3" fillId="0" borderId="0" xfId="3" applyFont="1" applyFill="1" applyBorder="1" applyAlignment="1">
      <alignment vertical="center"/>
    </xf>
    <xf numFmtId="0" fontId="14" fillId="0" borderId="0" xfId="3" applyFont="1" applyFill="1" applyBorder="1" applyAlignment="1">
      <alignment vertical="center"/>
    </xf>
    <xf numFmtId="49" fontId="2" fillId="0" borderId="0" xfId="3" applyNumberFormat="1" applyFont="1" applyFill="1" applyBorder="1" applyAlignment="1">
      <alignment horizontal="center" vertical="center"/>
    </xf>
    <xf numFmtId="0" fontId="15" fillId="0" borderId="0" xfId="3" applyFont="1" applyFill="1" applyBorder="1" applyAlignment="1">
      <alignment horizontal="center" vertical="center" wrapText="1"/>
    </xf>
    <xf numFmtId="4" fontId="4" fillId="0" borderId="0" xfId="3" applyNumberFormat="1" applyFont="1" applyFill="1" applyBorder="1" applyAlignment="1">
      <alignment horizontal="right" vertical="center" wrapText="1"/>
    </xf>
    <xf numFmtId="4" fontId="7" fillId="0" borderId="0" xfId="3" applyNumberFormat="1" applyFont="1" applyFill="1" applyBorder="1" applyAlignment="1">
      <alignment horizontal="right" vertical="center" wrapText="1"/>
    </xf>
    <xf numFmtId="0" fontId="15" fillId="20" borderId="13" xfId="3" applyFont="1" applyFill="1" applyBorder="1" applyAlignment="1">
      <alignment horizontal="center" vertical="center" wrapText="1"/>
    </xf>
    <xf numFmtId="4" fontId="5" fillId="20" borderId="13" xfId="3" applyNumberFormat="1" applyFont="1" applyFill="1" applyBorder="1" applyAlignment="1">
      <alignment horizontal="right" vertical="center" wrapText="1"/>
    </xf>
    <xf numFmtId="4" fontId="7" fillId="20" borderId="13" xfId="3" applyNumberFormat="1" applyFont="1" applyFill="1" applyBorder="1" applyAlignment="1">
      <alignment horizontal="right" vertical="center" wrapText="1"/>
    </xf>
    <xf numFmtId="4" fontId="5" fillId="20" borderId="15" xfId="3" applyNumberFormat="1" applyFont="1" applyFill="1" applyBorder="1" applyAlignment="1">
      <alignment horizontal="center" vertical="center" wrapText="1"/>
    </xf>
    <xf numFmtId="4" fontId="5" fillId="20" borderId="15" xfId="3" applyNumberFormat="1" applyFont="1" applyFill="1" applyBorder="1" applyAlignment="1">
      <alignment horizontal="right" vertical="center" wrapText="1"/>
    </xf>
    <xf numFmtId="0" fontId="2" fillId="24" borderId="13" xfId="3" applyFont="1" applyFill="1" applyBorder="1" applyAlignment="1">
      <alignment horizontal="center" vertical="center" wrapText="1"/>
    </xf>
    <xf numFmtId="0" fontId="15" fillId="21" borderId="1" xfId="3" applyFont="1" applyFill="1" applyBorder="1" applyAlignment="1">
      <alignment horizontal="center" vertical="center" wrapText="1"/>
    </xf>
    <xf numFmtId="0" fontId="2" fillId="3" borderId="1" xfId="3" applyFont="1" applyFill="1" applyBorder="1" applyAlignment="1">
      <alignment horizontal="center" vertical="center" wrapText="1"/>
    </xf>
    <xf numFmtId="0" fontId="3" fillId="0" borderId="1" xfId="3" applyFont="1" applyFill="1" applyBorder="1" applyAlignment="1">
      <alignment horizontal="center" vertical="center"/>
    </xf>
    <xf numFmtId="0" fontId="15" fillId="21" borderId="16" xfId="3" applyFont="1" applyFill="1" applyBorder="1" applyAlignment="1">
      <alignment horizontal="center" vertical="center" wrapText="1"/>
    </xf>
    <xf numFmtId="0" fontId="3" fillId="0" borderId="16" xfId="3" applyFont="1" applyFill="1" applyBorder="1" applyAlignment="1">
      <alignment horizontal="center" vertical="center"/>
    </xf>
    <xf numFmtId="0" fontId="3" fillId="0" borderId="13" xfId="3" applyFont="1" applyFill="1" applyBorder="1" applyAlignment="1">
      <alignment horizontal="center" vertical="center"/>
    </xf>
    <xf numFmtId="0" fontId="2" fillId="3" borderId="2" xfId="3" applyFont="1" applyFill="1" applyBorder="1" applyAlignment="1">
      <alignment horizontal="center" vertical="center" wrapText="1"/>
    </xf>
    <xf numFmtId="0" fontId="3" fillId="0" borderId="2" xfId="3" applyFont="1" applyFill="1" applyBorder="1" applyAlignment="1">
      <alignment horizontal="center" vertical="center"/>
    </xf>
    <xf numFmtId="0" fontId="15" fillId="19" borderId="1" xfId="3" applyFont="1" applyFill="1" applyBorder="1" applyAlignment="1">
      <alignment horizontal="center" vertical="center" wrapText="1"/>
    </xf>
    <xf numFmtId="0" fontId="2" fillId="23" borderId="1" xfId="3" applyFont="1" applyFill="1" applyBorder="1" applyAlignment="1">
      <alignment horizontal="center" vertical="center" wrapText="1"/>
    </xf>
    <xf numFmtId="0" fontId="15" fillId="19" borderId="16" xfId="3" applyFont="1" applyFill="1" applyBorder="1" applyAlignment="1">
      <alignment horizontal="center" vertical="center" wrapText="1"/>
    </xf>
    <xf numFmtId="0" fontId="2" fillId="23" borderId="2" xfId="3" applyFont="1" applyFill="1" applyBorder="1" applyAlignment="1">
      <alignment horizontal="center" vertical="center" wrapText="1"/>
    </xf>
    <xf numFmtId="0" fontId="15" fillId="17" borderId="1" xfId="3" applyFont="1" applyFill="1" applyBorder="1" applyAlignment="1">
      <alignment horizontal="center" vertical="center" wrapText="1"/>
    </xf>
    <xf numFmtId="0" fontId="2" fillId="16" borderId="1" xfId="3" applyFont="1" applyFill="1" applyBorder="1" applyAlignment="1">
      <alignment horizontal="center" vertical="center" wrapText="1"/>
    </xf>
    <xf numFmtId="0" fontId="15" fillId="17" borderId="16" xfId="3" applyFont="1" applyFill="1" applyBorder="1" applyAlignment="1">
      <alignment horizontal="center" vertical="center" wrapText="1"/>
    </xf>
    <xf numFmtId="0" fontId="2" fillId="16" borderId="2" xfId="3" applyFont="1" applyFill="1" applyBorder="1" applyAlignment="1">
      <alignment horizontal="center" vertical="center" wrapText="1"/>
    </xf>
    <xf numFmtId="4" fontId="5" fillId="16" borderId="2" xfId="3" applyNumberFormat="1" applyFont="1" applyFill="1" applyBorder="1" applyAlignment="1">
      <alignment horizontal="right" vertical="center" wrapText="1"/>
    </xf>
    <xf numFmtId="0" fontId="15" fillId="22" borderId="1" xfId="3" applyFont="1" applyFill="1" applyBorder="1" applyAlignment="1">
      <alignment horizontal="center" vertical="center" wrapText="1"/>
    </xf>
    <xf numFmtId="0" fontId="2" fillId="24" borderId="1" xfId="3" applyFont="1" applyFill="1" applyBorder="1" applyAlignment="1">
      <alignment horizontal="center" vertical="center" wrapText="1"/>
    </xf>
    <xf numFmtId="0" fontId="15" fillId="22" borderId="16" xfId="3" applyFont="1" applyFill="1" applyBorder="1" applyAlignment="1">
      <alignment horizontal="center" vertical="center" wrapText="1"/>
    </xf>
    <xf numFmtId="4" fontId="14" fillId="0" borderId="0" xfId="3" applyNumberFormat="1" applyFont="1" applyFill="1" applyAlignment="1">
      <alignment horizontal="center" vertical="center"/>
    </xf>
    <xf numFmtId="0" fontId="5" fillId="0" borderId="3" xfId="3" applyFont="1" applyFill="1" applyBorder="1" applyAlignment="1">
      <alignment vertical="center"/>
    </xf>
    <xf numFmtId="0" fontId="3" fillId="0" borderId="0" xfId="3" applyFont="1" applyFill="1" applyAlignment="1">
      <alignment vertical="center" wrapText="1"/>
    </xf>
    <xf numFmtId="0" fontId="3" fillId="0" borderId="0" xfId="3" applyFont="1" applyFill="1" applyAlignment="1">
      <alignment horizontal="center" vertical="center" wrapText="1"/>
    </xf>
    <xf numFmtId="0" fontId="5" fillId="0" borderId="9" xfId="3" applyFont="1" applyFill="1" applyBorder="1" applyAlignment="1">
      <alignment vertical="center"/>
    </xf>
    <xf numFmtId="0" fontId="5" fillId="0" borderId="0" xfId="3" applyFont="1" applyFill="1" applyBorder="1" applyAlignment="1">
      <alignment horizontal="right" vertical="center" wrapText="1"/>
    </xf>
    <xf numFmtId="0" fontId="5" fillId="0" borderId="0" xfId="3" applyFont="1" applyFill="1" applyBorder="1" applyAlignment="1">
      <alignment vertical="center"/>
    </xf>
    <xf numFmtId="0" fontId="46" fillId="0" borderId="0" xfId="6" applyFont="1" applyAlignment="1">
      <alignment horizontal="center" vertical="center" wrapText="1"/>
    </xf>
    <xf numFmtId="0" fontId="51" fillId="0" borderId="0" xfId="3" applyFont="1" applyFill="1" applyAlignment="1">
      <alignment horizontal="left" vertical="center" indent="2"/>
    </xf>
    <xf numFmtId="0" fontId="51" fillId="0" borderId="1" xfId="3" applyFont="1" applyFill="1" applyBorder="1" applyAlignment="1">
      <alignment horizontal="left" vertical="center" wrapText="1" indent="2"/>
    </xf>
    <xf numFmtId="0" fontId="51" fillId="0" borderId="1" xfId="3" applyFont="1" applyFill="1" applyBorder="1" applyAlignment="1">
      <alignment horizontal="left" vertical="center" wrapText="1" indent="3"/>
    </xf>
    <xf numFmtId="0" fontId="51" fillId="0" borderId="1" xfId="3" applyNumberFormat="1" applyFont="1" applyFill="1" applyBorder="1" applyAlignment="1">
      <alignment horizontal="left" vertical="center" wrapText="1" indent="2"/>
    </xf>
    <xf numFmtId="49" fontId="51" fillId="0" borderId="1" xfId="3" applyNumberFormat="1" applyFont="1" applyFill="1" applyBorder="1" applyAlignment="1">
      <alignment horizontal="left" vertical="center" wrapText="1" indent="2"/>
    </xf>
    <xf numFmtId="4" fontId="51" fillId="0" borderId="1" xfId="3" applyNumberFormat="1" applyFont="1" applyFill="1" applyBorder="1" applyAlignment="1">
      <alignment horizontal="right" vertical="center" wrapText="1"/>
    </xf>
    <xf numFmtId="4" fontId="52" fillId="0" borderId="1" xfId="3" applyNumberFormat="1" applyFont="1" applyFill="1" applyBorder="1" applyAlignment="1">
      <alignment horizontal="right" vertical="center" wrapText="1"/>
    </xf>
    <xf numFmtId="4" fontId="51" fillId="0" borderId="1" xfId="3" applyNumberFormat="1" applyFont="1" applyFill="1" applyBorder="1" applyAlignment="1">
      <alignment horizontal="left" vertical="center" wrapText="1"/>
    </xf>
    <xf numFmtId="0" fontId="2" fillId="0" borderId="0" xfId="3" applyFont="1" applyFill="1" applyAlignment="1">
      <alignment vertical="center"/>
    </xf>
    <xf numFmtId="0" fontId="2" fillId="0" borderId="0" xfId="3" applyFont="1" applyFill="1" applyAlignment="1">
      <alignment horizontal="left" vertical="center" indent="14"/>
    </xf>
    <xf numFmtId="0" fontId="2" fillId="0" borderId="0" xfId="3" applyFont="1" applyFill="1" applyAlignment="1">
      <alignment horizontal="left" vertical="center" indent="42"/>
    </xf>
    <xf numFmtId="0" fontId="35" fillId="0" borderId="0" xfId="1" applyFill="1" applyAlignment="1">
      <alignment vertical="center"/>
    </xf>
    <xf numFmtId="0" fontId="35" fillId="0" borderId="0" xfId="1" applyFill="1" applyAlignment="1">
      <alignment horizontal="center" vertical="center"/>
    </xf>
    <xf numFmtId="0" fontId="0" fillId="0" borderId="0" xfId="0" applyFill="1" applyAlignment="1">
      <alignment vertical="center"/>
    </xf>
    <xf numFmtId="0" fontId="0" fillId="0" borderId="0" xfId="0" applyFill="1" applyAlignment="1">
      <alignment horizontal="left" vertical="center" indent="14"/>
    </xf>
    <xf numFmtId="0" fontId="0" fillId="6" borderId="2" xfId="0" applyFill="1" applyBorder="1" applyAlignment="1">
      <alignment horizontal="center" vertical="center" wrapText="1"/>
    </xf>
    <xf numFmtId="4" fontId="0" fillId="0" borderId="1" xfId="0" applyNumberFormat="1" applyFill="1" applyBorder="1" applyAlignment="1">
      <alignment horizontal="right" vertical="center" wrapText="1"/>
    </xf>
    <xf numFmtId="4" fontId="0" fillId="0" borderId="0" xfId="0" applyNumberFormat="1" applyFill="1" applyBorder="1" applyAlignment="1">
      <alignment horizontal="right" vertical="center" wrapText="1"/>
    </xf>
    <xf numFmtId="0" fontId="0" fillId="0" borderId="0" xfId="0" applyFill="1" applyBorder="1" applyAlignment="1">
      <alignment horizontal="center" vertical="center" wrapText="1"/>
    </xf>
    <xf numFmtId="0" fontId="0" fillId="0" borderId="0" xfId="0" applyFill="1" applyAlignment="1">
      <alignment horizontal="center" vertical="center"/>
    </xf>
    <xf numFmtId="0" fontId="0" fillId="0" borderId="0" xfId="0" applyFill="1" applyBorder="1" applyAlignment="1">
      <alignment vertical="center"/>
    </xf>
    <xf numFmtId="4" fontId="35" fillId="0" borderId="0" xfId="1" applyNumberFormat="1" applyFill="1" applyAlignment="1">
      <alignment horizontal="center" vertical="center"/>
    </xf>
    <xf numFmtId="0" fontId="35" fillId="0" borderId="0" xfId="1" applyFill="1" applyAlignment="1">
      <alignment horizontal="left" vertical="center" indent="2"/>
    </xf>
    <xf numFmtId="4" fontId="52" fillId="0" borderId="16" xfId="3" applyNumberFormat="1" applyFont="1" applyFill="1" applyBorder="1" applyAlignment="1">
      <alignment horizontal="right" vertical="center" wrapText="1"/>
    </xf>
    <xf numFmtId="4" fontId="52" fillId="17" borderId="1" xfId="3" applyNumberFormat="1" applyFont="1" applyFill="1" applyBorder="1" applyAlignment="1">
      <alignment horizontal="right" vertical="center" wrapText="1"/>
    </xf>
    <xf numFmtId="4" fontId="52" fillId="18" borderId="13" xfId="3" applyNumberFormat="1" applyFont="1" applyFill="1" applyBorder="1" applyAlignment="1">
      <alignment horizontal="right" vertical="center" wrapText="1"/>
    </xf>
    <xf numFmtId="4" fontId="52" fillId="15" borderId="1" xfId="3" applyNumberFormat="1" applyFont="1" applyFill="1" applyBorder="1" applyAlignment="1">
      <alignment horizontal="right" vertical="center" wrapText="1"/>
    </xf>
    <xf numFmtId="4" fontId="52" fillId="20" borderId="13" xfId="3" applyNumberFormat="1" applyFont="1" applyFill="1" applyBorder="1" applyAlignment="1">
      <alignment horizontal="right" vertical="center" wrapText="1"/>
    </xf>
    <xf numFmtId="4" fontId="51" fillId="0" borderId="16" xfId="3" applyNumberFormat="1" applyFont="1" applyFill="1" applyBorder="1" applyAlignment="1">
      <alignment horizontal="right" vertical="center" wrapText="1"/>
    </xf>
    <xf numFmtId="4" fontId="52" fillId="0" borderId="0" xfId="3" applyNumberFormat="1" applyFont="1" applyFill="1" applyBorder="1" applyAlignment="1">
      <alignment horizontal="right" vertical="center" wrapText="1"/>
    </xf>
    <xf numFmtId="4" fontId="52" fillId="21" borderId="16" xfId="3" applyNumberFormat="1" applyFont="1" applyFill="1" applyBorder="1" applyAlignment="1">
      <alignment horizontal="right" vertical="center" wrapText="1"/>
    </xf>
    <xf numFmtId="4" fontId="52" fillId="3" borderId="1" xfId="3" applyNumberFormat="1" applyFont="1" applyFill="1" applyBorder="1" applyAlignment="1">
      <alignment horizontal="right" vertical="center" wrapText="1"/>
    </xf>
    <xf numFmtId="4" fontId="52" fillId="21" borderId="1" xfId="3" applyNumberFormat="1" applyFont="1" applyFill="1" applyBorder="1" applyAlignment="1">
      <alignment horizontal="right" vertical="center" wrapText="1"/>
    </xf>
    <xf numFmtId="4" fontId="52" fillId="3" borderId="2" xfId="3" applyNumberFormat="1" applyFont="1" applyFill="1" applyBorder="1" applyAlignment="1">
      <alignment horizontal="right" vertical="center" wrapText="1"/>
    </xf>
    <xf numFmtId="4" fontId="52" fillId="19" borderId="16" xfId="3" applyNumberFormat="1" applyFont="1" applyFill="1" applyBorder="1" applyAlignment="1">
      <alignment horizontal="right" vertical="center" wrapText="1"/>
    </xf>
    <xf numFmtId="4" fontId="52" fillId="23" borderId="1" xfId="3" applyNumberFormat="1" applyFont="1" applyFill="1" applyBorder="1" applyAlignment="1">
      <alignment horizontal="right" vertical="center" wrapText="1"/>
    </xf>
    <xf numFmtId="4" fontId="52" fillId="19" borderId="1" xfId="3" applyNumberFormat="1" applyFont="1" applyFill="1" applyBorder="1" applyAlignment="1">
      <alignment horizontal="right" vertical="center" wrapText="1"/>
    </xf>
    <xf numFmtId="4" fontId="52" fillId="23" borderId="2" xfId="3" applyNumberFormat="1" applyFont="1" applyFill="1" applyBorder="1" applyAlignment="1">
      <alignment horizontal="right" vertical="center" wrapText="1"/>
    </xf>
    <xf numFmtId="4" fontId="52" fillId="17" borderId="16" xfId="3" applyNumberFormat="1" applyFont="1" applyFill="1" applyBorder="1" applyAlignment="1">
      <alignment horizontal="right" vertical="center" wrapText="1"/>
    </xf>
    <xf numFmtId="4" fontId="52" fillId="16" borderId="1" xfId="3" applyNumberFormat="1" applyFont="1" applyFill="1" applyBorder="1" applyAlignment="1">
      <alignment horizontal="right" vertical="center" wrapText="1"/>
    </xf>
    <xf numFmtId="4" fontId="52" fillId="16" borderId="2" xfId="3" applyNumberFormat="1" applyFont="1" applyFill="1" applyBorder="1" applyAlignment="1">
      <alignment horizontal="right" vertical="center" wrapText="1"/>
    </xf>
    <xf numFmtId="4" fontId="52" fillId="22" borderId="16" xfId="3" applyNumberFormat="1" applyFont="1" applyFill="1" applyBorder="1" applyAlignment="1">
      <alignment horizontal="right" vertical="center" wrapText="1"/>
    </xf>
    <xf numFmtId="4" fontId="52" fillId="24" borderId="1" xfId="3" applyNumberFormat="1" applyFont="1" applyFill="1" applyBorder="1" applyAlignment="1">
      <alignment horizontal="right" vertical="center" wrapText="1"/>
    </xf>
    <xf numFmtId="4" fontId="52" fillId="22" borderId="1" xfId="3" applyNumberFormat="1" applyFont="1" applyFill="1" applyBorder="1" applyAlignment="1">
      <alignment horizontal="right" vertical="center" wrapText="1"/>
    </xf>
    <xf numFmtId="4" fontId="52" fillId="24" borderId="13" xfId="3" applyNumberFormat="1" applyFont="1" applyFill="1" applyBorder="1" applyAlignment="1">
      <alignment horizontal="right" vertical="center" wrapText="1"/>
    </xf>
    <xf numFmtId="0" fontId="14" fillId="20" borderId="0" xfId="3" applyFont="1" applyFill="1" applyAlignment="1">
      <alignment horizontal="center" vertical="center"/>
    </xf>
    <xf numFmtId="0" fontId="53" fillId="20" borderId="0" xfId="3" applyFont="1" applyFill="1" applyAlignment="1">
      <alignment horizontal="center" vertical="center"/>
    </xf>
    <xf numFmtId="0" fontId="5" fillId="20" borderId="1" xfId="3" applyFont="1" applyFill="1" applyBorder="1" applyAlignment="1">
      <alignment horizontal="center" vertical="center" wrapText="1"/>
    </xf>
    <xf numFmtId="0" fontId="5" fillId="20" borderId="1" xfId="3" applyNumberFormat="1" applyFont="1" applyFill="1" applyBorder="1" applyAlignment="1">
      <alignment horizontal="center" vertical="center" wrapText="1"/>
    </xf>
    <xf numFmtId="49" fontId="5" fillId="20" borderId="1" xfId="3" applyNumberFormat="1" applyFont="1" applyFill="1" applyBorder="1" applyAlignment="1">
      <alignment horizontal="left" vertical="center" wrapText="1"/>
    </xf>
    <xf numFmtId="4" fontId="5" fillId="20" borderId="1" xfId="3" applyNumberFormat="1" applyFont="1" applyFill="1" applyBorder="1" applyAlignment="1">
      <alignment horizontal="right" vertical="center" wrapText="1"/>
    </xf>
    <xf numFmtId="4" fontId="0" fillId="20" borderId="1" xfId="0" applyNumberFormat="1" applyFill="1" applyBorder="1" applyAlignment="1">
      <alignment horizontal="right" vertical="center" wrapText="1"/>
    </xf>
    <xf numFmtId="4" fontId="35" fillId="20" borderId="0" xfId="1" applyNumberFormat="1" applyFill="1" applyAlignment="1">
      <alignment horizontal="center" vertical="center"/>
    </xf>
    <xf numFmtId="4" fontId="14" fillId="20" borderId="0" xfId="3" applyNumberFormat="1" applyFont="1" applyFill="1" applyAlignment="1">
      <alignment horizontal="center" vertical="center"/>
    </xf>
    <xf numFmtId="4" fontId="5" fillId="20" borderId="16" xfId="3" applyNumberFormat="1" applyFont="1" applyFill="1" applyBorder="1" applyAlignment="1">
      <alignment horizontal="right" vertical="center" wrapText="1"/>
    </xf>
    <xf numFmtId="4" fontId="5" fillId="20" borderId="0" xfId="3" applyNumberFormat="1" applyFont="1" applyFill="1" applyBorder="1" applyAlignment="1">
      <alignment horizontal="right" vertical="center" wrapText="1"/>
    </xf>
    <xf numFmtId="4" fontId="5" fillId="20" borderId="2" xfId="3" applyNumberFormat="1" applyFont="1" applyFill="1" applyBorder="1" applyAlignment="1">
      <alignment horizontal="right" vertical="center" wrapText="1"/>
    </xf>
    <xf numFmtId="0" fontId="50" fillId="20" borderId="0" xfId="3" applyFont="1" applyFill="1" applyAlignment="1">
      <alignment horizontal="center" vertical="center"/>
    </xf>
    <xf numFmtId="0" fontId="55" fillId="0" borderId="0" xfId="3" applyFont="1" applyFill="1" applyBorder="1" applyAlignment="1">
      <alignment vertical="center"/>
    </xf>
    <xf numFmtId="0" fontId="55" fillId="0" borderId="9" xfId="3" applyFont="1" applyFill="1" applyBorder="1" applyAlignment="1">
      <alignment vertical="center"/>
    </xf>
    <xf numFmtId="0" fontId="58" fillId="0" borderId="1" xfId="3" applyFont="1" applyFill="1" applyBorder="1" applyAlignment="1">
      <alignment horizontal="left" vertical="center" wrapText="1" indent="2"/>
    </xf>
    <xf numFmtId="0" fontId="7" fillId="20" borderId="1" xfId="3" applyFont="1" applyFill="1" applyBorder="1" applyAlignment="1">
      <alignment horizontal="center" vertical="center" wrapText="1"/>
    </xf>
    <xf numFmtId="0" fontId="7" fillId="15" borderId="1" xfId="3" applyFont="1" applyFill="1" applyBorder="1" applyAlignment="1">
      <alignment horizontal="center" vertical="center" wrapText="1"/>
    </xf>
    <xf numFmtId="0" fontId="5" fillId="15" borderId="1" xfId="3" applyFont="1" applyFill="1" applyBorder="1" applyAlignment="1">
      <alignment horizontal="center" vertical="center" wrapText="1"/>
    </xf>
    <xf numFmtId="0" fontId="5" fillId="15" borderId="1" xfId="3" applyNumberFormat="1" applyFont="1" applyFill="1" applyBorder="1" applyAlignment="1">
      <alignment horizontal="center" vertical="center" wrapText="1"/>
    </xf>
    <xf numFmtId="0" fontId="14" fillId="15" borderId="0" xfId="3" applyFont="1" applyFill="1" applyAlignment="1">
      <alignment horizontal="center" vertical="center"/>
    </xf>
    <xf numFmtId="0" fontId="53" fillId="15" borderId="0" xfId="3" applyFont="1" applyFill="1" applyAlignment="1">
      <alignment horizontal="center" vertical="center"/>
    </xf>
    <xf numFmtId="4" fontId="35" fillId="15" borderId="0" xfId="1" applyNumberFormat="1" applyFill="1" applyAlignment="1">
      <alignment horizontal="center" vertical="center"/>
    </xf>
    <xf numFmtId="4" fontId="14" fillId="15" borderId="0" xfId="3" applyNumberFormat="1" applyFont="1" applyFill="1" applyAlignment="1">
      <alignment horizontal="center" vertical="center"/>
    </xf>
    <xf numFmtId="4" fontId="5" fillId="15" borderId="16" xfId="3" applyNumberFormat="1" applyFont="1" applyFill="1" applyBorder="1" applyAlignment="1">
      <alignment horizontal="right" vertical="center" wrapText="1"/>
    </xf>
    <xf numFmtId="4" fontId="5" fillId="15" borderId="13" xfId="3" applyNumberFormat="1" applyFont="1" applyFill="1" applyBorder="1" applyAlignment="1">
      <alignment horizontal="right" vertical="center" wrapText="1"/>
    </xf>
    <xf numFmtId="4" fontId="5" fillId="15" borderId="2" xfId="3" applyNumberFormat="1" applyFont="1" applyFill="1" applyBorder="1" applyAlignment="1">
      <alignment horizontal="right" vertical="center" wrapText="1"/>
    </xf>
    <xf numFmtId="43" fontId="14" fillId="0" borderId="0" xfId="25" applyFont="1" applyFill="1" applyAlignment="1">
      <alignment vertical="center"/>
    </xf>
    <xf numFmtId="43" fontId="14" fillId="0" borderId="0" xfId="3" applyNumberFormat="1" applyFont="1" applyFill="1" applyAlignment="1">
      <alignment vertical="center"/>
    </xf>
    <xf numFmtId="8" fontId="14" fillId="0" borderId="0" xfId="3" applyNumberFormat="1" applyFont="1" applyFill="1" applyAlignment="1">
      <alignment vertical="center"/>
    </xf>
    <xf numFmtId="4" fontId="59" fillId="0" borderId="1" xfId="3" applyNumberFormat="1" applyFont="1" applyFill="1" applyBorder="1" applyAlignment="1">
      <alignment horizontal="left" vertical="center" wrapText="1"/>
    </xf>
    <xf numFmtId="0" fontId="46" fillId="0" borderId="0" xfId="6" applyFont="1" applyFill="1" applyAlignment="1">
      <alignment horizontal="center" vertical="center" wrapText="1"/>
    </xf>
    <xf numFmtId="0" fontId="60" fillId="0" borderId="0" xfId="6" applyFont="1" applyFill="1" applyAlignment="1">
      <alignment horizontal="center" vertical="center" wrapText="1"/>
    </xf>
    <xf numFmtId="10" fontId="14" fillId="20" borderId="0" xfId="26" applyNumberFormat="1" applyFont="1" applyFill="1" applyAlignment="1">
      <alignment horizontal="center" vertical="center"/>
    </xf>
    <xf numFmtId="0" fontId="60" fillId="0" borderId="0" xfId="3" applyFont="1" applyFill="1" applyAlignment="1">
      <alignment horizontal="center" vertical="center"/>
    </xf>
    <xf numFmtId="4" fontId="63" fillId="0" borderId="0" xfId="1" applyNumberFormat="1" applyFont="1" applyFill="1" applyAlignment="1">
      <alignment horizontal="center" vertical="center"/>
    </xf>
    <xf numFmtId="4" fontId="60" fillId="0" borderId="0" xfId="3" applyNumberFormat="1" applyFont="1" applyFill="1" applyAlignment="1">
      <alignment horizontal="center" vertical="center"/>
    </xf>
    <xf numFmtId="4" fontId="45" fillId="0" borderId="16" xfId="3" applyNumberFormat="1" applyFont="1" applyFill="1" applyBorder="1" applyAlignment="1">
      <alignment horizontal="right" vertical="center" wrapText="1"/>
    </xf>
    <xf numFmtId="4" fontId="45" fillId="17" borderId="1" xfId="3" applyNumberFormat="1" applyFont="1" applyFill="1" applyBorder="1" applyAlignment="1">
      <alignment horizontal="right" vertical="center" wrapText="1"/>
    </xf>
    <xf numFmtId="4" fontId="45" fillId="18" borderId="13" xfId="3" applyNumberFormat="1" applyFont="1" applyFill="1" applyBorder="1" applyAlignment="1">
      <alignment horizontal="right" vertical="center" wrapText="1"/>
    </xf>
    <xf numFmtId="4" fontId="45" fillId="0" borderId="0" xfId="3" applyNumberFormat="1" applyFont="1" applyFill="1" applyBorder="1" applyAlignment="1">
      <alignment horizontal="right" vertical="center" wrapText="1"/>
    </xf>
    <xf numFmtId="0" fontId="64" fillId="0" borderId="0" xfId="3" applyFont="1" applyFill="1" applyAlignment="1">
      <alignment horizontal="left" vertical="center" indent="2"/>
    </xf>
    <xf numFmtId="0" fontId="64" fillId="0" borderId="1" xfId="3" applyFont="1" applyFill="1" applyBorder="1" applyAlignment="1">
      <alignment horizontal="left" vertical="center" wrapText="1" indent="2"/>
    </xf>
    <xf numFmtId="0" fontId="64" fillId="0" borderId="1" xfId="3" applyFont="1" applyFill="1" applyBorder="1" applyAlignment="1">
      <alignment horizontal="left" vertical="center" wrapText="1" indent="3"/>
    </xf>
    <xf numFmtId="0" fontId="64" fillId="0" borderId="1" xfId="3" applyNumberFormat="1" applyFont="1" applyFill="1" applyBorder="1" applyAlignment="1">
      <alignment horizontal="left" vertical="center" wrapText="1" indent="2"/>
    </xf>
    <xf numFmtId="4" fontId="64" fillId="0" borderId="1" xfId="3" applyNumberFormat="1" applyFont="1" applyFill="1" applyBorder="1" applyAlignment="1">
      <alignment horizontal="right" vertical="center" wrapText="1"/>
    </xf>
    <xf numFmtId="0" fontId="67" fillId="0" borderId="0" xfId="1" applyFont="1" applyFill="1" applyAlignment="1">
      <alignment horizontal="left" vertical="center" indent="2"/>
    </xf>
    <xf numFmtId="4" fontId="64" fillId="0" borderId="1" xfId="3" applyNumberFormat="1" applyFont="1" applyFill="1" applyBorder="1" applyAlignment="1">
      <alignment horizontal="left" vertical="center" wrapText="1"/>
    </xf>
    <xf numFmtId="4" fontId="66" fillId="0" borderId="16" xfId="3" applyNumberFormat="1" applyFont="1" applyFill="1" applyBorder="1" applyAlignment="1">
      <alignment horizontal="right" vertical="center" wrapText="1"/>
    </xf>
    <xf numFmtId="4" fontId="66" fillId="17" borderId="1" xfId="3" applyNumberFormat="1" applyFont="1" applyFill="1" applyBorder="1" applyAlignment="1">
      <alignment horizontal="right" vertical="center" wrapText="1"/>
    </xf>
    <xf numFmtId="4" fontId="66" fillId="18" borderId="13" xfId="3" applyNumberFormat="1" applyFont="1" applyFill="1" applyBorder="1" applyAlignment="1">
      <alignment horizontal="right" vertical="center" wrapText="1"/>
    </xf>
    <xf numFmtId="4" fontId="66" fillId="0" borderId="0" xfId="3" applyNumberFormat="1" applyFont="1" applyFill="1" applyBorder="1" applyAlignment="1">
      <alignment horizontal="right" vertical="center" wrapText="1"/>
    </xf>
    <xf numFmtId="4" fontId="66" fillId="15" borderId="1" xfId="3" applyNumberFormat="1" applyFont="1" applyFill="1" applyBorder="1" applyAlignment="1">
      <alignment horizontal="right" vertical="center" wrapText="1"/>
    </xf>
    <xf numFmtId="4" fontId="66" fillId="20" borderId="13" xfId="3" applyNumberFormat="1" applyFont="1" applyFill="1" applyBorder="1" applyAlignment="1">
      <alignment horizontal="right" vertical="center" wrapText="1"/>
    </xf>
    <xf numFmtId="4" fontId="64" fillId="0" borderId="16" xfId="3" applyNumberFormat="1" applyFont="1" applyFill="1" applyBorder="1" applyAlignment="1">
      <alignment horizontal="right" vertical="center" wrapText="1"/>
    </xf>
    <xf numFmtId="4" fontId="66" fillId="21" borderId="16" xfId="3" applyNumberFormat="1" applyFont="1" applyFill="1" applyBorder="1" applyAlignment="1">
      <alignment horizontal="right" vertical="center" wrapText="1"/>
    </xf>
    <xf numFmtId="4" fontId="66" fillId="3" borderId="1" xfId="3" applyNumberFormat="1" applyFont="1" applyFill="1" applyBorder="1" applyAlignment="1">
      <alignment horizontal="right" vertical="center" wrapText="1"/>
    </xf>
    <xf numFmtId="4" fontId="66" fillId="21" borderId="1" xfId="3" applyNumberFormat="1" applyFont="1" applyFill="1" applyBorder="1" applyAlignment="1">
      <alignment horizontal="right" vertical="center" wrapText="1"/>
    </xf>
    <xf numFmtId="4" fontId="66" fillId="3" borderId="2" xfId="3" applyNumberFormat="1" applyFont="1" applyFill="1" applyBorder="1" applyAlignment="1">
      <alignment horizontal="right" vertical="center" wrapText="1"/>
    </xf>
    <xf numFmtId="4" fontId="66" fillId="19" borderId="16" xfId="3" applyNumberFormat="1" applyFont="1" applyFill="1" applyBorder="1" applyAlignment="1">
      <alignment horizontal="right" vertical="center" wrapText="1"/>
    </xf>
    <xf numFmtId="4" fontId="66" fillId="23" borderId="1" xfId="3" applyNumberFormat="1" applyFont="1" applyFill="1" applyBorder="1" applyAlignment="1">
      <alignment horizontal="right" vertical="center" wrapText="1"/>
    </xf>
    <xf numFmtId="4" fontId="66" fillId="19" borderId="1" xfId="3" applyNumberFormat="1" applyFont="1" applyFill="1" applyBorder="1" applyAlignment="1">
      <alignment horizontal="right" vertical="center" wrapText="1"/>
    </xf>
    <xf numFmtId="4" fontId="66" fillId="23" borderId="2" xfId="3" applyNumberFormat="1" applyFont="1" applyFill="1" applyBorder="1" applyAlignment="1">
      <alignment horizontal="right" vertical="center" wrapText="1"/>
    </xf>
    <xf numFmtId="4" fontId="66" fillId="17" borderId="16" xfId="3" applyNumberFormat="1" applyFont="1" applyFill="1" applyBorder="1" applyAlignment="1">
      <alignment horizontal="right" vertical="center" wrapText="1"/>
    </xf>
    <xf numFmtId="4" fontId="66" fillId="16" borderId="1" xfId="3" applyNumberFormat="1" applyFont="1" applyFill="1" applyBorder="1" applyAlignment="1">
      <alignment horizontal="right" vertical="center" wrapText="1"/>
    </xf>
    <xf numFmtId="4" fontId="66" fillId="16" borderId="2" xfId="3" applyNumberFormat="1" applyFont="1" applyFill="1" applyBorder="1" applyAlignment="1">
      <alignment horizontal="right" vertical="center" wrapText="1"/>
    </xf>
    <xf numFmtId="4" fontId="66" fillId="22" borderId="16" xfId="3" applyNumberFormat="1" applyFont="1" applyFill="1" applyBorder="1" applyAlignment="1">
      <alignment horizontal="right" vertical="center" wrapText="1"/>
    </xf>
    <xf numFmtId="4" fontId="66" fillId="24" borderId="1" xfId="3" applyNumberFormat="1" applyFont="1" applyFill="1" applyBorder="1" applyAlignment="1">
      <alignment horizontal="right" vertical="center" wrapText="1"/>
    </xf>
    <xf numFmtId="4" fontId="66" fillId="22" borderId="1" xfId="3" applyNumberFormat="1" applyFont="1" applyFill="1" applyBorder="1" applyAlignment="1">
      <alignment horizontal="right" vertical="center" wrapText="1"/>
    </xf>
    <xf numFmtId="4" fontId="66" fillId="24" borderId="13" xfId="3" applyNumberFormat="1" applyFont="1" applyFill="1" applyBorder="1" applyAlignment="1">
      <alignment horizontal="right" vertical="center" wrapText="1"/>
    </xf>
    <xf numFmtId="0" fontId="69" fillId="0" borderId="0" xfId="1" applyFont="1" applyFill="1" applyAlignment="1">
      <alignment horizontal="left" vertical="center" indent="2"/>
    </xf>
    <xf numFmtId="4" fontId="0" fillId="25" borderId="1" xfId="0" applyNumberFormat="1" applyFill="1" applyBorder="1" applyAlignment="1">
      <alignment horizontal="right" vertical="center" wrapText="1"/>
    </xf>
    <xf numFmtId="0" fontId="72" fillId="0" borderId="0" xfId="3" applyFont="1" applyFill="1" applyAlignment="1">
      <alignment horizontal="left" vertical="center" indent="2"/>
    </xf>
    <xf numFmtId="0" fontId="72" fillId="0" borderId="1" xfId="3" applyFont="1" applyFill="1" applyBorder="1" applyAlignment="1">
      <alignment horizontal="left" vertical="center" wrapText="1" indent="2"/>
    </xf>
    <xf numFmtId="0" fontId="72" fillId="0" borderId="1" xfId="3" applyFont="1" applyFill="1" applyBorder="1" applyAlignment="1">
      <alignment horizontal="left" vertical="center" wrapText="1" indent="3"/>
    </xf>
    <xf numFmtId="0" fontId="72" fillId="0" borderId="1" xfId="3" applyNumberFormat="1" applyFont="1" applyFill="1" applyBorder="1" applyAlignment="1">
      <alignment horizontal="left" vertical="center" wrapText="1" indent="2"/>
    </xf>
    <xf numFmtId="4" fontId="72" fillId="0" borderId="1" xfId="3" applyNumberFormat="1" applyFont="1" applyFill="1" applyBorder="1" applyAlignment="1">
      <alignment horizontal="right" vertical="center" wrapText="1"/>
    </xf>
    <xf numFmtId="0" fontId="75" fillId="0" borderId="0" xfId="1" applyFont="1" applyFill="1" applyAlignment="1">
      <alignment horizontal="left" vertical="center" indent="2"/>
    </xf>
    <xf numFmtId="4" fontId="72" fillId="0" borderId="1" xfId="3" applyNumberFormat="1" applyFont="1" applyFill="1" applyBorder="1" applyAlignment="1">
      <alignment horizontal="left" vertical="center" wrapText="1"/>
    </xf>
    <xf numFmtId="4" fontId="74" fillId="0" borderId="16" xfId="3" applyNumberFormat="1" applyFont="1" applyFill="1" applyBorder="1" applyAlignment="1">
      <alignment horizontal="right" vertical="center" wrapText="1"/>
    </xf>
    <xf numFmtId="4" fontId="74" fillId="17" borderId="1" xfId="3" applyNumberFormat="1" applyFont="1" applyFill="1" applyBorder="1" applyAlignment="1">
      <alignment horizontal="right" vertical="center" wrapText="1"/>
    </xf>
    <xf numFmtId="4" fontId="74" fillId="18" borderId="13" xfId="3" applyNumberFormat="1" applyFont="1" applyFill="1" applyBorder="1" applyAlignment="1">
      <alignment horizontal="right" vertical="center" wrapText="1"/>
    </xf>
    <xf numFmtId="4" fontId="74" fillId="0" borderId="0" xfId="3" applyNumberFormat="1" applyFont="1" applyFill="1" applyBorder="1" applyAlignment="1">
      <alignment horizontal="right" vertical="center" wrapText="1"/>
    </xf>
    <xf numFmtId="4" fontId="74" fillId="15" borderId="1" xfId="3" applyNumberFormat="1" applyFont="1" applyFill="1" applyBorder="1" applyAlignment="1">
      <alignment horizontal="right" vertical="center" wrapText="1"/>
    </xf>
    <xf numFmtId="4" fontId="74" fillId="20" borderId="13" xfId="3" applyNumberFormat="1" applyFont="1" applyFill="1" applyBorder="1" applyAlignment="1">
      <alignment horizontal="right" vertical="center" wrapText="1"/>
    </xf>
    <xf numFmtId="4" fontId="72" fillId="0" borderId="16" xfId="3" applyNumberFormat="1" applyFont="1" applyFill="1" applyBorder="1" applyAlignment="1">
      <alignment horizontal="right" vertical="center" wrapText="1"/>
    </xf>
    <xf numFmtId="4" fontId="74" fillId="21" borderId="16" xfId="3" applyNumberFormat="1" applyFont="1" applyFill="1" applyBorder="1" applyAlignment="1">
      <alignment horizontal="right" vertical="center" wrapText="1"/>
    </xf>
    <xf numFmtId="4" fontId="74" fillId="3" borderId="1" xfId="3" applyNumberFormat="1" applyFont="1" applyFill="1" applyBorder="1" applyAlignment="1">
      <alignment horizontal="right" vertical="center" wrapText="1"/>
    </xf>
    <xf numFmtId="4" fontId="74" fillId="21" borderId="1" xfId="3" applyNumberFormat="1" applyFont="1" applyFill="1" applyBorder="1" applyAlignment="1">
      <alignment horizontal="right" vertical="center" wrapText="1"/>
    </xf>
    <xf numFmtId="4" fontId="74" fillId="3" borderId="2" xfId="3" applyNumberFormat="1" applyFont="1" applyFill="1" applyBorder="1" applyAlignment="1">
      <alignment horizontal="right" vertical="center" wrapText="1"/>
    </xf>
    <xf numFmtId="4" fontId="74" fillId="19" borderId="16" xfId="3" applyNumberFormat="1" applyFont="1" applyFill="1" applyBorder="1" applyAlignment="1">
      <alignment horizontal="right" vertical="center" wrapText="1"/>
    </xf>
    <xf numFmtId="4" fontId="74" fillId="23" borderId="1" xfId="3" applyNumberFormat="1" applyFont="1" applyFill="1" applyBorder="1" applyAlignment="1">
      <alignment horizontal="right" vertical="center" wrapText="1"/>
    </xf>
    <xf numFmtId="4" fontId="74" fillId="19" borderId="1" xfId="3" applyNumberFormat="1" applyFont="1" applyFill="1" applyBorder="1" applyAlignment="1">
      <alignment horizontal="right" vertical="center" wrapText="1"/>
    </xf>
    <xf numFmtId="4" fontId="74" fillId="23" borderId="2" xfId="3" applyNumberFormat="1" applyFont="1" applyFill="1" applyBorder="1" applyAlignment="1">
      <alignment horizontal="right" vertical="center" wrapText="1"/>
    </xf>
    <xf numFmtId="4" fontId="74" fillId="17" borderId="16" xfId="3" applyNumberFormat="1" applyFont="1" applyFill="1" applyBorder="1" applyAlignment="1">
      <alignment horizontal="right" vertical="center" wrapText="1"/>
    </xf>
    <xf numFmtId="4" fontId="74" fillId="16" borderId="1" xfId="3" applyNumberFormat="1" applyFont="1" applyFill="1" applyBorder="1" applyAlignment="1">
      <alignment horizontal="right" vertical="center" wrapText="1"/>
    </xf>
    <xf numFmtId="4" fontId="74" fillId="16" borderId="2" xfId="3" applyNumberFormat="1" applyFont="1" applyFill="1" applyBorder="1" applyAlignment="1">
      <alignment horizontal="right" vertical="center" wrapText="1"/>
    </xf>
    <xf numFmtId="4" fontId="74" fillId="22" borderId="16" xfId="3" applyNumberFormat="1" applyFont="1" applyFill="1" applyBorder="1" applyAlignment="1">
      <alignment horizontal="right" vertical="center" wrapText="1"/>
    </xf>
    <xf numFmtId="4" fontId="74" fillId="24" borderId="1" xfId="3" applyNumberFormat="1" applyFont="1" applyFill="1" applyBorder="1" applyAlignment="1">
      <alignment horizontal="right" vertical="center" wrapText="1"/>
    </xf>
    <xf numFmtId="4" fontId="74" fillId="22" borderId="1" xfId="3" applyNumberFormat="1" applyFont="1" applyFill="1" applyBorder="1" applyAlignment="1">
      <alignment horizontal="right" vertical="center" wrapText="1"/>
    </xf>
    <xf numFmtId="4" fontId="74" fillId="24" borderId="13" xfId="3" applyNumberFormat="1" applyFont="1" applyFill="1" applyBorder="1" applyAlignment="1">
      <alignment horizontal="right" vertical="center" wrapText="1"/>
    </xf>
    <xf numFmtId="0" fontId="52" fillId="16" borderId="0" xfId="3" applyFont="1" applyFill="1" applyAlignment="1">
      <alignment horizontal="left" vertical="center" indent="2"/>
    </xf>
    <xf numFmtId="0" fontId="71" fillId="16" borderId="1" xfId="3" applyFont="1" applyFill="1" applyBorder="1" applyAlignment="1">
      <alignment horizontal="left" vertical="center" wrapText="1" indent="2"/>
    </xf>
    <xf numFmtId="0" fontId="52" fillId="16" borderId="1" xfId="3" applyFont="1" applyFill="1" applyBorder="1" applyAlignment="1">
      <alignment horizontal="left" vertical="center" wrapText="1" indent="3"/>
    </xf>
    <xf numFmtId="0" fontId="52" fillId="16" borderId="1" xfId="3" applyFont="1" applyFill="1" applyBorder="1" applyAlignment="1">
      <alignment horizontal="left" vertical="center" wrapText="1" indent="2"/>
    </xf>
    <xf numFmtId="0" fontId="52" fillId="16" borderId="1" xfId="3" applyNumberFormat="1" applyFont="1" applyFill="1" applyBorder="1" applyAlignment="1">
      <alignment horizontal="left" vertical="center" wrapText="1" indent="2"/>
    </xf>
    <xf numFmtId="4" fontId="52" fillId="16" borderId="16" xfId="3" applyNumberFormat="1" applyFont="1" applyFill="1" applyBorder="1" applyAlignment="1">
      <alignment horizontal="right" vertical="center" wrapText="1"/>
    </xf>
    <xf numFmtId="4" fontId="52" fillId="16" borderId="13" xfId="3" applyNumberFormat="1" applyFont="1" applyFill="1" applyBorder="1" applyAlignment="1">
      <alignment horizontal="right" vertical="center" wrapText="1"/>
    </xf>
    <xf numFmtId="0" fontId="76" fillId="0" borderId="0" xfId="1" applyFont="1" applyFill="1" applyAlignment="1">
      <alignment horizontal="left" vertical="center" indent="2"/>
    </xf>
    <xf numFmtId="0" fontId="79" fillId="0" borderId="0" xfId="1" applyFont="1" applyFill="1" applyAlignment="1">
      <alignment horizontal="left" vertical="center" indent="2"/>
    </xf>
    <xf numFmtId="0" fontId="66" fillId="16" borderId="0" xfId="3" applyFont="1" applyFill="1" applyAlignment="1">
      <alignment horizontal="left" vertical="center" indent="2"/>
    </xf>
    <xf numFmtId="0" fontId="66" fillId="16" borderId="1" xfId="3" applyFont="1" applyFill="1" applyBorder="1" applyAlignment="1">
      <alignment horizontal="left" vertical="center" wrapText="1" indent="2"/>
    </xf>
    <xf numFmtId="0" fontId="66" fillId="16" borderId="1" xfId="3" applyFont="1" applyFill="1" applyBorder="1" applyAlignment="1">
      <alignment horizontal="left" vertical="center" wrapText="1" indent="3"/>
    </xf>
    <xf numFmtId="0" fontId="66" fillId="16" borderId="1" xfId="3" applyNumberFormat="1" applyFont="1" applyFill="1" applyBorder="1" applyAlignment="1">
      <alignment horizontal="left" vertical="center" wrapText="1" indent="2"/>
    </xf>
    <xf numFmtId="4" fontId="66" fillId="16" borderId="16" xfId="3" applyNumberFormat="1" applyFont="1" applyFill="1" applyBorder="1" applyAlignment="1">
      <alignment horizontal="right" vertical="center" wrapText="1"/>
    </xf>
    <xf numFmtId="4" fontId="66" fillId="16" borderId="13" xfId="3" applyNumberFormat="1" applyFont="1" applyFill="1" applyBorder="1" applyAlignment="1">
      <alignment horizontal="right" vertical="center" wrapText="1"/>
    </xf>
    <xf numFmtId="0" fontId="72" fillId="0" borderId="1" xfId="3" applyFont="1" applyFill="1" applyBorder="1" applyAlignment="1">
      <alignment horizontal="left" vertical="center" wrapText="1" indent="1"/>
    </xf>
    <xf numFmtId="0" fontId="2" fillId="25" borderId="0" xfId="3" applyFont="1" applyFill="1" applyAlignment="1">
      <alignment horizontal="center" vertical="center"/>
    </xf>
    <xf numFmtId="0" fontId="4" fillId="25" borderId="1" xfId="3" applyFont="1" applyFill="1" applyBorder="1" applyAlignment="1">
      <alignment horizontal="center" vertical="center" wrapText="1"/>
    </xf>
    <xf numFmtId="0" fontId="4" fillId="25" borderId="1" xfId="3" applyNumberFormat="1" applyFont="1" applyFill="1" applyBorder="1" applyAlignment="1">
      <alignment horizontal="center" vertical="center" wrapText="1"/>
    </xf>
    <xf numFmtId="49" fontId="4" fillId="25" borderId="1" xfId="3" applyNumberFormat="1" applyFont="1" applyFill="1" applyBorder="1" applyAlignment="1">
      <alignment horizontal="left" vertical="center" wrapText="1"/>
    </xf>
    <xf numFmtId="4" fontId="6" fillId="25" borderId="1" xfId="3" applyNumberFormat="1" applyFont="1" applyFill="1" applyBorder="1" applyAlignment="1">
      <alignment horizontal="right" vertical="center" wrapText="1"/>
    </xf>
    <xf numFmtId="4" fontId="2" fillId="25" borderId="1" xfId="3" applyNumberFormat="1" applyFont="1" applyFill="1" applyBorder="1" applyAlignment="1">
      <alignment horizontal="right" vertical="center" wrapText="1"/>
    </xf>
    <xf numFmtId="4" fontId="35" fillId="25" borderId="0" xfId="1" applyNumberFormat="1" applyFill="1" applyAlignment="1">
      <alignment horizontal="center" vertical="center"/>
    </xf>
    <xf numFmtId="4" fontId="2" fillId="25" borderId="0" xfId="3" applyNumberFormat="1" applyFont="1" applyFill="1" applyAlignment="1">
      <alignment horizontal="center" vertical="center"/>
    </xf>
    <xf numFmtId="4" fontId="2" fillId="25" borderId="16" xfId="3" applyNumberFormat="1" applyFont="1" applyFill="1" applyBorder="1" applyAlignment="1">
      <alignment horizontal="right" vertical="center" wrapText="1"/>
    </xf>
    <xf numFmtId="4" fontId="2" fillId="25" borderId="13" xfId="3" applyNumberFormat="1" applyFont="1" applyFill="1" applyBorder="1" applyAlignment="1">
      <alignment horizontal="right" vertical="center" wrapText="1"/>
    </xf>
    <xf numFmtId="4" fontId="2" fillId="25" borderId="0" xfId="3" applyNumberFormat="1" applyFont="1" applyFill="1" applyBorder="1" applyAlignment="1">
      <alignment horizontal="right" vertical="center" wrapText="1"/>
    </xf>
    <xf numFmtId="4" fontId="4" fillId="25" borderId="16" xfId="3" applyNumberFormat="1" applyFont="1" applyFill="1" applyBorder="1" applyAlignment="1">
      <alignment horizontal="right" vertical="center" wrapText="1"/>
    </xf>
    <xf numFmtId="4" fontId="2" fillId="25" borderId="2" xfId="3" applyNumberFormat="1" applyFont="1" applyFill="1" applyBorder="1" applyAlignment="1">
      <alignment horizontal="right" vertical="center" wrapText="1"/>
    </xf>
    <xf numFmtId="0" fontId="3" fillId="25" borderId="0" xfId="3" applyFont="1" applyFill="1" applyAlignment="1">
      <alignment horizontal="center" vertical="center"/>
    </xf>
    <xf numFmtId="0" fontId="81" fillId="20" borderId="1" xfId="3" applyNumberFormat="1" applyFont="1" applyFill="1" applyBorder="1" applyAlignment="1">
      <alignment horizontal="center" vertical="center" wrapText="1"/>
    </xf>
    <xf numFmtId="0" fontId="46" fillId="25" borderId="0" xfId="3" applyFont="1" applyFill="1" applyAlignment="1">
      <alignment horizontal="center" vertical="center"/>
    </xf>
    <xf numFmtId="0" fontId="6" fillId="25" borderId="1" xfId="3" applyFont="1" applyFill="1" applyBorder="1" applyAlignment="1">
      <alignment horizontal="center" vertical="center" wrapText="1"/>
    </xf>
    <xf numFmtId="0" fontId="6" fillId="25" borderId="1" xfId="3" applyNumberFormat="1" applyFont="1" applyFill="1" applyBorder="1" applyAlignment="1">
      <alignment horizontal="center" vertical="center" wrapText="1"/>
    </xf>
    <xf numFmtId="49" fontId="6" fillId="25" borderId="1" xfId="3" applyNumberFormat="1" applyFont="1" applyFill="1" applyBorder="1" applyAlignment="1">
      <alignment horizontal="left" vertical="center" wrapText="1"/>
    </xf>
    <xf numFmtId="4" fontId="19" fillId="25" borderId="1" xfId="0" applyNumberFormat="1" applyFont="1" applyFill="1" applyBorder="1" applyAlignment="1">
      <alignment horizontal="right" vertical="center" wrapText="1"/>
    </xf>
    <xf numFmtId="4" fontId="7" fillId="25" borderId="1" xfId="3" applyNumberFormat="1" applyFont="1" applyFill="1" applyBorder="1" applyAlignment="1">
      <alignment horizontal="right" vertical="center" wrapText="1"/>
    </xf>
    <xf numFmtId="4" fontId="82" fillId="25" borderId="0" xfId="1" applyNumberFormat="1" applyFont="1" applyFill="1" applyAlignment="1">
      <alignment horizontal="center" vertical="center"/>
    </xf>
    <xf numFmtId="4" fontId="46" fillId="25" borderId="0" xfId="3" applyNumberFormat="1" applyFont="1" applyFill="1" applyAlignment="1">
      <alignment horizontal="center" vertical="center"/>
    </xf>
    <xf numFmtId="4" fontId="7" fillId="25" borderId="16" xfId="3" applyNumberFormat="1" applyFont="1" applyFill="1" applyBorder="1" applyAlignment="1">
      <alignment horizontal="right" vertical="center" wrapText="1"/>
    </xf>
    <xf numFmtId="4" fontId="7" fillId="25" borderId="13" xfId="3" applyNumberFormat="1" applyFont="1" applyFill="1" applyBorder="1" applyAlignment="1">
      <alignment horizontal="right" vertical="center" wrapText="1"/>
    </xf>
    <xf numFmtId="4" fontId="7" fillId="25" borderId="0" xfId="3" applyNumberFormat="1" applyFont="1" applyFill="1" applyBorder="1" applyAlignment="1">
      <alignment horizontal="right" vertical="center" wrapText="1"/>
    </xf>
    <xf numFmtId="4" fontId="6" fillId="25" borderId="16" xfId="3" applyNumberFormat="1" applyFont="1" applyFill="1" applyBorder="1" applyAlignment="1">
      <alignment horizontal="right" vertical="center" wrapText="1"/>
    </xf>
    <xf numFmtId="4" fontId="7" fillId="25" borderId="2" xfId="3" applyNumberFormat="1" applyFont="1" applyFill="1" applyBorder="1" applyAlignment="1">
      <alignment horizontal="right" vertical="center" wrapText="1"/>
    </xf>
    <xf numFmtId="4" fontId="6" fillId="25" borderId="13" xfId="3" applyNumberFormat="1" applyFont="1" applyFill="1" applyBorder="1" applyAlignment="1">
      <alignment horizontal="right" vertical="center" wrapText="1"/>
    </xf>
    <xf numFmtId="4" fontId="6" fillId="25" borderId="0" xfId="3" applyNumberFormat="1" applyFont="1" applyFill="1" applyBorder="1" applyAlignment="1">
      <alignment horizontal="right" vertical="center" wrapText="1"/>
    </xf>
    <xf numFmtId="4" fontId="6" fillId="25" borderId="2" xfId="3" applyNumberFormat="1" applyFont="1" applyFill="1" applyBorder="1" applyAlignment="1">
      <alignment horizontal="right" vertical="center" wrapText="1"/>
    </xf>
    <xf numFmtId="0" fontId="81" fillId="20" borderId="1" xfId="3" applyFont="1" applyFill="1" applyBorder="1" applyAlignment="1">
      <alignment horizontal="center" vertical="center" wrapText="1"/>
    </xf>
    <xf numFmtId="0" fontId="83" fillId="25" borderId="0" xfId="3" applyFont="1" applyFill="1" applyAlignment="1">
      <alignment vertical="center"/>
    </xf>
    <xf numFmtId="0" fontId="3" fillId="25" borderId="0" xfId="3" applyFont="1" applyFill="1" applyAlignment="1">
      <alignment vertical="center"/>
    </xf>
    <xf numFmtId="4" fontId="86" fillId="0" borderId="16" xfId="3" applyNumberFormat="1" applyFont="1" applyFill="1" applyBorder="1" applyAlignment="1">
      <alignment horizontal="right" vertical="center" wrapText="1"/>
    </xf>
    <xf numFmtId="4" fontId="59" fillId="0" borderId="16" xfId="3" applyNumberFormat="1" applyFont="1" applyFill="1" applyBorder="1" applyAlignment="1">
      <alignment horizontal="right" vertical="center" wrapText="1"/>
    </xf>
    <xf numFmtId="0" fontId="5" fillId="0" borderId="3" xfId="3" applyFont="1" applyFill="1" applyBorder="1" applyAlignment="1">
      <alignment horizontal="right" vertical="center" wrapText="1"/>
    </xf>
    <xf numFmtId="0" fontId="14" fillId="16" borderId="0" xfId="3" applyFont="1" applyFill="1" applyAlignment="1">
      <alignment horizontal="center" vertical="center"/>
    </xf>
    <xf numFmtId="0" fontId="53" fillId="16" borderId="0" xfId="3" applyFont="1" applyFill="1" applyAlignment="1">
      <alignment horizontal="center" vertical="center"/>
    </xf>
    <xf numFmtId="0" fontId="5" fillId="16" borderId="1" xfId="3" applyFont="1" applyFill="1" applyBorder="1" applyAlignment="1">
      <alignment horizontal="center" vertical="center" wrapText="1"/>
    </xf>
    <xf numFmtId="0" fontId="5" fillId="16" borderId="1" xfId="3" applyNumberFormat="1" applyFont="1" applyFill="1" applyBorder="1" applyAlignment="1">
      <alignment horizontal="center" vertical="center" wrapText="1"/>
    </xf>
    <xf numFmtId="4" fontId="35" fillId="16" borderId="0" xfId="1" applyNumberFormat="1" applyFill="1" applyAlignment="1">
      <alignment horizontal="center" vertical="center"/>
    </xf>
    <xf numFmtId="4" fontId="14" fillId="16" borderId="0" xfId="3" applyNumberFormat="1" applyFont="1" applyFill="1" applyAlignment="1">
      <alignment horizontal="center" vertical="center"/>
    </xf>
    <xf numFmtId="4" fontId="5" fillId="16" borderId="16" xfId="3" applyNumberFormat="1" applyFont="1" applyFill="1" applyBorder="1" applyAlignment="1">
      <alignment horizontal="right" vertical="center" wrapText="1"/>
    </xf>
    <xf numFmtId="4" fontId="5" fillId="16" borderId="13" xfId="3" applyNumberFormat="1" applyFont="1" applyFill="1" applyBorder="1" applyAlignment="1">
      <alignment horizontal="right" vertical="center" wrapText="1"/>
    </xf>
    <xf numFmtId="4" fontId="5" fillId="16" borderId="0" xfId="3" applyNumberFormat="1" applyFont="1" applyFill="1" applyBorder="1" applyAlignment="1">
      <alignment horizontal="right" vertical="center" wrapText="1"/>
    </xf>
    <xf numFmtId="0" fontId="5" fillId="0" borderId="3" xfId="3" applyFont="1" applyFill="1" applyBorder="1" applyAlignment="1">
      <alignment vertical="center" wrapText="1"/>
    </xf>
    <xf numFmtId="0" fontId="8" fillId="0" borderId="2" xfId="3" applyFont="1" applyFill="1" applyBorder="1" applyAlignment="1">
      <alignment horizontal="center" vertical="center" wrapText="1"/>
    </xf>
    <xf numFmtId="0" fontId="14" fillId="6" borderId="0" xfId="3" applyFont="1" applyFill="1" applyAlignment="1">
      <alignment horizontal="center" vertical="top"/>
    </xf>
    <xf numFmtId="0" fontId="53" fillId="6" borderId="0" xfId="3" applyFont="1" applyFill="1" applyAlignment="1">
      <alignment horizontal="center" vertical="top"/>
    </xf>
    <xf numFmtId="0" fontId="5" fillId="6" borderId="1" xfId="3" applyFont="1" applyFill="1" applyBorder="1" applyAlignment="1">
      <alignment horizontal="center" vertical="top" wrapText="1"/>
    </xf>
    <xf numFmtId="0" fontId="5" fillId="6" borderId="1" xfId="3" applyNumberFormat="1" applyFont="1" applyFill="1" applyBorder="1" applyAlignment="1">
      <alignment horizontal="center" vertical="top" wrapText="1"/>
    </xf>
    <xf numFmtId="4" fontId="35" fillId="6" borderId="0" xfId="1" applyNumberFormat="1" applyFill="1" applyAlignment="1">
      <alignment horizontal="center" vertical="top"/>
    </xf>
    <xf numFmtId="4" fontId="14" fillId="6" borderId="0" xfId="3" applyNumberFormat="1" applyFont="1" applyFill="1" applyAlignment="1">
      <alignment horizontal="center" vertical="top"/>
    </xf>
    <xf numFmtId="4" fontId="5" fillId="6" borderId="0" xfId="3" applyNumberFormat="1" applyFont="1" applyFill="1" applyBorder="1" applyAlignment="1">
      <alignment horizontal="right" vertical="top" wrapText="1"/>
    </xf>
    <xf numFmtId="49" fontId="55" fillId="6" borderId="2" xfId="3" applyNumberFormat="1" applyFont="1" applyFill="1" applyBorder="1" applyAlignment="1">
      <alignment horizontal="center" vertical="top" wrapText="1"/>
    </xf>
    <xf numFmtId="49" fontId="5" fillId="15" borderId="2" xfId="3" applyNumberFormat="1" applyFont="1" applyFill="1" applyBorder="1" applyAlignment="1">
      <alignment horizontal="left" vertical="center" wrapText="1"/>
    </xf>
    <xf numFmtId="49" fontId="5" fillId="20" borderId="2" xfId="3" applyNumberFormat="1" applyFont="1" applyFill="1" applyBorder="1" applyAlignment="1">
      <alignment horizontal="left" vertical="center" wrapText="1"/>
    </xf>
    <xf numFmtId="49" fontId="51" fillId="0" borderId="2" xfId="3" applyNumberFormat="1" applyFont="1" applyFill="1" applyBorder="1" applyAlignment="1">
      <alignment horizontal="left" vertical="center" wrapText="1" indent="2"/>
    </xf>
    <xf numFmtId="49" fontId="59" fillId="0" borderId="2" xfId="3" applyNumberFormat="1" applyFont="1" applyFill="1" applyBorder="1" applyAlignment="1">
      <alignment horizontal="left" vertical="center" wrapText="1" indent="2"/>
    </xf>
    <xf numFmtId="49" fontId="52" fillId="16" borderId="2" xfId="3" applyNumberFormat="1" applyFont="1" applyFill="1" applyBorder="1" applyAlignment="1">
      <alignment horizontal="left" vertical="center" wrapText="1" indent="2"/>
    </xf>
    <xf numFmtId="49" fontId="72" fillId="0" borderId="2" xfId="3" applyNumberFormat="1" applyFont="1" applyFill="1" applyBorder="1" applyAlignment="1">
      <alignment horizontal="left" vertical="center" wrapText="1" indent="2"/>
    </xf>
    <xf numFmtId="49" fontId="66" fillId="16" borderId="2" xfId="3" applyNumberFormat="1" applyFont="1" applyFill="1" applyBorder="1" applyAlignment="1">
      <alignment horizontal="left" vertical="center" wrapText="1" indent="2"/>
    </xf>
    <xf numFmtId="49" fontId="64" fillId="0" borderId="2" xfId="3" applyNumberFormat="1" applyFont="1" applyFill="1" applyBorder="1" applyAlignment="1">
      <alignment horizontal="left" vertical="center" wrapText="1" indent="2"/>
    </xf>
    <xf numFmtId="4" fontId="5" fillId="20" borderId="4" xfId="3" applyNumberFormat="1" applyFont="1" applyFill="1" applyBorder="1" applyAlignment="1">
      <alignment horizontal="right" vertical="center" wrapText="1"/>
    </xf>
    <xf numFmtId="4" fontId="51" fillId="0" borderId="4" xfId="3" applyNumberFormat="1" applyFont="1" applyFill="1" applyBorder="1" applyAlignment="1">
      <alignment horizontal="right" vertical="center" wrapText="1"/>
    </xf>
    <xf numFmtId="4" fontId="52" fillId="0" borderId="4" xfId="3" applyNumberFormat="1" applyFont="1" applyFill="1" applyBorder="1" applyAlignment="1">
      <alignment horizontal="right" vertical="center" wrapText="1"/>
    </xf>
    <xf numFmtId="4" fontId="86" fillId="0" borderId="4" xfId="3" applyNumberFormat="1" applyFont="1" applyFill="1" applyBorder="1" applyAlignment="1">
      <alignment horizontal="right" vertical="center" wrapText="1"/>
    </xf>
    <xf numFmtId="4" fontId="7" fillId="0" borderId="4" xfId="3" applyNumberFormat="1" applyFont="1" applyFill="1" applyBorder="1" applyAlignment="1">
      <alignment horizontal="right" vertical="center" wrapText="1"/>
    </xf>
    <xf numFmtId="4" fontId="42" fillId="20" borderId="16" xfId="3" applyNumberFormat="1" applyFont="1" applyFill="1" applyBorder="1" applyAlignment="1">
      <alignment horizontal="right" vertical="center" wrapText="1"/>
    </xf>
    <xf numFmtId="4" fontId="5" fillId="0" borderId="19" xfId="3" applyNumberFormat="1" applyFont="1" applyFill="1" applyBorder="1" applyAlignment="1">
      <alignment horizontal="right" vertical="center" wrapText="1"/>
    </xf>
    <xf numFmtId="4" fontId="5" fillId="0" borderId="20" xfId="3" applyNumberFormat="1" applyFont="1" applyFill="1" applyBorder="1" applyAlignment="1">
      <alignment horizontal="right" vertical="center" wrapText="1"/>
    </xf>
    <xf numFmtId="4" fontId="42" fillId="15" borderId="10" xfId="3" applyNumberFormat="1" applyFont="1" applyFill="1" applyBorder="1" applyAlignment="1">
      <alignment horizontal="right" vertical="center" wrapText="1"/>
    </xf>
    <xf numFmtId="4" fontId="5" fillId="15" borderId="17" xfId="3" applyNumberFormat="1" applyFont="1" applyFill="1" applyBorder="1" applyAlignment="1">
      <alignment horizontal="right" vertical="center" wrapText="1"/>
    </xf>
    <xf numFmtId="4" fontId="7" fillId="0" borderId="19" xfId="3" applyNumberFormat="1" applyFont="1" applyFill="1" applyBorder="1" applyAlignment="1">
      <alignment horizontal="right" vertical="center" wrapText="1"/>
    </xf>
    <xf numFmtId="4" fontId="7" fillId="0" borderId="20" xfId="3" applyNumberFormat="1" applyFont="1" applyFill="1" applyBorder="1" applyAlignment="1">
      <alignment horizontal="right" vertical="center" wrapText="1"/>
    </xf>
    <xf numFmtId="4" fontId="5" fillId="20" borderId="10" xfId="3" applyNumberFormat="1" applyFont="1" applyFill="1" applyBorder="1" applyAlignment="1">
      <alignment horizontal="right" vertical="center" wrapText="1"/>
    </xf>
    <xf numFmtId="4" fontId="5" fillId="20" borderId="17" xfId="3" applyNumberFormat="1" applyFont="1" applyFill="1" applyBorder="1" applyAlignment="1">
      <alignment horizontal="right" vertical="center" wrapText="1"/>
    </xf>
    <xf numFmtId="4" fontId="5" fillId="20" borderId="23" xfId="3" applyNumberFormat="1" applyFont="1" applyFill="1" applyBorder="1" applyAlignment="1">
      <alignment horizontal="right" vertical="center" wrapText="1"/>
    </xf>
    <xf numFmtId="4" fontId="5" fillId="0" borderId="24" xfId="3" applyNumberFormat="1" applyFont="1" applyFill="1" applyBorder="1" applyAlignment="1">
      <alignment horizontal="right" vertical="center" wrapText="1"/>
    </xf>
    <xf numFmtId="49" fontId="5" fillId="16" borderId="2" xfId="3" applyNumberFormat="1" applyFont="1" applyFill="1" applyBorder="1" applyAlignment="1">
      <alignment horizontal="left" vertical="center" wrapText="1"/>
    </xf>
    <xf numFmtId="4" fontId="0" fillId="26" borderId="11" xfId="0" applyNumberFormat="1" applyFill="1" applyBorder="1" applyAlignment="1">
      <alignment horizontal="right" vertical="center" wrapText="1"/>
    </xf>
    <xf numFmtId="4" fontId="0" fillId="27" borderId="13" xfId="0" applyNumberFormat="1" applyFill="1" applyBorder="1" applyAlignment="1">
      <alignment horizontal="right" vertical="center" wrapText="1"/>
    </xf>
    <xf numFmtId="4" fontId="0" fillId="26" borderId="13" xfId="0" applyNumberFormat="1" applyFill="1" applyBorder="1" applyAlignment="1">
      <alignment horizontal="right" vertical="center" wrapText="1"/>
    </xf>
    <xf numFmtId="4" fontId="0" fillId="28" borderId="13" xfId="0" applyNumberFormat="1" applyFill="1" applyBorder="1" applyAlignment="1">
      <alignment horizontal="right" vertical="center" wrapText="1"/>
    </xf>
    <xf numFmtId="4" fontId="85" fillId="28" borderId="13" xfId="0" applyNumberFormat="1" applyFont="1" applyFill="1" applyBorder="1" applyAlignment="1">
      <alignment horizontal="right" vertical="center" wrapText="1"/>
    </xf>
    <xf numFmtId="4" fontId="76" fillId="29" borderId="13" xfId="0" applyNumberFormat="1" applyFont="1" applyFill="1" applyBorder="1" applyAlignment="1">
      <alignment horizontal="right" vertical="center" wrapText="1"/>
    </xf>
    <xf numFmtId="4" fontId="77" fillId="28" borderId="13" xfId="0" applyNumberFormat="1" applyFont="1" applyFill="1" applyBorder="1" applyAlignment="1">
      <alignment horizontal="right" vertical="center" wrapText="1"/>
    </xf>
    <xf numFmtId="4" fontId="78" fillId="28" borderId="13" xfId="0" applyNumberFormat="1" applyFont="1" applyFill="1" applyBorder="1" applyAlignment="1">
      <alignment horizontal="right" vertical="center" wrapText="1"/>
    </xf>
    <xf numFmtId="4" fontId="69" fillId="29" borderId="13" xfId="0" applyNumberFormat="1" applyFont="1" applyFill="1" applyBorder="1" applyAlignment="1">
      <alignment horizontal="right" vertical="center" wrapText="1"/>
    </xf>
    <xf numFmtId="4" fontId="80" fillId="28" borderId="13" xfId="0" applyNumberFormat="1" applyFont="1" applyFill="1" applyBorder="1" applyAlignment="1">
      <alignment horizontal="right" vertical="center" wrapText="1"/>
    </xf>
    <xf numFmtId="4" fontId="65" fillId="28" borderId="13" xfId="0" applyNumberFormat="1" applyFont="1" applyFill="1" applyBorder="1" applyAlignment="1">
      <alignment horizontal="right" vertical="center" wrapText="1"/>
    </xf>
    <xf numFmtId="4" fontId="73" fillId="28" borderId="13" xfId="0" applyNumberFormat="1" applyFont="1" applyFill="1" applyBorder="1" applyAlignment="1">
      <alignment horizontal="right" vertical="center" wrapText="1"/>
    </xf>
    <xf numFmtId="4" fontId="0" fillId="28" borderId="21" xfId="0" applyNumberFormat="1" applyFill="1" applyBorder="1" applyAlignment="1">
      <alignment horizontal="right" vertical="center" wrapText="1"/>
    </xf>
    <xf numFmtId="4" fontId="0" fillId="27" borderId="18" xfId="0" applyNumberFormat="1" applyFill="1" applyBorder="1" applyAlignment="1">
      <alignment horizontal="right" vertical="center" wrapText="1"/>
    </xf>
    <xf numFmtId="4" fontId="0" fillId="28" borderId="2" xfId="0" applyNumberFormat="1" applyFill="1" applyBorder="1" applyAlignment="1">
      <alignment horizontal="right" vertical="center" wrapText="1"/>
    </xf>
    <xf numFmtId="4" fontId="0" fillId="27" borderId="2" xfId="0" applyNumberFormat="1" applyFill="1" applyBorder="1" applyAlignment="1">
      <alignment horizontal="right" vertical="center" wrapText="1"/>
    </xf>
    <xf numFmtId="4" fontId="0" fillId="28" borderId="22" xfId="0" applyNumberFormat="1" applyFill="1" applyBorder="1" applyAlignment="1">
      <alignment horizontal="right" vertical="center" wrapText="1"/>
    </xf>
    <xf numFmtId="4" fontId="0" fillId="27" borderId="11" xfId="0" applyNumberFormat="1" applyFill="1" applyBorder="1" applyAlignment="1">
      <alignment horizontal="right" vertical="center" wrapText="1"/>
    </xf>
    <xf numFmtId="4" fontId="0" fillId="29" borderId="11" xfId="0" applyNumberFormat="1" applyFill="1" applyBorder="1" applyAlignment="1">
      <alignment horizontal="right" vertical="center" wrapText="1"/>
    </xf>
    <xf numFmtId="4" fontId="5" fillId="6" borderId="19" xfId="3" applyNumberFormat="1" applyFont="1" applyFill="1" applyBorder="1" applyAlignment="1">
      <alignment horizontal="right" vertical="top" wrapText="1"/>
    </xf>
    <xf numFmtId="4" fontId="0" fillId="30" borderId="21" xfId="0" applyNumberFormat="1" applyFont="1" applyFill="1" applyBorder="1" applyAlignment="1">
      <alignment horizontal="right" vertical="top" wrapText="1"/>
    </xf>
    <xf numFmtId="0" fontId="4" fillId="0" borderId="0" xfId="3" applyFont="1" applyFill="1" applyAlignment="1">
      <alignment horizontal="center" vertical="center" textRotation="90" wrapText="1"/>
    </xf>
    <xf numFmtId="0" fontId="46" fillId="0" borderId="0" xfId="6" applyFont="1" applyAlignment="1">
      <alignment horizontal="center" vertical="center" textRotation="90" wrapText="1"/>
    </xf>
    <xf numFmtId="0" fontId="3" fillId="0" borderId="0" xfId="3" applyFont="1" applyFill="1" applyAlignment="1">
      <alignment horizontal="center" vertical="center" textRotation="90" wrapText="1"/>
    </xf>
    <xf numFmtId="4" fontId="7" fillId="16" borderId="10" xfId="3" applyNumberFormat="1" applyFont="1" applyFill="1" applyBorder="1" applyAlignment="1">
      <alignment horizontal="right" vertical="center" wrapText="1"/>
    </xf>
    <xf numFmtId="4" fontId="7" fillId="16" borderId="17" xfId="3" applyNumberFormat="1" applyFont="1" applyFill="1" applyBorder="1" applyAlignment="1">
      <alignment horizontal="right" vertical="center" wrapText="1"/>
    </xf>
    <xf numFmtId="4" fontId="19" fillId="29" borderId="18" xfId="0" applyNumberFormat="1" applyFont="1" applyFill="1" applyBorder="1" applyAlignment="1">
      <alignment horizontal="right" vertical="center" wrapText="1"/>
    </xf>
    <xf numFmtId="4" fontId="19" fillId="29" borderId="11" xfId="0" applyNumberFormat="1" applyFont="1" applyFill="1" applyBorder="1" applyAlignment="1">
      <alignment horizontal="right" vertical="center" wrapText="1"/>
    </xf>
    <xf numFmtId="4" fontId="7" fillId="16" borderId="23" xfId="3" applyNumberFormat="1" applyFont="1" applyFill="1" applyBorder="1" applyAlignment="1">
      <alignment horizontal="right" vertical="center" wrapText="1"/>
    </xf>
    <xf numFmtId="4" fontId="7" fillId="20" borderId="16" xfId="3" applyNumberFormat="1" applyFont="1" applyFill="1" applyBorder="1" applyAlignment="1">
      <alignment horizontal="right" vertical="center" wrapText="1"/>
    </xf>
    <xf numFmtId="4" fontId="7" fillId="20" borderId="1" xfId="3" applyNumberFormat="1" applyFont="1" applyFill="1" applyBorder="1" applyAlignment="1">
      <alignment horizontal="right" vertical="center" wrapText="1"/>
    </xf>
    <xf numFmtId="4" fontId="19" fillId="27" borderId="2" xfId="0" applyNumberFormat="1" applyFont="1" applyFill="1" applyBorder="1" applyAlignment="1">
      <alignment horizontal="right" vertical="center" wrapText="1"/>
    </xf>
    <xf numFmtId="4" fontId="107" fillId="20" borderId="0" xfId="3" applyNumberFormat="1" applyFont="1" applyFill="1" applyBorder="1" applyAlignment="1">
      <alignment horizontal="right" vertical="center" wrapText="1"/>
    </xf>
    <xf numFmtId="4" fontId="108" fillId="0" borderId="0" xfId="3" applyNumberFormat="1" applyFont="1" applyFill="1" applyBorder="1" applyAlignment="1">
      <alignment horizontal="right" vertical="center" wrapText="1"/>
    </xf>
    <xf numFmtId="0" fontId="109" fillId="0" borderId="0" xfId="3" applyFont="1" applyFill="1" applyBorder="1" applyAlignment="1">
      <alignment vertical="center"/>
    </xf>
    <xf numFmtId="0" fontId="107" fillId="0" borderId="0" xfId="3" applyFont="1" applyFill="1" applyBorder="1" applyAlignment="1">
      <alignment vertical="center"/>
    </xf>
    <xf numFmtId="49" fontId="107" fillId="0" borderId="0" xfId="3" applyNumberFormat="1" applyFont="1" applyFill="1" applyBorder="1" applyAlignment="1">
      <alignment horizontal="center" vertical="center"/>
    </xf>
    <xf numFmtId="0" fontId="107" fillId="0" borderId="0" xfId="3" applyFont="1" applyFill="1" applyBorder="1" applyAlignment="1">
      <alignment horizontal="center" vertical="center" wrapText="1"/>
    </xf>
    <xf numFmtId="4" fontId="107" fillId="6" borderId="19" xfId="3" applyNumberFormat="1" applyFont="1" applyFill="1" applyBorder="1" applyAlignment="1">
      <alignment horizontal="right" vertical="top" wrapText="1"/>
    </xf>
    <xf numFmtId="4" fontId="107" fillId="16" borderId="0" xfId="3" applyNumberFormat="1" applyFont="1" applyFill="1" applyBorder="1" applyAlignment="1">
      <alignment horizontal="right" vertical="center" wrapText="1"/>
    </xf>
    <xf numFmtId="4" fontId="51" fillId="8" borderId="1" xfId="3" applyNumberFormat="1" applyFont="1" applyFill="1" applyBorder="1" applyAlignment="1">
      <alignment horizontal="left" vertical="center" wrapText="1"/>
    </xf>
    <xf numFmtId="4" fontId="10" fillId="8" borderId="1" xfId="3" applyNumberFormat="1" applyFont="1" applyFill="1" applyBorder="1" applyAlignment="1">
      <alignment horizontal="left" vertical="center" wrapText="1"/>
    </xf>
    <xf numFmtId="0" fontId="109" fillId="0" borderId="0" xfId="3" applyFont="1" applyFill="1" applyBorder="1" applyAlignment="1">
      <alignment horizontal="center" vertical="center"/>
    </xf>
    <xf numFmtId="4" fontId="107" fillId="15" borderId="0" xfId="3" applyNumberFormat="1" applyFont="1" applyFill="1" applyBorder="1" applyAlignment="1">
      <alignment horizontal="right" vertical="center" wrapText="1"/>
    </xf>
    <xf numFmtId="4" fontId="108" fillId="16" borderId="0" xfId="3" applyNumberFormat="1" applyFont="1" applyFill="1" applyBorder="1" applyAlignment="1">
      <alignment horizontal="right" vertical="center" wrapText="1"/>
    </xf>
    <xf numFmtId="4" fontId="110" fillId="0" borderId="0" xfId="3" applyNumberFormat="1" applyFont="1" applyFill="1" applyBorder="1" applyAlignment="1">
      <alignment horizontal="right" vertical="center" wrapText="1"/>
    </xf>
    <xf numFmtId="4" fontId="111" fillId="16" borderId="0" xfId="3" applyNumberFormat="1" applyFont="1" applyFill="1" applyBorder="1" applyAlignment="1">
      <alignment horizontal="right" vertical="center" wrapText="1"/>
    </xf>
    <xf numFmtId="4" fontId="111" fillId="0" borderId="0" xfId="3" applyNumberFormat="1" applyFont="1" applyFill="1" applyBorder="1" applyAlignment="1">
      <alignment horizontal="right" vertical="center" wrapText="1"/>
    </xf>
    <xf numFmtId="4" fontId="112" fillId="0" borderId="0" xfId="3" applyNumberFormat="1" applyFont="1" applyFill="1" applyBorder="1" applyAlignment="1">
      <alignment horizontal="right" vertical="center" wrapText="1"/>
    </xf>
    <xf numFmtId="4" fontId="113" fillId="0" borderId="0" xfId="3" applyNumberFormat="1" applyFont="1" applyFill="1" applyBorder="1" applyAlignment="1">
      <alignment horizontal="right" vertical="center" wrapText="1"/>
    </xf>
    <xf numFmtId="4" fontId="107" fillId="0" borderId="0" xfId="3" applyNumberFormat="1" applyFont="1" applyFill="1" applyBorder="1" applyAlignment="1">
      <alignment horizontal="center" vertical="center" wrapText="1"/>
    </xf>
    <xf numFmtId="4" fontId="107" fillId="0" borderId="0" xfId="3" applyNumberFormat="1" applyFont="1" applyFill="1" applyBorder="1" applyAlignment="1">
      <alignment horizontal="right" vertical="center" wrapText="1"/>
    </xf>
    <xf numFmtId="0" fontId="107" fillId="0" borderId="0" xfId="3" applyFont="1" applyFill="1" applyBorder="1" applyAlignment="1">
      <alignment horizontal="center" vertical="center"/>
    </xf>
    <xf numFmtId="0" fontId="109" fillId="0" borderId="0" xfId="3" applyFont="1" applyFill="1" applyAlignment="1">
      <alignment vertical="center"/>
    </xf>
    <xf numFmtId="4" fontId="59" fillId="8" borderId="1" xfId="3" applyNumberFormat="1" applyFont="1" applyFill="1" applyBorder="1" applyAlignment="1">
      <alignment horizontal="left" vertical="center" wrapText="1"/>
    </xf>
    <xf numFmtId="4" fontId="4" fillId="8" borderId="0" xfId="3" applyNumberFormat="1" applyFont="1" applyFill="1" applyAlignment="1">
      <alignment horizontal="left" vertical="center"/>
    </xf>
    <xf numFmtId="4" fontId="7" fillId="8" borderId="16" xfId="3" applyNumberFormat="1" applyFont="1" applyFill="1" applyBorder="1" applyAlignment="1">
      <alignment horizontal="right" vertical="center" wrapText="1"/>
    </xf>
    <xf numFmtId="4" fontId="114" fillId="8" borderId="0" xfId="3" applyNumberFormat="1" applyFont="1" applyFill="1" applyAlignment="1">
      <alignment horizontal="center" vertical="center"/>
    </xf>
    <xf numFmtId="4" fontId="24" fillId="0" borderId="0" xfId="3" applyNumberFormat="1" applyFont="1" applyFill="1" applyAlignment="1">
      <alignment horizontal="center" vertical="center"/>
    </xf>
    <xf numFmtId="0" fontId="59" fillId="0" borderId="0" xfId="3" applyFont="1" applyFill="1" applyAlignment="1">
      <alignment horizontal="left" vertical="center" indent="2"/>
    </xf>
    <xf numFmtId="0" fontId="59" fillId="0" borderId="1" xfId="3" applyFont="1" applyFill="1" applyBorder="1" applyAlignment="1">
      <alignment horizontal="left" vertical="center" wrapText="1" indent="2"/>
    </xf>
    <xf numFmtId="0" fontId="59" fillId="0" borderId="1" xfId="3" applyFont="1" applyFill="1" applyBorder="1" applyAlignment="1">
      <alignment horizontal="left" vertical="center" wrapText="1" indent="3"/>
    </xf>
    <xf numFmtId="0" fontId="59" fillId="0" borderId="1" xfId="3" applyNumberFormat="1" applyFont="1" applyFill="1" applyBorder="1" applyAlignment="1">
      <alignment horizontal="left" vertical="center" wrapText="1" indent="2"/>
    </xf>
    <xf numFmtId="4" fontId="59" fillId="0" borderId="1" xfId="3" applyNumberFormat="1" applyFont="1" applyFill="1" applyBorder="1" applyAlignment="1">
      <alignment horizontal="right" vertical="center" wrapText="1"/>
    </xf>
    <xf numFmtId="4" fontId="85" fillId="28" borderId="2" xfId="0" applyNumberFormat="1" applyFont="1" applyFill="1" applyBorder="1" applyAlignment="1">
      <alignment horizontal="right" vertical="center" wrapText="1"/>
    </xf>
    <xf numFmtId="0" fontId="63" fillId="0" borderId="0" xfId="1" applyFont="1" applyFill="1" applyAlignment="1">
      <alignment horizontal="left" vertical="center" indent="2"/>
    </xf>
    <xf numFmtId="4" fontId="86" fillId="17" borderId="1" xfId="3" applyNumberFormat="1" applyFont="1" applyFill="1" applyBorder="1" applyAlignment="1">
      <alignment horizontal="right" vertical="center" wrapText="1"/>
    </xf>
    <xf numFmtId="4" fontId="86" fillId="18" borderId="13" xfId="3" applyNumberFormat="1" applyFont="1" applyFill="1" applyBorder="1" applyAlignment="1">
      <alignment horizontal="right" vertical="center" wrapText="1"/>
    </xf>
    <xf numFmtId="4" fontId="86" fillId="0" borderId="0" xfId="3" applyNumberFormat="1" applyFont="1" applyFill="1" applyBorder="1" applyAlignment="1">
      <alignment horizontal="right" vertical="center" wrapText="1"/>
    </xf>
    <xf numFmtId="4" fontId="86" fillId="15" borderId="1" xfId="3" applyNumberFormat="1" applyFont="1" applyFill="1" applyBorder="1" applyAlignment="1">
      <alignment horizontal="right" vertical="center" wrapText="1"/>
    </xf>
    <xf numFmtId="4" fontId="86" fillId="20" borderId="13" xfId="3" applyNumberFormat="1" applyFont="1" applyFill="1" applyBorder="1" applyAlignment="1">
      <alignment horizontal="right" vertical="center" wrapText="1"/>
    </xf>
    <xf numFmtId="4" fontId="115" fillId="0" borderId="0" xfId="3" applyNumberFormat="1" applyFont="1" applyFill="1" applyBorder="1" applyAlignment="1">
      <alignment horizontal="right" vertical="center" wrapText="1"/>
    </xf>
    <xf numFmtId="4" fontId="86" fillId="21" borderId="16" xfId="3" applyNumberFormat="1" applyFont="1" applyFill="1" applyBorder="1" applyAlignment="1">
      <alignment horizontal="right" vertical="center" wrapText="1"/>
    </xf>
    <xf numFmtId="4" fontId="86" fillId="3" borderId="1" xfId="3" applyNumberFormat="1" applyFont="1" applyFill="1" applyBorder="1" applyAlignment="1">
      <alignment horizontal="right" vertical="center" wrapText="1"/>
    </xf>
    <xf numFmtId="4" fontId="86" fillId="21" borderId="1" xfId="3" applyNumberFormat="1" applyFont="1" applyFill="1" applyBorder="1" applyAlignment="1">
      <alignment horizontal="right" vertical="center" wrapText="1"/>
    </xf>
    <xf numFmtId="4" fontId="86" fillId="3" borderId="2" xfId="3" applyNumberFormat="1" applyFont="1" applyFill="1" applyBorder="1" applyAlignment="1">
      <alignment horizontal="right" vertical="center" wrapText="1"/>
    </xf>
    <xf numFmtId="4" fontId="86" fillId="19" borderId="16" xfId="3" applyNumberFormat="1" applyFont="1" applyFill="1" applyBorder="1" applyAlignment="1">
      <alignment horizontal="right" vertical="center" wrapText="1"/>
    </xf>
    <xf numFmtId="4" fontId="86" fillId="23" borderId="1" xfId="3" applyNumberFormat="1" applyFont="1" applyFill="1" applyBorder="1" applyAlignment="1">
      <alignment horizontal="right" vertical="center" wrapText="1"/>
    </xf>
    <xf numFmtId="4" fontId="86" fillId="19" borderId="1" xfId="3" applyNumberFormat="1" applyFont="1" applyFill="1" applyBorder="1" applyAlignment="1">
      <alignment horizontal="right" vertical="center" wrapText="1"/>
    </xf>
    <xf numFmtId="4" fontId="86" fillId="23" borderId="2" xfId="3" applyNumberFormat="1" applyFont="1" applyFill="1" applyBorder="1" applyAlignment="1">
      <alignment horizontal="right" vertical="center" wrapText="1"/>
    </xf>
    <xf numFmtId="4" fontId="86" fillId="17" borderId="16" xfId="3" applyNumberFormat="1" applyFont="1" applyFill="1" applyBorder="1" applyAlignment="1">
      <alignment horizontal="right" vertical="center" wrapText="1"/>
    </xf>
    <xf numFmtId="4" fontId="86" fillId="16" borderId="1" xfId="3" applyNumberFormat="1" applyFont="1" applyFill="1" applyBorder="1" applyAlignment="1">
      <alignment horizontal="right" vertical="center" wrapText="1"/>
    </xf>
    <xf numFmtId="4" fontId="86" fillId="16" borderId="2" xfId="3" applyNumberFormat="1" applyFont="1" applyFill="1" applyBorder="1" applyAlignment="1">
      <alignment horizontal="right" vertical="center" wrapText="1"/>
    </xf>
    <xf numFmtId="4" fontId="86" fillId="22" borderId="16" xfId="3" applyNumberFormat="1" applyFont="1" applyFill="1" applyBorder="1" applyAlignment="1">
      <alignment horizontal="right" vertical="center" wrapText="1"/>
    </xf>
    <xf numFmtId="4" fontId="86" fillId="24" borderId="1" xfId="3" applyNumberFormat="1" applyFont="1" applyFill="1" applyBorder="1" applyAlignment="1">
      <alignment horizontal="right" vertical="center" wrapText="1"/>
    </xf>
    <xf numFmtId="4" fontId="86" fillId="22" borderId="1" xfId="3" applyNumberFormat="1" applyFont="1" applyFill="1" applyBorder="1" applyAlignment="1">
      <alignment horizontal="right" vertical="center" wrapText="1"/>
    </xf>
    <xf numFmtId="4" fontId="86" fillId="24" borderId="13" xfId="3" applyNumberFormat="1" applyFont="1" applyFill="1" applyBorder="1" applyAlignment="1">
      <alignment horizontal="right" vertical="center" wrapText="1"/>
    </xf>
    <xf numFmtId="43" fontId="3" fillId="0" borderId="0" xfId="25" applyFont="1" applyFill="1" applyAlignment="1">
      <alignment vertical="center"/>
    </xf>
    <xf numFmtId="43" fontId="3" fillId="0" borderId="0" xfId="3" applyNumberFormat="1" applyFont="1" applyFill="1" applyAlignment="1">
      <alignment vertical="center"/>
    </xf>
    <xf numFmtId="0" fontId="5" fillId="0" borderId="1" xfId="3" applyFont="1" applyFill="1" applyBorder="1" applyAlignment="1">
      <alignment horizontal="center" vertical="center" wrapText="1"/>
    </xf>
    <xf numFmtId="0" fontId="7" fillId="0" borderId="1" xfId="3" applyFont="1" applyFill="1" applyBorder="1" applyAlignment="1">
      <alignment horizontal="center" vertical="center" wrapText="1"/>
    </xf>
    <xf numFmtId="0" fontId="5" fillId="0" borderId="1" xfId="3" applyNumberFormat="1" applyFont="1" applyFill="1" applyBorder="1" applyAlignment="1">
      <alignment horizontal="center" vertical="center" wrapText="1"/>
    </xf>
    <xf numFmtId="49" fontId="5" fillId="0" borderId="1" xfId="3" applyNumberFormat="1" applyFont="1" applyFill="1" applyBorder="1" applyAlignment="1">
      <alignment horizontal="left" vertical="center" wrapText="1"/>
    </xf>
    <xf numFmtId="0" fontId="4" fillId="0" borderId="0" xfId="3" applyFont="1" applyFill="1" applyAlignment="1">
      <alignment vertical="center" wrapText="1"/>
    </xf>
    <xf numFmtId="4" fontId="5" fillId="0" borderId="13" xfId="3" applyNumberFormat="1" applyFont="1" applyFill="1" applyBorder="1" applyAlignment="1">
      <alignment horizontal="right" vertical="center" wrapText="1"/>
    </xf>
    <xf numFmtId="4" fontId="52" fillId="0" borderId="13" xfId="3" applyNumberFormat="1" applyFont="1" applyFill="1" applyBorder="1" applyAlignment="1">
      <alignment horizontal="right" vertical="center" wrapText="1"/>
    </xf>
    <xf numFmtId="0" fontId="15" fillId="0" borderId="13" xfId="3" applyFont="1" applyFill="1" applyBorder="1" applyAlignment="1">
      <alignment horizontal="center" vertical="center" wrapText="1"/>
    </xf>
    <xf numFmtId="0" fontId="15" fillId="0" borderId="16" xfId="3" applyFont="1" applyFill="1" applyBorder="1" applyAlignment="1">
      <alignment horizontal="center" vertical="center" wrapText="1"/>
    </xf>
    <xf numFmtId="10" fontId="14" fillId="0" borderId="0" xfId="26" applyNumberFormat="1" applyFont="1" applyFill="1" applyAlignment="1">
      <alignment horizontal="center" vertical="center"/>
    </xf>
    <xf numFmtId="4" fontId="5" fillId="0" borderId="15" xfId="3" applyNumberFormat="1" applyFont="1" applyFill="1" applyBorder="1" applyAlignment="1">
      <alignment horizontal="right" vertical="center" wrapText="1"/>
    </xf>
    <xf numFmtId="4" fontId="86" fillId="0" borderId="1" xfId="3" applyNumberFormat="1" applyFont="1" applyFill="1" applyBorder="1" applyAlignment="1">
      <alignment horizontal="right" vertical="center" wrapText="1"/>
    </xf>
    <xf numFmtId="4" fontId="86" fillId="0" borderId="13" xfId="3" applyNumberFormat="1" applyFont="1" applyFill="1" applyBorder="1" applyAlignment="1">
      <alignment horizontal="right" vertical="center" wrapText="1"/>
    </xf>
    <xf numFmtId="0" fontId="0" fillId="30" borderId="25" xfId="0" applyFill="1" applyBorder="1" applyAlignment="1">
      <alignment horizontal="center" vertical="center" wrapText="1"/>
    </xf>
    <xf numFmtId="0" fontId="0" fillId="30" borderId="35" xfId="0" applyFill="1" applyBorder="1" applyAlignment="1">
      <alignment horizontal="center" vertical="center" wrapText="1"/>
    </xf>
    <xf numFmtId="4" fontId="0" fillId="26" borderId="25" xfId="0" applyNumberFormat="1" applyFill="1" applyBorder="1" applyAlignment="1">
      <alignment horizontal="right" vertical="center" wrapText="1"/>
    </xf>
    <xf numFmtId="4" fontId="0" fillId="27" borderId="3" xfId="0" applyNumberFormat="1" applyFill="1" applyBorder="1" applyAlignment="1">
      <alignment horizontal="right" vertical="center" wrapText="1"/>
    </xf>
    <xf numFmtId="4" fontId="0" fillId="26" borderId="3" xfId="0" applyNumberFormat="1" applyFill="1" applyBorder="1" applyAlignment="1">
      <alignment horizontal="right" vertical="center" wrapText="1"/>
    </xf>
    <xf numFmtId="4" fontId="5" fillId="15" borderId="3" xfId="3" applyNumberFormat="1" applyFont="1" applyFill="1" applyBorder="1" applyAlignment="1">
      <alignment horizontal="right" vertical="center" wrapText="1"/>
    </xf>
    <xf numFmtId="4" fontId="0" fillId="26" borderId="35" xfId="0" applyNumberFormat="1" applyFill="1" applyBorder="1" applyAlignment="1">
      <alignment horizontal="right" vertical="center" wrapText="1"/>
    </xf>
    <xf numFmtId="4" fontId="0" fillId="27" borderId="36" xfId="0" applyNumberFormat="1" applyFill="1" applyBorder="1" applyAlignment="1">
      <alignment horizontal="right" vertical="center" wrapText="1"/>
    </xf>
    <xf numFmtId="4" fontId="0" fillId="26" borderId="36" xfId="0" applyNumberFormat="1" applyFill="1" applyBorder="1" applyAlignment="1">
      <alignment horizontal="right" vertical="center" wrapText="1"/>
    </xf>
    <xf numFmtId="4" fontId="0" fillId="28" borderId="3" xfId="0" applyNumberFormat="1" applyFill="1" applyBorder="1" applyAlignment="1">
      <alignment horizontal="right" vertical="center" wrapText="1"/>
    </xf>
    <xf numFmtId="4" fontId="5" fillId="20" borderId="3" xfId="3" applyNumberFormat="1" applyFont="1" applyFill="1" applyBorder="1" applyAlignment="1">
      <alignment horizontal="right" vertical="center" wrapText="1"/>
    </xf>
    <xf numFmtId="4" fontId="0" fillId="28" borderId="36" xfId="0" applyNumberFormat="1" applyFill="1" applyBorder="1" applyAlignment="1">
      <alignment horizontal="right" vertical="center" wrapText="1"/>
    </xf>
    <xf numFmtId="4" fontId="42" fillId="20" borderId="3" xfId="3" applyNumberFormat="1" applyFont="1" applyFill="1" applyBorder="1" applyAlignment="1">
      <alignment horizontal="right" vertical="center" wrapText="1"/>
    </xf>
    <xf numFmtId="4" fontId="0" fillId="20" borderId="3" xfId="0" applyNumberFormat="1" applyFill="1" applyBorder="1" applyAlignment="1">
      <alignment horizontal="right" vertical="center" wrapText="1"/>
    </xf>
    <xf numFmtId="4" fontId="0" fillId="28" borderId="37" xfId="0" applyNumberFormat="1" applyFill="1" applyBorder="1" applyAlignment="1">
      <alignment horizontal="right" vertical="center" wrapText="1"/>
    </xf>
    <xf numFmtId="4" fontId="0" fillId="28" borderId="38" xfId="0" applyNumberFormat="1" applyFill="1" applyBorder="1" applyAlignment="1">
      <alignment horizontal="right" vertical="center" wrapText="1"/>
    </xf>
    <xf numFmtId="4" fontId="0" fillId="27" borderId="25" xfId="0" applyNumberFormat="1" applyFill="1" applyBorder="1" applyAlignment="1">
      <alignment horizontal="right" vertical="center" wrapText="1"/>
    </xf>
    <xf numFmtId="4" fontId="0" fillId="27" borderId="35" xfId="0" applyNumberFormat="1" applyFill="1" applyBorder="1" applyAlignment="1">
      <alignment horizontal="right" vertical="center" wrapText="1"/>
    </xf>
    <xf numFmtId="4" fontId="7" fillId="0" borderId="3" xfId="3" applyNumberFormat="1" applyFont="1" applyFill="1" applyBorder="1" applyAlignment="1">
      <alignment horizontal="right" vertical="center" wrapText="1"/>
    </xf>
    <xf numFmtId="4" fontId="5" fillId="0" borderId="37" xfId="3" applyNumberFormat="1" applyFont="1" applyFill="1" applyBorder="1" applyAlignment="1">
      <alignment horizontal="right" vertical="center" wrapText="1"/>
    </xf>
    <xf numFmtId="4" fontId="19" fillId="29" borderId="25" xfId="0" applyNumberFormat="1" applyFont="1" applyFill="1" applyBorder="1" applyAlignment="1">
      <alignment horizontal="right" vertical="center" wrapText="1"/>
    </xf>
    <xf numFmtId="4" fontId="0" fillId="29" borderId="35" xfId="0" applyNumberFormat="1" applyFill="1" applyBorder="1" applyAlignment="1">
      <alignment horizontal="right" vertical="center" wrapText="1"/>
    </xf>
    <xf numFmtId="4" fontId="19" fillId="27" borderId="3" xfId="0" applyNumberFormat="1" applyFont="1" applyFill="1" applyBorder="1" applyAlignment="1">
      <alignment horizontal="right" vertical="center" wrapText="1"/>
    </xf>
    <xf numFmtId="0" fontId="7" fillId="6" borderId="6" xfId="3" applyFont="1" applyFill="1" applyBorder="1" applyAlignment="1">
      <alignment horizontal="center" vertical="top" wrapText="1"/>
    </xf>
    <xf numFmtId="0" fontId="5" fillId="6" borderId="6" xfId="3" applyFont="1" applyFill="1" applyBorder="1" applyAlignment="1">
      <alignment horizontal="center" vertical="top" wrapText="1"/>
    </xf>
    <xf numFmtId="0" fontId="5" fillId="6" borderId="6" xfId="3" applyNumberFormat="1" applyFont="1" applyFill="1" applyBorder="1" applyAlignment="1">
      <alignment horizontal="center" vertical="top" wrapText="1"/>
    </xf>
    <xf numFmtId="49" fontId="55" fillId="6" borderId="39" xfId="3" applyNumberFormat="1" applyFont="1" applyFill="1" applyBorder="1" applyAlignment="1">
      <alignment horizontal="center" vertical="top" wrapText="1"/>
    </xf>
    <xf numFmtId="4" fontId="5" fillId="6" borderId="40" xfId="3" applyNumberFormat="1" applyFont="1" applyFill="1" applyBorder="1" applyAlignment="1">
      <alignment horizontal="right" vertical="top" wrapText="1"/>
    </xf>
    <xf numFmtId="0" fontId="58" fillId="0" borderId="6" xfId="3" applyFont="1" applyFill="1" applyBorder="1" applyAlignment="1">
      <alignment horizontal="left" vertical="center" wrapText="1" indent="2"/>
    </xf>
    <xf numFmtId="0" fontId="51" fillId="0" borderId="6" xfId="3" applyFont="1" applyFill="1" applyBorder="1" applyAlignment="1">
      <alignment horizontal="left" vertical="center" wrapText="1" indent="3"/>
    </xf>
    <xf numFmtId="0" fontId="51" fillId="0" borderId="6" xfId="3" applyFont="1" applyFill="1" applyBorder="1" applyAlignment="1">
      <alignment horizontal="left" vertical="center" wrapText="1" indent="2"/>
    </xf>
    <xf numFmtId="0" fontId="51" fillId="0" borderId="6" xfId="3" applyNumberFormat="1" applyFont="1" applyFill="1" applyBorder="1" applyAlignment="1">
      <alignment horizontal="left" vertical="center" wrapText="1" indent="2"/>
    </xf>
    <xf numFmtId="49" fontId="51" fillId="0" borderId="39" xfId="3" applyNumberFormat="1" applyFont="1" applyFill="1" applyBorder="1" applyAlignment="1">
      <alignment horizontal="left" vertical="center" wrapText="1" indent="2"/>
    </xf>
    <xf numFmtId="4" fontId="51" fillId="0" borderId="41" xfId="3" applyNumberFormat="1" applyFont="1" applyFill="1" applyBorder="1" applyAlignment="1">
      <alignment horizontal="right" vertical="center" wrapText="1"/>
    </xf>
    <xf numFmtId="4" fontId="51" fillId="0" borderId="6" xfId="3" applyNumberFormat="1" applyFont="1" applyFill="1" applyBorder="1" applyAlignment="1">
      <alignment horizontal="right" vertical="center" wrapText="1"/>
    </xf>
    <xf numFmtId="4" fontId="52" fillId="0" borderId="41" xfId="3" applyNumberFormat="1" applyFont="1" applyFill="1" applyBorder="1" applyAlignment="1">
      <alignment horizontal="right" vertical="center" wrapText="1"/>
    </xf>
    <xf numFmtId="4" fontId="86" fillId="0" borderId="41" xfId="3" applyNumberFormat="1" applyFont="1" applyFill="1" applyBorder="1" applyAlignment="1">
      <alignment horizontal="right" vertical="center" wrapText="1"/>
    </xf>
    <xf numFmtId="4" fontId="86" fillId="0" borderId="42" xfId="3" applyNumberFormat="1" applyFont="1" applyFill="1" applyBorder="1" applyAlignment="1">
      <alignment horizontal="right" vertical="center" wrapText="1"/>
    </xf>
    <xf numFmtId="0" fontId="71" fillId="16" borderId="6" xfId="3" applyFont="1" applyFill="1" applyBorder="1" applyAlignment="1">
      <alignment horizontal="left" vertical="center" wrapText="1" indent="2"/>
    </xf>
    <xf numFmtId="0" fontId="52" fillId="16" borderId="6" xfId="3" applyFont="1" applyFill="1" applyBorder="1" applyAlignment="1">
      <alignment horizontal="left" vertical="center" wrapText="1" indent="3"/>
    </xf>
    <xf numFmtId="0" fontId="52" fillId="16" borderId="6" xfId="3" applyFont="1" applyFill="1" applyBorder="1" applyAlignment="1">
      <alignment horizontal="left" vertical="center" wrapText="1" indent="2"/>
    </xf>
    <xf numFmtId="0" fontId="52" fillId="16" borderId="6" xfId="3" applyNumberFormat="1" applyFont="1" applyFill="1" applyBorder="1" applyAlignment="1">
      <alignment horizontal="left" vertical="center" wrapText="1" indent="2"/>
    </xf>
    <xf numFmtId="49" fontId="52" fillId="16" borderId="39" xfId="3" applyNumberFormat="1" applyFont="1" applyFill="1" applyBorder="1" applyAlignment="1">
      <alignment horizontal="left" vertical="center" wrapText="1" indent="2"/>
    </xf>
    <xf numFmtId="4" fontId="52" fillId="16" borderId="41" xfId="3" applyNumberFormat="1" applyFont="1" applyFill="1" applyBorder="1" applyAlignment="1">
      <alignment horizontal="right" vertical="center" wrapText="1"/>
    </xf>
    <xf numFmtId="4" fontId="52" fillId="16" borderId="6" xfId="3" applyNumberFormat="1" applyFont="1" applyFill="1" applyBorder="1" applyAlignment="1">
      <alignment horizontal="right" vertical="center" wrapText="1"/>
    </xf>
    <xf numFmtId="49" fontId="51" fillId="0" borderId="6" xfId="3" applyNumberFormat="1" applyFont="1" applyFill="1" applyBorder="1" applyAlignment="1">
      <alignment horizontal="left" vertical="center" wrapText="1" indent="2"/>
    </xf>
    <xf numFmtId="4" fontId="52" fillId="0" borderId="6" xfId="3" applyNumberFormat="1" applyFont="1" applyFill="1" applyBorder="1" applyAlignment="1">
      <alignment horizontal="right" vertical="center" wrapText="1"/>
    </xf>
    <xf numFmtId="4" fontId="52" fillId="0" borderId="42" xfId="3" applyNumberFormat="1" applyFont="1" applyFill="1" applyBorder="1" applyAlignment="1">
      <alignment horizontal="right" vertical="center" wrapText="1"/>
    </xf>
    <xf numFmtId="4" fontId="51" fillId="0" borderId="42" xfId="3" applyNumberFormat="1" applyFont="1" applyFill="1" applyBorder="1" applyAlignment="1">
      <alignment horizontal="right" vertical="center" wrapText="1"/>
    </xf>
    <xf numFmtId="0" fontId="59" fillId="0" borderId="6" xfId="3" applyFont="1" applyFill="1" applyBorder="1" applyAlignment="1">
      <alignment horizontal="left" vertical="center" wrapText="1" indent="2"/>
    </xf>
    <xf numFmtId="0" fontId="59" fillId="0" borderId="6" xfId="3" applyFont="1" applyFill="1" applyBorder="1" applyAlignment="1">
      <alignment horizontal="left" vertical="center" wrapText="1" indent="3"/>
    </xf>
    <xf numFmtId="0" fontId="59" fillId="0" borderId="6" xfId="3" applyNumberFormat="1" applyFont="1" applyFill="1" applyBorder="1" applyAlignment="1">
      <alignment horizontal="left" vertical="center" wrapText="1" indent="2"/>
    </xf>
    <xf numFmtId="49" fontId="59" fillId="0" borderId="39" xfId="3" applyNumberFormat="1" applyFont="1" applyFill="1" applyBorder="1" applyAlignment="1">
      <alignment horizontal="left" vertical="center" wrapText="1" indent="2"/>
    </xf>
    <xf numFmtId="4" fontId="59" fillId="0" borderId="41" xfId="3" applyNumberFormat="1" applyFont="1" applyFill="1" applyBorder="1" applyAlignment="1">
      <alignment horizontal="right" vertical="center" wrapText="1"/>
    </xf>
    <xf numFmtId="4" fontId="59" fillId="0" borderId="6" xfId="3" applyNumberFormat="1" applyFont="1" applyFill="1" applyBorder="1" applyAlignment="1">
      <alignment horizontal="right" vertical="center" wrapText="1"/>
    </xf>
    <xf numFmtId="0" fontId="116" fillId="0" borderId="1" xfId="3" applyFont="1" applyFill="1" applyBorder="1" applyAlignment="1">
      <alignment horizontal="center" vertical="center" wrapText="1"/>
    </xf>
    <xf numFmtId="0" fontId="117" fillId="0" borderId="1" xfId="3" applyFont="1" applyFill="1" applyBorder="1" applyAlignment="1">
      <alignment horizontal="center" vertical="center" wrapText="1"/>
    </xf>
    <xf numFmtId="0" fontId="7" fillId="0" borderId="1" xfId="3" applyFont="1" applyFill="1" applyBorder="1" applyAlignment="1">
      <alignment vertical="center"/>
    </xf>
    <xf numFmtId="0" fontId="7" fillId="0" borderId="1" xfId="3" applyNumberFormat="1" applyFont="1" applyFill="1" applyBorder="1" applyAlignment="1">
      <alignment horizontal="center" vertical="center" wrapText="1"/>
    </xf>
    <xf numFmtId="49" fontId="7" fillId="0" borderId="1" xfId="3" applyNumberFormat="1" applyFont="1" applyFill="1" applyBorder="1" applyAlignment="1">
      <alignment horizontal="left" vertical="center" wrapText="1"/>
    </xf>
    <xf numFmtId="0" fontId="46" fillId="0" borderId="1" xfId="3" applyFont="1" applyFill="1" applyBorder="1" applyAlignment="1">
      <alignment horizontal="center" vertical="center"/>
    </xf>
    <xf numFmtId="0" fontId="10" fillId="0" borderId="1" xfId="3" applyFont="1" applyFill="1" applyBorder="1" applyAlignment="1">
      <alignment horizontal="left" vertical="center" wrapText="1" indent="2"/>
    </xf>
    <xf numFmtId="0" fontId="10" fillId="0" borderId="1" xfId="3" applyFont="1" applyFill="1" applyBorder="1" applyAlignment="1">
      <alignment horizontal="left" vertical="center" wrapText="1" indent="3"/>
    </xf>
    <xf numFmtId="0" fontId="10" fillId="0" borderId="1" xfId="3" applyNumberFormat="1" applyFont="1" applyFill="1" applyBorder="1" applyAlignment="1">
      <alignment horizontal="left" vertical="center" wrapText="1" indent="2"/>
    </xf>
    <xf numFmtId="49" fontId="10" fillId="0" borderId="1" xfId="3" applyNumberFormat="1" applyFont="1" applyFill="1" applyBorder="1" applyAlignment="1">
      <alignment horizontal="left" vertical="center" wrapText="1" indent="2"/>
    </xf>
    <xf numFmtId="4" fontId="10" fillId="0" borderId="1" xfId="3" applyNumberFormat="1" applyFont="1" applyFill="1" applyBorder="1" applyAlignment="1">
      <alignment horizontal="right" vertical="center" wrapText="1"/>
    </xf>
    <xf numFmtId="4" fontId="118" fillId="0" borderId="1" xfId="3" applyNumberFormat="1" applyFont="1" applyFill="1" applyBorder="1" applyAlignment="1">
      <alignment horizontal="right" vertical="center" wrapText="1"/>
    </xf>
    <xf numFmtId="0" fontId="7" fillId="0" borderId="1" xfId="3" applyFont="1" applyFill="1" applyBorder="1" applyAlignment="1">
      <alignment vertical="center" wrapText="1"/>
    </xf>
    <xf numFmtId="0" fontId="7" fillId="0" borderId="1" xfId="3" applyFont="1" applyFill="1" applyBorder="1" applyAlignment="1">
      <alignment horizontal="right" vertical="center" wrapText="1"/>
    </xf>
    <xf numFmtId="0" fontId="34" fillId="0" borderId="1" xfId="3" applyFont="1" applyFill="1" applyBorder="1" applyAlignment="1">
      <alignment vertical="center"/>
    </xf>
    <xf numFmtId="4" fontId="7" fillId="0" borderId="1" xfId="3" applyNumberFormat="1" applyFont="1" applyFill="1" applyBorder="1" applyAlignment="1">
      <alignment horizontal="center" vertical="center" wrapText="1"/>
    </xf>
    <xf numFmtId="0" fontId="6" fillId="0" borderId="1" xfId="3" applyFont="1" applyFill="1" applyBorder="1" applyAlignment="1">
      <alignment horizontal="right" vertical="center" wrapText="1"/>
    </xf>
    <xf numFmtId="4" fontId="7" fillId="8" borderId="14" xfId="3" applyNumberFormat="1" applyFont="1" applyFill="1" applyBorder="1" applyAlignment="1">
      <alignment horizontal="right" vertical="center" wrapText="1"/>
    </xf>
    <xf numFmtId="0" fontId="15" fillId="0" borderId="43" xfId="3" applyFont="1" applyFill="1" applyBorder="1" applyAlignment="1">
      <alignment horizontal="center" vertical="center" wrapText="1"/>
    </xf>
    <xf numFmtId="0" fontId="15" fillId="0" borderId="44" xfId="3" applyFont="1" applyFill="1" applyBorder="1" applyAlignment="1">
      <alignment horizontal="center" vertical="center" wrapText="1"/>
    </xf>
    <xf numFmtId="0" fontId="0" fillId="30" borderId="45" xfId="0" applyFill="1" applyBorder="1" applyAlignment="1">
      <alignment horizontal="center" vertical="center" wrapText="1"/>
    </xf>
    <xf numFmtId="0" fontId="0" fillId="30" borderId="46" xfId="0" applyFill="1" applyBorder="1" applyAlignment="1">
      <alignment horizontal="center" vertical="center" wrapText="1"/>
    </xf>
    <xf numFmtId="0" fontId="15" fillId="0" borderId="47" xfId="3" applyFont="1" applyFill="1" applyBorder="1" applyAlignment="1">
      <alignment horizontal="center" vertical="center" wrapText="1"/>
    </xf>
    <xf numFmtId="0" fontId="3" fillId="8" borderId="0" xfId="3" applyFont="1" applyFill="1" applyAlignment="1">
      <alignment vertical="center" wrapText="1"/>
    </xf>
    <xf numFmtId="0" fontId="3" fillId="2" borderId="0" xfId="3" applyFont="1" applyFill="1" applyAlignment="1">
      <alignment vertical="center" wrapText="1"/>
    </xf>
    <xf numFmtId="0" fontId="3" fillId="25" borderId="0" xfId="3" applyFont="1" applyFill="1" applyAlignment="1">
      <alignment vertical="center" wrapText="1"/>
    </xf>
    <xf numFmtId="0" fontId="51" fillId="0" borderId="1" xfId="3" applyFont="1" applyFill="1" applyBorder="1" applyAlignment="1">
      <alignment horizontal="left" vertical="center" wrapText="1" indent="1"/>
    </xf>
    <xf numFmtId="0" fontId="51" fillId="0" borderId="1" xfId="3" applyNumberFormat="1" applyFont="1" applyFill="1" applyBorder="1" applyAlignment="1">
      <alignment horizontal="left" vertical="center" wrapText="1" indent="1"/>
    </xf>
    <xf numFmtId="0" fontId="52" fillId="16" borderId="1" xfId="3" applyFont="1" applyFill="1" applyBorder="1" applyAlignment="1">
      <alignment horizontal="left" vertical="center" wrapText="1" indent="1"/>
    </xf>
    <xf numFmtId="0" fontId="52" fillId="16" borderId="1" xfId="3" applyNumberFormat="1" applyFont="1" applyFill="1" applyBorder="1" applyAlignment="1">
      <alignment horizontal="left" vertical="center" wrapText="1" indent="1"/>
    </xf>
    <xf numFmtId="0" fontId="72" fillId="0" borderId="1" xfId="3" applyFont="1" applyFill="1" applyBorder="1" applyAlignment="1">
      <alignment horizontal="left" vertical="center" wrapText="1"/>
    </xf>
    <xf numFmtId="0" fontId="72" fillId="0" borderId="1" xfId="3" applyNumberFormat="1" applyFont="1" applyFill="1" applyBorder="1" applyAlignment="1">
      <alignment horizontal="left" vertical="center" wrapText="1" indent="1"/>
    </xf>
    <xf numFmtId="0" fontId="66" fillId="16" borderId="1" xfId="3" applyFont="1" applyFill="1" applyBorder="1" applyAlignment="1">
      <alignment horizontal="left" vertical="center" wrapText="1" indent="1"/>
    </xf>
    <xf numFmtId="0" fontId="66" fillId="16" borderId="1" xfId="3" applyNumberFormat="1" applyFont="1" applyFill="1" applyBorder="1" applyAlignment="1">
      <alignment horizontal="left" vertical="center" wrapText="1" indent="1"/>
    </xf>
    <xf numFmtId="0" fontId="64" fillId="0" borderId="1" xfId="3" applyFont="1" applyFill="1" applyBorder="1" applyAlignment="1">
      <alignment horizontal="left" vertical="center" wrapText="1" indent="1"/>
    </xf>
    <xf numFmtId="0" fontId="64" fillId="0" borderId="1" xfId="3" applyNumberFormat="1" applyFont="1" applyFill="1" applyBorder="1" applyAlignment="1">
      <alignment horizontal="left" vertical="center" wrapText="1" indent="1"/>
    </xf>
    <xf numFmtId="0" fontId="59" fillId="0" borderId="1" xfId="3" applyFont="1" applyFill="1" applyBorder="1" applyAlignment="1">
      <alignment horizontal="left" vertical="center" wrapText="1" indent="1"/>
    </xf>
    <xf numFmtId="0" fontId="59" fillId="0" borderId="1" xfId="3" applyNumberFormat="1" applyFont="1" applyFill="1" applyBorder="1" applyAlignment="1">
      <alignment horizontal="left" vertical="center" wrapText="1" indent="1"/>
    </xf>
    <xf numFmtId="0" fontId="107" fillId="0" borderId="0" xfId="3" applyFont="1" applyFill="1" applyBorder="1" applyAlignment="1">
      <alignment vertical="center" wrapText="1"/>
    </xf>
    <xf numFmtId="49" fontId="107" fillId="0" borderId="0" xfId="3" applyNumberFormat="1" applyFont="1" applyFill="1" applyBorder="1" applyAlignment="1">
      <alignment horizontal="center" vertical="center" wrapText="1"/>
    </xf>
    <xf numFmtId="0" fontId="120" fillId="0" borderId="0" xfId="0" applyFont="1" applyFill="1" applyAlignment="1">
      <alignment horizontal="left"/>
    </xf>
    <xf numFmtId="0" fontId="121" fillId="0" borderId="0" xfId="0" applyFont="1"/>
    <xf numFmtId="0" fontId="122" fillId="0" borderId="0" xfId="0" applyFont="1"/>
    <xf numFmtId="0" fontId="123" fillId="0" borderId="0" xfId="0" applyFont="1"/>
    <xf numFmtId="0" fontId="124" fillId="0" borderId="0" xfId="0" applyFont="1" applyFill="1" applyAlignment="1">
      <alignment horizontal="left"/>
    </xf>
    <xf numFmtId="0" fontId="125" fillId="0" borderId="0" xfId="0" applyFont="1"/>
    <xf numFmtId="0" fontId="26" fillId="0" borderId="1" xfId="3" applyFont="1" applyFill="1" applyBorder="1" applyAlignment="1">
      <alignment horizontal="left" vertical="center" wrapText="1" indent="1"/>
    </xf>
    <xf numFmtId="0" fontId="34" fillId="0" borderId="1" xfId="3" applyNumberFormat="1" applyFont="1" applyFill="1" applyBorder="1" applyAlignment="1">
      <alignment horizontal="center" vertical="center" wrapText="1"/>
    </xf>
    <xf numFmtId="49" fontId="34" fillId="0" borderId="1" xfId="3" applyNumberFormat="1" applyFont="1" applyFill="1" applyBorder="1" applyAlignment="1">
      <alignment horizontal="center" vertical="center" wrapText="1"/>
    </xf>
    <xf numFmtId="4" fontId="34" fillId="0" borderId="1" xfId="3" applyNumberFormat="1" applyFont="1" applyFill="1" applyBorder="1" applyAlignment="1">
      <alignment horizontal="right" vertical="center" wrapText="1"/>
    </xf>
    <xf numFmtId="0" fontId="126" fillId="0" borderId="0" xfId="0" applyFont="1"/>
    <xf numFmtId="4" fontId="28" fillId="0" borderId="1" xfId="3" applyNumberFormat="1" applyFont="1" applyFill="1" applyBorder="1" applyAlignment="1">
      <alignment horizontal="right" vertical="center" wrapText="1"/>
    </xf>
    <xf numFmtId="0" fontId="28" fillId="0" borderId="1" xfId="3" applyNumberFormat="1" applyFont="1" applyFill="1" applyBorder="1" applyAlignment="1">
      <alignment horizontal="center" vertical="center" wrapText="1"/>
    </xf>
    <xf numFmtId="4" fontId="34" fillId="0" borderId="1" xfId="3" applyNumberFormat="1" applyFont="1" applyFill="1" applyBorder="1" applyAlignment="1">
      <alignment horizontal="left" vertical="center" wrapText="1" indent="1"/>
    </xf>
    <xf numFmtId="4" fontId="0" fillId="0" borderId="0" xfId="0" applyNumberFormat="1"/>
    <xf numFmtId="0" fontId="39" fillId="0" borderId="0" xfId="0" applyFont="1"/>
    <xf numFmtId="0" fontId="39" fillId="0" borderId="0" xfId="0" applyFont="1" applyBorder="1"/>
    <xf numFmtId="0" fontId="34" fillId="0" borderId="1" xfId="3" applyFont="1" applyFill="1" applyBorder="1" applyAlignment="1">
      <alignment horizontal="center" vertical="center" wrapText="1"/>
    </xf>
    <xf numFmtId="0" fontId="33" fillId="0" borderId="1" xfId="3" applyFont="1" applyFill="1" applyBorder="1" applyAlignment="1">
      <alignment horizontal="center" vertical="center" wrapText="1"/>
    </xf>
    <xf numFmtId="49" fontId="33" fillId="0" borderId="1" xfId="3" applyNumberFormat="1" applyFont="1" applyFill="1" applyBorder="1" applyAlignment="1">
      <alignment horizontal="center" vertical="center" wrapText="1"/>
    </xf>
    <xf numFmtId="0" fontId="28" fillId="0" borderId="1" xfId="3" applyFont="1" applyFill="1" applyBorder="1" applyAlignment="1">
      <alignment horizontal="center" vertical="center" wrapText="1"/>
    </xf>
    <xf numFmtId="0" fontId="55" fillId="0" borderId="1" xfId="3" applyFont="1" applyFill="1" applyBorder="1" applyAlignment="1">
      <alignment horizontal="center" vertical="center" wrapText="1"/>
    </xf>
    <xf numFmtId="0" fontId="130" fillId="0" borderId="0" xfId="96" applyFont="1" applyAlignment="1">
      <alignment horizontal="left"/>
    </xf>
    <xf numFmtId="0" fontId="131" fillId="0" borderId="0" xfId="96" applyFont="1"/>
    <xf numFmtId="0" fontId="132" fillId="0" borderId="0" xfId="96" applyFont="1"/>
    <xf numFmtId="0" fontId="133" fillId="0" borderId="0" xfId="96" applyFont="1" applyAlignment="1">
      <alignment horizontal="left"/>
    </xf>
    <xf numFmtId="0" fontId="134" fillId="0" borderId="0" xfId="96" applyFont="1"/>
    <xf numFmtId="0" fontId="129" fillId="0" borderId="0" xfId="96"/>
    <xf numFmtId="0" fontId="137" fillId="0" borderId="1" xfId="97" applyFont="1" applyBorder="1" applyAlignment="1">
      <alignment horizontal="center" vertical="center" wrapText="1"/>
    </xf>
    <xf numFmtId="0" fontId="138" fillId="0" borderId="0" xfId="96" applyFont="1"/>
    <xf numFmtId="4" fontId="140" fillId="0" borderId="1" xfId="97" applyNumberFormat="1" applyFont="1" applyBorder="1" applyAlignment="1">
      <alignment horizontal="center" vertical="center" wrapText="1"/>
    </xf>
    <xf numFmtId="0" fontId="141" fillId="0" borderId="1" xfId="97" applyFont="1" applyBorder="1" applyAlignment="1">
      <alignment horizontal="left" vertical="center" wrapText="1" indent="1"/>
    </xf>
    <xf numFmtId="0" fontId="142" fillId="0" borderId="1" xfId="97" applyFont="1" applyBorder="1" applyAlignment="1">
      <alignment horizontal="center" vertical="center" wrapText="1"/>
    </xf>
    <xf numFmtId="0" fontId="139" fillId="0" borderId="1" xfId="97" applyFont="1" applyBorder="1" applyAlignment="1">
      <alignment horizontal="center" vertical="center" wrapText="1"/>
    </xf>
    <xf numFmtId="49" fontId="142" fillId="0" borderId="1" xfId="97" applyNumberFormat="1" applyFont="1" applyBorder="1" applyAlignment="1">
      <alignment horizontal="center" vertical="center" wrapText="1"/>
    </xf>
    <xf numFmtId="4" fontId="142" fillId="0" borderId="1" xfId="97" applyNumberFormat="1" applyFont="1" applyBorder="1" applyAlignment="1">
      <alignment horizontal="center" vertical="center" wrapText="1"/>
    </xf>
    <xf numFmtId="4" fontId="142" fillId="0" borderId="1" xfId="97" applyNumberFormat="1" applyFont="1" applyBorder="1" applyAlignment="1">
      <alignment horizontal="right" vertical="center" wrapText="1"/>
    </xf>
    <xf numFmtId="0" fontId="143" fillId="0" borderId="0" xfId="96" applyFont="1"/>
    <xf numFmtId="0" fontId="140" fillId="0" borderId="1" xfId="97" applyFont="1" applyBorder="1" applyAlignment="1">
      <alignment horizontal="center" vertical="center" wrapText="1"/>
    </xf>
    <xf numFmtId="49" fontId="137" fillId="0" borderId="1" xfId="97" applyNumberFormat="1" applyFont="1" applyBorder="1" applyAlignment="1">
      <alignment horizontal="center" vertical="center" wrapText="1"/>
    </xf>
    <xf numFmtId="4" fontId="137" fillId="0" borderId="1" xfId="97" applyNumberFormat="1" applyFont="1" applyBorder="1" applyAlignment="1">
      <alignment horizontal="right" vertical="center" wrapText="1"/>
    </xf>
    <xf numFmtId="4" fontId="140" fillId="0" borderId="1" xfId="97" applyNumberFormat="1" applyFont="1" applyBorder="1" applyAlignment="1">
      <alignment horizontal="right" vertical="center" wrapText="1"/>
    </xf>
    <xf numFmtId="0" fontId="145" fillId="0" borderId="0" xfId="96" applyFont="1"/>
    <xf numFmtId="49" fontId="140" fillId="0" borderId="1" xfId="97" applyNumberFormat="1" applyFont="1" applyBorder="1" applyAlignment="1">
      <alignment horizontal="center" vertical="center" wrapText="1"/>
    </xf>
    <xf numFmtId="4" fontId="142" fillId="0" borderId="1" xfId="97" applyNumberFormat="1" applyFont="1" applyBorder="1" applyAlignment="1">
      <alignment horizontal="left" vertical="center" wrapText="1" indent="1"/>
    </xf>
    <xf numFmtId="4" fontId="129" fillId="0" borderId="0" xfId="96" applyNumberFormat="1"/>
    <xf numFmtId="0" fontId="146" fillId="0" borderId="0" xfId="96" applyFont="1"/>
    <xf numFmtId="0" fontId="147" fillId="0" borderId="0" xfId="96" applyFont="1"/>
    <xf numFmtId="4" fontId="10" fillId="2" borderId="1" xfId="3" applyNumberFormat="1" applyFont="1" applyFill="1" applyBorder="1" applyAlignment="1">
      <alignment horizontal="left" vertical="center" wrapText="1"/>
    </xf>
    <xf numFmtId="0" fontId="14" fillId="54" borderId="0" xfId="3" applyFont="1" applyFill="1" applyBorder="1" applyAlignment="1">
      <alignment horizontal="center" vertical="center" wrapText="1"/>
    </xf>
    <xf numFmtId="4" fontId="108" fillId="54" borderId="0" xfId="3" applyNumberFormat="1" applyFont="1" applyFill="1" applyBorder="1" applyAlignment="1">
      <alignment horizontal="right" vertical="center" wrapText="1"/>
    </xf>
    <xf numFmtId="0" fontId="14" fillId="0" borderId="0" xfId="3" applyFont="1" applyFill="1" applyBorder="1" applyAlignment="1">
      <alignment vertical="center" wrapText="1"/>
    </xf>
    <xf numFmtId="0" fontId="107" fillId="0" borderId="0" xfId="3" applyFont="1" applyFill="1" applyAlignment="1">
      <alignment vertical="center" wrapText="1"/>
    </xf>
    <xf numFmtId="0" fontId="59" fillId="53" borderId="1" xfId="3" applyFont="1" applyFill="1" applyBorder="1" applyAlignment="1">
      <alignment horizontal="left" vertical="center" wrapText="1" indent="1"/>
    </xf>
    <xf numFmtId="4" fontId="107" fillId="6" borderId="40" xfId="3" applyNumberFormat="1" applyFont="1" applyFill="1" applyBorder="1" applyAlignment="1">
      <alignment horizontal="right" vertical="top" wrapText="1"/>
    </xf>
    <xf numFmtId="4" fontId="0" fillId="0" borderId="0" xfId="0" applyNumberFormat="1" applyFont="1" applyFill="1" applyBorder="1" applyAlignment="1">
      <alignment horizontal="right" vertical="center" wrapText="1"/>
    </xf>
    <xf numFmtId="4" fontId="51" fillId="57" borderId="16" xfId="3" applyNumberFormat="1" applyFont="1" applyFill="1" applyBorder="1" applyAlignment="1">
      <alignment horizontal="right" vertical="center" wrapText="1"/>
    </xf>
    <xf numFmtId="4" fontId="5" fillId="25" borderId="1" xfId="3" applyNumberFormat="1" applyFont="1" applyFill="1" applyBorder="1" applyAlignment="1">
      <alignment horizontal="right" vertical="center" wrapText="1"/>
    </xf>
    <xf numFmtId="4" fontId="10" fillId="0" borderId="1" xfId="3" applyNumberFormat="1" applyFont="1" applyFill="1" applyBorder="1" applyAlignment="1">
      <alignment horizontal="left" vertical="center" wrapText="1"/>
    </xf>
    <xf numFmtId="0" fontId="5" fillId="25" borderId="1" xfId="3" applyFont="1" applyFill="1" applyBorder="1" applyAlignment="1">
      <alignment horizontal="center" vertical="center" wrapText="1"/>
    </xf>
    <xf numFmtId="0" fontId="148" fillId="55" borderId="1" xfId="3" applyFont="1" applyFill="1" applyBorder="1" applyAlignment="1">
      <alignment vertical="center"/>
    </xf>
    <xf numFmtId="0" fontId="149" fillId="55" borderId="1" xfId="3" applyFont="1" applyFill="1" applyBorder="1" applyAlignment="1">
      <alignment horizontal="center" vertical="center"/>
    </xf>
    <xf numFmtId="0" fontId="150" fillId="55" borderId="1" xfId="3" applyFont="1" applyFill="1" applyBorder="1" applyAlignment="1">
      <alignment horizontal="left" vertical="center" indent="2"/>
    </xf>
    <xf numFmtId="0" fontId="149" fillId="55" borderId="1" xfId="3" applyFont="1" applyFill="1" applyBorder="1" applyAlignment="1">
      <alignment horizontal="center" vertical="top"/>
    </xf>
    <xf numFmtId="0" fontId="148" fillId="55" borderId="1" xfId="3" applyFont="1" applyFill="1" applyBorder="1" applyAlignment="1">
      <alignment horizontal="center" vertical="center" wrapText="1"/>
    </xf>
    <xf numFmtId="0" fontId="148" fillId="55" borderId="1" xfId="3" applyFont="1" applyFill="1" applyBorder="1" applyAlignment="1">
      <alignment horizontal="center" vertical="center"/>
    </xf>
    <xf numFmtId="4" fontId="148" fillId="55" borderId="1" xfId="91" applyNumberFormat="1" applyFont="1" applyFill="1" applyBorder="1" applyAlignment="1">
      <alignment horizontal="center"/>
    </xf>
    <xf numFmtId="0" fontId="7" fillId="20" borderId="4" xfId="3" applyFont="1" applyFill="1" applyBorder="1" applyAlignment="1">
      <alignment horizontal="center" vertical="center" wrapText="1"/>
    </xf>
    <xf numFmtId="0" fontId="58" fillId="0" borderId="4" xfId="3" applyFont="1" applyFill="1" applyBorder="1" applyAlignment="1">
      <alignment horizontal="left" vertical="center" wrapText="1" indent="1"/>
    </xf>
    <xf numFmtId="0" fontId="7" fillId="6" borderId="4" xfId="3" applyFont="1" applyFill="1" applyBorder="1" applyAlignment="1">
      <alignment horizontal="center" vertical="top" wrapText="1"/>
    </xf>
    <xf numFmtId="0" fontId="8" fillId="0" borderId="4" xfId="3" applyFont="1" applyFill="1" applyBorder="1" applyAlignment="1">
      <alignment horizontal="center" vertical="center" wrapText="1"/>
    </xf>
    <xf numFmtId="0" fontId="7" fillId="15" borderId="4" xfId="3" applyFont="1" applyFill="1" applyBorder="1" applyAlignment="1">
      <alignment horizontal="center" vertical="center" wrapText="1"/>
    </xf>
    <xf numFmtId="0" fontId="51" fillId="0" borderId="4" xfId="3" applyFont="1" applyFill="1" applyBorder="1" applyAlignment="1">
      <alignment horizontal="left" vertical="center" wrapText="1" indent="1"/>
    </xf>
    <xf numFmtId="0" fontId="71" fillId="16" borderId="4" xfId="3" applyFont="1" applyFill="1" applyBorder="1" applyAlignment="1">
      <alignment horizontal="left" vertical="center" wrapText="1" indent="1"/>
    </xf>
    <xf numFmtId="0" fontId="72" fillId="0" borderId="4" xfId="3" applyFont="1" applyFill="1" applyBorder="1" applyAlignment="1">
      <alignment horizontal="left" vertical="center" wrapText="1" indent="1"/>
    </xf>
    <xf numFmtId="0" fontId="66" fillId="16" borderId="4" xfId="3" applyFont="1" applyFill="1" applyBorder="1" applyAlignment="1">
      <alignment horizontal="left" vertical="center" wrapText="1" indent="1"/>
    </xf>
    <xf numFmtId="0" fontId="64" fillId="0" borderId="4" xfId="3" applyFont="1" applyFill="1" applyBorder="1" applyAlignment="1">
      <alignment horizontal="left" vertical="center" wrapText="1" indent="1"/>
    </xf>
    <xf numFmtId="0" fontId="81" fillId="20" borderId="4" xfId="3" applyFont="1" applyFill="1" applyBorder="1" applyAlignment="1">
      <alignment horizontal="center" vertical="center" wrapText="1"/>
    </xf>
    <xf numFmtId="0" fontId="7" fillId="16" borderId="4" xfId="3" applyFont="1" applyFill="1" applyBorder="1" applyAlignment="1">
      <alignment horizontal="center" vertical="center" wrapText="1"/>
    </xf>
    <xf numFmtId="0" fontId="59" fillId="0" borderId="4" xfId="3" applyFont="1" applyFill="1" applyBorder="1" applyAlignment="1">
      <alignment horizontal="left" vertical="center" wrapText="1" indent="1"/>
    </xf>
    <xf numFmtId="0" fontId="3" fillId="0" borderId="1" xfId="3" applyFont="1" applyFill="1" applyBorder="1" applyAlignment="1">
      <alignment vertical="center"/>
    </xf>
    <xf numFmtId="0" fontId="3" fillId="0" borderId="1" xfId="3" applyFont="1" applyFill="1" applyBorder="1" applyAlignment="1">
      <alignment vertical="center" wrapText="1"/>
    </xf>
    <xf numFmtId="0" fontId="151" fillId="0" borderId="1" xfId="3" applyFont="1" applyFill="1" applyBorder="1" applyAlignment="1">
      <alignment vertical="center"/>
    </xf>
    <xf numFmtId="0" fontId="14" fillId="20" borderId="1" xfId="3" applyFont="1" applyFill="1" applyBorder="1" applyAlignment="1">
      <alignment horizontal="center" vertical="center"/>
    </xf>
    <xf numFmtId="0" fontId="14" fillId="20" borderId="1" xfId="3" applyFont="1" applyFill="1" applyBorder="1" applyAlignment="1">
      <alignment horizontal="center" vertical="center" wrapText="1"/>
    </xf>
    <xf numFmtId="0" fontId="152" fillId="20" borderId="1" xfId="3" applyFont="1" applyFill="1" applyBorder="1" applyAlignment="1">
      <alignment horizontal="center" vertical="center"/>
    </xf>
    <xf numFmtId="0" fontId="51" fillId="0" borderId="1" xfId="3" applyFont="1" applyFill="1" applyBorder="1" applyAlignment="1">
      <alignment horizontal="left" vertical="center" indent="2"/>
    </xf>
    <xf numFmtId="0" fontId="51" fillId="0" borderId="1" xfId="3" applyFont="1" applyFill="1" applyBorder="1" applyAlignment="1">
      <alignment horizontal="left" vertical="center" wrapText="1"/>
    </xf>
    <xf numFmtId="0" fontId="153" fillId="0" borderId="1" xfId="3" applyFont="1" applyFill="1" applyBorder="1" applyAlignment="1">
      <alignment horizontal="left" vertical="center" indent="2"/>
    </xf>
    <xf numFmtId="0" fontId="14" fillId="6" borderId="1" xfId="3" applyFont="1" applyFill="1" applyBorder="1" applyAlignment="1">
      <alignment horizontal="center" vertical="top"/>
    </xf>
    <xf numFmtId="0" fontId="14" fillId="6" borderId="1" xfId="3" applyFont="1" applyFill="1" applyBorder="1" applyAlignment="1">
      <alignment horizontal="center" vertical="top" wrapText="1"/>
    </xf>
    <xf numFmtId="0" fontId="152" fillId="6" borderId="1" xfId="3" applyFont="1" applyFill="1" applyBorder="1" applyAlignment="1">
      <alignment horizontal="center" vertical="top"/>
    </xf>
    <xf numFmtId="0" fontId="3" fillId="0" borderId="1" xfId="3" applyFont="1" applyFill="1" applyBorder="1" applyAlignment="1">
      <alignment horizontal="center" vertical="center" wrapText="1"/>
    </xf>
    <xf numFmtId="0" fontId="4" fillId="0" borderId="1" xfId="3" applyFont="1" applyFill="1" applyBorder="1" applyAlignment="1">
      <alignment horizontal="center" vertical="center" textRotation="90" wrapText="1"/>
    </xf>
    <xf numFmtId="0" fontId="151" fillId="56" borderId="1" xfId="6" applyFont="1" applyFill="1" applyBorder="1" applyAlignment="1">
      <alignment horizontal="center" vertical="center" textRotation="90" wrapText="1"/>
    </xf>
    <xf numFmtId="0" fontId="3" fillId="0" borderId="1" xfId="3" applyFont="1" applyFill="1" applyBorder="1" applyAlignment="1">
      <alignment horizontal="center" vertical="center" textRotation="90" wrapText="1"/>
    </xf>
    <xf numFmtId="0" fontId="151" fillId="0" borderId="1" xfId="3" applyFont="1" applyFill="1" applyBorder="1" applyAlignment="1">
      <alignment horizontal="center" vertical="center"/>
    </xf>
    <xf numFmtId="0" fontId="14" fillId="15" borderId="1" xfId="3" applyFont="1" applyFill="1" applyBorder="1" applyAlignment="1">
      <alignment horizontal="center" vertical="center" wrapText="1"/>
    </xf>
    <xf numFmtId="0" fontId="152" fillId="15" borderId="1" xfId="3" applyFont="1" applyFill="1" applyBorder="1" applyAlignment="1">
      <alignment horizontal="center" vertical="center"/>
    </xf>
    <xf numFmtId="0" fontId="14" fillId="15" borderId="1" xfId="3" applyFont="1" applyFill="1" applyBorder="1" applyAlignment="1">
      <alignment horizontal="center" vertical="center"/>
    </xf>
    <xf numFmtId="0" fontId="151" fillId="0" borderId="1" xfId="6" applyFont="1" applyFill="1" applyBorder="1" applyAlignment="1">
      <alignment horizontal="center" vertical="center" wrapText="1"/>
    </xf>
    <xf numFmtId="0" fontId="154" fillId="16" borderId="1" xfId="3" applyFont="1" applyFill="1" applyBorder="1" applyAlignment="1">
      <alignment horizontal="left" vertical="center" indent="2"/>
    </xf>
    <xf numFmtId="0" fontId="52" fillId="16" borderId="1" xfId="3" applyFont="1" applyFill="1" applyBorder="1" applyAlignment="1">
      <alignment horizontal="left" vertical="center" indent="2"/>
    </xf>
    <xf numFmtId="0" fontId="155" fillId="0" borderId="1" xfId="3" applyFont="1" applyFill="1" applyBorder="1" applyAlignment="1">
      <alignment horizontal="left" vertical="center" indent="2"/>
    </xf>
    <xf numFmtId="0" fontId="72" fillId="0" borderId="1" xfId="3" applyFont="1" applyFill="1" applyBorder="1" applyAlignment="1">
      <alignment horizontal="left" vertical="center" indent="2"/>
    </xf>
    <xf numFmtId="0" fontId="66" fillId="16" borderId="1" xfId="3" applyFont="1" applyFill="1" applyBorder="1" applyAlignment="1">
      <alignment horizontal="left" vertical="center" indent="2"/>
    </xf>
    <xf numFmtId="0" fontId="64" fillId="0" borderId="1" xfId="3" applyFont="1" applyFill="1" applyBorder="1" applyAlignment="1">
      <alignment horizontal="left" vertical="center" wrapText="1"/>
    </xf>
    <xf numFmtId="0" fontId="64" fillId="0" borderId="1" xfId="3" applyFont="1" applyFill="1" applyBorder="1" applyAlignment="1">
      <alignment horizontal="left" vertical="center" indent="2"/>
    </xf>
    <xf numFmtId="0" fontId="14" fillId="0" borderId="1" xfId="3" applyFont="1" applyFill="1" applyBorder="1" applyAlignment="1">
      <alignment horizontal="center" vertical="center" wrapText="1"/>
    </xf>
    <xf numFmtId="0" fontId="152" fillId="0" borderId="1" xfId="3" applyFont="1" applyFill="1" applyBorder="1" applyAlignment="1">
      <alignment horizontal="center" vertical="center"/>
    </xf>
    <xf numFmtId="0" fontId="14" fillId="16" borderId="1" xfId="3" applyFont="1" applyFill="1" applyBorder="1" applyAlignment="1">
      <alignment horizontal="center" vertical="center" wrapText="1"/>
    </xf>
    <xf numFmtId="0" fontId="152" fillId="16" borderId="1" xfId="3" applyFont="1" applyFill="1" applyBorder="1" applyAlignment="1">
      <alignment horizontal="center" vertical="center"/>
    </xf>
    <xf numFmtId="0" fontId="14" fillId="16" borderId="1" xfId="3" applyFont="1" applyFill="1" applyBorder="1" applyAlignment="1">
      <alignment horizontal="center" vertical="center"/>
    </xf>
    <xf numFmtId="0" fontId="59" fillId="0" borderId="1" xfId="3" applyFont="1" applyFill="1" applyBorder="1" applyAlignment="1">
      <alignment horizontal="left" vertical="center" wrapText="1"/>
    </xf>
    <xf numFmtId="0" fontId="59" fillId="0" borderId="1" xfId="3" applyFont="1" applyFill="1" applyBorder="1" applyAlignment="1">
      <alignment horizontal="left" vertical="center" indent="2"/>
    </xf>
    <xf numFmtId="0" fontId="5" fillId="0" borderId="3" xfId="3" applyFont="1" applyFill="1" applyBorder="1" applyAlignment="1">
      <alignment horizontal="right" vertical="center" wrapText="1"/>
    </xf>
    <xf numFmtId="0" fontId="14" fillId="58" borderId="1" xfId="3" applyFont="1" applyFill="1" applyBorder="1" applyAlignment="1">
      <alignment horizontal="center" vertical="center" wrapText="1"/>
    </xf>
    <xf numFmtId="0" fontId="152" fillId="58" borderId="1" xfId="3" applyFont="1" applyFill="1" applyBorder="1" applyAlignment="1">
      <alignment horizontal="center" vertical="center"/>
    </xf>
    <xf numFmtId="0" fontId="14" fillId="58" borderId="1" xfId="3" applyFont="1" applyFill="1" applyBorder="1" applyAlignment="1">
      <alignment horizontal="center" vertical="center"/>
    </xf>
    <xf numFmtId="0" fontId="7" fillId="58" borderId="4" xfId="3" applyFont="1" applyFill="1" applyBorder="1" applyAlignment="1">
      <alignment horizontal="center" vertical="center" wrapText="1"/>
    </xf>
    <xf numFmtId="0" fontId="5" fillId="58" borderId="1" xfId="3" applyFont="1" applyFill="1" applyBorder="1" applyAlignment="1">
      <alignment horizontal="center" vertical="center" wrapText="1"/>
    </xf>
    <xf numFmtId="0" fontId="5" fillId="58" borderId="1" xfId="3" applyNumberFormat="1" applyFont="1" applyFill="1" applyBorder="1" applyAlignment="1">
      <alignment horizontal="center" vertical="center" wrapText="1"/>
    </xf>
    <xf numFmtId="49" fontId="5" fillId="58" borderId="2" xfId="3" applyNumberFormat="1" applyFont="1" applyFill="1" applyBorder="1" applyAlignment="1">
      <alignment horizontal="left" vertical="center" wrapText="1"/>
    </xf>
    <xf numFmtId="4" fontId="42" fillId="58" borderId="16" xfId="3" applyNumberFormat="1" applyFont="1" applyFill="1" applyBorder="1" applyAlignment="1">
      <alignment horizontal="right" vertical="center" wrapText="1"/>
    </xf>
    <xf numFmtId="4" fontId="5" fillId="58" borderId="1" xfId="3" applyNumberFormat="1" applyFont="1" applyFill="1" applyBorder="1" applyAlignment="1">
      <alignment horizontal="right" vertical="center" wrapText="1"/>
    </xf>
    <xf numFmtId="4" fontId="0" fillId="59" borderId="13" xfId="0" applyNumberFormat="1" applyFill="1" applyBorder="1" applyAlignment="1">
      <alignment horizontal="right" vertical="center" wrapText="1"/>
    </xf>
    <xf numFmtId="4" fontId="35" fillId="58" borderId="0" xfId="1" applyNumberFormat="1" applyFill="1" applyAlignment="1">
      <alignment horizontal="center" vertical="center"/>
    </xf>
    <xf numFmtId="4" fontId="14" fillId="58" borderId="0" xfId="3" applyNumberFormat="1" applyFont="1" applyFill="1" applyAlignment="1">
      <alignment horizontal="center" vertical="center"/>
    </xf>
    <xf numFmtId="0" fontId="14" fillId="58" borderId="0" xfId="3" applyFont="1" applyFill="1" applyAlignment="1">
      <alignment horizontal="center" vertical="center"/>
    </xf>
    <xf numFmtId="4" fontId="5" fillId="58" borderId="16" xfId="3" applyNumberFormat="1" applyFont="1" applyFill="1" applyBorder="1" applyAlignment="1">
      <alignment horizontal="right" vertical="center" wrapText="1"/>
    </xf>
    <xf numFmtId="4" fontId="5" fillId="58" borderId="13" xfId="3" applyNumberFormat="1" applyFont="1" applyFill="1" applyBorder="1" applyAlignment="1">
      <alignment horizontal="right" vertical="center" wrapText="1"/>
    </xf>
    <xf numFmtId="4" fontId="5" fillId="58" borderId="0" xfId="3" applyNumberFormat="1" applyFont="1" applyFill="1" applyBorder="1" applyAlignment="1">
      <alignment horizontal="right" vertical="center" wrapText="1"/>
    </xf>
    <xf numFmtId="4" fontId="107" fillId="58" borderId="0" xfId="3" applyNumberFormat="1" applyFont="1" applyFill="1" applyBorder="1" applyAlignment="1">
      <alignment horizontal="right" vertical="center" wrapText="1"/>
    </xf>
    <xf numFmtId="4" fontId="5" fillId="58" borderId="2" xfId="3" applyNumberFormat="1" applyFont="1" applyFill="1" applyBorder="1" applyAlignment="1">
      <alignment horizontal="right" vertical="center" wrapText="1"/>
    </xf>
    <xf numFmtId="0" fontId="14" fillId="17" borderId="1" xfId="3" applyFont="1" applyFill="1" applyBorder="1" applyAlignment="1">
      <alignment horizontal="center" vertical="center" wrapText="1"/>
    </xf>
    <xf numFmtId="0" fontId="152" fillId="17" borderId="1" xfId="3" applyFont="1" applyFill="1" applyBorder="1" applyAlignment="1">
      <alignment horizontal="center" vertical="center"/>
    </xf>
    <xf numFmtId="0" fontId="14" fillId="17" borderId="1" xfId="3" applyFont="1" applyFill="1" applyBorder="1" applyAlignment="1">
      <alignment horizontal="center" vertical="center"/>
    </xf>
    <xf numFmtId="0" fontId="7" fillId="17" borderId="4" xfId="3" applyFont="1" applyFill="1" applyBorder="1" applyAlignment="1">
      <alignment horizontal="center" vertical="center" wrapText="1"/>
    </xf>
    <xf numFmtId="0" fontId="5" fillId="17" borderId="1" xfId="3" applyFont="1" applyFill="1" applyBorder="1" applyAlignment="1">
      <alignment horizontal="center" vertical="center" wrapText="1"/>
    </xf>
    <xf numFmtId="0" fontId="5" fillId="17" borderId="1" xfId="3" applyNumberFormat="1" applyFont="1" applyFill="1" applyBorder="1" applyAlignment="1">
      <alignment horizontal="center" vertical="center" wrapText="1"/>
    </xf>
    <xf numFmtId="49" fontId="5" fillId="17" borderId="2" xfId="3" applyNumberFormat="1" applyFont="1" applyFill="1" applyBorder="1" applyAlignment="1">
      <alignment horizontal="left" vertical="center" wrapText="1"/>
    </xf>
    <xf numFmtId="4" fontId="0" fillId="60" borderId="11" xfId="0" applyNumberFormat="1" applyFill="1" applyBorder="1" applyAlignment="1">
      <alignment horizontal="right" vertical="center" wrapText="1"/>
    </xf>
    <xf numFmtId="4" fontId="35" fillId="17" borderId="0" xfId="1" applyNumberFormat="1" applyFill="1" applyAlignment="1">
      <alignment horizontal="center" vertical="center"/>
    </xf>
    <xf numFmtId="4" fontId="14" fillId="17" borderId="0" xfId="3" applyNumberFormat="1" applyFont="1" applyFill="1" applyAlignment="1">
      <alignment horizontal="center" vertical="center"/>
    </xf>
    <xf numFmtId="0" fontId="14" fillId="17" borderId="0" xfId="3" applyFont="1" applyFill="1" applyAlignment="1">
      <alignment horizontal="center" vertical="center"/>
    </xf>
    <xf numFmtId="4" fontId="5" fillId="17" borderId="16" xfId="3" applyNumberFormat="1" applyFont="1" applyFill="1" applyBorder="1" applyAlignment="1">
      <alignment horizontal="right" vertical="center" wrapText="1"/>
    </xf>
    <xf numFmtId="4" fontId="5" fillId="17" borderId="13" xfId="3" applyNumberFormat="1" applyFont="1" applyFill="1" applyBorder="1" applyAlignment="1">
      <alignment horizontal="right" vertical="center" wrapText="1"/>
    </xf>
    <xf numFmtId="4" fontId="107" fillId="17" borderId="0" xfId="3" applyNumberFormat="1" applyFont="1" applyFill="1" applyBorder="1" applyAlignment="1">
      <alignment horizontal="right" vertical="center" wrapText="1"/>
    </xf>
    <xf numFmtId="4" fontId="5" fillId="17" borderId="2" xfId="3" applyNumberFormat="1" applyFont="1" applyFill="1" applyBorder="1" applyAlignment="1">
      <alignment horizontal="right" vertical="center" wrapText="1"/>
    </xf>
    <xf numFmtId="0" fontId="118" fillId="16" borderId="1" xfId="3" applyFont="1" applyFill="1" applyBorder="1" applyAlignment="1">
      <alignment horizontal="left" vertical="center" indent="2"/>
    </xf>
    <xf numFmtId="0" fontId="118" fillId="16" borderId="4" xfId="3" applyFont="1" applyFill="1" applyBorder="1" applyAlignment="1">
      <alignment horizontal="left" vertical="center" wrapText="1" indent="1"/>
    </xf>
    <xf numFmtId="0" fontId="118" fillId="16" borderId="1" xfId="3" applyFont="1" applyFill="1" applyBorder="1" applyAlignment="1">
      <alignment horizontal="left" vertical="center" wrapText="1" indent="2"/>
    </xf>
    <xf numFmtId="0" fontId="118" fillId="16" borderId="1" xfId="3" applyFont="1" applyFill="1" applyBorder="1" applyAlignment="1">
      <alignment horizontal="left" vertical="center" wrapText="1" indent="1"/>
    </xf>
    <xf numFmtId="0" fontId="118" fillId="16" borderId="1" xfId="3" applyNumberFormat="1" applyFont="1" applyFill="1" applyBorder="1" applyAlignment="1">
      <alignment horizontal="left" vertical="center" wrapText="1" indent="1"/>
    </xf>
    <xf numFmtId="49" fontId="118" fillId="16" borderId="2" xfId="3" applyNumberFormat="1" applyFont="1" applyFill="1" applyBorder="1" applyAlignment="1">
      <alignment horizontal="left" vertical="center" wrapText="1" indent="2"/>
    </xf>
    <xf numFmtId="4" fontId="118" fillId="16" borderId="16" xfId="3" applyNumberFormat="1" applyFont="1" applyFill="1" applyBorder="1" applyAlignment="1">
      <alignment horizontal="right" vertical="center" wrapText="1"/>
    </xf>
    <xf numFmtId="4" fontId="118" fillId="16" borderId="1" xfId="3" applyNumberFormat="1" applyFont="1" applyFill="1" applyBorder="1" applyAlignment="1">
      <alignment horizontal="right" vertical="center" wrapText="1"/>
    </xf>
    <xf numFmtId="4" fontId="157" fillId="29" borderId="13" xfId="0" applyNumberFormat="1" applyFont="1" applyFill="1" applyBorder="1" applyAlignment="1">
      <alignment horizontal="right" vertical="center" wrapText="1"/>
    </xf>
    <xf numFmtId="4" fontId="82" fillId="0" borderId="0" xfId="1" applyNumberFormat="1" applyFont="1" applyFill="1" applyAlignment="1">
      <alignment horizontal="center" vertical="center"/>
    </xf>
    <xf numFmtId="4" fontId="46" fillId="0" borderId="0" xfId="3" applyNumberFormat="1" applyFont="1" applyFill="1" applyAlignment="1">
      <alignment horizontal="center" vertical="center"/>
    </xf>
    <xf numFmtId="0" fontId="46" fillId="0" borderId="0" xfId="3" applyFont="1" applyFill="1" applyAlignment="1">
      <alignment horizontal="center" vertical="center"/>
    </xf>
    <xf numFmtId="4" fontId="6" fillId="0" borderId="16" xfId="3" applyNumberFormat="1" applyFont="1" applyFill="1" applyBorder="1" applyAlignment="1">
      <alignment horizontal="right" vertical="center" wrapText="1"/>
    </xf>
    <xf numFmtId="4" fontId="6" fillId="17" borderId="1" xfId="3" applyNumberFormat="1" applyFont="1" applyFill="1" applyBorder="1" applyAlignment="1">
      <alignment horizontal="right" vertical="center" wrapText="1"/>
    </xf>
    <xf numFmtId="4" fontId="6" fillId="18" borderId="13" xfId="3" applyNumberFormat="1" applyFont="1" applyFill="1" applyBorder="1" applyAlignment="1">
      <alignment horizontal="right" vertical="center" wrapText="1"/>
    </xf>
    <xf numFmtId="4" fontId="6" fillId="0" borderId="0" xfId="3" applyNumberFormat="1" applyFont="1" applyFill="1" applyBorder="1" applyAlignment="1">
      <alignment horizontal="right" vertical="center" wrapText="1"/>
    </xf>
    <xf numFmtId="4" fontId="118" fillId="16" borderId="13" xfId="3" applyNumberFormat="1" applyFont="1" applyFill="1" applyBorder="1" applyAlignment="1">
      <alignment horizontal="right" vertical="center" wrapText="1"/>
    </xf>
    <xf numFmtId="4" fontId="158" fillId="16" borderId="0" xfId="3" applyNumberFormat="1" applyFont="1" applyFill="1" applyBorder="1" applyAlignment="1">
      <alignment horizontal="right" vertical="center" wrapText="1"/>
    </xf>
    <xf numFmtId="4" fontId="118" fillId="16" borderId="2" xfId="3" applyNumberFormat="1" applyFont="1" applyFill="1" applyBorder="1" applyAlignment="1">
      <alignment horizontal="right" vertical="center" wrapText="1"/>
    </xf>
    <xf numFmtId="0" fontId="118" fillId="16" borderId="0" xfId="3" applyFont="1" applyFill="1" applyAlignment="1">
      <alignment horizontal="left" vertical="center" indent="2"/>
    </xf>
    <xf numFmtId="0" fontId="160" fillId="15" borderId="1" xfId="3" applyFont="1" applyFill="1" applyBorder="1" applyAlignment="1">
      <alignment horizontal="center" vertical="center" wrapText="1"/>
    </xf>
    <xf numFmtId="0" fontId="52" fillId="16" borderId="4" xfId="3" applyFont="1" applyFill="1" applyBorder="1" applyAlignment="1">
      <alignment horizontal="left" vertical="center" wrapText="1" indent="1"/>
    </xf>
    <xf numFmtId="4" fontId="163" fillId="29" borderId="13" xfId="0" applyNumberFormat="1" applyFont="1" applyFill="1" applyBorder="1" applyAlignment="1">
      <alignment horizontal="right" vertical="center" wrapText="1"/>
    </xf>
    <xf numFmtId="4" fontId="164" fillId="0" borderId="0" xfId="1" applyNumberFormat="1" applyFont="1" applyFill="1" applyAlignment="1">
      <alignment horizontal="center" vertical="center"/>
    </xf>
    <xf numFmtId="4" fontId="159" fillId="0" borderId="0" xfId="3" applyNumberFormat="1" applyFont="1" applyFill="1" applyAlignment="1">
      <alignment horizontal="center" vertical="center"/>
    </xf>
    <xf numFmtId="0" fontId="159" fillId="0" borderId="0" xfId="3" applyFont="1" applyFill="1" applyAlignment="1">
      <alignment horizontal="center" vertical="center"/>
    </xf>
    <xf numFmtId="4" fontId="165" fillId="0" borderId="16" xfId="3" applyNumberFormat="1" applyFont="1" applyFill="1" applyBorder="1" applyAlignment="1">
      <alignment horizontal="right" vertical="center" wrapText="1"/>
    </xf>
    <xf numFmtId="4" fontId="165" fillId="17" borderId="1" xfId="3" applyNumberFormat="1" applyFont="1" applyFill="1" applyBorder="1" applyAlignment="1">
      <alignment horizontal="right" vertical="center" wrapText="1"/>
    </xf>
    <xf numFmtId="4" fontId="165" fillId="18" borderId="13" xfId="3" applyNumberFormat="1" applyFont="1" applyFill="1" applyBorder="1" applyAlignment="1">
      <alignment horizontal="right" vertical="center" wrapText="1"/>
    </xf>
    <xf numFmtId="4" fontId="165" fillId="0" borderId="0" xfId="3" applyNumberFormat="1" applyFont="1" applyFill="1" applyBorder="1" applyAlignment="1">
      <alignment horizontal="right" vertical="center" wrapText="1"/>
    </xf>
    <xf numFmtId="49" fontId="59" fillId="0" borderId="1" xfId="3" applyNumberFormat="1" applyFont="1" applyFill="1" applyBorder="1" applyAlignment="1">
      <alignment horizontal="left" vertical="center" wrapText="1" indent="2"/>
    </xf>
    <xf numFmtId="0" fontId="148" fillId="55" borderId="1" xfId="3" applyFont="1" applyFill="1" applyBorder="1" applyAlignment="1">
      <alignment vertical="top"/>
    </xf>
    <xf numFmtId="0" fontId="149" fillId="55" borderId="1" xfId="3" applyFont="1" applyFill="1" applyBorder="1" applyAlignment="1">
      <alignment vertical="top"/>
    </xf>
    <xf numFmtId="0" fontId="150" fillId="55" borderId="1" xfId="3" applyFont="1" applyFill="1" applyBorder="1" applyAlignment="1">
      <alignment vertical="top"/>
    </xf>
    <xf numFmtId="0" fontId="148" fillId="55" borderId="1" xfId="3" applyFont="1" applyFill="1" applyBorder="1" applyAlignment="1">
      <alignment vertical="top" wrapText="1"/>
    </xf>
    <xf numFmtId="0" fontId="148" fillId="17" borderId="1" xfId="3" applyFont="1" applyFill="1" applyBorder="1" applyAlignment="1">
      <alignment vertical="top"/>
    </xf>
    <xf numFmtId="0" fontId="148" fillId="58" borderId="1" xfId="3" applyFont="1" applyFill="1" applyBorder="1" applyAlignment="1">
      <alignment vertical="top"/>
    </xf>
    <xf numFmtId="0" fontId="159" fillId="55" borderId="1" xfId="3" applyFont="1" applyFill="1" applyBorder="1" applyAlignment="1">
      <alignment vertical="top"/>
    </xf>
    <xf numFmtId="4" fontId="148" fillId="55" borderId="1" xfId="91" applyNumberFormat="1" applyFont="1" applyFill="1" applyBorder="1" applyAlignment="1">
      <alignment vertical="top"/>
    </xf>
    <xf numFmtId="0" fontId="150" fillId="55" borderId="1" xfId="3" applyFont="1" applyFill="1" applyBorder="1" applyAlignment="1">
      <alignment vertical="top" wrapText="1"/>
    </xf>
    <xf numFmtId="0" fontId="4" fillId="0" borderId="1" xfId="3" applyFont="1" applyFill="1" applyBorder="1" applyAlignment="1">
      <alignment horizontal="center" vertical="center"/>
    </xf>
    <xf numFmtId="0" fontId="166" fillId="55" borderId="1" xfId="3" applyFont="1" applyFill="1" applyBorder="1" applyAlignment="1">
      <alignment vertical="top"/>
    </xf>
    <xf numFmtId="0" fontId="167" fillId="0" borderId="1" xfId="3" applyFont="1" applyFill="1" applyBorder="1" applyAlignment="1">
      <alignment horizontal="center" vertical="center"/>
    </xf>
    <xf numFmtId="4" fontId="168" fillId="0" borderId="0" xfId="0" applyNumberFormat="1" applyFont="1" applyFill="1" applyBorder="1" applyAlignment="1">
      <alignment horizontal="right" vertical="center" wrapText="1"/>
    </xf>
    <xf numFmtId="4" fontId="169" fillId="0" borderId="0" xfId="1" applyNumberFormat="1" applyFont="1" applyFill="1" applyAlignment="1">
      <alignment horizontal="center" vertical="center"/>
    </xf>
    <xf numFmtId="4" fontId="6" fillId="0" borderId="14" xfId="3" applyNumberFormat="1" applyFont="1" applyFill="1" applyBorder="1" applyAlignment="1">
      <alignment horizontal="right" vertical="center" wrapText="1"/>
    </xf>
    <xf numFmtId="4" fontId="6" fillId="0" borderId="15" xfId="3" applyNumberFormat="1" applyFont="1" applyFill="1" applyBorder="1" applyAlignment="1">
      <alignment horizontal="right" vertical="center" wrapText="1"/>
    </xf>
    <xf numFmtId="0" fontId="28" fillId="0" borderId="1" xfId="3" applyFont="1" applyFill="1" applyBorder="1" applyAlignment="1">
      <alignment horizontal="center" vertical="center" wrapText="1"/>
    </xf>
    <xf numFmtId="0" fontId="137" fillId="0" borderId="1" xfId="97" applyFont="1" applyBorder="1" applyAlignment="1">
      <alignment horizontal="center" vertical="center" wrapText="1"/>
    </xf>
    <xf numFmtId="174" fontId="4" fillId="0" borderId="0" xfId="3" applyNumberFormat="1" applyFont="1" applyFill="1" applyBorder="1" applyAlignment="1">
      <alignment horizontal="right" vertical="center" wrapText="1"/>
    </xf>
    <xf numFmtId="0" fontId="148" fillId="61" borderId="1" xfId="3" applyFont="1" applyFill="1" applyBorder="1" applyAlignment="1">
      <alignment vertical="top"/>
    </xf>
    <xf numFmtId="0" fontId="14" fillId="61" borderId="1" xfId="3" applyFont="1" applyFill="1" applyBorder="1" applyAlignment="1">
      <alignment horizontal="center" vertical="center" wrapText="1"/>
    </xf>
    <xf numFmtId="0" fontId="152" fillId="61" borderId="1" xfId="3" applyFont="1" applyFill="1" applyBorder="1" applyAlignment="1">
      <alignment horizontal="center" vertical="center"/>
    </xf>
    <xf numFmtId="0" fontId="14" fillId="61" borderId="1" xfId="3" applyFont="1" applyFill="1" applyBorder="1" applyAlignment="1">
      <alignment horizontal="center" vertical="center"/>
    </xf>
    <xf numFmtId="0" fontId="7" fillId="61" borderId="4" xfId="3" applyFont="1" applyFill="1" applyBorder="1" applyAlignment="1">
      <alignment horizontal="center" vertical="center" wrapText="1"/>
    </xf>
    <xf numFmtId="0" fontId="5" fillId="61" borderId="1" xfId="3" applyFont="1" applyFill="1" applyBorder="1" applyAlignment="1">
      <alignment horizontal="center" vertical="center" wrapText="1"/>
    </xf>
    <xf numFmtId="0" fontId="5" fillId="61" borderId="1" xfId="3" applyNumberFormat="1" applyFont="1" applyFill="1" applyBorder="1" applyAlignment="1">
      <alignment horizontal="center" vertical="center" wrapText="1"/>
    </xf>
    <xf numFmtId="49" fontId="5" fillId="61" borderId="2" xfId="3" applyNumberFormat="1" applyFont="1" applyFill="1" applyBorder="1" applyAlignment="1">
      <alignment horizontal="left" vertical="center" wrapText="1"/>
    </xf>
    <xf numFmtId="4" fontId="5" fillId="61" borderId="16" xfId="3" applyNumberFormat="1" applyFont="1" applyFill="1" applyBorder="1" applyAlignment="1">
      <alignment horizontal="right" vertical="center" wrapText="1"/>
    </xf>
    <xf numFmtId="4" fontId="5" fillId="61" borderId="1" xfId="3" applyNumberFormat="1" applyFont="1" applyFill="1" applyBorder="1" applyAlignment="1">
      <alignment horizontal="right" vertical="center" wrapText="1"/>
    </xf>
    <xf numFmtId="4" fontId="0" fillId="62" borderId="13" xfId="0" applyNumberFormat="1" applyFill="1" applyBorder="1" applyAlignment="1">
      <alignment horizontal="right" vertical="center" wrapText="1"/>
    </xf>
    <xf numFmtId="4" fontId="35" fillId="61" borderId="0" xfId="1" applyNumberFormat="1" applyFill="1" applyAlignment="1">
      <alignment horizontal="center" vertical="center"/>
    </xf>
    <xf numFmtId="4" fontId="14" fillId="61" borderId="0" xfId="3" applyNumberFormat="1" applyFont="1" applyFill="1" applyAlignment="1">
      <alignment horizontal="center" vertical="center"/>
    </xf>
    <xf numFmtId="0" fontId="14" fillId="61" borderId="0" xfId="3" applyFont="1" applyFill="1" applyAlignment="1">
      <alignment horizontal="center" vertical="center"/>
    </xf>
    <xf numFmtId="4" fontId="5" fillId="61" borderId="13" xfId="3" applyNumberFormat="1" applyFont="1" applyFill="1" applyBorder="1" applyAlignment="1">
      <alignment horizontal="right" vertical="center" wrapText="1"/>
    </xf>
    <xf numFmtId="4" fontId="5" fillId="61" borderId="0" xfId="3" applyNumberFormat="1" applyFont="1" applyFill="1" applyBorder="1" applyAlignment="1">
      <alignment horizontal="right" vertical="center" wrapText="1"/>
    </xf>
    <xf numFmtId="4" fontId="107" fillId="61" borderId="0" xfId="3" applyNumberFormat="1" applyFont="1" applyFill="1" applyBorder="1" applyAlignment="1">
      <alignment horizontal="right" vertical="center" wrapText="1"/>
    </xf>
    <xf numFmtId="4" fontId="5" fillId="61" borderId="2" xfId="3" applyNumberFormat="1" applyFont="1" applyFill="1" applyBorder="1" applyAlignment="1">
      <alignment horizontal="right" vertical="center" wrapText="1"/>
    </xf>
    <xf numFmtId="4" fontId="4" fillId="0" borderId="49" xfId="3" applyNumberFormat="1" applyFont="1" applyFill="1" applyBorder="1" applyAlignment="1">
      <alignment horizontal="right" vertical="center" wrapText="1"/>
    </xf>
    <xf numFmtId="4" fontId="42" fillId="15" borderId="50" xfId="3" applyNumberFormat="1" applyFont="1" applyFill="1" applyBorder="1" applyAlignment="1">
      <alignment horizontal="right" vertical="center" wrapText="1"/>
    </xf>
    <xf numFmtId="4" fontId="5" fillId="15" borderId="51" xfId="3" applyNumberFormat="1" applyFont="1" applyFill="1" applyBorder="1" applyAlignment="1">
      <alignment horizontal="right" vertical="center" wrapText="1"/>
    </xf>
    <xf numFmtId="4" fontId="0" fillId="26" borderId="52" xfId="0" applyNumberFormat="1" applyFill="1" applyBorder="1" applyAlignment="1">
      <alignment horizontal="right" vertical="center" wrapText="1"/>
    </xf>
    <xf numFmtId="4" fontId="42" fillId="17" borderId="1" xfId="3" applyNumberFormat="1" applyFont="1" applyFill="1" applyBorder="1" applyAlignment="1">
      <alignment horizontal="right" vertical="center" wrapText="1"/>
    </xf>
    <xf numFmtId="4" fontId="0" fillId="60" borderId="1" xfId="0" applyNumberFormat="1" applyFill="1" applyBorder="1" applyAlignment="1">
      <alignment horizontal="right" vertical="center" wrapText="1"/>
    </xf>
    <xf numFmtId="0" fontId="125" fillId="0" borderId="0" xfId="0" applyFont="1" applyBorder="1"/>
    <xf numFmtId="0" fontId="124" fillId="0" borderId="0" xfId="0" applyFont="1"/>
    <xf numFmtId="0" fontId="170" fillId="0" borderId="0" xfId="0" applyFont="1"/>
    <xf numFmtId="0" fontId="116" fillId="0" borderId="0" xfId="0" applyFont="1"/>
    <xf numFmtId="0" fontId="171" fillId="0" borderId="0" xfId="0" applyFont="1"/>
    <xf numFmtId="4" fontId="33" fillId="0" borderId="1" xfId="97" applyNumberFormat="1" applyFont="1" applyBorder="1" applyAlignment="1">
      <alignment horizontal="right" vertical="center" wrapText="1"/>
    </xf>
    <xf numFmtId="4" fontId="171" fillId="0" borderId="0" xfId="0" applyNumberFormat="1" applyFont="1"/>
    <xf numFmtId="0" fontId="144" fillId="0" borderId="0" xfId="0" applyFont="1"/>
    <xf numFmtId="0" fontId="28" fillId="0" borderId="1" xfId="3" applyFont="1" applyFill="1" applyBorder="1" applyAlignment="1">
      <alignment horizontal="center" vertical="center" wrapText="1"/>
    </xf>
    <xf numFmtId="0" fontId="33" fillId="0" borderId="1" xfId="3" applyFont="1" applyFill="1" applyBorder="1" applyAlignment="1">
      <alignment horizontal="center" vertical="center" wrapText="1"/>
    </xf>
    <xf numFmtId="0" fontId="5" fillId="6" borderId="1" xfId="3" applyFont="1" applyFill="1" applyBorder="1" applyAlignment="1">
      <alignment horizontal="center" vertical="center" wrapText="1"/>
    </xf>
    <xf numFmtId="0" fontId="59" fillId="55" borderId="1" xfId="3" applyFont="1" applyFill="1" applyBorder="1" applyAlignment="1">
      <alignment vertical="top"/>
    </xf>
    <xf numFmtId="4" fontId="85" fillId="0" borderId="1" xfId="0" applyNumberFormat="1" applyFont="1" applyFill="1" applyBorder="1" applyAlignment="1">
      <alignment horizontal="right" vertical="center" wrapText="1"/>
    </xf>
    <xf numFmtId="0" fontId="125" fillId="0" borderId="0" xfId="0" applyFont="1" applyFill="1"/>
    <xf numFmtId="0" fontId="125" fillId="0" borderId="0" xfId="0" applyFont="1" applyFill="1" applyBorder="1"/>
    <xf numFmtId="0" fontId="125" fillId="0" borderId="0" xfId="0" applyFont="1" applyFill="1" applyAlignment="1">
      <alignment horizontal="left"/>
    </xf>
    <xf numFmtId="0" fontId="0" fillId="0" borderId="0" xfId="0" applyFill="1" applyAlignment="1">
      <alignment horizontal="left"/>
    </xf>
    <xf numFmtId="4" fontId="144" fillId="0" borderId="1" xfId="97" applyNumberFormat="1" applyFont="1" applyFill="1" applyBorder="1" applyAlignment="1">
      <alignment horizontal="justify" vertical="center" wrapText="1"/>
    </xf>
    <xf numFmtId="4" fontId="175" fillId="55" borderId="0" xfId="3" applyNumberFormat="1" applyFont="1" applyFill="1" applyAlignment="1">
      <alignment horizontal="right" vertical="center"/>
    </xf>
    <xf numFmtId="0" fontId="28" fillId="0" borderId="1" xfId="3" applyFont="1" applyFill="1" applyBorder="1" applyAlignment="1">
      <alignment horizontal="center" vertical="center" wrapText="1"/>
    </xf>
    <xf numFmtId="4" fontId="4" fillId="54" borderId="0" xfId="3" applyNumberFormat="1" applyFont="1" applyFill="1" applyBorder="1" applyAlignment="1">
      <alignment horizontal="right" vertical="center" wrapText="1"/>
    </xf>
    <xf numFmtId="0" fontId="0" fillId="54" borderId="0" xfId="0" applyFill="1" applyAlignment="1">
      <alignment horizontal="center" vertical="center"/>
    </xf>
    <xf numFmtId="4" fontId="4" fillId="54" borderId="48" xfId="3" applyNumberFormat="1" applyFont="1" applyFill="1" applyBorder="1" applyAlignment="1">
      <alignment horizontal="right" vertical="center" wrapText="1"/>
    </xf>
    <xf numFmtId="0" fontId="28" fillId="0" borderId="1" xfId="3" applyFont="1" applyFill="1" applyBorder="1" applyAlignment="1">
      <alignment horizontal="center" vertical="center" wrapText="1"/>
    </xf>
    <xf numFmtId="0" fontId="33" fillId="0" borderId="1" xfId="3" applyFont="1" applyFill="1" applyBorder="1" applyAlignment="1">
      <alignment horizontal="center" vertical="center" wrapText="1"/>
    </xf>
    <xf numFmtId="0" fontId="28" fillId="0" borderId="1" xfId="3" applyFont="1" applyFill="1" applyBorder="1" applyAlignment="1">
      <alignment horizontal="center" vertical="center" wrapText="1"/>
    </xf>
    <xf numFmtId="0" fontId="137" fillId="0" borderId="1" xfId="97" applyFont="1" applyBorder="1" applyAlignment="1">
      <alignment horizontal="center" vertical="center" wrapText="1"/>
    </xf>
    <xf numFmtId="0" fontId="33" fillId="0" borderId="1" xfId="3" applyFont="1" applyFill="1" applyBorder="1" applyAlignment="1">
      <alignment horizontal="center" vertical="center" wrapText="1"/>
    </xf>
    <xf numFmtId="4" fontId="84" fillId="0" borderId="16" xfId="3" applyNumberFormat="1" applyFont="1" applyFill="1" applyBorder="1" applyAlignment="1">
      <alignment horizontal="right" vertical="center" wrapText="1"/>
    </xf>
    <xf numFmtId="49" fontId="84" fillId="0" borderId="2" xfId="3" applyNumberFormat="1" applyFont="1" applyFill="1" applyBorder="1" applyAlignment="1">
      <alignment horizontal="left" vertical="center" wrapText="1" indent="2"/>
    </xf>
    <xf numFmtId="4" fontId="176" fillId="0" borderId="1" xfId="3" applyNumberFormat="1" applyFont="1" applyFill="1" applyBorder="1" applyAlignment="1">
      <alignment horizontal="right" vertical="center" wrapText="1"/>
    </xf>
    <xf numFmtId="49" fontId="84" fillId="0" borderId="1" xfId="3" applyNumberFormat="1" applyFont="1" applyFill="1" applyBorder="1" applyAlignment="1">
      <alignment horizontal="left" vertical="center" wrapText="1" indent="2"/>
    </xf>
    <xf numFmtId="4" fontId="84" fillId="0" borderId="1" xfId="3" applyNumberFormat="1" applyFont="1" applyFill="1" applyBorder="1" applyAlignment="1">
      <alignment horizontal="right" vertical="center" wrapText="1"/>
    </xf>
    <xf numFmtId="0" fontId="5" fillId="0" borderId="3" xfId="3" applyFont="1" applyFill="1" applyBorder="1" applyAlignment="1">
      <alignment horizontal="right" vertical="center" wrapText="1"/>
    </xf>
    <xf numFmtId="4" fontId="161" fillId="0" borderId="1" xfId="3" applyNumberFormat="1" applyFont="1" applyFill="1" applyBorder="1" applyAlignment="1">
      <alignment horizontal="right" vertical="center" wrapText="1"/>
    </xf>
    <xf numFmtId="0" fontId="177" fillId="0" borderId="0" xfId="3" applyFont="1" applyFill="1" applyAlignment="1">
      <alignment vertical="center"/>
    </xf>
    <xf numFmtId="4" fontId="178" fillId="20" borderId="1" xfId="3" applyNumberFormat="1" applyFont="1" applyFill="1" applyBorder="1" applyAlignment="1">
      <alignment horizontal="right" vertical="center" wrapText="1"/>
    </xf>
    <xf numFmtId="4" fontId="179" fillId="0" borderId="1" xfId="3" applyNumberFormat="1" applyFont="1" applyFill="1" applyBorder="1" applyAlignment="1">
      <alignment horizontal="right" vertical="center" wrapText="1"/>
    </xf>
    <xf numFmtId="0" fontId="180" fillId="0" borderId="0" xfId="3" applyFont="1" applyFill="1" applyAlignment="1">
      <alignment horizontal="left" vertical="center" indent="14"/>
    </xf>
    <xf numFmtId="0" fontId="180" fillId="0" borderId="0" xfId="3" applyFont="1" applyFill="1" applyAlignment="1">
      <alignment vertical="center"/>
    </xf>
    <xf numFmtId="4" fontId="177" fillId="0" borderId="0" xfId="3" applyNumberFormat="1" applyFont="1" applyFill="1" applyAlignment="1">
      <alignment vertical="center"/>
    </xf>
    <xf numFmtId="0" fontId="181" fillId="0" borderId="43" xfId="3" applyFont="1" applyFill="1" applyBorder="1" applyAlignment="1">
      <alignment horizontal="center" vertical="center" wrapText="1"/>
    </xf>
    <xf numFmtId="0" fontId="178" fillId="0" borderId="0" xfId="3" applyFont="1" applyFill="1" applyBorder="1" applyAlignment="1">
      <alignment vertical="center"/>
    </xf>
    <xf numFmtId="4" fontId="182" fillId="15" borderId="50" xfId="3" applyNumberFormat="1" applyFont="1" applyFill="1" applyBorder="1" applyAlignment="1">
      <alignment horizontal="right" vertical="center" wrapText="1"/>
    </xf>
    <xf numFmtId="4" fontId="182" fillId="17" borderId="1" xfId="3" applyNumberFormat="1" applyFont="1" applyFill="1" applyBorder="1" applyAlignment="1">
      <alignment horizontal="right" vertical="center" wrapText="1"/>
    </xf>
    <xf numFmtId="4" fontId="182" fillId="20" borderId="16" xfId="3" applyNumberFormat="1" applyFont="1" applyFill="1" applyBorder="1" applyAlignment="1">
      <alignment horizontal="right" vertical="center" wrapText="1"/>
    </xf>
    <xf numFmtId="4" fontId="182" fillId="58" borderId="16" xfId="3" applyNumberFormat="1" applyFont="1" applyFill="1" applyBorder="1" applyAlignment="1">
      <alignment horizontal="right" vertical="center" wrapText="1"/>
    </xf>
    <xf numFmtId="4" fontId="178" fillId="20" borderId="16" xfId="3" applyNumberFormat="1" applyFont="1" applyFill="1" applyBorder="1" applyAlignment="1">
      <alignment horizontal="right" vertical="center" wrapText="1"/>
    </xf>
    <xf numFmtId="4" fontId="178" fillId="15" borderId="16" xfId="3" applyNumberFormat="1" applyFont="1" applyFill="1" applyBorder="1" applyAlignment="1">
      <alignment horizontal="right" vertical="center" wrapText="1"/>
    </xf>
    <xf numFmtId="4" fontId="179" fillId="0" borderId="16" xfId="3" applyNumberFormat="1" applyFont="1" applyFill="1" applyBorder="1" applyAlignment="1">
      <alignment horizontal="right" vertical="center" wrapText="1"/>
    </xf>
    <xf numFmtId="4" fontId="183" fillId="0" borderId="16" xfId="3" applyNumberFormat="1" applyFont="1" applyFill="1" applyBorder="1" applyAlignment="1">
      <alignment horizontal="right" vertical="center" wrapText="1"/>
    </xf>
    <xf numFmtId="4" fontId="178" fillId="61" borderId="16" xfId="3" applyNumberFormat="1" applyFont="1" applyFill="1" applyBorder="1" applyAlignment="1">
      <alignment horizontal="right" vertical="center" wrapText="1"/>
    </xf>
    <xf numFmtId="4" fontId="163" fillId="16" borderId="16" xfId="3" applyNumberFormat="1" applyFont="1" applyFill="1" applyBorder="1" applyAlignment="1">
      <alignment horizontal="right" vertical="center" wrapText="1"/>
    </xf>
    <xf numFmtId="4" fontId="80" fillId="0" borderId="16" xfId="3" applyNumberFormat="1" applyFont="1" applyFill="1" applyBorder="1" applyAlignment="1">
      <alignment horizontal="right" vertical="center" wrapText="1"/>
    </xf>
    <xf numFmtId="4" fontId="78" fillId="0" borderId="16" xfId="3" applyNumberFormat="1" applyFont="1" applyFill="1" applyBorder="1" applyAlignment="1">
      <alignment horizontal="right" vertical="center" wrapText="1"/>
    </xf>
    <xf numFmtId="4" fontId="184" fillId="0" borderId="16" xfId="3" applyNumberFormat="1" applyFont="1" applyFill="1" applyBorder="1" applyAlignment="1">
      <alignment horizontal="right" vertical="center" wrapText="1"/>
    </xf>
    <xf numFmtId="4" fontId="69" fillId="16" borderId="16" xfId="3" applyNumberFormat="1" applyFont="1" applyFill="1" applyBorder="1" applyAlignment="1">
      <alignment horizontal="right" vertical="center" wrapText="1"/>
    </xf>
    <xf numFmtId="4" fontId="157" fillId="16" borderId="16" xfId="3" applyNumberFormat="1" applyFont="1" applyFill="1" applyBorder="1" applyAlignment="1">
      <alignment horizontal="right" vertical="center" wrapText="1"/>
    </xf>
    <xf numFmtId="4" fontId="185" fillId="0" borderId="19" xfId="3" applyNumberFormat="1" applyFont="1" applyFill="1" applyBorder="1" applyAlignment="1">
      <alignment horizontal="right" vertical="center" wrapText="1"/>
    </xf>
    <xf numFmtId="4" fontId="186" fillId="54" borderId="0" xfId="3" applyNumberFormat="1" applyFont="1" applyFill="1" applyBorder="1" applyAlignment="1">
      <alignment horizontal="right" vertical="center" wrapText="1"/>
    </xf>
    <xf numFmtId="4" fontId="186" fillId="0" borderId="0" xfId="3" applyNumberFormat="1" applyFont="1" applyFill="1" applyBorder="1" applyAlignment="1">
      <alignment horizontal="right" vertical="center" wrapText="1"/>
    </xf>
    <xf numFmtId="4" fontId="178" fillId="0" borderId="0" xfId="3" applyNumberFormat="1" applyFont="1" applyFill="1" applyBorder="1" applyAlignment="1">
      <alignment horizontal="center" vertical="center" wrapText="1"/>
    </xf>
    <xf numFmtId="4" fontId="178" fillId="20" borderId="10" xfId="3" applyNumberFormat="1" applyFont="1" applyFill="1" applyBorder="1" applyAlignment="1">
      <alignment horizontal="right" vertical="center" wrapText="1"/>
    </xf>
    <xf numFmtId="4" fontId="185" fillId="0" borderId="16" xfId="3" applyNumberFormat="1" applyFont="1" applyFill="1" applyBorder="1" applyAlignment="1">
      <alignment horizontal="right" vertical="center" wrapText="1"/>
    </xf>
    <xf numFmtId="4" fontId="178" fillId="0" borderId="19" xfId="3" applyNumberFormat="1" applyFont="1" applyFill="1" applyBorder="1" applyAlignment="1">
      <alignment horizontal="right" vertical="center" wrapText="1"/>
    </xf>
    <xf numFmtId="4" fontId="185" fillId="16" borderId="10" xfId="3" applyNumberFormat="1" applyFont="1" applyFill="1" applyBorder="1" applyAlignment="1">
      <alignment horizontal="right" vertical="center" wrapText="1"/>
    </xf>
    <xf numFmtId="4" fontId="185" fillId="20" borderId="16" xfId="3" applyNumberFormat="1" applyFont="1" applyFill="1" applyBorder="1" applyAlignment="1">
      <alignment horizontal="right" vertical="center" wrapText="1"/>
    </xf>
    <xf numFmtId="4" fontId="187" fillId="0" borderId="16" xfId="3" applyNumberFormat="1" applyFont="1" applyFill="1" applyBorder="1" applyAlignment="1">
      <alignment horizontal="right" vertical="center" wrapText="1"/>
    </xf>
    <xf numFmtId="4" fontId="163" fillId="0" borderId="16" xfId="3" applyNumberFormat="1" applyFont="1" applyFill="1" applyBorder="1" applyAlignment="1">
      <alignment horizontal="right" vertical="center" wrapText="1"/>
    </xf>
    <xf numFmtId="4" fontId="184" fillId="0" borderId="1" xfId="3" applyNumberFormat="1" applyFont="1" applyFill="1" applyBorder="1" applyAlignment="1">
      <alignment horizontal="right" vertical="center" wrapText="1"/>
    </xf>
    <xf numFmtId="4" fontId="187" fillId="0" borderId="1" xfId="3" applyNumberFormat="1" applyFont="1" applyFill="1" applyBorder="1" applyAlignment="1">
      <alignment horizontal="right" vertical="center" wrapText="1"/>
    </xf>
    <xf numFmtId="4" fontId="185" fillId="25" borderId="16" xfId="3" applyNumberFormat="1" applyFont="1" applyFill="1" applyBorder="1" applyAlignment="1">
      <alignment horizontal="right" vertical="center" wrapText="1"/>
    </xf>
    <xf numFmtId="4" fontId="188" fillId="55" borderId="0" xfId="3" applyNumberFormat="1" applyFont="1" applyFill="1" applyAlignment="1">
      <alignment horizontal="right" vertical="center"/>
    </xf>
    <xf numFmtId="0" fontId="189" fillId="0" borderId="0" xfId="3" applyFont="1" applyFill="1" applyAlignment="1">
      <alignment vertical="center"/>
    </xf>
    <xf numFmtId="4" fontId="190" fillId="16" borderId="17" xfId="3" applyNumberFormat="1" applyFont="1" applyFill="1" applyBorder="1" applyAlignment="1">
      <alignment horizontal="right" vertical="center" wrapText="1"/>
    </xf>
    <xf numFmtId="4" fontId="191" fillId="20" borderId="1" xfId="3" applyNumberFormat="1" applyFont="1" applyFill="1" applyBorder="1" applyAlignment="1">
      <alignment horizontal="right" vertical="center" wrapText="1"/>
    </xf>
    <xf numFmtId="4" fontId="192" fillId="0" borderId="1" xfId="3" applyNumberFormat="1" applyFont="1" applyFill="1" applyBorder="1" applyAlignment="1">
      <alignment horizontal="right" vertical="center" wrapText="1"/>
    </xf>
    <xf numFmtId="4" fontId="190" fillId="20" borderId="1" xfId="3" applyNumberFormat="1" applyFont="1" applyFill="1" applyBorder="1" applyAlignment="1">
      <alignment horizontal="right" vertical="center" wrapText="1"/>
    </xf>
    <xf numFmtId="4" fontId="193" fillId="0" borderId="1" xfId="3" applyNumberFormat="1" applyFont="1" applyFill="1" applyBorder="1" applyAlignment="1">
      <alignment horizontal="right" vertical="center" wrapText="1"/>
    </xf>
    <xf numFmtId="4" fontId="194" fillId="0" borderId="1" xfId="3" applyNumberFormat="1" applyFont="1" applyFill="1" applyBorder="1" applyAlignment="1">
      <alignment horizontal="right" vertical="center" wrapText="1"/>
    </xf>
    <xf numFmtId="4" fontId="191" fillId="20" borderId="17" xfId="3" applyNumberFormat="1" applyFont="1" applyFill="1" applyBorder="1" applyAlignment="1">
      <alignment horizontal="right" vertical="center" wrapText="1"/>
    </xf>
    <xf numFmtId="4" fontId="191" fillId="15" borderId="51" xfId="3" applyNumberFormat="1" applyFont="1" applyFill="1" applyBorder="1" applyAlignment="1">
      <alignment horizontal="right" vertical="center" wrapText="1"/>
    </xf>
    <xf numFmtId="4" fontId="191" fillId="17" borderId="1" xfId="3" applyNumberFormat="1" applyFont="1" applyFill="1" applyBorder="1" applyAlignment="1">
      <alignment horizontal="right" vertical="center" wrapText="1"/>
    </xf>
    <xf numFmtId="4" fontId="191" fillId="58" borderId="1" xfId="3" applyNumberFormat="1" applyFont="1" applyFill="1" applyBorder="1" applyAlignment="1">
      <alignment horizontal="right" vertical="center" wrapText="1"/>
    </xf>
    <xf numFmtId="4" fontId="191" fillId="15" borderId="1" xfId="3" applyNumberFormat="1" applyFont="1" applyFill="1" applyBorder="1" applyAlignment="1">
      <alignment horizontal="right" vertical="center" wrapText="1"/>
    </xf>
    <xf numFmtId="4" fontId="191" fillId="61" borderId="1" xfId="3" applyNumberFormat="1" applyFont="1" applyFill="1" applyBorder="1" applyAlignment="1">
      <alignment horizontal="right" vertical="center" wrapText="1"/>
    </xf>
    <xf numFmtId="4" fontId="195" fillId="16" borderId="1" xfId="3" applyNumberFormat="1" applyFont="1" applyFill="1" applyBorder="1" applyAlignment="1">
      <alignment horizontal="right" vertical="center" wrapText="1"/>
    </xf>
    <xf numFmtId="4" fontId="196" fillId="0" borderId="1" xfId="3" applyNumberFormat="1" applyFont="1" applyFill="1" applyBorder="1" applyAlignment="1">
      <alignment horizontal="right" vertical="center" wrapText="1"/>
    </xf>
    <xf numFmtId="4" fontId="197" fillId="0" borderId="1" xfId="3" applyNumberFormat="1" applyFont="1" applyFill="1" applyBorder="1" applyAlignment="1">
      <alignment horizontal="right" vertical="center" wrapText="1"/>
    </xf>
    <xf numFmtId="4" fontId="198" fillId="16" borderId="1" xfId="3" applyNumberFormat="1" applyFont="1" applyFill="1" applyBorder="1" applyAlignment="1">
      <alignment horizontal="right" vertical="center" wrapText="1"/>
    </xf>
    <xf numFmtId="4" fontId="199" fillId="16" borderId="1" xfId="3" applyNumberFormat="1" applyFont="1" applyFill="1" applyBorder="1" applyAlignment="1">
      <alignment horizontal="right" vertical="center" wrapText="1"/>
    </xf>
    <xf numFmtId="4" fontId="60" fillId="0" borderId="0" xfId="3" applyNumberFormat="1" applyFont="1" applyFill="1" applyAlignment="1">
      <alignment horizontal="center" vertical="center" wrapText="1"/>
    </xf>
    <xf numFmtId="4" fontId="108" fillId="63" borderId="0" xfId="3" applyNumberFormat="1" applyFont="1" applyFill="1" applyBorder="1" applyAlignment="1">
      <alignment horizontal="right" vertical="center" wrapText="1"/>
    </xf>
    <xf numFmtId="4" fontId="200" fillId="0" borderId="1" xfId="3" applyNumberFormat="1" applyFont="1" applyFill="1" applyBorder="1" applyAlignment="1">
      <alignment horizontal="right" vertical="center" wrapText="1"/>
    </xf>
    <xf numFmtId="0" fontId="3" fillId="25" borderId="1" xfId="3" applyFont="1" applyFill="1" applyBorder="1" applyAlignment="1">
      <alignment horizontal="center" vertical="center"/>
    </xf>
    <xf numFmtId="0" fontId="51" fillId="25" borderId="1" xfId="3" applyFont="1" applyFill="1" applyBorder="1" applyAlignment="1">
      <alignment horizontal="left" vertical="center" wrapText="1"/>
    </xf>
    <xf numFmtId="0" fontId="153" fillId="25" borderId="1" xfId="3" applyFont="1" applyFill="1" applyBorder="1" applyAlignment="1">
      <alignment horizontal="left" vertical="center" indent="2"/>
    </xf>
    <xf numFmtId="0" fontId="51" fillId="25" borderId="1" xfId="3" applyFont="1" applyFill="1" applyBorder="1" applyAlignment="1">
      <alignment horizontal="left" vertical="center" indent="2"/>
    </xf>
    <xf numFmtId="0" fontId="58" fillId="25" borderId="4" xfId="3" applyFont="1" applyFill="1" applyBorder="1" applyAlignment="1">
      <alignment horizontal="left" vertical="center" wrapText="1" indent="1"/>
    </xf>
    <xf numFmtId="0" fontId="51" fillId="25" borderId="1" xfId="3" applyFont="1" applyFill="1" applyBorder="1" applyAlignment="1">
      <alignment horizontal="left" vertical="center" wrapText="1" indent="2"/>
    </xf>
    <xf numFmtId="0" fontId="51" fillId="25" borderId="1" xfId="3" applyFont="1" applyFill="1" applyBorder="1" applyAlignment="1">
      <alignment horizontal="left" vertical="center" wrapText="1" indent="1"/>
    </xf>
    <xf numFmtId="0" fontId="51" fillId="25" borderId="1" xfId="3" applyNumberFormat="1" applyFont="1" applyFill="1" applyBorder="1" applyAlignment="1">
      <alignment horizontal="left" vertical="center" wrapText="1" indent="1"/>
    </xf>
    <xf numFmtId="49" fontId="51" fillId="25" borderId="2" xfId="3" applyNumberFormat="1" applyFont="1" applyFill="1" applyBorder="1" applyAlignment="1">
      <alignment horizontal="left" vertical="center" wrapText="1" indent="2"/>
    </xf>
    <xf numFmtId="4" fontId="179" fillId="25" borderId="16" xfId="3" applyNumberFormat="1" applyFont="1" applyFill="1" applyBorder="1" applyAlignment="1">
      <alignment horizontal="right" vertical="center" wrapText="1"/>
    </xf>
    <xf numFmtId="4" fontId="51" fillId="25" borderId="1" xfId="3" applyNumberFormat="1" applyFont="1" applyFill="1" applyBorder="1" applyAlignment="1">
      <alignment horizontal="right" vertical="center" wrapText="1"/>
    </xf>
    <xf numFmtId="4" fontId="200" fillId="25" borderId="1" xfId="3" applyNumberFormat="1" applyFont="1" applyFill="1" applyBorder="1" applyAlignment="1">
      <alignment horizontal="right" vertical="center" wrapText="1"/>
    </xf>
    <xf numFmtId="4" fontId="192" fillId="25" borderId="1" xfId="3" applyNumberFormat="1" applyFont="1" applyFill="1" applyBorder="1" applyAlignment="1">
      <alignment horizontal="right" vertical="center" wrapText="1"/>
    </xf>
    <xf numFmtId="4" fontId="0" fillId="64" borderId="13" xfId="0" applyNumberFormat="1" applyFill="1" applyBorder="1" applyAlignment="1">
      <alignment horizontal="right" vertical="center" wrapText="1"/>
    </xf>
    <xf numFmtId="4" fontId="51" fillId="25" borderId="16" xfId="3" applyNumberFormat="1" applyFont="1" applyFill="1" applyBorder="1" applyAlignment="1">
      <alignment horizontal="right" vertical="center" wrapText="1"/>
    </xf>
    <xf numFmtId="0" fontId="35" fillId="25" borderId="0" xfId="1" applyFill="1" applyAlignment="1">
      <alignment horizontal="left" vertical="center" indent="2"/>
    </xf>
    <xf numFmtId="4" fontId="10" fillId="25" borderId="1" xfId="3" applyNumberFormat="1" applyFont="1" applyFill="1" applyBorder="1" applyAlignment="1">
      <alignment horizontal="left" vertical="center" wrapText="1"/>
    </xf>
    <xf numFmtId="0" fontId="51" fillId="25" borderId="0" xfId="3" applyFont="1" applyFill="1" applyAlignment="1">
      <alignment horizontal="left" vertical="center" indent="2"/>
    </xf>
    <xf numFmtId="4" fontId="52" fillId="25" borderId="16" xfId="3" applyNumberFormat="1" applyFont="1" applyFill="1" applyBorder="1" applyAlignment="1">
      <alignment horizontal="right" vertical="center" wrapText="1"/>
    </xf>
    <xf numFmtId="4" fontId="52" fillId="25" borderId="1" xfId="3" applyNumberFormat="1" applyFont="1" applyFill="1" applyBorder="1" applyAlignment="1">
      <alignment horizontal="right" vertical="center" wrapText="1"/>
    </xf>
    <xf numFmtId="4" fontId="52" fillId="25" borderId="13" xfId="3" applyNumberFormat="1" applyFont="1" applyFill="1" applyBorder="1" applyAlignment="1">
      <alignment horizontal="right" vertical="center" wrapText="1"/>
    </xf>
    <xf numFmtId="4" fontId="52" fillId="25" borderId="0" xfId="3" applyNumberFormat="1" applyFont="1" applyFill="1" applyBorder="1" applyAlignment="1">
      <alignment horizontal="right" vertical="center" wrapText="1"/>
    </xf>
    <xf numFmtId="4" fontId="108" fillId="25" borderId="0" xfId="3" applyNumberFormat="1" applyFont="1" applyFill="1" applyBorder="1" applyAlignment="1">
      <alignment horizontal="right" vertical="center" wrapText="1"/>
    </xf>
    <xf numFmtId="4" fontId="52" fillId="25" borderId="2" xfId="3" applyNumberFormat="1" applyFont="1" applyFill="1" applyBorder="1" applyAlignment="1">
      <alignment horizontal="right" vertical="center" wrapText="1"/>
    </xf>
    <xf numFmtId="4" fontId="72" fillId="9" borderId="1" xfId="3" applyNumberFormat="1" applyFont="1" applyFill="1" applyBorder="1" applyAlignment="1">
      <alignment horizontal="left" vertical="center" wrapText="1"/>
    </xf>
    <xf numFmtId="0" fontId="148" fillId="25" borderId="1" xfId="3" applyFont="1" applyFill="1" applyBorder="1" applyAlignment="1">
      <alignment vertical="top"/>
    </xf>
    <xf numFmtId="0" fontId="148" fillId="0" borderId="0" xfId="3" applyFont="1" applyFill="1" applyAlignment="1">
      <alignment vertical="center"/>
    </xf>
    <xf numFmtId="4" fontId="203" fillId="20" borderId="1" xfId="3" applyNumberFormat="1" applyFont="1" applyFill="1" applyBorder="1" applyAlignment="1">
      <alignment horizontal="right" vertical="center" wrapText="1"/>
    </xf>
    <xf numFmtId="4" fontId="204" fillId="3" borderId="1" xfId="3" applyNumberFormat="1" applyFont="1" applyFill="1" applyBorder="1" applyAlignment="1">
      <alignment horizontal="right" vertical="center" wrapText="1"/>
    </xf>
    <xf numFmtId="4" fontId="203" fillId="6" borderId="40" xfId="3" applyNumberFormat="1" applyFont="1" applyFill="1" applyBorder="1" applyAlignment="1">
      <alignment horizontal="right" vertical="top" wrapText="1"/>
    </xf>
    <xf numFmtId="43" fontId="205" fillId="0" borderId="0" xfId="25" applyFont="1" applyFill="1" applyAlignment="1">
      <alignment vertical="center"/>
    </xf>
    <xf numFmtId="0" fontId="205" fillId="0" borderId="0" xfId="3" applyFont="1" applyFill="1" applyAlignment="1">
      <alignment vertical="center"/>
    </xf>
    <xf numFmtId="0" fontId="206" fillId="0" borderId="0" xfId="3" applyFont="1" applyFill="1" applyAlignment="1">
      <alignment vertical="center"/>
    </xf>
    <xf numFmtId="0" fontId="208" fillId="3" borderId="1" xfId="3" applyFont="1" applyFill="1" applyBorder="1" applyAlignment="1">
      <alignment horizontal="center" vertical="center" wrapText="1"/>
    </xf>
    <xf numFmtId="0" fontId="205" fillId="0" borderId="1" xfId="3" applyFont="1" applyFill="1" applyBorder="1" applyAlignment="1">
      <alignment horizontal="center" vertical="center"/>
    </xf>
    <xf numFmtId="4" fontId="203" fillId="15" borderId="1" xfId="3" applyNumberFormat="1" applyFont="1" applyFill="1" applyBorder="1" applyAlignment="1">
      <alignment horizontal="right" vertical="center" wrapText="1"/>
    </xf>
    <xf numFmtId="4" fontId="203" fillId="17" borderId="1" xfId="3" applyNumberFormat="1" applyFont="1" applyFill="1" applyBorder="1" applyAlignment="1">
      <alignment horizontal="right" vertical="center" wrapText="1"/>
    </xf>
    <xf numFmtId="4" fontId="203" fillId="58" borderId="1" xfId="3" applyNumberFormat="1" applyFont="1" applyFill="1" applyBorder="1" applyAlignment="1">
      <alignment horizontal="right" vertical="center" wrapText="1"/>
    </xf>
    <xf numFmtId="4" fontId="203" fillId="20" borderId="16" xfId="3" applyNumberFormat="1" applyFont="1" applyFill="1" applyBorder="1" applyAlignment="1">
      <alignment horizontal="right" vertical="center" wrapText="1"/>
    </xf>
    <xf numFmtId="4" fontId="203" fillId="61" borderId="1" xfId="3" applyNumberFormat="1" applyFont="1" applyFill="1" applyBorder="1" applyAlignment="1">
      <alignment horizontal="right" vertical="center" wrapText="1"/>
    </xf>
    <xf numFmtId="4" fontId="204" fillId="16" borderId="1" xfId="3" applyNumberFormat="1" applyFont="1" applyFill="1" applyBorder="1" applyAlignment="1">
      <alignment horizontal="right" vertical="center" wrapText="1"/>
    </xf>
    <xf numFmtId="4" fontId="209" fillId="3" borderId="1" xfId="3" applyNumberFormat="1" applyFont="1" applyFill="1" applyBorder="1" applyAlignment="1">
      <alignment horizontal="right" vertical="center" wrapText="1"/>
    </xf>
    <xf numFmtId="4" fontId="204" fillId="25" borderId="1" xfId="3" applyNumberFormat="1" applyFont="1" applyFill="1" applyBorder="1" applyAlignment="1">
      <alignment horizontal="right" vertical="center" wrapText="1"/>
    </xf>
    <xf numFmtId="4" fontId="203" fillId="0" borderId="0" xfId="3" applyNumberFormat="1" applyFont="1" applyFill="1" applyBorder="1" applyAlignment="1">
      <alignment horizontal="right" vertical="center" wrapText="1"/>
    </xf>
    <xf numFmtId="4" fontId="210" fillId="0" borderId="0" xfId="3" applyNumberFormat="1" applyFont="1" applyFill="1" applyBorder="1" applyAlignment="1">
      <alignment horizontal="right" vertical="center" wrapText="1"/>
    </xf>
    <xf numFmtId="174" fontId="210" fillId="0" borderId="0" xfId="3" applyNumberFormat="1" applyFont="1" applyFill="1" applyBorder="1" applyAlignment="1">
      <alignment horizontal="right" vertical="center" wrapText="1"/>
    </xf>
    <xf numFmtId="4" fontId="207" fillId="0" borderId="0" xfId="3" applyNumberFormat="1" applyFont="1" applyFill="1" applyBorder="1" applyAlignment="1">
      <alignment horizontal="right" vertical="center" wrapText="1"/>
    </xf>
    <xf numFmtId="4" fontId="203" fillId="0" borderId="0" xfId="3" applyNumberFormat="1" applyFont="1" applyFill="1" applyBorder="1" applyAlignment="1">
      <alignment horizontal="center" vertical="center" wrapText="1"/>
    </xf>
    <xf numFmtId="0" fontId="206" fillId="0" borderId="0" xfId="3" applyFont="1" applyFill="1" applyAlignment="1">
      <alignment horizontal="center" vertical="center"/>
    </xf>
    <xf numFmtId="4" fontId="203" fillId="20" borderId="2" xfId="3" applyNumberFormat="1" applyFont="1" applyFill="1" applyBorder="1" applyAlignment="1">
      <alignment horizontal="right" vertical="center" wrapText="1"/>
    </xf>
    <xf numFmtId="4" fontId="204" fillId="3" borderId="2" xfId="3" applyNumberFormat="1" applyFont="1" applyFill="1" applyBorder="1" applyAlignment="1">
      <alignment horizontal="right" vertical="center" wrapText="1"/>
    </xf>
    <xf numFmtId="43" fontId="206" fillId="0" borderId="0" xfId="25" applyFont="1" applyFill="1" applyAlignment="1">
      <alignment vertical="center"/>
    </xf>
    <xf numFmtId="0" fontId="208" fillId="3" borderId="2" xfId="3" applyFont="1" applyFill="1" applyBorder="1" applyAlignment="1">
      <alignment horizontal="center" vertical="center" wrapText="1"/>
    </xf>
    <xf numFmtId="0" fontId="205" fillId="0" borderId="2" xfId="3" applyFont="1" applyFill="1" applyBorder="1" applyAlignment="1">
      <alignment horizontal="center" vertical="center"/>
    </xf>
    <xf numFmtId="4" fontId="203" fillId="15" borderId="2" xfId="3" applyNumberFormat="1" applyFont="1" applyFill="1" applyBorder="1" applyAlignment="1">
      <alignment horizontal="right" vertical="center" wrapText="1"/>
    </xf>
    <xf numFmtId="4" fontId="203" fillId="17" borderId="2" xfId="3" applyNumberFormat="1" applyFont="1" applyFill="1" applyBorder="1" applyAlignment="1">
      <alignment horizontal="right" vertical="center" wrapText="1"/>
    </xf>
    <xf numFmtId="4" fontId="203" fillId="58" borderId="2" xfId="3" applyNumberFormat="1" applyFont="1" applyFill="1" applyBorder="1" applyAlignment="1">
      <alignment horizontal="right" vertical="center" wrapText="1"/>
    </xf>
    <xf numFmtId="4" fontId="203" fillId="61" borderId="2" xfId="3" applyNumberFormat="1" applyFont="1" applyFill="1" applyBorder="1" applyAlignment="1">
      <alignment horizontal="right" vertical="center" wrapText="1"/>
    </xf>
    <xf numFmtId="4" fontId="204" fillId="16" borderId="2" xfId="3" applyNumberFormat="1" applyFont="1" applyFill="1" applyBorder="1" applyAlignment="1">
      <alignment horizontal="right" vertical="center" wrapText="1"/>
    </xf>
    <xf numFmtId="4" fontId="209" fillId="3" borderId="2" xfId="3" applyNumberFormat="1" applyFont="1" applyFill="1" applyBorder="1" applyAlignment="1">
      <alignment horizontal="right" vertical="center" wrapText="1"/>
    </xf>
    <xf numFmtId="4" fontId="204" fillId="25" borderId="2" xfId="3" applyNumberFormat="1" applyFont="1" applyFill="1" applyBorder="1" applyAlignment="1">
      <alignment horizontal="right" vertical="center" wrapText="1"/>
    </xf>
    <xf numFmtId="4" fontId="42" fillId="15" borderId="1" xfId="3" applyNumberFormat="1" applyFont="1" applyFill="1" applyBorder="1" applyAlignment="1">
      <alignment horizontal="right" vertical="center" wrapText="1"/>
    </xf>
    <xf numFmtId="4" fontId="118" fillId="21" borderId="16" xfId="3" applyNumberFormat="1" applyFont="1" applyFill="1" applyBorder="1" applyAlignment="1">
      <alignment horizontal="right" vertical="center" wrapText="1"/>
    </xf>
    <xf numFmtId="4" fontId="118" fillId="21" borderId="1" xfId="3" applyNumberFormat="1" applyFont="1" applyFill="1" applyBorder="1" applyAlignment="1">
      <alignment horizontal="right" vertical="center" wrapText="1"/>
    </xf>
    <xf numFmtId="4" fontId="118" fillId="19" borderId="16" xfId="3" applyNumberFormat="1" applyFont="1" applyFill="1" applyBorder="1" applyAlignment="1">
      <alignment horizontal="right" vertical="center" wrapText="1"/>
    </xf>
    <xf numFmtId="4" fontId="118" fillId="19" borderId="1" xfId="3" applyNumberFormat="1" applyFont="1" applyFill="1" applyBorder="1" applyAlignment="1">
      <alignment horizontal="right" vertical="center" wrapText="1"/>
    </xf>
    <xf numFmtId="4" fontId="118" fillId="17" borderId="16" xfId="3" applyNumberFormat="1" applyFont="1" applyFill="1" applyBorder="1" applyAlignment="1">
      <alignment horizontal="right" vertical="center" wrapText="1"/>
    </xf>
    <xf numFmtId="4" fontId="118" fillId="17" borderId="1" xfId="3" applyNumberFormat="1" applyFont="1" applyFill="1" applyBorder="1" applyAlignment="1">
      <alignment horizontal="right" vertical="center" wrapText="1"/>
    </xf>
    <xf numFmtId="4" fontId="118" fillId="22" borderId="16" xfId="3" applyNumberFormat="1" applyFont="1" applyFill="1" applyBorder="1" applyAlignment="1">
      <alignment horizontal="right" vertical="center" wrapText="1"/>
    </xf>
    <xf numFmtId="4" fontId="118" fillId="22" borderId="1" xfId="3" applyNumberFormat="1" applyFont="1" applyFill="1" applyBorder="1" applyAlignment="1">
      <alignment horizontal="right" vertical="center" wrapText="1"/>
    </xf>
    <xf numFmtId="4" fontId="118" fillId="23" borderId="1" xfId="3" applyNumberFormat="1" applyFont="1" applyFill="1" applyBorder="1" applyAlignment="1">
      <alignment horizontal="right" vertical="center" wrapText="1"/>
    </xf>
    <xf numFmtId="4" fontId="118" fillId="23" borderId="2" xfId="3" applyNumberFormat="1" applyFont="1" applyFill="1" applyBorder="1" applyAlignment="1">
      <alignment horizontal="right" vertical="center" wrapText="1"/>
    </xf>
    <xf numFmtId="4" fontId="118" fillId="24" borderId="1" xfId="3" applyNumberFormat="1" applyFont="1" applyFill="1" applyBorder="1" applyAlignment="1">
      <alignment horizontal="right" vertical="center" wrapText="1"/>
    </xf>
    <xf numFmtId="0" fontId="153" fillId="55" borderId="1" xfId="3" applyFont="1" applyFill="1" applyBorder="1" applyAlignment="1">
      <alignment vertical="top" wrapText="1"/>
    </xf>
    <xf numFmtId="0" fontId="211" fillId="55" borderId="1" xfId="3" applyFont="1" applyFill="1" applyBorder="1" applyAlignment="1">
      <alignment vertical="top" wrapText="1"/>
    </xf>
    <xf numFmtId="0" fontId="213" fillId="55" borderId="1" xfId="3" applyFont="1" applyFill="1" applyBorder="1" applyAlignment="1">
      <alignment vertical="top"/>
    </xf>
    <xf numFmtId="0" fontId="211" fillId="55" borderId="1" xfId="3" applyFont="1" applyFill="1" applyBorder="1" applyAlignment="1">
      <alignment vertical="top"/>
    </xf>
    <xf numFmtId="0" fontId="151" fillId="0" borderId="1" xfId="3" applyFont="1" applyFill="1" applyBorder="1" applyAlignment="1">
      <alignment vertical="top" wrapText="1"/>
    </xf>
    <xf numFmtId="0" fontId="151" fillId="55" borderId="1" xfId="3" applyFont="1" applyFill="1" applyBorder="1" applyAlignment="1">
      <alignment vertical="top"/>
    </xf>
    <xf numFmtId="0" fontId="153" fillId="55" borderId="1" xfId="3" applyFont="1" applyFill="1" applyBorder="1" applyAlignment="1">
      <alignment vertical="top"/>
    </xf>
    <xf numFmtId="0" fontId="153" fillId="0" borderId="1" xfId="3" applyFont="1" applyFill="1" applyBorder="1" applyAlignment="1">
      <alignment vertical="top" wrapText="1"/>
    </xf>
    <xf numFmtId="0" fontId="151" fillId="55" borderId="1" xfId="3" applyFont="1" applyFill="1" applyBorder="1" applyAlignment="1">
      <alignment vertical="top" wrapText="1"/>
    </xf>
    <xf numFmtId="4" fontId="118" fillId="3" borderId="1" xfId="3" applyNumberFormat="1" applyFont="1" applyFill="1" applyBorder="1" applyAlignment="1">
      <alignment horizontal="right" vertical="center" wrapText="1"/>
    </xf>
    <xf numFmtId="4" fontId="118" fillId="3" borderId="2" xfId="3" applyNumberFormat="1" applyFont="1" applyFill="1" applyBorder="1" applyAlignment="1">
      <alignment horizontal="right" vertical="center" wrapText="1"/>
    </xf>
    <xf numFmtId="4" fontId="214" fillId="20" borderId="0" xfId="3" applyNumberFormat="1" applyFont="1" applyFill="1" applyBorder="1" applyAlignment="1">
      <alignment horizontal="right" vertical="center" wrapText="1"/>
    </xf>
    <xf numFmtId="4" fontId="214" fillId="0" borderId="0" xfId="3" applyNumberFormat="1" applyFont="1" applyFill="1" applyBorder="1" applyAlignment="1">
      <alignment horizontal="right" vertical="center" wrapText="1"/>
    </xf>
    <xf numFmtId="4" fontId="214" fillId="6" borderId="40" xfId="3" applyNumberFormat="1" applyFont="1" applyFill="1" applyBorder="1" applyAlignment="1">
      <alignment horizontal="right" vertical="top" wrapText="1"/>
    </xf>
    <xf numFmtId="0" fontId="214" fillId="0" borderId="0" xfId="3" applyFont="1" applyFill="1" applyBorder="1" applyAlignment="1">
      <alignment vertical="center" wrapText="1"/>
    </xf>
    <xf numFmtId="0" fontId="214" fillId="54" borderId="0" xfId="3" applyFont="1" applyFill="1" applyBorder="1" applyAlignment="1">
      <alignment horizontal="center" vertical="center" wrapText="1"/>
    </xf>
    <xf numFmtId="49" fontId="214" fillId="0" borderId="0" xfId="3" applyNumberFormat="1" applyFont="1" applyFill="1" applyBorder="1" applyAlignment="1">
      <alignment horizontal="center" vertical="center" wrapText="1"/>
    </xf>
    <xf numFmtId="0" fontId="214" fillId="0" borderId="0" xfId="3" applyFont="1" applyFill="1" applyBorder="1" applyAlignment="1">
      <alignment horizontal="center" vertical="center" wrapText="1"/>
    </xf>
    <xf numFmtId="0" fontId="28" fillId="0" borderId="1" xfId="3" applyFont="1" applyFill="1" applyBorder="1" applyAlignment="1">
      <alignment horizontal="center" vertical="center" wrapText="1"/>
    </xf>
    <xf numFmtId="0" fontId="33" fillId="0" borderId="1" xfId="3" applyFont="1" applyFill="1" applyBorder="1" applyAlignment="1">
      <alignment horizontal="center" vertical="center" wrapText="1"/>
    </xf>
    <xf numFmtId="0" fontId="28" fillId="0" borderId="1" xfId="3" applyFont="1" applyFill="1" applyBorder="1" applyAlignment="1">
      <alignment horizontal="center" vertical="center" wrapText="1"/>
    </xf>
    <xf numFmtId="0" fontId="33" fillId="0" borderId="1" xfId="3" applyFont="1" applyFill="1" applyBorder="1" applyAlignment="1">
      <alignment horizontal="center" vertical="center" wrapText="1"/>
    </xf>
    <xf numFmtId="0" fontId="137" fillId="0" borderId="1" xfId="97" applyFont="1" applyFill="1" applyBorder="1" applyAlignment="1">
      <alignment horizontal="center" vertical="center" wrapText="1"/>
    </xf>
    <xf numFmtId="49" fontId="137" fillId="0" borderId="1" xfId="97" applyNumberFormat="1" applyFont="1" applyFill="1" applyBorder="1" applyAlignment="1">
      <alignment horizontal="center" vertical="center" wrapText="1"/>
    </xf>
    <xf numFmtId="4" fontId="137" fillId="0" borderId="1" xfId="97" applyNumberFormat="1" applyFont="1" applyFill="1" applyBorder="1" applyAlignment="1">
      <alignment horizontal="right" vertical="center" wrapText="1"/>
    </xf>
    <xf numFmtId="4" fontId="33" fillId="0" borderId="1" xfId="97" applyNumberFormat="1" applyFont="1" applyFill="1" applyBorder="1" applyAlignment="1">
      <alignment horizontal="right" vertical="center" wrapText="1"/>
    </xf>
    <xf numFmtId="0" fontId="125" fillId="0" borderId="0" xfId="98" applyFont="1"/>
    <xf numFmtId="0" fontId="57" fillId="0" borderId="0" xfId="98"/>
    <xf numFmtId="0" fontId="36" fillId="0" borderId="0" xfId="98" applyFont="1"/>
    <xf numFmtId="0" fontId="33" fillId="0" borderId="0" xfId="0" applyFont="1"/>
    <xf numFmtId="0" fontId="28" fillId="0" borderId="1" xfId="3" applyFont="1" applyFill="1" applyBorder="1" applyAlignment="1">
      <alignment horizontal="center" vertical="center" wrapText="1"/>
    </xf>
    <xf numFmtId="0" fontId="33" fillId="0" borderId="1" xfId="3" applyFont="1" applyFill="1" applyBorder="1" applyAlignment="1">
      <alignment horizontal="center" vertical="center" wrapText="1"/>
    </xf>
    <xf numFmtId="0" fontId="5" fillId="0" borderId="3" xfId="3" applyFont="1" applyFill="1" applyBorder="1" applyAlignment="1">
      <alignment horizontal="right" vertical="center" wrapText="1"/>
    </xf>
    <xf numFmtId="0" fontId="218" fillId="55" borderId="1" xfId="3" applyFont="1" applyFill="1" applyBorder="1" applyAlignment="1">
      <alignment vertical="top" wrapText="1"/>
    </xf>
    <xf numFmtId="0" fontId="218" fillId="25" borderId="1" xfId="3" applyFont="1" applyFill="1" applyBorder="1" applyAlignment="1">
      <alignment vertical="top"/>
    </xf>
    <xf numFmtId="0" fontId="33" fillId="0" borderId="1" xfId="3" applyFont="1" applyFill="1" applyBorder="1" applyAlignment="1">
      <alignment horizontal="center" vertical="center" wrapText="1"/>
    </xf>
    <xf numFmtId="0" fontId="28" fillId="0" borderId="1" xfId="3" applyFont="1" applyFill="1" applyBorder="1" applyAlignment="1">
      <alignment horizontal="center" vertical="center" wrapText="1"/>
    </xf>
    <xf numFmtId="0" fontId="152" fillId="20" borderId="1" xfId="3" applyFont="1" applyFill="1" applyBorder="1" applyAlignment="1">
      <alignment horizontal="center" vertical="center" wrapText="1"/>
    </xf>
    <xf numFmtId="0" fontId="152" fillId="15" borderId="1" xfId="3" applyFont="1" applyFill="1" applyBorder="1" applyAlignment="1">
      <alignment horizontal="center" vertical="center" wrapText="1"/>
    </xf>
    <xf numFmtId="0" fontId="33" fillId="0" borderId="1" xfId="3" applyFont="1" applyFill="1" applyBorder="1" applyAlignment="1">
      <alignment horizontal="center" vertical="center" wrapText="1"/>
    </xf>
    <xf numFmtId="0" fontId="28" fillId="0" borderId="1" xfId="3" applyFont="1" applyFill="1" applyBorder="1" applyAlignment="1">
      <alignment horizontal="center" vertical="center" wrapText="1"/>
    </xf>
    <xf numFmtId="0" fontId="33" fillId="0" borderId="1" xfId="3" applyFont="1" applyFill="1" applyBorder="1" applyAlignment="1">
      <alignment horizontal="center" vertical="center" wrapText="1"/>
    </xf>
    <xf numFmtId="0" fontId="28" fillId="0" borderId="1" xfId="3" applyFont="1" applyFill="1" applyBorder="1" applyAlignment="1">
      <alignment horizontal="center" vertical="center" wrapText="1"/>
    </xf>
    <xf numFmtId="4" fontId="14" fillId="0" borderId="3" xfId="3" applyNumberFormat="1" applyFont="1" applyFill="1" applyBorder="1" applyAlignment="1">
      <alignment vertical="center"/>
    </xf>
    <xf numFmtId="0" fontId="14" fillId="0" borderId="3" xfId="3" applyFont="1" applyFill="1" applyBorder="1" applyAlignment="1">
      <alignment vertical="center"/>
    </xf>
    <xf numFmtId="4" fontId="14" fillId="0" borderId="4" xfId="3" applyNumberFormat="1" applyFont="1" applyFill="1" applyBorder="1" applyAlignment="1">
      <alignment vertical="center"/>
    </xf>
    <xf numFmtId="0" fontId="166" fillId="0" borderId="2" xfId="3" applyFont="1" applyFill="1" applyBorder="1" applyAlignment="1">
      <alignment horizontal="center" vertical="center"/>
    </xf>
    <xf numFmtId="0" fontId="33" fillId="0" borderId="1" xfId="3" applyFont="1" applyFill="1" applyBorder="1" applyAlignment="1">
      <alignment horizontal="justify" vertical="center" wrapText="1"/>
    </xf>
    <xf numFmtId="0" fontId="5" fillId="0" borderId="3" xfId="3" applyFont="1" applyFill="1" applyBorder="1" applyAlignment="1">
      <alignment horizontal="right" vertical="center" wrapText="1"/>
    </xf>
    <xf numFmtId="0" fontId="218" fillId="0" borderId="1" xfId="3" applyFont="1" applyFill="1" applyBorder="1" applyAlignment="1">
      <alignment horizontal="center" vertical="center"/>
    </xf>
    <xf numFmtId="0" fontId="7" fillId="57" borderId="4" xfId="3" applyFont="1" applyFill="1" applyBorder="1" applyAlignment="1">
      <alignment horizontal="center" vertical="center" wrapText="1"/>
    </xf>
    <xf numFmtId="4" fontId="204" fillId="3" borderId="4" xfId="3" applyNumberFormat="1" applyFont="1" applyFill="1" applyBorder="1" applyAlignment="1">
      <alignment horizontal="right" vertical="center" wrapText="1"/>
    </xf>
    <xf numFmtId="4" fontId="5" fillId="15" borderId="57" xfId="3" applyNumberFormat="1" applyFont="1" applyFill="1" applyBorder="1" applyAlignment="1">
      <alignment horizontal="right" vertical="center" wrapText="1"/>
    </xf>
    <xf numFmtId="4" fontId="52" fillId="21" borderId="41" xfId="3" applyNumberFormat="1" applyFont="1" applyFill="1" applyBorder="1" applyAlignment="1">
      <alignment horizontal="right" vertical="center" wrapText="1"/>
    </xf>
    <xf numFmtId="4" fontId="221" fillId="9" borderId="17" xfId="3" applyNumberFormat="1" applyFont="1" applyFill="1" applyBorder="1" applyAlignment="1">
      <alignment horizontal="right" vertical="center" wrapText="1"/>
    </xf>
    <xf numFmtId="4" fontId="223" fillId="9" borderId="1" xfId="3" applyNumberFormat="1" applyFont="1" applyFill="1" applyBorder="1" applyAlignment="1">
      <alignment horizontal="right" vertical="center" wrapText="1"/>
    </xf>
    <xf numFmtId="4" fontId="224" fillId="9" borderId="20" xfId="3" applyNumberFormat="1" applyFont="1" applyFill="1" applyBorder="1" applyAlignment="1">
      <alignment horizontal="right" vertical="center" wrapText="1"/>
    </xf>
    <xf numFmtId="0" fontId="220" fillId="9" borderId="10" xfId="3" applyFont="1" applyFill="1" applyBorder="1" applyAlignment="1">
      <alignment horizontal="left" vertical="center"/>
    </xf>
    <xf numFmtId="0" fontId="222" fillId="9" borderId="16" xfId="3" applyFont="1" applyFill="1" applyBorder="1" applyAlignment="1">
      <alignment horizontal="left" vertical="center"/>
    </xf>
    <xf numFmtId="0" fontId="220" fillId="9" borderId="19" xfId="3" applyFont="1" applyFill="1" applyBorder="1" applyAlignment="1">
      <alignment horizontal="left" vertical="center"/>
    </xf>
    <xf numFmtId="0" fontId="26" fillId="0" borderId="1" xfId="3" applyFont="1" applyFill="1" applyBorder="1" applyAlignment="1">
      <alignment horizontal="justify" vertical="center" wrapText="1"/>
    </xf>
    <xf numFmtId="4" fontId="26" fillId="0" borderId="7" xfId="97" applyNumberFormat="1" applyFont="1" applyFill="1" applyBorder="1" applyAlignment="1">
      <alignment horizontal="justify" vertical="center" wrapText="1"/>
    </xf>
    <xf numFmtId="0" fontId="149" fillId="0" borderId="0" xfId="3" applyFont="1" applyFill="1" applyAlignment="1">
      <alignment horizontal="center" vertical="center"/>
    </xf>
    <xf numFmtId="49" fontId="7" fillId="20" borderId="2" xfId="3" applyNumberFormat="1" applyFont="1" applyFill="1" applyBorder="1" applyAlignment="1">
      <alignment horizontal="left" vertical="center" wrapText="1"/>
    </xf>
    <xf numFmtId="0" fontId="218" fillId="16" borderId="1" xfId="3" applyFont="1" applyFill="1" applyBorder="1" applyAlignment="1">
      <alignment horizontal="center" vertical="center"/>
    </xf>
    <xf numFmtId="0" fontId="148" fillId="16" borderId="1" xfId="3" applyFont="1" applyFill="1" applyBorder="1" applyAlignment="1">
      <alignment vertical="top"/>
    </xf>
    <xf numFmtId="0" fontId="7" fillId="16" borderId="1" xfId="3" applyFont="1" applyFill="1" applyBorder="1" applyAlignment="1">
      <alignment horizontal="center" vertical="center" wrapText="1"/>
    </xf>
    <xf numFmtId="4" fontId="5" fillId="16" borderId="17" xfId="3" applyNumberFormat="1" applyFont="1" applyFill="1" applyBorder="1" applyAlignment="1">
      <alignment horizontal="right" vertical="center" wrapText="1"/>
    </xf>
    <xf numFmtId="4" fontId="191" fillId="16" borderId="17" xfId="3" applyNumberFormat="1" applyFont="1" applyFill="1" applyBorder="1" applyAlignment="1">
      <alignment horizontal="right" vertical="center" wrapText="1"/>
    </xf>
    <xf numFmtId="4" fontId="0" fillId="29" borderId="18" xfId="0" applyNumberFormat="1" applyFill="1" applyBorder="1" applyAlignment="1">
      <alignment horizontal="right" vertical="center" wrapText="1"/>
    </xf>
    <xf numFmtId="4" fontId="5" fillId="16" borderId="10" xfId="3" applyNumberFormat="1" applyFont="1" applyFill="1" applyBorder="1" applyAlignment="1">
      <alignment horizontal="right" vertical="center" wrapText="1"/>
    </xf>
    <xf numFmtId="4" fontId="5" fillId="16" borderId="23" xfId="3" applyNumberFormat="1" applyFont="1" applyFill="1" applyBorder="1" applyAlignment="1">
      <alignment horizontal="right" vertical="center" wrapText="1"/>
    </xf>
    <xf numFmtId="4" fontId="203" fillId="16" borderId="1" xfId="3" applyNumberFormat="1" applyFont="1" applyFill="1" applyBorder="1" applyAlignment="1">
      <alignment horizontal="right" vertical="center" wrapText="1"/>
    </xf>
    <xf numFmtId="4" fontId="203" fillId="16" borderId="2" xfId="3" applyNumberFormat="1" applyFont="1" applyFill="1" applyBorder="1" applyAlignment="1">
      <alignment horizontal="right" vertical="center" wrapText="1"/>
    </xf>
    <xf numFmtId="4" fontId="225" fillId="21" borderId="1" xfId="3" applyNumberFormat="1" applyFont="1" applyFill="1" applyBorder="1" applyAlignment="1">
      <alignment horizontal="right" vertical="center" wrapText="1"/>
    </xf>
    <xf numFmtId="4" fontId="225" fillId="3" borderId="1" xfId="3" applyNumberFormat="1" applyFont="1" applyFill="1" applyBorder="1" applyAlignment="1">
      <alignment horizontal="right" vertical="center" wrapText="1"/>
    </xf>
    <xf numFmtId="4" fontId="225" fillId="3" borderId="2" xfId="3" applyNumberFormat="1" applyFont="1" applyFill="1" applyBorder="1" applyAlignment="1">
      <alignment horizontal="right" vertical="center" wrapText="1"/>
    </xf>
    <xf numFmtId="4" fontId="225" fillId="19" borderId="16" xfId="3" applyNumberFormat="1" applyFont="1" applyFill="1" applyBorder="1" applyAlignment="1">
      <alignment horizontal="right" vertical="center" wrapText="1"/>
    </xf>
    <xf numFmtId="4" fontId="225" fillId="23" borderId="1" xfId="3" applyNumberFormat="1" applyFont="1" applyFill="1" applyBorder="1" applyAlignment="1">
      <alignment horizontal="right" vertical="center" wrapText="1"/>
    </xf>
    <xf numFmtId="4" fontId="225" fillId="19" borderId="1" xfId="3" applyNumberFormat="1" applyFont="1" applyFill="1" applyBorder="1" applyAlignment="1">
      <alignment horizontal="right" vertical="center" wrapText="1"/>
    </xf>
    <xf numFmtId="4" fontId="225" fillId="23" borderId="2" xfId="3" applyNumberFormat="1" applyFont="1" applyFill="1" applyBorder="1" applyAlignment="1">
      <alignment horizontal="right" vertical="center" wrapText="1"/>
    </xf>
    <xf numFmtId="4" fontId="225" fillId="17" borderId="16" xfId="3" applyNumberFormat="1" applyFont="1" applyFill="1" applyBorder="1" applyAlignment="1">
      <alignment horizontal="right" vertical="center" wrapText="1"/>
    </xf>
    <xf numFmtId="4" fontId="225" fillId="16" borderId="1" xfId="3" applyNumberFormat="1" applyFont="1" applyFill="1" applyBorder="1" applyAlignment="1">
      <alignment horizontal="right" vertical="center" wrapText="1"/>
    </xf>
    <xf numFmtId="4" fontId="51" fillId="6" borderId="1" xfId="3" applyNumberFormat="1" applyFont="1" applyFill="1" applyBorder="1" applyAlignment="1">
      <alignment horizontal="left" vertical="center" wrapText="1"/>
    </xf>
    <xf numFmtId="4" fontId="10" fillId="6" borderId="1" xfId="3" applyNumberFormat="1" applyFont="1" applyFill="1" applyBorder="1" applyAlignment="1">
      <alignment horizontal="left" vertical="center" wrapText="1"/>
    </xf>
    <xf numFmtId="0" fontId="3" fillId="6" borderId="0" xfId="3" applyFont="1" applyFill="1" applyAlignment="1">
      <alignment vertical="center"/>
    </xf>
    <xf numFmtId="4" fontId="226" fillId="6" borderId="1" xfId="3" applyNumberFormat="1" applyFont="1" applyFill="1" applyBorder="1" applyAlignment="1">
      <alignment horizontal="right" vertical="center" wrapText="1"/>
    </xf>
    <xf numFmtId="4" fontId="225" fillId="17" borderId="1" xfId="3" applyNumberFormat="1" applyFont="1" applyFill="1" applyBorder="1" applyAlignment="1">
      <alignment horizontal="right" vertical="center" wrapText="1"/>
    </xf>
    <xf numFmtId="4" fontId="51" fillId="9" borderId="1" xfId="3" applyNumberFormat="1" applyFont="1" applyFill="1" applyBorder="1" applyAlignment="1">
      <alignment horizontal="right" vertical="center" wrapText="1"/>
    </xf>
    <xf numFmtId="0" fontId="33" fillId="0" borderId="1" xfId="3" applyFont="1" applyFill="1" applyBorder="1" applyAlignment="1">
      <alignment horizontal="center" vertical="center" wrapText="1"/>
    </xf>
    <xf numFmtId="49" fontId="28" fillId="0" borderId="7" xfId="3" applyNumberFormat="1" applyFont="1" applyFill="1" applyBorder="1" applyAlignment="1">
      <alignment horizontal="center" vertical="center" wrapText="1"/>
    </xf>
    <xf numFmtId="4" fontId="32" fillId="0" borderId="8" xfId="97" applyNumberFormat="1" applyFont="1" applyFill="1" applyBorder="1" applyAlignment="1">
      <alignment horizontal="justify" vertical="center" wrapText="1"/>
    </xf>
    <xf numFmtId="0" fontId="28" fillId="0" borderId="1" xfId="3" applyFont="1" applyFill="1" applyBorder="1" applyAlignment="1">
      <alignment horizontal="center" vertical="center" wrapText="1"/>
    </xf>
    <xf numFmtId="0" fontId="33" fillId="0" borderId="1" xfId="3" applyFont="1" applyFill="1" applyBorder="1" applyAlignment="1">
      <alignment horizontal="center" vertical="center" wrapText="1"/>
    </xf>
    <xf numFmtId="49" fontId="28" fillId="0" borderId="7" xfId="3" applyNumberFormat="1" applyFont="1" applyFill="1" applyBorder="1" applyAlignment="1">
      <alignment horizontal="center" vertical="center" wrapText="1"/>
    </xf>
    <xf numFmtId="0" fontId="28" fillId="0" borderId="1" xfId="3" applyFont="1" applyFill="1" applyBorder="1" applyAlignment="1">
      <alignment horizontal="center" vertical="center" wrapText="1"/>
    </xf>
    <xf numFmtId="0" fontId="28" fillId="0" borderId="1" xfId="3" applyFont="1" applyFill="1" applyBorder="1" applyAlignment="1">
      <alignment horizontal="center" vertical="center" wrapText="1"/>
    </xf>
    <xf numFmtId="4" fontId="32" fillId="0" borderId="1" xfId="97" applyNumberFormat="1" applyFont="1" applyFill="1" applyBorder="1" applyAlignment="1">
      <alignment vertical="center" wrapText="1"/>
    </xf>
    <xf numFmtId="4" fontId="225" fillId="21" borderId="16" xfId="3" applyNumberFormat="1" applyFont="1" applyFill="1" applyBorder="1" applyAlignment="1">
      <alignment horizontal="right" vertical="center" wrapText="1"/>
    </xf>
    <xf numFmtId="0" fontId="227" fillId="0" borderId="0" xfId="3" applyFont="1" applyFill="1" applyBorder="1" applyAlignment="1">
      <alignment vertical="center" wrapText="1"/>
    </xf>
    <xf numFmtId="4" fontId="228" fillId="20" borderId="0" xfId="3" applyNumberFormat="1" applyFont="1" applyFill="1" applyBorder="1" applyAlignment="1">
      <alignment horizontal="right" vertical="center" wrapText="1"/>
    </xf>
    <xf numFmtId="4" fontId="228" fillId="0" borderId="0" xfId="3" applyNumberFormat="1" applyFont="1" applyFill="1" applyBorder="1" applyAlignment="1">
      <alignment horizontal="right" vertical="center" wrapText="1"/>
    </xf>
    <xf numFmtId="4" fontId="228" fillId="6" borderId="40" xfId="3" applyNumberFormat="1" applyFont="1" applyFill="1" applyBorder="1" applyAlignment="1">
      <alignment horizontal="right" vertical="top" wrapText="1"/>
    </xf>
    <xf numFmtId="0" fontId="228" fillId="0" borderId="0" xfId="3" applyFont="1" applyFill="1" applyBorder="1" applyAlignment="1">
      <alignment vertical="center" wrapText="1"/>
    </xf>
    <xf numFmtId="0" fontId="201" fillId="54" borderId="0" xfId="3" applyFont="1" applyFill="1" applyBorder="1" applyAlignment="1">
      <alignment horizontal="center" vertical="center" wrapText="1"/>
    </xf>
    <xf numFmtId="49" fontId="228" fillId="0" borderId="0" xfId="3" applyNumberFormat="1" applyFont="1" applyFill="1" applyBorder="1" applyAlignment="1">
      <alignment horizontal="center" vertical="center" wrapText="1"/>
    </xf>
    <xf numFmtId="0" fontId="228" fillId="0" borderId="0" xfId="3" applyFont="1" applyFill="1" applyBorder="1" applyAlignment="1">
      <alignment horizontal="center" vertical="center" wrapText="1"/>
    </xf>
    <xf numFmtId="0" fontId="227" fillId="0" borderId="0" xfId="3" applyFont="1" applyFill="1" applyBorder="1" applyAlignment="1">
      <alignment horizontal="center" vertical="center" wrapText="1"/>
    </xf>
    <xf numFmtId="4" fontId="227" fillId="15" borderId="0" xfId="3" applyNumberFormat="1" applyFont="1" applyFill="1" applyBorder="1" applyAlignment="1">
      <alignment horizontal="right" vertical="center" wrapText="1"/>
    </xf>
    <xf numFmtId="4" fontId="227" fillId="17" borderId="0" xfId="3" applyNumberFormat="1" applyFont="1" applyFill="1" applyBorder="1" applyAlignment="1">
      <alignment horizontal="right" vertical="center" wrapText="1"/>
    </xf>
    <xf numFmtId="4" fontId="227" fillId="20" borderId="0" xfId="3" applyNumberFormat="1" applyFont="1" applyFill="1" applyBorder="1" applyAlignment="1">
      <alignment horizontal="right" vertical="center" wrapText="1"/>
    </xf>
    <xf numFmtId="4" fontId="227" fillId="58" borderId="0" xfId="3" applyNumberFormat="1" applyFont="1" applyFill="1" applyBorder="1" applyAlignment="1">
      <alignment horizontal="right" vertical="center" wrapText="1"/>
    </xf>
    <xf numFmtId="4" fontId="229" fillId="0" borderId="0" xfId="3" applyNumberFormat="1" applyFont="1" applyFill="1" applyBorder="1" applyAlignment="1">
      <alignment horizontal="right" vertical="center" wrapText="1"/>
    </xf>
    <xf numFmtId="4" fontId="230" fillId="0" borderId="0" xfId="3" applyNumberFormat="1" applyFont="1" applyFill="1" applyBorder="1" applyAlignment="1">
      <alignment horizontal="right" vertical="center" wrapText="1"/>
    </xf>
    <xf numFmtId="4" fontId="229" fillId="25" borderId="0" xfId="3" applyNumberFormat="1" applyFont="1" applyFill="1" applyBorder="1" applyAlignment="1">
      <alignment horizontal="right" vertical="center" wrapText="1"/>
    </xf>
    <xf numFmtId="4" fontId="229" fillId="54" borderId="0" xfId="3" applyNumberFormat="1" applyFont="1" applyFill="1" applyBorder="1" applyAlignment="1">
      <alignment horizontal="right" vertical="center" wrapText="1"/>
    </xf>
    <xf numFmtId="4" fontId="229" fillId="63" borderId="0" xfId="3" applyNumberFormat="1" applyFont="1" applyFill="1" applyBorder="1" applyAlignment="1">
      <alignment horizontal="right" vertical="center" wrapText="1"/>
    </xf>
    <xf numFmtId="4" fontId="227" fillId="61" borderId="0" xfId="3" applyNumberFormat="1" applyFont="1" applyFill="1" applyBorder="1" applyAlignment="1">
      <alignment horizontal="right" vertical="center" wrapText="1"/>
    </xf>
    <xf numFmtId="4" fontId="229" fillId="16" borderId="0" xfId="3" applyNumberFormat="1" applyFont="1" applyFill="1" applyBorder="1" applyAlignment="1">
      <alignment horizontal="right" vertical="center" wrapText="1"/>
    </xf>
    <xf numFmtId="4" fontId="231" fillId="0" borderId="0" xfId="3" applyNumberFormat="1" applyFont="1" applyFill="1" applyBorder="1" applyAlignment="1">
      <alignment horizontal="right" vertical="center" wrapText="1"/>
    </xf>
    <xf numFmtId="4" fontId="231" fillId="16" borderId="0" xfId="3" applyNumberFormat="1" applyFont="1" applyFill="1" applyBorder="1" applyAlignment="1">
      <alignment horizontal="right" vertical="center" wrapText="1"/>
    </xf>
    <xf numFmtId="4" fontId="232" fillId="16" borderId="0" xfId="3" applyNumberFormat="1" applyFont="1" applyFill="1" applyBorder="1" applyAlignment="1">
      <alignment horizontal="right" vertical="center" wrapText="1"/>
    </xf>
    <xf numFmtId="4" fontId="201" fillId="0" borderId="0" xfId="3" applyNumberFormat="1" applyFont="1" applyFill="1" applyBorder="1" applyAlignment="1">
      <alignment horizontal="right" vertical="center" wrapText="1"/>
    </xf>
    <xf numFmtId="4" fontId="232" fillId="0" borderId="0" xfId="3" applyNumberFormat="1" applyFont="1" applyFill="1" applyBorder="1" applyAlignment="1">
      <alignment horizontal="right" vertical="center" wrapText="1"/>
    </xf>
    <xf numFmtId="4" fontId="227" fillId="0" borderId="0" xfId="3" applyNumberFormat="1" applyFont="1" applyFill="1" applyBorder="1" applyAlignment="1">
      <alignment horizontal="center" vertical="center" wrapText="1"/>
    </xf>
    <xf numFmtId="4" fontId="227" fillId="16" borderId="0" xfId="3" applyNumberFormat="1" applyFont="1" applyFill="1" applyBorder="1" applyAlignment="1">
      <alignment horizontal="right" vertical="center" wrapText="1"/>
    </xf>
    <xf numFmtId="4" fontId="227" fillId="0" borderId="0" xfId="3" applyNumberFormat="1" applyFont="1" applyFill="1" applyBorder="1" applyAlignment="1">
      <alignment horizontal="right" vertical="center" wrapText="1"/>
    </xf>
    <xf numFmtId="4" fontId="227" fillId="54" borderId="0" xfId="3" applyNumberFormat="1" applyFont="1" applyFill="1" applyBorder="1" applyAlignment="1">
      <alignment horizontal="right" vertical="center" wrapText="1"/>
    </xf>
    <xf numFmtId="0" fontId="201" fillId="0" borderId="0" xfId="3" applyFont="1" applyFill="1" applyBorder="1" applyAlignment="1">
      <alignment vertical="center" wrapText="1"/>
    </xf>
    <xf numFmtId="0" fontId="227" fillId="0" borderId="0" xfId="3" applyFont="1" applyFill="1" applyAlignment="1">
      <alignment vertical="center" wrapText="1"/>
    </xf>
    <xf numFmtId="0" fontId="33" fillId="0" borderId="1" xfId="3" applyFont="1" applyFill="1" applyBorder="1" applyAlignment="1">
      <alignment horizontal="center" vertical="center" wrapText="1"/>
    </xf>
    <xf numFmtId="4" fontId="32" fillId="0" borderId="7" xfId="97" applyNumberFormat="1" applyFont="1" applyFill="1" applyBorder="1" applyAlignment="1">
      <alignment horizontal="justify" vertical="center" wrapText="1"/>
    </xf>
    <xf numFmtId="0" fontId="28" fillId="0" borderId="1" xfId="3" applyFont="1" applyFill="1" applyBorder="1" applyAlignment="1">
      <alignment horizontal="center" vertical="center" wrapText="1"/>
    </xf>
    <xf numFmtId="49" fontId="33" fillId="0" borderId="1" xfId="3" applyNumberFormat="1" applyFont="1" applyFill="1" applyBorder="1" applyAlignment="1">
      <alignment horizontal="center" vertical="center" wrapText="1"/>
    </xf>
    <xf numFmtId="0" fontId="148" fillId="0" borderId="1" xfId="3" applyFont="1" applyFill="1" applyBorder="1" applyAlignment="1">
      <alignment horizontal="center" vertical="center"/>
    </xf>
    <xf numFmtId="4" fontId="54" fillId="20" borderId="16" xfId="3" applyNumberFormat="1" applyFont="1" applyFill="1" applyBorder="1" applyAlignment="1">
      <alignment horizontal="right" vertical="center" wrapText="1"/>
    </xf>
    <xf numFmtId="0" fontId="33" fillId="0" borderId="1" xfId="3" applyFont="1" applyFill="1" applyBorder="1" applyAlignment="1">
      <alignment horizontal="center" vertical="center" wrapText="1"/>
    </xf>
    <xf numFmtId="0" fontId="28" fillId="0" borderId="1" xfId="3" applyFont="1" applyFill="1" applyBorder="1" applyAlignment="1">
      <alignment horizontal="center" vertical="center" wrapText="1"/>
    </xf>
    <xf numFmtId="0" fontId="53" fillId="16" borderId="1" xfId="3" applyNumberFormat="1" applyFont="1" applyFill="1" applyBorder="1" applyAlignment="1">
      <alignment horizontal="center" vertical="center" wrapText="1"/>
    </xf>
    <xf numFmtId="49" fontId="7" fillId="16" borderId="2" xfId="3" applyNumberFormat="1" applyFont="1" applyFill="1" applyBorder="1" applyAlignment="1">
      <alignment horizontal="left" vertical="center" wrapText="1"/>
    </xf>
    <xf numFmtId="0" fontId="28" fillId="0" borderId="1" xfId="3" applyFont="1" applyFill="1" applyBorder="1" applyAlignment="1">
      <alignment horizontal="center" vertical="center" wrapText="1"/>
    </xf>
    <xf numFmtId="0" fontId="33" fillId="0" borderId="1" xfId="3" applyFont="1" applyFill="1" applyBorder="1" applyAlignment="1">
      <alignment horizontal="center" vertical="center" wrapText="1"/>
    </xf>
    <xf numFmtId="0" fontId="28" fillId="0" borderId="1" xfId="3" applyFont="1" applyFill="1" applyBorder="1" applyAlignment="1">
      <alignment horizontal="center" vertical="center" wrapText="1"/>
    </xf>
    <xf numFmtId="0" fontId="233" fillId="55" borderId="1" xfId="3" applyFont="1" applyFill="1" applyBorder="1" applyAlignment="1">
      <alignment vertical="top" wrapText="1"/>
    </xf>
    <xf numFmtId="0" fontId="233" fillId="55" borderId="1" xfId="3" applyFont="1" applyFill="1" applyBorder="1" applyAlignment="1">
      <alignment vertical="top"/>
    </xf>
    <xf numFmtId="4" fontId="234" fillId="0" borderId="16" xfId="3" applyNumberFormat="1" applyFont="1" applyFill="1" applyBorder="1" applyAlignment="1">
      <alignment horizontal="right" vertical="center" wrapText="1"/>
    </xf>
    <xf numFmtId="4" fontId="185" fillId="20" borderId="10" xfId="3" applyNumberFormat="1" applyFont="1" applyFill="1" applyBorder="1" applyAlignment="1">
      <alignment horizontal="right" vertical="center" wrapText="1"/>
    </xf>
    <xf numFmtId="4" fontId="191" fillId="6" borderId="1" xfId="3" applyNumberFormat="1" applyFont="1" applyFill="1" applyBorder="1" applyAlignment="1">
      <alignment horizontal="right" vertical="center" wrapText="1"/>
    </xf>
    <xf numFmtId="0" fontId="59" fillId="53" borderId="1" xfId="3" applyNumberFormat="1" applyFont="1" applyFill="1" applyBorder="1" applyAlignment="1">
      <alignment horizontal="left" vertical="center" wrapText="1" indent="1"/>
    </xf>
    <xf numFmtId="4" fontId="42" fillId="20" borderId="1" xfId="3" applyNumberFormat="1" applyFont="1" applyFill="1" applyBorder="1" applyAlignment="1">
      <alignment horizontal="right" vertical="center" wrapText="1"/>
    </xf>
    <xf numFmtId="4" fontId="225" fillId="16" borderId="2" xfId="3" applyNumberFormat="1" applyFont="1" applyFill="1" applyBorder="1" applyAlignment="1">
      <alignment horizontal="right" vertical="center" wrapText="1"/>
    </xf>
    <xf numFmtId="4" fontId="192" fillId="6" borderId="1" xfId="3" applyNumberFormat="1" applyFont="1" applyFill="1" applyBorder="1" applyAlignment="1">
      <alignment horizontal="right" vertical="center" wrapText="1"/>
    </xf>
    <xf numFmtId="4" fontId="179" fillId="6" borderId="16" xfId="3" applyNumberFormat="1" applyFont="1" applyFill="1" applyBorder="1" applyAlignment="1">
      <alignment horizontal="right" vertical="center" wrapText="1"/>
    </xf>
    <xf numFmtId="0" fontId="5" fillId="0" borderId="3" xfId="3" applyFont="1" applyFill="1" applyBorder="1" applyAlignment="1">
      <alignment horizontal="right" vertical="center" wrapText="1"/>
    </xf>
    <xf numFmtId="0" fontId="235" fillId="55" borderId="1" xfId="3" applyFont="1" applyFill="1" applyBorder="1" applyAlignment="1">
      <alignment vertical="top" wrapText="1"/>
    </xf>
    <xf numFmtId="0" fontId="236" fillId="0" borderId="0" xfId="0" applyFont="1" applyFill="1"/>
    <xf numFmtId="4" fontId="148" fillId="55" borderId="1" xfId="91" applyNumberFormat="1" applyFont="1" applyFill="1" applyBorder="1" applyAlignment="1">
      <alignment vertical="top" wrapText="1"/>
    </xf>
    <xf numFmtId="4" fontId="86" fillId="53" borderId="16" xfId="3" applyNumberFormat="1" applyFont="1" applyFill="1" applyBorder="1" applyAlignment="1">
      <alignment horizontal="right" vertical="center" wrapText="1"/>
    </xf>
    <xf numFmtId="4" fontId="238" fillId="53" borderId="16" xfId="3" applyNumberFormat="1" applyFont="1" applyFill="1" applyBorder="1" applyAlignment="1">
      <alignment horizontal="right" vertical="center" wrapText="1"/>
    </xf>
    <xf numFmtId="4" fontId="239" fillId="53" borderId="16" xfId="3" applyNumberFormat="1" applyFont="1" applyFill="1" applyBorder="1" applyAlignment="1">
      <alignment horizontal="right" vertical="center" wrapText="1"/>
    </xf>
    <xf numFmtId="4" fontId="237" fillId="20" borderId="1" xfId="3" applyNumberFormat="1" applyFont="1" applyFill="1" applyBorder="1" applyAlignment="1">
      <alignment horizontal="right" vertical="center" wrapText="1"/>
    </xf>
    <xf numFmtId="4" fontId="237" fillId="20" borderId="2" xfId="3" applyNumberFormat="1" applyFont="1" applyFill="1" applyBorder="1" applyAlignment="1">
      <alignment horizontal="right" vertical="center" wrapText="1"/>
    </xf>
    <xf numFmtId="4" fontId="54" fillId="20" borderId="1" xfId="3" applyNumberFormat="1" applyFont="1" applyFill="1" applyBorder="1" applyAlignment="1">
      <alignment horizontal="right" vertical="center" wrapText="1"/>
    </xf>
    <xf numFmtId="0" fontId="34" fillId="0" borderId="1" xfId="3" applyFont="1" applyFill="1" applyBorder="1" applyAlignment="1">
      <alignment horizontal="center" vertical="center" wrapText="1"/>
    </xf>
    <xf numFmtId="0" fontId="33" fillId="0" borderId="1" xfId="3" applyFont="1" applyFill="1" applyBorder="1" applyAlignment="1">
      <alignment horizontal="center" vertical="center" wrapText="1"/>
    </xf>
    <xf numFmtId="0" fontId="55" fillId="0" borderId="1" xfId="3" applyFont="1" applyFill="1" applyBorder="1" applyAlignment="1">
      <alignment horizontal="center" vertical="center" wrapText="1"/>
    </xf>
    <xf numFmtId="0" fontId="28" fillId="0" borderId="1" xfId="3" applyFont="1" applyFill="1" applyBorder="1" applyAlignment="1">
      <alignment horizontal="center" vertical="center" wrapText="1"/>
    </xf>
    <xf numFmtId="49" fontId="33" fillId="0" borderId="1" xfId="3" applyNumberFormat="1" applyFont="1" applyFill="1" applyBorder="1" applyAlignment="1">
      <alignment horizontal="center" vertical="center" wrapText="1"/>
    </xf>
    <xf numFmtId="0" fontId="26" fillId="0" borderId="1" xfId="3" applyFont="1" applyFill="1" applyBorder="1" applyAlignment="1">
      <alignment horizontal="left" vertical="center" wrapText="1"/>
    </xf>
    <xf numFmtId="4" fontId="64" fillId="8" borderId="1" xfId="3" applyNumberFormat="1" applyFont="1" applyFill="1" applyBorder="1" applyAlignment="1">
      <alignment horizontal="left" vertical="center" wrapText="1"/>
    </xf>
    <xf numFmtId="0" fontId="124" fillId="0" borderId="0" xfId="0" applyFont="1" applyFill="1"/>
    <xf numFmtId="0" fontId="170" fillId="0" borderId="0" xfId="0" applyFont="1" applyFill="1"/>
    <xf numFmtId="0" fontId="32" fillId="0" borderId="0" xfId="0" applyFont="1" applyFill="1"/>
    <xf numFmtId="0" fontId="122" fillId="0" borderId="0" xfId="0" applyFont="1" applyFill="1"/>
    <xf numFmtId="0" fontId="116" fillId="0" borderId="0" xfId="0" applyFont="1" applyFill="1"/>
    <xf numFmtId="0" fontId="171" fillId="0" borderId="0" xfId="0" applyFont="1" applyFill="1"/>
    <xf numFmtId="0" fontId="0" fillId="0" borderId="0" xfId="0" applyFill="1"/>
    <xf numFmtId="0" fontId="126" fillId="0" borderId="0" xfId="0" applyFont="1" applyFill="1"/>
    <xf numFmtId="0" fontId="36" fillId="0" borderId="0" xfId="98" applyFont="1" applyFill="1"/>
    <xf numFmtId="4" fontId="171" fillId="0" borderId="0" xfId="0" applyNumberFormat="1" applyFont="1" applyFill="1"/>
    <xf numFmtId="0" fontId="144" fillId="0" borderId="0" xfId="0" applyFont="1" applyFill="1"/>
    <xf numFmtId="0" fontId="39" fillId="0" borderId="0" xfId="0" applyFont="1" applyFill="1"/>
    <xf numFmtId="0" fontId="39" fillId="0" borderId="0" xfId="0" applyFont="1" applyFill="1" applyBorder="1"/>
    <xf numFmtId="0" fontId="33" fillId="0" borderId="0" xfId="0" applyFont="1" applyFill="1"/>
    <xf numFmtId="0" fontId="19" fillId="0" borderId="0" xfId="0" applyFont="1" applyFill="1"/>
    <xf numFmtId="0" fontId="123" fillId="0" borderId="0" xfId="0" applyFont="1" applyFill="1"/>
    <xf numFmtId="0" fontId="33" fillId="0" borderId="1" xfId="3" applyFont="1" applyFill="1" applyBorder="1" applyAlignment="1">
      <alignment horizontal="center" vertical="center" wrapText="1"/>
    </xf>
    <xf numFmtId="0" fontId="28" fillId="0" borderId="1" xfId="3" applyFont="1" applyFill="1" applyBorder="1" applyAlignment="1">
      <alignment horizontal="center" vertical="center" wrapText="1"/>
    </xf>
    <xf numFmtId="4" fontId="32" fillId="0" borderId="1" xfId="97" applyNumberFormat="1" applyFont="1" applyFill="1" applyBorder="1" applyAlignment="1">
      <alignment horizontal="justify" vertical="center" wrapText="1"/>
    </xf>
    <xf numFmtId="49" fontId="28" fillId="0" borderId="6" xfId="3" applyNumberFormat="1" applyFont="1" applyFill="1" applyBorder="1" applyAlignment="1">
      <alignment horizontal="center" vertical="center" wrapText="1"/>
    </xf>
    <xf numFmtId="0" fontId="33" fillId="0" borderId="1" xfId="3" applyFont="1" applyFill="1" applyBorder="1" applyAlignment="1">
      <alignment horizontal="center" vertical="center" wrapText="1"/>
    </xf>
    <xf numFmtId="0" fontId="28" fillId="0" borderId="1" xfId="3" applyFont="1" applyFill="1" applyBorder="1" applyAlignment="1">
      <alignment horizontal="center" vertical="center" wrapText="1"/>
    </xf>
    <xf numFmtId="0" fontId="34" fillId="0" borderId="1" xfId="3" applyFont="1" applyFill="1" applyBorder="1" applyAlignment="1">
      <alignment horizontal="center" vertical="center" wrapText="1"/>
    </xf>
    <xf numFmtId="0" fontId="33" fillId="0" borderId="1" xfId="3" applyFont="1" applyFill="1" applyBorder="1" applyAlignment="1">
      <alignment horizontal="center" vertical="center" wrapText="1"/>
    </xf>
    <xf numFmtId="0" fontId="55" fillId="0" borderId="1" xfId="3" applyFont="1" applyFill="1" applyBorder="1" applyAlignment="1">
      <alignment horizontal="center" vertical="center" wrapText="1"/>
    </xf>
    <xf numFmtId="49" fontId="28" fillId="0" borderId="6" xfId="3" applyNumberFormat="1" applyFont="1" applyFill="1" applyBorder="1" applyAlignment="1">
      <alignment horizontal="center" vertical="center" wrapText="1"/>
    </xf>
    <xf numFmtId="0" fontId="28" fillId="0" borderId="1" xfId="3" applyFont="1" applyFill="1" applyBorder="1" applyAlignment="1">
      <alignment horizontal="center" vertical="center" wrapText="1"/>
    </xf>
    <xf numFmtId="49" fontId="33" fillId="0" borderId="1" xfId="3" applyNumberFormat="1" applyFont="1" applyFill="1" applyBorder="1" applyAlignment="1">
      <alignment horizontal="center" vertical="center" wrapText="1"/>
    </xf>
    <xf numFmtId="0" fontId="26" fillId="0" borderId="1" xfId="3" applyFont="1" applyFill="1" applyBorder="1" applyAlignment="1">
      <alignment horizontal="left" vertical="center" wrapText="1"/>
    </xf>
    <xf numFmtId="0" fontId="26" fillId="0" borderId="7" xfId="3" applyFont="1" applyFill="1" applyBorder="1" applyAlignment="1">
      <alignment horizontal="left" vertical="center" wrapText="1"/>
    </xf>
    <xf numFmtId="4" fontId="32" fillId="0" borderId="1" xfId="97" applyNumberFormat="1" applyFont="1" applyFill="1" applyBorder="1" applyAlignment="1">
      <alignment horizontal="justify" vertical="center" wrapText="1"/>
    </xf>
    <xf numFmtId="0" fontId="33" fillId="0" borderId="1" xfId="3" applyFont="1" applyFill="1" applyBorder="1" applyAlignment="1">
      <alignment horizontal="center" vertical="center" wrapText="1"/>
    </xf>
    <xf numFmtId="0" fontId="28" fillId="0" borderId="1" xfId="3" applyFont="1" applyFill="1" applyBorder="1" applyAlignment="1">
      <alignment horizontal="center" vertical="center" wrapText="1"/>
    </xf>
    <xf numFmtId="4" fontId="10" fillId="0" borderId="16" xfId="3" applyNumberFormat="1" applyFont="1" applyFill="1" applyBorder="1" applyAlignment="1">
      <alignment horizontal="right" vertical="center" wrapText="1"/>
    </xf>
    <xf numFmtId="4" fontId="118" fillId="15" borderId="1" xfId="3" applyNumberFormat="1" applyFont="1" applyFill="1" applyBorder="1" applyAlignment="1">
      <alignment horizontal="right" vertical="center" wrapText="1"/>
    </xf>
    <xf numFmtId="4" fontId="205" fillId="0" borderId="0" xfId="3" applyNumberFormat="1" applyFont="1" applyFill="1" applyAlignment="1">
      <alignment vertical="center"/>
    </xf>
    <xf numFmtId="0" fontId="33" fillId="0" borderId="1" xfId="3" applyFont="1" applyFill="1" applyBorder="1" applyAlignment="1">
      <alignment horizontal="center" vertical="center" wrapText="1"/>
    </xf>
    <xf numFmtId="4" fontId="33" fillId="0" borderId="7" xfId="97" applyNumberFormat="1" applyFont="1" applyFill="1" applyBorder="1" applyAlignment="1">
      <alignment horizontal="justify" vertical="center" wrapText="1"/>
    </xf>
    <xf numFmtId="0" fontId="28" fillId="0" borderId="1" xfId="3" applyFont="1" applyFill="1" applyBorder="1" applyAlignment="1">
      <alignment horizontal="center" vertical="center" wrapText="1"/>
    </xf>
    <xf numFmtId="49" fontId="33" fillId="0" borderId="1" xfId="3" applyNumberFormat="1" applyFont="1" applyFill="1" applyBorder="1" applyAlignment="1">
      <alignment horizontal="center" vertical="center" wrapText="1"/>
    </xf>
    <xf numFmtId="4" fontId="32" fillId="0" borderId="1" xfId="97" applyNumberFormat="1" applyFont="1" applyFill="1" applyBorder="1" applyAlignment="1">
      <alignment horizontal="justify" vertical="center" wrapText="1"/>
    </xf>
    <xf numFmtId="4" fontId="195" fillId="0" borderId="1" xfId="3" applyNumberFormat="1" applyFont="1" applyFill="1" applyBorder="1" applyAlignment="1">
      <alignment horizontal="right" vertical="center" wrapText="1"/>
    </xf>
    <xf numFmtId="0" fontId="33" fillId="0" borderId="1" xfId="3" applyFont="1" applyFill="1" applyBorder="1" applyAlignment="1">
      <alignment horizontal="center" vertical="center" wrapText="1"/>
    </xf>
    <xf numFmtId="4" fontId="33" fillId="0" borderId="7" xfId="97" applyNumberFormat="1" applyFont="1" applyFill="1" applyBorder="1" applyAlignment="1">
      <alignment horizontal="justify" vertical="center" wrapText="1"/>
    </xf>
    <xf numFmtId="0" fontId="28" fillId="0" borderId="1" xfId="3" applyFont="1" applyFill="1" applyBorder="1" applyAlignment="1">
      <alignment horizontal="center" vertical="center" wrapText="1"/>
    </xf>
    <xf numFmtId="49" fontId="33" fillId="0" borderId="1" xfId="3" applyNumberFormat="1" applyFont="1" applyFill="1" applyBorder="1" applyAlignment="1">
      <alignment horizontal="center" vertical="center" wrapText="1"/>
    </xf>
    <xf numFmtId="49" fontId="28" fillId="0" borderId="7" xfId="3" applyNumberFormat="1" applyFont="1" applyFill="1" applyBorder="1" applyAlignment="1">
      <alignment vertical="center" wrapText="1"/>
    </xf>
    <xf numFmtId="49" fontId="10" fillId="0" borderId="2" xfId="3" applyNumberFormat="1" applyFont="1" applyFill="1" applyBorder="1" applyAlignment="1">
      <alignment horizontal="left" vertical="center" wrapText="1" indent="2"/>
    </xf>
    <xf numFmtId="0" fontId="46" fillId="65" borderId="1" xfId="3" applyFont="1" applyFill="1" applyBorder="1" applyAlignment="1">
      <alignment horizontal="center" vertical="center"/>
    </xf>
    <xf numFmtId="0" fontId="46" fillId="65" borderId="1" xfId="3" applyFont="1" applyFill="1" applyBorder="1" applyAlignment="1">
      <alignment vertical="top" wrapText="1"/>
    </xf>
    <xf numFmtId="0" fontId="10" fillId="65" borderId="1" xfId="3" applyFont="1" applyFill="1" applyBorder="1" applyAlignment="1">
      <alignment horizontal="left" vertical="center" wrapText="1"/>
    </xf>
    <xf numFmtId="0" fontId="10" fillId="65" borderId="1" xfId="3" applyFont="1" applyFill="1" applyBorder="1" applyAlignment="1">
      <alignment horizontal="left" vertical="center" indent="2"/>
    </xf>
    <xf numFmtId="0" fontId="10" fillId="65" borderId="4" xfId="3" applyFont="1" applyFill="1" applyBorder="1" applyAlignment="1">
      <alignment horizontal="left" vertical="center" wrapText="1" indent="1"/>
    </xf>
    <xf numFmtId="0" fontId="10" fillId="65" borderId="1" xfId="3" applyFont="1" applyFill="1" applyBorder="1" applyAlignment="1">
      <alignment horizontal="left" vertical="center" wrapText="1" indent="2"/>
    </xf>
    <xf numFmtId="0" fontId="10" fillId="65" borderId="1" xfId="3" applyFont="1" applyFill="1" applyBorder="1" applyAlignment="1">
      <alignment horizontal="left" vertical="center" wrapText="1" indent="1"/>
    </xf>
    <xf numFmtId="0" fontId="10" fillId="65" borderId="1" xfId="3" applyNumberFormat="1" applyFont="1" applyFill="1" applyBorder="1" applyAlignment="1">
      <alignment horizontal="left" vertical="center" wrapText="1" indent="1"/>
    </xf>
    <xf numFmtId="49" fontId="10" fillId="65" borderId="2" xfId="3" applyNumberFormat="1" applyFont="1" applyFill="1" applyBorder="1" applyAlignment="1">
      <alignment horizontal="left" vertical="center" wrapText="1" indent="2"/>
    </xf>
    <xf numFmtId="4" fontId="234" fillId="65" borderId="16" xfId="3" applyNumberFormat="1" applyFont="1" applyFill="1" applyBorder="1" applyAlignment="1">
      <alignment horizontal="right" vertical="center" wrapText="1"/>
    </xf>
    <xf numFmtId="4" fontId="10" fillId="65" borderId="1" xfId="3" applyNumberFormat="1" applyFont="1" applyFill="1" applyBorder="1" applyAlignment="1">
      <alignment horizontal="right" vertical="center" wrapText="1"/>
    </xf>
    <xf numFmtId="4" fontId="240" fillId="65" borderId="1" xfId="3" applyNumberFormat="1" applyFont="1" applyFill="1" applyBorder="1" applyAlignment="1">
      <alignment horizontal="right" vertical="center" wrapText="1"/>
    </xf>
    <xf numFmtId="4" fontId="19" fillId="66" borderId="13" xfId="0" applyNumberFormat="1" applyFont="1" applyFill="1" applyBorder="1" applyAlignment="1">
      <alignment horizontal="right" vertical="center" wrapText="1"/>
    </xf>
    <xf numFmtId="4" fontId="118" fillId="65" borderId="16" xfId="3" applyNumberFormat="1" applyFont="1" applyFill="1" applyBorder="1" applyAlignment="1">
      <alignment horizontal="right" vertical="center" wrapText="1"/>
    </xf>
    <xf numFmtId="0" fontId="82" fillId="65" borderId="0" xfId="1" applyFont="1" applyFill="1" applyAlignment="1">
      <alignment horizontal="left" vertical="center" indent="2"/>
    </xf>
    <xf numFmtId="4" fontId="10" fillId="65" borderId="1" xfId="3" applyNumberFormat="1" applyFont="1" applyFill="1" applyBorder="1" applyAlignment="1">
      <alignment horizontal="left" vertical="center" wrapText="1"/>
    </xf>
    <xf numFmtId="0" fontId="10" fillId="65" borderId="0" xfId="3" applyFont="1" applyFill="1" applyAlignment="1">
      <alignment horizontal="left" vertical="center" indent="2"/>
    </xf>
    <xf numFmtId="4" fontId="118" fillId="65" borderId="1" xfId="3" applyNumberFormat="1" applyFont="1" applyFill="1" applyBorder="1" applyAlignment="1">
      <alignment horizontal="right" vertical="center" wrapText="1"/>
    </xf>
    <xf numFmtId="4" fontId="118" fillId="65" borderId="13" xfId="3" applyNumberFormat="1" applyFont="1" applyFill="1" applyBorder="1" applyAlignment="1">
      <alignment horizontal="right" vertical="center" wrapText="1"/>
    </xf>
    <xf numFmtId="4" fontId="118" fillId="65" borderId="0" xfId="3" applyNumberFormat="1" applyFont="1" applyFill="1" applyBorder="1" applyAlignment="1">
      <alignment horizontal="right" vertical="center" wrapText="1"/>
    </xf>
    <xf numFmtId="4" fontId="10" fillId="65" borderId="16" xfId="3" applyNumberFormat="1" applyFont="1" applyFill="1" applyBorder="1" applyAlignment="1">
      <alignment horizontal="right" vertical="center" wrapText="1"/>
    </xf>
    <xf numFmtId="4" fontId="232" fillId="65" borderId="0" xfId="3" applyNumberFormat="1" applyFont="1" applyFill="1" applyBorder="1" applyAlignment="1">
      <alignment horizontal="right" vertical="center" wrapText="1"/>
    </xf>
    <xf numFmtId="4" fontId="118" fillId="65" borderId="2" xfId="3" applyNumberFormat="1" applyFont="1" applyFill="1" applyBorder="1" applyAlignment="1">
      <alignment horizontal="right" vertical="center" wrapText="1"/>
    </xf>
    <xf numFmtId="0" fontId="46" fillId="65" borderId="1" xfId="3" applyFont="1" applyFill="1" applyBorder="1" applyAlignment="1">
      <alignment vertical="top"/>
    </xf>
    <xf numFmtId="0" fontId="3" fillId="65" borderId="1" xfId="3" applyFont="1" applyFill="1" applyBorder="1" applyAlignment="1">
      <alignment horizontal="center" vertical="center"/>
    </xf>
    <xf numFmtId="0" fontId="218" fillId="65" borderId="1" xfId="3" applyFont="1" applyFill="1" applyBorder="1" applyAlignment="1">
      <alignment vertical="top" wrapText="1"/>
    </xf>
    <xf numFmtId="0" fontId="51" fillId="65" borderId="1" xfId="3" applyFont="1" applyFill="1" applyBorder="1" applyAlignment="1">
      <alignment horizontal="left" vertical="center" wrapText="1"/>
    </xf>
    <xf numFmtId="0" fontId="153" fillId="65" borderId="1" xfId="3" applyFont="1" applyFill="1" applyBorder="1" applyAlignment="1">
      <alignment horizontal="left" vertical="center" indent="2"/>
    </xf>
    <xf numFmtId="0" fontId="51" fillId="65" borderId="1" xfId="3" applyFont="1" applyFill="1" applyBorder="1" applyAlignment="1">
      <alignment horizontal="left" vertical="center" indent="2"/>
    </xf>
    <xf numFmtId="0" fontId="58" fillId="65" borderId="4" xfId="3" applyFont="1" applyFill="1" applyBorder="1" applyAlignment="1">
      <alignment horizontal="left" vertical="center" wrapText="1" indent="1"/>
    </xf>
    <xf numFmtId="0" fontId="51" fillId="65" borderId="1" xfId="3" applyFont="1" applyFill="1" applyBorder="1" applyAlignment="1">
      <alignment horizontal="left" vertical="center" wrapText="1" indent="2"/>
    </xf>
    <xf numFmtId="0" fontId="51" fillId="65" borderId="1" xfId="3" applyFont="1" applyFill="1" applyBorder="1" applyAlignment="1">
      <alignment horizontal="left" vertical="center" wrapText="1" indent="1"/>
    </xf>
    <xf numFmtId="0" fontId="51" fillId="65" borderId="1" xfId="3" applyNumberFormat="1" applyFont="1" applyFill="1" applyBorder="1" applyAlignment="1">
      <alignment horizontal="left" vertical="center" wrapText="1" indent="1"/>
    </xf>
    <xf numFmtId="49" fontId="51" fillId="65" borderId="2" xfId="3" applyNumberFormat="1" applyFont="1" applyFill="1" applyBorder="1" applyAlignment="1">
      <alignment horizontal="left" vertical="center" wrapText="1" indent="2"/>
    </xf>
    <xf numFmtId="4" fontId="179" fillId="65" borderId="16" xfId="3" applyNumberFormat="1" applyFont="1" applyFill="1" applyBorder="1" applyAlignment="1">
      <alignment horizontal="right" vertical="center" wrapText="1"/>
    </xf>
    <xf numFmtId="4" fontId="51" fillId="65" borderId="1" xfId="3" applyNumberFormat="1" applyFont="1" applyFill="1" applyBorder="1" applyAlignment="1">
      <alignment horizontal="right" vertical="center" wrapText="1"/>
    </xf>
    <xf numFmtId="4" fontId="200" fillId="65" borderId="1" xfId="3" applyNumberFormat="1" applyFont="1" applyFill="1" applyBorder="1" applyAlignment="1">
      <alignment horizontal="right" vertical="center" wrapText="1"/>
    </xf>
    <xf numFmtId="4" fontId="192" fillId="65" borderId="1" xfId="3" applyNumberFormat="1" applyFont="1" applyFill="1" applyBorder="1" applyAlignment="1">
      <alignment horizontal="right" vertical="center" wrapText="1"/>
    </xf>
    <xf numFmtId="4" fontId="0" fillId="66" borderId="13" xfId="0" applyNumberFormat="1" applyFill="1" applyBorder="1" applyAlignment="1">
      <alignment horizontal="right" vertical="center" wrapText="1"/>
    </xf>
    <xf numFmtId="4" fontId="51" fillId="65" borderId="16" xfId="3" applyNumberFormat="1" applyFont="1" applyFill="1" applyBorder="1" applyAlignment="1">
      <alignment horizontal="right" vertical="center" wrapText="1"/>
    </xf>
    <xf numFmtId="0" fontId="35" fillId="65" borderId="0" xfId="1" applyFill="1" applyAlignment="1">
      <alignment horizontal="left" vertical="center" indent="2"/>
    </xf>
    <xf numFmtId="0" fontId="51" fillId="65" borderId="0" xfId="3" applyFont="1" applyFill="1" applyAlignment="1">
      <alignment horizontal="left" vertical="center" indent="2"/>
    </xf>
    <xf numFmtId="4" fontId="52" fillId="65" borderId="16" xfId="3" applyNumberFormat="1" applyFont="1" applyFill="1" applyBorder="1" applyAlignment="1">
      <alignment horizontal="right" vertical="center" wrapText="1"/>
    </xf>
    <xf numFmtId="4" fontId="52" fillId="65" borderId="1" xfId="3" applyNumberFormat="1" applyFont="1" applyFill="1" applyBorder="1" applyAlignment="1">
      <alignment horizontal="right" vertical="center" wrapText="1"/>
    </xf>
    <xf numFmtId="4" fontId="52" fillId="65" borderId="13" xfId="3" applyNumberFormat="1" applyFont="1" applyFill="1" applyBorder="1" applyAlignment="1">
      <alignment horizontal="right" vertical="center" wrapText="1"/>
    </xf>
    <xf numFmtId="4" fontId="52" fillId="65" borderId="0" xfId="3" applyNumberFormat="1" applyFont="1" applyFill="1" applyBorder="1" applyAlignment="1">
      <alignment horizontal="right" vertical="center" wrapText="1"/>
    </xf>
    <xf numFmtId="4" fontId="229" fillId="65" borderId="0" xfId="3" applyNumberFormat="1" applyFont="1" applyFill="1" applyBorder="1" applyAlignment="1">
      <alignment horizontal="right" vertical="center" wrapText="1"/>
    </xf>
    <xf numFmtId="4" fontId="204" fillId="65" borderId="1" xfId="3" applyNumberFormat="1" applyFont="1" applyFill="1" applyBorder="1" applyAlignment="1">
      <alignment horizontal="right" vertical="center" wrapText="1"/>
    </xf>
    <xf numFmtId="4" fontId="225" fillId="65" borderId="1" xfId="3" applyNumberFormat="1" applyFont="1" applyFill="1" applyBorder="1" applyAlignment="1">
      <alignment horizontal="right" vertical="center" wrapText="1"/>
    </xf>
    <xf numFmtId="4" fontId="204" fillId="65" borderId="2" xfId="3" applyNumberFormat="1" applyFont="1" applyFill="1" applyBorder="1" applyAlignment="1">
      <alignment horizontal="right" vertical="center" wrapText="1"/>
    </xf>
    <xf numFmtId="4" fontId="225" fillId="65" borderId="16" xfId="3" applyNumberFormat="1" applyFont="1" applyFill="1" applyBorder="1" applyAlignment="1">
      <alignment horizontal="right" vertical="center" wrapText="1"/>
    </xf>
    <xf numFmtId="4" fontId="66" fillId="65" borderId="1" xfId="3" applyNumberFormat="1" applyFont="1" applyFill="1" applyBorder="1" applyAlignment="1">
      <alignment horizontal="right" vertical="center" wrapText="1"/>
    </xf>
    <xf numFmtId="4" fontId="52" fillId="65" borderId="2" xfId="3" applyNumberFormat="1" applyFont="1" applyFill="1" applyBorder="1" applyAlignment="1">
      <alignment horizontal="right" vertical="center" wrapText="1"/>
    </xf>
    <xf numFmtId="49" fontId="64" fillId="63" borderId="2" xfId="3" applyNumberFormat="1" applyFont="1" applyFill="1" applyBorder="1" applyAlignment="1">
      <alignment horizontal="left" vertical="center" wrapText="1" indent="2"/>
    </xf>
    <xf numFmtId="4" fontId="234" fillId="63" borderId="16" xfId="3" applyNumberFormat="1" applyFont="1" applyFill="1" applyBorder="1" applyAlignment="1">
      <alignment horizontal="right" vertical="center" wrapText="1"/>
    </xf>
    <xf numFmtId="4" fontId="64" fillId="63" borderId="1" xfId="3" applyNumberFormat="1" applyFont="1" applyFill="1" applyBorder="1" applyAlignment="1">
      <alignment horizontal="right" vertical="center" wrapText="1"/>
    </xf>
    <xf numFmtId="4" fontId="196" fillId="63" borderId="1" xfId="3" applyNumberFormat="1" applyFont="1" applyFill="1" applyBorder="1" applyAlignment="1">
      <alignment horizontal="right" vertical="center" wrapText="1"/>
    </xf>
    <xf numFmtId="49" fontId="51" fillId="63" borderId="2" xfId="3" applyNumberFormat="1" applyFont="1" applyFill="1" applyBorder="1" applyAlignment="1">
      <alignment horizontal="left" vertical="center" wrapText="1" indent="2"/>
    </xf>
    <xf numFmtId="4" fontId="179" fillId="63" borderId="16" xfId="3" applyNumberFormat="1" applyFont="1" applyFill="1" applyBorder="1" applyAlignment="1">
      <alignment horizontal="right" vertical="center" wrapText="1"/>
    </xf>
    <xf numFmtId="4" fontId="51" fillId="63" borderId="1" xfId="3" applyNumberFormat="1" applyFont="1" applyFill="1" applyBorder="1" applyAlignment="1">
      <alignment horizontal="right" vertical="center" wrapText="1"/>
    </xf>
    <xf numFmtId="4" fontId="192" fillId="63" borderId="1" xfId="3" applyNumberFormat="1" applyFont="1" applyFill="1" applyBorder="1" applyAlignment="1">
      <alignment horizontal="right" vertical="center" wrapText="1"/>
    </xf>
    <xf numFmtId="0" fontId="28" fillId="0" borderId="1" xfId="3" applyFont="1" applyFill="1" applyBorder="1" applyAlignment="1">
      <alignment horizontal="center" vertical="center" wrapText="1"/>
    </xf>
    <xf numFmtId="4" fontId="32" fillId="0" borderId="1" xfId="97" applyNumberFormat="1" applyFont="1" applyFill="1" applyBorder="1" applyAlignment="1">
      <alignment horizontal="justify" vertical="center" wrapText="1"/>
    </xf>
    <xf numFmtId="0" fontId="33" fillId="0" borderId="1" xfId="3" applyFont="1" applyFill="1" applyBorder="1" applyAlignment="1">
      <alignment horizontal="center" vertical="center" wrapText="1"/>
    </xf>
    <xf numFmtId="0" fontId="28" fillId="0" borderId="1" xfId="3" applyFont="1" applyFill="1" applyBorder="1" applyAlignment="1">
      <alignment horizontal="center" vertical="center" wrapText="1"/>
    </xf>
    <xf numFmtId="4" fontId="33" fillId="0" borderId="1" xfId="97" applyNumberFormat="1" applyFont="1" applyFill="1" applyBorder="1" applyAlignment="1">
      <alignment horizontal="justify" vertical="center" wrapText="1"/>
    </xf>
    <xf numFmtId="4" fontId="0" fillId="0" borderId="0" xfId="0" applyNumberFormat="1" applyFill="1"/>
    <xf numFmtId="4" fontId="125" fillId="0" borderId="0" xfId="0" applyNumberFormat="1" applyFont="1" applyFill="1"/>
    <xf numFmtId="49" fontId="28" fillId="0" borderId="1" xfId="3" applyNumberFormat="1" applyFont="1" applyFill="1" applyBorder="1" applyAlignment="1">
      <alignment vertical="center" wrapText="1"/>
    </xf>
    <xf numFmtId="0" fontId="33" fillId="0" borderId="1" xfId="3" applyFont="1" applyFill="1" applyBorder="1" applyAlignment="1">
      <alignment horizontal="center" vertical="center" wrapText="1"/>
    </xf>
    <xf numFmtId="0" fontId="28" fillId="0" borderId="1" xfId="3" applyFont="1" applyFill="1" applyBorder="1" applyAlignment="1">
      <alignment horizontal="center" vertical="center" wrapText="1"/>
    </xf>
    <xf numFmtId="4" fontId="33" fillId="0" borderId="1" xfId="97" applyNumberFormat="1" applyFont="1" applyFill="1" applyBorder="1" applyAlignment="1">
      <alignment horizontal="justify" vertical="center" wrapText="1"/>
    </xf>
    <xf numFmtId="0" fontId="28" fillId="0" borderId="1" xfId="3" applyFont="1" applyFill="1" applyBorder="1" applyAlignment="1">
      <alignment horizontal="left" vertical="center" wrapText="1"/>
    </xf>
    <xf numFmtId="0" fontId="242" fillId="0" borderId="0" xfId="0" applyFont="1" applyFill="1"/>
    <xf numFmtId="0" fontId="244" fillId="0" borderId="16" xfId="3" applyFont="1" applyFill="1" applyBorder="1" applyAlignment="1">
      <alignment horizontal="center" vertical="center" wrapText="1"/>
    </xf>
    <xf numFmtId="0" fontId="244" fillId="0" borderId="1" xfId="3" applyFont="1" applyFill="1" applyBorder="1" applyAlignment="1">
      <alignment horizontal="center" vertical="center" wrapText="1"/>
    </xf>
    <xf numFmtId="4" fontId="244" fillId="0" borderId="1" xfId="3" applyNumberFormat="1" applyFont="1" applyFill="1" applyBorder="1" applyAlignment="1">
      <alignment horizontal="center" vertical="center" wrapText="1"/>
    </xf>
    <xf numFmtId="4" fontId="244" fillId="0" borderId="1" xfId="3" applyNumberFormat="1" applyFont="1" applyFill="1" applyBorder="1" applyAlignment="1">
      <alignment horizontal="left" vertical="center" wrapText="1"/>
    </xf>
    <xf numFmtId="4" fontId="243" fillId="0" borderId="1" xfId="3" applyNumberFormat="1" applyFont="1" applyFill="1" applyBorder="1" applyAlignment="1">
      <alignment horizontal="center" vertical="center" wrapText="1"/>
    </xf>
    <xf numFmtId="4" fontId="22" fillId="0" borderId="1" xfId="3" applyNumberFormat="1" applyFont="1" applyFill="1" applyBorder="1" applyAlignment="1">
      <alignment horizontal="center" vertical="center" wrapText="1"/>
    </xf>
    <xf numFmtId="4" fontId="244" fillId="0" borderId="1" xfId="3" applyNumberFormat="1" applyFont="1" applyFill="1" applyBorder="1" applyAlignment="1">
      <alignment vertical="center" wrapText="1"/>
    </xf>
    <xf numFmtId="4" fontId="243" fillId="0" borderId="0" xfId="3" applyNumberFormat="1" applyFont="1" applyFill="1" applyBorder="1" applyAlignment="1">
      <alignment horizontal="center" vertical="center" wrapText="1"/>
    </xf>
    <xf numFmtId="0" fontId="245" fillId="0" borderId="0" xfId="0" applyFont="1" applyFill="1"/>
    <xf numFmtId="0" fontId="22" fillId="0" borderId="1" xfId="3" applyFont="1" applyFill="1" applyBorder="1" applyAlignment="1">
      <alignment horizontal="center" vertical="center" wrapText="1"/>
    </xf>
    <xf numFmtId="0" fontId="244" fillId="0" borderId="1" xfId="3" applyNumberFormat="1" applyFont="1" applyFill="1" applyBorder="1" applyAlignment="1">
      <alignment horizontal="center" vertical="center" wrapText="1"/>
    </xf>
    <xf numFmtId="0" fontId="22" fillId="0" borderId="1" xfId="3" applyNumberFormat="1" applyFont="1" applyFill="1" applyBorder="1" applyAlignment="1">
      <alignment horizontal="center" vertical="center" wrapText="1"/>
    </xf>
    <xf numFmtId="0" fontId="22" fillId="0" borderId="16" xfId="3" applyFont="1" applyFill="1" applyBorder="1" applyAlignment="1">
      <alignment horizontal="center" vertical="center" wrapText="1"/>
    </xf>
    <xf numFmtId="4" fontId="244" fillId="0" borderId="6" xfId="3" applyNumberFormat="1" applyFont="1" applyFill="1" applyBorder="1" applyAlignment="1">
      <alignment vertical="center" wrapText="1"/>
    </xf>
    <xf numFmtId="49" fontId="246" fillId="0" borderId="1" xfId="0" applyNumberFormat="1" applyFont="1" applyFill="1" applyBorder="1" applyAlignment="1">
      <alignment horizontal="center" vertical="center"/>
    </xf>
    <xf numFmtId="4" fontId="247" fillId="0" borderId="0" xfId="3" applyNumberFormat="1" applyFont="1" applyFill="1" applyBorder="1" applyAlignment="1">
      <alignment horizontal="center" vertical="center" wrapText="1"/>
    </xf>
    <xf numFmtId="0" fontId="246" fillId="0" borderId="0" xfId="0" applyFont="1" applyFill="1"/>
    <xf numFmtId="4" fontId="246" fillId="0" borderId="0" xfId="0" applyNumberFormat="1" applyFont="1" applyFill="1"/>
    <xf numFmtId="0" fontId="244" fillId="0" borderId="0" xfId="0" applyFont="1" applyFill="1"/>
    <xf numFmtId="0" fontId="244" fillId="0" borderId="0" xfId="0" applyFont="1" applyFill="1" applyBorder="1"/>
    <xf numFmtId="0" fontId="248" fillId="0" borderId="0" xfId="0" applyFont="1" applyFill="1"/>
    <xf numFmtId="4" fontId="242" fillId="0" borderId="0" xfId="0" applyNumberFormat="1" applyFont="1" applyFill="1"/>
    <xf numFmtId="4" fontId="244" fillId="0" borderId="7" xfId="3" applyNumberFormat="1" applyFont="1" applyFill="1" applyBorder="1" applyAlignment="1">
      <alignment vertical="center" wrapText="1"/>
    </xf>
    <xf numFmtId="0" fontId="243" fillId="0" borderId="0" xfId="3" applyFont="1" applyFill="1" applyBorder="1" applyAlignment="1">
      <alignment horizontal="right" vertical="center" wrapText="1"/>
    </xf>
    <xf numFmtId="4" fontId="244" fillId="0" borderId="0" xfId="3" applyNumberFormat="1" applyFont="1" applyFill="1" applyBorder="1" applyAlignment="1">
      <alignment vertical="center" wrapText="1"/>
    </xf>
    <xf numFmtId="0" fontId="249" fillId="0" borderId="0" xfId="0" applyFont="1" applyFill="1"/>
    <xf numFmtId="4" fontId="249" fillId="0" borderId="0" xfId="0" applyNumberFormat="1" applyFont="1" applyFill="1"/>
    <xf numFmtId="49" fontId="22" fillId="0" borderId="1" xfId="3" applyNumberFormat="1" applyFont="1" applyFill="1" applyBorder="1" applyAlignment="1">
      <alignment horizontal="center" vertical="center" wrapText="1"/>
    </xf>
    <xf numFmtId="0" fontId="244" fillId="0" borderId="4" xfId="3" applyFont="1" applyFill="1" applyBorder="1" applyAlignment="1">
      <alignment horizontal="center" vertical="center" wrapText="1"/>
    </xf>
    <xf numFmtId="0" fontId="244" fillId="0" borderId="4" xfId="3" applyFont="1" applyFill="1" applyBorder="1" applyAlignment="1">
      <alignment horizontal="left" vertical="center" wrapText="1"/>
    </xf>
    <xf numFmtId="0" fontId="243" fillId="0" borderId="1" xfId="3" applyFont="1" applyFill="1" applyBorder="1" applyAlignment="1">
      <alignment horizontal="center" vertical="center" wrapText="1"/>
    </xf>
    <xf numFmtId="0" fontId="241" fillId="0" borderId="0" xfId="0" applyFont="1" applyFill="1" applyAlignment="1">
      <alignment horizontal="center" wrapText="1"/>
    </xf>
    <xf numFmtId="0" fontId="243" fillId="0" borderId="1" xfId="3" applyFont="1" applyFill="1" applyBorder="1" applyAlignment="1">
      <alignment horizontal="right" vertical="center" wrapText="1"/>
    </xf>
    <xf numFmtId="49" fontId="244" fillId="0" borderId="1" xfId="3" applyNumberFormat="1" applyFont="1" applyFill="1" applyBorder="1" applyAlignment="1">
      <alignment horizontal="center" vertical="center" wrapText="1"/>
    </xf>
    <xf numFmtId="4" fontId="244" fillId="0" borderId="7" xfId="3" applyNumberFormat="1" applyFont="1" applyFill="1" applyBorder="1" applyAlignment="1">
      <alignment horizontal="left" vertical="center" wrapText="1"/>
    </xf>
    <xf numFmtId="4" fontId="244" fillId="0" borderId="6" xfId="3" applyNumberFormat="1" applyFont="1" applyFill="1" applyBorder="1" applyAlignment="1">
      <alignment horizontal="left" vertical="center" wrapText="1"/>
    </xf>
    <xf numFmtId="0" fontId="243" fillId="0" borderId="2" xfId="3" applyFont="1" applyFill="1" applyBorder="1" applyAlignment="1">
      <alignment horizontal="center" vertical="center" wrapText="1"/>
    </xf>
    <xf numFmtId="0" fontId="243" fillId="0" borderId="3" xfId="3" applyFont="1" applyFill="1" applyBorder="1" applyAlignment="1">
      <alignment horizontal="center" vertical="center" wrapText="1"/>
    </xf>
    <xf numFmtId="0" fontId="243" fillId="0" borderId="4" xfId="3" applyFont="1" applyFill="1" applyBorder="1" applyAlignment="1">
      <alignment horizontal="center" vertical="center" wrapText="1"/>
    </xf>
    <xf numFmtId="49" fontId="244" fillId="0" borderId="1" xfId="3" applyNumberFormat="1" applyFont="1" applyFill="1" applyBorder="1" applyAlignment="1">
      <alignment horizontal="center" vertical="center" wrapText="1"/>
    </xf>
    <xf numFmtId="0" fontId="241" fillId="0" borderId="0" xfId="0" applyFont="1" applyFill="1" applyAlignment="1">
      <alignment horizontal="center" wrapText="1"/>
    </xf>
    <xf numFmtId="0" fontId="5" fillId="0" borderId="2" xfId="3" applyFont="1" applyFill="1" applyBorder="1" applyAlignment="1">
      <alignment horizontal="right" vertical="center" wrapText="1"/>
    </xf>
    <xf numFmtId="0" fontId="5" fillId="0" borderId="3" xfId="3" applyFont="1" applyFill="1" applyBorder="1" applyAlignment="1">
      <alignment horizontal="right" vertical="center" wrapText="1"/>
    </xf>
    <xf numFmtId="0" fontId="5" fillId="0" borderId="4" xfId="3" applyFont="1" applyFill="1" applyBorder="1" applyAlignment="1">
      <alignment horizontal="right" vertical="center" wrapText="1"/>
    </xf>
    <xf numFmtId="0" fontId="5" fillId="0" borderId="1" xfId="3" applyFont="1" applyFill="1" applyBorder="1" applyAlignment="1">
      <alignment horizontal="center" vertical="center" wrapText="1"/>
    </xf>
    <xf numFmtId="0" fontId="4" fillId="0" borderId="0" xfId="3" applyFont="1" applyFill="1" applyAlignment="1">
      <alignment horizontal="left" vertical="center" wrapText="1"/>
    </xf>
    <xf numFmtId="0" fontId="4" fillId="0" borderId="0" xfId="3" applyFont="1" applyFill="1" applyAlignment="1">
      <alignment horizontal="right" vertical="center" wrapText="1"/>
    </xf>
    <xf numFmtId="0" fontId="5" fillId="0" borderId="1" xfId="3" applyFont="1" applyFill="1" applyBorder="1" applyAlignment="1">
      <alignment horizontal="right" vertical="center" wrapText="1"/>
    </xf>
    <xf numFmtId="0" fontId="2" fillId="0" borderId="0" xfId="3" applyFont="1" applyFill="1" applyAlignment="1">
      <alignment horizontal="center" vertical="center"/>
    </xf>
    <xf numFmtId="0" fontId="5" fillId="0" borderId="2" xfId="3" applyFont="1" applyFill="1" applyBorder="1" applyAlignment="1">
      <alignment horizontal="center" vertical="center" wrapText="1"/>
    </xf>
    <xf numFmtId="0" fontId="5" fillId="0" borderId="3" xfId="3" applyFont="1" applyFill="1" applyBorder="1" applyAlignment="1">
      <alignment horizontal="center" vertical="center" wrapText="1"/>
    </xf>
    <xf numFmtId="0" fontId="5" fillId="0" borderId="0" xfId="3" applyFont="1" applyFill="1" applyBorder="1" applyAlignment="1">
      <alignment horizontal="center" vertical="center" wrapText="1"/>
    </xf>
    <xf numFmtId="0" fontId="2" fillId="12" borderId="0" xfId="3" applyFont="1" applyFill="1" applyAlignment="1">
      <alignment horizontal="center" vertical="center"/>
    </xf>
    <xf numFmtId="0" fontId="24" fillId="19" borderId="17" xfId="3" applyFont="1" applyFill="1" applyBorder="1" applyAlignment="1">
      <alignment horizontal="center" vertical="center"/>
    </xf>
    <xf numFmtId="49" fontId="2" fillId="2" borderId="10" xfId="3" applyNumberFormat="1" applyFont="1" applyFill="1" applyBorder="1" applyAlignment="1">
      <alignment horizontal="center" vertical="center"/>
    </xf>
    <xf numFmtId="49" fontId="2" fillId="2" borderId="17" xfId="3" applyNumberFormat="1" applyFont="1" applyFill="1" applyBorder="1" applyAlignment="1">
      <alignment horizontal="center" vertical="center"/>
    </xf>
    <xf numFmtId="49" fontId="2" fillId="2" borderId="11" xfId="3" applyNumberFormat="1" applyFont="1" applyFill="1" applyBorder="1" applyAlignment="1">
      <alignment horizontal="center" vertical="center"/>
    </xf>
    <xf numFmtId="49" fontId="2" fillId="9" borderId="10" xfId="3" applyNumberFormat="1" applyFont="1" applyFill="1" applyBorder="1" applyAlignment="1">
      <alignment horizontal="center" vertical="center"/>
    </xf>
    <xf numFmtId="49" fontId="2" fillId="9" borderId="17" xfId="3" applyNumberFormat="1" applyFont="1" applyFill="1" applyBorder="1" applyAlignment="1">
      <alignment horizontal="center" vertical="center"/>
    </xf>
    <xf numFmtId="49" fontId="2" fillId="9" borderId="11" xfId="3" applyNumberFormat="1" applyFont="1" applyFill="1" applyBorder="1" applyAlignment="1">
      <alignment horizontal="center" vertical="center"/>
    </xf>
    <xf numFmtId="0" fontId="24" fillId="21" borderId="10" xfId="3" applyFont="1" applyFill="1" applyBorder="1" applyAlignment="1">
      <alignment horizontal="center" vertical="center"/>
    </xf>
    <xf numFmtId="0" fontId="24" fillId="21" borderId="17" xfId="3" applyFont="1" applyFill="1" applyBorder="1" applyAlignment="1">
      <alignment horizontal="center" vertical="center"/>
    </xf>
    <xf numFmtId="0" fontId="24" fillId="21" borderId="18" xfId="3" applyFont="1" applyFill="1" applyBorder="1" applyAlignment="1">
      <alignment horizontal="center" vertical="center"/>
    </xf>
    <xf numFmtId="0" fontId="24" fillId="19" borderId="10" xfId="3" applyFont="1" applyFill="1" applyBorder="1" applyAlignment="1">
      <alignment horizontal="center" vertical="center"/>
    </xf>
    <xf numFmtId="0" fontId="24" fillId="22" borderId="17" xfId="3" applyFont="1" applyFill="1" applyBorder="1" applyAlignment="1">
      <alignment horizontal="center" vertical="center"/>
    </xf>
    <xf numFmtId="0" fontId="24" fillId="22" borderId="11" xfId="3" applyFont="1" applyFill="1" applyBorder="1" applyAlignment="1">
      <alignment horizontal="center" vertical="center"/>
    </xf>
    <xf numFmtId="0" fontId="24" fillId="19" borderId="18" xfId="3" applyFont="1" applyFill="1" applyBorder="1" applyAlignment="1">
      <alignment horizontal="center" vertical="center"/>
    </xf>
    <xf numFmtId="0" fontId="24" fillId="17" borderId="10" xfId="3" applyFont="1" applyFill="1" applyBorder="1" applyAlignment="1">
      <alignment horizontal="center" vertical="center"/>
    </xf>
    <xf numFmtId="0" fontId="24" fillId="17" borderId="17" xfId="3" applyFont="1" applyFill="1" applyBorder="1" applyAlignment="1">
      <alignment horizontal="center" vertical="center"/>
    </xf>
    <xf numFmtId="0" fontId="24" fillId="17" borderId="18" xfId="3" applyFont="1" applyFill="1" applyBorder="1" applyAlignment="1">
      <alignment horizontal="center" vertical="center"/>
    </xf>
    <xf numFmtId="0" fontId="24" fillId="22" borderId="10" xfId="3" applyFont="1" applyFill="1" applyBorder="1" applyAlignment="1">
      <alignment horizontal="center" vertical="center"/>
    </xf>
    <xf numFmtId="0" fontId="34" fillId="0" borderId="1" xfId="3" applyFont="1" applyFill="1" applyBorder="1" applyAlignment="1">
      <alignment horizontal="center" vertical="center" wrapText="1"/>
    </xf>
    <xf numFmtId="4" fontId="33" fillId="0" borderId="7" xfId="97" applyNumberFormat="1" applyFont="1" applyBorder="1" applyAlignment="1">
      <alignment horizontal="justify" vertical="center" wrapText="1"/>
    </xf>
    <xf numFmtId="4" fontId="33" fillId="0" borderId="8" xfId="97" applyNumberFormat="1" applyFont="1" applyBorder="1" applyAlignment="1">
      <alignment horizontal="justify" vertical="center" wrapText="1"/>
    </xf>
    <xf numFmtId="4" fontId="33" fillId="0" borderId="6" xfId="97" applyNumberFormat="1" applyFont="1" applyBorder="1" applyAlignment="1">
      <alignment horizontal="justify" vertical="center" wrapText="1"/>
    </xf>
    <xf numFmtId="0" fontId="128" fillId="0" borderId="0" xfId="0" applyFont="1" applyAlignment="1">
      <alignment horizontal="center" wrapText="1"/>
    </xf>
    <xf numFmtId="0" fontId="34" fillId="0" borderId="2" xfId="3" applyFont="1" applyFill="1" applyBorder="1" applyAlignment="1">
      <alignment horizontal="right" vertical="center" wrapText="1"/>
    </xf>
    <xf numFmtId="0" fontId="34" fillId="0" borderId="3" xfId="3" applyFont="1" applyFill="1" applyBorder="1" applyAlignment="1">
      <alignment horizontal="right" vertical="center" wrapText="1"/>
    </xf>
    <xf numFmtId="0" fontId="34" fillId="0" borderId="4" xfId="3" applyFont="1" applyFill="1" applyBorder="1" applyAlignment="1">
      <alignment horizontal="right" vertical="center" wrapText="1"/>
    </xf>
    <xf numFmtId="0" fontId="55" fillId="0" borderId="2" xfId="3" applyFont="1" applyFill="1" applyBorder="1" applyAlignment="1">
      <alignment horizontal="right" vertical="center" wrapText="1"/>
    </xf>
    <xf numFmtId="0" fontId="55" fillId="0" borderId="3" xfId="3" applyFont="1" applyFill="1" applyBorder="1" applyAlignment="1">
      <alignment horizontal="right" vertical="center" wrapText="1"/>
    </xf>
    <xf numFmtId="0" fontId="55" fillId="0" borderId="4" xfId="3" applyFont="1" applyFill="1" applyBorder="1" applyAlignment="1">
      <alignment horizontal="right" vertical="center" wrapText="1"/>
    </xf>
    <xf numFmtId="4" fontId="144" fillId="0" borderId="7" xfId="97" applyNumberFormat="1" applyFont="1" applyFill="1" applyBorder="1" applyAlignment="1">
      <alignment horizontal="justify" vertical="center" wrapText="1"/>
    </xf>
    <xf numFmtId="4" fontId="144" fillId="0" borderId="8" xfId="97" applyNumberFormat="1" applyFont="1" applyFill="1" applyBorder="1" applyAlignment="1">
      <alignment horizontal="justify" vertical="center" wrapText="1"/>
    </xf>
    <xf numFmtId="4" fontId="144" fillId="0" borderId="6" xfId="97" applyNumberFormat="1" applyFont="1" applyFill="1" applyBorder="1" applyAlignment="1">
      <alignment horizontal="justify" vertical="center" wrapText="1"/>
    </xf>
    <xf numFmtId="0" fontId="207" fillId="21" borderId="17" xfId="3" applyFont="1" applyFill="1" applyBorder="1" applyAlignment="1">
      <alignment horizontal="center" vertical="center"/>
    </xf>
    <xf numFmtId="0" fontId="207" fillId="21" borderId="18" xfId="3" applyFont="1" applyFill="1" applyBorder="1" applyAlignment="1">
      <alignment horizontal="center" vertical="center"/>
    </xf>
    <xf numFmtId="0" fontId="33" fillId="0" borderId="1" xfId="3" applyFont="1" applyFill="1" applyBorder="1" applyAlignment="1">
      <alignment horizontal="center" vertical="center" wrapText="1"/>
    </xf>
    <xf numFmtId="0" fontId="55" fillId="0" borderId="1" xfId="3" applyFont="1" applyFill="1" applyBorder="1" applyAlignment="1">
      <alignment horizontal="left" vertical="center" wrapText="1"/>
    </xf>
    <xf numFmtId="0" fontId="55" fillId="0" borderId="1" xfId="3" applyFont="1" applyFill="1" applyBorder="1" applyAlignment="1">
      <alignment horizontal="center" vertical="center" wrapText="1"/>
    </xf>
    <xf numFmtId="4" fontId="33" fillId="0" borderId="7" xfId="97" applyNumberFormat="1" applyFont="1" applyFill="1" applyBorder="1" applyAlignment="1">
      <alignment horizontal="justify" vertical="center" wrapText="1"/>
    </xf>
    <xf numFmtId="4" fontId="33" fillId="0" borderId="8" xfId="97" applyNumberFormat="1" applyFont="1" applyFill="1" applyBorder="1" applyAlignment="1">
      <alignment horizontal="justify" vertical="center" wrapText="1"/>
    </xf>
    <xf numFmtId="4" fontId="33" fillId="0" borderId="6" xfId="97" applyNumberFormat="1" applyFont="1" applyFill="1" applyBorder="1" applyAlignment="1">
      <alignment horizontal="justify" vertical="center" wrapText="1"/>
    </xf>
    <xf numFmtId="49" fontId="33" fillId="0" borderId="53" xfId="3" applyNumberFormat="1" applyFont="1" applyFill="1" applyBorder="1" applyAlignment="1">
      <alignment horizontal="center" vertical="center" wrapText="1"/>
    </xf>
    <xf numFmtId="49" fontId="33" fillId="0" borderId="54" xfId="3" applyNumberFormat="1" applyFont="1" applyFill="1" applyBorder="1" applyAlignment="1">
      <alignment horizontal="center" vertical="center" wrapText="1"/>
    </xf>
    <xf numFmtId="49" fontId="33" fillId="0" borderId="55" xfId="3" applyNumberFormat="1" applyFont="1" applyFill="1" applyBorder="1" applyAlignment="1">
      <alignment horizontal="center" vertical="center" wrapText="1"/>
    </xf>
    <xf numFmtId="49" fontId="33" fillId="0" borderId="56" xfId="3" applyNumberFormat="1" applyFont="1" applyFill="1" applyBorder="1" applyAlignment="1">
      <alignment horizontal="center" vertical="center" wrapText="1"/>
    </xf>
    <xf numFmtId="49" fontId="33" fillId="0" borderId="0" xfId="3" applyNumberFormat="1" applyFont="1" applyFill="1" applyBorder="1" applyAlignment="1">
      <alignment horizontal="center" vertical="center" wrapText="1"/>
    </xf>
    <xf numFmtId="49" fontId="33" fillId="0" borderId="5" xfId="3" applyNumberFormat="1" applyFont="1" applyFill="1" applyBorder="1" applyAlignment="1">
      <alignment horizontal="center" vertical="center" wrapText="1"/>
    </xf>
    <xf numFmtId="49" fontId="33" fillId="0" borderId="39" xfId="3" applyNumberFormat="1" applyFont="1" applyFill="1" applyBorder="1" applyAlignment="1">
      <alignment horizontal="center" vertical="center" wrapText="1"/>
    </xf>
    <xf numFmtId="49" fontId="33" fillId="0" borderId="9" xfId="3" applyNumberFormat="1" applyFont="1" applyFill="1" applyBorder="1" applyAlignment="1">
      <alignment horizontal="center" vertical="center" wrapText="1"/>
    </xf>
    <xf numFmtId="49" fontId="33" fillId="0" borderId="42" xfId="3" applyNumberFormat="1" applyFont="1" applyFill="1" applyBorder="1" applyAlignment="1">
      <alignment horizontal="center" vertical="center" wrapText="1"/>
    </xf>
    <xf numFmtId="49" fontId="28" fillId="0" borderId="7" xfId="3" applyNumberFormat="1" applyFont="1" applyFill="1" applyBorder="1" applyAlignment="1">
      <alignment horizontal="center" vertical="center" wrapText="1"/>
    </xf>
    <xf numFmtId="49" fontId="28" fillId="0" borderId="8" xfId="3" applyNumberFormat="1" applyFont="1" applyFill="1" applyBorder="1" applyAlignment="1">
      <alignment horizontal="center" vertical="center" wrapText="1"/>
    </xf>
    <xf numFmtId="49" fontId="28" fillId="0" borderId="6" xfId="3" applyNumberFormat="1" applyFont="1" applyFill="1" applyBorder="1" applyAlignment="1">
      <alignment horizontal="center" vertical="center" wrapText="1"/>
    </xf>
    <xf numFmtId="4" fontId="215" fillId="0" borderId="1" xfId="97" applyNumberFormat="1" applyFont="1" applyFill="1" applyBorder="1" applyAlignment="1">
      <alignment horizontal="justify" vertical="center" wrapText="1"/>
    </xf>
    <xf numFmtId="4" fontId="215" fillId="0" borderId="7" xfId="97" applyNumberFormat="1" applyFont="1" applyFill="1" applyBorder="1" applyAlignment="1">
      <alignment horizontal="justify" vertical="center" wrapText="1"/>
    </xf>
    <xf numFmtId="4" fontId="215" fillId="0" borderId="6" xfId="97" applyNumberFormat="1" applyFont="1" applyFill="1" applyBorder="1" applyAlignment="1">
      <alignment horizontal="justify" vertical="center" wrapText="1"/>
    </xf>
    <xf numFmtId="4" fontId="32" fillId="0" borderId="7" xfId="97" applyNumberFormat="1" applyFont="1" applyFill="1" applyBorder="1" applyAlignment="1">
      <alignment horizontal="justify" vertical="center" wrapText="1"/>
    </xf>
    <xf numFmtId="4" fontId="32" fillId="0" borderId="8" xfId="97" applyNumberFormat="1" applyFont="1" applyFill="1" applyBorder="1" applyAlignment="1">
      <alignment horizontal="justify" vertical="center" wrapText="1"/>
    </xf>
    <xf numFmtId="4" fontId="32" fillId="0" borderId="6" xfId="97" applyNumberFormat="1" applyFont="1" applyFill="1" applyBorder="1" applyAlignment="1">
      <alignment horizontal="justify" vertical="center" wrapText="1"/>
    </xf>
    <xf numFmtId="4" fontId="144" fillId="0" borderId="7" xfId="97" applyNumberFormat="1" applyFont="1" applyBorder="1" applyAlignment="1">
      <alignment horizontal="left" vertical="center" wrapText="1" indent="1"/>
    </xf>
    <xf numFmtId="4" fontId="140" fillId="0" borderId="8" xfId="97" applyNumberFormat="1" applyFont="1" applyBorder="1" applyAlignment="1">
      <alignment horizontal="left" vertical="center" wrapText="1" indent="1"/>
    </xf>
    <xf numFmtId="4" fontId="140" fillId="0" borderId="6" xfId="97" applyNumberFormat="1" applyFont="1" applyBorder="1" applyAlignment="1">
      <alignment horizontal="left" vertical="center" wrapText="1" indent="1"/>
    </xf>
    <xf numFmtId="0" fontId="28" fillId="0" borderId="1" xfId="3" applyFont="1" applyFill="1" applyBorder="1" applyAlignment="1">
      <alignment horizontal="center" vertical="center" wrapText="1"/>
    </xf>
    <xf numFmtId="49" fontId="33" fillId="0" borderId="1" xfId="3" applyNumberFormat="1" applyFont="1" applyFill="1" applyBorder="1" applyAlignment="1">
      <alignment horizontal="center" vertical="center" wrapText="1"/>
    </xf>
    <xf numFmtId="0" fontId="142" fillId="0" borderId="1" xfId="97" applyFont="1" applyBorder="1" applyAlignment="1">
      <alignment horizontal="center" vertical="center" wrapText="1"/>
    </xf>
    <xf numFmtId="0" fontId="135" fillId="0" borderId="0" xfId="96" applyFont="1" applyAlignment="1">
      <alignment horizontal="center" wrapText="1"/>
    </xf>
    <xf numFmtId="0" fontId="137" fillId="0" borderId="1" xfId="97" applyFont="1" applyBorder="1" applyAlignment="1">
      <alignment horizontal="center" vertical="center" wrapText="1"/>
    </xf>
    <xf numFmtId="0" fontId="139" fillId="0" borderId="1" xfId="97" applyFont="1" applyBorder="1" applyAlignment="1">
      <alignment horizontal="left" vertical="center" wrapText="1"/>
    </xf>
    <xf numFmtId="0" fontId="139" fillId="0" borderId="1" xfId="97" applyFont="1" applyBorder="1" applyAlignment="1">
      <alignment horizontal="center" vertical="center" wrapText="1"/>
    </xf>
    <xf numFmtId="49" fontId="140" fillId="0" borderId="1" xfId="97" applyNumberFormat="1" applyFont="1" applyBorder="1" applyAlignment="1">
      <alignment horizontal="center" vertical="center" wrapText="1"/>
    </xf>
    <xf numFmtId="0" fontId="34" fillId="0" borderId="1" xfId="3" applyFont="1" applyFill="1" applyBorder="1" applyAlignment="1">
      <alignment horizontal="left" vertical="center" wrapText="1"/>
    </xf>
    <xf numFmtId="0" fontId="26" fillId="0" borderId="1" xfId="3" applyFont="1" applyFill="1" applyBorder="1" applyAlignment="1">
      <alignment horizontal="left" vertical="center" wrapText="1"/>
    </xf>
    <xf numFmtId="49" fontId="34" fillId="0" borderId="1" xfId="3" applyNumberFormat="1" applyFont="1" applyFill="1" applyBorder="1" applyAlignment="1">
      <alignment horizontal="left" vertical="center" wrapText="1"/>
    </xf>
    <xf numFmtId="0" fontId="23" fillId="0" borderId="0" xfId="0" applyFont="1" applyAlignment="1">
      <alignment horizontal="center" wrapText="1"/>
    </xf>
    <xf numFmtId="0" fontId="26" fillId="0" borderId="7" xfId="3" applyFont="1" applyFill="1" applyBorder="1" applyAlignment="1">
      <alignment horizontal="left" vertical="center" wrapText="1"/>
    </xf>
    <xf numFmtId="0" fontId="26" fillId="0" borderId="6" xfId="3" applyFont="1" applyFill="1" applyBorder="1" applyAlignment="1">
      <alignment horizontal="left" vertical="center" wrapText="1"/>
    </xf>
    <xf numFmtId="0" fontId="33" fillId="0" borderId="7" xfId="3" applyFont="1" applyFill="1" applyBorder="1" applyAlignment="1">
      <alignment horizontal="center" vertical="center" wrapText="1"/>
    </xf>
    <xf numFmtId="0" fontId="33" fillId="0" borderId="6" xfId="3" applyFont="1" applyFill="1" applyBorder="1" applyAlignment="1">
      <alignment horizontal="center" vertical="center" wrapText="1"/>
    </xf>
    <xf numFmtId="0" fontId="34" fillId="0" borderId="2" xfId="3" applyFont="1" applyFill="1" applyBorder="1" applyAlignment="1">
      <alignment horizontal="center" vertical="center" wrapText="1"/>
    </xf>
    <xf numFmtId="0" fontId="34" fillId="0" borderId="3" xfId="3" applyFont="1" applyFill="1" applyBorder="1" applyAlignment="1">
      <alignment horizontal="center" vertical="center" wrapText="1"/>
    </xf>
    <xf numFmtId="0" fontId="34" fillId="0" borderId="4" xfId="3" applyFont="1" applyFill="1" applyBorder="1" applyAlignment="1">
      <alignment horizontal="center" vertical="center" wrapText="1"/>
    </xf>
    <xf numFmtId="0" fontId="26" fillId="0" borderId="7" xfId="3" applyFont="1" applyFill="1" applyBorder="1" applyAlignment="1">
      <alignment horizontal="center" vertical="center" wrapText="1"/>
    </xf>
    <xf numFmtId="0" fontId="26" fillId="0" borderId="8" xfId="3" applyFont="1" applyFill="1" applyBorder="1" applyAlignment="1">
      <alignment horizontal="center" vertical="center" wrapText="1"/>
    </xf>
    <xf numFmtId="0" fontId="26" fillId="0" borderId="6" xfId="3" applyFont="1" applyFill="1" applyBorder="1" applyAlignment="1">
      <alignment horizontal="center" vertical="center" wrapText="1"/>
    </xf>
    <xf numFmtId="0" fontId="25" fillId="0" borderId="2" xfId="3" applyFont="1" applyFill="1" applyBorder="1" applyAlignment="1">
      <alignment horizontal="center" vertical="center" wrapText="1"/>
    </xf>
    <xf numFmtId="0" fontId="25" fillId="0" borderId="3" xfId="3" applyFont="1" applyFill="1" applyBorder="1" applyAlignment="1">
      <alignment horizontal="center" vertical="center" wrapText="1"/>
    </xf>
    <xf numFmtId="0" fontId="25" fillId="0" borderId="4" xfId="3" applyFont="1" applyFill="1" applyBorder="1" applyAlignment="1">
      <alignment horizontal="center" vertical="center" wrapText="1"/>
    </xf>
    <xf numFmtId="0" fontId="24" fillId="0" borderId="2" xfId="3" applyFont="1" applyFill="1" applyBorder="1" applyAlignment="1">
      <alignment horizontal="center" vertical="center" wrapText="1"/>
    </xf>
    <xf numFmtId="0" fontId="24" fillId="0" borderId="3" xfId="3" applyFont="1" applyFill="1" applyBorder="1" applyAlignment="1">
      <alignment horizontal="center" vertical="center" wrapText="1"/>
    </xf>
    <xf numFmtId="0" fontId="24" fillId="0" borderId="4" xfId="3" applyFont="1" applyFill="1" applyBorder="1" applyAlignment="1">
      <alignment horizontal="center" vertical="center" wrapText="1"/>
    </xf>
    <xf numFmtId="0" fontId="25" fillId="0" borderId="2" xfId="3" applyFont="1" applyFill="1" applyBorder="1" applyAlignment="1">
      <alignment horizontal="left" vertical="center" wrapText="1"/>
    </xf>
    <xf numFmtId="0" fontId="25" fillId="0" borderId="3" xfId="3" applyFont="1" applyFill="1" applyBorder="1" applyAlignment="1">
      <alignment horizontal="left" vertical="center" wrapText="1"/>
    </xf>
    <xf numFmtId="0" fontId="25" fillId="0" borderId="4" xfId="3" applyFont="1" applyFill="1" applyBorder="1" applyAlignment="1">
      <alignment horizontal="left" vertical="center" wrapText="1"/>
    </xf>
    <xf numFmtId="49" fontId="24" fillId="0" borderId="2" xfId="3" applyNumberFormat="1" applyFont="1" applyFill="1" applyBorder="1" applyAlignment="1">
      <alignment horizontal="center" vertical="center" wrapText="1"/>
    </xf>
    <xf numFmtId="49" fontId="24" fillId="0" borderId="3" xfId="3" applyNumberFormat="1" applyFont="1" applyFill="1" applyBorder="1" applyAlignment="1">
      <alignment horizontal="center" vertical="center" wrapText="1"/>
    </xf>
    <xf numFmtId="49" fontId="24" fillId="0" borderId="4" xfId="3" applyNumberFormat="1" applyFont="1" applyFill="1" applyBorder="1" applyAlignment="1">
      <alignment horizontal="center" vertical="center" wrapText="1"/>
    </xf>
    <xf numFmtId="0" fontId="24" fillId="0" borderId="17" xfId="3" applyFont="1" applyFill="1" applyBorder="1" applyAlignment="1">
      <alignment horizontal="center" vertical="center"/>
    </xf>
    <xf numFmtId="0" fontId="24" fillId="0" borderId="10" xfId="3" applyFont="1" applyFill="1" applyBorder="1" applyAlignment="1">
      <alignment horizontal="center" vertical="center"/>
    </xf>
    <xf numFmtId="49" fontId="2" fillId="0" borderId="10" xfId="3" applyNumberFormat="1" applyFont="1" applyFill="1" applyBorder="1" applyAlignment="1">
      <alignment horizontal="center" vertical="center"/>
    </xf>
    <xf numFmtId="49" fontId="2" fillId="0" borderId="17" xfId="3" applyNumberFormat="1" applyFont="1" applyFill="1" applyBorder="1" applyAlignment="1">
      <alignment horizontal="center" vertical="center"/>
    </xf>
    <xf numFmtId="49" fontId="2" fillId="0" borderId="11" xfId="3" applyNumberFormat="1" applyFont="1" applyFill="1" applyBorder="1" applyAlignment="1">
      <alignment horizontal="center" vertical="center"/>
    </xf>
    <xf numFmtId="4" fontId="32" fillId="0" borderId="1" xfId="97" applyNumberFormat="1" applyFont="1" applyFill="1" applyBorder="1" applyAlignment="1">
      <alignment horizontal="justify" vertical="center" wrapText="1"/>
    </xf>
    <xf numFmtId="4" fontId="26" fillId="0" borderId="7" xfId="97" applyNumberFormat="1" applyFont="1" applyFill="1" applyBorder="1" applyAlignment="1">
      <alignment horizontal="justify" vertical="center" wrapText="1"/>
    </xf>
    <xf numFmtId="4" fontId="26" fillId="0" borderId="8" xfId="97" applyNumberFormat="1" applyFont="1" applyFill="1" applyBorder="1" applyAlignment="1">
      <alignment horizontal="justify" vertical="center" wrapText="1"/>
    </xf>
    <xf numFmtId="4" fontId="26" fillId="0" borderId="6" xfId="97" applyNumberFormat="1" applyFont="1" applyFill="1" applyBorder="1" applyAlignment="1">
      <alignment horizontal="justify" vertical="center" wrapText="1"/>
    </xf>
    <xf numFmtId="0" fontId="55" fillId="0" borderId="2" xfId="3" applyFont="1" applyFill="1" applyBorder="1" applyAlignment="1">
      <alignment horizontal="center" vertical="center" wrapText="1"/>
    </xf>
    <xf numFmtId="0" fontId="55" fillId="0" borderId="3" xfId="3" applyFont="1" applyFill="1" applyBorder="1" applyAlignment="1">
      <alignment horizontal="center" vertical="center" wrapText="1"/>
    </xf>
    <xf numFmtId="0" fontId="55" fillId="0" borderId="4" xfId="3" applyFont="1" applyFill="1" applyBorder="1" applyAlignment="1">
      <alignment horizontal="center" vertical="center" wrapText="1"/>
    </xf>
    <xf numFmtId="0" fontId="128" fillId="0" borderId="0" xfId="0" applyFont="1" applyFill="1" applyAlignment="1">
      <alignment horizontal="center" wrapText="1"/>
    </xf>
    <xf numFmtId="0" fontId="26" fillId="0" borderId="7" xfId="3" applyFont="1" applyFill="1" applyBorder="1" applyAlignment="1">
      <alignment horizontal="justify" vertical="center" wrapText="1"/>
    </xf>
    <xf numFmtId="0" fontId="26" fillId="0" borderId="6" xfId="3" applyFont="1" applyFill="1" applyBorder="1" applyAlignment="1">
      <alignment horizontal="justify" vertical="center" wrapText="1"/>
    </xf>
    <xf numFmtId="0" fontId="26" fillId="0" borderId="8" xfId="3" applyFont="1" applyFill="1" applyBorder="1" applyAlignment="1">
      <alignment horizontal="justify" vertical="center" wrapText="1"/>
    </xf>
    <xf numFmtId="0" fontId="28" fillId="0" borderId="7" xfId="3" applyFont="1" applyFill="1" applyBorder="1" applyAlignment="1">
      <alignment horizontal="center" vertical="center" wrapText="1"/>
    </xf>
    <xf numFmtId="0" fontId="28" fillId="0" borderId="8" xfId="3" applyFont="1" applyFill="1" applyBorder="1" applyAlignment="1">
      <alignment horizontal="center" vertical="center" wrapText="1"/>
    </xf>
    <xf numFmtId="0" fontId="28" fillId="0" borderId="6" xfId="3" applyFont="1" applyFill="1" applyBorder="1" applyAlignment="1">
      <alignment horizontal="center" vertical="center" wrapText="1"/>
    </xf>
    <xf numFmtId="4" fontId="33" fillId="0" borderId="1" xfId="97" applyNumberFormat="1" applyFont="1" applyFill="1" applyBorder="1" applyAlignment="1">
      <alignment horizontal="justify" vertical="center" wrapText="1"/>
    </xf>
    <xf numFmtId="0" fontId="26" fillId="0" borderId="8" xfId="3" applyFont="1" applyFill="1" applyBorder="1" applyAlignment="1">
      <alignment horizontal="left" vertical="center" wrapText="1"/>
    </xf>
    <xf numFmtId="0" fontId="26" fillId="0" borderId="7" xfId="3" applyFont="1" applyFill="1" applyBorder="1" applyAlignment="1">
      <alignment vertical="center" wrapText="1"/>
    </xf>
    <xf numFmtId="0" fontId="26" fillId="0" borderId="6" xfId="3" applyFont="1" applyFill="1" applyBorder="1" applyAlignment="1">
      <alignment vertical="center" wrapText="1"/>
    </xf>
    <xf numFmtId="49" fontId="33" fillId="0" borderId="2" xfId="3" applyNumberFormat="1" applyFont="1" applyFill="1" applyBorder="1" applyAlignment="1">
      <alignment horizontal="center" vertical="center" wrapText="1"/>
    </xf>
    <xf numFmtId="49" fontId="33" fillId="0" borderId="3" xfId="3" applyNumberFormat="1" applyFont="1" applyFill="1" applyBorder="1" applyAlignment="1">
      <alignment horizontal="center" vertical="center" wrapText="1"/>
    </xf>
    <xf numFmtId="49" fontId="33" fillId="0" borderId="4" xfId="3" applyNumberFormat="1" applyFont="1" applyFill="1" applyBorder="1" applyAlignment="1">
      <alignment horizontal="center" vertical="center" wrapText="1"/>
    </xf>
    <xf numFmtId="0" fontId="28" fillId="0" borderId="1" xfId="3" applyFont="1" applyFill="1" applyBorder="1" applyAlignment="1">
      <alignment horizontal="left" vertical="center" wrapText="1"/>
    </xf>
    <xf numFmtId="0" fontId="55" fillId="0" borderId="1" xfId="3" applyFont="1" applyFill="1" applyBorder="1" applyAlignment="1">
      <alignment horizontal="right" vertical="center" wrapText="1"/>
    </xf>
    <xf numFmtId="4" fontId="33" fillId="0" borderId="1" xfId="97" applyNumberFormat="1" applyFont="1" applyFill="1" applyBorder="1" applyAlignment="1">
      <alignment horizontal="left" vertical="center" wrapText="1"/>
    </xf>
    <xf numFmtId="4" fontId="33" fillId="0" borderId="7" xfId="97" applyNumberFormat="1" applyFont="1" applyFill="1" applyBorder="1" applyAlignment="1">
      <alignment horizontal="left" vertical="center" wrapText="1"/>
    </xf>
    <xf numFmtId="4" fontId="33" fillId="0" borderId="6" xfId="97" applyNumberFormat="1" applyFont="1" applyFill="1" applyBorder="1" applyAlignment="1">
      <alignment horizontal="left" vertical="center" wrapText="1"/>
    </xf>
    <xf numFmtId="49" fontId="244" fillId="0" borderId="1" xfId="3" applyNumberFormat="1" applyFont="1" applyFill="1" applyBorder="1" applyAlignment="1">
      <alignment horizontal="center" vertical="center" wrapText="1"/>
    </xf>
    <xf numFmtId="0" fontId="243" fillId="0" borderId="1" xfId="3" applyFont="1" applyFill="1" applyBorder="1" applyAlignment="1">
      <alignment horizontal="right" vertical="center" wrapText="1"/>
    </xf>
    <xf numFmtId="0" fontId="243" fillId="0" borderId="1" xfId="3" applyFont="1" applyFill="1" applyBorder="1" applyAlignment="1">
      <alignment horizontal="left" vertical="center" wrapText="1"/>
    </xf>
    <xf numFmtId="0" fontId="243" fillId="0" borderId="2" xfId="3" applyFont="1" applyFill="1" applyBorder="1" applyAlignment="1">
      <alignment horizontal="center" vertical="center" wrapText="1"/>
    </xf>
    <xf numFmtId="0" fontId="243" fillId="0" borderId="3" xfId="3" applyFont="1" applyFill="1" applyBorder="1" applyAlignment="1">
      <alignment horizontal="center" vertical="center" wrapText="1"/>
    </xf>
    <xf numFmtId="0" fontId="243" fillId="0" borderId="4" xfId="3" applyFont="1" applyFill="1" applyBorder="1" applyAlignment="1">
      <alignment horizontal="center" vertical="center" wrapText="1"/>
    </xf>
    <xf numFmtId="49" fontId="244" fillId="0" borderId="2" xfId="3" applyNumberFormat="1" applyFont="1" applyFill="1" applyBorder="1" applyAlignment="1">
      <alignment horizontal="center" vertical="center" wrapText="1"/>
    </xf>
    <xf numFmtId="49" fontId="244" fillId="0" borderId="4" xfId="3" applyNumberFormat="1" applyFont="1" applyFill="1" applyBorder="1" applyAlignment="1">
      <alignment horizontal="center" vertical="center" wrapText="1"/>
    </xf>
    <xf numFmtId="0" fontId="243" fillId="0" borderId="1" xfId="3" applyFont="1" applyFill="1" applyBorder="1" applyAlignment="1">
      <alignment horizontal="center" vertical="center" wrapText="1"/>
    </xf>
    <xf numFmtId="0" fontId="241" fillId="0" borderId="0" xfId="0" applyFont="1" applyFill="1" applyAlignment="1">
      <alignment horizontal="center" wrapText="1"/>
    </xf>
    <xf numFmtId="0" fontId="241" fillId="0" borderId="0" xfId="0" applyFont="1" applyFill="1" applyAlignment="1">
      <alignment horizontal="left" vertical="center" wrapText="1"/>
    </xf>
    <xf numFmtId="0" fontId="40" fillId="0" borderId="1" xfId="3" applyFont="1" applyFill="1" applyBorder="1" applyAlignment="1">
      <alignment horizontal="left" vertical="center" wrapText="1"/>
    </xf>
  </cellXfs>
  <cellStyles count="101">
    <cellStyle name="_Расходники приложение" xfId="78"/>
    <cellStyle name="_Хозка спецификация" xfId="79"/>
    <cellStyle name="20% — акцент1 2" xfId="31"/>
    <cellStyle name="20% — акцент2 2" xfId="32"/>
    <cellStyle name="20% — акцент3 2" xfId="33"/>
    <cellStyle name="20% — акцент4 2" xfId="34"/>
    <cellStyle name="20% — акцент5 2" xfId="35"/>
    <cellStyle name="20% — акцент6 2" xfId="36"/>
    <cellStyle name="40% — акцент1 2" xfId="37"/>
    <cellStyle name="40% — акцент2 2" xfId="38"/>
    <cellStyle name="40% — акцент3 2" xfId="39"/>
    <cellStyle name="40% — акцент4 2" xfId="40"/>
    <cellStyle name="40% — акцент5 2" xfId="41"/>
    <cellStyle name="40% — акцент6 2" xfId="42"/>
    <cellStyle name="60% — акцент1 2" xfId="43"/>
    <cellStyle name="60% — акцент2 2" xfId="44"/>
    <cellStyle name="60% — акцент3 2" xfId="45"/>
    <cellStyle name="60% — акцент4 2" xfId="46"/>
    <cellStyle name="60% — акцент5 2" xfId="47"/>
    <cellStyle name="60% — акцент6 2" xfId="48"/>
    <cellStyle name="Comma_DSPLIST" xfId="80"/>
    <cellStyle name="Currency [0]_DSPLIST" xfId="81"/>
    <cellStyle name="Currency_DSPLIST" xfId="82"/>
    <cellStyle name="Milliers [0]_Conversion Summary" xfId="83"/>
    <cellStyle name="Milliers_Conversion Summary" xfId="84"/>
    <cellStyle name="Monйtaire [0]_Conversion Summary" xfId="85"/>
    <cellStyle name="Monйtaire_Conversion Summary" xfId="86"/>
    <cellStyle name="Normal_Campaign" xfId="87"/>
    <cellStyle name="Акцент1 2" xfId="49"/>
    <cellStyle name="Акцент2 2" xfId="50"/>
    <cellStyle name="Акцент3 2" xfId="51"/>
    <cellStyle name="Акцент4 2" xfId="52"/>
    <cellStyle name="Акцент5 2" xfId="53"/>
    <cellStyle name="Акцент6 2" xfId="54"/>
    <cellStyle name="Ввод  2" xfId="55"/>
    <cellStyle name="Вывод 2" xfId="56"/>
    <cellStyle name="Вычисление 2" xfId="57"/>
    <cellStyle name="Гиперссылка 2" xfId="76"/>
    <cellStyle name="Денежный 2" xfId="9"/>
    <cellStyle name="Заголовок 1 2" xfId="58"/>
    <cellStyle name="Заголовок 2 2" xfId="59"/>
    <cellStyle name="Заголовок 3 2" xfId="60"/>
    <cellStyle name="Заголовок 4 2" xfId="61"/>
    <cellStyle name="Итог 2" xfId="62"/>
    <cellStyle name="Контрольная ячейка 2" xfId="63"/>
    <cellStyle name="Название 2" xfId="64"/>
    <cellStyle name="Нейтральный 2" xfId="65"/>
    <cellStyle name="Обычный" xfId="0" builtinId="0"/>
    <cellStyle name="Обычный 10" xfId="88"/>
    <cellStyle name="Обычный 11" xfId="74"/>
    <cellStyle name="Обычный 12" xfId="89"/>
    <cellStyle name="Обычный 13" xfId="96"/>
    <cellStyle name="Обычный 13 2" xfId="98"/>
    <cellStyle name="Обычный 14" xfId="99"/>
    <cellStyle name="Обычный 16" xfId="90"/>
    <cellStyle name="Обычный 2" xfId="2"/>
    <cellStyle name="Обычный 2 2" xfId="4"/>
    <cellStyle name="Обычный 2 2 2" xfId="3"/>
    <cellStyle name="Обычный 2 2 2 2" xfId="97"/>
    <cellStyle name="Обычный 2 3" xfId="10"/>
    <cellStyle name="Обычный 2 4" xfId="11"/>
    <cellStyle name="Обычный 3" xfId="5"/>
    <cellStyle name="Обычный 3 2" xfId="73"/>
    <cellStyle name="Обычный 4" xfId="6"/>
    <cellStyle name="Обычный 4 2" xfId="28"/>
    <cellStyle name="Обычный 5" xfId="12"/>
    <cellStyle name="Обычный 5 2" xfId="13"/>
    <cellStyle name="Обычный 5 3" xfId="30"/>
    <cellStyle name="Обычный 5 4" xfId="29"/>
    <cellStyle name="Обычный 5_Xl0000005" xfId="14"/>
    <cellStyle name="Обычный 6" xfId="15"/>
    <cellStyle name="Обычный 6 2" xfId="72"/>
    <cellStyle name="Обычный 7" xfId="91"/>
    <cellStyle name="Обычный 8" xfId="27"/>
    <cellStyle name="Обычный 9" xfId="75"/>
    <cellStyle name="Плохой 2" xfId="66"/>
    <cellStyle name="Пояснение 2" xfId="67"/>
    <cellStyle name="Примечание 2" xfId="68"/>
    <cellStyle name="Процентный" xfId="26" builtinId="5"/>
    <cellStyle name="Процентный 2" xfId="16"/>
    <cellStyle name="Процентный 3" xfId="17"/>
    <cellStyle name="Связанная ячейка 2" xfId="69"/>
    <cellStyle name="Стиль 1" xfId="7"/>
    <cellStyle name="Стиль 1 2" xfId="77"/>
    <cellStyle name="Текст предупреждения 2" xfId="70"/>
    <cellStyle name="Тысячи [0]_Example " xfId="92"/>
    <cellStyle name="Тысячи_Example " xfId="93"/>
    <cellStyle name="УровеньСтолб_1" xfId="1" builtinId="2" iLevel="0"/>
    <cellStyle name="Финансовый" xfId="25" builtinId="3"/>
    <cellStyle name="Финансовый 2" xfId="8"/>
    <cellStyle name="Финансовый 2 2" xfId="18"/>
    <cellStyle name="Финансовый 2 2 2" xfId="94"/>
    <cellStyle name="Финансовый 2 3" xfId="19"/>
    <cellStyle name="Финансовый 2 3 2" xfId="95"/>
    <cellStyle name="Финансовый 2 4" xfId="20"/>
    <cellStyle name="Финансовый 3" xfId="21"/>
    <cellStyle name="Финансовый 4" xfId="22"/>
    <cellStyle name="Финансовый 5" xfId="23"/>
    <cellStyle name="Финансовый 6" xfId="24"/>
    <cellStyle name="Финансовый 7" xfId="100"/>
    <cellStyle name="Хороший 2" xfId="71"/>
  </cellStyles>
  <dxfs count="6682">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FF0000"/>
        </patternFill>
      </fill>
    </dxf>
    <dxf>
      <fill>
        <patternFill>
          <bgColor rgb="FFFF000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rgb="FF00B050"/>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
      <fill>
        <patternFill>
          <bgColor theme="9" tint="-0.24994659260841701"/>
        </patternFill>
      </fill>
    </dxf>
    <dxf>
      <fill>
        <patternFill>
          <bgColor theme="7" tint="0.39994506668294322"/>
        </patternFill>
      </fill>
    </dxf>
    <dxf>
      <fill>
        <patternFill>
          <bgColor theme="3" tint="0.39994506668294322"/>
        </patternFill>
      </fill>
    </dxf>
    <dxf>
      <fill>
        <patternFill>
          <bgColor rgb="FF00B050"/>
        </patternFill>
      </fill>
    </dxf>
  </dxfs>
  <tableStyles count="0" defaultTableStyle="TableStyleMedium2" defaultPivotStyle="PivotStyleLight16"/>
  <colors>
    <mruColors>
      <color rgb="FFFFFF00"/>
      <color rgb="FFFFE989"/>
      <color rgb="FF66FF66"/>
      <color rgb="FF00FF00"/>
      <color rgb="FF0000FF"/>
      <color rgb="FF009900"/>
      <color rgb="FF993300"/>
      <color rgb="FFFFFF66"/>
      <color rgb="FFFFCC66"/>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rgb="FF92D050"/>
  </sheetPr>
  <dimension ref="A3:U318"/>
  <sheetViews>
    <sheetView view="pageBreakPreview" topLeftCell="A52" zoomScale="87" zoomScaleNormal="85" zoomScaleSheetLayoutView="87" workbookViewId="0">
      <selection activeCell="F37" sqref="F37"/>
    </sheetView>
  </sheetViews>
  <sheetFormatPr defaultRowHeight="12.75" outlineLevelCol="1"/>
  <cols>
    <col min="1" max="1" width="12.85546875" style="2" customWidth="1"/>
    <col min="2" max="2" width="7.85546875" style="2" customWidth="1"/>
    <col min="3" max="3" width="24.42578125" style="2" customWidth="1"/>
    <col min="4" max="4" width="8.42578125" style="2" customWidth="1"/>
    <col min="5" max="5" width="8.85546875" style="2" customWidth="1"/>
    <col min="6" max="6" width="45.7109375" style="2" customWidth="1"/>
    <col min="7" max="7" width="14.85546875" style="34" customWidth="1"/>
    <col min="8" max="8" width="14.7109375" style="49" customWidth="1" outlineLevel="1"/>
    <col min="9" max="9" width="15.5703125" style="49" customWidth="1" outlineLevel="1"/>
    <col min="10" max="10" width="15.5703125" style="34" customWidth="1"/>
    <col min="11" max="12" width="15.5703125" style="49" customWidth="1"/>
    <col min="13" max="13" width="15.7109375" style="34" customWidth="1"/>
    <col min="14" max="15" width="15.5703125" style="49" customWidth="1"/>
    <col min="16" max="16" width="15.85546875" style="2" customWidth="1"/>
    <col min="17" max="17" width="13.42578125" style="2" bestFit="1" customWidth="1"/>
    <col min="18" max="18" width="17.140625" style="2" customWidth="1"/>
    <col min="19" max="19" width="13.42578125" style="2" bestFit="1" customWidth="1"/>
    <col min="20" max="20" width="10" style="2" bestFit="1" customWidth="1"/>
    <col min="21" max="21" width="23.5703125" style="2" bestFit="1" customWidth="1"/>
    <col min="22" max="260" width="9.140625" style="2"/>
    <col min="261" max="261" width="16.28515625" style="2" customWidth="1"/>
    <col min="262" max="262" width="9.5703125" style="2" customWidth="1"/>
    <col min="263" max="263" width="25.85546875" style="2" customWidth="1"/>
    <col min="264" max="264" width="10.7109375" style="2" customWidth="1"/>
    <col min="265" max="265" width="40.42578125" style="2" customWidth="1"/>
    <col min="266" max="266" width="30.5703125" style="2" customWidth="1"/>
    <col min="267" max="267" width="16.42578125" style="2" customWidth="1"/>
    <col min="268" max="268" width="13" style="2" bestFit="1" customWidth="1"/>
    <col min="269" max="516" width="9.140625" style="2"/>
    <col min="517" max="517" width="16.28515625" style="2" customWidth="1"/>
    <col min="518" max="518" width="9.5703125" style="2" customWidth="1"/>
    <col min="519" max="519" width="25.85546875" style="2" customWidth="1"/>
    <col min="520" max="520" width="10.7109375" style="2" customWidth="1"/>
    <col min="521" max="521" width="40.42578125" style="2" customWidth="1"/>
    <col min="522" max="522" width="30.5703125" style="2" customWidth="1"/>
    <col min="523" max="523" width="16.42578125" style="2" customWidth="1"/>
    <col min="524" max="524" width="13" style="2" bestFit="1" customWidth="1"/>
    <col min="525" max="772" width="9.140625" style="2"/>
    <col min="773" max="773" width="16.28515625" style="2" customWidth="1"/>
    <col min="774" max="774" width="9.5703125" style="2" customWidth="1"/>
    <col min="775" max="775" width="25.85546875" style="2" customWidth="1"/>
    <col min="776" max="776" width="10.7109375" style="2" customWidth="1"/>
    <col min="777" max="777" width="40.42578125" style="2" customWidth="1"/>
    <col min="778" max="778" width="30.5703125" style="2" customWidth="1"/>
    <col min="779" max="779" width="16.42578125" style="2" customWidth="1"/>
    <col min="780" max="780" width="13" style="2" bestFit="1" customWidth="1"/>
    <col min="781" max="1028" width="9.140625" style="2"/>
    <col min="1029" max="1029" width="16.28515625" style="2" customWidth="1"/>
    <col min="1030" max="1030" width="9.5703125" style="2" customWidth="1"/>
    <col min="1031" max="1031" width="25.85546875" style="2" customWidth="1"/>
    <col min="1032" max="1032" width="10.7109375" style="2" customWidth="1"/>
    <col min="1033" max="1033" width="40.42578125" style="2" customWidth="1"/>
    <col min="1034" max="1034" width="30.5703125" style="2" customWidth="1"/>
    <col min="1035" max="1035" width="16.42578125" style="2" customWidth="1"/>
    <col min="1036" max="1036" width="13" style="2" bestFit="1" customWidth="1"/>
    <col min="1037" max="1284" width="9.140625" style="2"/>
    <col min="1285" max="1285" width="16.28515625" style="2" customWidth="1"/>
    <col min="1286" max="1286" width="9.5703125" style="2" customWidth="1"/>
    <col min="1287" max="1287" width="25.85546875" style="2" customWidth="1"/>
    <col min="1288" max="1288" width="10.7109375" style="2" customWidth="1"/>
    <col min="1289" max="1289" width="40.42578125" style="2" customWidth="1"/>
    <col min="1290" max="1290" width="30.5703125" style="2" customWidth="1"/>
    <col min="1291" max="1291" width="16.42578125" style="2" customWidth="1"/>
    <col min="1292" max="1292" width="13" style="2" bestFit="1" customWidth="1"/>
    <col min="1293" max="1540" width="9.140625" style="2"/>
    <col min="1541" max="1541" width="16.28515625" style="2" customWidth="1"/>
    <col min="1542" max="1542" width="9.5703125" style="2" customWidth="1"/>
    <col min="1543" max="1543" width="25.85546875" style="2" customWidth="1"/>
    <col min="1544" max="1544" width="10.7109375" style="2" customWidth="1"/>
    <col min="1545" max="1545" width="40.42578125" style="2" customWidth="1"/>
    <col min="1546" max="1546" width="30.5703125" style="2" customWidth="1"/>
    <col min="1547" max="1547" width="16.42578125" style="2" customWidth="1"/>
    <col min="1548" max="1548" width="13" style="2" bestFit="1" customWidth="1"/>
    <col min="1549" max="1796" width="9.140625" style="2"/>
    <col min="1797" max="1797" width="16.28515625" style="2" customWidth="1"/>
    <col min="1798" max="1798" width="9.5703125" style="2" customWidth="1"/>
    <col min="1799" max="1799" width="25.85546875" style="2" customWidth="1"/>
    <col min="1800" max="1800" width="10.7109375" style="2" customWidth="1"/>
    <col min="1801" max="1801" width="40.42578125" style="2" customWidth="1"/>
    <col min="1802" max="1802" width="30.5703125" style="2" customWidth="1"/>
    <col min="1803" max="1803" width="16.42578125" style="2" customWidth="1"/>
    <col min="1804" max="1804" width="13" style="2" bestFit="1" customWidth="1"/>
    <col min="1805" max="2052" width="9.140625" style="2"/>
    <col min="2053" max="2053" width="16.28515625" style="2" customWidth="1"/>
    <col min="2054" max="2054" width="9.5703125" style="2" customWidth="1"/>
    <col min="2055" max="2055" width="25.85546875" style="2" customWidth="1"/>
    <col min="2056" max="2056" width="10.7109375" style="2" customWidth="1"/>
    <col min="2057" max="2057" width="40.42578125" style="2" customWidth="1"/>
    <col min="2058" max="2058" width="30.5703125" style="2" customWidth="1"/>
    <col min="2059" max="2059" width="16.42578125" style="2" customWidth="1"/>
    <col min="2060" max="2060" width="13" style="2" bestFit="1" customWidth="1"/>
    <col min="2061" max="2308" width="9.140625" style="2"/>
    <col min="2309" max="2309" width="16.28515625" style="2" customWidth="1"/>
    <col min="2310" max="2310" width="9.5703125" style="2" customWidth="1"/>
    <col min="2311" max="2311" width="25.85546875" style="2" customWidth="1"/>
    <col min="2312" max="2312" width="10.7109375" style="2" customWidth="1"/>
    <col min="2313" max="2313" width="40.42578125" style="2" customWidth="1"/>
    <col min="2314" max="2314" width="30.5703125" style="2" customWidth="1"/>
    <col min="2315" max="2315" width="16.42578125" style="2" customWidth="1"/>
    <col min="2316" max="2316" width="13" style="2" bestFit="1" customWidth="1"/>
    <col min="2317" max="2564" width="9.140625" style="2"/>
    <col min="2565" max="2565" width="16.28515625" style="2" customWidth="1"/>
    <col min="2566" max="2566" width="9.5703125" style="2" customWidth="1"/>
    <col min="2567" max="2567" width="25.85546875" style="2" customWidth="1"/>
    <col min="2568" max="2568" width="10.7109375" style="2" customWidth="1"/>
    <col min="2569" max="2569" width="40.42578125" style="2" customWidth="1"/>
    <col min="2570" max="2570" width="30.5703125" style="2" customWidth="1"/>
    <col min="2571" max="2571" width="16.42578125" style="2" customWidth="1"/>
    <col min="2572" max="2572" width="13" style="2" bestFit="1" customWidth="1"/>
    <col min="2573" max="2820" width="9.140625" style="2"/>
    <col min="2821" max="2821" width="16.28515625" style="2" customWidth="1"/>
    <col min="2822" max="2822" width="9.5703125" style="2" customWidth="1"/>
    <col min="2823" max="2823" width="25.85546875" style="2" customWidth="1"/>
    <col min="2824" max="2824" width="10.7109375" style="2" customWidth="1"/>
    <col min="2825" max="2825" width="40.42578125" style="2" customWidth="1"/>
    <col min="2826" max="2826" width="30.5703125" style="2" customWidth="1"/>
    <col min="2827" max="2827" width="16.42578125" style="2" customWidth="1"/>
    <col min="2828" max="2828" width="13" style="2" bestFit="1" customWidth="1"/>
    <col min="2829" max="3076" width="9.140625" style="2"/>
    <col min="3077" max="3077" width="16.28515625" style="2" customWidth="1"/>
    <col min="3078" max="3078" width="9.5703125" style="2" customWidth="1"/>
    <col min="3079" max="3079" width="25.85546875" style="2" customWidth="1"/>
    <col min="3080" max="3080" width="10.7109375" style="2" customWidth="1"/>
    <col min="3081" max="3081" width="40.42578125" style="2" customWidth="1"/>
    <col min="3082" max="3082" width="30.5703125" style="2" customWidth="1"/>
    <col min="3083" max="3083" width="16.42578125" style="2" customWidth="1"/>
    <col min="3084" max="3084" width="13" style="2" bestFit="1" customWidth="1"/>
    <col min="3085" max="3332" width="9.140625" style="2"/>
    <col min="3333" max="3333" width="16.28515625" style="2" customWidth="1"/>
    <col min="3334" max="3334" width="9.5703125" style="2" customWidth="1"/>
    <col min="3335" max="3335" width="25.85546875" style="2" customWidth="1"/>
    <col min="3336" max="3336" width="10.7109375" style="2" customWidth="1"/>
    <col min="3337" max="3337" width="40.42578125" style="2" customWidth="1"/>
    <col min="3338" max="3338" width="30.5703125" style="2" customWidth="1"/>
    <col min="3339" max="3339" width="16.42578125" style="2" customWidth="1"/>
    <col min="3340" max="3340" width="13" style="2" bestFit="1" customWidth="1"/>
    <col min="3341" max="3588" width="9.140625" style="2"/>
    <col min="3589" max="3589" width="16.28515625" style="2" customWidth="1"/>
    <col min="3590" max="3590" width="9.5703125" style="2" customWidth="1"/>
    <col min="3591" max="3591" width="25.85546875" style="2" customWidth="1"/>
    <col min="3592" max="3592" width="10.7109375" style="2" customWidth="1"/>
    <col min="3593" max="3593" width="40.42578125" style="2" customWidth="1"/>
    <col min="3594" max="3594" width="30.5703125" style="2" customWidth="1"/>
    <col min="3595" max="3595" width="16.42578125" style="2" customWidth="1"/>
    <col min="3596" max="3596" width="13" style="2" bestFit="1" customWidth="1"/>
    <col min="3597" max="3844" width="9.140625" style="2"/>
    <col min="3845" max="3845" width="16.28515625" style="2" customWidth="1"/>
    <col min="3846" max="3846" width="9.5703125" style="2" customWidth="1"/>
    <col min="3847" max="3847" width="25.85546875" style="2" customWidth="1"/>
    <col min="3848" max="3848" width="10.7109375" style="2" customWidth="1"/>
    <col min="3849" max="3849" width="40.42578125" style="2" customWidth="1"/>
    <col min="3850" max="3850" width="30.5703125" style="2" customWidth="1"/>
    <col min="3851" max="3851" width="16.42578125" style="2" customWidth="1"/>
    <col min="3852" max="3852" width="13" style="2" bestFit="1" customWidth="1"/>
    <col min="3853" max="4100" width="9.140625" style="2"/>
    <col min="4101" max="4101" width="16.28515625" style="2" customWidth="1"/>
    <col min="4102" max="4102" width="9.5703125" style="2" customWidth="1"/>
    <col min="4103" max="4103" width="25.85546875" style="2" customWidth="1"/>
    <col min="4104" max="4104" width="10.7109375" style="2" customWidth="1"/>
    <col min="4105" max="4105" width="40.42578125" style="2" customWidth="1"/>
    <col min="4106" max="4106" width="30.5703125" style="2" customWidth="1"/>
    <col min="4107" max="4107" width="16.42578125" style="2" customWidth="1"/>
    <col min="4108" max="4108" width="13" style="2" bestFit="1" customWidth="1"/>
    <col min="4109" max="4356" width="9.140625" style="2"/>
    <col min="4357" max="4357" width="16.28515625" style="2" customWidth="1"/>
    <col min="4358" max="4358" width="9.5703125" style="2" customWidth="1"/>
    <col min="4359" max="4359" width="25.85546875" style="2" customWidth="1"/>
    <col min="4360" max="4360" width="10.7109375" style="2" customWidth="1"/>
    <col min="4361" max="4361" width="40.42578125" style="2" customWidth="1"/>
    <col min="4362" max="4362" width="30.5703125" style="2" customWidth="1"/>
    <col min="4363" max="4363" width="16.42578125" style="2" customWidth="1"/>
    <col min="4364" max="4364" width="13" style="2" bestFit="1" customWidth="1"/>
    <col min="4365" max="4612" width="9.140625" style="2"/>
    <col min="4613" max="4613" width="16.28515625" style="2" customWidth="1"/>
    <col min="4614" max="4614" width="9.5703125" style="2" customWidth="1"/>
    <col min="4615" max="4615" width="25.85546875" style="2" customWidth="1"/>
    <col min="4616" max="4616" width="10.7109375" style="2" customWidth="1"/>
    <col min="4617" max="4617" width="40.42578125" style="2" customWidth="1"/>
    <col min="4618" max="4618" width="30.5703125" style="2" customWidth="1"/>
    <col min="4619" max="4619" width="16.42578125" style="2" customWidth="1"/>
    <col min="4620" max="4620" width="13" style="2" bestFit="1" customWidth="1"/>
    <col min="4621" max="4868" width="9.140625" style="2"/>
    <col min="4869" max="4869" width="16.28515625" style="2" customWidth="1"/>
    <col min="4870" max="4870" width="9.5703125" style="2" customWidth="1"/>
    <col min="4871" max="4871" width="25.85546875" style="2" customWidth="1"/>
    <col min="4872" max="4872" width="10.7109375" style="2" customWidth="1"/>
    <col min="4873" max="4873" width="40.42578125" style="2" customWidth="1"/>
    <col min="4874" max="4874" width="30.5703125" style="2" customWidth="1"/>
    <col min="4875" max="4875" width="16.42578125" style="2" customWidth="1"/>
    <col min="4876" max="4876" width="13" style="2" bestFit="1" customWidth="1"/>
    <col min="4877" max="5124" width="9.140625" style="2"/>
    <col min="5125" max="5125" width="16.28515625" style="2" customWidth="1"/>
    <col min="5126" max="5126" width="9.5703125" style="2" customWidth="1"/>
    <col min="5127" max="5127" width="25.85546875" style="2" customWidth="1"/>
    <col min="5128" max="5128" width="10.7109375" style="2" customWidth="1"/>
    <col min="5129" max="5129" width="40.42578125" style="2" customWidth="1"/>
    <col min="5130" max="5130" width="30.5703125" style="2" customWidth="1"/>
    <col min="5131" max="5131" width="16.42578125" style="2" customWidth="1"/>
    <col min="5132" max="5132" width="13" style="2" bestFit="1" customWidth="1"/>
    <col min="5133" max="5380" width="9.140625" style="2"/>
    <col min="5381" max="5381" width="16.28515625" style="2" customWidth="1"/>
    <col min="5382" max="5382" width="9.5703125" style="2" customWidth="1"/>
    <col min="5383" max="5383" width="25.85546875" style="2" customWidth="1"/>
    <col min="5384" max="5384" width="10.7109375" style="2" customWidth="1"/>
    <col min="5385" max="5385" width="40.42578125" style="2" customWidth="1"/>
    <col min="5386" max="5386" width="30.5703125" style="2" customWidth="1"/>
    <col min="5387" max="5387" width="16.42578125" style="2" customWidth="1"/>
    <col min="5388" max="5388" width="13" style="2" bestFit="1" customWidth="1"/>
    <col min="5389" max="5636" width="9.140625" style="2"/>
    <col min="5637" max="5637" width="16.28515625" style="2" customWidth="1"/>
    <col min="5638" max="5638" width="9.5703125" style="2" customWidth="1"/>
    <col min="5639" max="5639" width="25.85546875" style="2" customWidth="1"/>
    <col min="5640" max="5640" width="10.7109375" style="2" customWidth="1"/>
    <col min="5641" max="5641" width="40.42578125" style="2" customWidth="1"/>
    <col min="5642" max="5642" width="30.5703125" style="2" customWidth="1"/>
    <col min="5643" max="5643" width="16.42578125" style="2" customWidth="1"/>
    <col min="5644" max="5644" width="13" style="2" bestFit="1" customWidth="1"/>
    <col min="5645" max="5892" width="9.140625" style="2"/>
    <col min="5893" max="5893" width="16.28515625" style="2" customWidth="1"/>
    <col min="5894" max="5894" width="9.5703125" style="2" customWidth="1"/>
    <col min="5895" max="5895" width="25.85546875" style="2" customWidth="1"/>
    <col min="5896" max="5896" width="10.7109375" style="2" customWidth="1"/>
    <col min="5897" max="5897" width="40.42578125" style="2" customWidth="1"/>
    <col min="5898" max="5898" width="30.5703125" style="2" customWidth="1"/>
    <col min="5899" max="5899" width="16.42578125" style="2" customWidth="1"/>
    <col min="5900" max="5900" width="13" style="2" bestFit="1" customWidth="1"/>
    <col min="5901" max="6148" width="9.140625" style="2"/>
    <col min="6149" max="6149" width="16.28515625" style="2" customWidth="1"/>
    <col min="6150" max="6150" width="9.5703125" style="2" customWidth="1"/>
    <col min="6151" max="6151" width="25.85546875" style="2" customWidth="1"/>
    <col min="6152" max="6152" width="10.7109375" style="2" customWidth="1"/>
    <col min="6153" max="6153" width="40.42578125" style="2" customWidth="1"/>
    <col min="6154" max="6154" width="30.5703125" style="2" customWidth="1"/>
    <col min="6155" max="6155" width="16.42578125" style="2" customWidth="1"/>
    <col min="6156" max="6156" width="13" style="2" bestFit="1" customWidth="1"/>
    <col min="6157" max="6404" width="9.140625" style="2"/>
    <col min="6405" max="6405" width="16.28515625" style="2" customWidth="1"/>
    <col min="6406" max="6406" width="9.5703125" style="2" customWidth="1"/>
    <col min="6407" max="6407" width="25.85546875" style="2" customWidth="1"/>
    <col min="6408" max="6408" width="10.7109375" style="2" customWidth="1"/>
    <col min="6409" max="6409" width="40.42578125" style="2" customWidth="1"/>
    <col min="6410" max="6410" width="30.5703125" style="2" customWidth="1"/>
    <col min="6411" max="6411" width="16.42578125" style="2" customWidth="1"/>
    <col min="6412" max="6412" width="13" style="2" bestFit="1" customWidth="1"/>
    <col min="6413" max="6660" width="9.140625" style="2"/>
    <col min="6661" max="6661" width="16.28515625" style="2" customWidth="1"/>
    <col min="6662" max="6662" width="9.5703125" style="2" customWidth="1"/>
    <col min="6663" max="6663" width="25.85546875" style="2" customWidth="1"/>
    <col min="6664" max="6664" width="10.7109375" style="2" customWidth="1"/>
    <col min="6665" max="6665" width="40.42578125" style="2" customWidth="1"/>
    <col min="6666" max="6666" width="30.5703125" style="2" customWidth="1"/>
    <col min="6667" max="6667" width="16.42578125" style="2" customWidth="1"/>
    <col min="6668" max="6668" width="13" style="2" bestFit="1" customWidth="1"/>
    <col min="6669" max="6916" width="9.140625" style="2"/>
    <col min="6917" max="6917" width="16.28515625" style="2" customWidth="1"/>
    <col min="6918" max="6918" width="9.5703125" style="2" customWidth="1"/>
    <col min="6919" max="6919" width="25.85546875" style="2" customWidth="1"/>
    <col min="6920" max="6920" width="10.7109375" style="2" customWidth="1"/>
    <col min="6921" max="6921" width="40.42578125" style="2" customWidth="1"/>
    <col min="6922" max="6922" width="30.5703125" style="2" customWidth="1"/>
    <col min="6923" max="6923" width="16.42578125" style="2" customWidth="1"/>
    <col min="6924" max="6924" width="13" style="2" bestFit="1" customWidth="1"/>
    <col min="6925" max="7172" width="9.140625" style="2"/>
    <col min="7173" max="7173" width="16.28515625" style="2" customWidth="1"/>
    <col min="7174" max="7174" width="9.5703125" style="2" customWidth="1"/>
    <col min="7175" max="7175" width="25.85546875" style="2" customWidth="1"/>
    <col min="7176" max="7176" width="10.7109375" style="2" customWidth="1"/>
    <col min="7177" max="7177" width="40.42578125" style="2" customWidth="1"/>
    <col min="7178" max="7178" width="30.5703125" style="2" customWidth="1"/>
    <col min="7179" max="7179" width="16.42578125" style="2" customWidth="1"/>
    <col min="7180" max="7180" width="13" style="2" bestFit="1" customWidth="1"/>
    <col min="7181" max="7428" width="9.140625" style="2"/>
    <col min="7429" max="7429" width="16.28515625" style="2" customWidth="1"/>
    <col min="7430" max="7430" width="9.5703125" style="2" customWidth="1"/>
    <col min="7431" max="7431" width="25.85546875" style="2" customWidth="1"/>
    <col min="7432" max="7432" width="10.7109375" style="2" customWidth="1"/>
    <col min="7433" max="7433" width="40.42578125" style="2" customWidth="1"/>
    <col min="7434" max="7434" width="30.5703125" style="2" customWidth="1"/>
    <col min="7435" max="7435" width="16.42578125" style="2" customWidth="1"/>
    <col min="7436" max="7436" width="13" style="2" bestFit="1" customWidth="1"/>
    <col min="7437" max="7684" width="9.140625" style="2"/>
    <col min="7685" max="7685" width="16.28515625" style="2" customWidth="1"/>
    <col min="7686" max="7686" width="9.5703125" style="2" customWidth="1"/>
    <col min="7687" max="7687" width="25.85546875" style="2" customWidth="1"/>
    <col min="7688" max="7688" width="10.7109375" style="2" customWidth="1"/>
    <col min="7689" max="7689" width="40.42578125" style="2" customWidth="1"/>
    <col min="7690" max="7690" width="30.5703125" style="2" customWidth="1"/>
    <col min="7691" max="7691" width="16.42578125" style="2" customWidth="1"/>
    <col min="7692" max="7692" width="13" style="2" bestFit="1" customWidth="1"/>
    <col min="7693" max="7940" width="9.140625" style="2"/>
    <col min="7941" max="7941" width="16.28515625" style="2" customWidth="1"/>
    <col min="7942" max="7942" width="9.5703125" style="2" customWidth="1"/>
    <col min="7943" max="7943" width="25.85546875" style="2" customWidth="1"/>
    <col min="7944" max="7944" width="10.7109375" style="2" customWidth="1"/>
    <col min="7945" max="7945" width="40.42578125" style="2" customWidth="1"/>
    <col min="7946" max="7946" width="30.5703125" style="2" customWidth="1"/>
    <col min="7947" max="7947" width="16.42578125" style="2" customWidth="1"/>
    <col min="7948" max="7948" width="13" style="2" bestFit="1" customWidth="1"/>
    <col min="7949" max="8196" width="9.140625" style="2"/>
    <col min="8197" max="8197" width="16.28515625" style="2" customWidth="1"/>
    <col min="8198" max="8198" width="9.5703125" style="2" customWidth="1"/>
    <col min="8199" max="8199" width="25.85546875" style="2" customWidth="1"/>
    <col min="8200" max="8200" width="10.7109375" style="2" customWidth="1"/>
    <col min="8201" max="8201" width="40.42578125" style="2" customWidth="1"/>
    <col min="8202" max="8202" width="30.5703125" style="2" customWidth="1"/>
    <col min="8203" max="8203" width="16.42578125" style="2" customWidth="1"/>
    <col min="8204" max="8204" width="13" style="2" bestFit="1" customWidth="1"/>
    <col min="8205" max="8452" width="9.140625" style="2"/>
    <col min="8453" max="8453" width="16.28515625" style="2" customWidth="1"/>
    <col min="8454" max="8454" width="9.5703125" style="2" customWidth="1"/>
    <col min="8455" max="8455" width="25.85546875" style="2" customWidth="1"/>
    <col min="8456" max="8456" width="10.7109375" style="2" customWidth="1"/>
    <col min="8457" max="8457" width="40.42578125" style="2" customWidth="1"/>
    <col min="8458" max="8458" width="30.5703125" style="2" customWidth="1"/>
    <col min="8459" max="8459" width="16.42578125" style="2" customWidth="1"/>
    <col min="8460" max="8460" width="13" style="2" bestFit="1" customWidth="1"/>
    <col min="8461" max="8708" width="9.140625" style="2"/>
    <col min="8709" max="8709" width="16.28515625" style="2" customWidth="1"/>
    <col min="8710" max="8710" width="9.5703125" style="2" customWidth="1"/>
    <col min="8711" max="8711" width="25.85546875" style="2" customWidth="1"/>
    <col min="8712" max="8712" width="10.7109375" style="2" customWidth="1"/>
    <col min="8713" max="8713" width="40.42578125" style="2" customWidth="1"/>
    <col min="8714" max="8714" width="30.5703125" style="2" customWidth="1"/>
    <col min="8715" max="8715" width="16.42578125" style="2" customWidth="1"/>
    <col min="8716" max="8716" width="13" style="2" bestFit="1" customWidth="1"/>
    <col min="8717" max="8964" width="9.140625" style="2"/>
    <col min="8965" max="8965" width="16.28515625" style="2" customWidth="1"/>
    <col min="8966" max="8966" width="9.5703125" style="2" customWidth="1"/>
    <col min="8967" max="8967" width="25.85546875" style="2" customWidth="1"/>
    <col min="8968" max="8968" width="10.7109375" style="2" customWidth="1"/>
    <col min="8969" max="8969" width="40.42578125" style="2" customWidth="1"/>
    <col min="8970" max="8970" width="30.5703125" style="2" customWidth="1"/>
    <col min="8971" max="8971" width="16.42578125" style="2" customWidth="1"/>
    <col min="8972" max="8972" width="13" style="2" bestFit="1" customWidth="1"/>
    <col min="8973" max="9220" width="9.140625" style="2"/>
    <col min="9221" max="9221" width="16.28515625" style="2" customWidth="1"/>
    <col min="9222" max="9222" width="9.5703125" style="2" customWidth="1"/>
    <col min="9223" max="9223" width="25.85546875" style="2" customWidth="1"/>
    <col min="9224" max="9224" width="10.7109375" style="2" customWidth="1"/>
    <col min="9225" max="9225" width="40.42578125" style="2" customWidth="1"/>
    <col min="9226" max="9226" width="30.5703125" style="2" customWidth="1"/>
    <col min="9227" max="9227" width="16.42578125" style="2" customWidth="1"/>
    <col min="9228" max="9228" width="13" style="2" bestFit="1" customWidth="1"/>
    <col min="9229" max="9476" width="9.140625" style="2"/>
    <col min="9477" max="9477" width="16.28515625" style="2" customWidth="1"/>
    <col min="9478" max="9478" width="9.5703125" style="2" customWidth="1"/>
    <col min="9479" max="9479" width="25.85546875" style="2" customWidth="1"/>
    <col min="9480" max="9480" width="10.7109375" style="2" customWidth="1"/>
    <col min="9481" max="9481" width="40.42578125" style="2" customWidth="1"/>
    <col min="9482" max="9482" width="30.5703125" style="2" customWidth="1"/>
    <col min="9483" max="9483" width="16.42578125" style="2" customWidth="1"/>
    <col min="9484" max="9484" width="13" style="2" bestFit="1" customWidth="1"/>
    <col min="9485" max="9732" width="9.140625" style="2"/>
    <col min="9733" max="9733" width="16.28515625" style="2" customWidth="1"/>
    <col min="9734" max="9734" width="9.5703125" style="2" customWidth="1"/>
    <col min="9735" max="9735" width="25.85546875" style="2" customWidth="1"/>
    <col min="9736" max="9736" width="10.7109375" style="2" customWidth="1"/>
    <col min="9737" max="9737" width="40.42578125" style="2" customWidth="1"/>
    <col min="9738" max="9738" width="30.5703125" style="2" customWidth="1"/>
    <col min="9739" max="9739" width="16.42578125" style="2" customWidth="1"/>
    <col min="9740" max="9740" width="13" style="2" bestFit="1" customWidth="1"/>
    <col min="9741" max="9988" width="9.140625" style="2"/>
    <col min="9989" max="9989" width="16.28515625" style="2" customWidth="1"/>
    <col min="9990" max="9990" width="9.5703125" style="2" customWidth="1"/>
    <col min="9991" max="9991" width="25.85546875" style="2" customWidth="1"/>
    <col min="9992" max="9992" width="10.7109375" style="2" customWidth="1"/>
    <col min="9993" max="9993" width="40.42578125" style="2" customWidth="1"/>
    <col min="9994" max="9994" width="30.5703125" style="2" customWidth="1"/>
    <col min="9995" max="9995" width="16.42578125" style="2" customWidth="1"/>
    <col min="9996" max="9996" width="13" style="2" bestFit="1" customWidth="1"/>
    <col min="9997" max="10244" width="9.140625" style="2"/>
    <col min="10245" max="10245" width="16.28515625" style="2" customWidth="1"/>
    <col min="10246" max="10246" width="9.5703125" style="2" customWidth="1"/>
    <col min="10247" max="10247" width="25.85546875" style="2" customWidth="1"/>
    <col min="10248" max="10248" width="10.7109375" style="2" customWidth="1"/>
    <col min="10249" max="10249" width="40.42578125" style="2" customWidth="1"/>
    <col min="10250" max="10250" width="30.5703125" style="2" customWidth="1"/>
    <col min="10251" max="10251" width="16.42578125" style="2" customWidth="1"/>
    <col min="10252" max="10252" width="13" style="2" bestFit="1" customWidth="1"/>
    <col min="10253" max="10500" width="9.140625" style="2"/>
    <col min="10501" max="10501" width="16.28515625" style="2" customWidth="1"/>
    <col min="10502" max="10502" width="9.5703125" style="2" customWidth="1"/>
    <col min="10503" max="10503" width="25.85546875" style="2" customWidth="1"/>
    <col min="10504" max="10504" width="10.7109375" style="2" customWidth="1"/>
    <col min="10505" max="10505" width="40.42578125" style="2" customWidth="1"/>
    <col min="10506" max="10506" width="30.5703125" style="2" customWidth="1"/>
    <col min="10507" max="10507" width="16.42578125" style="2" customWidth="1"/>
    <col min="10508" max="10508" width="13" style="2" bestFit="1" customWidth="1"/>
    <col min="10509" max="10756" width="9.140625" style="2"/>
    <col min="10757" max="10757" width="16.28515625" style="2" customWidth="1"/>
    <col min="10758" max="10758" width="9.5703125" style="2" customWidth="1"/>
    <col min="10759" max="10759" width="25.85546875" style="2" customWidth="1"/>
    <col min="10760" max="10760" width="10.7109375" style="2" customWidth="1"/>
    <col min="10761" max="10761" width="40.42578125" style="2" customWidth="1"/>
    <col min="10762" max="10762" width="30.5703125" style="2" customWidth="1"/>
    <col min="10763" max="10763" width="16.42578125" style="2" customWidth="1"/>
    <col min="10764" max="10764" width="13" style="2" bestFit="1" customWidth="1"/>
    <col min="10765" max="11012" width="9.140625" style="2"/>
    <col min="11013" max="11013" width="16.28515625" style="2" customWidth="1"/>
    <col min="11014" max="11014" width="9.5703125" style="2" customWidth="1"/>
    <col min="11015" max="11015" width="25.85546875" style="2" customWidth="1"/>
    <col min="11016" max="11016" width="10.7109375" style="2" customWidth="1"/>
    <col min="11017" max="11017" width="40.42578125" style="2" customWidth="1"/>
    <col min="11018" max="11018" width="30.5703125" style="2" customWidth="1"/>
    <col min="11019" max="11019" width="16.42578125" style="2" customWidth="1"/>
    <col min="11020" max="11020" width="13" style="2" bestFit="1" customWidth="1"/>
    <col min="11021" max="11268" width="9.140625" style="2"/>
    <col min="11269" max="11269" width="16.28515625" style="2" customWidth="1"/>
    <col min="11270" max="11270" width="9.5703125" style="2" customWidth="1"/>
    <col min="11271" max="11271" width="25.85546875" style="2" customWidth="1"/>
    <col min="11272" max="11272" width="10.7109375" style="2" customWidth="1"/>
    <col min="11273" max="11273" width="40.42578125" style="2" customWidth="1"/>
    <col min="11274" max="11274" width="30.5703125" style="2" customWidth="1"/>
    <col min="11275" max="11275" width="16.42578125" style="2" customWidth="1"/>
    <col min="11276" max="11276" width="13" style="2" bestFit="1" customWidth="1"/>
    <col min="11277" max="11524" width="9.140625" style="2"/>
    <col min="11525" max="11525" width="16.28515625" style="2" customWidth="1"/>
    <col min="11526" max="11526" width="9.5703125" style="2" customWidth="1"/>
    <col min="11527" max="11527" width="25.85546875" style="2" customWidth="1"/>
    <col min="11528" max="11528" width="10.7109375" style="2" customWidth="1"/>
    <col min="11529" max="11529" width="40.42578125" style="2" customWidth="1"/>
    <col min="11530" max="11530" width="30.5703125" style="2" customWidth="1"/>
    <col min="11531" max="11531" width="16.42578125" style="2" customWidth="1"/>
    <col min="11532" max="11532" width="13" style="2" bestFit="1" customWidth="1"/>
    <col min="11533" max="11780" width="9.140625" style="2"/>
    <col min="11781" max="11781" width="16.28515625" style="2" customWidth="1"/>
    <col min="11782" max="11782" width="9.5703125" style="2" customWidth="1"/>
    <col min="11783" max="11783" width="25.85546875" style="2" customWidth="1"/>
    <col min="11784" max="11784" width="10.7109375" style="2" customWidth="1"/>
    <col min="11785" max="11785" width="40.42578125" style="2" customWidth="1"/>
    <col min="11786" max="11786" width="30.5703125" style="2" customWidth="1"/>
    <col min="11787" max="11787" width="16.42578125" style="2" customWidth="1"/>
    <col min="11788" max="11788" width="13" style="2" bestFit="1" customWidth="1"/>
    <col min="11789" max="12036" width="9.140625" style="2"/>
    <col min="12037" max="12037" width="16.28515625" style="2" customWidth="1"/>
    <col min="12038" max="12038" width="9.5703125" style="2" customWidth="1"/>
    <col min="12039" max="12039" width="25.85546875" style="2" customWidth="1"/>
    <col min="12040" max="12040" width="10.7109375" style="2" customWidth="1"/>
    <col min="12041" max="12041" width="40.42578125" style="2" customWidth="1"/>
    <col min="12042" max="12042" width="30.5703125" style="2" customWidth="1"/>
    <col min="12043" max="12043" width="16.42578125" style="2" customWidth="1"/>
    <col min="12044" max="12044" width="13" style="2" bestFit="1" customWidth="1"/>
    <col min="12045" max="12292" width="9.140625" style="2"/>
    <col min="12293" max="12293" width="16.28515625" style="2" customWidth="1"/>
    <col min="12294" max="12294" width="9.5703125" style="2" customWidth="1"/>
    <col min="12295" max="12295" width="25.85546875" style="2" customWidth="1"/>
    <col min="12296" max="12296" width="10.7109375" style="2" customWidth="1"/>
    <col min="12297" max="12297" width="40.42578125" style="2" customWidth="1"/>
    <col min="12298" max="12298" width="30.5703125" style="2" customWidth="1"/>
    <col min="12299" max="12299" width="16.42578125" style="2" customWidth="1"/>
    <col min="12300" max="12300" width="13" style="2" bestFit="1" customWidth="1"/>
    <col min="12301" max="12548" width="9.140625" style="2"/>
    <col min="12549" max="12549" width="16.28515625" style="2" customWidth="1"/>
    <col min="12550" max="12550" width="9.5703125" style="2" customWidth="1"/>
    <col min="12551" max="12551" width="25.85546875" style="2" customWidth="1"/>
    <col min="12552" max="12552" width="10.7109375" style="2" customWidth="1"/>
    <col min="12553" max="12553" width="40.42578125" style="2" customWidth="1"/>
    <col min="12554" max="12554" width="30.5703125" style="2" customWidth="1"/>
    <col min="12555" max="12555" width="16.42578125" style="2" customWidth="1"/>
    <col min="12556" max="12556" width="13" style="2" bestFit="1" customWidth="1"/>
    <col min="12557" max="12804" width="9.140625" style="2"/>
    <col min="12805" max="12805" width="16.28515625" style="2" customWidth="1"/>
    <col min="12806" max="12806" width="9.5703125" style="2" customWidth="1"/>
    <col min="12807" max="12807" width="25.85546875" style="2" customWidth="1"/>
    <col min="12808" max="12808" width="10.7109375" style="2" customWidth="1"/>
    <col min="12809" max="12809" width="40.42578125" style="2" customWidth="1"/>
    <col min="12810" max="12810" width="30.5703125" style="2" customWidth="1"/>
    <col min="12811" max="12811" width="16.42578125" style="2" customWidth="1"/>
    <col min="12812" max="12812" width="13" style="2" bestFit="1" customWidth="1"/>
    <col min="12813" max="13060" width="9.140625" style="2"/>
    <col min="13061" max="13061" width="16.28515625" style="2" customWidth="1"/>
    <col min="13062" max="13062" width="9.5703125" style="2" customWidth="1"/>
    <col min="13063" max="13063" width="25.85546875" style="2" customWidth="1"/>
    <col min="13064" max="13064" width="10.7109375" style="2" customWidth="1"/>
    <col min="13065" max="13065" width="40.42578125" style="2" customWidth="1"/>
    <col min="13066" max="13066" width="30.5703125" style="2" customWidth="1"/>
    <col min="13067" max="13067" width="16.42578125" style="2" customWidth="1"/>
    <col min="13068" max="13068" width="13" style="2" bestFit="1" customWidth="1"/>
    <col min="13069" max="13316" width="9.140625" style="2"/>
    <col min="13317" max="13317" width="16.28515625" style="2" customWidth="1"/>
    <col min="13318" max="13318" width="9.5703125" style="2" customWidth="1"/>
    <col min="13319" max="13319" width="25.85546875" style="2" customWidth="1"/>
    <col min="13320" max="13320" width="10.7109375" style="2" customWidth="1"/>
    <col min="13321" max="13321" width="40.42578125" style="2" customWidth="1"/>
    <col min="13322" max="13322" width="30.5703125" style="2" customWidth="1"/>
    <col min="13323" max="13323" width="16.42578125" style="2" customWidth="1"/>
    <col min="13324" max="13324" width="13" style="2" bestFit="1" customWidth="1"/>
    <col min="13325" max="13572" width="9.140625" style="2"/>
    <col min="13573" max="13573" width="16.28515625" style="2" customWidth="1"/>
    <col min="13574" max="13574" width="9.5703125" style="2" customWidth="1"/>
    <col min="13575" max="13575" width="25.85546875" style="2" customWidth="1"/>
    <col min="13576" max="13576" width="10.7109375" style="2" customWidth="1"/>
    <col min="13577" max="13577" width="40.42578125" style="2" customWidth="1"/>
    <col min="13578" max="13578" width="30.5703125" style="2" customWidth="1"/>
    <col min="13579" max="13579" width="16.42578125" style="2" customWidth="1"/>
    <col min="13580" max="13580" width="13" style="2" bestFit="1" customWidth="1"/>
    <col min="13581" max="13828" width="9.140625" style="2"/>
    <col min="13829" max="13829" width="16.28515625" style="2" customWidth="1"/>
    <col min="13830" max="13830" width="9.5703125" style="2" customWidth="1"/>
    <col min="13831" max="13831" width="25.85546875" style="2" customWidth="1"/>
    <col min="13832" max="13832" width="10.7109375" style="2" customWidth="1"/>
    <col min="13833" max="13833" width="40.42578125" style="2" customWidth="1"/>
    <col min="13834" max="13834" width="30.5703125" style="2" customWidth="1"/>
    <col min="13835" max="13835" width="16.42578125" style="2" customWidth="1"/>
    <col min="13836" max="13836" width="13" style="2" bestFit="1" customWidth="1"/>
    <col min="13837" max="14084" width="9.140625" style="2"/>
    <col min="14085" max="14085" width="16.28515625" style="2" customWidth="1"/>
    <col min="14086" max="14086" width="9.5703125" style="2" customWidth="1"/>
    <col min="14087" max="14087" width="25.85546875" style="2" customWidth="1"/>
    <col min="14088" max="14088" width="10.7109375" style="2" customWidth="1"/>
    <col min="14089" max="14089" width="40.42578125" style="2" customWidth="1"/>
    <col min="14090" max="14090" width="30.5703125" style="2" customWidth="1"/>
    <col min="14091" max="14091" width="16.42578125" style="2" customWidth="1"/>
    <col min="14092" max="14092" width="13" style="2" bestFit="1" customWidth="1"/>
    <col min="14093" max="14340" width="9.140625" style="2"/>
    <col min="14341" max="14341" width="16.28515625" style="2" customWidth="1"/>
    <col min="14342" max="14342" width="9.5703125" style="2" customWidth="1"/>
    <col min="14343" max="14343" width="25.85546875" style="2" customWidth="1"/>
    <col min="14344" max="14344" width="10.7109375" style="2" customWidth="1"/>
    <col min="14345" max="14345" width="40.42578125" style="2" customWidth="1"/>
    <col min="14346" max="14346" width="30.5703125" style="2" customWidth="1"/>
    <col min="14347" max="14347" width="16.42578125" style="2" customWidth="1"/>
    <col min="14348" max="14348" width="13" style="2" bestFit="1" customWidth="1"/>
    <col min="14349" max="14596" width="9.140625" style="2"/>
    <col min="14597" max="14597" width="16.28515625" style="2" customWidth="1"/>
    <col min="14598" max="14598" width="9.5703125" style="2" customWidth="1"/>
    <col min="14599" max="14599" width="25.85546875" style="2" customWidth="1"/>
    <col min="14600" max="14600" width="10.7109375" style="2" customWidth="1"/>
    <col min="14601" max="14601" width="40.42578125" style="2" customWidth="1"/>
    <col min="14602" max="14602" width="30.5703125" style="2" customWidth="1"/>
    <col min="14603" max="14603" width="16.42578125" style="2" customWidth="1"/>
    <col min="14604" max="14604" width="13" style="2" bestFit="1" customWidth="1"/>
    <col min="14605" max="14852" width="9.140625" style="2"/>
    <col min="14853" max="14853" width="16.28515625" style="2" customWidth="1"/>
    <col min="14854" max="14854" width="9.5703125" style="2" customWidth="1"/>
    <col min="14855" max="14855" width="25.85546875" style="2" customWidth="1"/>
    <col min="14856" max="14856" width="10.7109375" style="2" customWidth="1"/>
    <col min="14857" max="14857" width="40.42578125" style="2" customWidth="1"/>
    <col min="14858" max="14858" width="30.5703125" style="2" customWidth="1"/>
    <col min="14859" max="14859" width="16.42578125" style="2" customWidth="1"/>
    <col min="14860" max="14860" width="13" style="2" bestFit="1" customWidth="1"/>
    <col min="14861" max="15108" width="9.140625" style="2"/>
    <col min="15109" max="15109" width="16.28515625" style="2" customWidth="1"/>
    <col min="15110" max="15110" width="9.5703125" style="2" customWidth="1"/>
    <col min="15111" max="15111" width="25.85546875" style="2" customWidth="1"/>
    <col min="15112" max="15112" width="10.7109375" style="2" customWidth="1"/>
    <col min="15113" max="15113" width="40.42578125" style="2" customWidth="1"/>
    <col min="15114" max="15114" width="30.5703125" style="2" customWidth="1"/>
    <col min="15115" max="15115" width="16.42578125" style="2" customWidth="1"/>
    <col min="15116" max="15116" width="13" style="2" bestFit="1" customWidth="1"/>
    <col min="15117" max="15364" width="9.140625" style="2"/>
    <col min="15365" max="15365" width="16.28515625" style="2" customWidth="1"/>
    <col min="15366" max="15366" width="9.5703125" style="2" customWidth="1"/>
    <col min="15367" max="15367" width="25.85546875" style="2" customWidth="1"/>
    <col min="15368" max="15368" width="10.7109375" style="2" customWidth="1"/>
    <col min="15369" max="15369" width="40.42578125" style="2" customWidth="1"/>
    <col min="15370" max="15370" width="30.5703125" style="2" customWidth="1"/>
    <col min="15371" max="15371" width="16.42578125" style="2" customWidth="1"/>
    <col min="15372" max="15372" width="13" style="2" bestFit="1" customWidth="1"/>
    <col min="15373" max="15620" width="9.140625" style="2"/>
    <col min="15621" max="15621" width="16.28515625" style="2" customWidth="1"/>
    <col min="15622" max="15622" width="9.5703125" style="2" customWidth="1"/>
    <col min="15623" max="15623" width="25.85546875" style="2" customWidth="1"/>
    <col min="15624" max="15624" width="10.7109375" style="2" customWidth="1"/>
    <col min="15625" max="15625" width="40.42578125" style="2" customWidth="1"/>
    <col min="15626" max="15626" width="30.5703125" style="2" customWidth="1"/>
    <col min="15627" max="15627" width="16.42578125" style="2" customWidth="1"/>
    <col min="15628" max="15628" width="13" style="2" bestFit="1" customWidth="1"/>
    <col min="15629" max="15876" width="9.140625" style="2"/>
    <col min="15877" max="15877" width="16.28515625" style="2" customWidth="1"/>
    <col min="15878" max="15878" width="9.5703125" style="2" customWidth="1"/>
    <col min="15879" max="15879" width="25.85546875" style="2" customWidth="1"/>
    <col min="15880" max="15880" width="10.7109375" style="2" customWidth="1"/>
    <col min="15881" max="15881" width="40.42578125" style="2" customWidth="1"/>
    <col min="15882" max="15882" width="30.5703125" style="2" customWidth="1"/>
    <col min="15883" max="15883" width="16.42578125" style="2" customWidth="1"/>
    <col min="15884" max="15884" width="13" style="2" bestFit="1" customWidth="1"/>
    <col min="15885" max="16132" width="9.140625" style="2"/>
    <col min="16133" max="16133" width="16.28515625" style="2" customWidth="1"/>
    <col min="16134" max="16134" width="9.5703125" style="2" customWidth="1"/>
    <col min="16135" max="16135" width="25.85546875" style="2" customWidth="1"/>
    <col min="16136" max="16136" width="10.7109375" style="2" customWidth="1"/>
    <col min="16137" max="16137" width="40.42578125" style="2" customWidth="1"/>
    <col min="16138" max="16138" width="30.5703125" style="2" customWidth="1"/>
    <col min="16139" max="16139" width="16.42578125" style="2" customWidth="1"/>
    <col min="16140" max="16140" width="13" style="2" bestFit="1" customWidth="1"/>
    <col min="16141" max="16384" width="9.140625" style="2"/>
  </cols>
  <sheetData>
    <row r="3" spans="1:18">
      <c r="G3" s="33"/>
    </row>
    <row r="5" spans="1:18" ht="18.75">
      <c r="A5" s="1483" t="s">
        <v>51</v>
      </c>
      <c r="B5" s="1483"/>
      <c r="C5" s="1483"/>
      <c r="D5" s="1483"/>
      <c r="E5" s="1483"/>
      <c r="F5" s="1483"/>
      <c r="G5" s="1483"/>
      <c r="H5" s="1483"/>
      <c r="I5" s="1483"/>
      <c r="J5" s="1483"/>
      <c r="K5" s="1483"/>
      <c r="L5" s="1483"/>
      <c r="M5" s="1483"/>
      <c r="N5" s="2"/>
      <c r="O5" s="2"/>
    </row>
    <row r="6" spans="1:18" ht="18.75">
      <c r="A6" s="1483" t="s">
        <v>29</v>
      </c>
      <c r="B6" s="1483"/>
      <c r="C6" s="1483"/>
      <c r="D6" s="1483"/>
      <c r="E6" s="1483"/>
      <c r="F6" s="1483"/>
      <c r="G6" s="1483"/>
      <c r="H6" s="1483"/>
      <c r="I6" s="1483"/>
      <c r="J6" s="1483"/>
      <c r="K6" s="1483"/>
      <c r="L6" s="1483"/>
      <c r="M6" s="1483"/>
      <c r="N6" s="2"/>
      <c r="O6" s="2"/>
    </row>
    <row r="7" spans="1:18">
      <c r="G7" s="35"/>
      <c r="I7" s="49">
        <v>38255875.450000003</v>
      </c>
    </row>
    <row r="8" spans="1:18">
      <c r="C8" s="4"/>
      <c r="D8" s="4"/>
      <c r="M8" s="41"/>
      <c r="O8" s="59" t="s">
        <v>0</v>
      </c>
    </row>
    <row r="9" spans="1:18" s="31" customFormat="1" ht="93.75" customHeight="1">
      <c r="A9" s="12" t="s">
        <v>1</v>
      </c>
      <c r="B9" s="12" t="s">
        <v>2</v>
      </c>
      <c r="C9" s="12" t="s">
        <v>3</v>
      </c>
      <c r="D9" s="12" t="s">
        <v>4</v>
      </c>
      <c r="E9" s="12" t="s">
        <v>5</v>
      </c>
      <c r="F9" s="12" t="s">
        <v>6</v>
      </c>
      <c r="G9" s="36" t="s">
        <v>52</v>
      </c>
      <c r="H9" s="50" t="s">
        <v>55</v>
      </c>
      <c r="I9" s="50" t="s">
        <v>62</v>
      </c>
      <c r="J9" s="36" t="s">
        <v>33</v>
      </c>
      <c r="K9" s="50" t="s">
        <v>54</v>
      </c>
      <c r="L9" s="50" t="s">
        <v>62</v>
      </c>
      <c r="M9" s="60" t="s">
        <v>50</v>
      </c>
      <c r="N9" s="50" t="s">
        <v>53</v>
      </c>
      <c r="O9" s="61" t="s">
        <v>62</v>
      </c>
      <c r="R9" s="25">
        <v>38336418.850000001</v>
      </c>
    </row>
    <row r="10" spans="1:18" s="31" customFormat="1" ht="44.25" customHeight="1">
      <c r="A10" s="1484" t="s">
        <v>26</v>
      </c>
      <c r="B10" s="1485"/>
      <c r="C10" s="1485"/>
      <c r="D10" s="1485"/>
      <c r="E10" s="1485"/>
      <c r="F10" s="1485"/>
      <c r="G10" s="1485"/>
      <c r="H10" s="1485"/>
      <c r="I10" s="1485"/>
      <c r="J10" s="1485"/>
      <c r="K10" s="1485"/>
      <c r="L10" s="1485"/>
      <c r="M10" s="1485"/>
      <c r="N10" s="3"/>
    </row>
    <row r="11" spans="1:18" s="18" customFormat="1" ht="30.75" customHeight="1">
      <c r="A11" s="55" t="s">
        <v>7</v>
      </c>
      <c r="B11" s="55">
        <v>4</v>
      </c>
      <c r="C11" s="55" t="s">
        <v>37</v>
      </c>
      <c r="D11" s="55">
        <v>111</v>
      </c>
      <c r="E11" s="11">
        <v>211</v>
      </c>
      <c r="F11" s="8" t="s">
        <v>8</v>
      </c>
      <c r="G11" s="37">
        <v>26613188.510000002</v>
      </c>
      <c r="H11" s="25">
        <f>26613188.51</f>
        <v>26613188.510000002</v>
      </c>
      <c r="I11" s="23">
        <v>11642686.939999999</v>
      </c>
      <c r="J11" s="40">
        <v>26640433.5</v>
      </c>
      <c r="K11" s="25">
        <v>26640433.5</v>
      </c>
      <c r="L11" s="23">
        <f>38255875.45-K11</f>
        <v>11615441.949999999</v>
      </c>
      <c r="M11" s="40">
        <v>26640433.5</v>
      </c>
      <c r="N11" s="25">
        <v>26640433.5</v>
      </c>
      <c r="O11" s="23">
        <f>38255875.45-N11</f>
        <v>11615441.949999999</v>
      </c>
    </row>
    <row r="12" spans="1:18" s="18" customFormat="1" ht="47.25">
      <c r="A12" s="55" t="s">
        <v>7</v>
      </c>
      <c r="B12" s="55">
        <v>4</v>
      </c>
      <c r="C12" s="55" t="s">
        <v>37</v>
      </c>
      <c r="D12" s="55">
        <v>111</v>
      </c>
      <c r="E12" s="11">
        <v>266</v>
      </c>
      <c r="F12" s="8" t="s">
        <v>43</v>
      </c>
      <c r="G12" s="37">
        <v>50000</v>
      </c>
      <c r="H12" s="25">
        <v>50000</v>
      </c>
      <c r="I12" s="23"/>
      <c r="J12" s="40">
        <v>50000</v>
      </c>
      <c r="K12" s="25">
        <v>50000</v>
      </c>
      <c r="L12" s="25"/>
      <c r="M12" s="40">
        <v>50000</v>
      </c>
      <c r="N12" s="25">
        <v>50000</v>
      </c>
      <c r="O12" s="25"/>
    </row>
    <row r="13" spans="1:18" s="18" customFormat="1" ht="94.5">
      <c r="A13" s="55" t="s">
        <v>7</v>
      </c>
      <c r="B13" s="55">
        <v>4</v>
      </c>
      <c r="C13" s="55" t="s">
        <v>45</v>
      </c>
      <c r="D13" s="55">
        <v>111</v>
      </c>
      <c r="E13" s="11">
        <v>211</v>
      </c>
      <c r="F13" s="8" t="s">
        <v>49</v>
      </c>
      <c r="G13" s="37">
        <f>100000+26000</f>
        <v>126000</v>
      </c>
      <c r="H13" s="25"/>
      <c r="I13" s="23"/>
      <c r="J13" s="40">
        <f>60000+24000</f>
        <v>84000</v>
      </c>
      <c r="K13" s="25"/>
      <c r="L13" s="25"/>
      <c r="M13" s="40">
        <f>60000+24000</f>
        <v>84000</v>
      </c>
      <c r="N13" s="25"/>
      <c r="O13" s="25"/>
    </row>
    <row r="14" spans="1:18" s="18" customFormat="1" ht="15.75">
      <c r="A14" s="55"/>
      <c r="B14" s="55"/>
      <c r="C14" s="55"/>
      <c r="D14" s="55"/>
      <c r="E14" s="11"/>
      <c r="F14" s="8" t="s">
        <v>58</v>
      </c>
      <c r="G14" s="37"/>
      <c r="H14" s="51">
        <f>20000+(5000*2)</f>
        <v>30000</v>
      </c>
      <c r="I14" s="23"/>
      <c r="J14" s="40"/>
      <c r="K14" s="51">
        <f>20000+(5000*2)</f>
        <v>30000</v>
      </c>
      <c r="L14" s="51"/>
      <c r="M14" s="40"/>
      <c r="N14" s="51">
        <f>20000+(5000*2)</f>
        <v>30000</v>
      </c>
      <c r="O14" s="51"/>
    </row>
    <row r="15" spans="1:18" s="18" customFormat="1" ht="15.75">
      <c r="A15" s="55"/>
      <c r="B15" s="55"/>
      <c r="C15" s="55"/>
      <c r="D15" s="55"/>
      <c r="E15" s="11"/>
      <c r="F15" s="8" t="s">
        <v>57</v>
      </c>
      <c r="G15" s="37"/>
      <c r="H15" s="51">
        <v>70000</v>
      </c>
      <c r="I15" s="23"/>
      <c r="J15" s="40"/>
      <c r="K15" s="51">
        <v>30000</v>
      </c>
      <c r="L15" s="51"/>
      <c r="M15" s="40"/>
      <c r="N15" s="51">
        <v>40000</v>
      </c>
      <c r="O15" s="51"/>
    </row>
    <row r="16" spans="1:18" s="18" customFormat="1" ht="15.75">
      <c r="A16" s="55"/>
      <c r="B16" s="55"/>
      <c r="C16" s="55"/>
      <c r="D16" s="55"/>
      <c r="E16" s="11"/>
      <c r="F16" s="8" t="s">
        <v>60</v>
      </c>
      <c r="G16" s="37"/>
      <c r="H16" s="51">
        <v>20000</v>
      </c>
      <c r="I16" s="23"/>
      <c r="J16" s="40"/>
      <c r="K16" s="51">
        <v>20000</v>
      </c>
      <c r="L16" s="51"/>
      <c r="M16" s="40"/>
      <c r="N16" s="51">
        <v>20000</v>
      </c>
      <c r="O16" s="51"/>
    </row>
    <row r="17" spans="1:21" s="18" customFormat="1" ht="15.75">
      <c r="A17" s="55"/>
      <c r="B17" s="55"/>
      <c r="C17" s="55"/>
      <c r="D17" s="55"/>
      <c r="E17" s="11"/>
      <c r="F17" s="8" t="s">
        <v>56</v>
      </c>
      <c r="G17" s="37"/>
      <c r="H17" s="51">
        <v>20000</v>
      </c>
      <c r="I17" s="23"/>
      <c r="J17" s="40"/>
      <c r="K17" s="51">
        <v>20000</v>
      </c>
      <c r="L17" s="51"/>
      <c r="M17" s="40"/>
      <c r="N17" s="51">
        <v>20000</v>
      </c>
      <c r="O17" s="51"/>
    </row>
    <row r="18" spans="1:21" s="18" customFormat="1" ht="47.25">
      <c r="A18" s="55"/>
      <c r="B18" s="55"/>
      <c r="C18" s="55"/>
      <c r="D18" s="55"/>
      <c r="E18" s="11"/>
      <c r="F18" s="8" t="s">
        <v>59</v>
      </c>
      <c r="G18" s="37"/>
      <c r="H18" s="51">
        <v>28000</v>
      </c>
      <c r="I18" s="23"/>
      <c r="J18" s="40"/>
      <c r="K18" s="51">
        <v>28000</v>
      </c>
      <c r="L18" s="51"/>
      <c r="M18" s="40"/>
      <c r="N18" s="51">
        <v>24000</v>
      </c>
      <c r="O18" s="51"/>
    </row>
    <row r="19" spans="1:21" s="18" customFormat="1" ht="23.25" customHeight="1">
      <c r="A19" s="55" t="s">
        <v>7</v>
      </c>
      <c r="B19" s="55">
        <v>4</v>
      </c>
      <c r="C19" s="55" t="s">
        <v>45</v>
      </c>
      <c r="D19" s="55">
        <v>112</v>
      </c>
      <c r="E19" s="11">
        <v>212</v>
      </c>
      <c r="F19" s="8" t="s">
        <v>34</v>
      </c>
      <c r="G19" s="37">
        <v>47500</v>
      </c>
      <c r="H19" s="51">
        <v>0</v>
      </c>
      <c r="I19" s="23"/>
      <c r="J19" s="40">
        <v>47500</v>
      </c>
      <c r="K19" s="51">
        <v>0</v>
      </c>
      <c r="L19" s="51"/>
      <c r="M19" s="40">
        <v>47500</v>
      </c>
      <c r="N19" s="51">
        <v>0</v>
      </c>
      <c r="O19" s="51"/>
    </row>
    <row r="20" spans="1:21" s="18" customFormat="1" ht="22.5" customHeight="1">
      <c r="A20" s="55" t="s">
        <v>7</v>
      </c>
      <c r="B20" s="55">
        <v>4</v>
      </c>
      <c r="C20" s="55" t="s">
        <v>45</v>
      </c>
      <c r="D20" s="55">
        <v>112</v>
      </c>
      <c r="E20" s="11">
        <v>214</v>
      </c>
      <c r="F20" s="8" t="s">
        <v>35</v>
      </c>
      <c r="G20" s="37">
        <v>740000</v>
      </c>
      <c r="H20" s="25">
        <v>740000</v>
      </c>
      <c r="I20" s="23">
        <v>220000</v>
      </c>
      <c r="J20" s="40">
        <v>1040000</v>
      </c>
      <c r="K20" s="25">
        <v>880000</v>
      </c>
      <c r="L20" s="25"/>
      <c r="M20" s="40">
        <v>1040000</v>
      </c>
      <c r="N20" s="25">
        <v>960000</v>
      </c>
      <c r="O20" s="25"/>
    </row>
    <row r="21" spans="1:21" s="18" customFormat="1" ht="34.5" customHeight="1">
      <c r="A21" s="55" t="s">
        <v>7</v>
      </c>
      <c r="B21" s="55">
        <v>4</v>
      </c>
      <c r="C21" s="55" t="s">
        <v>45</v>
      </c>
      <c r="D21" s="55">
        <v>112</v>
      </c>
      <c r="E21" s="11">
        <v>226</v>
      </c>
      <c r="F21" s="8" t="s">
        <v>36</v>
      </c>
      <c r="G21" s="37">
        <v>341731.7</v>
      </c>
      <c r="H21" s="51">
        <v>0</v>
      </c>
      <c r="I21" s="23"/>
      <c r="J21" s="40">
        <v>341731.7</v>
      </c>
      <c r="K21" s="51">
        <v>0</v>
      </c>
      <c r="L21" s="51"/>
      <c r="M21" s="40">
        <v>341731.7</v>
      </c>
      <c r="N21" s="51">
        <v>0</v>
      </c>
      <c r="O21" s="51"/>
    </row>
    <row r="22" spans="1:21" s="18" customFormat="1" ht="47.25">
      <c r="A22" s="55" t="s">
        <v>7</v>
      </c>
      <c r="B22" s="55">
        <v>4</v>
      </c>
      <c r="C22" s="55" t="s">
        <v>45</v>
      </c>
      <c r="D22" s="55">
        <v>112</v>
      </c>
      <c r="E22" s="11">
        <v>266</v>
      </c>
      <c r="F22" s="8" t="s">
        <v>41</v>
      </c>
      <c r="G22" s="37">
        <v>1700</v>
      </c>
      <c r="H22" s="51">
        <f>4080-1020-1020</f>
        <v>2040</v>
      </c>
      <c r="I22" s="23"/>
      <c r="J22" s="40">
        <v>1020</v>
      </c>
      <c r="K22" s="51">
        <f>4080-1020-1020</f>
        <v>2040</v>
      </c>
      <c r="L22" s="51"/>
      <c r="M22" s="40">
        <v>1020</v>
      </c>
      <c r="N22" s="51">
        <f>1615-425-595</f>
        <v>595</v>
      </c>
      <c r="O22" s="51"/>
    </row>
    <row r="23" spans="1:21" s="18" customFormat="1" ht="31.5">
      <c r="A23" s="55" t="s">
        <v>7</v>
      </c>
      <c r="B23" s="55">
        <v>4</v>
      </c>
      <c r="C23" s="55" t="s">
        <v>45</v>
      </c>
      <c r="D23" s="55">
        <v>119</v>
      </c>
      <c r="E23" s="11">
        <v>213</v>
      </c>
      <c r="F23" s="8" t="s">
        <v>61</v>
      </c>
      <c r="G23" s="37"/>
      <c r="H23" s="23">
        <f>(H14+H15+H18)*30.2%</f>
        <v>38656</v>
      </c>
      <c r="I23" s="23"/>
      <c r="J23" s="37"/>
      <c r="K23" s="23">
        <f>(K14+K15+K18)*30.2%</f>
        <v>26576</v>
      </c>
      <c r="L23" s="23"/>
      <c r="M23" s="37"/>
      <c r="N23" s="23">
        <f>(N14+N15+N18)*30.2%</f>
        <v>28388</v>
      </c>
      <c r="O23" s="23"/>
    </row>
    <row r="24" spans="1:21" s="18" customFormat="1" ht="15.75">
      <c r="A24" s="55" t="s">
        <v>7</v>
      </c>
      <c r="B24" s="55">
        <v>4</v>
      </c>
      <c r="C24" s="55" t="s">
        <v>37</v>
      </c>
      <c r="D24" s="55">
        <v>119</v>
      </c>
      <c r="E24" s="11">
        <v>213</v>
      </c>
      <c r="F24" s="8" t="s">
        <v>10</v>
      </c>
      <c r="G24" s="37">
        <v>7789090.8300000001</v>
      </c>
      <c r="H24" s="23">
        <v>7789090.8300000001</v>
      </c>
      <c r="I24" s="23">
        <v>3563015.97</v>
      </c>
      <c r="J24" s="37">
        <v>7742377.1600000001</v>
      </c>
      <c r="K24" s="23">
        <v>7742377.1600000001</v>
      </c>
      <c r="L24" s="23">
        <f>11352106.8-K24</f>
        <v>3609729.64</v>
      </c>
      <c r="M24" s="37">
        <v>7742377.1600000001</v>
      </c>
      <c r="N24" s="23">
        <v>7742377.1600000001</v>
      </c>
      <c r="O24" s="23">
        <f>11352106.8-N24</f>
        <v>3609729.64</v>
      </c>
    </row>
    <row r="25" spans="1:21" s="68" customFormat="1" ht="19.5" customHeight="1">
      <c r="A25" s="55" t="s">
        <v>7</v>
      </c>
      <c r="B25" s="55">
        <v>4</v>
      </c>
      <c r="C25" s="55" t="s">
        <v>45</v>
      </c>
      <c r="D25" s="55">
        <v>244</v>
      </c>
      <c r="E25" s="11">
        <v>221</v>
      </c>
      <c r="F25" s="8" t="s">
        <v>11</v>
      </c>
      <c r="G25" s="37">
        <v>269854.12</v>
      </c>
      <c r="H25" s="51">
        <v>115913.67</v>
      </c>
      <c r="I25" s="23"/>
      <c r="J25" s="40">
        <v>269854.12</v>
      </c>
      <c r="K25" s="51">
        <v>115913.67</v>
      </c>
      <c r="L25" s="51"/>
      <c r="M25" s="40">
        <v>269854.12</v>
      </c>
      <c r="N25" s="51">
        <v>115913.67</v>
      </c>
      <c r="O25" s="51"/>
    </row>
    <row r="26" spans="1:21" s="68" customFormat="1" ht="19.5" customHeight="1">
      <c r="A26" s="55" t="s">
        <v>7</v>
      </c>
      <c r="B26" s="55">
        <v>4</v>
      </c>
      <c r="C26" s="55" t="s">
        <v>45</v>
      </c>
      <c r="D26" s="55">
        <v>244</v>
      </c>
      <c r="E26" s="11">
        <v>222</v>
      </c>
      <c r="F26" s="8" t="s">
        <v>12</v>
      </c>
      <c r="G26" s="37">
        <v>318210</v>
      </c>
      <c r="H26" s="51">
        <v>135963.28</v>
      </c>
      <c r="I26" s="23"/>
      <c r="J26" s="40">
        <v>318210</v>
      </c>
      <c r="K26" s="51">
        <v>0</v>
      </c>
      <c r="L26" s="51"/>
      <c r="M26" s="40">
        <v>318210</v>
      </c>
      <c r="N26" s="51">
        <v>0</v>
      </c>
      <c r="O26" s="51"/>
    </row>
    <row r="27" spans="1:21" s="68" customFormat="1" ht="15.75">
      <c r="A27" s="55" t="s">
        <v>7</v>
      </c>
      <c r="B27" s="55">
        <v>4</v>
      </c>
      <c r="C27" s="55" t="s">
        <v>45</v>
      </c>
      <c r="D27" s="55">
        <v>244</v>
      </c>
      <c r="E27" s="11">
        <v>223</v>
      </c>
      <c r="F27" s="8" t="s">
        <v>13</v>
      </c>
      <c r="G27" s="37">
        <v>2117108.54</v>
      </c>
      <c r="H27" s="51">
        <v>1944295.06</v>
      </c>
      <c r="I27" s="23"/>
      <c r="J27" s="40">
        <v>2117108.54</v>
      </c>
      <c r="K27" s="51">
        <v>1994234.58</v>
      </c>
      <c r="L27" s="51"/>
      <c r="M27" s="40">
        <v>2117108.54</v>
      </c>
      <c r="N27" s="51">
        <v>2028599.88</v>
      </c>
      <c r="O27" s="51"/>
      <c r="S27" s="68" t="s">
        <v>64</v>
      </c>
    </row>
    <row r="28" spans="1:21" s="68" customFormat="1" ht="15.75">
      <c r="A28" s="55" t="s">
        <v>7</v>
      </c>
      <c r="B28" s="55">
        <v>4</v>
      </c>
      <c r="C28" s="55" t="s">
        <v>45</v>
      </c>
      <c r="D28" s="55">
        <v>244</v>
      </c>
      <c r="E28" s="11">
        <v>225</v>
      </c>
      <c r="F28" s="8" t="s">
        <v>14</v>
      </c>
      <c r="G28" s="37">
        <v>912712.63</v>
      </c>
      <c r="H28" s="51">
        <v>1385801.78</v>
      </c>
      <c r="I28" s="23">
        <v>459751.48</v>
      </c>
      <c r="J28" s="40">
        <v>933942.18</v>
      </c>
      <c r="K28" s="51">
        <v>1356284.59</v>
      </c>
      <c r="L28" s="51">
        <v>484319.83</v>
      </c>
      <c r="M28" s="40">
        <v>933942.18</v>
      </c>
      <c r="N28" s="51">
        <f>1840604.42-99437-313664.13</f>
        <v>1427503.29</v>
      </c>
      <c r="O28" s="51">
        <v>413101.13</v>
      </c>
      <c r="Q28" s="24"/>
      <c r="S28" s="24">
        <v>6847892.9900000002</v>
      </c>
      <c r="T28" s="66"/>
      <c r="U28" s="1"/>
    </row>
    <row r="29" spans="1:21" s="68" customFormat="1" ht="15.75">
      <c r="A29" s="55" t="s">
        <v>7</v>
      </c>
      <c r="B29" s="55">
        <v>4</v>
      </c>
      <c r="C29" s="55" t="s">
        <v>45</v>
      </c>
      <c r="D29" s="55">
        <v>244</v>
      </c>
      <c r="E29" s="11">
        <v>226</v>
      </c>
      <c r="F29" s="8" t="s">
        <v>15</v>
      </c>
      <c r="G29" s="37">
        <v>1588563.29</v>
      </c>
      <c r="H29" s="24">
        <f>1131115.68+110854.08+(56834.4+17566.67+110710.8+263999.88+9333.32)-458445.07</f>
        <v>1241969.76</v>
      </c>
      <c r="I29" s="23">
        <v>307666.67</v>
      </c>
      <c r="J29" s="37">
        <v>1586920.34</v>
      </c>
      <c r="K29" s="24">
        <f>1128025.2+110551.2</f>
        <v>1238576.3999999999</v>
      </c>
      <c r="L29" s="24"/>
      <c r="M29" s="37">
        <v>1586920.34</v>
      </c>
      <c r="N29" s="24">
        <f>1128025.2+110551.2</f>
        <v>1238576.3999999999</v>
      </c>
      <c r="O29" s="24"/>
      <c r="Q29" s="24"/>
      <c r="S29" s="24">
        <v>6759321.96</v>
      </c>
      <c r="T29" s="66"/>
      <c r="U29" s="1"/>
    </row>
    <row r="30" spans="1:21" s="31" customFormat="1" ht="15.75">
      <c r="A30" s="20" t="s">
        <v>7</v>
      </c>
      <c r="B30" s="20">
        <v>4</v>
      </c>
      <c r="C30" s="20" t="s">
        <v>46</v>
      </c>
      <c r="D30" s="20">
        <v>244</v>
      </c>
      <c r="E30" s="21">
        <v>226</v>
      </c>
      <c r="F30" s="22" t="s">
        <v>15</v>
      </c>
      <c r="G30" s="37">
        <v>1302229.71</v>
      </c>
      <c r="H30" s="56">
        <f>952738.79+1376852.54</f>
        <v>2329591.33</v>
      </c>
      <c r="I30" s="23"/>
      <c r="J30" s="38">
        <v>1302229.71</v>
      </c>
      <c r="K30" s="56">
        <f>961749.8+1230568.18</f>
        <v>2192317.98</v>
      </c>
      <c r="L30" s="56"/>
      <c r="M30" s="38">
        <f>853590.72+448638.99</f>
        <v>1302229.71</v>
      </c>
      <c r="N30" s="56">
        <f>942002.54+1387588.79</f>
        <v>2329591.33</v>
      </c>
      <c r="O30" s="56"/>
      <c r="Q30" s="24"/>
      <c r="S30" s="24">
        <v>6759321.96</v>
      </c>
      <c r="T30" s="66"/>
      <c r="U30" s="1"/>
    </row>
    <row r="31" spans="1:21" s="19" customFormat="1" ht="18" customHeight="1">
      <c r="A31" s="55" t="s">
        <v>7</v>
      </c>
      <c r="B31" s="55">
        <v>4</v>
      </c>
      <c r="C31" s="55" t="s">
        <v>45</v>
      </c>
      <c r="D31" s="55">
        <v>851</v>
      </c>
      <c r="E31" s="11">
        <v>291</v>
      </c>
      <c r="F31" s="8" t="s">
        <v>28</v>
      </c>
      <c r="G31" s="37">
        <v>2256125</v>
      </c>
      <c r="H31" s="51">
        <f>2256125</f>
        <v>2256125</v>
      </c>
      <c r="I31" s="23">
        <v>39775</v>
      </c>
      <c r="J31" s="40">
        <v>2150525</v>
      </c>
      <c r="K31" s="51">
        <f>2150525</f>
        <v>2150525</v>
      </c>
      <c r="L31" s="23">
        <v>59662</v>
      </c>
      <c r="M31" s="40">
        <v>2150525</v>
      </c>
      <c r="N31" s="51">
        <f>2044941</f>
        <v>2044941</v>
      </c>
      <c r="O31" s="23">
        <v>99437</v>
      </c>
    </row>
    <row r="32" spans="1:21" s="19" customFormat="1" ht="16.5" customHeight="1">
      <c r="A32" s="55" t="s">
        <v>7</v>
      </c>
      <c r="B32" s="55">
        <v>4</v>
      </c>
      <c r="C32" s="55" t="s">
        <v>45</v>
      </c>
      <c r="D32" s="55">
        <v>853</v>
      </c>
      <c r="E32" s="11">
        <v>291</v>
      </c>
      <c r="F32" s="8" t="s">
        <v>28</v>
      </c>
      <c r="G32" s="37">
        <v>24536</v>
      </c>
      <c r="H32" s="51">
        <v>19701.39</v>
      </c>
      <c r="I32" s="23"/>
      <c r="J32" s="37">
        <v>24536</v>
      </c>
      <c r="K32" s="24">
        <v>19701.39</v>
      </c>
      <c r="L32" s="24"/>
      <c r="M32" s="37">
        <v>24536</v>
      </c>
      <c r="N32" s="24">
        <v>19701.39</v>
      </c>
      <c r="O32" s="24"/>
      <c r="Q32" s="62"/>
    </row>
    <row r="33" spans="1:18" s="19" customFormat="1" ht="19.5" customHeight="1">
      <c r="A33" s="55" t="s">
        <v>7</v>
      </c>
      <c r="B33" s="55">
        <v>4</v>
      </c>
      <c r="C33" s="55" t="s">
        <v>45</v>
      </c>
      <c r="D33" s="55">
        <v>853</v>
      </c>
      <c r="E33" s="11">
        <v>297</v>
      </c>
      <c r="F33" s="8" t="s">
        <v>38</v>
      </c>
      <c r="G33" s="37">
        <v>35276.199999999997</v>
      </c>
      <c r="H33" s="25">
        <v>57383.82</v>
      </c>
      <c r="I33" s="23"/>
      <c r="J33" s="37">
        <v>34901.730000000003</v>
      </c>
      <c r="K33" s="25">
        <v>57383.82</v>
      </c>
      <c r="L33" s="25"/>
      <c r="M33" s="37">
        <v>34901.730000000003</v>
      </c>
      <c r="N33" s="25">
        <v>57383.82</v>
      </c>
      <c r="O33" s="25"/>
    </row>
    <row r="34" spans="1:18" s="31" customFormat="1" ht="31.5">
      <c r="A34" s="55" t="s">
        <v>7</v>
      </c>
      <c r="B34" s="55">
        <v>4</v>
      </c>
      <c r="C34" s="55" t="s">
        <v>45</v>
      </c>
      <c r="D34" s="55">
        <v>244</v>
      </c>
      <c r="E34" s="11">
        <v>346</v>
      </c>
      <c r="F34" s="8" t="s">
        <v>16</v>
      </c>
      <c r="G34" s="37">
        <v>0</v>
      </c>
      <c r="H34" s="51">
        <v>0</v>
      </c>
      <c r="I34" s="23"/>
      <c r="J34" s="37">
        <v>0</v>
      </c>
      <c r="K34" s="24">
        <v>0</v>
      </c>
      <c r="L34" s="24"/>
      <c r="M34" s="37">
        <v>0</v>
      </c>
      <c r="N34" s="24">
        <v>0</v>
      </c>
      <c r="O34" s="24"/>
    </row>
    <row r="35" spans="1:18" s="26" customFormat="1" ht="31.5">
      <c r="A35" s="20" t="s">
        <v>7</v>
      </c>
      <c r="B35" s="20">
        <v>4</v>
      </c>
      <c r="C35" s="20" t="s">
        <v>46</v>
      </c>
      <c r="D35" s="20">
        <v>244</v>
      </c>
      <c r="E35" s="21">
        <v>346</v>
      </c>
      <c r="F35" s="22" t="s">
        <v>16</v>
      </c>
      <c r="G35" s="37">
        <v>206330.27</v>
      </c>
      <c r="H35" s="57">
        <f>107182.2+163682.05</f>
        <v>270864.25</v>
      </c>
      <c r="I35" s="23"/>
      <c r="J35" s="40">
        <v>206330.27</v>
      </c>
      <c r="K35" s="57">
        <f>98171.19+168909.05</f>
        <v>267080.24</v>
      </c>
      <c r="L35" s="57">
        <v>44417.75</v>
      </c>
      <c r="M35" s="40">
        <v>206330.27</v>
      </c>
      <c r="N35" s="57">
        <f>117918.45+188409.55</f>
        <v>306328</v>
      </c>
      <c r="O35" s="57"/>
    </row>
    <row r="36" spans="1:18" s="26" customFormat="1" ht="15.75">
      <c r="A36" s="20" t="s">
        <v>7</v>
      </c>
      <c r="B36" s="55">
        <v>4</v>
      </c>
      <c r="C36" s="55" t="s">
        <v>45</v>
      </c>
      <c r="D36" s="16">
        <v>112</v>
      </c>
      <c r="E36" s="17">
        <v>266</v>
      </c>
      <c r="F36" s="9" t="s">
        <v>9</v>
      </c>
      <c r="G36" s="37"/>
      <c r="H36" s="57">
        <v>143800.67000000001</v>
      </c>
      <c r="I36" s="23"/>
      <c r="J36" s="40"/>
      <c r="K36" s="57">
        <v>101477.75</v>
      </c>
      <c r="L36" s="57">
        <v>13414.16</v>
      </c>
      <c r="M36" s="40"/>
      <c r="N36" s="57">
        <v>101477.75</v>
      </c>
      <c r="O36" s="57">
        <v>65591.210000000006</v>
      </c>
    </row>
    <row r="37" spans="1:18" s="19" customFormat="1" ht="15.75">
      <c r="A37" s="55" t="s">
        <v>7</v>
      </c>
      <c r="B37" s="55">
        <v>4</v>
      </c>
      <c r="C37" s="55" t="s">
        <v>45</v>
      </c>
      <c r="D37" s="16">
        <v>119</v>
      </c>
      <c r="E37" s="17">
        <v>266</v>
      </c>
      <c r="F37" s="9" t="s">
        <v>10</v>
      </c>
      <c r="G37" s="37">
        <v>3600</v>
      </c>
      <c r="H37" s="51">
        <v>43427.8</v>
      </c>
      <c r="I37" s="23"/>
      <c r="J37" s="37">
        <v>8400</v>
      </c>
      <c r="K37" s="24">
        <v>30646.28</v>
      </c>
      <c r="L37" s="24"/>
      <c r="M37" s="37">
        <v>8400</v>
      </c>
      <c r="N37" s="24">
        <v>30646.28</v>
      </c>
      <c r="O37" s="24">
        <v>19808.55</v>
      </c>
      <c r="P37" s="63" t="s">
        <v>63</v>
      </c>
    </row>
    <row r="38" spans="1:18" s="31" customFormat="1" ht="15.75" customHeight="1">
      <c r="A38" s="1476" t="s">
        <v>17</v>
      </c>
      <c r="B38" s="1477"/>
      <c r="C38" s="1477"/>
      <c r="D38" s="1477"/>
      <c r="E38" s="1477"/>
      <c r="F38" s="1478"/>
      <c r="G38" s="38">
        <f t="shared" ref="G38:O38" si="0">SUM(G11:G37)</f>
        <v>44743756.799999997</v>
      </c>
      <c r="H38" s="24">
        <f>SUM(H11:H37)</f>
        <v>45345813.149999999</v>
      </c>
      <c r="I38" s="24">
        <f t="shared" si="0"/>
        <v>16232896.060000001</v>
      </c>
      <c r="J38" s="38">
        <f t="shared" si="0"/>
        <v>44900020.25</v>
      </c>
      <c r="K38" s="24">
        <f>SUM(K11:K37)</f>
        <v>44993568.359999999</v>
      </c>
      <c r="L38" s="24">
        <f t="shared" si="0"/>
        <v>15826985.33</v>
      </c>
      <c r="M38" s="38">
        <f t="shared" si="0"/>
        <v>44900020.25</v>
      </c>
      <c r="N38" s="24">
        <f>SUM(N11:N37)</f>
        <v>45256456.469999999</v>
      </c>
      <c r="O38" s="24">
        <f t="shared" si="0"/>
        <v>15823109.48</v>
      </c>
    </row>
    <row r="39" spans="1:18" s="31" customFormat="1" ht="23.25" customHeight="1">
      <c r="A39" s="1479" t="s">
        <v>18</v>
      </c>
      <c r="B39" s="1479"/>
      <c r="C39" s="1479"/>
      <c r="D39" s="1479"/>
      <c r="E39" s="1479"/>
      <c r="F39" s="1479"/>
      <c r="G39" s="1479"/>
      <c r="H39" s="1479"/>
      <c r="I39" s="54"/>
      <c r="J39" s="44"/>
      <c r="K39" s="54"/>
      <c r="L39" s="54"/>
      <c r="M39" s="47"/>
      <c r="N39" s="54"/>
      <c r="O39" s="54"/>
    </row>
    <row r="40" spans="1:18" s="31" customFormat="1" ht="23.25" customHeight="1">
      <c r="A40" s="16" t="s">
        <v>19</v>
      </c>
      <c r="B40" s="16">
        <v>5</v>
      </c>
      <c r="C40" s="55" t="s">
        <v>45</v>
      </c>
      <c r="D40" s="16">
        <v>112</v>
      </c>
      <c r="E40" s="17">
        <v>266</v>
      </c>
      <c r="F40" s="9" t="s">
        <v>9</v>
      </c>
      <c r="G40" s="37">
        <v>216697.67</v>
      </c>
      <c r="H40" s="23"/>
      <c r="I40" s="23">
        <v>0</v>
      </c>
      <c r="J40" s="37">
        <v>101477.75</v>
      </c>
      <c r="K40" s="23"/>
      <c r="L40" s="23"/>
      <c r="M40" s="37">
        <v>101477.75</v>
      </c>
      <c r="N40" s="23"/>
      <c r="O40" s="23"/>
    </row>
    <row r="41" spans="1:18" s="31" customFormat="1" ht="21" customHeight="1">
      <c r="A41" s="16" t="s">
        <v>19</v>
      </c>
      <c r="B41" s="16">
        <v>5</v>
      </c>
      <c r="C41" s="55" t="s">
        <v>45</v>
      </c>
      <c r="D41" s="16">
        <v>119</v>
      </c>
      <c r="E41" s="17">
        <v>266</v>
      </c>
      <c r="F41" s="9" t="s">
        <v>10</v>
      </c>
      <c r="G41" s="37">
        <v>65442.7</v>
      </c>
      <c r="H41" s="23"/>
      <c r="I41" s="23">
        <v>0</v>
      </c>
      <c r="J41" s="37">
        <v>30646.28</v>
      </c>
      <c r="K41" s="23"/>
      <c r="L41" s="23"/>
      <c r="M41" s="37">
        <v>30646.28</v>
      </c>
      <c r="N41" s="23"/>
      <c r="O41" s="23"/>
    </row>
    <row r="42" spans="1:18" s="31" customFormat="1" ht="28.5" customHeight="1">
      <c r="A42" s="16" t="s">
        <v>44</v>
      </c>
      <c r="B42" s="16">
        <v>5</v>
      </c>
      <c r="C42" s="55" t="s">
        <v>48</v>
      </c>
      <c r="D42" s="16">
        <v>244</v>
      </c>
      <c r="E42" s="17">
        <v>226</v>
      </c>
      <c r="F42" s="8" t="s">
        <v>15</v>
      </c>
      <c r="G42" s="37">
        <v>0</v>
      </c>
      <c r="H42" s="23">
        <v>47233.26</v>
      </c>
      <c r="I42" s="23"/>
      <c r="J42" s="37">
        <v>0</v>
      </c>
      <c r="K42" s="23">
        <v>0</v>
      </c>
      <c r="L42" s="23"/>
      <c r="M42" s="37">
        <v>0</v>
      </c>
      <c r="N42" s="23">
        <v>0</v>
      </c>
      <c r="O42" s="23"/>
    </row>
    <row r="43" spans="1:18" s="19" customFormat="1" ht="31.5">
      <c r="A43" s="55" t="s">
        <v>7</v>
      </c>
      <c r="B43" s="55">
        <v>4</v>
      </c>
      <c r="C43" s="55" t="s">
        <v>45</v>
      </c>
      <c r="D43" s="55">
        <v>360</v>
      </c>
      <c r="E43" s="11">
        <v>296</v>
      </c>
      <c r="F43" s="8" t="s">
        <v>40</v>
      </c>
      <c r="G43" s="37">
        <v>0</v>
      </c>
      <c r="H43" s="51">
        <v>1200</v>
      </c>
      <c r="I43" s="23"/>
      <c r="J43" s="37">
        <v>0</v>
      </c>
      <c r="K43" s="24">
        <v>4800</v>
      </c>
      <c r="L43" s="24"/>
      <c r="M43" s="37">
        <v>0</v>
      </c>
      <c r="N43" s="24">
        <v>7200</v>
      </c>
      <c r="O43" s="24"/>
      <c r="P43" s="63"/>
    </row>
    <row r="44" spans="1:18" s="31" customFormat="1" ht="15.75">
      <c r="A44" s="1476" t="s">
        <v>17</v>
      </c>
      <c r="B44" s="1477"/>
      <c r="C44" s="1477"/>
      <c r="D44" s="1477"/>
      <c r="E44" s="1477"/>
      <c r="F44" s="1478"/>
      <c r="G44" s="38">
        <f t="shared" ref="G44:M44" si="1">SUM(G40:G42)</f>
        <v>282140.37</v>
      </c>
      <c r="H44" s="24">
        <f>SUM(H40:H43)</f>
        <v>48433.26</v>
      </c>
      <c r="I44" s="24">
        <f t="shared" si="1"/>
        <v>0</v>
      </c>
      <c r="J44" s="38">
        <f t="shared" si="1"/>
        <v>132124.03</v>
      </c>
      <c r="K44" s="24">
        <f>SUM(K40:K43)</f>
        <v>4800</v>
      </c>
      <c r="L44" s="24">
        <f t="shared" si="1"/>
        <v>0</v>
      </c>
      <c r="M44" s="38">
        <f t="shared" si="1"/>
        <v>132124.03</v>
      </c>
      <c r="N44" s="24">
        <f>SUM(N40:N43)</f>
        <v>7200</v>
      </c>
      <c r="O44" s="24">
        <f>SUM(O40:O42)</f>
        <v>0</v>
      </c>
    </row>
    <row r="45" spans="1:18" s="31" customFormat="1" ht="16.5" customHeight="1">
      <c r="A45" s="1476" t="s">
        <v>21</v>
      </c>
      <c r="B45" s="1477"/>
      <c r="C45" s="1477"/>
      <c r="D45" s="1477"/>
      <c r="E45" s="1477"/>
      <c r="F45" s="1478"/>
      <c r="G45" s="39">
        <f t="shared" ref="G45:O45" si="2">G38+G44</f>
        <v>45025897.170000002</v>
      </c>
      <c r="H45" s="51">
        <f>H38+H44</f>
        <v>45394246.409999996</v>
      </c>
      <c r="I45" s="51">
        <f t="shared" si="2"/>
        <v>16232896.060000001</v>
      </c>
      <c r="J45" s="39">
        <f t="shared" si="2"/>
        <v>45032144.280000001</v>
      </c>
      <c r="K45" s="51">
        <f t="shared" si="2"/>
        <v>44998368.359999999</v>
      </c>
      <c r="L45" s="51">
        <f t="shared" si="2"/>
        <v>15826985.33</v>
      </c>
      <c r="M45" s="39">
        <f t="shared" si="2"/>
        <v>45032144.280000001</v>
      </c>
      <c r="N45" s="51">
        <f t="shared" si="2"/>
        <v>45263656.469999999</v>
      </c>
      <c r="O45" s="51">
        <f t="shared" si="2"/>
        <v>15823109.48</v>
      </c>
    </row>
    <row r="46" spans="1:18" s="31" customFormat="1" ht="15.75">
      <c r="A46" s="1479" t="s">
        <v>22</v>
      </c>
      <c r="B46" s="1479"/>
      <c r="C46" s="1479"/>
      <c r="D46" s="1479"/>
      <c r="E46" s="1479"/>
      <c r="F46" s="1479"/>
      <c r="G46" s="1479"/>
      <c r="H46" s="1479"/>
      <c r="I46" s="6"/>
      <c r="J46" s="6"/>
      <c r="K46" s="6"/>
      <c r="L46" s="6"/>
      <c r="M46" s="6"/>
      <c r="N46" s="6"/>
      <c r="O46" s="6"/>
    </row>
    <row r="47" spans="1:18" s="31" customFormat="1" ht="24.75" customHeight="1">
      <c r="A47" s="55" t="s">
        <v>23</v>
      </c>
      <c r="B47" s="55">
        <v>2</v>
      </c>
      <c r="C47" s="55" t="s">
        <v>37</v>
      </c>
      <c r="D47" s="55">
        <v>111</v>
      </c>
      <c r="E47" s="55">
        <v>211</v>
      </c>
      <c r="F47" s="8" t="s">
        <v>8</v>
      </c>
      <c r="G47" s="40">
        <v>4583031.95</v>
      </c>
      <c r="H47" s="25">
        <v>4302112.92</v>
      </c>
      <c r="I47" s="25"/>
      <c r="J47" s="40">
        <v>4602731.13</v>
      </c>
      <c r="K47" s="25">
        <v>5045709.93</v>
      </c>
      <c r="L47" s="25"/>
      <c r="M47" s="40">
        <v>4602731.13</v>
      </c>
      <c r="N47" s="25">
        <v>5207036.58</v>
      </c>
      <c r="O47" s="25"/>
      <c r="P47" s="25">
        <v>4302112.92</v>
      </c>
      <c r="Q47" s="7">
        <v>789182.77</v>
      </c>
      <c r="R47" s="7">
        <f>P47+Q47</f>
        <v>5091295.6900000004</v>
      </c>
    </row>
    <row r="48" spans="1:18" s="31" customFormat="1" ht="94.5">
      <c r="A48" s="55" t="s">
        <v>23</v>
      </c>
      <c r="B48" s="55">
        <v>2</v>
      </c>
      <c r="C48" s="55" t="s">
        <v>45</v>
      </c>
      <c r="D48" s="55">
        <v>111</v>
      </c>
      <c r="E48" s="11">
        <v>211</v>
      </c>
      <c r="F48" s="8" t="s">
        <v>49</v>
      </c>
      <c r="G48" s="37"/>
      <c r="H48" s="25">
        <v>8000</v>
      </c>
      <c r="I48" s="23"/>
      <c r="J48" s="40"/>
      <c r="K48" s="25">
        <v>8000</v>
      </c>
      <c r="L48" s="25"/>
      <c r="M48" s="40"/>
      <c r="N48" s="25">
        <v>3000</v>
      </c>
      <c r="O48" s="25"/>
      <c r="P48" s="25"/>
    </row>
    <row r="49" spans="1:18" s="31" customFormat="1" ht="47.25">
      <c r="A49" s="55" t="s">
        <v>23</v>
      </c>
      <c r="B49" s="55">
        <v>2</v>
      </c>
      <c r="C49" s="55" t="s">
        <v>37</v>
      </c>
      <c r="D49" s="55">
        <v>111</v>
      </c>
      <c r="E49" s="11">
        <v>266</v>
      </c>
      <c r="F49" s="8" t="s">
        <v>43</v>
      </c>
      <c r="G49" s="40">
        <v>20000</v>
      </c>
      <c r="H49" s="25">
        <v>20000</v>
      </c>
      <c r="I49" s="25"/>
      <c r="J49" s="40">
        <v>20000</v>
      </c>
      <c r="K49" s="25">
        <v>20000</v>
      </c>
      <c r="L49" s="25"/>
      <c r="M49" s="40">
        <v>20000</v>
      </c>
      <c r="N49" s="25">
        <v>20000</v>
      </c>
      <c r="O49" s="25"/>
      <c r="P49" s="25"/>
    </row>
    <row r="50" spans="1:18" s="18" customFormat="1" ht="47.25">
      <c r="A50" s="55" t="s">
        <v>23</v>
      </c>
      <c r="B50" s="55">
        <v>2</v>
      </c>
      <c r="C50" s="55" t="s">
        <v>45</v>
      </c>
      <c r="D50" s="55">
        <v>112</v>
      </c>
      <c r="E50" s="11">
        <v>266</v>
      </c>
      <c r="F50" s="8" t="s">
        <v>41</v>
      </c>
      <c r="G50" s="37"/>
      <c r="H50" s="51">
        <f>1020*2</f>
        <v>2040</v>
      </c>
      <c r="I50" s="23"/>
      <c r="J50" s="40"/>
      <c r="K50" s="51">
        <f>1020*2</f>
        <v>2040</v>
      </c>
      <c r="L50" s="51"/>
      <c r="M50" s="40"/>
      <c r="N50" s="51">
        <f>595+425</f>
        <v>1020</v>
      </c>
      <c r="O50" s="51"/>
      <c r="P50" s="25"/>
    </row>
    <row r="51" spans="1:18" s="31" customFormat="1" ht="16.5" customHeight="1">
      <c r="A51" s="55" t="s">
        <v>23</v>
      </c>
      <c r="B51" s="55">
        <v>2</v>
      </c>
      <c r="C51" s="55" t="s">
        <v>45</v>
      </c>
      <c r="D51" s="55">
        <v>112</v>
      </c>
      <c r="E51" s="11">
        <v>214</v>
      </c>
      <c r="F51" s="8" t="s">
        <v>35</v>
      </c>
      <c r="G51" s="40">
        <v>80000</v>
      </c>
      <c r="H51" s="25">
        <v>140000</v>
      </c>
      <c r="I51" s="25"/>
      <c r="J51" s="40">
        <v>60000</v>
      </c>
      <c r="K51" s="25">
        <v>100000</v>
      </c>
      <c r="L51" s="25"/>
      <c r="M51" s="40">
        <v>60000</v>
      </c>
      <c r="N51" s="25">
        <v>140000</v>
      </c>
      <c r="O51" s="25"/>
      <c r="P51" s="25"/>
    </row>
    <row r="52" spans="1:18" s="31" customFormat="1" ht="17.25" customHeight="1">
      <c r="A52" s="55" t="s">
        <v>23</v>
      </c>
      <c r="B52" s="55">
        <v>2</v>
      </c>
      <c r="C52" s="55" t="s">
        <v>45</v>
      </c>
      <c r="D52" s="55">
        <v>112</v>
      </c>
      <c r="E52" s="11">
        <v>212</v>
      </c>
      <c r="F52" s="8" t="s">
        <v>34</v>
      </c>
      <c r="G52" s="40">
        <v>0</v>
      </c>
      <c r="H52" s="25">
        <f>100000+118000</f>
        <v>218000</v>
      </c>
      <c r="I52" s="25"/>
      <c r="J52" s="40">
        <v>0</v>
      </c>
      <c r="K52" s="25">
        <f>100000+118000</f>
        <v>218000</v>
      </c>
      <c r="L52" s="25"/>
      <c r="M52" s="40">
        <v>0</v>
      </c>
      <c r="N52" s="25">
        <f>100000+118000</f>
        <v>218000</v>
      </c>
      <c r="O52" s="25"/>
      <c r="P52" s="25"/>
    </row>
    <row r="53" spans="1:18" s="31" customFormat="1" ht="31.5">
      <c r="A53" s="55" t="s">
        <v>23</v>
      </c>
      <c r="B53" s="55">
        <v>2</v>
      </c>
      <c r="C53" s="55" t="s">
        <v>45</v>
      </c>
      <c r="D53" s="55">
        <v>112</v>
      </c>
      <c r="E53" s="11">
        <v>226</v>
      </c>
      <c r="F53" s="8" t="s">
        <v>42</v>
      </c>
      <c r="G53" s="40">
        <v>0</v>
      </c>
      <c r="H53" s="25">
        <f>285680.6+375270.34</f>
        <v>660950.93999999994</v>
      </c>
      <c r="I53" s="25"/>
      <c r="J53" s="40">
        <v>0</v>
      </c>
      <c r="K53" s="25">
        <f>595130.74+65820.2</f>
        <v>660950.93999999994</v>
      </c>
      <c r="L53" s="25"/>
      <c r="M53" s="40">
        <v>0</v>
      </c>
      <c r="N53" s="25">
        <f>149717.32+135963.28+125925.75+162473.71-37987.65+49723.56+75134.97</f>
        <v>660950.93999999994</v>
      </c>
      <c r="O53" s="25"/>
      <c r="P53" s="25"/>
    </row>
    <row r="54" spans="1:18" s="31" customFormat="1" ht="15.75">
      <c r="A54" s="55" t="s">
        <v>23</v>
      </c>
      <c r="B54" s="55">
        <v>2</v>
      </c>
      <c r="C54" s="55" t="s">
        <v>37</v>
      </c>
      <c r="D54" s="55">
        <v>119</v>
      </c>
      <c r="E54" s="11">
        <v>213</v>
      </c>
      <c r="F54" s="8" t="s">
        <v>10</v>
      </c>
      <c r="G54" s="40">
        <v>1383841.6</v>
      </c>
      <c r="H54" s="25">
        <v>1296103.3600000001</v>
      </c>
      <c r="I54" s="25"/>
      <c r="J54" s="40">
        <v>1383841.6</v>
      </c>
      <c r="K54" s="25">
        <v>1450913.69</v>
      </c>
      <c r="L54" s="25"/>
      <c r="M54" s="40">
        <v>1383841.6</v>
      </c>
      <c r="N54" s="25">
        <f>1296103.36+237149.43+49.64</f>
        <v>1533302.43</v>
      </c>
      <c r="O54" s="25"/>
      <c r="P54" s="25">
        <v>1296103.3600000001</v>
      </c>
      <c r="Q54" s="7">
        <f>Q47*30.2%</f>
        <v>238333.2</v>
      </c>
      <c r="R54" s="7">
        <f>P54+Q54</f>
        <v>1534436.56</v>
      </c>
    </row>
    <row r="55" spans="1:18" s="31" customFormat="1" ht="31.5">
      <c r="A55" s="55" t="s">
        <v>23</v>
      </c>
      <c r="B55" s="55">
        <v>2</v>
      </c>
      <c r="C55" s="55" t="s">
        <v>45</v>
      </c>
      <c r="D55" s="55">
        <v>119</v>
      </c>
      <c r="E55" s="11">
        <v>213</v>
      </c>
      <c r="F55" s="8" t="s">
        <v>61</v>
      </c>
      <c r="G55" s="40"/>
      <c r="H55" s="25">
        <f>H48*30.2%</f>
        <v>2416</v>
      </c>
      <c r="I55" s="25"/>
      <c r="J55" s="40"/>
      <c r="K55" s="25">
        <f>K48*30.2%</f>
        <v>2416</v>
      </c>
      <c r="L55" s="25"/>
      <c r="M55" s="40"/>
      <c r="N55" s="25">
        <f>N48*30.2%</f>
        <v>906</v>
      </c>
      <c r="O55" s="25"/>
      <c r="P55" s="25"/>
      <c r="Q55" s="7">
        <f>Q47+Q54</f>
        <v>1027515.97</v>
      </c>
    </row>
    <row r="56" spans="1:18" s="31" customFormat="1" ht="15.75">
      <c r="A56" s="55" t="s">
        <v>23</v>
      </c>
      <c r="B56" s="55">
        <v>2</v>
      </c>
      <c r="C56" s="55" t="s">
        <v>45</v>
      </c>
      <c r="D56" s="55">
        <v>244</v>
      </c>
      <c r="E56" s="11">
        <v>221</v>
      </c>
      <c r="F56" s="8" t="s">
        <v>11</v>
      </c>
      <c r="G56" s="40">
        <v>0</v>
      </c>
      <c r="H56" s="25">
        <v>173870.49</v>
      </c>
      <c r="I56" s="25"/>
      <c r="J56" s="40">
        <v>0</v>
      </c>
      <c r="K56" s="25">
        <v>173870.49</v>
      </c>
      <c r="L56" s="25"/>
      <c r="M56" s="40">
        <v>0</v>
      </c>
      <c r="N56" s="25">
        <v>173870.49</v>
      </c>
      <c r="O56" s="25"/>
      <c r="P56" s="31">
        <f>P54*100/P47</f>
        <v>30.127134831226101</v>
      </c>
      <c r="Q56" s="31">
        <f>Q54*100/Q47</f>
        <v>30.200000438428201</v>
      </c>
      <c r="R56" s="31">
        <f>R54*100/R47</f>
        <v>30.138429457433499</v>
      </c>
    </row>
    <row r="57" spans="1:18" s="31" customFormat="1" ht="15.75">
      <c r="A57" s="55" t="s">
        <v>23</v>
      </c>
      <c r="B57" s="55">
        <v>2</v>
      </c>
      <c r="C57" s="55" t="s">
        <v>45</v>
      </c>
      <c r="D57" s="55">
        <v>244</v>
      </c>
      <c r="E57" s="11">
        <v>225</v>
      </c>
      <c r="F57" s="8" t="s">
        <v>14</v>
      </c>
      <c r="G57" s="40">
        <v>1254789.6299999999</v>
      </c>
      <c r="H57" s="25">
        <v>0</v>
      </c>
      <c r="I57" s="25"/>
      <c r="J57" s="40">
        <v>1233560.08</v>
      </c>
      <c r="K57" s="25">
        <v>0</v>
      </c>
      <c r="L57" s="25"/>
      <c r="M57" s="40">
        <v>1233560.08</v>
      </c>
      <c r="N57" s="25">
        <v>0</v>
      </c>
      <c r="O57" s="25"/>
      <c r="Q57" s="3"/>
      <c r="R57" s="3"/>
    </row>
    <row r="58" spans="1:18" s="31" customFormat="1" ht="15.75">
      <c r="A58" s="55" t="s">
        <v>23</v>
      </c>
      <c r="B58" s="55">
        <v>2</v>
      </c>
      <c r="C58" s="55" t="s">
        <v>45</v>
      </c>
      <c r="D58" s="55">
        <v>244</v>
      </c>
      <c r="E58" s="11">
        <v>222</v>
      </c>
      <c r="F58" s="8" t="s">
        <v>12</v>
      </c>
      <c r="G58" s="40">
        <v>0</v>
      </c>
      <c r="H58" s="25">
        <v>348732.24</v>
      </c>
      <c r="I58" s="25"/>
      <c r="J58" s="40">
        <v>0</v>
      </c>
      <c r="K58" s="25">
        <f>348732.24+135963.28</f>
        <v>484695.52</v>
      </c>
      <c r="L58" s="25"/>
      <c r="M58" s="40">
        <v>0</v>
      </c>
      <c r="N58" s="25">
        <f>348732.24+135963.28</f>
        <v>484695.52</v>
      </c>
      <c r="O58" s="25"/>
      <c r="Q58" s="3"/>
      <c r="R58" s="3"/>
    </row>
    <row r="59" spans="1:18" s="31" customFormat="1" ht="15.75">
      <c r="A59" s="55" t="s">
        <v>23</v>
      </c>
      <c r="B59" s="55">
        <v>2</v>
      </c>
      <c r="C59" s="55" t="s">
        <v>45</v>
      </c>
      <c r="D59" s="55">
        <v>244</v>
      </c>
      <c r="E59" s="11">
        <v>226</v>
      </c>
      <c r="F59" s="8" t="s">
        <v>15</v>
      </c>
      <c r="G59" s="40">
        <v>2787685.85</v>
      </c>
      <c r="H59" s="25">
        <f>489208.32+18999.12+87031.3+1220303.1+622720+40000+72033.36+458445.07</f>
        <v>3008740.27</v>
      </c>
      <c r="I59" s="25"/>
      <c r="J59" s="40">
        <v>2809216.22</v>
      </c>
      <c r="K59" s="25">
        <f>489208.32+18999.12+87031.3+1220303.1+622720+40000+72033.36+263999.88+203302.06</f>
        <v>3017597.14</v>
      </c>
      <c r="L59" s="25"/>
      <c r="M59" s="40">
        <v>2809216.22</v>
      </c>
      <c r="N59" s="25">
        <f>489208.32+18999.12+87031.3+1220303.1+622720+40000+72033.36+263999.88+129126.42+83734.39</f>
        <v>3027155.89</v>
      </c>
      <c r="O59" s="25"/>
      <c r="Q59" s="64"/>
      <c r="R59" s="3"/>
    </row>
    <row r="60" spans="1:18" s="30" customFormat="1" ht="15.75">
      <c r="A60" s="27" t="s">
        <v>23</v>
      </c>
      <c r="B60" s="27">
        <v>2</v>
      </c>
      <c r="C60" s="27" t="s">
        <v>46</v>
      </c>
      <c r="D60" s="27">
        <v>244</v>
      </c>
      <c r="E60" s="28">
        <v>226</v>
      </c>
      <c r="F60" s="29" t="s">
        <v>15</v>
      </c>
      <c r="G60" s="40">
        <v>1490875.54</v>
      </c>
      <c r="H60" s="51">
        <v>0</v>
      </c>
      <c r="I60" s="25"/>
      <c r="J60" s="40">
        <v>1507187.24</v>
      </c>
      <c r="K60" s="51">
        <v>0</v>
      </c>
      <c r="L60" s="25"/>
      <c r="M60" s="40">
        <v>1507187.24</v>
      </c>
      <c r="N60" s="51">
        <v>0</v>
      </c>
      <c r="O60" s="25"/>
      <c r="Q60" s="64"/>
      <c r="R60" s="65"/>
    </row>
    <row r="61" spans="1:18" s="31" customFormat="1" ht="15.75">
      <c r="A61" s="55" t="s">
        <v>23</v>
      </c>
      <c r="B61" s="55">
        <v>2</v>
      </c>
      <c r="C61" s="55" t="s">
        <v>45</v>
      </c>
      <c r="D61" s="55">
        <v>853</v>
      </c>
      <c r="E61" s="11">
        <v>297</v>
      </c>
      <c r="F61" s="8" t="s">
        <v>38</v>
      </c>
      <c r="G61" s="37">
        <v>6905.8</v>
      </c>
      <c r="H61" s="25">
        <v>6453.17</v>
      </c>
      <c r="I61" s="25"/>
      <c r="J61" s="37">
        <v>6905.8</v>
      </c>
      <c r="K61" s="25">
        <v>7518.21</v>
      </c>
      <c r="L61" s="25"/>
      <c r="M61" s="37">
        <v>6905.8</v>
      </c>
      <c r="N61" s="25">
        <v>7760.08</v>
      </c>
      <c r="O61" s="25"/>
      <c r="Q61" s="64"/>
      <c r="R61" s="3"/>
    </row>
    <row r="62" spans="1:18" s="31" customFormat="1" ht="17.25" customHeight="1">
      <c r="A62" s="55" t="s">
        <v>23</v>
      </c>
      <c r="B62" s="55">
        <v>2</v>
      </c>
      <c r="C62" s="55" t="s">
        <v>45</v>
      </c>
      <c r="D62" s="55">
        <v>244</v>
      </c>
      <c r="E62" s="11">
        <v>310</v>
      </c>
      <c r="F62" s="8" t="s">
        <v>20</v>
      </c>
      <c r="G62" s="40">
        <v>0</v>
      </c>
      <c r="H62" s="25">
        <v>1290278.54</v>
      </c>
      <c r="I62" s="25"/>
      <c r="J62" s="40">
        <v>0</v>
      </c>
      <c r="K62" s="25">
        <v>285986.01</v>
      </c>
      <c r="L62" s="25"/>
      <c r="M62" s="40">
        <v>0</v>
      </c>
      <c r="N62" s="25">
        <v>0</v>
      </c>
      <c r="O62" s="25"/>
      <c r="Q62" s="3"/>
      <c r="R62" s="3"/>
    </row>
    <row r="63" spans="1:18" s="31" customFormat="1" ht="15.75">
      <c r="A63" s="55" t="s">
        <v>23</v>
      </c>
      <c r="B63" s="55">
        <v>2</v>
      </c>
      <c r="C63" s="55" t="s">
        <v>45</v>
      </c>
      <c r="D63" s="55">
        <v>244</v>
      </c>
      <c r="E63" s="11">
        <v>342</v>
      </c>
      <c r="F63" s="8" t="s">
        <v>39</v>
      </c>
      <c r="G63" s="40">
        <v>51239.16</v>
      </c>
      <c r="H63" s="25">
        <v>33186.160000000003</v>
      </c>
      <c r="I63" s="25"/>
      <c r="J63" s="40">
        <v>51239.16</v>
      </c>
      <c r="K63" s="25">
        <v>33186.160000000003</v>
      </c>
      <c r="L63" s="25"/>
      <c r="M63" s="40">
        <v>51239.16</v>
      </c>
      <c r="N63" s="25">
        <v>33186.160000000003</v>
      </c>
      <c r="O63" s="25"/>
    </row>
    <row r="64" spans="1:18" s="31" customFormat="1" ht="15.75">
      <c r="A64" s="55" t="s">
        <v>23</v>
      </c>
      <c r="B64" s="55">
        <v>2</v>
      </c>
      <c r="C64" s="55" t="s">
        <v>45</v>
      </c>
      <c r="D64" s="55">
        <v>244</v>
      </c>
      <c r="E64" s="11">
        <v>345</v>
      </c>
      <c r="F64" s="8" t="s">
        <v>39</v>
      </c>
      <c r="G64" s="40">
        <v>15000</v>
      </c>
      <c r="H64" s="25">
        <v>9117.07</v>
      </c>
      <c r="I64" s="25"/>
      <c r="J64" s="40">
        <v>15000</v>
      </c>
      <c r="K64" s="25">
        <v>9117.07</v>
      </c>
      <c r="L64" s="25"/>
      <c r="M64" s="40">
        <v>15000</v>
      </c>
      <c r="N64" s="25">
        <v>9117.07</v>
      </c>
      <c r="O64" s="25"/>
    </row>
    <row r="65" spans="1:17" s="31" customFormat="1" ht="15.75">
      <c r="A65" s="55" t="s">
        <v>23</v>
      </c>
      <c r="B65" s="55">
        <v>2</v>
      </c>
      <c r="C65" s="55" t="s">
        <v>45</v>
      </c>
      <c r="D65" s="55">
        <v>244</v>
      </c>
      <c r="E65" s="11">
        <v>346</v>
      </c>
      <c r="F65" s="8" t="s">
        <v>39</v>
      </c>
      <c r="G65" s="40">
        <v>89353.71</v>
      </c>
      <c r="H65" s="25">
        <f>158301.91+17252.23+79368.3</f>
        <v>254922.44</v>
      </c>
      <c r="I65" s="25"/>
      <c r="J65" s="40">
        <v>89353.71</v>
      </c>
      <c r="K65" s="25">
        <f>158301.91+17252.23+79368.3</f>
        <v>254922.44</v>
      </c>
      <c r="L65" s="25"/>
      <c r="M65" s="40">
        <v>89353.71</v>
      </c>
      <c r="N65" s="25">
        <f>158301.91+17252.23+79368.3</f>
        <v>254922.44</v>
      </c>
      <c r="O65" s="25"/>
    </row>
    <row r="66" spans="1:17" s="31" customFormat="1" ht="15.75">
      <c r="A66" s="55" t="s">
        <v>23</v>
      </c>
      <c r="B66" s="55">
        <v>2</v>
      </c>
      <c r="C66" s="55" t="s">
        <v>45</v>
      </c>
      <c r="D66" s="55">
        <v>244</v>
      </c>
      <c r="E66" s="11">
        <v>349</v>
      </c>
      <c r="F66" s="8" t="s">
        <v>39</v>
      </c>
      <c r="G66" s="40">
        <v>1139295.1399999999</v>
      </c>
      <c r="H66" s="25">
        <f>84500+841826.4</f>
        <v>926326.4</v>
      </c>
      <c r="I66" s="25"/>
      <c r="J66" s="40">
        <v>1139295.1399999999</v>
      </c>
      <c r="K66" s="25">
        <f>84500+841826.4</f>
        <v>926326.4</v>
      </c>
      <c r="L66" s="25"/>
      <c r="M66" s="40">
        <v>1139295.1399999999</v>
      </c>
      <c r="N66" s="25">
        <f>84500+841826.4</f>
        <v>926326.4</v>
      </c>
      <c r="O66" s="25"/>
    </row>
    <row r="67" spans="1:17" s="30" customFormat="1" ht="31.5">
      <c r="A67" s="27" t="s">
        <v>23</v>
      </c>
      <c r="B67" s="27">
        <v>2</v>
      </c>
      <c r="C67" s="27" t="s">
        <v>46</v>
      </c>
      <c r="D67" s="27">
        <v>244</v>
      </c>
      <c r="E67" s="28">
        <v>346</v>
      </c>
      <c r="F67" s="29" t="s">
        <v>16</v>
      </c>
      <c r="G67" s="40">
        <v>601281.62</v>
      </c>
      <c r="H67" s="51">
        <v>0</v>
      </c>
      <c r="I67" s="25"/>
      <c r="J67" s="40">
        <v>584969.92000000004</v>
      </c>
      <c r="K67" s="51">
        <v>0</v>
      </c>
      <c r="L67" s="25"/>
      <c r="M67" s="40">
        <v>584969.92000000004</v>
      </c>
      <c r="N67" s="51">
        <v>0</v>
      </c>
      <c r="O67" s="25"/>
    </row>
    <row r="68" spans="1:17" s="31" customFormat="1" ht="15.75">
      <c r="A68" s="1482" t="s">
        <v>17</v>
      </c>
      <c r="B68" s="1482"/>
      <c r="C68" s="1482"/>
      <c r="D68" s="1482"/>
      <c r="E68" s="1482"/>
      <c r="F68" s="1482"/>
      <c r="G68" s="39">
        <f t="shared" ref="G68:O68" si="3">SUM(G47:G67)</f>
        <v>13503300</v>
      </c>
      <c r="H68" s="51">
        <f t="shared" si="3"/>
        <v>12701250</v>
      </c>
      <c r="I68" s="51">
        <f t="shared" si="3"/>
        <v>0</v>
      </c>
      <c r="J68" s="51">
        <f t="shared" si="3"/>
        <v>13503300</v>
      </c>
      <c r="K68" s="51">
        <f t="shared" si="3"/>
        <v>12701250</v>
      </c>
      <c r="L68" s="51">
        <f t="shared" si="3"/>
        <v>0</v>
      </c>
      <c r="M68" s="39">
        <f t="shared" si="3"/>
        <v>13503300</v>
      </c>
      <c r="N68" s="51">
        <f t="shared" si="3"/>
        <v>12701250</v>
      </c>
      <c r="O68" s="51">
        <f t="shared" si="3"/>
        <v>0</v>
      </c>
    </row>
    <row r="69" spans="1:17" s="31" customFormat="1" ht="15.75">
      <c r="A69" s="1482" t="s">
        <v>24</v>
      </c>
      <c r="B69" s="1482"/>
      <c r="C69" s="1482"/>
      <c r="D69" s="1482"/>
      <c r="E69" s="1482"/>
      <c r="F69" s="1482"/>
      <c r="G69" s="39">
        <f t="shared" ref="G69:O69" si="4">G45+G68</f>
        <v>58529197.170000002</v>
      </c>
      <c r="H69" s="51">
        <f t="shared" si="4"/>
        <v>58095496.409999996</v>
      </c>
      <c r="I69" s="51">
        <f t="shared" si="4"/>
        <v>16232896.060000001</v>
      </c>
      <c r="J69" s="51">
        <f t="shared" si="4"/>
        <v>58535444.280000001</v>
      </c>
      <c r="K69" s="51">
        <f t="shared" si="4"/>
        <v>57699618.359999999</v>
      </c>
      <c r="L69" s="51">
        <f t="shared" si="4"/>
        <v>15826985.33</v>
      </c>
      <c r="M69" s="39">
        <f t="shared" si="4"/>
        <v>58535444.280000001</v>
      </c>
      <c r="N69" s="51">
        <f t="shared" si="4"/>
        <v>57964906.469999999</v>
      </c>
      <c r="O69" s="51">
        <f t="shared" si="4"/>
        <v>15823109.48</v>
      </c>
      <c r="P69" s="51">
        <v>12701250</v>
      </c>
    </row>
    <row r="70" spans="1:17" s="31" customFormat="1">
      <c r="A70" s="2"/>
      <c r="B70" s="2"/>
      <c r="C70" s="2"/>
      <c r="D70" s="2"/>
      <c r="E70" s="2"/>
      <c r="F70" s="2"/>
      <c r="G70" s="41"/>
      <c r="H70" s="26"/>
      <c r="I70" s="26"/>
      <c r="J70" s="68"/>
      <c r="K70" s="26"/>
      <c r="L70" s="26"/>
      <c r="M70" s="68"/>
      <c r="N70" s="26"/>
      <c r="O70" s="26"/>
      <c r="P70" s="7">
        <f>P69-N68</f>
        <v>0</v>
      </c>
    </row>
    <row r="71" spans="1:17" s="32" customFormat="1" ht="33.75" hidden="1" customHeight="1">
      <c r="A71" s="1480" t="s">
        <v>25</v>
      </c>
      <c r="B71" s="1480"/>
      <c r="C71" s="1480"/>
      <c r="D71" s="67"/>
      <c r="E71" s="1481" t="s">
        <v>32</v>
      </c>
      <c r="F71" s="1481"/>
      <c r="G71" s="42"/>
      <c r="H71" s="52"/>
      <c r="I71" s="52"/>
      <c r="J71" s="45"/>
      <c r="K71" s="52"/>
      <c r="L71" s="52"/>
      <c r="M71" s="45"/>
      <c r="N71" s="52"/>
      <c r="O71" s="52"/>
    </row>
    <row r="72" spans="1:17" s="15" customFormat="1" ht="27" hidden="1" customHeight="1">
      <c r="A72" s="15" t="s">
        <v>27</v>
      </c>
      <c r="G72" s="43"/>
      <c r="H72" s="53"/>
      <c r="I72" s="53"/>
      <c r="J72" s="46"/>
      <c r="K72" s="53"/>
      <c r="L72" s="53"/>
      <c r="M72" s="48"/>
      <c r="N72" s="53"/>
      <c r="O72" s="53"/>
      <c r="P72" s="14"/>
      <c r="Q72" s="14"/>
    </row>
    <row r="73" spans="1:17" ht="29.25" customHeight="1">
      <c r="I73" s="58"/>
    </row>
    <row r="302" ht="12.75" hidden="1" customHeight="1"/>
    <row r="318" ht="12.75" hidden="1" customHeight="1"/>
  </sheetData>
  <autoFilter ref="A9:H69"/>
  <mergeCells count="13">
    <mergeCell ref="A5:M5"/>
    <mergeCell ref="A6:M6"/>
    <mergeCell ref="A10:M10"/>
    <mergeCell ref="A44:F44"/>
    <mergeCell ref="A45:F45"/>
    <mergeCell ref="U28:U30"/>
    <mergeCell ref="A38:F38"/>
    <mergeCell ref="A39:H39"/>
    <mergeCell ref="A71:C71"/>
    <mergeCell ref="E71:F71"/>
    <mergeCell ref="A46:H46"/>
    <mergeCell ref="A68:F68"/>
    <mergeCell ref="A69:F69"/>
  </mergeCells>
  <printOptions horizontalCentered="1"/>
  <pageMargins left="0" right="0" top="0" bottom="0" header="0.35433070866141736" footer="0.35433070866141736"/>
  <pageSetup paperSize="9" scale="51" fitToHeight="2" orientation="landscape" r:id="rId1"/>
  <headerFooter alignWithMargins="0"/>
  <rowBreaks count="2" manualBreakCount="2">
    <brk id="45" max="14" man="1"/>
    <brk id="7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filterMode="1">
    <tabColor rgb="FF92D050"/>
  </sheetPr>
  <dimension ref="A3:R322"/>
  <sheetViews>
    <sheetView view="pageBreakPreview" topLeftCell="A7" zoomScale="87" zoomScaleNormal="85" zoomScaleSheetLayoutView="87" workbookViewId="0">
      <selection activeCell="G60" sqref="G60:G71"/>
    </sheetView>
  </sheetViews>
  <sheetFormatPr defaultRowHeight="12.75"/>
  <cols>
    <col min="1" max="1" width="12.85546875" style="2" customWidth="1"/>
    <col min="2" max="2" width="7.85546875" style="2" customWidth="1"/>
    <col min="3" max="3" width="24.42578125" style="2" customWidth="1"/>
    <col min="4" max="4" width="8.42578125" style="2" customWidth="1"/>
    <col min="5" max="5" width="8.85546875" style="2" customWidth="1"/>
    <col min="6" max="6" width="46.85546875" style="2" customWidth="1"/>
    <col min="7" max="7" width="16.5703125" style="71" customWidth="1"/>
    <col min="8" max="8" width="15.5703125" style="71" customWidth="1"/>
    <col min="9" max="9" width="15.7109375" style="71" customWidth="1"/>
    <col min="10" max="10" width="17.140625" style="2" customWidth="1"/>
    <col min="11" max="11" width="13.42578125" style="2" bestFit="1" customWidth="1"/>
    <col min="12" max="12" width="14.140625" style="2" customWidth="1"/>
    <col min="13" max="13" width="23.5703125" style="2" bestFit="1" customWidth="1"/>
    <col min="14" max="16" width="9.140625" style="2"/>
    <col min="17" max="17" width="13.140625" style="2" customWidth="1"/>
    <col min="18" max="18" width="12.7109375" style="2" customWidth="1"/>
    <col min="19" max="252" width="9.140625" style="2"/>
    <col min="253" max="253" width="16.28515625" style="2" customWidth="1"/>
    <col min="254" max="254" width="9.5703125" style="2" customWidth="1"/>
    <col min="255" max="255" width="25.85546875" style="2" customWidth="1"/>
    <col min="256" max="256" width="10.7109375" style="2" customWidth="1"/>
    <col min="257" max="257" width="40.42578125" style="2" customWidth="1"/>
    <col min="258" max="258" width="30.5703125" style="2" customWidth="1"/>
    <col min="259" max="259" width="16.42578125" style="2" customWidth="1"/>
    <col min="260" max="260" width="13" style="2" bestFit="1" customWidth="1"/>
    <col min="261" max="508" width="9.140625" style="2"/>
    <col min="509" max="509" width="16.28515625" style="2" customWidth="1"/>
    <col min="510" max="510" width="9.5703125" style="2" customWidth="1"/>
    <col min="511" max="511" width="25.85546875" style="2" customWidth="1"/>
    <col min="512" max="512" width="10.7109375" style="2" customWidth="1"/>
    <col min="513" max="513" width="40.42578125" style="2" customWidth="1"/>
    <col min="514" max="514" width="30.5703125" style="2" customWidth="1"/>
    <col min="515" max="515" width="16.42578125" style="2" customWidth="1"/>
    <col min="516" max="516" width="13" style="2" bestFit="1" customWidth="1"/>
    <col min="517" max="764" width="9.140625" style="2"/>
    <col min="765" max="765" width="16.28515625" style="2" customWidth="1"/>
    <col min="766" max="766" width="9.5703125" style="2" customWidth="1"/>
    <col min="767" max="767" width="25.85546875" style="2" customWidth="1"/>
    <col min="768" max="768" width="10.7109375" style="2" customWidth="1"/>
    <col min="769" max="769" width="40.42578125" style="2" customWidth="1"/>
    <col min="770" max="770" width="30.5703125" style="2" customWidth="1"/>
    <col min="771" max="771" width="16.42578125" style="2" customWidth="1"/>
    <col min="772" max="772" width="13" style="2" bestFit="1" customWidth="1"/>
    <col min="773" max="1020" width="9.140625" style="2"/>
    <col min="1021" max="1021" width="16.28515625" style="2" customWidth="1"/>
    <col min="1022" max="1022" width="9.5703125" style="2" customWidth="1"/>
    <col min="1023" max="1023" width="25.85546875" style="2" customWidth="1"/>
    <col min="1024" max="1024" width="10.7109375" style="2" customWidth="1"/>
    <col min="1025" max="1025" width="40.42578125" style="2" customWidth="1"/>
    <col min="1026" max="1026" width="30.5703125" style="2" customWidth="1"/>
    <col min="1027" max="1027" width="16.42578125" style="2" customWidth="1"/>
    <col min="1028" max="1028" width="13" style="2" bestFit="1" customWidth="1"/>
    <col min="1029" max="1276" width="9.140625" style="2"/>
    <col min="1277" max="1277" width="16.28515625" style="2" customWidth="1"/>
    <col min="1278" max="1278" width="9.5703125" style="2" customWidth="1"/>
    <col min="1279" max="1279" width="25.85546875" style="2" customWidth="1"/>
    <col min="1280" max="1280" width="10.7109375" style="2" customWidth="1"/>
    <col min="1281" max="1281" width="40.42578125" style="2" customWidth="1"/>
    <col min="1282" max="1282" width="30.5703125" style="2" customWidth="1"/>
    <col min="1283" max="1283" width="16.42578125" style="2" customWidth="1"/>
    <col min="1284" max="1284" width="13" style="2" bestFit="1" customWidth="1"/>
    <col min="1285" max="1532" width="9.140625" style="2"/>
    <col min="1533" max="1533" width="16.28515625" style="2" customWidth="1"/>
    <col min="1534" max="1534" width="9.5703125" style="2" customWidth="1"/>
    <col min="1535" max="1535" width="25.85546875" style="2" customWidth="1"/>
    <col min="1536" max="1536" width="10.7109375" style="2" customWidth="1"/>
    <col min="1537" max="1537" width="40.42578125" style="2" customWidth="1"/>
    <col min="1538" max="1538" width="30.5703125" style="2" customWidth="1"/>
    <col min="1539" max="1539" width="16.42578125" style="2" customWidth="1"/>
    <col min="1540" max="1540" width="13" style="2" bestFit="1" customWidth="1"/>
    <col min="1541" max="1788" width="9.140625" style="2"/>
    <col min="1789" max="1789" width="16.28515625" style="2" customWidth="1"/>
    <col min="1790" max="1790" width="9.5703125" style="2" customWidth="1"/>
    <col min="1791" max="1791" width="25.85546875" style="2" customWidth="1"/>
    <col min="1792" max="1792" width="10.7109375" style="2" customWidth="1"/>
    <col min="1793" max="1793" width="40.42578125" style="2" customWidth="1"/>
    <col min="1794" max="1794" width="30.5703125" style="2" customWidth="1"/>
    <col min="1795" max="1795" width="16.42578125" style="2" customWidth="1"/>
    <col min="1796" max="1796" width="13" style="2" bestFit="1" customWidth="1"/>
    <col min="1797" max="2044" width="9.140625" style="2"/>
    <col min="2045" max="2045" width="16.28515625" style="2" customWidth="1"/>
    <col min="2046" max="2046" width="9.5703125" style="2" customWidth="1"/>
    <col min="2047" max="2047" width="25.85546875" style="2" customWidth="1"/>
    <col min="2048" max="2048" width="10.7109375" style="2" customWidth="1"/>
    <col min="2049" max="2049" width="40.42578125" style="2" customWidth="1"/>
    <col min="2050" max="2050" width="30.5703125" style="2" customWidth="1"/>
    <col min="2051" max="2051" width="16.42578125" style="2" customWidth="1"/>
    <col min="2052" max="2052" width="13" style="2" bestFit="1" customWidth="1"/>
    <col min="2053" max="2300" width="9.140625" style="2"/>
    <col min="2301" max="2301" width="16.28515625" style="2" customWidth="1"/>
    <col min="2302" max="2302" width="9.5703125" style="2" customWidth="1"/>
    <col min="2303" max="2303" width="25.85546875" style="2" customWidth="1"/>
    <col min="2304" max="2304" width="10.7109375" style="2" customWidth="1"/>
    <col min="2305" max="2305" width="40.42578125" style="2" customWidth="1"/>
    <col min="2306" max="2306" width="30.5703125" style="2" customWidth="1"/>
    <col min="2307" max="2307" width="16.42578125" style="2" customWidth="1"/>
    <col min="2308" max="2308" width="13" style="2" bestFit="1" customWidth="1"/>
    <col min="2309" max="2556" width="9.140625" style="2"/>
    <col min="2557" max="2557" width="16.28515625" style="2" customWidth="1"/>
    <col min="2558" max="2558" width="9.5703125" style="2" customWidth="1"/>
    <col min="2559" max="2559" width="25.85546875" style="2" customWidth="1"/>
    <col min="2560" max="2560" width="10.7109375" style="2" customWidth="1"/>
    <col min="2561" max="2561" width="40.42578125" style="2" customWidth="1"/>
    <col min="2562" max="2562" width="30.5703125" style="2" customWidth="1"/>
    <col min="2563" max="2563" width="16.42578125" style="2" customWidth="1"/>
    <col min="2564" max="2564" width="13" style="2" bestFit="1" customWidth="1"/>
    <col min="2565" max="2812" width="9.140625" style="2"/>
    <col min="2813" max="2813" width="16.28515625" style="2" customWidth="1"/>
    <col min="2814" max="2814" width="9.5703125" style="2" customWidth="1"/>
    <col min="2815" max="2815" width="25.85546875" style="2" customWidth="1"/>
    <col min="2816" max="2816" width="10.7109375" style="2" customWidth="1"/>
    <col min="2817" max="2817" width="40.42578125" style="2" customWidth="1"/>
    <col min="2818" max="2818" width="30.5703125" style="2" customWidth="1"/>
    <col min="2819" max="2819" width="16.42578125" style="2" customWidth="1"/>
    <col min="2820" max="2820" width="13" style="2" bestFit="1" customWidth="1"/>
    <col min="2821" max="3068" width="9.140625" style="2"/>
    <col min="3069" max="3069" width="16.28515625" style="2" customWidth="1"/>
    <col min="3070" max="3070" width="9.5703125" style="2" customWidth="1"/>
    <col min="3071" max="3071" width="25.85546875" style="2" customWidth="1"/>
    <col min="3072" max="3072" width="10.7109375" style="2" customWidth="1"/>
    <col min="3073" max="3073" width="40.42578125" style="2" customWidth="1"/>
    <col min="3074" max="3074" width="30.5703125" style="2" customWidth="1"/>
    <col min="3075" max="3075" width="16.42578125" style="2" customWidth="1"/>
    <col min="3076" max="3076" width="13" style="2" bestFit="1" customWidth="1"/>
    <col min="3077" max="3324" width="9.140625" style="2"/>
    <col min="3325" max="3325" width="16.28515625" style="2" customWidth="1"/>
    <col min="3326" max="3326" width="9.5703125" style="2" customWidth="1"/>
    <col min="3327" max="3327" width="25.85546875" style="2" customWidth="1"/>
    <col min="3328" max="3328" width="10.7109375" style="2" customWidth="1"/>
    <col min="3329" max="3329" width="40.42578125" style="2" customWidth="1"/>
    <col min="3330" max="3330" width="30.5703125" style="2" customWidth="1"/>
    <col min="3331" max="3331" width="16.42578125" style="2" customWidth="1"/>
    <col min="3332" max="3332" width="13" style="2" bestFit="1" customWidth="1"/>
    <col min="3333" max="3580" width="9.140625" style="2"/>
    <col min="3581" max="3581" width="16.28515625" style="2" customWidth="1"/>
    <col min="3582" max="3582" width="9.5703125" style="2" customWidth="1"/>
    <col min="3583" max="3583" width="25.85546875" style="2" customWidth="1"/>
    <col min="3584" max="3584" width="10.7109375" style="2" customWidth="1"/>
    <col min="3585" max="3585" width="40.42578125" style="2" customWidth="1"/>
    <col min="3586" max="3586" width="30.5703125" style="2" customWidth="1"/>
    <col min="3587" max="3587" width="16.42578125" style="2" customWidth="1"/>
    <col min="3588" max="3588" width="13" style="2" bestFit="1" customWidth="1"/>
    <col min="3589" max="3836" width="9.140625" style="2"/>
    <col min="3837" max="3837" width="16.28515625" style="2" customWidth="1"/>
    <col min="3838" max="3838" width="9.5703125" style="2" customWidth="1"/>
    <col min="3839" max="3839" width="25.85546875" style="2" customWidth="1"/>
    <col min="3840" max="3840" width="10.7109375" style="2" customWidth="1"/>
    <col min="3841" max="3841" width="40.42578125" style="2" customWidth="1"/>
    <col min="3842" max="3842" width="30.5703125" style="2" customWidth="1"/>
    <col min="3843" max="3843" width="16.42578125" style="2" customWidth="1"/>
    <col min="3844" max="3844" width="13" style="2" bestFit="1" customWidth="1"/>
    <col min="3845" max="4092" width="9.140625" style="2"/>
    <col min="4093" max="4093" width="16.28515625" style="2" customWidth="1"/>
    <col min="4094" max="4094" width="9.5703125" style="2" customWidth="1"/>
    <col min="4095" max="4095" width="25.85546875" style="2" customWidth="1"/>
    <col min="4096" max="4096" width="10.7109375" style="2" customWidth="1"/>
    <col min="4097" max="4097" width="40.42578125" style="2" customWidth="1"/>
    <col min="4098" max="4098" width="30.5703125" style="2" customWidth="1"/>
    <col min="4099" max="4099" width="16.42578125" style="2" customWidth="1"/>
    <col min="4100" max="4100" width="13" style="2" bestFit="1" customWidth="1"/>
    <col min="4101" max="4348" width="9.140625" style="2"/>
    <col min="4349" max="4349" width="16.28515625" style="2" customWidth="1"/>
    <col min="4350" max="4350" width="9.5703125" style="2" customWidth="1"/>
    <col min="4351" max="4351" width="25.85546875" style="2" customWidth="1"/>
    <col min="4352" max="4352" width="10.7109375" style="2" customWidth="1"/>
    <col min="4353" max="4353" width="40.42578125" style="2" customWidth="1"/>
    <col min="4354" max="4354" width="30.5703125" style="2" customWidth="1"/>
    <col min="4355" max="4355" width="16.42578125" style="2" customWidth="1"/>
    <col min="4356" max="4356" width="13" style="2" bestFit="1" customWidth="1"/>
    <col min="4357" max="4604" width="9.140625" style="2"/>
    <col min="4605" max="4605" width="16.28515625" style="2" customWidth="1"/>
    <col min="4606" max="4606" width="9.5703125" style="2" customWidth="1"/>
    <col min="4607" max="4607" width="25.85546875" style="2" customWidth="1"/>
    <col min="4608" max="4608" width="10.7109375" style="2" customWidth="1"/>
    <col min="4609" max="4609" width="40.42578125" style="2" customWidth="1"/>
    <col min="4610" max="4610" width="30.5703125" style="2" customWidth="1"/>
    <col min="4611" max="4611" width="16.42578125" style="2" customWidth="1"/>
    <col min="4612" max="4612" width="13" style="2" bestFit="1" customWidth="1"/>
    <col min="4613" max="4860" width="9.140625" style="2"/>
    <col min="4861" max="4861" width="16.28515625" style="2" customWidth="1"/>
    <col min="4862" max="4862" width="9.5703125" style="2" customWidth="1"/>
    <col min="4863" max="4863" width="25.85546875" style="2" customWidth="1"/>
    <col min="4864" max="4864" width="10.7109375" style="2" customWidth="1"/>
    <col min="4865" max="4865" width="40.42578125" style="2" customWidth="1"/>
    <col min="4866" max="4866" width="30.5703125" style="2" customWidth="1"/>
    <col min="4867" max="4867" width="16.42578125" style="2" customWidth="1"/>
    <col min="4868" max="4868" width="13" style="2" bestFit="1" customWidth="1"/>
    <col min="4869" max="5116" width="9.140625" style="2"/>
    <col min="5117" max="5117" width="16.28515625" style="2" customWidth="1"/>
    <col min="5118" max="5118" width="9.5703125" style="2" customWidth="1"/>
    <col min="5119" max="5119" width="25.85546875" style="2" customWidth="1"/>
    <col min="5120" max="5120" width="10.7109375" style="2" customWidth="1"/>
    <col min="5121" max="5121" width="40.42578125" style="2" customWidth="1"/>
    <col min="5122" max="5122" width="30.5703125" style="2" customWidth="1"/>
    <col min="5123" max="5123" width="16.42578125" style="2" customWidth="1"/>
    <col min="5124" max="5124" width="13" style="2" bestFit="1" customWidth="1"/>
    <col min="5125" max="5372" width="9.140625" style="2"/>
    <col min="5373" max="5373" width="16.28515625" style="2" customWidth="1"/>
    <col min="5374" max="5374" width="9.5703125" style="2" customWidth="1"/>
    <col min="5375" max="5375" width="25.85546875" style="2" customWidth="1"/>
    <col min="5376" max="5376" width="10.7109375" style="2" customWidth="1"/>
    <col min="5377" max="5377" width="40.42578125" style="2" customWidth="1"/>
    <col min="5378" max="5378" width="30.5703125" style="2" customWidth="1"/>
    <col min="5379" max="5379" width="16.42578125" style="2" customWidth="1"/>
    <col min="5380" max="5380" width="13" style="2" bestFit="1" customWidth="1"/>
    <col min="5381" max="5628" width="9.140625" style="2"/>
    <col min="5629" max="5629" width="16.28515625" style="2" customWidth="1"/>
    <col min="5630" max="5630" width="9.5703125" style="2" customWidth="1"/>
    <col min="5631" max="5631" width="25.85546875" style="2" customWidth="1"/>
    <col min="5632" max="5632" width="10.7109375" style="2" customWidth="1"/>
    <col min="5633" max="5633" width="40.42578125" style="2" customWidth="1"/>
    <col min="5634" max="5634" width="30.5703125" style="2" customWidth="1"/>
    <col min="5635" max="5635" width="16.42578125" style="2" customWidth="1"/>
    <col min="5636" max="5636" width="13" style="2" bestFit="1" customWidth="1"/>
    <col min="5637" max="5884" width="9.140625" style="2"/>
    <col min="5885" max="5885" width="16.28515625" style="2" customWidth="1"/>
    <col min="5886" max="5886" width="9.5703125" style="2" customWidth="1"/>
    <col min="5887" max="5887" width="25.85546875" style="2" customWidth="1"/>
    <col min="5888" max="5888" width="10.7109375" style="2" customWidth="1"/>
    <col min="5889" max="5889" width="40.42578125" style="2" customWidth="1"/>
    <col min="5890" max="5890" width="30.5703125" style="2" customWidth="1"/>
    <col min="5891" max="5891" width="16.42578125" style="2" customWidth="1"/>
    <col min="5892" max="5892" width="13" style="2" bestFit="1" customWidth="1"/>
    <col min="5893" max="6140" width="9.140625" style="2"/>
    <col min="6141" max="6141" width="16.28515625" style="2" customWidth="1"/>
    <col min="6142" max="6142" width="9.5703125" style="2" customWidth="1"/>
    <col min="6143" max="6143" width="25.85546875" style="2" customWidth="1"/>
    <col min="6144" max="6144" width="10.7109375" style="2" customWidth="1"/>
    <col min="6145" max="6145" width="40.42578125" style="2" customWidth="1"/>
    <col min="6146" max="6146" width="30.5703125" style="2" customWidth="1"/>
    <col min="6147" max="6147" width="16.42578125" style="2" customWidth="1"/>
    <col min="6148" max="6148" width="13" style="2" bestFit="1" customWidth="1"/>
    <col min="6149" max="6396" width="9.140625" style="2"/>
    <col min="6397" max="6397" width="16.28515625" style="2" customWidth="1"/>
    <col min="6398" max="6398" width="9.5703125" style="2" customWidth="1"/>
    <col min="6399" max="6399" width="25.85546875" style="2" customWidth="1"/>
    <col min="6400" max="6400" width="10.7109375" style="2" customWidth="1"/>
    <col min="6401" max="6401" width="40.42578125" style="2" customWidth="1"/>
    <col min="6402" max="6402" width="30.5703125" style="2" customWidth="1"/>
    <col min="6403" max="6403" width="16.42578125" style="2" customWidth="1"/>
    <col min="6404" max="6404" width="13" style="2" bestFit="1" customWidth="1"/>
    <col min="6405" max="6652" width="9.140625" style="2"/>
    <col min="6653" max="6653" width="16.28515625" style="2" customWidth="1"/>
    <col min="6654" max="6654" width="9.5703125" style="2" customWidth="1"/>
    <col min="6655" max="6655" width="25.85546875" style="2" customWidth="1"/>
    <col min="6656" max="6656" width="10.7109375" style="2" customWidth="1"/>
    <col min="6657" max="6657" width="40.42578125" style="2" customWidth="1"/>
    <col min="6658" max="6658" width="30.5703125" style="2" customWidth="1"/>
    <col min="6659" max="6659" width="16.42578125" style="2" customWidth="1"/>
    <col min="6660" max="6660" width="13" style="2" bestFit="1" customWidth="1"/>
    <col min="6661" max="6908" width="9.140625" style="2"/>
    <col min="6909" max="6909" width="16.28515625" style="2" customWidth="1"/>
    <col min="6910" max="6910" width="9.5703125" style="2" customWidth="1"/>
    <col min="6911" max="6911" width="25.85546875" style="2" customWidth="1"/>
    <col min="6912" max="6912" width="10.7109375" style="2" customWidth="1"/>
    <col min="6913" max="6913" width="40.42578125" style="2" customWidth="1"/>
    <col min="6914" max="6914" width="30.5703125" style="2" customWidth="1"/>
    <col min="6915" max="6915" width="16.42578125" style="2" customWidth="1"/>
    <col min="6916" max="6916" width="13" style="2" bestFit="1" customWidth="1"/>
    <col min="6917" max="7164" width="9.140625" style="2"/>
    <col min="7165" max="7165" width="16.28515625" style="2" customWidth="1"/>
    <col min="7166" max="7166" width="9.5703125" style="2" customWidth="1"/>
    <col min="7167" max="7167" width="25.85546875" style="2" customWidth="1"/>
    <col min="7168" max="7168" width="10.7109375" style="2" customWidth="1"/>
    <col min="7169" max="7169" width="40.42578125" style="2" customWidth="1"/>
    <col min="7170" max="7170" width="30.5703125" style="2" customWidth="1"/>
    <col min="7171" max="7171" width="16.42578125" style="2" customWidth="1"/>
    <col min="7172" max="7172" width="13" style="2" bestFit="1" customWidth="1"/>
    <col min="7173" max="7420" width="9.140625" style="2"/>
    <col min="7421" max="7421" width="16.28515625" style="2" customWidth="1"/>
    <col min="7422" max="7422" width="9.5703125" style="2" customWidth="1"/>
    <col min="7423" max="7423" width="25.85546875" style="2" customWidth="1"/>
    <col min="7424" max="7424" width="10.7109375" style="2" customWidth="1"/>
    <col min="7425" max="7425" width="40.42578125" style="2" customWidth="1"/>
    <col min="7426" max="7426" width="30.5703125" style="2" customWidth="1"/>
    <col min="7427" max="7427" width="16.42578125" style="2" customWidth="1"/>
    <col min="7428" max="7428" width="13" style="2" bestFit="1" customWidth="1"/>
    <col min="7429" max="7676" width="9.140625" style="2"/>
    <col min="7677" max="7677" width="16.28515625" style="2" customWidth="1"/>
    <col min="7678" max="7678" width="9.5703125" style="2" customWidth="1"/>
    <col min="7679" max="7679" width="25.85546875" style="2" customWidth="1"/>
    <col min="7680" max="7680" width="10.7109375" style="2" customWidth="1"/>
    <col min="7681" max="7681" width="40.42578125" style="2" customWidth="1"/>
    <col min="7682" max="7682" width="30.5703125" style="2" customWidth="1"/>
    <col min="7683" max="7683" width="16.42578125" style="2" customWidth="1"/>
    <col min="7684" max="7684" width="13" style="2" bestFit="1" customWidth="1"/>
    <col min="7685" max="7932" width="9.140625" style="2"/>
    <col min="7933" max="7933" width="16.28515625" style="2" customWidth="1"/>
    <col min="7934" max="7934" width="9.5703125" style="2" customWidth="1"/>
    <col min="7935" max="7935" width="25.85546875" style="2" customWidth="1"/>
    <col min="7936" max="7936" width="10.7109375" style="2" customWidth="1"/>
    <col min="7937" max="7937" width="40.42578125" style="2" customWidth="1"/>
    <col min="7938" max="7938" width="30.5703125" style="2" customWidth="1"/>
    <col min="7939" max="7939" width="16.42578125" style="2" customWidth="1"/>
    <col min="7940" max="7940" width="13" style="2" bestFit="1" customWidth="1"/>
    <col min="7941" max="8188" width="9.140625" style="2"/>
    <col min="8189" max="8189" width="16.28515625" style="2" customWidth="1"/>
    <col min="8190" max="8190" width="9.5703125" style="2" customWidth="1"/>
    <col min="8191" max="8191" width="25.85546875" style="2" customWidth="1"/>
    <col min="8192" max="8192" width="10.7109375" style="2" customWidth="1"/>
    <col min="8193" max="8193" width="40.42578125" style="2" customWidth="1"/>
    <col min="8194" max="8194" width="30.5703125" style="2" customWidth="1"/>
    <col min="8195" max="8195" width="16.42578125" style="2" customWidth="1"/>
    <col min="8196" max="8196" width="13" style="2" bestFit="1" customWidth="1"/>
    <col min="8197" max="8444" width="9.140625" style="2"/>
    <col min="8445" max="8445" width="16.28515625" style="2" customWidth="1"/>
    <col min="8446" max="8446" width="9.5703125" style="2" customWidth="1"/>
    <col min="8447" max="8447" width="25.85546875" style="2" customWidth="1"/>
    <col min="8448" max="8448" width="10.7109375" style="2" customWidth="1"/>
    <col min="8449" max="8449" width="40.42578125" style="2" customWidth="1"/>
    <col min="8450" max="8450" width="30.5703125" style="2" customWidth="1"/>
    <col min="8451" max="8451" width="16.42578125" style="2" customWidth="1"/>
    <col min="8452" max="8452" width="13" style="2" bestFit="1" customWidth="1"/>
    <col min="8453" max="8700" width="9.140625" style="2"/>
    <col min="8701" max="8701" width="16.28515625" style="2" customWidth="1"/>
    <col min="8702" max="8702" width="9.5703125" style="2" customWidth="1"/>
    <col min="8703" max="8703" width="25.85546875" style="2" customWidth="1"/>
    <col min="8704" max="8704" width="10.7109375" style="2" customWidth="1"/>
    <col min="8705" max="8705" width="40.42578125" style="2" customWidth="1"/>
    <col min="8706" max="8706" width="30.5703125" style="2" customWidth="1"/>
    <col min="8707" max="8707" width="16.42578125" style="2" customWidth="1"/>
    <col min="8708" max="8708" width="13" style="2" bestFit="1" customWidth="1"/>
    <col min="8709" max="8956" width="9.140625" style="2"/>
    <col min="8957" max="8957" width="16.28515625" style="2" customWidth="1"/>
    <col min="8958" max="8958" width="9.5703125" style="2" customWidth="1"/>
    <col min="8959" max="8959" width="25.85546875" style="2" customWidth="1"/>
    <col min="8960" max="8960" width="10.7109375" style="2" customWidth="1"/>
    <col min="8961" max="8961" width="40.42578125" style="2" customWidth="1"/>
    <col min="8962" max="8962" width="30.5703125" style="2" customWidth="1"/>
    <col min="8963" max="8963" width="16.42578125" style="2" customWidth="1"/>
    <col min="8964" max="8964" width="13" style="2" bestFit="1" customWidth="1"/>
    <col min="8965" max="9212" width="9.140625" style="2"/>
    <col min="9213" max="9213" width="16.28515625" style="2" customWidth="1"/>
    <col min="9214" max="9214" width="9.5703125" style="2" customWidth="1"/>
    <col min="9215" max="9215" width="25.85546875" style="2" customWidth="1"/>
    <col min="9216" max="9216" width="10.7109375" style="2" customWidth="1"/>
    <col min="9217" max="9217" width="40.42578125" style="2" customWidth="1"/>
    <col min="9218" max="9218" width="30.5703125" style="2" customWidth="1"/>
    <col min="9219" max="9219" width="16.42578125" style="2" customWidth="1"/>
    <col min="9220" max="9220" width="13" style="2" bestFit="1" customWidth="1"/>
    <col min="9221" max="9468" width="9.140625" style="2"/>
    <col min="9469" max="9469" width="16.28515625" style="2" customWidth="1"/>
    <col min="9470" max="9470" width="9.5703125" style="2" customWidth="1"/>
    <col min="9471" max="9471" width="25.85546875" style="2" customWidth="1"/>
    <col min="9472" max="9472" width="10.7109375" style="2" customWidth="1"/>
    <col min="9473" max="9473" width="40.42578125" style="2" customWidth="1"/>
    <col min="9474" max="9474" width="30.5703125" style="2" customWidth="1"/>
    <col min="9475" max="9475" width="16.42578125" style="2" customWidth="1"/>
    <col min="9476" max="9476" width="13" style="2" bestFit="1" customWidth="1"/>
    <col min="9477" max="9724" width="9.140625" style="2"/>
    <col min="9725" max="9725" width="16.28515625" style="2" customWidth="1"/>
    <col min="9726" max="9726" width="9.5703125" style="2" customWidth="1"/>
    <col min="9727" max="9727" width="25.85546875" style="2" customWidth="1"/>
    <col min="9728" max="9728" width="10.7109375" style="2" customWidth="1"/>
    <col min="9729" max="9729" width="40.42578125" style="2" customWidth="1"/>
    <col min="9730" max="9730" width="30.5703125" style="2" customWidth="1"/>
    <col min="9731" max="9731" width="16.42578125" style="2" customWidth="1"/>
    <col min="9732" max="9732" width="13" style="2" bestFit="1" customWidth="1"/>
    <col min="9733" max="9980" width="9.140625" style="2"/>
    <col min="9981" max="9981" width="16.28515625" style="2" customWidth="1"/>
    <col min="9982" max="9982" width="9.5703125" style="2" customWidth="1"/>
    <col min="9983" max="9983" width="25.85546875" style="2" customWidth="1"/>
    <col min="9984" max="9984" width="10.7109375" style="2" customWidth="1"/>
    <col min="9985" max="9985" width="40.42578125" style="2" customWidth="1"/>
    <col min="9986" max="9986" width="30.5703125" style="2" customWidth="1"/>
    <col min="9987" max="9987" width="16.42578125" style="2" customWidth="1"/>
    <col min="9988" max="9988" width="13" style="2" bestFit="1" customWidth="1"/>
    <col min="9989" max="10236" width="9.140625" style="2"/>
    <col min="10237" max="10237" width="16.28515625" style="2" customWidth="1"/>
    <col min="10238" max="10238" width="9.5703125" style="2" customWidth="1"/>
    <col min="10239" max="10239" width="25.85546875" style="2" customWidth="1"/>
    <col min="10240" max="10240" width="10.7109375" style="2" customWidth="1"/>
    <col min="10241" max="10241" width="40.42578125" style="2" customWidth="1"/>
    <col min="10242" max="10242" width="30.5703125" style="2" customWidth="1"/>
    <col min="10243" max="10243" width="16.42578125" style="2" customWidth="1"/>
    <col min="10244" max="10244" width="13" style="2" bestFit="1" customWidth="1"/>
    <col min="10245" max="10492" width="9.140625" style="2"/>
    <col min="10493" max="10493" width="16.28515625" style="2" customWidth="1"/>
    <col min="10494" max="10494" width="9.5703125" style="2" customWidth="1"/>
    <col min="10495" max="10495" width="25.85546875" style="2" customWidth="1"/>
    <col min="10496" max="10496" width="10.7109375" style="2" customWidth="1"/>
    <col min="10497" max="10497" width="40.42578125" style="2" customWidth="1"/>
    <col min="10498" max="10498" width="30.5703125" style="2" customWidth="1"/>
    <col min="10499" max="10499" width="16.42578125" style="2" customWidth="1"/>
    <col min="10500" max="10500" width="13" style="2" bestFit="1" customWidth="1"/>
    <col min="10501" max="10748" width="9.140625" style="2"/>
    <col min="10749" max="10749" width="16.28515625" style="2" customWidth="1"/>
    <col min="10750" max="10750" width="9.5703125" style="2" customWidth="1"/>
    <col min="10751" max="10751" width="25.85546875" style="2" customWidth="1"/>
    <col min="10752" max="10752" width="10.7109375" style="2" customWidth="1"/>
    <col min="10753" max="10753" width="40.42578125" style="2" customWidth="1"/>
    <col min="10754" max="10754" width="30.5703125" style="2" customWidth="1"/>
    <col min="10755" max="10755" width="16.42578125" style="2" customWidth="1"/>
    <col min="10756" max="10756" width="13" style="2" bestFit="1" customWidth="1"/>
    <col min="10757" max="11004" width="9.140625" style="2"/>
    <col min="11005" max="11005" width="16.28515625" style="2" customWidth="1"/>
    <col min="11006" max="11006" width="9.5703125" style="2" customWidth="1"/>
    <col min="11007" max="11007" width="25.85546875" style="2" customWidth="1"/>
    <col min="11008" max="11008" width="10.7109375" style="2" customWidth="1"/>
    <col min="11009" max="11009" width="40.42578125" style="2" customWidth="1"/>
    <col min="11010" max="11010" width="30.5703125" style="2" customWidth="1"/>
    <col min="11011" max="11011" width="16.42578125" style="2" customWidth="1"/>
    <col min="11012" max="11012" width="13" style="2" bestFit="1" customWidth="1"/>
    <col min="11013" max="11260" width="9.140625" style="2"/>
    <col min="11261" max="11261" width="16.28515625" style="2" customWidth="1"/>
    <col min="11262" max="11262" width="9.5703125" style="2" customWidth="1"/>
    <col min="11263" max="11263" width="25.85546875" style="2" customWidth="1"/>
    <col min="11264" max="11264" width="10.7109375" style="2" customWidth="1"/>
    <col min="11265" max="11265" width="40.42578125" style="2" customWidth="1"/>
    <col min="11266" max="11266" width="30.5703125" style="2" customWidth="1"/>
    <col min="11267" max="11267" width="16.42578125" style="2" customWidth="1"/>
    <col min="11268" max="11268" width="13" style="2" bestFit="1" customWidth="1"/>
    <col min="11269" max="11516" width="9.140625" style="2"/>
    <col min="11517" max="11517" width="16.28515625" style="2" customWidth="1"/>
    <col min="11518" max="11518" width="9.5703125" style="2" customWidth="1"/>
    <col min="11519" max="11519" width="25.85546875" style="2" customWidth="1"/>
    <col min="11520" max="11520" width="10.7109375" style="2" customWidth="1"/>
    <col min="11521" max="11521" width="40.42578125" style="2" customWidth="1"/>
    <col min="11522" max="11522" width="30.5703125" style="2" customWidth="1"/>
    <col min="11523" max="11523" width="16.42578125" style="2" customWidth="1"/>
    <col min="11524" max="11524" width="13" style="2" bestFit="1" customWidth="1"/>
    <col min="11525" max="11772" width="9.140625" style="2"/>
    <col min="11773" max="11773" width="16.28515625" style="2" customWidth="1"/>
    <col min="11774" max="11774" width="9.5703125" style="2" customWidth="1"/>
    <col min="11775" max="11775" width="25.85546875" style="2" customWidth="1"/>
    <col min="11776" max="11776" width="10.7109375" style="2" customWidth="1"/>
    <col min="11777" max="11777" width="40.42578125" style="2" customWidth="1"/>
    <col min="11778" max="11778" width="30.5703125" style="2" customWidth="1"/>
    <col min="11779" max="11779" width="16.42578125" style="2" customWidth="1"/>
    <col min="11780" max="11780" width="13" style="2" bestFit="1" customWidth="1"/>
    <col min="11781" max="12028" width="9.140625" style="2"/>
    <col min="12029" max="12029" width="16.28515625" style="2" customWidth="1"/>
    <col min="12030" max="12030" width="9.5703125" style="2" customWidth="1"/>
    <col min="12031" max="12031" width="25.85546875" style="2" customWidth="1"/>
    <col min="12032" max="12032" width="10.7109375" style="2" customWidth="1"/>
    <col min="12033" max="12033" width="40.42578125" style="2" customWidth="1"/>
    <col min="12034" max="12034" width="30.5703125" style="2" customWidth="1"/>
    <col min="12035" max="12035" width="16.42578125" style="2" customWidth="1"/>
    <col min="12036" max="12036" width="13" style="2" bestFit="1" customWidth="1"/>
    <col min="12037" max="12284" width="9.140625" style="2"/>
    <col min="12285" max="12285" width="16.28515625" style="2" customWidth="1"/>
    <col min="12286" max="12286" width="9.5703125" style="2" customWidth="1"/>
    <col min="12287" max="12287" width="25.85546875" style="2" customWidth="1"/>
    <col min="12288" max="12288" width="10.7109375" style="2" customWidth="1"/>
    <col min="12289" max="12289" width="40.42578125" style="2" customWidth="1"/>
    <col min="12290" max="12290" width="30.5703125" style="2" customWidth="1"/>
    <col min="12291" max="12291" width="16.42578125" style="2" customWidth="1"/>
    <col min="12292" max="12292" width="13" style="2" bestFit="1" customWidth="1"/>
    <col min="12293" max="12540" width="9.140625" style="2"/>
    <col min="12541" max="12541" width="16.28515625" style="2" customWidth="1"/>
    <col min="12542" max="12542" width="9.5703125" style="2" customWidth="1"/>
    <col min="12543" max="12543" width="25.85546875" style="2" customWidth="1"/>
    <col min="12544" max="12544" width="10.7109375" style="2" customWidth="1"/>
    <col min="12545" max="12545" width="40.42578125" style="2" customWidth="1"/>
    <col min="12546" max="12546" width="30.5703125" style="2" customWidth="1"/>
    <col min="12547" max="12547" width="16.42578125" style="2" customWidth="1"/>
    <col min="12548" max="12548" width="13" style="2" bestFit="1" customWidth="1"/>
    <col min="12549" max="12796" width="9.140625" style="2"/>
    <col min="12797" max="12797" width="16.28515625" style="2" customWidth="1"/>
    <col min="12798" max="12798" width="9.5703125" style="2" customWidth="1"/>
    <col min="12799" max="12799" width="25.85546875" style="2" customWidth="1"/>
    <col min="12800" max="12800" width="10.7109375" style="2" customWidth="1"/>
    <col min="12801" max="12801" width="40.42578125" style="2" customWidth="1"/>
    <col min="12802" max="12802" width="30.5703125" style="2" customWidth="1"/>
    <col min="12803" max="12803" width="16.42578125" style="2" customWidth="1"/>
    <col min="12804" max="12804" width="13" style="2" bestFit="1" customWidth="1"/>
    <col min="12805" max="13052" width="9.140625" style="2"/>
    <col min="13053" max="13053" width="16.28515625" style="2" customWidth="1"/>
    <col min="13054" max="13054" width="9.5703125" style="2" customWidth="1"/>
    <col min="13055" max="13055" width="25.85546875" style="2" customWidth="1"/>
    <col min="13056" max="13056" width="10.7109375" style="2" customWidth="1"/>
    <col min="13057" max="13057" width="40.42578125" style="2" customWidth="1"/>
    <col min="13058" max="13058" width="30.5703125" style="2" customWidth="1"/>
    <col min="13059" max="13059" width="16.42578125" style="2" customWidth="1"/>
    <col min="13060" max="13060" width="13" style="2" bestFit="1" customWidth="1"/>
    <col min="13061" max="13308" width="9.140625" style="2"/>
    <col min="13309" max="13309" width="16.28515625" style="2" customWidth="1"/>
    <col min="13310" max="13310" width="9.5703125" style="2" customWidth="1"/>
    <col min="13311" max="13311" width="25.85546875" style="2" customWidth="1"/>
    <col min="13312" max="13312" width="10.7109375" style="2" customWidth="1"/>
    <col min="13313" max="13313" width="40.42578125" style="2" customWidth="1"/>
    <col min="13314" max="13314" width="30.5703125" style="2" customWidth="1"/>
    <col min="13315" max="13315" width="16.42578125" style="2" customWidth="1"/>
    <col min="13316" max="13316" width="13" style="2" bestFit="1" customWidth="1"/>
    <col min="13317" max="13564" width="9.140625" style="2"/>
    <col min="13565" max="13565" width="16.28515625" style="2" customWidth="1"/>
    <col min="13566" max="13566" width="9.5703125" style="2" customWidth="1"/>
    <col min="13567" max="13567" width="25.85546875" style="2" customWidth="1"/>
    <col min="13568" max="13568" width="10.7109375" style="2" customWidth="1"/>
    <col min="13569" max="13569" width="40.42578125" style="2" customWidth="1"/>
    <col min="13570" max="13570" width="30.5703125" style="2" customWidth="1"/>
    <col min="13571" max="13571" width="16.42578125" style="2" customWidth="1"/>
    <col min="13572" max="13572" width="13" style="2" bestFit="1" customWidth="1"/>
    <col min="13573" max="13820" width="9.140625" style="2"/>
    <col min="13821" max="13821" width="16.28515625" style="2" customWidth="1"/>
    <col min="13822" max="13822" width="9.5703125" style="2" customWidth="1"/>
    <col min="13823" max="13823" width="25.85546875" style="2" customWidth="1"/>
    <col min="13824" max="13824" width="10.7109375" style="2" customWidth="1"/>
    <col min="13825" max="13825" width="40.42578125" style="2" customWidth="1"/>
    <col min="13826" max="13826" width="30.5703125" style="2" customWidth="1"/>
    <col min="13827" max="13827" width="16.42578125" style="2" customWidth="1"/>
    <col min="13828" max="13828" width="13" style="2" bestFit="1" customWidth="1"/>
    <col min="13829" max="14076" width="9.140625" style="2"/>
    <col min="14077" max="14077" width="16.28515625" style="2" customWidth="1"/>
    <col min="14078" max="14078" width="9.5703125" style="2" customWidth="1"/>
    <col min="14079" max="14079" width="25.85546875" style="2" customWidth="1"/>
    <col min="14080" max="14080" width="10.7109375" style="2" customWidth="1"/>
    <col min="14081" max="14081" width="40.42578125" style="2" customWidth="1"/>
    <col min="14082" max="14082" width="30.5703125" style="2" customWidth="1"/>
    <col min="14083" max="14083" width="16.42578125" style="2" customWidth="1"/>
    <col min="14084" max="14084" width="13" style="2" bestFit="1" customWidth="1"/>
    <col min="14085" max="14332" width="9.140625" style="2"/>
    <col min="14333" max="14333" width="16.28515625" style="2" customWidth="1"/>
    <col min="14334" max="14334" width="9.5703125" style="2" customWidth="1"/>
    <col min="14335" max="14335" width="25.85546875" style="2" customWidth="1"/>
    <col min="14336" max="14336" width="10.7109375" style="2" customWidth="1"/>
    <col min="14337" max="14337" width="40.42578125" style="2" customWidth="1"/>
    <col min="14338" max="14338" width="30.5703125" style="2" customWidth="1"/>
    <col min="14339" max="14339" width="16.42578125" style="2" customWidth="1"/>
    <col min="14340" max="14340" width="13" style="2" bestFit="1" customWidth="1"/>
    <col min="14341" max="14588" width="9.140625" style="2"/>
    <col min="14589" max="14589" width="16.28515625" style="2" customWidth="1"/>
    <col min="14590" max="14590" width="9.5703125" style="2" customWidth="1"/>
    <col min="14591" max="14591" width="25.85546875" style="2" customWidth="1"/>
    <col min="14592" max="14592" width="10.7109375" style="2" customWidth="1"/>
    <col min="14593" max="14593" width="40.42578125" style="2" customWidth="1"/>
    <col min="14594" max="14594" width="30.5703125" style="2" customWidth="1"/>
    <col min="14595" max="14595" width="16.42578125" style="2" customWidth="1"/>
    <col min="14596" max="14596" width="13" style="2" bestFit="1" customWidth="1"/>
    <col min="14597" max="14844" width="9.140625" style="2"/>
    <col min="14845" max="14845" width="16.28515625" style="2" customWidth="1"/>
    <col min="14846" max="14846" width="9.5703125" style="2" customWidth="1"/>
    <col min="14847" max="14847" width="25.85546875" style="2" customWidth="1"/>
    <col min="14848" max="14848" width="10.7109375" style="2" customWidth="1"/>
    <col min="14849" max="14849" width="40.42578125" style="2" customWidth="1"/>
    <col min="14850" max="14850" width="30.5703125" style="2" customWidth="1"/>
    <col min="14851" max="14851" width="16.42578125" style="2" customWidth="1"/>
    <col min="14852" max="14852" width="13" style="2" bestFit="1" customWidth="1"/>
    <col min="14853" max="15100" width="9.140625" style="2"/>
    <col min="15101" max="15101" width="16.28515625" style="2" customWidth="1"/>
    <col min="15102" max="15102" width="9.5703125" style="2" customWidth="1"/>
    <col min="15103" max="15103" width="25.85546875" style="2" customWidth="1"/>
    <col min="15104" max="15104" width="10.7109375" style="2" customWidth="1"/>
    <col min="15105" max="15105" width="40.42578125" style="2" customWidth="1"/>
    <col min="15106" max="15106" width="30.5703125" style="2" customWidth="1"/>
    <col min="15107" max="15107" width="16.42578125" style="2" customWidth="1"/>
    <col min="15108" max="15108" width="13" style="2" bestFit="1" customWidth="1"/>
    <col min="15109" max="15356" width="9.140625" style="2"/>
    <col min="15357" max="15357" width="16.28515625" style="2" customWidth="1"/>
    <col min="15358" max="15358" width="9.5703125" style="2" customWidth="1"/>
    <col min="15359" max="15359" width="25.85546875" style="2" customWidth="1"/>
    <col min="15360" max="15360" width="10.7109375" style="2" customWidth="1"/>
    <col min="15361" max="15361" width="40.42578125" style="2" customWidth="1"/>
    <col min="15362" max="15362" width="30.5703125" style="2" customWidth="1"/>
    <col min="15363" max="15363" width="16.42578125" style="2" customWidth="1"/>
    <col min="15364" max="15364" width="13" style="2" bestFit="1" customWidth="1"/>
    <col min="15365" max="15612" width="9.140625" style="2"/>
    <col min="15613" max="15613" width="16.28515625" style="2" customWidth="1"/>
    <col min="15614" max="15614" width="9.5703125" style="2" customWidth="1"/>
    <col min="15615" max="15615" width="25.85546875" style="2" customWidth="1"/>
    <col min="15616" max="15616" width="10.7109375" style="2" customWidth="1"/>
    <col min="15617" max="15617" width="40.42578125" style="2" customWidth="1"/>
    <col min="15618" max="15618" width="30.5703125" style="2" customWidth="1"/>
    <col min="15619" max="15619" width="16.42578125" style="2" customWidth="1"/>
    <col min="15620" max="15620" width="13" style="2" bestFit="1" customWidth="1"/>
    <col min="15621" max="15868" width="9.140625" style="2"/>
    <col min="15869" max="15869" width="16.28515625" style="2" customWidth="1"/>
    <col min="15870" max="15870" width="9.5703125" style="2" customWidth="1"/>
    <col min="15871" max="15871" width="25.85546875" style="2" customWidth="1"/>
    <col min="15872" max="15872" width="10.7109375" style="2" customWidth="1"/>
    <col min="15873" max="15873" width="40.42578125" style="2" customWidth="1"/>
    <col min="15874" max="15874" width="30.5703125" style="2" customWidth="1"/>
    <col min="15875" max="15875" width="16.42578125" style="2" customWidth="1"/>
    <col min="15876" max="15876" width="13" style="2" bestFit="1" customWidth="1"/>
    <col min="15877" max="16124" width="9.140625" style="2"/>
    <col min="16125" max="16125" width="16.28515625" style="2" customWidth="1"/>
    <col min="16126" max="16126" width="9.5703125" style="2" customWidth="1"/>
    <col min="16127" max="16127" width="25.85546875" style="2" customWidth="1"/>
    <col min="16128" max="16128" width="10.7109375" style="2" customWidth="1"/>
    <col min="16129" max="16129" width="40.42578125" style="2" customWidth="1"/>
    <col min="16130" max="16130" width="30.5703125" style="2" customWidth="1"/>
    <col min="16131" max="16131" width="16.42578125" style="2" customWidth="1"/>
    <col min="16132" max="16132" width="13" style="2" bestFit="1" customWidth="1"/>
    <col min="16133" max="16384" width="9.140625" style="2"/>
  </cols>
  <sheetData>
    <row r="3" spans="1:10">
      <c r="G3" s="70"/>
    </row>
    <row r="5" spans="1:10" ht="18.75">
      <c r="A5" s="1483" t="s">
        <v>51</v>
      </c>
      <c r="B5" s="1483"/>
      <c r="C5" s="1483"/>
      <c r="D5" s="1483"/>
      <c r="E5" s="1483"/>
      <c r="F5" s="1483"/>
      <c r="G5" s="1483"/>
      <c r="H5" s="1483"/>
      <c r="I5" s="1483"/>
    </row>
    <row r="6" spans="1:10" ht="18.75">
      <c r="A6" s="1483" t="s">
        <v>29</v>
      </c>
      <c r="B6" s="1483"/>
      <c r="C6" s="1483"/>
      <c r="D6" s="1483"/>
      <c r="E6" s="1483"/>
      <c r="F6" s="1483"/>
      <c r="G6" s="1483"/>
      <c r="H6" s="1483"/>
      <c r="I6" s="1483"/>
    </row>
    <row r="7" spans="1:10">
      <c r="G7" s="87"/>
      <c r="H7" s="88"/>
      <c r="I7" s="88"/>
    </row>
    <row r="8" spans="1:10">
      <c r="C8" s="4"/>
      <c r="D8" s="4"/>
      <c r="G8" s="88"/>
      <c r="H8" s="88"/>
      <c r="I8" s="5" t="s">
        <v>0</v>
      </c>
    </row>
    <row r="9" spans="1:10" s="31" customFormat="1" ht="73.5" customHeight="1">
      <c r="A9" s="12" t="s">
        <v>1</v>
      </c>
      <c r="B9" s="12" t="s">
        <v>2</v>
      </c>
      <c r="C9" s="12" t="s">
        <v>3</v>
      </c>
      <c r="D9" s="12" t="s">
        <v>4</v>
      </c>
      <c r="E9" s="12" t="s">
        <v>5</v>
      </c>
      <c r="F9" s="12" t="s">
        <v>6</v>
      </c>
      <c r="G9" s="89" t="s">
        <v>52</v>
      </c>
      <c r="H9" s="89" t="s">
        <v>33</v>
      </c>
      <c r="I9" s="90" t="s">
        <v>50</v>
      </c>
      <c r="J9" s="84"/>
    </row>
    <row r="10" spans="1:10" s="31" customFormat="1" ht="44.25" hidden="1" customHeight="1">
      <c r="A10" s="1484" t="s">
        <v>26</v>
      </c>
      <c r="B10" s="1485"/>
      <c r="C10" s="1485"/>
      <c r="D10" s="1485"/>
      <c r="E10" s="1485"/>
      <c r="F10" s="1485"/>
      <c r="G10" s="1485"/>
      <c r="H10" s="1485"/>
      <c r="I10" s="1485"/>
    </row>
    <row r="11" spans="1:10" s="31" customFormat="1" ht="30.75" hidden="1" customHeight="1">
      <c r="A11" s="55" t="s">
        <v>7</v>
      </c>
      <c r="B11" s="55">
        <v>4</v>
      </c>
      <c r="C11" s="55" t="s">
        <v>37</v>
      </c>
      <c r="D11" s="55">
        <v>111</v>
      </c>
      <c r="E11" s="11">
        <v>211</v>
      </c>
      <c r="F11" s="8" t="s">
        <v>8</v>
      </c>
      <c r="G11" s="13">
        <v>32780340.52</v>
      </c>
      <c r="H11" s="10">
        <v>27186806.899999999</v>
      </c>
      <c r="I11" s="10">
        <v>27124887.949999999</v>
      </c>
    </row>
    <row r="12" spans="1:10" s="31" customFormat="1" ht="47.25" hidden="1">
      <c r="A12" s="55" t="s">
        <v>7</v>
      </c>
      <c r="B12" s="55">
        <v>4</v>
      </c>
      <c r="C12" s="55" t="s">
        <v>37</v>
      </c>
      <c r="D12" s="55">
        <v>111</v>
      </c>
      <c r="E12" s="11">
        <v>266</v>
      </c>
      <c r="F12" s="8" t="s">
        <v>43</v>
      </c>
      <c r="G12" s="13">
        <v>20000</v>
      </c>
      <c r="H12" s="10">
        <v>20000</v>
      </c>
      <c r="I12" s="10">
        <v>20000</v>
      </c>
    </row>
    <row r="13" spans="1:10" s="31" customFormat="1" ht="94.5" hidden="1">
      <c r="A13" s="55" t="s">
        <v>7</v>
      </c>
      <c r="B13" s="55">
        <v>4</v>
      </c>
      <c r="C13" s="55" t="s">
        <v>45</v>
      </c>
      <c r="D13" s="55">
        <v>111</v>
      </c>
      <c r="E13" s="11">
        <v>211</v>
      </c>
      <c r="F13" s="8" t="s">
        <v>49</v>
      </c>
      <c r="G13" s="13">
        <v>128000</v>
      </c>
      <c r="H13" s="10">
        <v>88000</v>
      </c>
      <c r="I13" s="10">
        <v>94000</v>
      </c>
    </row>
    <row r="14" spans="1:10" s="31" customFormat="1" ht="15.75" hidden="1">
      <c r="A14" s="55"/>
      <c r="B14" s="55"/>
      <c r="C14" s="55"/>
      <c r="D14" s="55"/>
      <c r="E14" s="11"/>
      <c r="F14" s="8" t="s">
        <v>58</v>
      </c>
      <c r="G14" s="13"/>
      <c r="H14" s="10"/>
      <c r="I14" s="10"/>
    </row>
    <row r="15" spans="1:10" s="31" customFormat="1" ht="15.75" hidden="1">
      <c r="A15" s="55"/>
      <c r="B15" s="55"/>
      <c r="C15" s="55"/>
      <c r="D15" s="55"/>
      <c r="E15" s="11"/>
      <c r="F15" s="8" t="s">
        <v>57</v>
      </c>
      <c r="G15" s="13"/>
      <c r="H15" s="10"/>
      <c r="I15" s="10"/>
    </row>
    <row r="16" spans="1:10" s="31" customFormat="1" ht="15.75" hidden="1">
      <c r="A16" s="55"/>
      <c r="B16" s="55"/>
      <c r="C16" s="55"/>
      <c r="D16" s="55"/>
      <c r="E16" s="11"/>
      <c r="F16" s="8" t="s">
        <v>60</v>
      </c>
      <c r="G16" s="13"/>
      <c r="H16" s="10"/>
      <c r="I16" s="10"/>
    </row>
    <row r="17" spans="1:18" s="31" customFormat="1" ht="15.75" hidden="1">
      <c r="A17" s="55"/>
      <c r="B17" s="55"/>
      <c r="C17" s="55"/>
      <c r="D17" s="55"/>
      <c r="E17" s="11"/>
      <c r="F17" s="8" t="s">
        <v>56</v>
      </c>
      <c r="G17" s="13"/>
      <c r="H17" s="10"/>
      <c r="I17" s="10"/>
    </row>
    <row r="18" spans="1:18" s="31" customFormat="1" ht="47.25" hidden="1">
      <c r="A18" s="55"/>
      <c r="B18" s="55"/>
      <c r="C18" s="55"/>
      <c r="D18" s="55"/>
      <c r="E18" s="11"/>
      <c r="F18" s="8" t="s">
        <v>59</v>
      </c>
      <c r="G18" s="13"/>
      <c r="H18" s="10"/>
      <c r="I18" s="10"/>
    </row>
    <row r="19" spans="1:18" s="31" customFormat="1" ht="23.25" hidden="1" customHeight="1">
      <c r="A19" s="55" t="s">
        <v>7</v>
      </c>
      <c r="B19" s="55">
        <v>4</v>
      </c>
      <c r="C19" s="55" t="s">
        <v>45</v>
      </c>
      <c r="D19" s="55">
        <v>112</v>
      </c>
      <c r="E19" s="11">
        <v>212</v>
      </c>
      <c r="F19" s="8" t="s">
        <v>34</v>
      </c>
      <c r="G19" s="13">
        <v>0</v>
      </c>
      <c r="H19" s="10"/>
      <c r="I19" s="10">
        <v>0</v>
      </c>
    </row>
    <row r="20" spans="1:18" s="31" customFormat="1" ht="22.5" hidden="1" customHeight="1">
      <c r="A20" s="55" t="s">
        <v>7</v>
      </c>
      <c r="B20" s="55">
        <v>4</v>
      </c>
      <c r="C20" s="55" t="s">
        <v>45</v>
      </c>
      <c r="D20" s="55">
        <v>112</v>
      </c>
      <c r="E20" s="11">
        <v>214</v>
      </c>
      <c r="F20" s="8" t="s">
        <v>35</v>
      </c>
      <c r="G20" s="13">
        <v>960000</v>
      </c>
      <c r="H20" s="10">
        <v>880000</v>
      </c>
      <c r="I20" s="10">
        <v>960000</v>
      </c>
    </row>
    <row r="21" spans="1:18" s="31" customFormat="1" ht="34.5" hidden="1" customHeight="1">
      <c r="A21" s="55" t="s">
        <v>7</v>
      </c>
      <c r="B21" s="55">
        <v>4</v>
      </c>
      <c r="C21" s="55" t="s">
        <v>45</v>
      </c>
      <c r="D21" s="55">
        <v>112</v>
      </c>
      <c r="E21" s="11">
        <v>226</v>
      </c>
      <c r="F21" s="8" t="s">
        <v>36</v>
      </c>
      <c r="G21" s="13">
        <v>0</v>
      </c>
      <c r="H21" s="10"/>
      <c r="I21" s="10"/>
    </row>
    <row r="22" spans="1:18" s="31" customFormat="1" ht="55.5" hidden="1" customHeight="1">
      <c r="A22" s="55" t="s">
        <v>7</v>
      </c>
      <c r="B22" s="55">
        <v>4</v>
      </c>
      <c r="C22" s="55" t="s">
        <v>45</v>
      </c>
      <c r="D22" s="55">
        <v>112</v>
      </c>
      <c r="E22" s="11">
        <v>266</v>
      </c>
      <c r="F22" s="8" t="s">
        <v>66</v>
      </c>
      <c r="G22" s="13">
        <f>2040+111000</f>
        <v>113040</v>
      </c>
      <c r="H22" s="10">
        <f>2040+101477.75</f>
        <v>103517.75</v>
      </c>
      <c r="I22" s="10">
        <f>595+101477.75</f>
        <v>102072.75</v>
      </c>
    </row>
    <row r="23" spans="1:18" s="31" customFormat="1" ht="15.75" hidden="1">
      <c r="A23" s="55" t="s">
        <v>7</v>
      </c>
      <c r="B23" s="55">
        <v>4</v>
      </c>
      <c r="C23" s="55" t="s">
        <v>37</v>
      </c>
      <c r="D23" s="55">
        <v>119</v>
      </c>
      <c r="E23" s="11">
        <v>213</v>
      </c>
      <c r="F23" s="8" t="s">
        <v>10</v>
      </c>
      <c r="G23" s="13">
        <v>9756045.25</v>
      </c>
      <c r="H23" s="13">
        <v>8142293.2800000003</v>
      </c>
      <c r="I23" s="13">
        <v>8098921.9800000004</v>
      </c>
    </row>
    <row r="24" spans="1:18" s="31" customFormat="1" ht="19.5" hidden="1" customHeight="1">
      <c r="A24" s="55" t="s">
        <v>7</v>
      </c>
      <c r="B24" s="55">
        <v>4</v>
      </c>
      <c r="C24" s="55" t="s">
        <v>45</v>
      </c>
      <c r="D24" s="55">
        <v>244</v>
      </c>
      <c r="E24" s="11">
        <v>221</v>
      </c>
      <c r="F24" s="8" t="s">
        <v>11</v>
      </c>
      <c r="G24" s="13">
        <v>115913.67</v>
      </c>
      <c r="H24" s="10">
        <v>123300.71</v>
      </c>
      <c r="I24" s="10">
        <v>115913.67</v>
      </c>
    </row>
    <row r="25" spans="1:18" s="31" customFormat="1" ht="19.5" hidden="1" customHeight="1">
      <c r="A25" s="55" t="s">
        <v>7</v>
      </c>
      <c r="B25" s="55">
        <v>4</v>
      </c>
      <c r="C25" s="55" t="s">
        <v>45</v>
      </c>
      <c r="D25" s="55">
        <v>244</v>
      </c>
      <c r="E25" s="11">
        <v>222</v>
      </c>
      <c r="F25" s="8" t="s">
        <v>12</v>
      </c>
      <c r="G25" s="13">
        <v>247123.27</v>
      </c>
      <c r="H25" s="10">
        <v>82881.95</v>
      </c>
      <c r="I25" s="10">
        <v>81142.149999999994</v>
      </c>
    </row>
    <row r="26" spans="1:18" s="31" customFormat="1" ht="15.75" hidden="1">
      <c r="A26" s="55" t="s">
        <v>7</v>
      </c>
      <c r="B26" s="55">
        <v>4</v>
      </c>
      <c r="C26" s="55" t="s">
        <v>45</v>
      </c>
      <c r="D26" s="55">
        <v>244</v>
      </c>
      <c r="E26" s="11">
        <v>223</v>
      </c>
      <c r="F26" s="8" t="s">
        <v>13</v>
      </c>
      <c r="G26" s="13">
        <v>1961620.06</v>
      </c>
      <c r="H26" s="10">
        <v>2021088.72</v>
      </c>
      <c r="I26" s="10">
        <v>2055454.02</v>
      </c>
      <c r="Q26" s="31" t="s">
        <v>64</v>
      </c>
    </row>
    <row r="27" spans="1:18" s="31" customFormat="1" ht="15.75" hidden="1">
      <c r="A27" s="55" t="s">
        <v>7</v>
      </c>
      <c r="B27" s="55">
        <v>4</v>
      </c>
      <c r="C27" s="55" t="s">
        <v>45</v>
      </c>
      <c r="D27" s="55">
        <v>244</v>
      </c>
      <c r="E27" s="11">
        <v>225</v>
      </c>
      <c r="F27" s="8" t="s">
        <v>14</v>
      </c>
      <c r="G27" s="13">
        <v>1766727.42</v>
      </c>
      <c r="H27" s="10">
        <v>1847052.58</v>
      </c>
      <c r="I27" s="10">
        <v>1923854.68</v>
      </c>
      <c r="P27" s="31">
        <v>2020</v>
      </c>
      <c r="Q27" s="13">
        <v>6847892.9900000002</v>
      </c>
      <c r="R27" s="7">
        <v>8138171.5300000003</v>
      </c>
    </row>
    <row r="28" spans="1:18" s="31" customFormat="1" ht="15.75" hidden="1">
      <c r="A28" s="55" t="s">
        <v>7</v>
      </c>
      <c r="B28" s="55">
        <v>4</v>
      </c>
      <c r="C28" s="55" t="s">
        <v>45</v>
      </c>
      <c r="D28" s="55">
        <v>244</v>
      </c>
      <c r="E28" s="11">
        <v>226</v>
      </c>
      <c r="F28" s="8" t="s">
        <v>15</v>
      </c>
      <c r="G28" s="13">
        <f>1500000+46247.87-51097.49</f>
        <v>1495150.38</v>
      </c>
      <c r="H28" s="13">
        <f>1493469.47-190754.15</f>
        <v>1302715.32</v>
      </c>
      <c r="I28" s="13">
        <f>1498555.87-157333.87</f>
        <v>1341222</v>
      </c>
      <c r="M28" s="83"/>
      <c r="P28" s="31">
        <v>2021</v>
      </c>
      <c r="Q28" s="13">
        <v>6759321.96</v>
      </c>
      <c r="R28" s="7">
        <v>7211607.3600000003</v>
      </c>
    </row>
    <row r="29" spans="1:18" s="31" customFormat="1" ht="15.75" hidden="1">
      <c r="A29" s="20" t="s">
        <v>7</v>
      </c>
      <c r="B29" s="20">
        <v>4</v>
      </c>
      <c r="C29" s="20" t="s">
        <v>46</v>
      </c>
      <c r="D29" s="20">
        <v>244</v>
      </c>
      <c r="E29" s="21">
        <v>226</v>
      </c>
      <c r="F29" s="22" t="s">
        <v>15</v>
      </c>
      <c r="G29" s="24">
        <v>2329591.33</v>
      </c>
      <c r="H29" s="24">
        <v>2192317.98</v>
      </c>
      <c r="I29" s="24">
        <v>2329591.33</v>
      </c>
      <c r="M29" s="83"/>
      <c r="P29" s="31">
        <v>2022</v>
      </c>
      <c r="Q29" s="24">
        <v>6759321.96</v>
      </c>
      <c r="R29" s="66">
        <v>7211607.3600000003</v>
      </c>
    </row>
    <row r="30" spans="1:18" s="81" customFormat="1" ht="15.75" hidden="1">
      <c r="A30" s="77" t="s">
        <v>30</v>
      </c>
      <c r="B30" s="77">
        <v>4</v>
      </c>
      <c r="C30" s="77" t="s">
        <v>47</v>
      </c>
      <c r="D30" s="77">
        <v>244</v>
      </c>
      <c r="E30" s="78">
        <v>226</v>
      </c>
      <c r="F30" s="79" t="s">
        <v>15</v>
      </c>
      <c r="G30" s="80">
        <v>169385.08</v>
      </c>
      <c r="H30" s="80">
        <v>0</v>
      </c>
      <c r="I30" s="80">
        <v>0</v>
      </c>
      <c r="M30" s="83"/>
      <c r="Q30" s="80"/>
      <c r="R30" s="82"/>
    </row>
    <row r="31" spans="1:18" s="81" customFormat="1" ht="15.75" hidden="1">
      <c r="A31" s="77" t="s">
        <v>31</v>
      </c>
      <c r="B31" s="77">
        <v>4</v>
      </c>
      <c r="C31" s="77" t="s">
        <v>47</v>
      </c>
      <c r="D31" s="77">
        <v>244</v>
      </c>
      <c r="E31" s="78">
        <v>226</v>
      </c>
      <c r="F31" s="79" t="s">
        <v>15</v>
      </c>
      <c r="G31" s="80">
        <v>395212.59</v>
      </c>
      <c r="H31" s="80">
        <v>0</v>
      </c>
      <c r="I31" s="80">
        <v>0</v>
      </c>
      <c r="Q31" s="80"/>
      <c r="R31" s="82"/>
    </row>
    <row r="32" spans="1:18" s="81" customFormat="1" ht="15.75" hidden="1">
      <c r="A32" s="77" t="s">
        <v>7</v>
      </c>
      <c r="B32" s="77">
        <v>4</v>
      </c>
      <c r="C32" s="77" t="s">
        <v>47</v>
      </c>
      <c r="D32" s="77">
        <v>244</v>
      </c>
      <c r="E32" s="78">
        <v>226</v>
      </c>
      <c r="F32" s="79" t="s">
        <v>15</v>
      </c>
      <c r="G32" s="80">
        <v>29715.66</v>
      </c>
      <c r="H32" s="80">
        <v>0</v>
      </c>
      <c r="I32" s="80">
        <v>0</v>
      </c>
      <c r="Q32" s="80"/>
      <c r="R32" s="82"/>
    </row>
    <row r="33" spans="1:9" s="31" customFormat="1" ht="18" hidden="1" customHeight="1">
      <c r="A33" s="55" t="s">
        <v>7</v>
      </c>
      <c r="B33" s="55">
        <v>4</v>
      </c>
      <c r="C33" s="55" t="s">
        <v>45</v>
      </c>
      <c r="D33" s="55">
        <v>851</v>
      </c>
      <c r="E33" s="11">
        <v>291</v>
      </c>
      <c r="F33" s="8" t="s">
        <v>28</v>
      </c>
      <c r="G33" s="13">
        <f>2136892+99437+54558.69</f>
        <v>2290887.69</v>
      </c>
      <c r="H33" s="10">
        <f>2031292+99437+12717.98</f>
        <v>2143446.98</v>
      </c>
      <c r="I33" s="10">
        <f>1925704+99437-23543.03-26365.72</f>
        <v>1975232.25</v>
      </c>
    </row>
    <row r="34" spans="1:9" s="31" customFormat="1" ht="16.5" hidden="1" customHeight="1">
      <c r="A34" s="55" t="s">
        <v>7</v>
      </c>
      <c r="B34" s="55">
        <v>4</v>
      </c>
      <c r="C34" s="55" t="s">
        <v>45</v>
      </c>
      <c r="D34" s="55">
        <v>853</v>
      </c>
      <c r="E34" s="11">
        <v>291</v>
      </c>
      <c r="F34" s="8" t="s">
        <v>28</v>
      </c>
      <c r="G34" s="13">
        <v>19701.39</v>
      </c>
      <c r="H34" s="13">
        <v>19701.39</v>
      </c>
      <c r="I34" s="13">
        <v>19701.39</v>
      </c>
    </row>
    <row r="35" spans="1:9" s="31" customFormat="1" ht="19.5" hidden="1" customHeight="1">
      <c r="A35" s="55" t="s">
        <v>7</v>
      </c>
      <c r="B35" s="55">
        <v>4</v>
      </c>
      <c r="C35" s="55" t="s">
        <v>45</v>
      </c>
      <c r="D35" s="55">
        <v>853</v>
      </c>
      <c r="E35" s="11">
        <v>297</v>
      </c>
      <c r="F35" s="8" t="s">
        <v>38</v>
      </c>
      <c r="G35" s="13">
        <v>57383.82</v>
      </c>
      <c r="H35" s="13">
        <v>57383.82</v>
      </c>
      <c r="I35" s="13">
        <v>57383.82</v>
      </c>
    </row>
    <row r="36" spans="1:9" s="81" customFormat="1" ht="31.5" hidden="1">
      <c r="A36" s="77" t="s">
        <v>30</v>
      </c>
      <c r="B36" s="77">
        <v>4</v>
      </c>
      <c r="C36" s="77" t="s">
        <v>47</v>
      </c>
      <c r="D36" s="77">
        <v>244</v>
      </c>
      <c r="E36" s="78">
        <v>310</v>
      </c>
      <c r="F36" s="79" t="s">
        <v>16</v>
      </c>
      <c r="G36" s="80">
        <v>674139.96</v>
      </c>
      <c r="H36" s="80">
        <v>0</v>
      </c>
      <c r="I36" s="80">
        <v>0</v>
      </c>
    </row>
    <row r="37" spans="1:9" s="81" customFormat="1" ht="31.5" hidden="1">
      <c r="A37" s="77" t="s">
        <v>31</v>
      </c>
      <c r="B37" s="77">
        <v>4</v>
      </c>
      <c r="C37" s="77" t="s">
        <v>47</v>
      </c>
      <c r="D37" s="77">
        <v>244</v>
      </c>
      <c r="E37" s="78">
        <v>310</v>
      </c>
      <c r="F37" s="79" t="s">
        <v>16</v>
      </c>
      <c r="G37" s="80">
        <v>1572916.6</v>
      </c>
      <c r="H37" s="80">
        <v>0</v>
      </c>
      <c r="I37" s="80">
        <v>0</v>
      </c>
    </row>
    <row r="38" spans="1:9" s="81" customFormat="1" ht="31.5" hidden="1">
      <c r="A38" s="77" t="s">
        <v>7</v>
      </c>
      <c r="B38" s="77">
        <v>4</v>
      </c>
      <c r="C38" s="77" t="s">
        <v>47</v>
      </c>
      <c r="D38" s="77">
        <v>244</v>
      </c>
      <c r="E38" s="78">
        <v>310</v>
      </c>
      <c r="F38" s="79" t="s">
        <v>16</v>
      </c>
      <c r="G38" s="80">
        <v>118266.14</v>
      </c>
      <c r="H38" s="80">
        <v>0</v>
      </c>
      <c r="I38" s="80">
        <v>0</v>
      </c>
    </row>
    <row r="39" spans="1:9" s="81" customFormat="1" ht="31.5" hidden="1">
      <c r="A39" s="77" t="s">
        <v>30</v>
      </c>
      <c r="B39" s="77">
        <v>4</v>
      </c>
      <c r="C39" s="77" t="s">
        <v>47</v>
      </c>
      <c r="D39" s="77">
        <v>244</v>
      </c>
      <c r="E39" s="78">
        <v>346</v>
      </c>
      <c r="F39" s="79" t="s">
        <v>16</v>
      </c>
      <c r="G39" s="80">
        <v>36074.959999999999</v>
      </c>
      <c r="H39" s="80">
        <v>0</v>
      </c>
      <c r="I39" s="80">
        <v>0</v>
      </c>
    </row>
    <row r="40" spans="1:9" s="81" customFormat="1" ht="31.5" hidden="1">
      <c r="A40" s="77" t="s">
        <v>31</v>
      </c>
      <c r="B40" s="77">
        <v>4</v>
      </c>
      <c r="C40" s="77" t="s">
        <v>47</v>
      </c>
      <c r="D40" s="77">
        <v>244</v>
      </c>
      <c r="E40" s="78">
        <v>346</v>
      </c>
      <c r="F40" s="79" t="s">
        <v>16</v>
      </c>
      <c r="G40" s="80">
        <v>84170.81</v>
      </c>
      <c r="H40" s="80">
        <v>0</v>
      </c>
      <c r="I40" s="80">
        <v>0</v>
      </c>
    </row>
    <row r="41" spans="1:9" s="81" customFormat="1" ht="31.5" hidden="1">
      <c r="A41" s="77" t="s">
        <v>7</v>
      </c>
      <c r="B41" s="77">
        <v>4</v>
      </c>
      <c r="C41" s="77" t="s">
        <v>47</v>
      </c>
      <c r="D41" s="77">
        <v>244</v>
      </c>
      <c r="E41" s="78">
        <v>346</v>
      </c>
      <c r="F41" s="79" t="s">
        <v>16</v>
      </c>
      <c r="G41" s="80">
        <v>6328.73</v>
      </c>
      <c r="H41" s="80">
        <v>0</v>
      </c>
      <c r="I41" s="80">
        <v>0</v>
      </c>
    </row>
    <row r="42" spans="1:9" s="26" customFormat="1" ht="31.5" hidden="1">
      <c r="A42" s="20" t="s">
        <v>7</v>
      </c>
      <c r="B42" s="20">
        <v>4</v>
      </c>
      <c r="C42" s="20" t="s">
        <v>46</v>
      </c>
      <c r="D42" s="20">
        <v>244</v>
      </c>
      <c r="E42" s="21">
        <v>346</v>
      </c>
      <c r="F42" s="22" t="s">
        <v>16</v>
      </c>
      <c r="G42" s="24">
        <v>270864.25</v>
      </c>
      <c r="H42" s="51">
        <v>267080.24</v>
      </c>
      <c r="I42" s="51">
        <v>306328</v>
      </c>
    </row>
    <row r="43" spans="1:9" s="19" customFormat="1" ht="47.25" hidden="1">
      <c r="A43" s="55" t="s">
        <v>7</v>
      </c>
      <c r="B43" s="55">
        <v>4</v>
      </c>
      <c r="C43" s="55" t="s">
        <v>45</v>
      </c>
      <c r="D43" s="16">
        <v>119</v>
      </c>
      <c r="E43" s="17">
        <v>266</v>
      </c>
      <c r="F43" s="9" t="s">
        <v>65</v>
      </c>
      <c r="G43" s="13">
        <v>33400</v>
      </c>
      <c r="H43" s="13">
        <v>30646.28</v>
      </c>
      <c r="I43" s="13">
        <v>30646.28</v>
      </c>
    </row>
    <row r="44" spans="1:9" s="19" customFormat="1" ht="15.75" hidden="1">
      <c r="A44" s="55" t="s">
        <v>7</v>
      </c>
      <c r="B44" s="55">
        <v>4</v>
      </c>
      <c r="C44" s="55" t="s">
        <v>45</v>
      </c>
      <c r="D44" s="55">
        <v>360</v>
      </c>
      <c r="E44" s="11">
        <v>296</v>
      </c>
      <c r="F44" s="8" t="s">
        <v>40</v>
      </c>
      <c r="G44" s="13">
        <v>1200</v>
      </c>
      <c r="H44" s="13">
        <v>4800</v>
      </c>
      <c r="I44" s="13">
        <v>7200</v>
      </c>
    </row>
    <row r="45" spans="1:9" s="31" customFormat="1" ht="15.75" hidden="1" customHeight="1">
      <c r="A45" s="1482" t="s">
        <v>17</v>
      </c>
      <c r="B45" s="1482"/>
      <c r="C45" s="1482"/>
      <c r="D45" s="1482"/>
      <c r="E45" s="1482"/>
      <c r="F45" s="1482"/>
      <c r="G45" s="13">
        <f>SUM(G11:G44)</f>
        <v>57433199.579999998</v>
      </c>
      <c r="H45" s="13">
        <f>SUM(H11:H44)</f>
        <v>46513033.899999999</v>
      </c>
      <c r="I45" s="13">
        <f>SUM(I11:I44)</f>
        <v>46643552.270000003</v>
      </c>
    </row>
    <row r="46" spans="1:9" s="31" customFormat="1" ht="23.25" hidden="1" customHeight="1">
      <c r="A46" s="1486" t="s">
        <v>18</v>
      </c>
      <c r="B46" s="1486"/>
      <c r="C46" s="1486"/>
      <c r="D46" s="1486"/>
      <c r="E46" s="1486"/>
      <c r="F46" s="1486"/>
      <c r="G46" s="1486"/>
      <c r="H46" s="6"/>
      <c r="I46" s="6"/>
    </row>
    <row r="47" spans="1:9" s="31" customFormat="1" ht="28.5" hidden="1" customHeight="1">
      <c r="A47" s="16" t="s">
        <v>44</v>
      </c>
      <c r="B47" s="16">
        <v>5</v>
      </c>
      <c r="C47" s="55" t="s">
        <v>48</v>
      </c>
      <c r="D47" s="16">
        <v>244</v>
      </c>
      <c r="E47" s="17">
        <v>226</v>
      </c>
      <c r="F47" s="8" t="s">
        <v>15</v>
      </c>
      <c r="G47" s="13">
        <v>51097.49</v>
      </c>
      <c r="H47" s="13">
        <v>0</v>
      </c>
      <c r="I47" s="13">
        <v>0</v>
      </c>
    </row>
    <row r="48" spans="1:9" s="31" customFormat="1" ht="15.75" hidden="1">
      <c r="A48" s="1476" t="s">
        <v>17</v>
      </c>
      <c r="B48" s="1477"/>
      <c r="C48" s="1477"/>
      <c r="D48" s="1477"/>
      <c r="E48" s="1477"/>
      <c r="F48" s="1478"/>
      <c r="G48" s="13">
        <f>SUM(G47:G47)</f>
        <v>51097.49</v>
      </c>
      <c r="H48" s="13">
        <f>SUM(H47:H47)</f>
        <v>0</v>
      </c>
      <c r="I48" s="13">
        <f>SUM(I47:I47)</f>
        <v>0</v>
      </c>
    </row>
    <row r="49" spans="1:10" s="31" customFormat="1" ht="16.5" hidden="1" customHeight="1">
      <c r="A49" s="1476" t="s">
        <v>21</v>
      </c>
      <c r="B49" s="1477"/>
      <c r="C49" s="1477"/>
      <c r="D49" s="1477"/>
      <c r="E49" s="1477"/>
      <c r="F49" s="1478"/>
      <c r="G49" s="10">
        <f>G45+G48</f>
        <v>57484297.07</v>
      </c>
      <c r="H49" s="10">
        <f>H45+H48</f>
        <v>46513033.899999999</v>
      </c>
      <c r="I49" s="10">
        <f>I45+I48</f>
        <v>46643552.270000003</v>
      </c>
    </row>
    <row r="50" spans="1:10" s="31" customFormat="1" ht="15.75" hidden="1">
      <c r="A50" s="1479" t="s">
        <v>22</v>
      </c>
      <c r="B50" s="1479"/>
      <c r="C50" s="1479"/>
      <c r="D50" s="1479"/>
      <c r="E50" s="1479"/>
      <c r="F50" s="1479"/>
      <c r="G50" s="1479"/>
      <c r="H50" s="6"/>
      <c r="I50" s="6"/>
    </row>
    <row r="51" spans="1:10" s="31" customFormat="1" ht="24.75" hidden="1" customHeight="1">
      <c r="A51" s="55" t="s">
        <v>23</v>
      </c>
      <c r="B51" s="55">
        <v>2</v>
      </c>
      <c r="C51" s="55" t="s">
        <v>37</v>
      </c>
      <c r="D51" s="55">
        <v>111</v>
      </c>
      <c r="E51" s="55">
        <v>211</v>
      </c>
      <c r="F51" s="8" t="s">
        <v>8</v>
      </c>
      <c r="G51" s="10">
        <v>4302112.92</v>
      </c>
      <c r="H51" s="10">
        <v>5045709.93</v>
      </c>
      <c r="I51" s="10">
        <v>5207036.58</v>
      </c>
      <c r="J51" s="7"/>
    </row>
    <row r="52" spans="1:10" s="31" customFormat="1" ht="94.5" hidden="1">
      <c r="A52" s="55" t="s">
        <v>23</v>
      </c>
      <c r="B52" s="55">
        <v>2</v>
      </c>
      <c r="C52" s="55" t="s">
        <v>45</v>
      </c>
      <c r="D52" s="55">
        <v>111</v>
      </c>
      <c r="E52" s="11">
        <v>211</v>
      </c>
      <c r="F52" s="8" t="s">
        <v>49</v>
      </c>
      <c r="G52" s="13">
        <v>8000</v>
      </c>
      <c r="H52" s="10">
        <v>8000</v>
      </c>
      <c r="I52" s="10">
        <v>3000</v>
      </c>
    </row>
    <row r="53" spans="1:10" s="31" customFormat="1" ht="47.25" hidden="1">
      <c r="A53" s="55" t="s">
        <v>23</v>
      </c>
      <c r="B53" s="55">
        <v>2</v>
      </c>
      <c r="C53" s="55" t="s">
        <v>37</v>
      </c>
      <c r="D53" s="55">
        <v>111</v>
      </c>
      <c r="E53" s="11">
        <v>266</v>
      </c>
      <c r="F53" s="8" t="s">
        <v>43</v>
      </c>
      <c r="G53" s="10">
        <v>20000</v>
      </c>
      <c r="H53" s="10">
        <v>20000</v>
      </c>
      <c r="I53" s="10">
        <v>20000</v>
      </c>
    </row>
    <row r="54" spans="1:10" s="18" customFormat="1" ht="47.25" hidden="1">
      <c r="A54" s="55" t="s">
        <v>23</v>
      </c>
      <c r="B54" s="55">
        <v>2</v>
      </c>
      <c r="C54" s="55" t="s">
        <v>45</v>
      </c>
      <c r="D54" s="55">
        <v>112</v>
      </c>
      <c r="E54" s="11">
        <v>266</v>
      </c>
      <c r="F54" s="8" t="s">
        <v>41</v>
      </c>
      <c r="G54" s="13">
        <v>2040</v>
      </c>
      <c r="H54" s="10">
        <v>2040</v>
      </c>
      <c r="I54" s="10">
        <v>1020</v>
      </c>
    </row>
    <row r="55" spans="1:10" s="31" customFormat="1" ht="16.5" hidden="1" customHeight="1">
      <c r="A55" s="55" t="s">
        <v>23</v>
      </c>
      <c r="B55" s="55">
        <v>2</v>
      </c>
      <c r="C55" s="55" t="s">
        <v>45</v>
      </c>
      <c r="D55" s="55">
        <v>112</v>
      </c>
      <c r="E55" s="11">
        <v>214</v>
      </c>
      <c r="F55" s="8" t="s">
        <v>35</v>
      </c>
      <c r="G55" s="10">
        <v>140000</v>
      </c>
      <c r="H55" s="10">
        <v>100000</v>
      </c>
      <c r="I55" s="10">
        <v>140000</v>
      </c>
    </row>
    <row r="56" spans="1:10" s="31" customFormat="1" ht="17.25" hidden="1" customHeight="1">
      <c r="A56" s="55" t="s">
        <v>23</v>
      </c>
      <c r="B56" s="55">
        <v>2</v>
      </c>
      <c r="C56" s="55" t="s">
        <v>45</v>
      </c>
      <c r="D56" s="55">
        <v>112</v>
      </c>
      <c r="E56" s="11">
        <v>212</v>
      </c>
      <c r="F56" s="8" t="s">
        <v>34</v>
      </c>
      <c r="G56" s="10">
        <v>218000</v>
      </c>
      <c r="H56" s="10">
        <v>218000</v>
      </c>
      <c r="I56" s="10">
        <v>218000</v>
      </c>
    </row>
    <row r="57" spans="1:10" s="31" customFormat="1" ht="31.5" hidden="1">
      <c r="A57" s="55" t="s">
        <v>23</v>
      </c>
      <c r="B57" s="55">
        <v>2</v>
      </c>
      <c r="C57" s="55" t="s">
        <v>45</v>
      </c>
      <c r="D57" s="55">
        <v>112</v>
      </c>
      <c r="E57" s="11">
        <v>226</v>
      </c>
      <c r="F57" s="8" t="s">
        <v>42</v>
      </c>
      <c r="G57" s="10">
        <v>660950.93999999994</v>
      </c>
      <c r="H57" s="10">
        <v>660950.93999999994</v>
      </c>
      <c r="I57" s="10">
        <v>660950.93999999994</v>
      </c>
    </row>
    <row r="58" spans="1:10" s="31" customFormat="1" ht="15.75" hidden="1">
      <c r="A58" s="55" t="s">
        <v>23</v>
      </c>
      <c r="B58" s="55">
        <v>2</v>
      </c>
      <c r="C58" s="55" t="s">
        <v>37</v>
      </c>
      <c r="D58" s="55">
        <v>119</v>
      </c>
      <c r="E58" s="11">
        <v>213</v>
      </c>
      <c r="F58" s="8" t="s">
        <v>10</v>
      </c>
      <c r="G58" s="10">
        <v>1296103.3600000001</v>
      </c>
      <c r="H58" s="10">
        <v>1450913.69</v>
      </c>
      <c r="I58" s="10">
        <v>1533302.43</v>
      </c>
      <c r="J58" s="7"/>
    </row>
    <row r="59" spans="1:10" s="31" customFormat="1" ht="31.5" hidden="1">
      <c r="A59" s="55" t="s">
        <v>23</v>
      </c>
      <c r="B59" s="55">
        <v>2</v>
      </c>
      <c r="C59" s="55" t="s">
        <v>45</v>
      </c>
      <c r="D59" s="55">
        <v>119</v>
      </c>
      <c r="E59" s="11">
        <v>213</v>
      </c>
      <c r="F59" s="8" t="s">
        <v>61</v>
      </c>
      <c r="G59" s="10">
        <v>2416</v>
      </c>
      <c r="H59" s="10">
        <v>2416</v>
      </c>
      <c r="I59" s="10">
        <v>906</v>
      </c>
    </row>
    <row r="60" spans="1:10" s="31" customFormat="1" ht="15.75">
      <c r="A60" s="55" t="s">
        <v>23</v>
      </c>
      <c r="B60" s="55">
        <v>2</v>
      </c>
      <c r="C60" s="55" t="s">
        <v>45</v>
      </c>
      <c r="D60" s="55">
        <v>244</v>
      </c>
      <c r="E60" s="11">
        <v>221</v>
      </c>
      <c r="F60" s="8" t="s">
        <v>11</v>
      </c>
      <c r="G60" s="10">
        <v>173870.49</v>
      </c>
      <c r="H60" s="10">
        <v>173870.49</v>
      </c>
      <c r="I60" s="10">
        <v>173870.49</v>
      </c>
    </row>
    <row r="61" spans="1:10" s="31" customFormat="1" ht="15.75">
      <c r="A61" s="55" t="s">
        <v>23</v>
      </c>
      <c r="B61" s="55">
        <v>2</v>
      </c>
      <c r="C61" s="55" t="s">
        <v>45</v>
      </c>
      <c r="D61" s="55">
        <v>244</v>
      </c>
      <c r="E61" s="11">
        <v>225</v>
      </c>
      <c r="F61" s="8" t="s">
        <v>14</v>
      </c>
      <c r="G61" s="10">
        <v>0</v>
      </c>
      <c r="H61" s="10">
        <v>0</v>
      </c>
      <c r="I61" s="10">
        <v>0</v>
      </c>
      <c r="J61" s="3"/>
    </row>
    <row r="62" spans="1:10" s="31" customFormat="1" ht="15.75">
      <c r="A62" s="55" t="s">
        <v>23</v>
      </c>
      <c r="B62" s="55">
        <v>2</v>
      </c>
      <c r="C62" s="55" t="s">
        <v>45</v>
      </c>
      <c r="D62" s="55">
        <v>244</v>
      </c>
      <c r="E62" s="11">
        <v>222</v>
      </c>
      <c r="F62" s="8" t="s">
        <v>12</v>
      </c>
      <c r="G62" s="10">
        <v>348732.24</v>
      </c>
      <c r="H62" s="10">
        <v>484695.52</v>
      </c>
      <c r="I62" s="10">
        <v>484695.52</v>
      </c>
      <c r="J62" s="3"/>
    </row>
    <row r="63" spans="1:10" s="31" customFormat="1" ht="15.75">
      <c r="A63" s="55" t="s">
        <v>23</v>
      </c>
      <c r="B63" s="55">
        <v>2</v>
      </c>
      <c r="C63" s="55" t="s">
        <v>45</v>
      </c>
      <c r="D63" s="55">
        <v>244</v>
      </c>
      <c r="E63" s="11">
        <v>226</v>
      </c>
      <c r="F63" s="8" t="s">
        <v>15</v>
      </c>
      <c r="G63" s="10">
        <v>3008740.27</v>
      </c>
      <c r="H63" s="10">
        <v>3017597.14</v>
      </c>
      <c r="I63" s="10">
        <v>3027155.89</v>
      </c>
      <c r="J63" s="3"/>
    </row>
    <row r="64" spans="1:10" s="30" customFormat="1" ht="15.75">
      <c r="A64" s="55" t="s">
        <v>23</v>
      </c>
      <c r="B64" s="55">
        <v>2</v>
      </c>
      <c r="C64" s="55" t="s">
        <v>46</v>
      </c>
      <c r="D64" s="55">
        <v>244</v>
      </c>
      <c r="E64" s="11">
        <v>226</v>
      </c>
      <c r="F64" s="8" t="s">
        <v>15</v>
      </c>
      <c r="G64" s="10">
        <v>0</v>
      </c>
      <c r="H64" s="10">
        <v>0</v>
      </c>
      <c r="I64" s="10">
        <v>0</v>
      </c>
      <c r="J64" s="65"/>
    </row>
    <row r="65" spans="1:10" s="31" customFormat="1" ht="15.75" hidden="1">
      <c r="A65" s="55" t="s">
        <v>23</v>
      </c>
      <c r="B65" s="55">
        <v>2</v>
      </c>
      <c r="C65" s="55" t="s">
        <v>45</v>
      </c>
      <c r="D65" s="55">
        <v>853</v>
      </c>
      <c r="E65" s="11">
        <v>297</v>
      </c>
      <c r="F65" s="8" t="s">
        <v>38</v>
      </c>
      <c r="G65" s="13">
        <v>6453.17</v>
      </c>
      <c r="H65" s="13">
        <v>7518.21</v>
      </c>
      <c r="I65" s="13">
        <v>7760.08</v>
      </c>
      <c r="J65" s="3"/>
    </row>
    <row r="66" spans="1:10" s="31" customFormat="1" ht="17.25" customHeight="1">
      <c r="A66" s="55" t="s">
        <v>23</v>
      </c>
      <c r="B66" s="55">
        <v>2</v>
      </c>
      <c r="C66" s="55" t="s">
        <v>45</v>
      </c>
      <c r="D66" s="55">
        <v>244</v>
      </c>
      <c r="E66" s="11">
        <v>310</v>
      </c>
      <c r="F66" s="8" t="s">
        <v>20</v>
      </c>
      <c r="G66" s="10">
        <v>1290278.54</v>
      </c>
      <c r="H66" s="10">
        <v>285986.01</v>
      </c>
      <c r="I66" s="10">
        <v>0</v>
      </c>
      <c r="J66" s="3"/>
    </row>
    <row r="67" spans="1:10" s="31" customFormat="1" ht="15.75">
      <c r="A67" s="55" t="s">
        <v>23</v>
      </c>
      <c r="B67" s="55">
        <v>2</v>
      </c>
      <c r="C67" s="55" t="s">
        <v>45</v>
      </c>
      <c r="D67" s="55">
        <v>244</v>
      </c>
      <c r="E67" s="11">
        <v>342</v>
      </c>
      <c r="F67" s="8" t="s">
        <v>39</v>
      </c>
      <c r="G67" s="10">
        <v>33186.160000000003</v>
      </c>
      <c r="H67" s="10">
        <v>33186.160000000003</v>
      </c>
      <c r="I67" s="10">
        <v>33186.160000000003</v>
      </c>
    </row>
    <row r="68" spans="1:10" s="31" customFormat="1" ht="15.75">
      <c r="A68" s="55" t="s">
        <v>23</v>
      </c>
      <c r="B68" s="55">
        <v>2</v>
      </c>
      <c r="C68" s="55" t="s">
        <v>45</v>
      </c>
      <c r="D68" s="55">
        <v>244</v>
      </c>
      <c r="E68" s="11">
        <v>345</v>
      </c>
      <c r="F68" s="8" t="s">
        <v>39</v>
      </c>
      <c r="G68" s="10">
        <v>9117.07</v>
      </c>
      <c r="H68" s="10">
        <v>9117.07</v>
      </c>
      <c r="I68" s="10">
        <v>9117.07</v>
      </c>
    </row>
    <row r="69" spans="1:10" s="31" customFormat="1" ht="15.75">
      <c r="A69" s="55" t="s">
        <v>23</v>
      </c>
      <c r="B69" s="55">
        <v>2</v>
      </c>
      <c r="C69" s="55" t="s">
        <v>45</v>
      </c>
      <c r="D69" s="55">
        <v>244</v>
      </c>
      <c r="E69" s="11">
        <v>346</v>
      </c>
      <c r="F69" s="8" t="s">
        <v>39</v>
      </c>
      <c r="G69" s="10">
        <v>254922.44</v>
      </c>
      <c r="H69" s="10">
        <v>254922.44</v>
      </c>
      <c r="I69" s="10">
        <v>254922.44</v>
      </c>
    </row>
    <row r="70" spans="1:10" s="31" customFormat="1" ht="15.75">
      <c r="A70" s="55" t="s">
        <v>23</v>
      </c>
      <c r="B70" s="55">
        <v>2</v>
      </c>
      <c r="C70" s="55" t="s">
        <v>45</v>
      </c>
      <c r="D70" s="55">
        <v>244</v>
      </c>
      <c r="E70" s="11">
        <v>349</v>
      </c>
      <c r="F70" s="8" t="s">
        <v>39</v>
      </c>
      <c r="G70" s="10">
        <v>926326.4</v>
      </c>
      <c r="H70" s="10">
        <v>926326.4</v>
      </c>
      <c r="I70" s="10">
        <v>926326.4</v>
      </c>
    </row>
    <row r="71" spans="1:10" s="30" customFormat="1" ht="31.5">
      <c r="A71" s="55" t="s">
        <v>23</v>
      </c>
      <c r="B71" s="55">
        <v>2</v>
      </c>
      <c r="C71" s="55" t="s">
        <v>46</v>
      </c>
      <c r="D71" s="55">
        <v>244</v>
      </c>
      <c r="E71" s="11">
        <v>346</v>
      </c>
      <c r="F71" s="8" t="s">
        <v>16</v>
      </c>
      <c r="G71" s="10">
        <v>0</v>
      </c>
      <c r="H71" s="10">
        <v>0</v>
      </c>
      <c r="I71" s="10">
        <v>0</v>
      </c>
    </row>
    <row r="72" spans="1:10" s="31" customFormat="1" ht="15.75" hidden="1">
      <c r="A72" s="1482" t="s">
        <v>17</v>
      </c>
      <c r="B72" s="1482"/>
      <c r="C72" s="1482"/>
      <c r="D72" s="1482"/>
      <c r="E72" s="1482"/>
      <c r="F72" s="1482"/>
      <c r="G72" s="10">
        <f>SUM(G51:G71)</f>
        <v>12701250</v>
      </c>
      <c r="H72" s="10">
        <f>SUM(H51:H71)</f>
        <v>12701250</v>
      </c>
      <c r="I72" s="10">
        <f>SUM(I51:I71)</f>
        <v>12701250</v>
      </c>
    </row>
    <row r="73" spans="1:10" s="31" customFormat="1" ht="15.75" hidden="1">
      <c r="A73" s="1482" t="s">
        <v>24</v>
      </c>
      <c r="B73" s="1482"/>
      <c r="C73" s="1482"/>
      <c r="D73" s="1482"/>
      <c r="E73" s="1482"/>
      <c r="F73" s="1482"/>
      <c r="G73" s="10">
        <f>G49+G72</f>
        <v>70185547.069999993</v>
      </c>
      <c r="H73" s="10">
        <f>H49+H72</f>
        <v>59214283.899999999</v>
      </c>
      <c r="I73" s="10">
        <f>I49+I72</f>
        <v>59344802.270000003</v>
      </c>
    </row>
    <row r="74" spans="1:10" s="31" customFormat="1">
      <c r="A74" s="2"/>
      <c r="B74" s="2"/>
      <c r="C74" s="2"/>
      <c r="D74" s="2"/>
      <c r="E74" s="2"/>
      <c r="F74" s="2"/>
      <c r="G74" s="85"/>
      <c r="H74" s="86"/>
      <c r="I74" s="86"/>
    </row>
    <row r="75" spans="1:10" s="32" customFormat="1" ht="33.75" hidden="1" customHeight="1">
      <c r="A75" s="1480" t="s">
        <v>25</v>
      </c>
      <c r="B75" s="1480"/>
      <c r="C75" s="1480"/>
      <c r="D75" s="69"/>
      <c r="E75" s="1481" t="s">
        <v>32</v>
      </c>
      <c r="F75" s="1481"/>
      <c r="G75" s="72"/>
      <c r="H75" s="74"/>
      <c r="I75" s="74"/>
    </row>
    <row r="76" spans="1:10" s="15" customFormat="1" ht="27" hidden="1" customHeight="1">
      <c r="A76" s="15" t="s">
        <v>27</v>
      </c>
      <c r="G76" s="73"/>
      <c r="H76" s="75"/>
      <c r="I76" s="76"/>
    </row>
    <row r="77" spans="1:10" ht="29.25" customHeight="1"/>
    <row r="306" ht="12.75" hidden="1" customHeight="1"/>
    <row r="322" ht="12.75" hidden="1" customHeight="1"/>
  </sheetData>
  <autoFilter ref="A9:G73">
    <filterColumn colId="1">
      <filters>
        <filter val="2"/>
      </filters>
    </filterColumn>
    <filterColumn colId="3">
      <filters>
        <filter val="244"/>
      </filters>
    </filterColumn>
  </autoFilter>
  <mergeCells count="12">
    <mergeCell ref="A75:C75"/>
    <mergeCell ref="E75:F75"/>
    <mergeCell ref="A5:I5"/>
    <mergeCell ref="A6:I6"/>
    <mergeCell ref="A10:I10"/>
    <mergeCell ref="A45:F45"/>
    <mergeCell ref="A46:G46"/>
    <mergeCell ref="A48:F48"/>
    <mergeCell ref="A49:F49"/>
    <mergeCell ref="A50:G50"/>
    <mergeCell ref="A72:F72"/>
    <mergeCell ref="A73:F73"/>
  </mergeCells>
  <printOptions horizontalCentered="1"/>
  <pageMargins left="0" right="0" top="0" bottom="0" header="0.35433070866141736" footer="0.35433070866141736"/>
  <pageSetup paperSize="9" scale="44" fitToHeight="2" orientation="landscape" r:id="rId1"/>
  <headerFooter alignWithMargins="0"/>
  <rowBreaks count="2" manualBreakCount="2">
    <brk id="49" max="8" man="1"/>
    <brk id="76"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rgb="FF92D050"/>
  </sheetPr>
  <dimension ref="A3:O313"/>
  <sheetViews>
    <sheetView view="pageBreakPreview" topLeftCell="A19" zoomScale="87" zoomScaleNormal="85" zoomScaleSheetLayoutView="87" workbookViewId="0">
      <selection activeCell="H33" sqref="H33"/>
    </sheetView>
  </sheetViews>
  <sheetFormatPr defaultRowHeight="12.75"/>
  <cols>
    <col min="1" max="1" width="12.85546875" style="2" customWidth="1"/>
    <col min="2" max="2" width="7.85546875" style="2" customWidth="1"/>
    <col min="3" max="3" width="24.42578125" style="2" customWidth="1"/>
    <col min="4" max="4" width="8.42578125" style="2" customWidth="1"/>
    <col min="5" max="5" width="8.85546875" style="2" customWidth="1"/>
    <col min="6" max="6" width="46.85546875" style="2" customWidth="1"/>
    <col min="7" max="7" width="16.5703125" style="71" customWidth="1"/>
    <col min="8" max="8" width="15.5703125" style="71" customWidth="1"/>
    <col min="9" max="9" width="15.7109375" style="71" customWidth="1"/>
    <col min="10" max="10" width="23.5703125" style="2" bestFit="1" customWidth="1"/>
    <col min="11" max="13" width="9.140625" style="2"/>
    <col min="14" max="14" width="13.140625" style="2" customWidth="1"/>
    <col min="15" max="15" width="12.7109375" style="2" customWidth="1"/>
    <col min="16" max="249" width="9.140625" style="2"/>
    <col min="250" max="250" width="16.28515625" style="2" customWidth="1"/>
    <col min="251" max="251" width="9.5703125" style="2" customWidth="1"/>
    <col min="252" max="252" width="25.85546875" style="2" customWidth="1"/>
    <col min="253" max="253" width="10.7109375" style="2" customWidth="1"/>
    <col min="254" max="254" width="40.42578125" style="2" customWidth="1"/>
    <col min="255" max="255" width="30.5703125" style="2" customWidth="1"/>
    <col min="256" max="256" width="16.42578125" style="2" customWidth="1"/>
    <col min="257" max="257" width="13" style="2" bestFit="1" customWidth="1"/>
    <col min="258" max="505" width="9.140625" style="2"/>
    <col min="506" max="506" width="16.28515625" style="2" customWidth="1"/>
    <col min="507" max="507" width="9.5703125" style="2" customWidth="1"/>
    <col min="508" max="508" width="25.85546875" style="2" customWidth="1"/>
    <col min="509" max="509" width="10.7109375" style="2" customWidth="1"/>
    <col min="510" max="510" width="40.42578125" style="2" customWidth="1"/>
    <col min="511" max="511" width="30.5703125" style="2" customWidth="1"/>
    <col min="512" max="512" width="16.42578125" style="2" customWidth="1"/>
    <col min="513" max="513" width="13" style="2" bestFit="1" customWidth="1"/>
    <col min="514" max="761" width="9.140625" style="2"/>
    <col min="762" max="762" width="16.28515625" style="2" customWidth="1"/>
    <col min="763" max="763" width="9.5703125" style="2" customWidth="1"/>
    <col min="764" max="764" width="25.85546875" style="2" customWidth="1"/>
    <col min="765" max="765" width="10.7109375" style="2" customWidth="1"/>
    <col min="766" max="766" width="40.42578125" style="2" customWidth="1"/>
    <col min="767" max="767" width="30.5703125" style="2" customWidth="1"/>
    <col min="768" max="768" width="16.42578125" style="2" customWidth="1"/>
    <col min="769" max="769" width="13" style="2" bestFit="1" customWidth="1"/>
    <col min="770" max="1017" width="9.140625" style="2"/>
    <col min="1018" max="1018" width="16.28515625" style="2" customWidth="1"/>
    <col min="1019" max="1019" width="9.5703125" style="2" customWidth="1"/>
    <col min="1020" max="1020" width="25.85546875" style="2" customWidth="1"/>
    <col min="1021" max="1021" width="10.7109375" style="2" customWidth="1"/>
    <col min="1022" max="1022" width="40.42578125" style="2" customWidth="1"/>
    <col min="1023" max="1023" width="30.5703125" style="2" customWidth="1"/>
    <col min="1024" max="1024" width="16.42578125" style="2" customWidth="1"/>
    <col min="1025" max="1025" width="13" style="2" bestFit="1" customWidth="1"/>
    <col min="1026" max="1273" width="9.140625" style="2"/>
    <col min="1274" max="1274" width="16.28515625" style="2" customWidth="1"/>
    <col min="1275" max="1275" width="9.5703125" style="2" customWidth="1"/>
    <col min="1276" max="1276" width="25.85546875" style="2" customWidth="1"/>
    <col min="1277" max="1277" width="10.7109375" style="2" customWidth="1"/>
    <col min="1278" max="1278" width="40.42578125" style="2" customWidth="1"/>
    <col min="1279" max="1279" width="30.5703125" style="2" customWidth="1"/>
    <col min="1280" max="1280" width="16.42578125" style="2" customWidth="1"/>
    <col min="1281" max="1281" width="13" style="2" bestFit="1" customWidth="1"/>
    <col min="1282" max="1529" width="9.140625" style="2"/>
    <col min="1530" max="1530" width="16.28515625" style="2" customWidth="1"/>
    <col min="1531" max="1531" width="9.5703125" style="2" customWidth="1"/>
    <col min="1532" max="1532" width="25.85546875" style="2" customWidth="1"/>
    <col min="1533" max="1533" width="10.7109375" style="2" customWidth="1"/>
    <col min="1534" max="1534" width="40.42578125" style="2" customWidth="1"/>
    <col min="1535" max="1535" width="30.5703125" style="2" customWidth="1"/>
    <col min="1536" max="1536" width="16.42578125" style="2" customWidth="1"/>
    <col min="1537" max="1537" width="13" style="2" bestFit="1" customWidth="1"/>
    <col min="1538" max="1785" width="9.140625" style="2"/>
    <col min="1786" max="1786" width="16.28515625" style="2" customWidth="1"/>
    <col min="1787" max="1787" width="9.5703125" style="2" customWidth="1"/>
    <col min="1788" max="1788" width="25.85546875" style="2" customWidth="1"/>
    <col min="1789" max="1789" width="10.7109375" style="2" customWidth="1"/>
    <col min="1790" max="1790" width="40.42578125" style="2" customWidth="1"/>
    <col min="1791" max="1791" width="30.5703125" style="2" customWidth="1"/>
    <col min="1792" max="1792" width="16.42578125" style="2" customWidth="1"/>
    <col min="1793" max="1793" width="13" style="2" bestFit="1" customWidth="1"/>
    <col min="1794" max="2041" width="9.140625" style="2"/>
    <col min="2042" max="2042" width="16.28515625" style="2" customWidth="1"/>
    <col min="2043" max="2043" width="9.5703125" style="2" customWidth="1"/>
    <col min="2044" max="2044" width="25.85546875" style="2" customWidth="1"/>
    <col min="2045" max="2045" width="10.7109375" style="2" customWidth="1"/>
    <col min="2046" max="2046" width="40.42578125" style="2" customWidth="1"/>
    <col min="2047" max="2047" width="30.5703125" style="2" customWidth="1"/>
    <col min="2048" max="2048" width="16.42578125" style="2" customWidth="1"/>
    <col min="2049" max="2049" width="13" style="2" bestFit="1" customWidth="1"/>
    <col min="2050" max="2297" width="9.140625" style="2"/>
    <col min="2298" max="2298" width="16.28515625" style="2" customWidth="1"/>
    <col min="2299" max="2299" width="9.5703125" style="2" customWidth="1"/>
    <col min="2300" max="2300" width="25.85546875" style="2" customWidth="1"/>
    <col min="2301" max="2301" width="10.7109375" style="2" customWidth="1"/>
    <col min="2302" max="2302" width="40.42578125" style="2" customWidth="1"/>
    <col min="2303" max="2303" width="30.5703125" style="2" customWidth="1"/>
    <col min="2304" max="2304" width="16.42578125" style="2" customWidth="1"/>
    <col min="2305" max="2305" width="13" style="2" bestFit="1" customWidth="1"/>
    <col min="2306" max="2553" width="9.140625" style="2"/>
    <col min="2554" max="2554" width="16.28515625" style="2" customWidth="1"/>
    <col min="2555" max="2555" width="9.5703125" style="2" customWidth="1"/>
    <col min="2556" max="2556" width="25.85546875" style="2" customWidth="1"/>
    <col min="2557" max="2557" width="10.7109375" style="2" customWidth="1"/>
    <col min="2558" max="2558" width="40.42578125" style="2" customWidth="1"/>
    <col min="2559" max="2559" width="30.5703125" style="2" customWidth="1"/>
    <col min="2560" max="2560" width="16.42578125" style="2" customWidth="1"/>
    <col min="2561" max="2561" width="13" style="2" bestFit="1" customWidth="1"/>
    <col min="2562" max="2809" width="9.140625" style="2"/>
    <col min="2810" max="2810" width="16.28515625" style="2" customWidth="1"/>
    <col min="2811" max="2811" width="9.5703125" style="2" customWidth="1"/>
    <col min="2812" max="2812" width="25.85546875" style="2" customWidth="1"/>
    <col min="2813" max="2813" width="10.7109375" style="2" customWidth="1"/>
    <col min="2814" max="2814" width="40.42578125" style="2" customWidth="1"/>
    <col min="2815" max="2815" width="30.5703125" style="2" customWidth="1"/>
    <col min="2816" max="2816" width="16.42578125" style="2" customWidth="1"/>
    <col min="2817" max="2817" width="13" style="2" bestFit="1" customWidth="1"/>
    <col min="2818" max="3065" width="9.140625" style="2"/>
    <col min="3066" max="3066" width="16.28515625" style="2" customWidth="1"/>
    <col min="3067" max="3067" width="9.5703125" style="2" customWidth="1"/>
    <col min="3068" max="3068" width="25.85546875" style="2" customWidth="1"/>
    <col min="3069" max="3069" width="10.7109375" style="2" customWidth="1"/>
    <col min="3070" max="3070" width="40.42578125" style="2" customWidth="1"/>
    <col min="3071" max="3071" width="30.5703125" style="2" customWidth="1"/>
    <col min="3072" max="3072" width="16.42578125" style="2" customWidth="1"/>
    <col min="3073" max="3073" width="13" style="2" bestFit="1" customWidth="1"/>
    <col min="3074" max="3321" width="9.140625" style="2"/>
    <col min="3322" max="3322" width="16.28515625" style="2" customWidth="1"/>
    <col min="3323" max="3323" width="9.5703125" style="2" customWidth="1"/>
    <col min="3324" max="3324" width="25.85546875" style="2" customWidth="1"/>
    <col min="3325" max="3325" width="10.7109375" style="2" customWidth="1"/>
    <col min="3326" max="3326" width="40.42578125" style="2" customWidth="1"/>
    <col min="3327" max="3327" width="30.5703125" style="2" customWidth="1"/>
    <col min="3328" max="3328" width="16.42578125" style="2" customWidth="1"/>
    <col min="3329" max="3329" width="13" style="2" bestFit="1" customWidth="1"/>
    <col min="3330" max="3577" width="9.140625" style="2"/>
    <col min="3578" max="3578" width="16.28515625" style="2" customWidth="1"/>
    <col min="3579" max="3579" width="9.5703125" style="2" customWidth="1"/>
    <col min="3580" max="3580" width="25.85546875" style="2" customWidth="1"/>
    <col min="3581" max="3581" width="10.7109375" style="2" customWidth="1"/>
    <col min="3582" max="3582" width="40.42578125" style="2" customWidth="1"/>
    <col min="3583" max="3583" width="30.5703125" style="2" customWidth="1"/>
    <col min="3584" max="3584" width="16.42578125" style="2" customWidth="1"/>
    <col min="3585" max="3585" width="13" style="2" bestFit="1" customWidth="1"/>
    <col min="3586" max="3833" width="9.140625" style="2"/>
    <col min="3834" max="3834" width="16.28515625" style="2" customWidth="1"/>
    <col min="3835" max="3835" width="9.5703125" style="2" customWidth="1"/>
    <col min="3836" max="3836" width="25.85546875" style="2" customWidth="1"/>
    <col min="3837" max="3837" width="10.7109375" style="2" customWidth="1"/>
    <col min="3838" max="3838" width="40.42578125" style="2" customWidth="1"/>
    <col min="3839" max="3839" width="30.5703125" style="2" customWidth="1"/>
    <col min="3840" max="3840" width="16.42578125" style="2" customWidth="1"/>
    <col min="3841" max="3841" width="13" style="2" bestFit="1" customWidth="1"/>
    <col min="3842" max="4089" width="9.140625" style="2"/>
    <col min="4090" max="4090" width="16.28515625" style="2" customWidth="1"/>
    <col min="4091" max="4091" width="9.5703125" style="2" customWidth="1"/>
    <col min="4092" max="4092" width="25.85546875" style="2" customWidth="1"/>
    <col min="4093" max="4093" width="10.7109375" style="2" customWidth="1"/>
    <col min="4094" max="4094" width="40.42578125" style="2" customWidth="1"/>
    <col min="4095" max="4095" width="30.5703125" style="2" customWidth="1"/>
    <col min="4096" max="4096" width="16.42578125" style="2" customWidth="1"/>
    <col min="4097" max="4097" width="13" style="2" bestFit="1" customWidth="1"/>
    <col min="4098" max="4345" width="9.140625" style="2"/>
    <col min="4346" max="4346" width="16.28515625" style="2" customWidth="1"/>
    <col min="4347" max="4347" width="9.5703125" style="2" customWidth="1"/>
    <col min="4348" max="4348" width="25.85546875" style="2" customWidth="1"/>
    <col min="4349" max="4349" width="10.7109375" style="2" customWidth="1"/>
    <col min="4350" max="4350" width="40.42578125" style="2" customWidth="1"/>
    <col min="4351" max="4351" width="30.5703125" style="2" customWidth="1"/>
    <col min="4352" max="4352" width="16.42578125" style="2" customWidth="1"/>
    <col min="4353" max="4353" width="13" style="2" bestFit="1" customWidth="1"/>
    <col min="4354" max="4601" width="9.140625" style="2"/>
    <col min="4602" max="4602" width="16.28515625" style="2" customWidth="1"/>
    <col min="4603" max="4603" width="9.5703125" style="2" customWidth="1"/>
    <col min="4604" max="4604" width="25.85546875" style="2" customWidth="1"/>
    <col min="4605" max="4605" width="10.7109375" style="2" customWidth="1"/>
    <col min="4606" max="4606" width="40.42578125" style="2" customWidth="1"/>
    <col min="4607" max="4607" width="30.5703125" style="2" customWidth="1"/>
    <col min="4608" max="4608" width="16.42578125" style="2" customWidth="1"/>
    <col min="4609" max="4609" width="13" style="2" bestFit="1" customWidth="1"/>
    <col min="4610" max="4857" width="9.140625" style="2"/>
    <col min="4858" max="4858" width="16.28515625" style="2" customWidth="1"/>
    <col min="4859" max="4859" width="9.5703125" style="2" customWidth="1"/>
    <col min="4860" max="4860" width="25.85546875" style="2" customWidth="1"/>
    <col min="4861" max="4861" width="10.7109375" style="2" customWidth="1"/>
    <col min="4862" max="4862" width="40.42578125" style="2" customWidth="1"/>
    <col min="4863" max="4863" width="30.5703125" style="2" customWidth="1"/>
    <col min="4864" max="4864" width="16.42578125" style="2" customWidth="1"/>
    <col min="4865" max="4865" width="13" style="2" bestFit="1" customWidth="1"/>
    <col min="4866" max="5113" width="9.140625" style="2"/>
    <col min="5114" max="5114" width="16.28515625" style="2" customWidth="1"/>
    <col min="5115" max="5115" width="9.5703125" style="2" customWidth="1"/>
    <col min="5116" max="5116" width="25.85546875" style="2" customWidth="1"/>
    <col min="5117" max="5117" width="10.7109375" style="2" customWidth="1"/>
    <col min="5118" max="5118" width="40.42578125" style="2" customWidth="1"/>
    <col min="5119" max="5119" width="30.5703125" style="2" customWidth="1"/>
    <col min="5120" max="5120" width="16.42578125" style="2" customWidth="1"/>
    <col min="5121" max="5121" width="13" style="2" bestFit="1" customWidth="1"/>
    <col min="5122" max="5369" width="9.140625" style="2"/>
    <col min="5370" max="5370" width="16.28515625" style="2" customWidth="1"/>
    <col min="5371" max="5371" width="9.5703125" style="2" customWidth="1"/>
    <col min="5372" max="5372" width="25.85546875" style="2" customWidth="1"/>
    <col min="5373" max="5373" width="10.7109375" style="2" customWidth="1"/>
    <col min="5374" max="5374" width="40.42578125" style="2" customWidth="1"/>
    <col min="5375" max="5375" width="30.5703125" style="2" customWidth="1"/>
    <col min="5376" max="5376" width="16.42578125" style="2" customWidth="1"/>
    <col min="5377" max="5377" width="13" style="2" bestFit="1" customWidth="1"/>
    <col min="5378" max="5625" width="9.140625" style="2"/>
    <col min="5626" max="5626" width="16.28515625" style="2" customWidth="1"/>
    <col min="5627" max="5627" width="9.5703125" style="2" customWidth="1"/>
    <col min="5628" max="5628" width="25.85546875" style="2" customWidth="1"/>
    <col min="5629" max="5629" width="10.7109375" style="2" customWidth="1"/>
    <col min="5630" max="5630" width="40.42578125" style="2" customWidth="1"/>
    <col min="5631" max="5631" width="30.5703125" style="2" customWidth="1"/>
    <col min="5632" max="5632" width="16.42578125" style="2" customWidth="1"/>
    <col min="5633" max="5633" width="13" style="2" bestFit="1" customWidth="1"/>
    <col min="5634" max="5881" width="9.140625" style="2"/>
    <col min="5882" max="5882" width="16.28515625" style="2" customWidth="1"/>
    <col min="5883" max="5883" width="9.5703125" style="2" customWidth="1"/>
    <col min="5884" max="5884" width="25.85546875" style="2" customWidth="1"/>
    <col min="5885" max="5885" width="10.7109375" style="2" customWidth="1"/>
    <col min="5886" max="5886" width="40.42578125" style="2" customWidth="1"/>
    <col min="5887" max="5887" width="30.5703125" style="2" customWidth="1"/>
    <col min="5888" max="5888" width="16.42578125" style="2" customWidth="1"/>
    <col min="5889" max="5889" width="13" style="2" bestFit="1" customWidth="1"/>
    <col min="5890" max="6137" width="9.140625" style="2"/>
    <col min="6138" max="6138" width="16.28515625" style="2" customWidth="1"/>
    <col min="6139" max="6139" width="9.5703125" style="2" customWidth="1"/>
    <col min="6140" max="6140" width="25.85546875" style="2" customWidth="1"/>
    <col min="6141" max="6141" width="10.7109375" style="2" customWidth="1"/>
    <col min="6142" max="6142" width="40.42578125" style="2" customWidth="1"/>
    <col min="6143" max="6143" width="30.5703125" style="2" customWidth="1"/>
    <col min="6144" max="6144" width="16.42578125" style="2" customWidth="1"/>
    <col min="6145" max="6145" width="13" style="2" bestFit="1" customWidth="1"/>
    <col min="6146" max="6393" width="9.140625" style="2"/>
    <col min="6394" max="6394" width="16.28515625" style="2" customWidth="1"/>
    <col min="6395" max="6395" width="9.5703125" style="2" customWidth="1"/>
    <col min="6396" max="6396" width="25.85546875" style="2" customWidth="1"/>
    <col min="6397" max="6397" width="10.7109375" style="2" customWidth="1"/>
    <col min="6398" max="6398" width="40.42578125" style="2" customWidth="1"/>
    <col min="6399" max="6399" width="30.5703125" style="2" customWidth="1"/>
    <col min="6400" max="6400" width="16.42578125" style="2" customWidth="1"/>
    <col min="6401" max="6401" width="13" style="2" bestFit="1" customWidth="1"/>
    <col min="6402" max="6649" width="9.140625" style="2"/>
    <col min="6650" max="6650" width="16.28515625" style="2" customWidth="1"/>
    <col min="6651" max="6651" width="9.5703125" style="2" customWidth="1"/>
    <col min="6652" max="6652" width="25.85546875" style="2" customWidth="1"/>
    <col min="6653" max="6653" width="10.7109375" style="2" customWidth="1"/>
    <col min="6654" max="6654" width="40.42578125" style="2" customWidth="1"/>
    <col min="6655" max="6655" width="30.5703125" style="2" customWidth="1"/>
    <col min="6656" max="6656" width="16.42578125" style="2" customWidth="1"/>
    <col min="6657" max="6657" width="13" style="2" bestFit="1" customWidth="1"/>
    <col min="6658" max="6905" width="9.140625" style="2"/>
    <col min="6906" max="6906" width="16.28515625" style="2" customWidth="1"/>
    <col min="6907" max="6907" width="9.5703125" style="2" customWidth="1"/>
    <col min="6908" max="6908" width="25.85546875" style="2" customWidth="1"/>
    <col min="6909" max="6909" width="10.7109375" style="2" customWidth="1"/>
    <col min="6910" max="6910" width="40.42578125" style="2" customWidth="1"/>
    <col min="6911" max="6911" width="30.5703125" style="2" customWidth="1"/>
    <col min="6912" max="6912" width="16.42578125" style="2" customWidth="1"/>
    <col min="6913" max="6913" width="13" style="2" bestFit="1" customWidth="1"/>
    <col min="6914" max="7161" width="9.140625" style="2"/>
    <col min="7162" max="7162" width="16.28515625" style="2" customWidth="1"/>
    <col min="7163" max="7163" width="9.5703125" style="2" customWidth="1"/>
    <col min="7164" max="7164" width="25.85546875" style="2" customWidth="1"/>
    <col min="7165" max="7165" width="10.7109375" style="2" customWidth="1"/>
    <col min="7166" max="7166" width="40.42578125" style="2" customWidth="1"/>
    <col min="7167" max="7167" width="30.5703125" style="2" customWidth="1"/>
    <col min="7168" max="7168" width="16.42578125" style="2" customWidth="1"/>
    <col min="7169" max="7169" width="13" style="2" bestFit="1" customWidth="1"/>
    <col min="7170" max="7417" width="9.140625" style="2"/>
    <col min="7418" max="7418" width="16.28515625" style="2" customWidth="1"/>
    <col min="7419" max="7419" width="9.5703125" style="2" customWidth="1"/>
    <col min="7420" max="7420" width="25.85546875" style="2" customWidth="1"/>
    <col min="7421" max="7421" width="10.7109375" style="2" customWidth="1"/>
    <col min="7422" max="7422" width="40.42578125" style="2" customWidth="1"/>
    <col min="7423" max="7423" width="30.5703125" style="2" customWidth="1"/>
    <col min="7424" max="7424" width="16.42578125" style="2" customWidth="1"/>
    <col min="7425" max="7425" width="13" style="2" bestFit="1" customWidth="1"/>
    <col min="7426" max="7673" width="9.140625" style="2"/>
    <col min="7674" max="7674" width="16.28515625" style="2" customWidth="1"/>
    <col min="7675" max="7675" width="9.5703125" style="2" customWidth="1"/>
    <col min="7676" max="7676" width="25.85546875" style="2" customWidth="1"/>
    <col min="7677" max="7677" width="10.7109375" style="2" customWidth="1"/>
    <col min="7678" max="7678" width="40.42578125" style="2" customWidth="1"/>
    <col min="7679" max="7679" width="30.5703125" style="2" customWidth="1"/>
    <col min="7680" max="7680" width="16.42578125" style="2" customWidth="1"/>
    <col min="7681" max="7681" width="13" style="2" bestFit="1" customWidth="1"/>
    <col min="7682" max="7929" width="9.140625" style="2"/>
    <col min="7930" max="7930" width="16.28515625" style="2" customWidth="1"/>
    <col min="7931" max="7931" width="9.5703125" style="2" customWidth="1"/>
    <col min="7932" max="7932" width="25.85546875" style="2" customWidth="1"/>
    <col min="7933" max="7933" width="10.7109375" style="2" customWidth="1"/>
    <col min="7934" max="7934" width="40.42578125" style="2" customWidth="1"/>
    <col min="7935" max="7935" width="30.5703125" style="2" customWidth="1"/>
    <col min="7936" max="7936" width="16.42578125" style="2" customWidth="1"/>
    <col min="7937" max="7937" width="13" style="2" bestFit="1" customWidth="1"/>
    <col min="7938" max="8185" width="9.140625" style="2"/>
    <col min="8186" max="8186" width="16.28515625" style="2" customWidth="1"/>
    <col min="8187" max="8187" width="9.5703125" style="2" customWidth="1"/>
    <col min="8188" max="8188" width="25.85546875" style="2" customWidth="1"/>
    <col min="8189" max="8189" width="10.7109375" style="2" customWidth="1"/>
    <col min="8190" max="8190" width="40.42578125" style="2" customWidth="1"/>
    <col min="8191" max="8191" width="30.5703125" style="2" customWidth="1"/>
    <col min="8192" max="8192" width="16.42578125" style="2" customWidth="1"/>
    <col min="8193" max="8193" width="13" style="2" bestFit="1" customWidth="1"/>
    <col min="8194" max="8441" width="9.140625" style="2"/>
    <col min="8442" max="8442" width="16.28515625" style="2" customWidth="1"/>
    <col min="8443" max="8443" width="9.5703125" style="2" customWidth="1"/>
    <col min="8444" max="8444" width="25.85546875" style="2" customWidth="1"/>
    <col min="8445" max="8445" width="10.7109375" style="2" customWidth="1"/>
    <col min="8446" max="8446" width="40.42578125" style="2" customWidth="1"/>
    <col min="8447" max="8447" width="30.5703125" style="2" customWidth="1"/>
    <col min="8448" max="8448" width="16.42578125" style="2" customWidth="1"/>
    <col min="8449" max="8449" width="13" style="2" bestFit="1" customWidth="1"/>
    <col min="8450" max="8697" width="9.140625" style="2"/>
    <col min="8698" max="8698" width="16.28515625" style="2" customWidth="1"/>
    <col min="8699" max="8699" width="9.5703125" style="2" customWidth="1"/>
    <col min="8700" max="8700" width="25.85546875" style="2" customWidth="1"/>
    <col min="8701" max="8701" width="10.7109375" style="2" customWidth="1"/>
    <col min="8702" max="8702" width="40.42578125" style="2" customWidth="1"/>
    <col min="8703" max="8703" width="30.5703125" style="2" customWidth="1"/>
    <col min="8704" max="8704" width="16.42578125" style="2" customWidth="1"/>
    <col min="8705" max="8705" width="13" style="2" bestFit="1" customWidth="1"/>
    <col min="8706" max="8953" width="9.140625" style="2"/>
    <col min="8954" max="8954" width="16.28515625" style="2" customWidth="1"/>
    <col min="8955" max="8955" width="9.5703125" style="2" customWidth="1"/>
    <col min="8956" max="8956" width="25.85546875" style="2" customWidth="1"/>
    <col min="8957" max="8957" width="10.7109375" style="2" customWidth="1"/>
    <col min="8958" max="8958" width="40.42578125" style="2" customWidth="1"/>
    <col min="8959" max="8959" width="30.5703125" style="2" customWidth="1"/>
    <col min="8960" max="8960" width="16.42578125" style="2" customWidth="1"/>
    <col min="8961" max="8961" width="13" style="2" bestFit="1" customWidth="1"/>
    <col min="8962" max="9209" width="9.140625" style="2"/>
    <col min="9210" max="9210" width="16.28515625" style="2" customWidth="1"/>
    <col min="9211" max="9211" width="9.5703125" style="2" customWidth="1"/>
    <col min="9212" max="9212" width="25.85546875" style="2" customWidth="1"/>
    <col min="9213" max="9213" width="10.7109375" style="2" customWidth="1"/>
    <col min="9214" max="9214" width="40.42578125" style="2" customWidth="1"/>
    <col min="9215" max="9215" width="30.5703125" style="2" customWidth="1"/>
    <col min="9216" max="9216" width="16.42578125" style="2" customWidth="1"/>
    <col min="9217" max="9217" width="13" style="2" bestFit="1" customWidth="1"/>
    <col min="9218" max="9465" width="9.140625" style="2"/>
    <col min="9466" max="9466" width="16.28515625" style="2" customWidth="1"/>
    <col min="9467" max="9467" width="9.5703125" style="2" customWidth="1"/>
    <col min="9468" max="9468" width="25.85546875" style="2" customWidth="1"/>
    <col min="9469" max="9469" width="10.7109375" style="2" customWidth="1"/>
    <col min="9470" max="9470" width="40.42578125" style="2" customWidth="1"/>
    <col min="9471" max="9471" width="30.5703125" style="2" customWidth="1"/>
    <col min="9472" max="9472" width="16.42578125" style="2" customWidth="1"/>
    <col min="9473" max="9473" width="13" style="2" bestFit="1" customWidth="1"/>
    <col min="9474" max="9721" width="9.140625" style="2"/>
    <col min="9722" max="9722" width="16.28515625" style="2" customWidth="1"/>
    <col min="9723" max="9723" width="9.5703125" style="2" customWidth="1"/>
    <col min="9724" max="9724" width="25.85546875" style="2" customWidth="1"/>
    <col min="9725" max="9725" width="10.7109375" style="2" customWidth="1"/>
    <col min="9726" max="9726" width="40.42578125" style="2" customWidth="1"/>
    <col min="9727" max="9727" width="30.5703125" style="2" customWidth="1"/>
    <col min="9728" max="9728" width="16.42578125" style="2" customWidth="1"/>
    <col min="9729" max="9729" width="13" style="2" bestFit="1" customWidth="1"/>
    <col min="9730" max="9977" width="9.140625" style="2"/>
    <col min="9978" max="9978" width="16.28515625" style="2" customWidth="1"/>
    <col min="9979" max="9979" width="9.5703125" style="2" customWidth="1"/>
    <col min="9980" max="9980" width="25.85546875" style="2" customWidth="1"/>
    <col min="9981" max="9981" width="10.7109375" style="2" customWidth="1"/>
    <col min="9982" max="9982" width="40.42578125" style="2" customWidth="1"/>
    <col min="9983" max="9983" width="30.5703125" style="2" customWidth="1"/>
    <col min="9984" max="9984" width="16.42578125" style="2" customWidth="1"/>
    <col min="9985" max="9985" width="13" style="2" bestFit="1" customWidth="1"/>
    <col min="9986" max="10233" width="9.140625" style="2"/>
    <col min="10234" max="10234" width="16.28515625" style="2" customWidth="1"/>
    <col min="10235" max="10235" width="9.5703125" style="2" customWidth="1"/>
    <col min="10236" max="10236" width="25.85546875" style="2" customWidth="1"/>
    <col min="10237" max="10237" width="10.7109375" style="2" customWidth="1"/>
    <col min="10238" max="10238" width="40.42578125" style="2" customWidth="1"/>
    <col min="10239" max="10239" width="30.5703125" style="2" customWidth="1"/>
    <col min="10240" max="10240" width="16.42578125" style="2" customWidth="1"/>
    <col min="10241" max="10241" width="13" style="2" bestFit="1" customWidth="1"/>
    <col min="10242" max="10489" width="9.140625" style="2"/>
    <col min="10490" max="10490" width="16.28515625" style="2" customWidth="1"/>
    <col min="10491" max="10491" width="9.5703125" style="2" customWidth="1"/>
    <col min="10492" max="10492" width="25.85546875" style="2" customWidth="1"/>
    <col min="10493" max="10493" width="10.7109375" style="2" customWidth="1"/>
    <col min="10494" max="10494" width="40.42578125" style="2" customWidth="1"/>
    <col min="10495" max="10495" width="30.5703125" style="2" customWidth="1"/>
    <col min="10496" max="10496" width="16.42578125" style="2" customWidth="1"/>
    <col min="10497" max="10497" width="13" style="2" bestFit="1" customWidth="1"/>
    <col min="10498" max="10745" width="9.140625" style="2"/>
    <col min="10746" max="10746" width="16.28515625" style="2" customWidth="1"/>
    <col min="10747" max="10747" width="9.5703125" style="2" customWidth="1"/>
    <col min="10748" max="10748" width="25.85546875" style="2" customWidth="1"/>
    <col min="10749" max="10749" width="10.7109375" style="2" customWidth="1"/>
    <col min="10750" max="10750" width="40.42578125" style="2" customWidth="1"/>
    <col min="10751" max="10751" width="30.5703125" style="2" customWidth="1"/>
    <col min="10752" max="10752" width="16.42578125" style="2" customWidth="1"/>
    <col min="10753" max="10753" width="13" style="2" bestFit="1" customWidth="1"/>
    <col min="10754" max="11001" width="9.140625" style="2"/>
    <col min="11002" max="11002" width="16.28515625" style="2" customWidth="1"/>
    <col min="11003" max="11003" width="9.5703125" style="2" customWidth="1"/>
    <col min="11004" max="11004" width="25.85546875" style="2" customWidth="1"/>
    <col min="11005" max="11005" width="10.7109375" style="2" customWidth="1"/>
    <col min="11006" max="11006" width="40.42578125" style="2" customWidth="1"/>
    <col min="11007" max="11007" width="30.5703125" style="2" customWidth="1"/>
    <col min="11008" max="11008" width="16.42578125" style="2" customWidth="1"/>
    <col min="11009" max="11009" width="13" style="2" bestFit="1" customWidth="1"/>
    <col min="11010" max="11257" width="9.140625" style="2"/>
    <col min="11258" max="11258" width="16.28515625" style="2" customWidth="1"/>
    <col min="11259" max="11259" width="9.5703125" style="2" customWidth="1"/>
    <col min="11260" max="11260" width="25.85546875" style="2" customWidth="1"/>
    <col min="11261" max="11261" width="10.7109375" style="2" customWidth="1"/>
    <col min="11262" max="11262" width="40.42578125" style="2" customWidth="1"/>
    <col min="11263" max="11263" width="30.5703125" style="2" customWidth="1"/>
    <col min="11264" max="11264" width="16.42578125" style="2" customWidth="1"/>
    <col min="11265" max="11265" width="13" style="2" bestFit="1" customWidth="1"/>
    <col min="11266" max="11513" width="9.140625" style="2"/>
    <col min="11514" max="11514" width="16.28515625" style="2" customWidth="1"/>
    <col min="11515" max="11515" width="9.5703125" style="2" customWidth="1"/>
    <col min="11516" max="11516" width="25.85546875" style="2" customWidth="1"/>
    <col min="11517" max="11517" width="10.7109375" style="2" customWidth="1"/>
    <col min="11518" max="11518" width="40.42578125" style="2" customWidth="1"/>
    <col min="11519" max="11519" width="30.5703125" style="2" customWidth="1"/>
    <col min="11520" max="11520" width="16.42578125" style="2" customWidth="1"/>
    <col min="11521" max="11521" width="13" style="2" bestFit="1" customWidth="1"/>
    <col min="11522" max="11769" width="9.140625" style="2"/>
    <col min="11770" max="11770" width="16.28515625" style="2" customWidth="1"/>
    <col min="11771" max="11771" width="9.5703125" style="2" customWidth="1"/>
    <col min="11772" max="11772" width="25.85546875" style="2" customWidth="1"/>
    <col min="11773" max="11773" width="10.7109375" style="2" customWidth="1"/>
    <col min="11774" max="11774" width="40.42578125" style="2" customWidth="1"/>
    <col min="11775" max="11775" width="30.5703125" style="2" customWidth="1"/>
    <col min="11776" max="11776" width="16.42578125" style="2" customWidth="1"/>
    <col min="11777" max="11777" width="13" style="2" bestFit="1" customWidth="1"/>
    <col min="11778" max="12025" width="9.140625" style="2"/>
    <col min="12026" max="12026" width="16.28515625" style="2" customWidth="1"/>
    <col min="12027" max="12027" width="9.5703125" style="2" customWidth="1"/>
    <col min="12028" max="12028" width="25.85546875" style="2" customWidth="1"/>
    <col min="12029" max="12029" width="10.7109375" style="2" customWidth="1"/>
    <col min="12030" max="12030" width="40.42578125" style="2" customWidth="1"/>
    <col min="12031" max="12031" width="30.5703125" style="2" customWidth="1"/>
    <col min="12032" max="12032" width="16.42578125" style="2" customWidth="1"/>
    <col min="12033" max="12033" width="13" style="2" bestFit="1" customWidth="1"/>
    <col min="12034" max="12281" width="9.140625" style="2"/>
    <col min="12282" max="12282" width="16.28515625" style="2" customWidth="1"/>
    <col min="12283" max="12283" width="9.5703125" style="2" customWidth="1"/>
    <col min="12284" max="12284" width="25.85546875" style="2" customWidth="1"/>
    <col min="12285" max="12285" width="10.7109375" style="2" customWidth="1"/>
    <col min="12286" max="12286" width="40.42578125" style="2" customWidth="1"/>
    <col min="12287" max="12287" width="30.5703125" style="2" customWidth="1"/>
    <col min="12288" max="12288" width="16.42578125" style="2" customWidth="1"/>
    <col min="12289" max="12289" width="13" style="2" bestFit="1" customWidth="1"/>
    <col min="12290" max="12537" width="9.140625" style="2"/>
    <col min="12538" max="12538" width="16.28515625" style="2" customWidth="1"/>
    <col min="12539" max="12539" width="9.5703125" style="2" customWidth="1"/>
    <col min="12540" max="12540" width="25.85546875" style="2" customWidth="1"/>
    <col min="12541" max="12541" width="10.7109375" style="2" customWidth="1"/>
    <col min="12542" max="12542" width="40.42578125" style="2" customWidth="1"/>
    <col min="12543" max="12543" width="30.5703125" style="2" customWidth="1"/>
    <col min="12544" max="12544" width="16.42578125" style="2" customWidth="1"/>
    <col min="12545" max="12545" width="13" style="2" bestFit="1" customWidth="1"/>
    <col min="12546" max="12793" width="9.140625" style="2"/>
    <col min="12794" max="12794" width="16.28515625" style="2" customWidth="1"/>
    <col min="12795" max="12795" width="9.5703125" style="2" customWidth="1"/>
    <col min="12796" max="12796" width="25.85546875" style="2" customWidth="1"/>
    <col min="12797" max="12797" width="10.7109375" style="2" customWidth="1"/>
    <col min="12798" max="12798" width="40.42578125" style="2" customWidth="1"/>
    <col min="12799" max="12799" width="30.5703125" style="2" customWidth="1"/>
    <col min="12800" max="12800" width="16.42578125" style="2" customWidth="1"/>
    <col min="12801" max="12801" width="13" style="2" bestFit="1" customWidth="1"/>
    <col min="12802" max="13049" width="9.140625" style="2"/>
    <col min="13050" max="13050" width="16.28515625" style="2" customWidth="1"/>
    <col min="13051" max="13051" width="9.5703125" style="2" customWidth="1"/>
    <col min="13052" max="13052" width="25.85546875" style="2" customWidth="1"/>
    <col min="13053" max="13053" width="10.7109375" style="2" customWidth="1"/>
    <col min="13054" max="13054" width="40.42578125" style="2" customWidth="1"/>
    <col min="13055" max="13055" width="30.5703125" style="2" customWidth="1"/>
    <col min="13056" max="13056" width="16.42578125" style="2" customWidth="1"/>
    <col min="13057" max="13057" width="13" style="2" bestFit="1" customWidth="1"/>
    <col min="13058" max="13305" width="9.140625" style="2"/>
    <col min="13306" max="13306" width="16.28515625" style="2" customWidth="1"/>
    <col min="13307" max="13307" width="9.5703125" style="2" customWidth="1"/>
    <col min="13308" max="13308" width="25.85546875" style="2" customWidth="1"/>
    <col min="13309" max="13309" width="10.7109375" style="2" customWidth="1"/>
    <col min="13310" max="13310" width="40.42578125" style="2" customWidth="1"/>
    <col min="13311" max="13311" width="30.5703125" style="2" customWidth="1"/>
    <col min="13312" max="13312" width="16.42578125" style="2" customWidth="1"/>
    <col min="13313" max="13313" width="13" style="2" bestFit="1" customWidth="1"/>
    <col min="13314" max="13561" width="9.140625" style="2"/>
    <col min="13562" max="13562" width="16.28515625" style="2" customWidth="1"/>
    <col min="13563" max="13563" width="9.5703125" style="2" customWidth="1"/>
    <col min="13564" max="13564" width="25.85546875" style="2" customWidth="1"/>
    <col min="13565" max="13565" width="10.7109375" style="2" customWidth="1"/>
    <col min="13566" max="13566" width="40.42578125" style="2" customWidth="1"/>
    <col min="13567" max="13567" width="30.5703125" style="2" customWidth="1"/>
    <col min="13568" max="13568" width="16.42578125" style="2" customWidth="1"/>
    <col min="13569" max="13569" width="13" style="2" bestFit="1" customWidth="1"/>
    <col min="13570" max="13817" width="9.140625" style="2"/>
    <col min="13818" max="13818" width="16.28515625" style="2" customWidth="1"/>
    <col min="13819" max="13819" width="9.5703125" style="2" customWidth="1"/>
    <col min="13820" max="13820" width="25.85546875" style="2" customWidth="1"/>
    <col min="13821" max="13821" width="10.7109375" style="2" customWidth="1"/>
    <col min="13822" max="13822" width="40.42578125" style="2" customWidth="1"/>
    <col min="13823" max="13823" width="30.5703125" style="2" customWidth="1"/>
    <col min="13824" max="13824" width="16.42578125" style="2" customWidth="1"/>
    <col min="13825" max="13825" width="13" style="2" bestFit="1" customWidth="1"/>
    <col min="13826" max="14073" width="9.140625" style="2"/>
    <col min="14074" max="14074" width="16.28515625" style="2" customWidth="1"/>
    <col min="14075" max="14075" width="9.5703125" style="2" customWidth="1"/>
    <col min="14076" max="14076" width="25.85546875" style="2" customWidth="1"/>
    <col min="14077" max="14077" width="10.7109375" style="2" customWidth="1"/>
    <col min="14078" max="14078" width="40.42578125" style="2" customWidth="1"/>
    <col min="14079" max="14079" width="30.5703125" style="2" customWidth="1"/>
    <col min="14080" max="14080" width="16.42578125" style="2" customWidth="1"/>
    <col min="14081" max="14081" width="13" style="2" bestFit="1" customWidth="1"/>
    <col min="14082" max="14329" width="9.140625" style="2"/>
    <col min="14330" max="14330" width="16.28515625" style="2" customWidth="1"/>
    <col min="14331" max="14331" width="9.5703125" style="2" customWidth="1"/>
    <col min="14332" max="14332" width="25.85546875" style="2" customWidth="1"/>
    <col min="14333" max="14333" width="10.7109375" style="2" customWidth="1"/>
    <col min="14334" max="14334" width="40.42578125" style="2" customWidth="1"/>
    <col min="14335" max="14335" width="30.5703125" style="2" customWidth="1"/>
    <col min="14336" max="14336" width="16.42578125" style="2" customWidth="1"/>
    <col min="14337" max="14337" width="13" style="2" bestFit="1" customWidth="1"/>
    <col min="14338" max="14585" width="9.140625" style="2"/>
    <col min="14586" max="14586" width="16.28515625" style="2" customWidth="1"/>
    <col min="14587" max="14587" width="9.5703125" style="2" customWidth="1"/>
    <col min="14588" max="14588" width="25.85546875" style="2" customWidth="1"/>
    <col min="14589" max="14589" width="10.7109375" style="2" customWidth="1"/>
    <col min="14590" max="14590" width="40.42578125" style="2" customWidth="1"/>
    <col min="14591" max="14591" width="30.5703125" style="2" customWidth="1"/>
    <col min="14592" max="14592" width="16.42578125" style="2" customWidth="1"/>
    <col min="14593" max="14593" width="13" style="2" bestFit="1" customWidth="1"/>
    <col min="14594" max="14841" width="9.140625" style="2"/>
    <col min="14842" max="14842" width="16.28515625" style="2" customWidth="1"/>
    <col min="14843" max="14843" width="9.5703125" style="2" customWidth="1"/>
    <col min="14844" max="14844" width="25.85546875" style="2" customWidth="1"/>
    <col min="14845" max="14845" width="10.7109375" style="2" customWidth="1"/>
    <col min="14846" max="14846" width="40.42578125" style="2" customWidth="1"/>
    <col min="14847" max="14847" width="30.5703125" style="2" customWidth="1"/>
    <col min="14848" max="14848" width="16.42578125" style="2" customWidth="1"/>
    <col min="14849" max="14849" width="13" style="2" bestFit="1" customWidth="1"/>
    <col min="14850" max="15097" width="9.140625" style="2"/>
    <col min="15098" max="15098" width="16.28515625" style="2" customWidth="1"/>
    <col min="15099" max="15099" width="9.5703125" style="2" customWidth="1"/>
    <col min="15100" max="15100" width="25.85546875" style="2" customWidth="1"/>
    <col min="15101" max="15101" width="10.7109375" style="2" customWidth="1"/>
    <col min="15102" max="15102" width="40.42578125" style="2" customWidth="1"/>
    <col min="15103" max="15103" width="30.5703125" style="2" customWidth="1"/>
    <col min="15104" max="15104" width="16.42578125" style="2" customWidth="1"/>
    <col min="15105" max="15105" width="13" style="2" bestFit="1" customWidth="1"/>
    <col min="15106" max="15353" width="9.140625" style="2"/>
    <col min="15354" max="15354" width="16.28515625" style="2" customWidth="1"/>
    <col min="15355" max="15355" width="9.5703125" style="2" customWidth="1"/>
    <col min="15356" max="15356" width="25.85546875" style="2" customWidth="1"/>
    <col min="15357" max="15357" width="10.7109375" style="2" customWidth="1"/>
    <col min="15358" max="15358" width="40.42578125" style="2" customWidth="1"/>
    <col min="15359" max="15359" width="30.5703125" style="2" customWidth="1"/>
    <col min="15360" max="15360" width="16.42578125" style="2" customWidth="1"/>
    <col min="15361" max="15361" width="13" style="2" bestFit="1" customWidth="1"/>
    <col min="15362" max="15609" width="9.140625" style="2"/>
    <col min="15610" max="15610" width="16.28515625" style="2" customWidth="1"/>
    <col min="15611" max="15611" width="9.5703125" style="2" customWidth="1"/>
    <col min="15612" max="15612" width="25.85546875" style="2" customWidth="1"/>
    <col min="15613" max="15613" width="10.7109375" style="2" customWidth="1"/>
    <col min="15614" max="15614" width="40.42578125" style="2" customWidth="1"/>
    <col min="15615" max="15615" width="30.5703125" style="2" customWidth="1"/>
    <col min="15616" max="15616" width="16.42578125" style="2" customWidth="1"/>
    <col min="15617" max="15617" width="13" style="2" bestFit="1" customWidth="1"/>
    <col min="15618" max="15865" width="9.140625" style="2"/>
    <col min="15866" max="15866" width="16.28515625" style="2" customWidth="1"/>
    <col min="15867" max="15867" width="9.5703125" style="2" customWidth="1"/>
    <col min="15868" max="15868" width="25.85546875" style="2" customWidth="1"/>
    <col min="15869" max="15869" width="10.7109375" style="2" customWidth="1"/>
    <col min="15870" max="15870" width="40.42578125" style="2" customWidth="1"/>
    <col min="15871" max="15871" width="30.5703125" style="2" customWidth="1"/>
    <col min="15872" max="15872" width="16.42578125" style="2" customWidth="1"/>
    <col min="15873" max="15873" width="13" style="2" bestFit="1" customWidth="1"/>
    <col min="15874" max="16121" width="9.140625" style="2"/>
    <col min="16122" max="16122" width="16.28515625" style="2" customWidth="1"/>
    <col min="16123" max="16123" width="9.5703125" style="2" customWidth="1"/>
    <col min="16124" max="16124" width="25.85546875" style="2" customWidth="1"/>
    <col min="16125" max="16125" width="10.7109375" style="2" customWidth="1"/>
    <col min="16126" max="16126" width="40.42578125" style="2" customWidth="1"/>
    <col min="16127" max="16127" width="30.5703125" style="2" customWidth="1"/>
    <col min="16128" max="16128" width="16.42578125" style="2" customWidth="1"/>
    <col min="16129" max="16129" width="13" style="2" bestFit="1" customWidth="1"/>
    <col min="16130" max="16384" width="9.140625" style="2"/>
  </cols>
  <sheetData>
    <row r="3" spans="1:9">
      <c r="G3" s="70"/>
    </row>
    <row r="5" spans="1:9" ht="18.75">
      <c r="A5" s="1483" t="s">
        <v>51</v>
      </c>
      <c r="B5" s="1483"/>
      <c r="C5" s="1483"/>
      <c r="D5" s="1483"/>
      <c r="E5" s="1483"/>
      <c r="F5" s="1483"/>
      <c r="G5" s="1483"/>
      <c r="H5" s="1483"/>
      <c r="I5" s="1483"/>
    </row>
    <row r="6" spans="1:9" ht="18.75">
      <c r="A6" s="1483" t="s">
        <v>29</v>
      </c>
      <c r="B6" s="1483"/>
      <c r="C6" s="1483"/>
      <c r="D6" s="1483"/>
      <c r="E6" s="1483"/>
      <c r="F6" s="1483"/>
      <c r="G6" s="1483"/>
      <c r="H6" s="1483"/>
      <c r="I6" s="1483"/>
    </row>
    <row r="7" spans="1:9">
      <c r="G7" s="87"/>
      <c r="H7" s="88"/>
      <c r="I7" s="88"/>
    </row>
    <row r="8" spans="1:9">
      <c r="C8" s="4"/>
      <c r="D8" s="4"/>
      <c r="G8" s="88"/>
      <c r="H8" s="88"/>
      <c r="I8" s="5" t="s">
        <v>0</v>
      </c>
    </row>
    <row r="9" spans="1:9" s="31" customFormat="1" ht="73.5" customHeight="1">
      <c r="A9" s="12" t="s">
        <v>1</v>
      </c>
      <c r="B9" s="12" t="s">
        <v>2</v>
      </c>
      <c r="C9" s="12" t="s">
        <v>3</v>
      </c>
      <c r="D9" s="12" t="s">
        <v>4</v>
      </c>
      <c r="E9" s="12" t="s">
        <v>5</v>
      </c>
      <c r="F9" s="12" t="s">
        <v>6</v>
      </c>
      <c r="G9" s="89" t="s">
        <v>52</v>
      </c>
      <c r="H9" s="89" t="s">
        <v>33</v>
      </c>
      <c r="I9" s="90" t="s">
        <v>50</v>
      </c>
    </row>
    <row r="10" spans="1:9" s="31" customFormat="1" ht="44.25" customHeight="1">
      <c r="A10" s="1484" t="s">
        <v>26</v>
      </c>
      <c r="B10" s="1485"/>
      <c r="C10" s="1485"/>
      <c r="D10" s="1485"/>
      <c r="E10" s="1485"/>
      <c r="F10" s="1485"/>
      <c r="G10" s="1485"/>
      <c r="H10" s="1485"/>
      <c r="I10" s="1485"/>
    </row>
    <row r="11" spans="1:9" s="31" customFormat="1" ht="30.75" customHeight="1">
      <c r="A11" s="55" t="s">
        <v>7</v>
      </c>
      <c r="B11" s="55">
        <v>4</v>
      </c>
      <c r="C11" s="55" t="s">
        <v>37</v>
      </c>
      <c r="D11" s="55">
        <v>111</v>
      </c>
      <c r="E11" s="11">
        <v>211</v>
      </c>
      <c r="F11" s="8" t="s">
        <v>8</v>
      </c>
      <c r="G11" s="91">
        <v>32780340.52</v>
      </c>
      <c r="H11" s="95">
        <v>27186806.899999999</v>
      </c>
      <c r="I11" s="95">
        <v>27124887.949999999</v>
      </c>
    </row>
    <row r="12" spans="1:9" s="31" customFormat="1" ht="47.25">
      <c r="A12" s="55" t="s">
        <v>7</v>
      </c>
      <c r="B12" s="55">
        <v>4</v>
      </c>
      <c r="C12" s="55" t="s">
        <v>37</v>
      </c>
      <c r="D12" s="55">
        <v>111</v>
      </c>
      <c r="E12" s="11">
        <v>266</v>
      </c>
      <c r="F12" s="8" t="s">
        <v>43</v>
      </c>
      <c r="G12" s="91">
        <v>19800</v>
      </c>
      <c r="H12" s="95">
        <v>19800</v>
      </c>
      <c r="I12" s="95">
        <v>19800</v>
      </c>
    </row>
    <row r="13" spans="1:9" s="31" customFormat="1" ht="94.5">
      <c r="A13" s="55" t="s">
        <v>7</v>
      </c>
      <c r="B13" s="55">
        <v>4</v>
      </c>
      <c r="C13" s="55" t="s">
        <v>45</v>
      </c>
      <c r="D13" s="55">
        <v>111</v>
      </c>
      <c r="E13" s="11">
        <v>211</v>
      </c>
      <c r="F13" s="8" t="s">
        <v>49</v>
      </c>
      <c r="G13" s="91">
        <v>128000</v>
      </c>
      <c r="H13" s="95">
        <v>88000</v>
      </c>
      <c r="I13" s="95">
        <v>94000</v>
      </c>
    </row>
    <row r="14" spans="1:9" s="31" customFormat="1" ht="22.5" customHeight="1">
      <c r="A14" s="55" t="s">
        <v>7</v>
      </c>
      <c r="B14" s="55">
        <v>4</v>
      </c>
      <c r="C14" s="55" t="s">
        <v>45</v>
      </c>
      <c r="D14" s="55">
        <v>112</v>
      </c>
      <c r="E14" s="11">
        <v>214</v>
      </c>
      <c r="F14" s="8" t="s">
        <v>35</v>
      </c>
      <c r="G14" s="91">
        <v>960000</v>
      </c>
      <c r="H14" s="95">
        <v>880000</v>
      </c>
      <c r="I14" s="95">
        <v>960000</v>
      </c>
    </row>
    <row r="15" spans="1:9" s="31" customFormat="1" ht="55.5" customHeight="1">
      <c r="A15" s="55" t="s">
        <v>7</v>
      </c>
      <c r="B15" s="55">
        <v>4</v>
      </c>
      <c r="C15" s="55" t="s">
        <v>45</v>
      </c>
      <c r="D15" s="55">
        <v>112</v>
      </c>
      <c r="E15" s="11">
        <v>266</v>
      </c>
      <c r="F15" s="8" t="s">
        <v>66</v>
      </c>
      <c r="G15" s="91">
        <f>1800+111440</f>
        <v>113240</v>
      </c>
      <c r="H15" s="95">
        <f>1800+101917.75</f>
        <v>103717.75</v>
      </c>
      <c r="I15" s="95">
        <f>525+101747.75</f>
        <v>102272.75</v>
      </c>
    </row>
    <row r="16" spans="1:9" s="31" customFormat="1" ht="18" customHeight="1">
      <c r="A16" s="55" t="s">
        <v>7</v>
      </c>
      <c r="B16" s="55">
        <v>4</v>
      </c>
      <c r="C16" s="55" t="s">
        <v>37</v>
      </c>
      <c r="D16" s="55">
        <v>119</v>
      </c>
      <c r="E16" s="11">
        <v>213</v>
      </c>
      <c r="F16" s="8" t="s">
        <v>10</v>
      </c>
      <c r="G16" s="91">
        <v>9756045.25</v>
      </c>
      <c r="H16" s="94">
        <v>8142293.2800000003</v>
      </c>
      <c r="I16" s="94">
        <v>8098921.9800000004</v>
      </c>
    </row>
    <row r="17" spans="1:15" s="31" customFormat="1" ht="31.5">
      <c r="A17" s="55" t="s">
        <v>7</v>
      </c>
      <c r="B17" s="55">
        <v>4</v>
      </c>
      <c r="C17" s="55" t="s">
        <v>45</v>
      </c>
      <c r="D17" s="55">
        <v>119</v>
      </c>
      <c r="E17" s="11">
        <v>213</v>
      </c>
      <c r="F17" s="8" t="s">
        <v>67</v>
      </c>
      <c r="G17" s="91">
        <v>17516</v>
      </c>
      <c r="H17" s="94">
        <v>5436</v>
      </c>
      <c r="I17" s="94">
        <v>7248</v>
      </c>
    </row>
    <row r="18" spans="1:15" s="31" customFormat="1" ht="19.5" customHeight="1">
      <c r="A18" s="55" t="s">
        <v>7</v>
      </c>
      <c r="B18" s="55">
        <v>4</v>
      </c>
      <c r="C18" s="55" t="s">
        <v>45</v>
      </c>
      <c r="D18" s="55">
        <v>244</v>
      </c>
      <c r="E18" s="11">
        <v>221</v>
      </c>
      <c r="F18" s="8" t="s">
        <v>11</v>
      </c>
      <c r="G18" s="97">
        <v>289784.15999999997</v>
      </c>
      <c r="H18" s="95">
        <v>238784.16</v>
      </c>
      <c r="I18" s="95">
        <v>108464.16</v>
      </c>
    </row>
    <row r="19" spans="1:15" s="31" customFormat="1" ht="19.5" customHeight="1">
      <c r="A19" s="55" t="s">
        <v>7</v>
      </c>
      <c r="B19" s="55">
        <v>4</v>
      </c>
      <c r="C19" s="55" t="s">
        <v>45</v>
      </c>
      <c r="D19" s="55">
        <v>244</v>
      </c>
      <c r="E19" s="11">
        <v>222</v>
      </c>
      <c r="F19" s="8" t="s">
        <v>12</v>
      </c>
      <c r="G19" s="97">
        <v>247741.27</v>
      </c>
      <c r="H19" s="95">
        <v>79311.92</v>
      </c>
      <c r="I19" s="95">
        <v>79311.92</v>
      </c>
    </row>
    <row r="20" spans="1:15" s="31" customFormat="1" ht="15.75">
      <c r="A20" s="55" t="s">
        <v>7</v>
      </c>
      <c r="B20" s="55">
        <v>4</v>
      </c>
      <c r="C20" s="55" t="s">
        <v>45</v>
      </c>
      <c r="D20" s="55">
        <v>244</v>
      </c>
      <c r="E20" s="11">
        <v>223</v>
      </c>
      <c r="F20" s="8" t="s">
        <v>13</v>
      </c>
      <c r="G20" s="97">
        <v>1973451.06</v>
      </c>
      <c r="H20" s="95">
        <v>2023390.58</v>
      </c>
      <c r="I20" s="95">
        <v>2057755.88</v>
      </c>
      <c r="N20" s="31" t="s">
        <v>64</v>
      </c>
    </row>
    <row r="21" spans="1:15" s="31" customFormat="1" ht="15.75">
      <c r="A21" s="55" t="s">
        <v>7</v>
      </c>
      <c r="B21" s="55">
        <v>4</v>
      </c>
      <c r="C21" s="55" t="s">
        <v>45</v>
      </c>
      <c r="D21" s="55">
        <v>244</v>
      </c>
      <c r="E21" s="11">
        <v>225</v>
      </c>
      <c r="F21" s="8" t="s">
        <v>14</v>
      </c>
      <c r="G21" s="97">
        <v>1766727.42</v>
      </c>
      <c r="H21" s="95">
        <v>1845207.18</v>
      </c>
      <c r="I21" s="95">
        <v>1952688.71</v>
      </c>
      <c r="M21" s="31">
        <v>2020</v>
      </c>
      <c r="N21" s="13">
        <v>6847892.9900000002</v>
      </c>
      <c r="O21" s="7">
        <v>8138171.5300000003</v>
      </c>
    </row>
    <row r="22" spans="1:15" s="31" customFormat="1" ht="15.75">
      <c r="A22" s="55" t="s">
        <v>7</v>
      </c>
      <c r="B22" s="55">
        <v>4</v>
      </c>
      <c r="C22" s="55" t="s">
        <v>45</v>
      </c>
      <c r="D22" s="55">
        <v>244</v>
      </c>
      <c r="E22" s="11">
        <v>226</v>
      </c>
      <c r="F22" s="8" t="s">
        <v>15</v>
      </c>
      <c r="G22" s="97">
        <f>1218768.2+129266.9</f>
        <v>1348035.1</v>
      </c>
      <c r="H22" s="94">
        <f>1128025.2+87652.52+87345.1-3674.88</f>
        <v>1299347.94</v>
      </c>
      <c r="I22" s="94">
        <f>1128025.2+87652.52+98774.99</f>
        <v>1314452.71</v>
      </c>
      <c r="J22" s="83"/>
      <c r="M22" s="31">
        <v>2021</v>
      </c>
      <c r="N22" s="13">
        <v>6759321.96</v>
      </c>
      <c r="O22" s="7">
        <v>7211607.3600000003</v>
      </c>
    </row>
    <row r="23" spans="1:15" s="31" customFormat="1" ht="15.75">
      <c r="A23" s="20" t="s">
        <v>7</v>
      </c>
      <c r="B23" s="20">
        <v>4</v>
      </c>
      <c r="C23" s="20" t="s">
        <v>46</v>
      </c>
      <c r="D23" s="20">
        <v>244</v>
      </c>
      <c r="E23" s="21">
        <v>226</v>
      </c>
      <c r="F23" s="22" t="s">
        <v>15</v>
      </c>
      <c r="G23" s="97">
        <v>2329591.33</v>
      </c>
      <c r="H23" s="94">
        <f>2192317.98</f>
        <v>2192317.98</v>
      </c>
      <c r="I23" s="94">
        <f>2329591.33</f>
        <v>2329591.33</v>
      </c>
      <c r="J23" s="83"/>
      <c r="M23" s="31">
        <v>2022</v>
      </c>
      <c r="N23" s="24">
        <v>6759321.96</v>
      </c>
      <c r="O23" s="66">
        <v>7211607.3600000003</v>
      </c>
    </row>
    <row r="24" spans="1:15" s="81" customFormat="1" ht="15.75">
      <c r="A24" s="77" t="s">
        <v>30</v>
      </c>
      <c r="B24" s="77">
        <v>4</v>
      </c>
      <c r="C24" s="77" t="s">
        <v>47</v>
      </c>
      <c r="D24" s="77">
        <v>244</v>
      </c>
      <c r="E24" s="78">
        <v>226</v>
      </c>
      <c r="F24" s="79" t="s">
        <v>15</v>
      </c>
      <c r="G24" s="97">
        <v>169385.08</v>
      </c>
      <c r="H24" s="80">
        <v>0</v>
      </c>
      <c r="I24" s="80">
        <v>0</v>
      </c>
      <c r="J24" s="83"/>
      <c r="N24" s="80"/>
      <c r="O24" s="82"/>
    </row>
    <row r="25" spans="1:15" s="81" customFormat="1" ht="15.75">
      <c r="A25" s="77" t="s">
        <v>31</v>
      </c>
      <c r="B25" s="77">
        <v>4</v>
      </c>
      <c r="C25" s="77" t="s">
        <v>47</v>
      </c>
      <c r="D25" s="77">
        <v>244</v>
      </c>
      <c r="E25" s="78">
        <v>226</v>
      </c>
      <c r="F25" s="79" t="s">
        <v>15</v>
      </c>
      <c r="G25" s="97">
        <v>395212.59</v>
      </c>
      <c r="H25" s="80">
        <v>0</v>
      </c>
      <c r="I25" s="80">
        <v>0</v>
      </c>
      <c r="N25" s="80"/>
      <c r="O25" s="82"/>
    </row>
    <row r="26" spans="1:15" s="81" customFormat="1" ht="15.75">
      <c r="A26" s="77" t="s">
        <v>7</v>
      </c>
      <c r="B26" s="77">
        <v>4</v>
      </c>
      <c r="C26" s="77" t="s">
        <v>47</v>
      </c>
      <c r="D26" s="77">
        <v>244</v>
      </c>
      <c r="E26" s="78">
        <v>226</v>
      </c>
      <c r="F26" s="79" t="s">
        <v>15</v>
      </c>
      <c r="G26" s="97">
        <v>29715.66</v>
      </c>
      <c r="H26" s="80">
        <v>0</v>
      </c>
      <c r="I26" s="80">
        <v>0</v>
      </c>
      <c r="N26" s="80"/>
      <c r="O26" s="82"/>
    </row>
    <row r="27" spans="1:15" s="31" customFormat="1" ht="18" customHeight="1">
      <c r="A27" s="55" t="s">
        <v>7</v>
      </c>
      <c r="B27" s="55">
        <v>4</v>
      </c>
      <c r="C27" s="55" t="s">
        <v>45</v>
      </c>
      <c r="D27" s="55">
        <v>851</v>
      </c>
      <c r="E27" s="11">
        <v>291</v>
      </c>
      <c r="F27" s="8" t="s">
        <v>28</v>
      </c>
      <c r="G27" s="91">
        <f>2136892+99437</f>
        <v>2236329</v>
      </c>
      <c r="H27" s="95">
        <v>2031292</v>
      </c>
      <c r="I27" s="95">
        <f>1925704+99437-23543.03-26365.72</f>
        <v>1975232.25</v>
      </c>
    </row>
    <row r="28" spans="1:15" s="31" customFormat="1" ht="16.5" customHeight="1">
      <c r="A28" s="55" t="s">
        <v>7</v>
      </c>
      <c r="B28" s="55">
        <v>4</v>
      </c>
      <c r="C28" s="55" t="s">
        <v>45</v>
      </c>
      <c r="D28" s="55">
        <v>853</v>
      </c>
      <c r="E28" s="11">
        <v>291</v>
      </c>
      <c r="F28" s="8" t="s">
        <v>28</v>
      </c>
      <c r="G28" s="91">
        <v>19701</v>
      </c>
      <c r="H28" s="94">
        <v>19701</v>
      </c>
      <c r="I28" s="94">
        <v>19701</v>
      </c>
    </row>
    <row r="29" spans="1:15" s="31" customFormat="1" ht="19.5" customHeight="1">
      <c r="A29" s="55" t="s">
        <v>7</v>
      </c>
      <c r="B29" s="55">
        <v>4</v>
      </c>
      <c r="C29" s="55" t="s">
        <v>45</v>
      </c>
      <c r="D29" s="55">
        <v>853</v>
      </c>
      <c r="E29" s="11">
        <v>297</v>
      </c>
      <c r="F29" s="8" t="s">
        <v>38</v>
      </c>
      <c r="G29" s="91">
        <v>57383.81</v>
      </c>
      <c r="H29" s="94">
        <v>57383.81</v>
      </c>
      <c r="I29" s="94">
        <v>57383.81</v>
      </c>
    </row>
    <row r="30" spans="1:15" s="81" customFormat="1" ht="31.5">
      <c r="A30" s="77" t="s">
        <v>30</v>
      </c>
      <c r="B30" s="77">
        <v>4</v>
      </c>
      <c r="C30" s="77" t="s">
        <v>47</v>
      </c>
      <c r="D30" s="77">
        <v>244</v>
      </c>
      <c r="E30" s="78">
        <v>310</v>
      </c>
      <c r="F30" s="79" t="s">
        <v>16</v>
      </c>
      <c r="G30" s="97">
        <v>674139.96</v>
      </c>
      <c r="H30" s="80">
        <v>0</v>
      </c>
      <c r="I30" s="80">
        <v>0</v>
      </c>
    </row>
    <row r="31" spans="1:15" s="81" customFormat="1" ht="31.5">
      <c r="A31" s="77" t="s">
        <v>31</v>
      </c>
      <c r="B31" s="77">
        <v>4</v>
      </c>
      <c r="C31" s="77" t="s">
        <v>47</v>
      </c>
      <c r="D31" s="77">
        <v>244</v>
      </c>
      <c r="E31" s="78">
        <v>310</v>
      </c>
      <c r="F31" s="79" t="s">
        <v>16</v>
      </c>
      <c r="G31" s="97">
        <v>1572916.6</v>
      </c>
      <c r="H31" s="80">
        <v>0</v>
      </c>
      <c r="I31" s="80">
        <v>0</v>
      </c>
    </row>
    <row r="32" spans="1:15" s="81" customFormat="1" ht="31.5">
      <c r="A32" s="77" t="s">
        <v>7</v>
      </c>
      <c r="B32" s="77">
        <v>4</v>
      </c>
      <c r="C32" s="77" t="s">
        <v>47</v>
      </c>
      <c r="D32" s="77">
        <v>244</v>
      </c>
      <c r="E32" s="78">
        <v>310</v>
      </c>
      <c r="F32" s="79" t="s">
        <v>16</v>
      </c>
      <c r="G32" s="97">
        <v>118266.14</v>
      </c>
      <c r="H32" s="80">
        <v>0</v>
      </c>
      <c r="I32" s="80">
        <v>0</v>
      </c>
    </row>
    <row r="33" spans="1:9" s="81" customFormat="1" ht="31.5">
      <c r="A33" s="77" t="s">
        <v>30</v>
      </c>
      <c r="B33" s="77">
        <v>4</v>
      </c>
      <c r="C33" s="77" t="s">
        <v>47</v>
      </c>
      <c r="D33" s="77">
        <v>244</v>
      </c>
      <c r="E33" s="78">
        <v>346</v>
      </c>
      <c r="F33" s="79" t="s">
        <v>16</v>
      </c>
      <c r="G33" s="97">
        <v>36074.959999999999</v>
      </c>
      <c r="H33" s="80">
        <v>0</v>
      </c>
      <c r="I33" s="80">
        <v>0</v>
      </c>
    </row>
    <row r="34" spans="1:9" s="81" customFormat="1" ht="31.5">
      <c r="A34" s="77" t="s">
        <v>31</v>
      </c>
      <c r="B34" s="77">
        <v>4</v>
      </c>
      <c r="C34" s="77" t="s">
        <v>47</v>
      </c>
      <c r="D34" s="77">
        <v>244</v>
      </c>
      <c r="E34" s="78">
        <v>346</v>
      </c>
      <c r="F34" s="79" t="s">
        <v>16</v>
      </c>
      <c r="G34" s="97">
        <v>84170.81</v>
      </c>
      <c r="H34" s="80">
        <v>0</v>
      </c>
      <c r="I34" s="80">
        <v>0</v>
      </c>
    </row>
    <row r="35" spans="1:9" s="81" customFormat="1" ht="31.5">
      <c r="A35" s="77" t="s">
        <v>7</v>
      </c>
      <c r="B35" s="77">
        <v>4</v>
      </c>
      <c r="C35" s="77" t="s">
        <v>47</v>
      </c>
      <c r="D35" s="77">
        <v>244</v>
      </c>
      <c r="E35" s="78">
        <v>346</v>
      </c>
      <c r="F35" s="79" t="s">
        <v>16</v>
      </c>
      <c r="G35" s="97">
        <v>6328.73</v>
      </c>
      <c r="H35" s="80">
        <v>0</v>
      </c>
      <c r="I35" s="80">
        <v>0</v>
      </c>
    </row>
    <row r="36" spans="1:9" s="26" customFormat="1" ht="31.5">
      <c r="A36" s="20" t="s">
        <v>7</v>
      </c>
      <c r="B36" s="20">
        <v>4</v>
      </c>
      <c r="C36" s="20" t="s">
        <v>46</v>
      </c>
      <c r="D36" s="20">
        <v>244</v>
      </c>
      <c r="E36" s="21">
        <v>346</v>
      </c>
      <c r="F36" s="22" t="s">
        <v>16</v>
      </c>
      <c r="G36" s="97">
        <v>270864.25</v>
      </c>
      <c r="H36" s="95">
        <v>267080.24</v>
      </c>
      <c r="I36" s="95">
        <v>306328</v>
      </c>
    </row>
    <row r="37" spans="1:9" s="19" customFormat="1" ht="47.25">
      <c r="A37" s="55" t="s">
        <v>7</v>
      </c>
      <c r="B37" s="55">
        <v>4</v>
      </c>
      <c r="C37" s="55" t="s">
        <v>45</v>
      </c>
      <c r="D37" s="16">
        <v>119</v>
      </c>
      <c r="E37" s="17">
        <v>266</v>
      </c>
      <c r="F37" s="9" t="s">
        <v>65</v>
      </c>
      <c r="G37" s="91">
        <v>31238.880000000001</v>
      </c>
      <c r="H37" s="94">
        <v>28363.16</v>
      </c>
      <c r="I37" s="94">
        <v>28311.82</v>
      </c>
    </row>
    <row r="38" spans="1:9" s="31" customFormat="1" ht="15.75" customHeight="1">
      <c r="A38" s="1482" t="s">
        <v>17</v>
      </c>
      <c r="B38" s="1482"/>
      <c r="C38" s="1482"/>
      <c r="D38" s="1482"/>
      <c r="E38" s="1482"/>
      <c r="F38" s="1482"/>
      <c r="G38" s="13">
        <f>SUM(G11:G37)</f>
        <v>57431999.579999998</v>
      </c>
      <c r="H38" s="13">
        <f>SUM(H11:H37)</f>
        <v>46508233.899999999</v>
      </c>
      <c r="I38" s="13">
        <f>SUM(I11:I37)</f>
        <v>46636352.270000003</v>
      </c>
    </row>
    <row r="39" spans="1:9" s="31" customFormat="1" ht="23.25" customHeight="1">
      <c r="A39" s="1486" t="s">
        <v>18</v>
      </c>
      <c r="B39" s="1486"/>
      <c r="C39" s="1486"/>
      <c r="D39" s="1486"/>
      <c r="E39" s="1486"/>
      <c r="F39" s="1486"/>
      <c r="G39" s="1486"/>
      <c r="H39" s="6"/>
      <c r="I39" s="6"/>
    </row>
    <row r="40" spans="1:9" s="31" customFormat="1" ht="28.5" customHeight="1">
      <c r="A40" s="16" t="s">
        <v>44</v>
      </c>
      <c r="B40" s="16">
        <v>5</v>
      </c>
      <c r="C40" s="55" t="s">
        <v>48</v>
      </c>
      <c r="D40" s="16">
        <v>244</v>
      </c>
      <c r="E40" s="17">
        <v>226</v>
      </c>
      <c r="F40" s="8" t="s">
        <v>15</v>
      </c>
      <c r="G40" s="100">
        <v>51097.49</v>
      </c>
      <c r="H40" s="100">
        <v>0</v>
      </c>
      <c r="I40" s="100">
        <v>0</v>
      </c>
    </row>
    <row r="41" spans="1:9" s="19" customFormat="1" ht="21.75" customHeight="1">
      <c r="A41" s="55" t="s">
        <v>7</v>
      </c>
      <c r="B41" s="16">
        <v>5</v>
      </c>
      <c r="C41" s="55" t="s">
        <v>45</v>
      </c>
      <c r="D41" s="55">
        <v>360</v>
      </c>
      <c r="E41" s="11">
        <v>296</v>
      </c>
      <c r="F41" s="8" t="s">
        <v>40</v>
      </c>
      <c r="G41" s="100">
        <v>1200</v>
      </c>
      <c r="H41" s="100">
        <v>4800</v>
      </c>
      <c r="I41" s="100">
        <v>7200</v>
      </c>
    </row>
    <row r="42" spans="1:9" s="31" customFormat="1" ht="15.75">
      <c r="A42" s="1476" t="s">
        <v>17</v>
      </c>
      <c r="B42" s="1477"/>
      <c r="C42" s="1477"/>
      <c r="D42" s="1477"/>
      <c r="E42" s="1477"/>
      <c r="F42" s="1478"/>
      <c r="G42" s="13">
        <f>SUM(G40:G41)</f>
        <v>52297.49</v>
      </c>
      <c r="H42" s="13">
        <f>SUM(H40:H41)</f>
        <v>4800</v>
      </c>
      <c r="I42" s="13">
        <f>SUM(I40:I41)</f>
        <v>7200</v>
      </c>
    </row>
    <row r="43" spans="1:9" s="31" customFormat="1" ht="16.5" customHeight="1">
      <c r="A43" s="1476" t="s">
        <v>21</v>
      </c>
      <c r="B43" s="1477"/>
      <c r="C43" s="1477"/>
      <c r="D43" s="1477"/>
      <c r="E43" s="1477"/>
      <c r="F43" s="1478"/>
      <c r="G43" s="10">
        <f>G38+G42</f>
        <v>57484297.07</v>
      </c>
      <c r="H43" s="10">
        <f>H38+H42</f>
        <v>46513033.899999999</v>
      </c>
      <c r="I43" s="10">
        <f>I38+I42</f>
        <v>46643552.270000003</v>
      </c>
    </row>
    <row r="44" spans="1:9" s="31" customFormat="1" ht="15.75">
      <c r="A44" s="1479" t="s">
        <v>22</v>
      </c>
      <c r="B44" s="1479"/>
      <c r="C44" s="1479"/>
      <c r="D44" s="1479"/>
      <c r="E44" s="1479"/>
      <c r="F44" s="1479"/>
      <c r="G44" s="1479"/>
      <c r="H44" s="6"/>
      <c r="I44" s="6"/>
    </row>
    <row r="45" spans="1:9" s="31" customFormat="1" ht="24.75" customHeight="1">
      <c r="A45" s="55" t="s">
        <v>23</v>
      </c>
      <c r="B45" s="55">
        <v>2</v>
      </c>
      <c r="C45" s="55" t="s">
        <v>37</v>
      </c>
      <c r="D45" s="55">
        <v>111</v>
      </c>
      <c r="E45" s="55">
        <v>211</v>
      </c>
      <c r="F45" s="8" t="s">
        <v>8</v>
      </c>
      <c r="G45" s="95">
        <v>4302112.92</v>
      </c>
      <c r="H45" s="95">
        <v>5045709.93</v>
      </c>
      <c r="I45" s="95">
        <v>5207036.58</v>
      </c>
    </row>
    <row r="46" spans="1:9" s="31" customFormat="1" ht="94.5">
      <c r="A46" s="55" t="s">
        <v>23</v>
      </c>
      <c r="B46" s="55">
        <v>2</v>
      </c>
      <c r="C46" s="55" t="s">
        <v>45</v>
      </c>
      <c r="D46" s="55">
        <v>111</v>
      </c>
      <c r="E46" s="11">
        <v>211</v>
      </c>
      <c r="F46" s="8" t="s">
        <v>49</v>
      </c>
      <c r="G46" s="94">
        <v>8000</v>
      </c>
      <c r="H46" s="95">
        <v>8000</v>
      </c>
      <c r="I46" s="95">
        <v>3000</v>
      </c>
    </row>
    <row r="47" spans="1:9" s="31" customFormat="1" ht="47.25">
      <c r="A47" s="55" t="s">
        <v>23</v>
      </c>
      <c r="B47" s="55">
        <v>2</v>
      </c>
      <c r="C47" s="55" t="s">
        <v>37</v>
      </c>
      <c r="D47" s="55">
        <v>111</v>
      </c>
      <c r="E47" s="11">
        <v>266</v>
      </c>
      <c r="F47" s="8" t="s">
        <v>43</v>
      </c>
      <c r="G47" s="95">
        <v>19800</v>
      </c>
      <c r="H47" s="95">
        <v>19800</v>
      </c>
      <c r="I47" s="95">
        <v>19800</v>
      </c>
    </row>
    <row r="48" spans="1:9" s="18" customFormat="1" ht="47.25">
      <c r="A48" s="55" t="s">
        <v>23</v>
      </c>
      <c r="B48" s="55">
        <v>2</v>
      </c>
      <c r="C48" s="55" t="s">
        <v>45</v>
      </c>
      <c r="D48" s="55">
        <v>112</v>
      </c>
      <c r="E48" s="11">
        <v>266</v>
      </c>
      <c r="F48" s="8" t="s">
        <v>41</v>
      </c>
      <c r="G48" s="94">
        <v>1800</v>
      </c>
      <c r="H48" s="95">
        <v>1800</v>
      </c>
      <c r="I48" s="95">
        <v>900</v>
      </c>
    </row>
    <row r="49" spans="1:9" s="31" customFormat="1" ht="16.5" customHeight="1">
      <c r="A49" s="55" t="s">
        <v>23</v>
      </c>
      <c r="B49" s="55">
        <v>2</v>
      </c>
      <c r="C49" s="55" t="s">
        <v>45</v>
      </c>
      <c r="D49" s="55">
        <v>112</v>
      </c>
      <c r="E49" s="11">
        <v>214</v>
      </c>
      <c r="F49" s="8" t="s">
        <v>35</v>
      </c>
      <c r="G49" s="95">
        <v>140000</v>
      </c>
      <c r="H49" s="95">
        <v>100000</v>
      </c>
      <c r="I49" s="95">
        <v>140000</v>
      </c>
    </row>
    <row r="50" spans="1:9" s="31" customFormat="1" ht="17.25" customHeight="1">
      <c r="A50" s="55" t="s">
        <v>23</v>
      </c>
      <c r="B50" s="55">
        <v>2</v>
      </c>
      <c r="C50" s="55" t="s">
        <v>45</v>
      </c>
      <c r="D50" s="55">
        <v>112</v>
      </c>
      <c r="E50" s="11">
        <v>212</v>
      </c>
      <c r="F50" s="8" t="s">
        <v>34</v>
      </c>
      <c r="G50" s="95">
        <v>238500</v>
      </c>
      <c r="H50" s="95">
        <v>243000</v>
      </c>
      <c r="I50" s="95">
        <v>243000</v>
      </c>
    </row>
    <row r="51" spans="1:9" s="31" customFormat="1" ht="31.5">
      <c r="A51" s="55" t="s">
        <v>23</v>
      </c>
      <c r="B51" s="55">
        <v>2</v>
      </c>
      <c r="C51" s="55" t="s">
        <v>45</v>
      </c>
      <c r="D51" s="55">
        <v>112</v>
      </c>
      <c r="E51" s="11">
        <v>226</v>
      </c>
      <c r="F51" s="8" t="s">
        <v>42</v>
      </c>
      <c r="G51" s="95">
        <v>750321</v>
      </c>
      <c r="H51" s="95">
        <v>764478</v>
      </c>
      <c r="I51" s="95">
        <v>764478</v>
      </c>
    </row>
    <row r="52" spans="1:9" s="31" customFormat="1" ht="15.75">
      <c r="A52" s="55" t="s">
        <v>23</v>
      </c>
      <c r="B52" s="55">
        <v>2</v>
      </c>
      <c r="C52" s="55" t="s">
        <v>37</v>
      </c>
      <c r="D52" s="55">
        <v>119</v>
      </c>
      <c r="E52" s="11">
        <v>213</v>
      </c>
      <c r="F52" s="8" t="s">
        <v>10</v>
      </c>
      <c r="G52" s="95">
        <v>1296103.3799999999</v>
      </c>
      <c r="H52" s="95">
        <v>1450913.69</v>
      </c>
      <c r="I52" s="95">
        <v>1533302.43</v>
      </c>
    </row>
    <row r="53" spans="1:9" s="31" customFormat="1" ht="15.75">
      <c r="A53" s="55" t="s">
        <v>23</v>
      </c>
      <c r="B53" s="55">
        <v>2</v>
      </c>
      <c r="C53" s="55" t="s">
        <v>45</v>
      </c>
      <c r="D53" s="55">
        <v>244</v>
      </c>
      <c r="E53" s="11">
        <v>221</v>
      </c>
      <c r="F53" s="8" t="s">
        <v>11</v>
      </c>
      <c r="G53" s="98">
        <v>0</v>
      </c>
      <c r="H53" s="95">
        <v>51000</v>
      </c>
      <c r="I53" s="95">
        <v>181320</v>
      </c>
    </row>
    <row r="54" spans="1:9" s="31" customFormat="1" ht="15.75">
      <c r="A54" s="55" t="s">
        <v>23</v>
      </c>
      <c r="B54" s="55">
        <v>2</v>
      </c>
      <c r="C54" s="55" t="s">
        <v>45</v>
      </c>
      <c r="D54" s="55">
        <v>244</v>
      </c>
      <c r="E54" s="11">
        <v>225</v>
      </c>
      <c r="F54" s="8" t="s">
        <v>14</v>
      </c>
      <c r="G54" s="99">
        <v>409991.63</v>
      </c>
      <c r="H54" s="10">
        <v>247159.33</v>
      </c>
      <c r="I54" s="10">
        <f>14294.28+17902</f>
        <v>32196.28</v>
      </c>
    </row>
    <row r="55" spans="1:9" s="31" customFormat="1" ht="15.75">
      <c r="A55" s="55" t="s">
        <v>23</v>
      </c>
      <c r="B55" s="55">
        <v>2</v>
      </c>
      <c r="C55" s="55" t="s">
        <v>45</v>
      </c>
      <c r="D55" s="55">
        <v>244</v>
      </c>
      <c r="E55" s="11">
        <v>222</v>
      </c>
      <c r="F55" s="8" t="s">
        <v>12</v>
      </c>
      <c r="G55" s="98">
        <v>236954.25</v>
      </c>
      <c r="H55" s="95">
        <v>405383.61</v>
      </c>
      <c r="I55" s="95">
        <v>405383.61</v>
      </c>
    </row>
    <row r="56" spans="1:9" s="31" customFormat="1" ht="15.75">
      <c r="A56" s="55" t="s">
        <v>23</v>
      </c>
      <c r="B56" s="55">
        <v>2</v>
      </c>
      <c r="C56" s="55" t="s">
        <v>45</v>
      </c>
      <c r="D56" s="55">
        <v>244</v>
      </c>
      <c r="E56" s="11">
        <v>226</v>
      </c>
      <c r="F56" s="8" t="s">
        <v>15</v>
      </c>
      <c r="G56" s="99">
        <f>2841006.08-129266.9</f>
        <v>2711739.18</v>
      </c>
      <c r="H56" s="10">
        <f>2841006.08-87345.09+3674.88</f>
        <v>2757335.87</v>
      </c>
      <c r="I56" s="10">
        <f>2841006.08-98774.99</f>
        <v>2742231.09</v>
      </c>
    </row>
    <row r="57" spans="1:9" s="31" customFormat="1" ht="15.75">
      <c r="A57" s="55" t="s">
        <v>23</v>
      </c>
      <c r="B57" s="55">
        <v>2</v>
      </c>
      <c r="C57" s="55" t="s">
        <v>45</v>
      </c>
      <c r="D57" s="55">
        <v>853</v>
      </c>
      <c r="E57" s="11">
        <v>297</v>
      </c>
      <c r="F57" s="8" t="s">
        <v>38</v>
      </c>
      <c r="G57" s="94">
        <v>6453.17</v>
      </c>
      <c r="H57" s="94">
        <v>7568.56</v>
      </c>
      <c r="I57" s="94">
        <v>7810.55</v>
      </c>
    </row>
    <row r="58" spans="1:9" s="31" customFormat="1" ht="17.25" customHeight="1">
      <c r="A58" s="55" t="s">
        <v>23</v>
      </c>
      <c r="B58" s="55">
        <v>2</v>
      </c>
      <c r="C58" s="55" t="s">
        <v>45</v>
      </c>
      <c r="D58" s="55">
        <v>244</v>
      </c>
      <c r="E58" s="11">
        <v>310</v>
      </c>
      <c r="F58" s="8" t="s">
        <v>20</v>
      </c>
      <c r="G58" s="98">
        <v>1235078.56</v>
      </c>
      <c r="H58" s="95">
        <f>341185.99-86480.89</f>
        <v>254705.1</v>
      </c>
      <c r="I58" s="95">
        <v>76395.55</v>
      </c>
    </row>
    <row r="59" spans="1:9" s="31" customFormat="1" ht="15.75">
      <c r="A59" s="55" t="s">
        <v>23</v>
      </c>
      <c r="B59" s="55">
        <v>2</v>
      </c>
      <c r="C59" s="55" t="s">
        <v>45</v>
      </c>
      <c r="D59" s="55">
        <v>244</v>
      </c>
      <c r="E59" s="11">
        <v>342</v>
      </c>
      <c r="F59" s="8" t="s">
        <v>39</v>
      </c>
      <c r="G59" s="98">
        <f>33186.16+18143.84</f>
        <v>51330</v>
      </c>
      <c r="H59" s="95">
        <v>51330</v>
      </c>
      <c r="I59" s="95">
        <v>51330</v>
      </c>
    </row>
    <row r="60" spans="1:9" s="31" customFormat="1" ht="15.75">
      <c r="A60" s="55" t="s">
        <v>23</v>
      </c>
      <c r="B60" s="55">
        <v>2</v>
      </c>
      <c r="C60" s="55" t="s">
        <v>45</v>
      </c>
      <c r="D60" s="55">
        <v>244</v>
      </c>
      <c r="E60" s="11">
        <v>345</v>
      </c>
      <c r="F60" s="8" t="s">
        <v>39</v>
      </c>
      <c r="G60" s="98">
        <v>9117.07</v>
      </c>
      <c r="H60" s="95">
        <v>9117.07</v>
      </c>
      <c r="I60" s="95">
        <v>9117.07</v>
      </c>
    </row>
    <row r="61" spans="1:9" s="31" customFormat="1" ht="15.75">
      <c r="A61" s="55" t="s">
        <v>23</v>
      </c>
      <c r="B61" s="55">
        <v>2</v>
      </c>
      <c r="C61" s="55" t="s">
        <v>45</v>
      </c>
      <c r="D61" s="55">
        <v>244</v>
      </c>
      <c r="E61" s="11">
        <v>346</v>
      </c>
      <c r="F61" s="8" t="s">
        <v>39</v>
      </c>
      <c r="G61" s="98">
        <v>254922.44</v>
      </c>
      <c r="H61" s="95">
        <v>254922.44</v>
      </c>
      <c r="I61" s="95">
        <v>254922.44</v>
      </c>
    </row>
    <row r="62" spans="1:9" s="31" customFormat="1" ht="15.75">
      <c r="A62" s="55" t="s">
        <v>23</v>
      </c>
      <c r="B62" s="55">
        <v>2</v>
      </c>
      <c r="C62" s="55" t="s">
        <v>45</v>
      </c>
      <c r="D62" s="55">
        <v>244</v>
      </c>
      <c r="E62" s="11">
        <v>349</v>
      </c>
      <c r="F62" s="8" t="s">
        <v>39</v>
      </c>
      <c r="G62" s="98">
        <v>1029026.4</v>
      </c>
      <c r="H62" s="95">
        <v>1029026.4</v>
      </c>
      <c r="I62" s="95">
        <v>1029026.4</v>
      </c>
    </row>
    <row r="63" spans="1:9" s="31" customFormat="1" ht="15.75">
      <c r="A63" s="1482" t="s">
        <v>17</v>
      </c>
      <c r="B63" s="1482"/>
      <c r="C63" s="1482"/>
      <c r="D63" s="1482"/>
      <c r="E63" s="1482"/>
      <c r="F63" s="1482"/>
      <c r="G63" s="10">
        <f>G45+G46+G47+G48+G49+G50+G51+G52+G53+G54+G55+G56+G57+G58+G59+G60+G61+G62</f>
        <v>12701250</v>
      </c>
      <c r="H63" s="10">
        <f>H45+H46+H47+H48+H49+H50+H51+H52+H53+H54+H55+H56+H57+H58+H59+H60+H61+H62</f>
        <v>12701250</v>
      </c>
      <c r="I63" s="10">
        <f>I45+I46+I47+I48+I49+I50+I51+I52+I53+I54+I55+I56+I57+I58+I59+I60+I61+I62</f>
        <v>12701250</v>
      </c>
    </row>
    <row r="64" spans="1:9" s="31" customFormat="1" ht="15.75">
      <c r="A64" s="1482" t="s">
        <v>24</v>
      </c>
      <c r="B64" s="1482"/>
      <c r="C64" s="1482"/>
      <c r="D64" s="1482"/>
      <c r="E64" s="1482"/>
      <c r="F64" s="1482"/>
      <c r="G64" s="10">
        <f>G43+G63</f>
        <v>70185547.069999993</v>
      </c>
      <c r="H64" s="10">
        <f>H43+H63</f>
        <v>59214283.899999999</v>
      </c>
      <c r="I64" s="10">
        <f>I43+I63</f>
        <v>59344802.270000003</v>
      </c>
    </row>
    <row r="65" spans="1:9" s="31" customFormat="1">
      <c r="A65" s="2"/>
      <c r="B65" s="2"/>
      <c r="C65" s="2"/>
      <c r="D65" s="2"/>
      <c r="E65" s="2"/>
      <c r="F65" s="2"/>
      <c r="G65" s="85"/>
      <c r="H65" s="86"/>
      <c r="I65" s="86"/>
    </row>
    <row r="66" spans="1:9" s="32" customFormat="1" ht="33.75" hidden="1" customHeight="1">
      <c r="A66" s="1480" t="s">
        <v>25</v>
      </c>
      <c r="B66" s="1480"/>
      <c r="C66" s="1480"/>
      <c r="D66" s="69"/>
      <c r="E66" s="1481" t="s">
        <v>32</v>
      </c>
      <c r="F66" s="1481"/>
      <c r="G66" s="72"/>
      <c r="H66" s="74"/>
      <c r="I66" s="74"/>
    </row>
    <row r="67" spans="1:9" s="15" customFormat="1" ht="27" hidden="1" customHeight="1">
      <c r="A67" s="15" t="s">
        <v>27</v>
      </c>
      <c r="G67" s="73"/>
      <c r="H67" s="75"/>
      <c r="I67" s="76"/>
    </row>
    <row r="68" spans="1:9" ht="29.25" customHeight="1">
      <c r="C68" s="2" t="s">
        <v>25</v>
      </c>
      <c r="G68" s="34" t="s">
        <v>32</v>
      </c>
    </row>
    <row r="297" ht="12.75" hidden="1" customHeight="1"/>
    <row r="313" ht="12.75" hidden="1" customHeight="1"/>
  </sheetData>
  <autoFilter ref="A9:G64"/>
  <mergeCells count="12">
    <mergeCell ref="A42:F42"/>
    <mergeCell ref="A5:I5"/>
    <mergeCell ref="A6:I6"/>
    <mergeCell ref="A10:I10"/>
    <mergeCell ref="A38:F38"/>
    <mergeCell ref="A39:G39"/>
    <mergeCell ref="A43:F43"/>
    <mergeCell ref="A44:G44"/>
    <mergeCell ref="A63:F63"/>
    <mergeCell ref="A64:F64"/>
    <mergeCell ref="A66:C66"/>
    <mergeCell ref="E66:F66"/>
  </mergeCells>
  <printOptions horizontalCentered="1"/>
  <pageMargins left="0" right="0" top="0" bottom="0" header="0.35433070866141736" footer="0.35433070866141736"/>
  <pageSetup paperSize="9" scale="91" fitToHeight="2" orientation="landscape" horizontalDpi="4294967295" verticalDpi="4294967295" r:id="rId1"/>
  <headerFooter alignWithMargins="0"/>
  <rowBreaks count="3" manualBreakCount="3">
    <brk id="26" max="8" man="1"/>
    <brk id="43" max="8" man="1"/>
    <brk id="68"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tabColor rgb="FF92D050"/>
  </sheetPr>
  <dimension ref="A3:P314"/>
  <sheetViews>
    <sheetView view="pageBreakPreview" topLeftCell="B13" zoomScale="85" zoomScaleNormal="85" zoomScaleSheetLayoutView="85" workbookViewId="0">
      <selection activeCell="H16" sqref="H16"/>
    </sheetView>
  </sheetViews>
  <sheetFormatPr defaultRowHeight="12.75"/>
  <cols>
    <col min="1" max="1" width="12.85546875" style="2" customWidth="1"/>
    <col min="2" max="2" width="7.85546875" style="2" customWidth="1"/>
    <col min="3" max="3" width="24.42578125" style="110" customWidth="1"/>
    <col min="4" max="4" width="24.42578125" style="2" customWidth="1"/>
    <col min="5" max="5" width="8.42578125" style="2" customWidth="1"/>
    <col min="6" max="6" width="8.85546875" style="2" customWidth="1"/>
    <col min="7" max="7" width="46.85546875" style="2" customWidth="1"/>
    <col min="8" max="8" width="16.5703125" style="88" customWidth="1"/>
    <col min="9" max="9" width="15.5703125" style="88" customWidth="1"/>
    <col min="10" max="10" width="15.7109375" style="124" customWidth="1"/>
    <col min="11" max="11" width="23.7109375" style="2" bestFit="1" customWidth="1"/>
    <col min="12" max="12" width="16.28515625" style="2" customWidth="1"/>
    <col min="13" max="13" width="14.5703125" style="2" customWidth="1"/>
    <col min="14" max="14" width="9.140625" style="2"/>
    <col min="15" max="15" width="13.140625" style="2" customWidth="1"/>
    <col min="16" max="16" width="12.7109375" style="2" customWidth="1"/>
    <col min="17" max="250" width="9.140625" style="2"/>
    <col min="251" max="251" width="16.28515625" style="2" customWidth="1"/>
    <col min="252" max="252" width="9.5703125" style="2" customWidth="1"/>
    <col min="253" max="253" width="25.85546875" style="2" customWidth="1"/>
    <col min="254" max="254" width="10.7109375" style="2" customWidth="1"/>
    <col min="255" max="255" width="40.42578125" style="2" customWidth="1"/>
    <col min="256" max="256" width="30.5703125" style="2" customWidth="1"/>
    <col min="257" max="257" width="16.42578125" style="2" customWidth="1"/>
    <col min="258" max="258" width="13" style="2" bestFit="1" customWidth="1"/>
    <col min="259" max="506" width="9.140625" style="2"/>
    <col min="507" max="507" width="16.28515625" style="2" customWidth="1"/>
    <col min="508" max="508" width="9.5703125" style="2" customWidth="1"/>
    <col min="509" max="509" width="25.85546875" style="2" customWidth="1"/>
    <col min="510" max="510" width="10.7109375" style="2" customWidth="1"/>
    <col min="511" max="511" width="40.42578125" style="2" customWidth="1"/>
    <col min="512" max="512" width="30.5703125" style="2" customWidth="1"/>
    <col min="513" max="513" width="16.42578125" style="2" customWidth="1"/>
    <col min="514" max="514" width="13" style="2" bestFit="1" customWidth="1"/>
    <col min="515" max="762" width="9.140625" style="2"/>
    <col min="763" max="763" width="16.28515625" style="2" customWidth="1"/>
    <col min="764" max="764" width="9.5703125" style="2" customWidth="1"/>
    <col min="765" max="765" width="25.85546875" style="2" customWidth="1"/>
    <col min="766" max="766" width="10.7109375" style="2" customWidth="1"/>
    <col min="767" max="767" width="40.42578125" style="2" customWidth="1"/>
    <col min="768" max="768" width="30.5703125" style="2" customWidth="1"/>
    <col min="769" max="769" width="16.42578125" style="2" customWidth="1"/>
    <col min="770" max="770" width="13" style="2" bestFit="1" customWidth="1"/>
    <col min="771" max="1018" width="9.140625" style="2"/>
    <col min="1019" max="1019" width="16.28515625" style="2" customWidth="1"/>
    <col min="1020" max="1020" width="9.5703125" style="2" customWidth="1"/>
    <col min="1021" max="1021" width="25.85546875" style="2" customWidth="1"/>
    <col min="1022" max="1022" width="10.7109375" style="2" customWidth="1"/>
    <col min="1023" max="1023" width="40.42578125" style="2" customWidth="1"/>
    <col min="1024" max="1024" width="30.5703125" style="2" customWidth="1"/>
    <col min="1025" max="1025" width="16.42578125" style="2" customWidth="1"/>
    <col min="1026" max="1026" width="13" style="2" bestFit="1" customWidth="1"/>
    <col min="1027" max="1274" width="9.140625" style="2"/>
    <col min="1275" max="1275" width="16.28515625" style="2" customWidth="1"/>
    <col min="1276" max="1276" width="9.5703125" style="2" customWidth="1"/>
    <col min="1277" max="1277" width="25.85546875" style="2" customWidth="1"/>
    <col min="1278" max="1278" width="10.7109375" style="2" customWidth="1"/>
    <col min="1279" max="1279" width="40.42578125" style="2" customWidth="1"/>
    <col min="1280" max="1280" width="30.5703125" style="2" customWidth="1"/>
    <col min="1281" max="1281" width="16.42578125" style="2" customWidth="1"/>
    <col min="1282" max="1282" width="13" style="2" bestFit="1" customWidth="1"/>
    <col min="1283" max="1530" width="9.140625" style="2"/>
    <col min="1531" max="1531" width="16.28515625" style="2" customWidth="1"/>
    <col min="1532" max="1532" width="9.5703125" style="2" customWidth="1"/>
    <col min="1533" max="1533" width="25.85546875" style="2" customWidth="1"/>
    <col min="1534" max="1534" width="10.7109375" style="2" customWidth="1"/>
    <col min="1535" max="1535" width="40.42578125" style="2" customWidth="1"/>
    <col min="1536" max="1536" width="30.5703125" style="2" customWidth="1"/>
    <col min="1537" max="1537" width="16.42578125" style="2" customWidth="1"/>
    <col min="1538" max="1538" width="13" style="2" bestFit="1" customWidth="1"/>
    <col min="1539" max="1786" width="9.140625" style="2"/>
    <col min="1787" max="1787" width="16.28515625" style="2" customWidth="1"/>
    <col min="1788" max="1788" width="9.5703125" style="2" customWidth="1"/>
    <col min="1789" max="1789" width="25.85546875" style="2" customWidth="1"/>
    <col min="1790" max="1790" width="10.7109375" style="2" customWidth="1"/>
    <col min="1791" max="1791" width="40.42578125" style="2" customWidth="1"/>
    <col min="1792" max="1792" width="30.5703125" style="2" customWidth="1"/>
    <col min="1793" max="1793" width="16.42578125" style="2" customWidth="1"/>
    <col min="1794" max="1794" width="13" style="2" bestFit="1" customWidth="1"/>
    <col min="1795" max="2042" width="9.140625" style="2"/>
    <col min="2043" max="2043" width="16.28515625" style="2" customWidth="1"/>
    <col min="2044" max="2044" width="9.5703125" style="2" customWidth="1"/>
    <col min="2045" max="2045" width="25.85546875" style="2" customWidth="1"/>
    <col min="2046" max="2046" width="10.7109375" style="2" customWidth="1"/>
    <col min="2047" max="2047" width="40.42578125" style="2" customWidth="1"/>
    <col min="2048" max="2048" width="30.5703125" style="2" customWidth="1"/>
    <col min="2049" max="2049" width="16.42578125" style="2" customWidth="1"/>
    <col min="2050" max="2050" width="13" style="2" bestFit="1" customWidth="1"/>
    <col min="2051" max="2298" width="9.140625" style="2"/>
    <col min="2299" max="2299" width="16.28515625" style="2" customWidth="1"/>
    <col min="2300" max="2300" width="9.5703125" style="2" customWidth="1"/>
    <col min="2301" max="2301" width="25.85546875" style="2" customWidth="1"/>
    <col min="2302" max="2302" width="10.7109375" style="2" customWidth="1"/>
    <col min="2303" max="2303" width="40.42578125" style="2" customWidth="1"/>
    <col min="2304" max="2304" width="30.5703125" style="2" customWidth="1"/>
    <col min="2305" max="2305" width="16.42578125" style="2" customWidth="1"/>
    <col min="2306" max="2306" width="13" style="2" bestFit="1" customWidth="1"/>
    <col min="2307" max="2554" width="9.140625" style="2"/>
    <col min="2555" max="2555" width="16.28515625" style="2" customWidth="1"/>
    <col min="2556" max="2556" width="9.5703125" style="2" customWidth="1"/>
    <col min="2557" max="2557" width="25.85546875" style="2" customWidth="1"/>
    <col min="2558" max="2558" width="10.7109375" style="2" customWidth="1"/>
    <col min="2559" max="2559" width="40.42578125" style="2" customWidth="1"/>
    <col min="2560" max="2560" width="30.5703125" style="2" customWidth="1"/>
    <col min="2561" max="2561" width="16.42578125" style="2" customWidth="1"/>
    <col min="2562" max="2562" width="13" style="2" bestFit="1" customWidth="1"/>
    <col min="2563" max="2810" width="9.140625" style="2"/>
    <col min="2811" max="2811" width="16.28515625" style="2" customWidth="1"/>
    <col min="2812" max="2812" width="9.5703125" style="2" customWidth="1"/>
    <col min="2813" max="2813" width="25.85546875" style="2" customWidth="1"/>
    <col min="2814" max="2814" width="10.7109375" style="2" customWidth="1"/>
    <col min="2815" max="2815" width="40.42578125" style="2" customWidth="1"/>
    <col min="2816" max="2816" width="30.5703125" style="2" customWidth="1"/>
    <col min="2817" max="2817" width="16.42578125" style="2" customWidth="1"/>
    <col min="2818" max="2818" width="13" style="2" bestFit="1" customWidth="1"/>
    <col min="2819" max="3066" width="9.140625" style="2"/>
    <col min="3067" max="3067" width="16.28515625" style="2" customWidth="1"/>
    <col min="3068" max="3068" width="9.5703125" style="2" customWidth="1"/>
    <col min="3069" max="3069" width="25.85546875" style="2" customWidth="1"/>
    <col min="3070" max="3070" width="10.7109375" style="2" customWidth="1"/>
    <col min="3071" max="3071" width="40.42578125" style="2" customWidth="1"/>
    <col min="3072" max="3072" width="30.5703125" style="2" customWidth="1"/>
    <col min="3073" max="3073" width="16.42578125" style="2" customWidth="1"/>
    <col min="3074" max="3074" width="13" style="2" bestFit="1" customWidth="1"/>
    <col min="3075" max="3322" width="9.140625" style="2"/>
    <col min="3323" max="3323" width="16.28515625" style="2" customWidth="1"/>
    <col min="3324" max="3324" width="9.5703125" style="2" customWidth="1"/>
    <col min="3325" max="3325" width="25.85546875" style="2" customWidth="1"/>
    <col min="3326" max="3326" width="10.7109375" style="2" customWidth="1"/>
    <col min="3327" max="3327" width="40.42578125" style="2" customWidth="1"/>
    <col min="3328" max="3328" width="30.5703125" style="2" customWidth="1"/>
    <col min="3329" max="3329" width="16.42578125" style="2" customWidth="1"/>
    <col min="3330" max="3330" width="13" style="2" bestFit="1" customWidth="1"/>
    <col min="3331" max="3578" width="9.140625" style="2"/>
    <col min="3579" max="3579" width="16.28515625" style="2" customWidth="1"/>
    <col min="3580" max="3580" width="9.5703125" style="2" customWidth="1"/>
    <col min="3581" max="3581" width="25.85546875" style="2" customWidth="1"/>
    <col min="3582" max="3582" width="10.7109375" style="2" customWidth="1"/>
    <col min="3583" max="3583" width="40.42578125" style="2" customWidth="1"/>
    <col min="3584" max="3584" width="30.5703125" style="2" customWidth="1"/>
    <col min="3585" max="3585" width="16.42578125" style="2" customWidth="1"/>
    <col min="3586" max="3586" width="13" style="2" bestFit="1" customWidth="1"/>
    <col min="3587" max="3834" width="9.140625" style="2"/>
    <col min="3835" max="3835" width="16.28515625" style="2" customWidth="1"/>
    <col min="3836" max="3836" width="9.5703125" style="2" customWidth="1"/>
    <col min="3837" max="3837" width="25.85546875" style="2" customWidth="1"/>
    <col min="3838" max="3838" width="10.7109375" style="2" customWidth="1"/>
    <col min="3839" max="3839" width="40.42578125" style="2" customWidth="1"/>
    <col min="3840" max="3840" width="30.5703125" style="2" customWidth="1"/>
    <col min="3841" max="3841" width="16.42578125" style="2" customWidth="1"/>
    <col min="3842" max="3842" width="13" style="2" bestFit="1" customWidth="1"/>
    <col min="3843" max="4090" width="9.140625" style="2"/>
    <col min="4091" max="4091" width="16.28515625" style="2" customWidth="1"/>
    <col min="4092" max="4092" width="9.5703125" style="2" customWidth="1"/>
    <col min="4093" max="4093" width="25.85546875" style="2" customWidth="1"/>
    <col min="4094" max="4094" width="10.7109375" style="2" customWidth="1"/>
    <col min="4095" max="4095" width="40.42578125" style="2" customWidth="1"/>
    <col min="4096" max="4096" width="30.5703125" style="2" customWidth="1"/>
    <col min="4097" max="4097" width="16.42578125" style="2" customWidth="1"/>
    <col min="4098" max="4098" width="13" style="2" bestFit="1" customWidth="1"/>
    <col min="4099" max="4346" width="9.140625" style="2"/>
    <col min="4347" max="4347" width="16.28515625" style="2" customWidth="1"/>
    <col min="4348" max="4348" width="9.5703125" style="2" customWidth="1"/>
    <col min="4349" max="4349" width="25.85546875" style="2" customWidth="1"/>
    <col min="4350" max="4350" width="10.7109375" style="2" customWidth="1"/>
    <col min="4351" max="4351" width="40.42578125" style="2" customWidth="1"/>
    <col min="4352" max="4352" width="30.5703125" style="2" customWidth="1"/>
    <col min="4353" max="4353" width="16.42578125" style="2" customWidth="1"/>
    <col min="4354" max="4354" width="13" style="2" bestFit="1" customWidth="1"/>
    <col min="4355" max="4602" width="9.140625" style="2"/>
    <col min="4603" max="4603" width="16.28515625" style="2" customWidth="1"/>
    <col min="4604" max="4604" width="9.5703125" style="2" customWidth="1"/>
    <col min="4605" max="4605" width="25.85546875" style="2" customWidth="1"/>
    <col min="4606" max="4606" width="10.7109375" style="2" customWidth="1"/>
    <col min="4607" max="4607" width="40.42578125" style="2" customWidth="1"/>
    <col min="4608" max="4608" width="30.5703125" style="2" customWidth="1"/>
    <col min="4609" max="4609" width="16.42578125" style="2" customWidth="1"/>
    <col min="4610" max="4610" width="13" style="2" bestFit="1" customWidth="1"/>
    <col min="4611" max="4858" width="9.140625" style="2"/>
    <col min="4859" max="4859" width="16.28515625" style="2" customWidth="1"/>
    <col min="4860" max="4860" width="9.5703125" style="2" customWidth="1"/>
    <col min="4861" max="4861" width="25.85546875" style="2" customWidth="1"/>
    <col min="4862" max="4862" width="10.7109375" style="2" customWidth="1"/>
    <col min="4863" max="4863" width="40.42578125" style="2" customWidth="1"/>
    <col min="4864" max="4864" width="30.5703125" style="2" customWidth="1"/>
    <col min="4865" max="4865" width="16.42578125" style="2" customWidth="1"/>
    <col min="4866" max="4866" width="13" style="2" bestFit="1" customWidth="1"/>
    <col min="4867" max="5114" width="9.140625" style="2"/>
    <col min="5115" max="5115" width="16.28515625" style="2" customWidth="1"/>
    <col min="5116" max="5116" width="9.5703125" style="2" customWidth="1"/>
    <col min="5117" max="5117" width="25.85546875" style="2" customWidth="1"/>
    <col min="5118" max="5118" width="10.7109375" style="2" customWidth="1"/>
    <col min="5119" max="5119" width="40.42578125" style="2" customWidth="1"/>
    <col min="5120" max="5120" width="30.5703125" style="2" customWidth="1"/>
    <col min="5121" max="5121" width="16.42578125" style="2" customWidth="1"/>
    <col min="5122" max="5122" width="13" style="2" bestFit="1" customWidth="1"/>
    <col min="5123" max="5370" width="9.140625" style="2"/>
    <col min="5371" max="5371" width="16.28515625" style="2" customWidth="1"/>
    <col min="5372" max="5372" width="9.5703125" style="2" customWidth="1"/>
    <col min="5373" max="5373" width="25.85546875" style="2" customWidth="1"/>
    <col min="5374" max="5374" width="10.7109375" style="2" customWidth="1"/>
    <col min="5375" max="5375" width="40.42578125" style="2" customWidth="1"/>
    <col min="5376" max="5376" width="30.5703125" style="2" customWidth="1"/>
    <col min="5377" max="5377" width="16.42578125" style="2" customWidth="1"/>
    <col min="5378" max="5378" width="13" style="2" bestFit="1" customWidth="1"/>
    <col min="5379" max="5626" width="9.140625" style="2"/>
    <col min="5627" max="5627" width="16.28515625" style="2" customWidth="1"/>
    <col min="5628" max="5628" width="9.5703125" style="2" customWidth="1"/>
    <col min="5629" max="5629" width="25.85546875" style="2" customWidth="1"/>
    <col min="5630" max="5630" width="10.7109375" style="2" customWidth="1"/>
    <col min="5631" max="5631" width="40.42578125" style="2" customWidth="1"/>
    <col min="5632" max="5632" width="30.5703125" style="2" customWidth="1"/>
    <col min="5633" max="5633" width="16.42578125" style="2" customWidth="1"/>
    <col min="5634" max="5634" width="13" style="2" bestFit="1" customWidth="1"/>
    <col min="5635" max="5882" width="9.140625" style="2"/>
    <col min="5883" max="5883" width="16.28515625" style="2" customWidth="1"/>
    <col min="5884" max="5884" width="9.5703125" style="2" customWidth="1"/>
    <col min="5885" max="5885" width="25.85546875" style="2" customWidth="1"/>
    <col min="5886" max="5886" width="10.7109375" style="2" customWidth="1"/>
    <col min="5887" max="5887" width="40.42578125" style="2" customWidth="1"/>
    <col min="5888" max="5888" width="30.5703125" style="2" customWidth="1"/>
    <col min="5889" max="5889" width="16.42578125" style="2" customWidth="1"/>
    <col min="5890" max="5890" width="13" style="2" bestFit="1" customWidth="1"/>
    <col min="5891" max="6138" width="9.140625" style="2"/>
    <col min="6139" max="6139" width="16.28515625" style="2" customWidth="1"/>
    <col min="6140" max="6140" width="9.5703125" style="2" customWidth="1"/>
    <col min="6141" max="6141" width="25.85546875" style="2" customWidth="1"/>
    <col min="6142" max="6142" width="10.7109375" style="2" customWidth="1"/>
    <col min="6143" max="6143" width="40.42578125" style="2" customWidth="1"/>
    <col min="6144" max="6144" width="30.5703125" style="2" customWidth="1"/>
    <col min="6145" max="6145" width="16.42578125" style="2" customWidth="1"/>
    <col min="6146" max="6146" width="13" style="2" bestFit="1" customWidth="1"/>
    <col min="6147" max="6394" width="9.140625" style="2"/>
    <col min="6395" max="6395" width="16.28515625" style="2" customWidth="1"/>
    <col min="6396" max="6396" width="9.5703125" style="2" customWidth="1"/>
    <col min="6397" max="6397" width="25.85546875" style="2" customWidth="1"/>
    <col min="6398" max="6398" width="10.7109375" style="2" customWidth="1"/>
    <col min="6399" max="6399" width="40.42578125" style="2" customWidth="1"/>
    <col min="6400" max="6400" width="30.5703125" style="2" customWidth="1"/>
    <col min="6401" max="6401" width="16.42578125" style="2" customWidth="1"/>
    <col min="6402" max="6402" width="13" style="2" bestFit="1" customWidth="1"/>
    <col min="6403" max="6650" width="9.140625" style="2"/>
    <col min="6651" max="6651" width="16.28515625" style="2" customWidth="1"/>
    <col min="6652" max="6652" width="9.5703125" style="2" customWidth="1"/>
    <col min="6653" max="6653" width="25.85546875" style="2" customWidth="1"/>
    <col min="6654" max="6654" width="10.7109375" style="2" customWidth="1"/>
    <col min="6655" max="6655" width="40.42578125" style="2" customWidth="1"/>
    <col min="6656" max="6656" width="30.5703125" style="2" customWidth="1"/>
    <col min="6657" max="6657" width="16.42578125" style="2" customWidth="1"/>
    <col min="6658" max="6658" width="13" style="2" bestFit="1" customWidth="1"/>
    <col min="6659" max="6906" width="9.140625" style="2"/>
    <col min="6907" max="6907" width="16.28515625" style="2" customWidth="1"/>
    <col min="6908" max="6908" width="9.5703125" style="2" customWidth="1"/>
    <col min="6909" max="6909" width="25.85546875" style="2" customWidth="1"/>
    <col min="6910" max="6910" width="10.7109375" style="2" customWidth="1"/>
    <col min="6911" max="6911" width="40.42578125" style="2" customWidth="1"/>
    <col min="6912" max="6912" width="30.5703125" style="2" customWidth="1"/>
    <col min="6913" max="6913" width="16.42578125" style="2" customWidth="1"/>
    <col min="6914" max="6914" width="13" style="2" bestFit="1" customWidth="1"/>
    <col min="6915" max="7162" width="9.140625" style="2"/>
    <col min="7163" max="7163" width="16.28515625" style="2" customWidth="1"/>
    <col min="7164" max="7164" width="9.5703125" style="2" customWidth="1"/>
    <col min="7165" max="7165" width="25.85546875" style="2" customWidth="1"/>
    <col min="7166" max="7166" width="10.7109375" style="2" customWidth="1"/>
    <col min="7167" max="7167" width="40.42578125" style="2" customWidth="1"/>
    <col min="7168" max="7168" width="30.5703125" style="2" customWidth="1"/>
    <col min="7169" max="7169" width="16.42578125" style="2" customWidth="1"/>
    <col min="7170" max="7170" width="13" style="2" bestFit="1" customWidth="1"/>
    <col min="7171" max="7418" width="9.140625" style="2"/>
    <col min="7419" max="7419" width="16.28515625" style="2" customWidth="1"/>
    <col min="7420" max="7420" width="9.5703125" style="2" customWidth="1"/>
    <col min="7421" max="7421" width="25.85546875" style="2" customWidth="1"/>
    <col min="7422" max="7422" width="10.7109375" style="2" customWidth="1"/>
    <col min="7423" max="7423" width="40.42578125" style="2" customWidth="1"/>
    <col min="7424" max="7424" width="30.5703125" style="2" customWidth="1"/>
    <col min="7425" max="7425" width="16.42578125" style="2" customWidth="1"/>
    <col min="7426" max="7426" width="13" style="2" bestFit="1" customWidth="1"/>
    <col min="7427" max="7674" width="9.140625" style="2"/>
    <col min="7675" max="7675" width="16.28515625" style="2" customWidth="1"/>
    <col min="7676" max="7676" width="9.5703125" style="2" customWidth="1"/>
    <col min="7677" max="7677" width="25.85546875" style="2" customWidth="1"/>
    <col min="7678" max="7678" width="10.7109375" style="2" customWidth="1"/>
    <col min="7679" max="7679" width="40.42578125" style="2" customWidth="1"/>
    <col min="7680" max="7680" width="30.5703125" style="2" customWidth="1"/>
    <col min="7681" max="7681" width="16.42578125" style="2" customWidth="1"/>
    <col min="7682" max="7682" width="13" style="2" bestFit="1" customWidth="1"/>
    <col min="7683" max="7930" width="9.140625" style="2"/>
    <col min="7931" max="7931" width="16.28515625" style="2" customWidth="1"/>
    <col min="7932" max="7932" width="9.5703125" style="2" customWidth="1"/>
    <col min="7933" max="7933" width="25.85546875" style="2" customWidth="1"/>
    <col min="7934" max="7934" width="10.7109375" style="2" customWidth="1"/>
    <col min="7935" max="7935" width="40.42578125" style="2" customWidth="1"/>
    <col min="7936" max="7936" width="30.5703125" style="2" customWidth="1"/>
    <col min="7937" max="7937" width="16.42578125" style="2" customWidth="1"/>
    <col min="7938" max="7938" width="13" style="2" bestFit="1" customWidth="1"/>
    <col min="7939" max="8186" width="9.140625" style="2"/>
    <col min="8187" max="8187" width="16.28515625" style="2" customWidth="1"/>
    <col min="8188" max="8188" width="9.5703125" style="2" customWidth="1"/>
    <col min="8189" max="8189" width="25.85546875" style="2" customWidth="1"/>
    <col min="8190" max="8190" width="10.7109375" style="2" customWidth="1"/>
    <col min="8191" max="8191" width="40.42578125" style="2" customWidth="1"/>
    <col min="8192" max="8192" width="30.5703125" style="2" customWidth="1"/>
    <col min="8193" max="8193" width="16.42578125" style="2" customWidth="1"/>
    <col min="8194" max="8194" width="13" style="2" bestFit="1" customWidth="1"/>
    <col min="8195" max="8442" width="9.140625" style="2"/>
    <col min="8443" max="8443" width="16.28515625" style="2" customWidth="1"/>
    <col min="8444" max="8444" width="9.5703125" style="2" customWidth="1"/>
    <col min="8445" max="8445" width="25.85546875" style="2" customWidth="1"/>
    <col min="8446" max="8446" width="10.7109375" style="2" customWidth="1"/>
    <col min="8447" max="8447" width="40.42578125" style="2" customWidth="1"/>
    <col min="8448" max="8448" width="30.5703125" style="2" customWidth="1"/>
    <col min="8449" max="8449" width="16.42578125" style="2" customWidth="1"/>
    <col min="8450" max="8450" width="13" style="2" bestFit="1" customWidth="1"/>
    <col min="8451" max="8698" width="9.140625" style="2"/>
    <col min="8699" max="8699" width="16.28515625" style="2" customWidth="1"/>
    <col min="8700" max="8700" width="9.5703125" style="2" customWidth="1"/>
    <col min="8701" max="8701" width="25.85546875" style="2" customWidth="1"/>
    <col min="8702" max="8702" width="10.7109375" style="2" customWidth="1"/>
    <col min="8703" max="8703" width="40.42578125" style="2" customWidth="1"/>
    <col min="8704" max="8704" width="30.5703125" style="2" customWidth="1"/>
    <col min="8705" max="8705" width="16.42578125" style="2" customWidth="1"/>
    <col min="8706" max="8706" width="13" style="2" bestFit="1" customWidth="1"/>
    <col min="8707" max="8954" width="9.140625" style="2"/>
    <col min="8955" max="8955" width="16.28515625" style="2" customWidth="1"/>
    <col min="8956" max="8956" width="9.5703125" style="2" customWidth="1"/>
    <col min="8957" max="8957" width="25.85546875" style="2" customWidth="1"/>
    <col min="8958" max="8958" width="10.7109375" style="2" customWidth="1"/>
    <col min="8959" max="8959" width="40.42578125" style="2" customWidth="1"/>
    <col min="8960" max="8960" width="30.5703125" style="2" customWidth="1"/>
    <col min="8961" max="8961" width="16.42578125" style="2" customWidth="1"/>
    <col min="8962" max="8962" width="13" style="2" bestFit="1" customWidth="1"/>
    <col min="8963" max="9210" width="9.140625" style="2"/>
    <col min="9211" max="9211" width="16.28515625" style="2" customWidth="1"/>
    <col min="9212" max="9212" width="9.5703125" style="2" customWidth="1"/>
    <col min="9213" max="9213" width="25.85546875" style="2" customWidth="1"/>
    <col min="9214" max="9214" width="10.7109375" style="2" customWidth="1"/>
    <col min="9215" max="9215" width="40.42578125" style="2" customWidth="1"/>
    <col min="9216" max="9216" width="30.5703125" style="2" customWidth="1"/>
    <col min="9217" max="9217" width="16.42578125" style="2" customWidth="1"/>
    <col min="9218" max="9218" width="13" style="2" bestFit="1" customWidth="1"/>
    <col min="9219" max="9466" width="9.140625" style="2"/>
    <col min="9467" max="9467" width="16.28515625" style="2" customWidth="1"/>
    <col min="9468" max="9468" width="9.5703125" style="2" customWidth="1"/>
    <col min="9469" max="9469" width="25.85546875" style="2" customWidth="1"/>
    <col min="9470" max="9470" width="10.7109375" style="2" customWidth="1"/>
    <col min="9471" max="9471" width="40.42578125" style="2" customWidth="1"/>
    <col min="9472" max="9472" width="30.5703125" style="2" customWidth="1"/>
    <col min="9473" max="9473" width="16.42578125" style="2" customWidth="1"/>
    <col min="9474" max="9474" width="13" style="2" bestFit="1" customWidth="1"/>
    <col min="9475" max="9722" width="9.140625" style="2"/>
    <col min="9723" max="9723" width="16.28515625" style="2" customWidth="1"/>
    <col min="9724" max="9724" width="9.5703125" style="2" customWidth="1"/>
    <col min="9725" max="9725" width="25.85546875" style="2" customWidth="1"/>
    <col min="9726" max="9726" width="10.7109375" style="2" customWidth="1"/>
    <col min="9727" max="9727" width="40.42578125" style="2" customWidth="1"/>
    <col min="9728" max="9728" width="30.5703125" style="2" customWidth="1"/>
    <col min="9729" max="9729" width="16.42578125" style="2" customWidth="1"/>
    <col min="9730" max="9730" width="13" style="2" bestFit="1" customWidth="1"/>
    <col min="9731" max="9978" width="9.140625" style="2"/>
    <col min="9979" max="9979" width="16.28515625" style="2" customWidth="1"/>
    <col min="9980" max="9980" width="9.5703125" style="2" customWidth="1"/>
    <col min="9981" max="9981" width="25.85546875" style="2" customWidth="1"/>
    <col min="9982" max="9982" width="10.7109375" style="2" customWidth="1"/>
    <col min="9983" max="9983" width="40.42578125" style="2" customWidth="1"/>
    <col min="9984" max="9984" width="30.5703125" style="2" customWidth="1"/>
    <col min="9985" max="9985" width="16.42578125" style="2" customWidth="1"/>
    <col min="9986" max="9986" width="13" style="2" bestFit="1" customWidth="1"/>
    <col min="9987" max="10234" width="9.140625" style="2"/>
    <col min="10235" max="10235" width="16.28515625" style="2" customWidth="1"/>
    <col min="10236" max="10236" width="9.5703125" style="2" customWidth="1"/>
    <col min="10237" max="10237" width="25.85546875" style="2" customWidth="1"/>
    <col min="10238" max="10238" width="10.7109375" style="2" customWidth="1"/>
    <col min="10239" max="10239" width="40.42578125" style="2" customWidth="1"/>
    <col min="10240" max="10240" width="30.5703125" style="2" customWidth="1"/>
    <col min="10241" max="10241" width="16.42578125" style="2" customWidth="1"/>
    <col min="10242" max="10242" width="13" style="2" bestFit="1" customWidth="1"/>
    <col min="10243" max="10490" width="9.140625" style="2"/>
    <col min="10491" max="10491" width="16.28515625" style="2" customWidth="1"/>
    <col min="10492" max="10492" width="9.5703125" style="2" customWidth="1"/>
    <col min="10493" max="10493" width="25.85546875" style="2" customWidth="1"/>
    <col min="10494" max="10494" width="10.7109375" style="2" customWidth="1"/>
    <col min="10495" max="10495" width="40.42578125" style="2" customWidth="1"/>
    <col min="10496" max="10496" width="30.5703125" style="2" customWidth="1"/>
    <col min="10497" max="10497" width="16.42578125" style="2" customWidth="1"/>
    <col min="10498" max="10498" width="13" style="2" bestFit="1" customWidth="1"/>
    <col min="10499" max="10746" width="9.140625" style="2"/>
    <col min="10747" max="10747" width="16.28515625" style="2" customWidth="1"/>
    <col min="10748" max="10748" width="9.5703125" style="2" customWidth="1"/>
    <col min="10749" max="10749" width="25.85546875" style="2" customWidth="1"/>
    <col min="10750" max="10750" width="10.7109375" style="2" customWidth="1"/>
    <col min="10751" max="10751" width="40.42578125" style="2" customWidth="1"/>
    <col min="10752" max="10752" width="30.5703125" style="2" customWidth="1"/>
    <col min="10753" max="10753" width="16.42578125" style="2" customWidth="1"/>
    <col min="10754" max="10754" width="13" style="2" bestFit="1" customWidth="1"/>
    <col min="10755" max="11002" width="9.140625" style="2"/>
    <col min="11003" max="11003" width="16.28515625" style="2" customWidth="1"/>
    <col min="11004" max="11004" width="9.5703125" style="2" customWidth="1"/>
    <col min="11005" max="11005" width="25.85546875" style="2" customWidth="1"/>
    <col min="11006" max="11006" width="10.7109375" style="2" customWidth="1"/>
    <col min="11007" max="11007" width="40.42578125" style="2" customWidth="1"/>
    <col min="11008" max="11008" width="30.5703125" style="2" customWidth="1"/>
    <col min="11009" max="11009" width="16.42578125" style="2" customWidth="1"/>
    <col min="11010" max="11010" width="13" style="2" bestFit="1" customWidth="1"/>
    <col min="11011" max="11258" width="9.140625" style="2"/>
    <col min="11259" max="11259" width="16.28515625" style="2" customWidth="1"/>
    <col min="11260" max="11260" width="9.5703125" style="2" customWidth="1"/>
    <col min="11261" max="11261" width="25.85546875" style="2" customWidth="1"/>
    <col min="11262" max="11262" width="10.7109375" style="2" customWidth="1"/>
    <col min="11263" max="11263" width="40.42578125" style="2" customWidth="1"/>
    <col min="11264" max="11264" width="30.5703125" style="2" customWidth="1"/>
    <col min="11265" max="11265" width="16.42578125" style="2" customWidth="1"/>
    <col min="11266" max="11266" width="13" style="2" bestFit="1" customWidth="1"/>
    <col min="11267" max="11514" width="9.140625" style="2"/>
    <col min="11515" max="11515" width="16.28515625" style="2" customWidth="1"/>
    <col min="11516" max="11516" width="9.5703125" style="2" customWidth="1"/>
    <col min="11517" max="11517" width="25.85546875" style="2" customWidth="1"/>
    <col min="11518" max="11518" width="10.7109375" style="2" customWidth="1"/>
    <col min="11519" max="11519" width="40.42578125" style="2" customWidth="1"/>
    <col min="11520" max="11520" width="30.5703125" style="2" customWidth="1"/>
    <col min="11521" max="11521" width="16.42578125" style="2" customWidth="1"/>
    <col min="11522" max="11522" width="13" style="2" bestFit="1" customWidth="1"/>
    <col min="11523" max="11770" width="9.140625" style="2"/>
    <col min="11771" max="11771" width="16.28515625" style="2" customWidth="1"/>
    <col min="11772" max="11772" width="9.5703125" style="2" customWidth="1"/>
    <col min="11773" max="11773" width="25.85546875" style="2" customWidth="1"/>
    <col min="11774" max="11774" width="10.7109375" style="2" customWidth="1"/>
    <col min="11775" max="11775" width="40.42578125" style="2" customWidth="1"/>
    <col min="11776" max="11776" width="30.5703125" style="2" customWidth="1"/>
    <col min="11777" max="11777" width="16.42578125" style="2" customWidth="1"/>
    <col min="11778" max="11778" width="13" style="2" bestFit="1" customWidth="1"/>
    <col min="11779" max="12026" width="9.140625" style="2"/>
    <col min="12027" max="12027" width="16.28515625" style="2" customWidth="1"/>
    <col min="12028" max="12028" width="9.5703125" style="2" customWidth="1"/>
    <col min="12029" max="12029" width="25.85546875" style="2" customWidth="1"/>
    <col min="12030" max="12030" width="10.7109375" style="2" customWidth="1"/>
    <col min="12031" max="12031" width="40.42578125" style="2" customWidth="1"/>
    <col min="12032" max="12032" width="30.5703125" style="2" customWidth="1"/>
    <col min="12033" max="12033" width="16.42578125" style="2" customWidth="1"/>
    <col min="12034" max="12034" width="13" style="2" bestFit="1" customWidth="1"/>
    <col min="12035" max="12282" width="9.140625" style="2"/>
    <col min="12283" max="12283" width="16.28515625" style="2" customWidth="1"/>
    <col min="12284" max="12284" width="9.5703125" style="2" customWidth="1"/>
    <col min="12285" max="12285" width="25.85546875" style="2" customWidth="1"/>
    <col min="12286" max="12286" width="10.7109375" style="2" customWidth="1"/>
    <col min="12287" max="12287" width="40.42578125" style="2" customWidth="1"/>
    <col min="12288" max="12288" width="30.5703125" style="2" customWidth="1"/>
    <col min="12289" max="12289" width="16.42578125" style="2" customWidth="1"/>
    <col min="12290" max="12290" width="13" style="2" bestFit="1" customWidth="1"/>
    <col min="12291" max="12538" width="9.140625" style="2"/>
    <col min="12539" max="12539" width="16.28515625" style="2" customWidth="1"/>
    <col min="12540" max="12540" width="9.5703125" style="2" customWidth="1"/>
    <col min="12541" max="12541" width="25.85546875" style="2" customWidth="1"/>
    <col min="12542" max="12542" width="10.7109375" style="2" customWidth="1"/>
    <col min="12543" max="12543" width="40.42578125" style="2" customWidth="1"/>
    <col min="12544" max="12544" width="30.5703125" style="2" customWidth="1"/>
    <col min="12545" max="12545" width="16.42578125" style="2" customWidth="1"/>
    <col min="12546" max="12546" width="13" style="2" bestFit="1" customWidth="1"/>
    <col min="12547" max="12794" width="9.140625" style="2"/>
    <col min="12795" max="12795" width="16.28515625" style="2" customWidth="1"/>
    <col min="12796" max="12796" width="9.5703125" style="2" customWidth="1"/>
    <col min="12797" max="12797" width="25.85546875" style="2" customWidth="1"/>
    <col min="12798" max="12798" width="10.7109375" style="2" customWidth="1"/>
    <col min="12799" max="12799" width="40.42578125" style="2" customWidth="1"/>
    <col min="12800" max="12800" width="30.5703125" style="2" customWidth="1"/>
    <col min="12801" max="12801" width="16.42578125" style="2" customWidth="1"/>
    <col min="12802" max="12802" width="13" style="2" bestFit="1" customWidth="1"/>
    <col min="12803" max="13050" width="9.140625" style="2"/>
    <col min="13051" max="13051" width="16.28515625" style="2" customWidth="1"/>
    <col min="13052" max="13052" width="9.5703125" style="2" customWidth="1"/>
    <col min="13053" max="13053" width="25.85546875" style="2" customWidth="1"/>
    <col min="13054" max="13054" width="10.7109375" style="2" customWidth="1"/>
    <col min="13055" max="13055" width="40.42578125" style="2" customWidth="1"/>
    <col min="13056" max="13056" width="30.5703125" style="2" customWidth="1"/>
    <col min="13057" max="13057" width="16.42578125" style="2" customWidth="1"/>
    <col min="13058" max="13058" width="13" style="2" bestFit="1" customWidth="1"/>
    <col min="13059" max="13306" width="9.140625" style="2"/>
    <col min="13307" max="13307" width="16.28515625" style="2" customWidth="1"/>
    <col min="13308" max="13308" width="9.5703125" style="2" customWidth="1"/>
    <col min="13309" max="13309" width="25.85546875" style="2" customWidth="1"/>
    <col min="13310" max="13310" width="10.7109375" style="2" customWidth="1"/>
    <col min="13311" max="13311" width="40.42578125" style="2" customWidth="1"/>
    <col min="13312" max="13312" width="30.5703125" style="2" customWidth="1"/>
    <col min="13313" max="13313" width="16.42578125" style="2" customWidth="1"/>
    <col min="13314" max="13314" width="13" style="2" bestFit="1" customWidth="1"/>
    <col min="13315" max="13562" width="9.140625" style="2"/>
    <col min="13563" max="13563" width="16.28515625" style="2" customWidth="1"/>
    <col min="13564" max="13564" width="9.5703125" style="2" customWidth="1"/>
    <col min="13565" max="13565" width="25.85546875" style="2" customWidth="1"/>
    <col min="13566" max="13566" width="10.7109375" style="2" customWidth="1"/>
    <col min="13567" max="13567" width="40.42578125" style="2" customWidth="1"/>
    <col min="13568" max="13568" width="30.5703125" style="2" customWidth="1"/>
    <col min="13569" max="13569" width="16.42578125" style="2" customWidth="1"/>
    <col min="13570" max="13570" width="13" style="2" bestFit="1" customWidth="1"/>
    <col min="13571" max="13818" width="9.140625" style="2"/>
    <col min="13819" max="13819" width="16.28515625" style="2" customWidth="1"/>
    <col min="13820" max="13820" width="9.5703125" style="2" customWidth="1"/>
    <col min="13821" max="13821" width="25.85546875" style="2" customWidth="1"/>
    <col min="13822" max="13822" width="10.7109375" style="2" customWidth="1"/>
    <col min="13823" max="13823" width="40.42578125" style="2" customWidth="1"/>
    <col min="13824" max="13824" width="30.5703125" style="2" customWidth="1"/>
    <col min="13825" max="13825" width="16.42578125" style="2" customWidth="1"/>
    <col min="13826" max="13826" width="13" style="2" bestFit="1" customWidth="1"/>
    <col min="13827" max="14074" width="9.140625" style="2"/>
    <col min="14075" max="14075" width="16.28515625" style="2" customWidth="1"/>
    <col min="14076" max="14076" width="9.5703125" style="2" customWidth="1"/>
    <col min="14077" max="14077" width="25.85546875" style="2" customWidth="1"/>
    <col min="14078" max="14078" width="10.7109375" style="2" customWidth="1"/>
    <col min="14079" max="14079" width="40.42578125" style="2" customWidth="1"/>
    <col min="14080" max="14080" width="30.5703125" style="2" customWidth="1"/>
    <col min="14081" max="14081" width="16.42578125" style="2" customWidth="1"/>
    <col min="14082" max="14082" width="13" style="2" bestFit="1" customWidth="1"/>
    <col min="14083" max="14330" width="9.140625" style="2"/>
    <col min="14331" max="14331" width="16.28515625" style="2" customWidth="1"/>
    <col min="14332" max="14332" width="9.5703125" style="2" customWidth="1"/>
    <col min="14333" max="14333" width="25.85546875" style="2" customWidth="1"/>
    <col min="14334" max="14334" width="10.7109375" style="2" customWidth="1"/>
    <col min="14335" max="14335" width="40.42578125" style="2" customWidth="1"/>
    <col min="14336" max="14336" width="30.5703125" style="2" customWidth="1"/>
    <col min="14337" max="14337" width="16.42578125" style="2" customWidth="1"/>
    <col min="14338" max="14338" width="13" style="2" bestFit="1" customWidth="1"/>
    <col min="14339" max="14586" width="9.140625" style="2"/>
    <col min="14587" max="14587" width="16.28515625" style="2" customWidth="1"/>
    <col min="14588" max="14588" width="9.5703125" style="2" customWidth="1"/>
    <col min="14589" max="14589" width="25.85546875" style="2" customWidth="1"/>
    <col min="14590" max="14590" width="10.7109375" style="2" customWidth="1"/>
    <col min="14591" max="14591" width="40.42578125" style="2" customWidth="1"/>
    <col min="14592" max="14592" width="30.5703125" style="2" customWidth="1"/>
    <col min="14593" max="14593" width="16.42578125" style="2" customWidth="1"/>
    <col min="14594" max="14594" width="13" style="2" bestFit="1" customWidth="1"/>
    <col min="14595" max="14842" width="9.140625" style="2"/>
    <col min="14843" max="14843" width="16.28515625" style="2" customWidth="1"/>
    <col min="14844" max="14844" width="9.5703125" style="2" customWidth="1"/>
    <col min="14845" max="14845" width="25.85546875" style="2" customWidth="1"/>
    <col min="14846" max="14846" width="10.7109375" style="2" customWidth="1"/>
    <col min="14847" max="14847" width="40.42578125" style="2" customWidth="1"/>
    <col min="14848" max="14848" width="30.5703125" style="2" customWidth="1"/>
    <col min="14849" max="14849" width="16.42578125" style="2" customWidth="1"/>
    <col min="14850" max="14850" width="13" style="2" bestFit="1" customWidth="1"/>
    <col min="14851" max="15098" width="9.140625" style="2"/>
    <col min="15099" max="15099" width="16.28515625" style="2" customWidth="1"/>
    <col min="15100" max="15100" width="9.5703125" style="2" customWidth="1"/>
    <col min="15101" max="15101" width="25.85546875" style="2" customWidth="1"/>
    <col min="15102" max="15102" width="10.7109375" style="2" customWidth="1"/>
    <col min="15103" max="15103" width="40.42578125" style="2" customWidth="1"/>
    <col min="15104" max="15104" width="30.5703125" style="2" customWidth="1"/>
    <col min="15105" max="15105" width="16.42578125" style="2" customWidth="1"/>
    <col min="15106" max="15106" width="13" style="2" bestFit="1" customWidth="1"/>
    <col min="15107" max="15354" width="9.140625" style="2"/>
    <col min="15355" max="15355" width="16.28515625" style="2" customWidth="1"/>
    <col min="15356" max="15356" width="9.5703125" style="2" customWidth="1"/>
    <col min="15357" max="15357" width="25.85546875" style="2" customWidth="1"/>
    <col min="15358" max="15358" width="10.7109375" style="2" customWidth="1"/>
    <col min="15359" max="15359" width="40.42578125" style="2" customWidth="1"/>
    <col min="15360" max="15360" width="30.5703125" style="2" customWidth="1"/>
    <col min="15361" max="15361" width="16.42578125" style="2" customWidth="1"/>
    <col min="15362" max="15362" width="13" style="2" bestFit="1" customWidth="1"/>
    <col min="15363" max="15610" width="9.140625" style="2"/>
    <col min="15611" max="15611" width="16.28515625" style="2" customWidth="1"/>
    <col min="15612" max="15612" width="9.5703125" style="2" customWidth="1"/>
    <col min="15613" max="15613" width="25.85546875" style="2" customWidth="1"/>
    <col min="15614" max="15614" width="10.7109375" style="2" customWidth="1"/>
    <col min="15615" max="15615" width="40.42578125" style="2" customWidth="1"/>
    <col min="15616" max="15616" width="30.5703125" style="2" customWidth="1"/>
    <col min="15617" max="15617" width="16.42578125" style="2" customWidth="1"/>
    <col min="15618" max="15618" width="13" style="2" bestFit="1" customWidth="1"/>
    <col min="15619" max="15866" width="9.140625" style="2"/>
    <col min="15867" max="15867" width="16.28515625" style="2" customWidth="1"/>
    <col min="15868" max="15868" width="9.5703125" style="2" customWidth="1"/>
    <col min="15869" max="15869" width="25.85546875" style="2" customWidth="1"/>
    <col min="15870" max="15870" width="10.7109375" style="2" customWidth="1"/>
    <col min="15871" max="15871" width="40.42578125" style="2" customWidth="1"/>
    <col min="15872" max="15872" width="30.5703125" style="2" customWidth="1"/>
    <col min="15873" max="15873" width="16.42578125" style="2" customWidth="1"/>
    <col min="15874" max="15874" width="13" style="2" bestFit="1" customWidth="1"/>
    <col min="15875" max="16122" width="9.140625" style="2"/>
    <col min="16123" max="16123" width="16.28515625" style="2" customWidth="1"/>
    <col min="16124" max="16124" width="9.5703125" style="2" customWidth="1"/>
    <col min="16125" max="16125" width="25.85546875" style="2" customWidth="1"/>
    <col min="16126" max="16126" width="10.7109375" style="2" customWidth="1"/>
    <col min="16127" max="16127" width="40.42578125" style="2" customWidth="1"/>
    <col min="16128" max="16128" width="30.5703125" style="2" customWidth="1"/>
    <col min="16129" max="16129" width="16.42578125" style="2" customWidth="1"/>
    <col min="16130" max="16130" width="13" style="2" bestFit="1" customWidth="1"/>
    <col min="16131" max="16384" width="9.140625" style="2"/>
  </cols>
  <sheetData>
    <row r="3" spans="1:10">
      <c r="H3" s="101"/>
    </row>
    <row r="5" spans="1:10" ht="18.75">
      <c r="A5" s="1483" t="s">
        <v>51</v>
      </c>
      <c r="B5" s="1483"/>
      <c r="C5" s="1483"/>
      <c r="D5" s="1483"/>
      <c r="E5" s="1483"/>
      <c r="F5" s="1483"/>
      <c r="G5" s="1483"/>
      <c r="H5" s="1483"/>
      <c r="I5" s="1483"/>
      <c r="J5" s="1487"/>
    </row>
    <row r="6" spans="1:10" ht="18.75">
      <c r="A6" s="1483" t="s">
        <v>29</v>
      </c>
      <c r="B6" s="1483"/>
      <c r="C6" s="1483"/>
      <c r="D6" s="1483"/>
      <c r="E6" s="1483"/>
      <c r="F6" s="1483"/>
      <c r="G6" s="1483"/>
      <c r="H6" s="1483"/>
      <c r="I6" s="1483"/>
      <c r="J6" s="1487"/>
    </row>
    <row r="7" spans="1:10">
      <c r="H7" s="87"/>
    </row>
    <row r="8" spans="1:10">
      <c r="C8" s="111"/>
      <c r="D8" s="4"/>
      <c r="E8" s="4"/>
      <c r="J8" s="125" t="s">
        <v>0</v>
      </c>
    </row>
    <row r="9" spans="1:10" s="31" customFormat="1" ht="73.5" customHeight="1">
      <c r="A9" s="12" t="s">
        <v>1</v>
      </c>
      <c r="B9" s="12" t="s">
        <v>2</v>
      </c>
      <c r="C9" s="112" t="s">
        <v>3</v>
      </c>
      <c r="D9" s="12" t="s">
        <v>68</v>
      </c>
      <c r="E9" s="12" t="s">
        <v>4</v>
      </c>
      <c r="F9" s="12" t="s">
        <v>5</v>
      </c>
      <c r="G9" s="12" t="s">
        <v>6</v>
      </c>
      <c r="H9" s="89" t="s">
        <v>52</v>
      </c>
      <c r="I9" s="89" t="s">
        <v>33</v>
      </c>
      <c r="J9" s="126" t="s">
        <v>50</v>
      </c>
    </row>
    <row r="10" spans="1:10" s="31" customFormat="1" ht="44.25" customHeight="1">
      <c r="A10" s="1484" t="s">
        <v>26</v>
      </c>
      <c r="B10" s="1485"/>
      <c r="C10" s="1485"/>
      <c r="D10" s="1485"/>
      <c r="E10" s="1485"/>
      <c r="F10" s="1485"/>
      <c r="G10" s="1485"/>
      <c r="H10" s="1485"/>
      <c r="I10" s="1485"/>
      <c r="J10" s="1485"/>
    </row>
    <row r="11" spans="1:10" s="31" customFormat="1" ht="30.75" customHeight="1">
      <c r="A11" s="55" t="s">
        <v>7</v>
      </c>
      <c r="B11" s="55">
        <v>4</v>
      </c>
      <c r="C11" s="113" t="s">
        <v>37</v>
      </c>
      <c r="D11" s="55" t="s">
        <v>69</v>
      </c>
      <c r="E11" s="55">
        <v>111</v>
      </c>
      <c r="F11" s="11">
        <v>211</v>
      </c>
      <c r="G11" s="8" t="s">
        <v>8</v>
      </c>
      <c r="H11" s="13">
        <v>32780340.52</v>
      </c>
      <c r="I11" s="118">
        <v>27186806.899999999</v>
      </c>
      <c r="J11" s="10">
        <v>27124887.949999999</v>
      </c>
    </row>
    <row r="12" spans="1:10" s="31" customFormat="1" ht="47.25">
      <c r="A12" s="55" t="s">
        <v>7</v>
      </c>
      <c r="B12" s="55">
        <v>4</v>
      </c>
      <c r="C12" s="113" t="s">
        <v>37</v>
      </c>
      <c r="D12" s="55" t="s">
        <v>71</v>
      </c>
      <c r="E12" s="55">
        <v>111</v>
      </c>
      <c r="F12" s="11">
        <v>266</v>
      </c>
      <c r="G12" s="8" t="s">
        <v>43</v>
      </c>
      <c r="H12" s="91">
        <v>19800</v>
      </c>
      <c r="I12" s="118">
        <v>19800</v>
      </c>
      <c r="J12" s="10">
        <v>19800</v>
      </c>
    </row>
    <row r="13" spans="1:10" s="31" customFormat="1" ht="94.5">
      <c r="A13" s="55" t="s">
        <v>7</v>
      </c>
      <c r="B13" s="55">
        <v>4</v>
      </c>
      <c r="C13" s="113" t="s">
        <v>45</v>
      </c>
      <c r="D13" s="55" t="s">
        <v>71</v>
      </c>
      <c r="E13" s="55">
        <v>111</v>
      </c>
      <c r="F13" s="11">
        <v>211</v>
      </c>
      <c r="G13" s="8" t="s">
        <v>49</v>
      </c>
      <c r="H13" s="91">
        <v>128000</v>
      </c>
      <c r="I13" s="118">
        <v>88000</v>
      </c>
      <c r="J13" s="10">
        <v>94000</v>
      </c>
    </row>
    <row r="14" spans="1:10" s="31" customFormat="1" ht="22.5" customHeight="1">
      <c r="A14" s="55" t="s">
        <v>7</v>
      </c>
      <c r="B14" s="55">
        <v>4</v>
      </c>
      <c r="C14" s="113" t="s">
        <v>45</v>
      </c>
      <c r="D14" s="55" t="s">
        <v>71</v>
      </c>
      <c r="E14" s="55">
        <v>112</v>
      </c>
      <c r="F14" s="11">
        <v>214</v>
      </c>
      <c r="G14" s="8" t="s">
        <v>35</v>
      </c>
      <c r="H14" s="13">
        <v>960000</v>
      </c>
      <c r="I14" s="118">
        <v>880000</v>
      </c>
      <c r="J14" s="10">
        <v>960000</v>
      </c>
    </row>
    <row r="15" spans="1:10" s="31" customFormat="1" ht="55.5" customHeight="1">
      <c r="A15" s="55" t="s">
        <v>7</v>
      </c>
      <c r="B15" s="55">
        <v>4</v>
      </c>
      <c r="C15" s="113" t="s">
        <v>45</v>
      </c>
      <c r="D15" s="55" t="s">
        <v>71</v>
      </c>
      <c r="E15" s="55">
        <v>112</v>
      </c>
      <c r="F15" s="11">
        <v>226</v>
      </c>
      <c r="G15" s="8" t="s">
        <v>101</v>
      </c>
      <c r="H15" s="91">
        <v>10000</v>
      </c>
      <c r="I15" s="10">
        <v>0</v>
      </c>
      <c r="J15" s="127">
        <v>0</v>
      </c>
    </row>
    <row r="16" spans="1:10" s="31" customFormat="1" ht="55.5" customHeight="1">
      <c r="A16" s="55" t="s">
        <v>7</v>
      </c>
      <c r="B16" s="55">
        <v>4</v>
      </c>
      <c r="C16" s="113" t="s">
        <v>45</v>
      </c>
      <c r="D16" s="55" t="s">
        <v>71</v>
      </c>
      <c r="E16" s="55">
        <v>112</v>
      </c>
      <c r="F16" s="11">
        <v>266</v>
      </c>
      <c r="G16" s="8" t="s">
        <v>66</v>
      </c>
      <c r="H16" s="91">
        <f>1800+111440-10000</f>
        <v>103240</v>
      </c>
      <c r="I16" s="10">
        <f>1800+101917.75</f>
        <v>103717.75</v>
      </c>
      <c r="J16" s="127">
        <f>525+101747.75</f>
        <v>102272.75</v>
      </c>
    </row>
    <row r="17" spans="1:16" s="31" customFormat="1" ht="18" customHeight="1">
      <c r="A17" s="55" t="s">
        <v>7</v>
      </c>
      <c r="B17" s="55">
        <v>4</v>
      </c>
      <c r="C17" s="113" t="s">
        <v>37</v>
      </c>
      <c r="D17" s="55" t="s">
        <v>69</v>
      </c>
      <c r="E17" s="55">
        <v>119</v>
      </c>
      <c r="F17" s="11">
        <v>213</v>
      </c>
      <c r="G17" s="8" t="s">
        <v>10</v>
      </c>
      <c r="H17" s="13">
        <v>9756045.25</v>
      </c>
      <c r="I17" s="119">
        <v>8142293.2800000003</v>
      </c>
      <c r="J17" s="13">
        <v>8098921.9800000004</v>
      </c>
    </row>
    <row r="18" spans="1:16" s="31" customFormat="1" ht="31.5">
      <c r="A18" s="55" t="s">
        <v>7</v>
      </c>
      <c r="B18" s="55">
        <v>4</v>
      </c>
      <c r="C18" s="113" t="s">
        <v>45</v>
      </c>
      <c r="D18" s="55" t="s">
        <v>71</v>
      </c>
      <c r="E18" s="55">
        <v>119</v>
      </c>
      <c r="F18" s="11">
        <v>213</v>
      </c>
      <c r="G18" s="8" t="s">
        <v>67</v>
      </c>
      <c r="H18" s="13">
        <v>17516</v>
      </c>
      <c r="I18" s="119">
        <v>5436</v>
      </c>
      <c r="J18" s="13">
        <v>7248</v>
      </c>
    </row>
    <row r="19" spans="1:16" s="31" customFormat="1" ht="19.5" customHeight="1">
      <c r="A19" s="55" t="s">
        <v>7</v>
      </c>
      <c r="B19" s="55">
        <v>4</v>
      </c>
      <c r="C19" s="113" t="s">
        <v>45</v>
      </c>
      <c r="D19" s="55" t="s">
        <v>71</v>
      </c>
      <c r="E19" s="55">
        <v>244</v>
      </c>
      <c r="F19" s="11">
        <v>221</v>
      </c>
      <c r="G19" s="8" t="s">
        <v>11</v>
      </c>
      <c r="H19" s="100">
        <v>289784.15999999997</v>
      </c>
      <c r="I19" s="118">
        <v>238784.16</v>
      </c>
      <c r="J19" s="10">
        <v>108464.16</v>
      </c>
    </row>
    <row r="20" spans="1:16" s="31" customFormat="1" ht="19.5" customHeight="1">
      <c r="A20" s="55" t="s">
        <v>7</v>
      </c>
      <c r="B20" s="55">
        <v>4</v>
      </c>
      <c r="C20" s="113" t="s">
        <v>45</v>
      </c>
      <c r="D20" s="55" t="s">
        <v>71</v>
      </c>
      <c r="E20" s="55">
        <v>244</v>
      </c>
      <c r="F20" s="11">
        <v>222</v>
      </c>
      <c r="G20" s="8" t="s">
        <v>12</v>
      </c>
      <c r="H20" s="100">
        <v>247741.27</v>
      </c>
      <c r="I20" s="118">
        <v>79311.92</v>
      </c>
      <c r="J20" s="10">
        <v>79311.92</v>
      </c>
    </row>
    <row r="21" spans="1:16" s="31" customFormat="1" ht="15.75">
      <c r="A21" s="55" t="s">
        <v>7</v>
      </c>
      <c r="B21" s="55">
        <v>4</v>
      </c>
      <c r="C21" s="113" t="s">
        <v>45</v>
      </c>
      <c r="D21" s="55" t="s">
        <v>71</v>
      </c>
      <c r="E21" s="55">
        <v>244</v>
      </c>
      <c r="F21" s="11">
        <v>223</v>
      </c>
      <c r="G21" s="8" t="s">
        <v>13</v>
      </c>
      <c r="H21" s="100">
        <v>1973451.06</v>
      </c>
      <c r="I21" s="118">
        <v>2023390.58</v>
      </c>
      <c r="J21" s="10">
        <v>2057755.88</v>
      </c>
      <c r="O21" s="31" t="s">
        <v>64</v>
      </c>
    </row>
    <row r="22" spans="1:16" s="31" customFormat="1" ht="15.75">
      <c r="A22" s="55" t="s">
        <v>7</v>
      </c>
      <c r="B22" s="55">
        <v>4</v>
      </c>
      <c r="C22" s="113" t="s">
        <v>45</v>
      </c>
      <c r="D22" s="55" t="s">
        <v>71</v>
      </c>
      <c r="E22" s="55">
        <v>244</v>
      </c>
      <c r="F22" s="11">
        <v>225</v>
      </c>
      <c r="G22" s="8" t="s">
        <v>14</v>
      </c>
      <c r="H22" s="100">
        <v>1766727.42</v>
      </c>
      <c r="I22" s="118">
        <v>1845207.18</v>
      </c>
      <c r="J22" s="10">
        <v>1952688.71</v>
      </c>
      <c r="N22" s="31">
        <v>2020</v>
      </c>
      <c r="O22" s="13">
        <v>6847892.9900000002</v>
      </c>
      <c r="P22" s="7">
        <v>8138171.5300000003</v>
      </c>
    </row>
    <row r="23" spans="1:16" s="31" customFormat="1" ht="15.75">
      <c r="A23" s="55" t="s">
        <v>7</v>
      </c>
      <c r="B23" s="55">
        <v>4</v>
      </c>
      <c r="C23" s="113" t="s">
        <v>45</v>
      </c>
      <c r="D23" s="55" t="s">
        <v>71</v>
      </c>
      <c r="E23" s="55">
        <v>244</v>
      </c>
      <c r="F23" s="11">
        <v>226</v>
      </c>
      <c r="G23" s="8" t="s">
        <v>15</v>
      </c>
      <c r="H23" s="100">
        <f>1218768.2+129266.9</f>
        <v>1348035.1</v>
      </c>
      <c r="I23" s="119">
        <f>1128025.2+171322.74</f>
        <v>1299347.94</v>
      </c>
      <c r="J23" s="13">
        <v>1314452.71</v>
      </c>
      <c r="K23" s="102"/>
      <c r="N23" s="31">
        <v>2021</v>
      </c>
      <c r="O23" s="13">
        <v>6759321.96</v>
      </c>
      <c r="P23" s="7">
        <v>7211607.3600000003</v>
      </c>
    </row>
    <row r="24" spans="1:16" s="30" customFormat="1" ht="15.75">
      <c r="A24" s="27" t="s">
        <v>7</v>
      </c>
      <c r="B24" s="27">
        <v>4</v>
      </c>
      <c r="C24" s="113" t="s">
        <v>46</v>
      </c>
      <c r="D24" s="27" t="s">
        <v>70</v>
      </c>
      <c r="E24" s="27">
        <v>244</v>
      </c>
      <c r="F24" s="28">
        <v>226</v>
      </c>
      <c r="G24" s="29" t="s">
        <v>15</v>
      </c>
      <c r="H24" s="107">
        <v>2329591.33</v>
      </c>
      <c r="I24" s="119">
        <v>2192317.98</v>
      </c>
      <c r="J24" s="94">
        <v>2329591.33</v>
      </c>
      <c r="K24" s="108"/>
      <c r="N24" s="30">
        <v>2022</v>
      </c>
      <c r="O24" s="94">
        <v>6759321.96</v>
      </c>
      <c r="P24" s="109">
        <v>7211607.3600000003</v>
      </c>
    </row>
    <row r="25" spans="1:16" s="31" customFormat="1" ht="15.75" hidden="1">
      <c r="A25" s="55" t="s">
        <v>30</v>
      </c>
      <c r="B25" s="55">
        <v>4</v>
      </c>
      <c r="C25" s="113" t="s">
        <v>47</v>
      </c>
      <c r="D25" s="55"/>
      <c r="E25" s="55">
        <v>244</v>
      </c>
      <c r="F25" s="11">
        <v>226</v>
      </c>
      <c r="G25" s="8" t="s">
        <v>15</v>
      </c>
      <c r="H25" s="100"/>
      <c r="I25" s="119">
        <v>0</v>
      </c>
      <c r="J25" s="13">
        <v>0</v>
      </c>
      <c r="K25" s="102"/>
      <c r="O25" s="13"/>
      <c r="P25" s="7"/>
    </row>
    <row r="26" spans="1:16" s="31" customFormat="1" ht="15.75" hidden="1">
      <c r="A26" s="55" t="s">
        <v>31</v>
      </c>
      <c r="B26" s="55">
        <v>4</v>
      </c>
      <c r="C26" s="113" t="s">
        <v>47</v>
      </c>
      <c r="D26" s="55"/>
      <c r="E26" s="55">
        <v>244</v>
      </c>
      <c r="F26" s="11">
        <v>226</v>
      </c>
      <c r="G26" s="8" t="s">
        <v>15</v>
      </c>
      <c r="H26" s="100"/>
      <c r="I26" s="119">
        <v>0</v>
      </c>
      <c r="J26" s="13">
        <v>0</v>
      </c>
      <c r="O26" s="13"/>
      <c r="P26" s="7"/>
    </row>
    <row r="27" spans="1:16" s="31" customFormat="1" ht="15.75" hidden="1">
      <c r="A27" s="55" t="s">
        <v>7</v>
      </c>
      <c r="B27" s="55">
        <v>4</v>
      </c>
      <c r="C27" s="113" t="s">
        <v>47</v>
      </c>
      <c r="D27" s="55"/>
      <c r="E27" s="55">
        <v>244</v>
      </c>
      <c r="F27" s="11">
        <v>226</v>
      </c>
      <c r="G27" s="8" t="s">
        <v>15</v>
      </c>
      <c r="H27" s="100"/>
      <c r="I27" s="119">
        <v>0</v>
      </c>
      <c r="J27" s="13">
        <v>0</v>
      </c>
      <c r="O27" s="13"/>
      <c r="P27" s="7"/>
    </row>
    <row r="28" spans="1:16" s="31" customFormat="1" ht="18" customHeight="1">
      <c r="A28" s="55" t="s">
        <v>7</v>
      </c>
      <c r="B28" s="55">
        <v>4</v>
      </c>
      <c r="C28" s="113" t="s">
        <v>45</v>
      </c>
      <c r="D28" s="55" t="s">
        <v>71</v>
      </c>
      <c r="E28" s="55">
        <v>851</v>
      </c>
      <c r="F28" s="11">
        <v>291</v>
      </c>
      <c r="G28" s="8" t="s">
        <v>28</v>
      </c>
      <c r="H28" s="13">
        <f>2136892+99437</f>
        <v>2236329</v>
      </c>
      <c r="I28" s="118">
        <v>2031292</v>
      </c>
      <c r="J28" s="10">
        <f>1925704+99437-23543.03-26365.72</f>
        <v>1975232.25</v>
      </c>
    </row>
    <row r="29" spans="1:16" s="31" customFormat="1" ht="16.5" customHeight="1">
      <c r="A29" s="55" t="s">
        <v>7</v>
      </c>
      <c r="B29" s="55">
        <v>4</v>
      </c>
      <c r="C29" s="113" t="s">
        <v>45</v>
      </c>
      <c r="D29" s="55" t="s">
        <v>71</v>
      </c>
      <c r="E29" s="55">
        <v>853</v>
      </c>
      <c r="F29" s="11">
        <v>291</v>
      </c>
      <c r="G29" s="8" t="s">
        <v>28</v>
      </c>
      <c r="H29" s="13">
        <v>19701</v>
      </c>
      <c r="I29" s="119">
        <v>19701</v>
      </c>
      <c r="J29" s="13">
        <v>19701</v>
      </c>
    </row>
    <row r="30" spans="1:16" s="31" customFormat="1" ht="19.5" customHeight="1">
      <c r="A30" s="55" t="s">
        <v>7</v>
      </c>
      <c r="B30" s="55">
        <v>4</v>
      </c>
      <c r="C30" s="113" t="s">
        <v>45</v>
      </c>
      <c r="D30" s="55" t="s">
        <v>71</v>
      </c>
      <c r="E30" s="55">
        <v>853</v>
      </c>
      <c r="F30" s="11">
        <v>297</v>
      </c>
      <c r="G30" s="8" t="s">
        <v>38</v>
      </c>
      <c r="H30" s="13">
        <v>57383.81</v>
      </c>
      <c r="I30" s="119">
        <v>57383.81</v>
      </c>
      <c r="J30" s="13">
        <v>57383.81</v>
      </c>
    </row>
    <row r="31" spans="1:16" s="31" customFormat="1" ht="31.5" hidden="1">
      <c r="A31" s="55" t="s">
        <v>30</v>
      </c>
      <c r="B31" s="55">
        <v>4</v>
      </c>
      <c r="C31" s="113" t="s">
        <v>47</v>
      </c>
      <c r="D31" s="55"/>
      <c r="E31" s="55">
        <v>244</v>
      </c>
      <c r="F31" s="11">
        <v>310</v>
      </c>
      <c r="G31" s="8" t="s">
        <v>16</v>
      </c>
      <c r="H31" s="100"/>
      <c r="I31" s="119">
        <v>0</v>
      </c>
      <c r="J31" s="13">
        <v>0</v>
      </c>
    </row>
    <row r="32" spans="1:16" s="31" customFormat="1" ht="31.5" hidden="1">
      <c r="A32" s="55" t="s">
        <v>31</v>
      </c>
      <c r="B32" s="55">
        <v>4</v>
      </c>
      <c r="C32" s="113" t="s">
        <v>47</v>
      </c>
      <c r="D32" s="55"/>
      <c r="E32" s="55">
        <v>244</v>
      </c>
      <c r="F32" s="11">
        <v>310</v>
      </c>
      <c r="G32" s="8" t="s">
        <v>16</v>
      </c>
      <c r="H32" s="100"/>
      <c r="I32" s="119">
        <v>0</v>
      </c>
      <c r="J32" s="13">
        <v>0</v>
      </c>
    </row>
    <row r="33" spans="1:13" s="31" customFormat="1" ht="31.5" hidden="1">
      <c r="A33" s="55" t="s">
        <v>7</v>
      </c>
      <c r="B33" s="55">
        <v>4</v>
      </c>
      <c r="C33" s="113" t="s">
        <v>47</v>
      </c>
      <c r="D33" s="55"/>
      <c r="E33" s="55">
        <v>244</v>
      </c>
      <c r="F33" s="11">
        <v>310</v>
      </c>
      <c r="G33" s="8" t="s">
        <v>16</v>
      </c>
      <c r="H33" s="100"/>
      <c r="I33" s="119">
        <v>0</v>
      </c>
      <c r="J33" s="13">
        <v>0</v>
      </c>
    </row>
    <row r="34" spans="1:13" s="31" customFormat="1" ht="31.5" hidden="1">
      <c r="A34" s="55" t="s">
        <v>30</v>
      </c>
      <c r="B34" s="55">
        <v>4</v>
      </c>
      <c r="C34" s="113" t="s">
        <v>47</v>
      </c>
      <c r="D34" s="55"/>
      <c r="E34" s="55">
        <v>244</v>
      </c>
      <c r="F34" s="11">
        <v>346</v>
      </c>
      <c r="G34" s="8" t="s">
        <v>16</v>
      </c>
      <c r="H34" s="100"/>
      <c r="I34" s="119">
        <v>0</v>
      </c>
      <c r="J34" s="13">
        <v>0</v>
      </c>
    </row>
    <row r="35" spans="1:13" s="31" customFormat="1" ht="31.5" hidden="1">
      <c r="A35" s="55" t="s">
        <v>31</v>
      </c>
      <c r="B35" s="55">
        <v>4</v>
      </c>
      <c r="C35" s="113" t="s">
        <v>47</v>
      </c>
      <c r="D35" s="55"/>
      <c r="E35" s="55">
        <v>244</v>
      </c>
      <c r="F35" s="11">
        <v>346</v>
      </c>
      <c r="G35" s="8" t="s">
        <v>16</v>
      </c>
      <c r="H35" s="100"/>
      <c r="I35" s="119">
        <v>0</v>
      </c>
      <c r="J35" s="13">
        <v>0</v>
      </c>
    </row>
    <row r="36" spans="1:13" s="31" customFormat="1" ht="31.5" hidden="1">
      <c r="A36" s="55" t="s">
        <v>7</v>
      </c>
      <c r="B36" s="55">
        <v>4</v>
      </c>
      <c r="C36" s="113" t="s">
        <v>47</v>
      </c>
      <c r="D36" s="55"/>
      <c r="E36" s="55">
        <v>244</v>
      </c>
      <c r="F36" s="11">
        <v>346</v>
      </c>
      <c r="G36" s="8" t="s">
        <v>16</v>
      </c>
      <c r="H36" s="100"/>
      <c r="I36" s="119">
        <v>0</v>
      </c>
      <c r="J36" s="13">
        <v>0</v>
      </c>
    </row>
    <row r="37" spans="1:13" s="30" customFormat="1" ht="31.5">
      <c r="A37" s="27" t="s">
        <v>7</v>
      </c>
      <c r="B37" s="27">
        <v>4</v>
      </c>
      <c r="C37" s="113" t="s">
        <v>46</v>
      </c>
      <c r="D37" s="27" t="s">
        <v>70</v>
      </c>
      <c r="E37" s="27">
        <v>244</v>
      </c>
      <c r="F37" s="28">
        <v>346</v>
      </c>
      <c r="G37" s="29" t="s">
        <v>16</v>
      </c>
      <c r="H37" s="107">
        <v>270864.25</v>
      </c>
      <c r="I37" s="118">
        <v>267080.24</v>
      </c>
      <c r="J37" s="95">
        <v>306328</v>
      </c>
    </row>
    <row r="38" spans="1:13" s="31" customFormat="1" ht="47.25">
      <c r="A38" s="55" t="s">
        <v>7</v>
      </c>
      <c r="B38" s="55">
        <v>4</v>
      </c>
      <c r="C38" s="113" t="s">
        <v>45</v>
      </c>
      <c r="D38" s="55" t="s">
        <v>71</v>
      </c>
      <c r="E38" s="16">
        <v>119</v>
      </c>
      <c r="F38" s="17">
        <v>266</v>
      </c>
      <c r="G38" s="9" t="s">
        <v>65</v>
      </c>
      <c r="H38" s="13">
        <v>31238.880000000001</v>
      </c>
      <c r="I38" s="119">
        <v>28363.16</v>
      </c>
      <c r="J38" s="13">
        <v>28311.82</v>
      </c>
    </row>
    <row r="39" spans="1:13" s="31" customFormat="1" ht="15.75" customHeight="1">
      <c r="A39" s="1482" t="s">
        <v>17</v>
      </c>
      <c r="B39" s="1482"/>
      <c r="C39" s="1482"/>
      <c r="D39" s="1482"/>
      <c r="E39" s="1482"/>
      <c r="F39" s="1482"/>
      <c r="G39" s="1482"/>
      <c r="H39" s="13">
        <f>SUM(H11:H38)</f>
        <v>54345789.049999997</v>
      </c>
      <c r="I39" s="119">
        <f>SUM(I11:I38)</f>
        <v>46508233.899999999</v>
      </c>
      <c r="J39" s="13">
        <f>SUM(J11:J38)</f>
        <v>46636352.270000003</v>
      </c>
      <c r="K39" s="13">
        <v>54345789.049999997</v>
      </c>
      <c r="L39" s="13">
        <v>46508233.899999999</v>
      </c>
      <c r="M39" s="13">
        <v>46636352.270000003</v>
      </c>
    </row>
    <row r="40" spans="1:13" s="31" customFormat="1" ht="23.25" customHeight="1">
      <c r="A40" s="1486" t="s">
        <v>18</v>
      </c>
      <c r="B40" s="1486"/>
      <c r="C40" s="1486"/>
      <c r="D40" s="1486"/>
      <c r="E40" s="1486"/>
      <c r="F40" s="1486"/>
      <c r="G40" s="1486"/>
      <c r="H40" s="1486"/>
      <c r="I40" s="120"/>
      <c r="J40" s="93"/>
      <c r="L40" s="13">
        <v>46508188.902703002</v>
      </c>
    </row>
    <row r="41" spans="1:13" s="31" customFormat="1" ht="28.5" customHeight="1">
      <c r="A41" s="115" t="s">
        <v>44</v>
      </c>
      <c r="B41" s="16">
        <v>5</v>
      </c>
      <c r="C41" s="113" t="s">
        <v>48</v>
      </c>
      <c r="D41" s="55" t="s">
        <v>72</v>
      </c>
      <c r="E41" s="16">
        <v>244</v>
      </c>
      <c r="F41" s="17">
        <v>226</v>
      </c>
      <c r="G41" s="8" t="s">
        <v>15</v>
      </c>
      <c r="H41" s="100">
        <v>51097.49</v>
      </c>
      <c r="I41" s="121">
        <v>0</v>
      </c>
      <c r="J41" s="100">
        <v>0</v>
      </c>
      <c r="L41" s="7">
        <f>L39-L40</f>
        <v>45</v>
      </c>
    </row>
    <row r="42" spans="1:13" s="31" customFormat="1" ht="21.75" customHeight="1">
      <c r="A42" s="55" t="s">
        <v>19</v>
      </c>
      <c r="B42" s="16">
        <v>5</v>
      </c>
      <c r="C42" s="113" t="s">
        <v>45</v>
      </c>
      <c r="D42" s="55" t="s">
        <v>71</v>
      </c>
      <c r="E42" s="55">
        <v>112</v>
      </c>
      <c r="F42" s="11">
        <v>266</v>
      </c>
      <c r="G42" s="8" t="s">
        <v>40</v>
      </c>
      <c r="H42" s="100">
        <v>1200</v>
      </c>
      <c r="I42" s="100">
        <v>4800</v>
      </c>
      <c r="J42" s="128">
        <v>7200</v>
      </c>
    </row>
    <row r="43" spans="1:13" s="31" customFormat="1" ht="15.75">
      <c r="A43" s="1476" t="s">
        <v>17</v>
      </c>
      <c r="B43" s="1477"/>
      <c r="C43" s="1477"/>
      <c r="D43" s="1477"/>
      <c r="E43" s="1477"/>
      <c r="F43" s="1477"/>
      <c r="G43" s="1478"/>
      <c r="H43" s="13">
        <f>SUM(H41:H42)</f>
        <v>52297.49</v>
      </c>
      <c r="I43" s="119">
        <f>SUM(I41:I42)</f>
        <v>4800</v>
      </c>
      <c r="J43" s="13">
        <f>SUM(J41:J42)</f>
        <v>7200</v>
      </c>
    </row>
    <row r="44" spans="1:13" s="31" customFormat="1" ht="16.5" customHeight="1">
      <c r="A44" s="1476" t="s">
        <v>21</v>
      </c>
      <c r="B44" s="1477"/>
      <c r="C44" s="1477"/>
      <c r="D44" s="1477"/>
      <c r="E44" s="1477"/>
      <c r="F44" s="1477"/>
      <c r="G44" s="1478"/>
      <c r="H44" s="10">
        <f>H39+H43</f>
        <v>54398086.539999999</v>
      </c>
      <c r="I44" s="118">
        <f>I39+I43</f>
        <v>46513033.899999999</v>
      </c>
      <c r="J44" s="10">
        <f>J39+J43</f>
        <v>46643552.270000003</v>
      </c>
    </row>
    <row r="45" spans="1:13" s="31" customFormat="1" ht="15.75">
      <c r="A45" s="1479" t="s">
        <v>22</v>
      </c>
      <c r="B45" s="1479"/>
      <c r="C45" s="1479"/>
      <c r="D45" s="1479"/>
      <c r="E45" s="1479"/>
      <c r="F45" s="1479"/>
      <c r="G45" s="1479"/>
      <c r="H45" s="1479"/>
      <c r="I45" s="120"/>
      <c r="J45" s="93"/>
    </row>
    <row r="46" spans="1:13" s="31" customFormat="1" ht="24.75" customHeight="1">
      <c r="A46" s="55" t="s">
        <v>23</v>
      </c>
      <c r="B46" s="55">
        <v>2</v>
      </c>
      <c r="C46" s="113" t="s">
        <v>37</v>
      </c>
      <c r="D46" s="55" t="s">
        <v>69</v>
      </c>
      <c r="E46" s="55">
        <v>111</v>
      </c>
      <c r="F46" s="55">
        <v>211</v>
      </c>
      <c r="G46" s="8" t="s">
        <v>8</v>
      </c>
      <c r="H46" s="10">
        <v>4302112.92</v>
      </c>
      <c r="I46" s="118">
        <v>5045709.93</v>
      </c>
      <c r="J46" s="10">
        <v>5207036.58</v>
      </c>
    </row>
    <row r="47" spans="1:13" s="31" customFormat="1" ht="94.5">
      <c r="A47" s="55" t="s">
        <v>23</v>
      </c>
      <c r="B47" s="55">
        <v>2</v>
      </c>
      <c r="C47" s="113" t="s">
        <v>45</v>
      </c>
      <c r="D47" s="55" t="s">
        <v>71</v>
      </c>
      <c r="E47" s="55">
        <v>111</v>
      </c>
      <c r="F47" s="11">
        <v>211</v>
      </c>
      <c r="G47" s="8" t="s">
        <v>49</v>
      </c>
      <c r="H47" s="91">
        <v>8000</v>
      </c>
      <c r="I47" s="118">
        <v>8000</v>
      </c>
      <c r="J47" s="10">
        <v>3000</v>
      </c>
    </row>
    <row r="48" spans="1:13" s="31" customFormat="1" ht="47.25">
      <c r="A48" s="55" t="s">
        <v>23</v>
      </c>
      <c r="B48" s="55">
        <v>2</v>
      </c>
      <c r="C48" s="113" t="s">
        <v>37</v>
      </c>
      <c r="D48" s="55" t="s">
        <v>71</v>
      </c>
      <c r="E48" s="55">
        <v>111</v>
      </c>
      <c r="F48" s="11">
        <v>266</v>
      </c>
      <c r="G48" s="8" t="s">
        <v>43</v>
      </c>
      <c r="H48" s="116">
        <v>19800</v>
      </c>
      <c r="I48" s="118">
        <v>19800</v>
      </c>
      <c r="J48" s="10">
        <v>19800</v>
      </c>
    </row>
    <row r="49" spans="1:10" s="31" customFormat="1" ht="47.25">
      <c r="A49" s="55" t="s">
        <v>23</v>
      </c>
      <c r="B49" s="55">
        <v>2</v>
      </c>
      <c r="C49" s="113" t="s">
        <v>45</v>
      </c>
      <c r="D49" s="55" t="s">
        <v>71</v>
      </c>
      <c r="E49" s="55">
        <v>112</v>
      </c>
      <c r="F49" s="11">
        <v>266</v>
      </c>
      <c r="G49" s="8" t="s">
        <v>41</v>
      </c>
      <c r="H49" s="91">
        <v>1800</v>
      </c>
      <c r="I49" s="10">
        <v>1800</v>
      </c>
      <c r="J49" s="127">
        <v>900</v>
      </c>
    </row>
    <row r="50" spans="1:10" s="31" customFormat="1" ht="16.5" customHeight="1">
      <c r="A50" s="55" t="s">
        <v>23</v>
      </c>
      <c r="B50" s="55">
        <v>2</v>
      </c>
      <c r="C50" s="113" t="s">
        <v>45</v>
      </c>
      <c r="D50" s="55" t="s">
        <v>71</v>
      </c>
      <c r="E50" s="55">
        <v>112</v>
      </c>
      <c r="F50" s="11">
        <v>214</v>
      </c>
      <c r="G50" s="8" t="s">
        <v>35</v>
      </c>
      <c r="H50" s="10">
        <v>140000</v>
      </c>
      <c r="I50" s="118">
        <v>100000</v>
      </c>
      <c r="J50" s="10">
        <v>140000</v>
      </c>
    </row>
    <row r="51" spans="1:10" s="31" customFormat="1" ht="17.25" customHeight="1">
      <c r="A51" s="55" t="s">
        <v>23</v>
      </c>
      <c r="B51" s="55">
        <v>2</v>
      </c>
      <c r="C51" s="113" t="s">
        <v>45</v>
      </c>
      <c r="D51" s="55" t="s">
        <v>71</v>
      </c>
      <c r="E51" s="55">
        <v>112</v>
      </c>
      <c r="F51" s="11">
        <v>212</v>
      </c>
      <c r="G51" s="8" t="s">
        <v>34</v>
      </c>
      <c r="H51" s="116">
        <v>238500</v>
      </c>
      <c r="I51" s="118">
        <v>243000</v>
      </c>
      <c r="J51" s="10">
        <v>243000</v>
      </c>
    </row>
    <row r="52" spans="1:10" s="31" customFormat="1" ht="31.5">
      <c r="A52" s="55" t="s">
        <v>23</v>
      </c>
      <c r="B52" s="55">
        <v>2</v>
      </c>
      <c r="C52" s="113" t="s">
        <v>45</v>
      </c>
      <c r="D52" s="55" t="s">
        <v>71</v>
      </c>
      <c r="E52" s="55">
        <v>112</v>
      </c>
      <c r="F52" s="11">
        <v>226</v>
      </c>
      <c r="G52" s="8" t="s">
        <v>42</v>
      </c>
      <c r="H52" s="10">
        <v>750321</v>
      </c>
      <c r="I52" s="118">
        <v>764478</v>
      </c>
      <c r="J52" s="10">
        <v>764478</v>
      </c>
    </row>
    <row r="53" spans="1:10" s="31" customFormat="1" ht="15.75">
      <c r="A53" s="55" t="s">
        <v>23</v>
      </c>
      <c r="B53" s="55">
        <v>2</v>
      </c>
      <c r="C53" s="113" t="s">
        <v>37</v>
      </c>
      <c r="D53" s="55" t="s">
        <v>69</v>
      </c>
      <c r="E53" s="55">
        <v>119</v>
      </c>
      <c r="F53" s="11">
        <v>213</v>
      </c>
      <c r="G53" s="8" t="s">
        <v>10</v>
      </c>
      <c r="H53" s="10">
        <v>1296103.3799999999</v>
      </c>
      <c r="I53" s="118">
        <v>1450913.69</v>
      </c>
      <c r="J53" s="10">
        <v>1533302.43</v>
      </c>
    </row>
    <row r="54" spans="1:10" s="31" customFormat="1" ht="15.75">
      <c r="A54" s="55" t="s">
        <v>23</v>
      </c>
      <c r="B54" s="55">
        <v>2</v>
      </c>
      <c r="C54" s="113" t="s">
        <v>45</v>
      </c>
      <c r="D54" s="55" t="s">
        <v>71</v>
      </c>
      <c r="E54" s="55">
        <v>244</v>
      </c>
      <c r="F54" s="11">
        <v>221</v>
      </c>
      <c r="G54" s="8" t="s">
        <v>11</v>
      </c>
      <c r="H54" s="99">
        <v>0</v>
      </c>
      <c r="I54" s="118">
        <v>51000</v>
      </c>
      <c r="J54" s="10">
        <v>181320</v>
      </c>
    </row>
    <row r="55" spans="1:10" s="31" customFormat="1" ht="15.75">
      <c r="A55" s="55" t="s">
        <v>23</v>
      </c>
      <c r="B55" s="55">
        <v>2</v>
      </c>
      <c r="C55" s="113" t="s">
        <v>45</v>
      </c>
      <c r="D55" s="55" t="s">
        <v>71</v>
      </c>
      <c r="E55" s="55">
        <v>244</v>
      </c>
      <c r="F55" s="11">
        <v>225</v>
      </c>
      <c r="G55" s="8" t="s">
        <v>14</v>
      </c>
      <c r="H55" s="99">
        <v>409991.63</v>
      </c>
      <c r="I55" s="118">
        <v>247159.33</v>
      </c>
      <c r="J55" s="10">
        <f>14294.28+17902</f>
        <v>32196.28</v>
      </c>
    </row>
    <row r="56" spans="1:10" s="31" customFormat="1" ht="15.75">
      <c r="A56" s="55" t="s">
        <v>23</v>
      </c>
      <c r="B56" s="55">
        <v>2</v>
      </c>
      <c r="C56" s="113" t="s">
        <v>45</v>
      </c>
      <c r="D56" s="55" t="s">
        <v>71</v>
      </c>
      <c r="E56" s="55">
        <v>244</v>
      </c>
      <c r="F56" s="11">
        <v>222</v>
      </c>
      <c r="G56" s="8" t="s">
        <v>12</v>
      </c>
      <c r="H56" s="99">
        <v>236954.25</v>
      </c>
      <c r="I56" s="118">
        <v>405383.61</v>
      </c>
      <c r="J56" s="10">
        <v>405383.61</v>
      </c>
    </row>
    <row r="57" spans="1:10" s="31" customFormat="1" ht="15.75">
      <c r="A57" s="55" t="s">
        <v>23</v>
      </c>
      <c r="B57" s="55">
        <v>2</v>
      </c>
      <c r="C57" s="113" t="s">
        <v>45</v>
      </c>
      <c r="D57" s="55" t="s">
        <v>71</v>
      </c>
      <c r="E57" s="55">
        <v>244</v>
      </c>
      <c r="F57" s="11">
        <v>226</v>
      </c>
      <c r="G57" s="8" t="s">
        <v>15</v>
      </c>
      <c r="H57" s="99">
        <f>2841006.08-129266.9</f>
        <v>2711739.18</v>
      </c>
      <c r="I57" s="118">
        <f>2841006.07-87345.09+3674.88</f>
        <v>2757335.86</v>
      </c>
      <c r="J57" s="10">
        <f>2841006.08-98774.99</f>
        <v>2742231.09</v>
      </c>
    </row>
    <row r="58" spans="1:10" s="31" customFormat="1" ht="15.75">
      <c r="A58" s="55" t="s">
        <v>23</v>
      </c>
      <c r="B58" s="55">
        <v>2</v>
      </c>
      <c r="C58" s="113" t="s">
        <v>45</v>
      </c>
      <c r="D58" s="55" t="s">
        <v>71</v>
      </c>
      <c r="E58" s="55">
        <v>853</v>
      </c>
      <c r="F58" s="11">
        <v>297</v>
      </c>
      <c r="G58" s="8" t="s">
        <v>38</v>
      </c>
      <c r="H58" s="13">
        <v>6453.17</v>
      </c>
      <c r="I58" s="119">
        <v>7568.56</v>
      </c>
      <c r="J58" s="13">
        <v>7810.55</v>
      </c>
    </row>
    <row r="59" spans="1:10" s="31" customFormat="1" ht="17.25" customHeight="1">
      <c r="A59" s="55" t="s">
        <v>23</v>
      </c>
      <c r="B59" s="55">
        <v>2</v>
      </c>
      <c r="C59" s="113" t="s">
        <v>45</v>
      </c>
      <c r="D59" s="55" t="s">
        <v>71</v>
      </c>
      <c r="E59" s="55">
        <v>244</v>
      </c>
      <c r="F59" s="11">
        <v>310</v>
      </c>
      <c r="G59" s="8" t="s">
        <v>20</v>
      </c>
      <c r="H59" s="99">
        <v>1235078.56</v>
      </c>
      <c r="I59" s="118">
        <v>254705.11</v>
      </c>
      <c r="J59" s="10">
        <v>76395.55</v>
      </c>
    </row>
    <row r="60" spans="1:10" s="31" customFormat="1" ht="15.75">
      <c r="A60" s="55" t="s">
        <v>23</v>
      </c>
      <c r="B60" s="55">
        <v>2</v>
      </c>
      <c r="C60" s="113" t="s">
        <v>45</v>
      </c>
      <c r="D60" s="55" t="s">
        <v>71</v>
      </c>
      <c r="E60" s="55">
        <v>244</v>
      </c>
      <c r="F60" s="11">
        <v>342</v>
      </c>
      <c r="G60" s="8" t="s">
        <v>39</v>
      </c>
      <c r="H60" s="99">
        <f>33186.16+18143.84</f>
        <v>51330</v>
      </c>
      <c r="I60" s="118">
        <v>51330</v>
      </c>
      <c r="J60" s="10">
        <v>51330</v>
      </c>
    </row>
    <row r="61" spans="1:10" s="31" customFormat="1" ht="15.75">
      <c r="A61" s="55" t="s">
        <v>23</v>
      </c>
      <c r="B61" s="55">
        <v>2</v>
      </c>
      <c r="C61" s="113" t="s">
        <v>45</v>
      </c>
      <c r="D61" s="55" t="s">
        <v>71</v>
      </c>
      <c r="E61" s="55">
        <v>244</v>
      </c>
      <c r="F61" s="11">
        <v>345</v>
      </c>
      <c r="G61" s="8" t="s">
        <v>39</v>
      </c>
      <c r="H61" s="99">
        <v>9117.07</v>
      </c>
      <c r="I61" s="118">
        <v>9117.07</v>
      </c>
      <c r="J61" s="10">
        <v>9117.07</v>
      </c>
    </row>
    <row r="62" spans="1:10" s="31" customFormat="1" ht="15.75">
      <c r="A62" s="55" t="s">
        <v>23</v>
      </c>
      <c r="B62" s="55">
        <v>2</v>
      </c>
      <c r="C62" s="113" t="s">
        <v>45</v>
      </c>
      <c r="D62" s="55" t="s">
        <v>71</v>
      </c>
      <c r="E62" s="55">
        <v>244</v>
      </c>
      <c r="F62" s="11">
        <v>346</v>
      </c>
      <c r="G62" s="8" t="s">
        <v>39</v>
      </c>
      <c r="H62" s="99">
        <v>254922.44</v>
      </c>
      <c r="I62" s="118">
        <v>254922.44</v>
      </c>
      <c r="J62" s="10">
        <v>254922.44</v>
      </c>
    </row>
    <row r="63" spans="1:10" s="31" customFormat="1" ht="15.75">
      <c r="A63" s="55" t="s">
        <v>23</v>
      </c>
      <c r="B63" s="55">
        <v>2</v>
      </c>
      <c r="C63" s="113" t="s">
        <v>45</v>
      </c>
      <c r="D63" s="55" t="s">
        <v>71</v>
      </c>
      <c r="E63" s="55">
        <v>244</v>
      </c>
      <c r="F63" s="11">
        <v>349</v>
      </c>
      <c r="G63" s="8" t="s">
        <v>39</v>
      </c>
      <c r="H63" s="99">
        <v>1029026.4</v>
      </c>
      <c r="I63" s="118">
        <v>1029026.4</v>
      </c>
      <c r="J63" s="10">
        <v>1029026.4</v>
      </c>
    </row>
    <row r="64" spans="1:10" s="31" customFormat="1" ht="15.75">
      <c r="A64" s="1482" t="s">
        <v>17</v>
      </c>
      <c r="B64" s="1482"/>
      <c r="C64" s="1482"/>
      <c r="D64" s="1482"/>
      <c r="E64" s="1482"/>
      <c r="F64" s="1482"/>
      <c r="G64" s="1482"/>
      <c r="H64" s="10">
        <f>H46+H47+H48+H49+H50+H51+H52+H53+H54+H55+H56+H57+H58+H59+H60+H61+H62+H63</f>
        <v>12701250</v>
      </c>
      <c r="I64" s="118">
        <f>I46+I47+I48+I49+I50+I51+I52+I53+I54+I55+I56+I57+I58+I59+I60+I61+I62+I63</f>
        <v>12701250</v>
      </c>
      <c r="J64" s="10">
        <f>J46+J47+J48+J49+J50+J51+J52+J53+J54+J55+J56+J57+J58+J59+J60+J61+J62+J63</f>
        <v>12701250</v>
      </c>
    </row>
    <row r="65" spans="1:11" s="31" customFormat="1" ht="15.75">
      <c r="A65" s="1482" t="s">
        <v>24</v>
      </c>
      <c r="B65" s="1482"/>
      <c r="C65" s="1482"/>
      <c r="D65" s="1482"/>
      <c r="E65" s="1482"/>
      <c r="F65" s="1482"/>
      <c r="G65" s="1482"/>
      <c r="H65" s="10">
        <f>H44+H64</f>
        <v>67099336.539999999</v>
      </c>
      <c r="I65" s="118">
        <f>I44+I64</f>
        <v>59214283.899999999</v>
      </c>
      <c r="J65" s="10">
        <f>J44+J64</f>
        <v>59344802.270000003</v>
      </c>
    </row>
    <row r="66" spans="1:11" s="31" customFormat="1">
      <c r="A66" s="2"/>
      <c r="B66" s="2"/>
      <c r="C66" s="110"/>
      <c r="D66" s="2"/>
      <c r="E66" s="2"/>
      <c r="F66" s="2"/>
      <c r="G66" s="2"/>
      <c r="H66" s="85"/>
      <c r="I66" s="86"/>
      <c r="J66" s="129"/>
    </row>
    <row r="67" spans="1:11" s="32" customFormat="1" ht="33.75" hidden="1" customHeight="1">
      <c r="A67" s="1480" t="s">
        <v>25</v>
      </c>
      <c r="B67" s="1480"/>
      <c r="C67" s="1480"/>
      <c r="D67" s="96"/>
      <c r="E67" s="92"/>
      <c r="F67" s="1481" t="s">
        <v>32</v>
      </c>
      <c r="G67" s="1481"/>
      <c r="H67" s="103"/>
      <c r="I67" s="122"/>
      <c r="J67" s="104"/>
    </row>
    <row r="68" spans="1:11" s="15" customFormat="1" ht="27" hidden="1" customHeight="1">
      <c r="A68" s="15" t="s">
        <v>27</v>
      </c>
      <c r="C68" s="114"/>
      <c r="H68" s="105"/>
      <c r="I68" s="123"/>
      <c r="J68" s="106"/>
    </row>
    <row r="69" spans="1:11" ht="29.25" customHeight="1">
      <c r="C69" s="110" t="s">
        <v>25</v>
      </c>
      <c r="H69" s="2" t="s">
        <v>32</v>
      </c>
    </row>
    <row r="72" spans="1:11">
      <c r="K72" s="4"/>
    </row>
    <row r="298" spans="9:10" ht="12.75" hidden="1" customHeight="1">
      <c r="I298" s="117"/>
      <c r="J298" s="88"/>
    </row>
    <row r="314" spans="9:10" ht="12.75" hidden="1" customHeight="1">
      <c r="I314" s="117"/>
      <c r="J314" s="88"/>
    </row>
  </sheetData>
  <autoFilter ref="A9:H65"/>
  <mergeCells count="12">
    <mergeCell ref="A43:G43"/>
    <mergeCell ref="A5:J5"/>
    <mergeCell ref="A6:J6"/>
    <mergeCell ref="A10:J10"/>
    <mergeCell ref="A39:G39"/>
    <mergeCell ref="A40:H40"/>
    <mergeCell ref="A44:G44"/>
    <mergeCell ref="A45:H45"/>
    <mergeCell ref="A64:G64"/>
    <mergeCell ref="A65:G65"/>
    <mergeCell ref="A67:C67"/>
    <mergeCell ref="F67:G67"/>
  </mergeCells>
  <printOptions horizontalCentered="1"/>
  <pageMargins left="0" right="0" top="0" bottom="0" header="0.35433070866141736" footer="0.35433070866141736"/>
  <pageSetup paperSize="9" scale="64" fitToHeight="2" orientation="landscape" horizontalDpi="4294967295" verticalDpi="4294967295" r:id="rId1"/>
  <headerFooter alignWithMargins="0"/>
  <rowBreaks count="2" manualBreakCount="2">
    <brk id="44" max="8" man="1"/>
    <brk id="69" max="8"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rgb="FF92D050"/>
  </sheetPr>
  <dimension ref="A3:R316"/>
  <sheetViews>
    <sheetView view="pageBreakPreview" topLeftCell="A13" zoomScale="85" zoomScaleNormal="85" zoomScaleSheetLayoutView="85" workbookViewId="0">
      <selection activeCell="I24" sqref="I24"/>
    </sheetView>
  </sheetViews>
  <sheetFormatPr defaultRowHeight="12.75"/>
  <cols>
    <col min="1" max="1" width="12.85546875" style="2" customWidth="1"/>
    <col min="2" max="2" width="7.85546875" style="2" customWidth="1"/>
    <col min="3" max="3" width="24.42578125" style="2" customWidth="1"/>
    <col min="4" max="4" width="8.42578125" style="2" customWidth="1"/>
    <col min="5" max="5" width="8.85546875" style="2" customWidth="1"/>
    <col min="6" max="6" width="46.85546875" style="2" customWidth="1"/>
    <col min="7" max="7" width="16.5703125" style="88" customWidth="1"/>
    <col min="8" max="8" width="15.42578125" style="88" customWidth="1"/>
    <col min="9" max="10" width="16.5703125" style="88" customWidth="1"/>
    <col min="11" max="11" width="15.5703125" style="88" customWidth="1"/>
    <col min="12" max="12" width="15.7109375" style="124" customWidth="1"/>
    <col min="13" max="13" width="23.7109375" style="2" bestFit="1" customWidth="1"/>
    <col min="14" max="14" width="16.28515625" style="2" customWidth="1"/>
    <col min="15" max="15" width="14.5703125" style="2" customWidth="1"/>
    <col min="16" max="16" width="9.140625" style="2"/>
    <col min="17" max="17" width="13.140625" style="2" customWidth="1"/>
    <col min="18" max="18" width="12.7109375" style="2" customWidth="1"/>
    <col min="19" max="252" width="9.140625" style="2"/>
    <col min="253" max="253" width="16.28515625" style="2" customWidth="1"/>
    <col min="254" max="254" width="9.5703125" style="2" customWidth="1"/>
    <col min="255" max="255" width="25.85546875" style="2" customWidth="1"/>
    <col min="256" max="256" width="10.7109375" style="2" customWidth="1"/>
    <col min="257" max="257" width="40.42578125" style="2" customWidth="1"/>
    <col min="258" max="258" width="30.5703125" style="2" customWidth="1"/>
    <col min="259" max="259" width="16.42578125" style="2" customWidth="1"/>
    <col min="260" max="260" width="13" style="2" bestFit="1" customWidth="1"/>
    <col min="261" max="508" width="9.140625" style="2"/>
    <col min="509" max="509" width="16.28515625" style="2" customWidth="1"/>
    <col min="510" max="510" width="9.5703125" style="2" customWidth="1"/>
    <col min="511" max="511" width="25.85546875" style="2" customWidth="1"/>
    <col min="512" max="512" width="10.7109375" style="2" customWidth="1"/>
    <col min="513" max="513" width="40.42578125" style="2" customWidth="1"/>
    <col min="514" max="514" width="30.5703125" style="2" customWidth="1"/>
    <col min="515" max="515" width="16.42578125" style="2" customWidth="1"/>
    <col min="516" max="516" width="13" style="2" bestFit="1" customWidth="1"/>
    <col min="517" max="764" width="9.140625" style="2"/>
    <col min="765" max="765" width="16.28515625" style="2" customWidth="1"/>
    <col min="766" max="766" width="9.5703125" style="2" customWidth="1"/>
    <col min="767" max="767" width="25.85546875" style="2" customWidth="1"/>
    <col min="768" max="768" width="10.7109375" style="2" customWidth="1"/>
    <col min="769" max="769" width="40.42578125" style="2" customWidth="1"/>
    <col min="770" max="770" width="30.5703125" style="2" customWidth="1"/>
    <col min="771" max="771" width="16.42578125" style="2" customWidth="1"/>
    <col min="772" max="772" width="13" style="2" bestFit="1" customWidth="1"/>
    <col min="773" max="1020" width="9.140625" style="2"/>
    <col min="1021" max="1021" width="16.28515625" style="2" customWidth="1"/>
    <col min="1022" max="1022" width="9.5703125" style="2" customWidth="1"/>
    <col min="1023" max="1023" width="25.85546875" style="2" customWidth="1"/>
    <col min="1024" max="1024" width="10.7109375" style="2" customWidth="1"/>
    <col min="1025" max="1025" width="40.42578125" style="2" customWidth="1"/>
    <col min="1026" max="1026" width="30.5703125" style="2" customWidth="1"/>
    <col min="1027" max="1027" width="16.42578125" style="2" customWidth="1"/>
    <col min="1028" max="1028" width="13" style="2" bestFit="1" customWidth="1"/>
    <col min="1029" max="1276" width="9.140625" style="2"/>
    <col min="1277" max="1277" width="16.28515625" style="2" customWidth="1"/>
    <col min="1278" max="1278" width="9.5703125" style="2" customWidth="1"/>
    <col min="1279" max="1279" width="25.85546875" style="2" customWidth="1"/>
    <col min="1280" max="1280" width="10.7109375" style="2" customWidth="1"/>
    <col min="1281" max="1281" width="40.42578125" style="2" customWidth="1"/>
    <col min="1282" max="1282" width="30.5703125" style="2" customWidth="1"/>
    <col min="1283" max="1283" width="16.42578125" style="2" customWidth="1"/>
    <col min="1284" max="1284" width="13" style="2" bestFit="1" customWidth="1"/>
    <col min="1285" max="1532" width="9.140625" style="2"/>
    <col min="1533" max="1533" width="16.28515625" style="2" customWidth="1"/>
    <col min="1534" max="1534" width="9.5703125" style="2" customWidth="1"/>
    <col min="1535" max="1535" width="25.85546875" style="2" customWidth="1"/>
    <col min="1536" max="1536" width="10.7109375" style="2" customWidth="1"/>
    <col min="1537" max="1537" width="40.42578125" style="2" customWidth="1"/>
    <col min="1538" max="1538" width="30.5703125" style="2" customWidth="1"/>
    <col min="1539" max="1539" width="16.42578125" style="2" customWidth="1"/>
    <col min="1540" max="1540" width="13" style="2" bestFit="1" customWidth="1"/>
    <col min="1541" max="1788" width="9.140625" style="2"/>
    <col min="1789" max="1789" width="16.28515625" style="2" customWidth="1"/>
    <col min="1790" max="1790" width="9.5703125" style="2" customWidth="1"/>
    <col min="1791" max="1791" width="25.85546875" style="2" customWidth="1"/>
    <col min="1792" max="1792" width="10.7109375" style="2" customWidth="1"/>
    <col min="1793" max="1793" width="40.42578125" style="2" customWidth="1"/>
    <col min="1794" max="1794" width="30.5703125" style="2" customWidth="1"/>
    <col min="1795" max="1795" width="16.42578125" style="2" customWidth="1"/>
    <col min="1796" max="1796" width="13" style="2" bestFit="1" customWidth="1"/>
    <col min="1797" max="2044" width="9.140625" style="2"/>
    <col min="2045" max="2045" width="16.28515625" style="2" customWidth="1"/>
    <col min="2046" max="2046" width="9.5703125" style="2" customWidth="1"/>
    <col min="2047" max="2047" width="25.85546875" style="2" customWidth="1"/>
    <col min="2048" max="2048" width="10.7109375" style="2" customWidth="1"/>
    <col min="2049" max="2049" width="40.42578125" style="2" customWidth="1"/>
    <col min="2050" max="2050" width="30.5703125" style="2" customWidth="1"/>
    <col min="2051" max="2051" width="16.42578125" style="2" customWidth="1"/>
    <col min="2052" max="2052" width="13" style="2" bestFit="1" customWidth="1"/>
    <col min="2053" max="2300" width="9.140625" style="2"/>
    <col min="2301" max="2301" width="16.28515625" style="2" customWidth="1"/>
    <col min="2302" max="2302" width="9.5703125" style="2" customWidth="1"/>
    <col min="2303" max="2303" width="25.85546875" style="2" customWidth="1"/>
    <col min="2304" max="2304" width="10.7109375" style="2" customWidth="1"/>
    <col min="2305" max="2305" width="40.42578125" style="2" customWidth="1"/>
    <col min="2306" max="2306" width="30.5703125" style="2" customWidth="1"/>
    <col min="2307" max="2307" width="16.42578125" style="2" customWidth="1"/>
    <col min="2308" max="2308" width="13" style="2" bestFit="1" customWidth="1"/>
    <col min="2309" max="2556" width="9.140625" style="2"/>
    <col min="2557" max="2557" width="16.28515625" style="2" customWidth="1"/>
    <col min="2558" max="2558" width="9.5703125" style="2" customWidth="1"/>
    <col min="2559" max="2559" width="25.85546875" style="2" customWidth="1"/>
    <col min="2560" max="2560" width="10.7109375" style="2" customWidth="1"/>
    <col min="2561" max="2561" width="40.42578125" style="2" customWidth="1"/>
    <col min="2562" max="2562" width="30.5703125" style="2" customWidth="1"/>
    <col min="2563" max="2563" width="16.42578125" style="2" customWidth="1"/>
    <col min="2564" max="2564" width="13" style="2" bestFit="1" customWidth="1"/>
    <col min="2565" max="2812" width="9.140625" style="2"/>
    <col min="2813" max="2813" width="16.28515625" style="2" customWidth="1"/>
    <col min="2814" max="2814" width="9.5703125" style="2" customWidth="1"/>
    <col min="2815" max="2815" width="25.85546875" style="2" customWidth="1"/>
    <col min="2816" max="2816" width="10.7109375" style="2" customWidth="1"/>
    <col min="2817" max="2817" width="40.42578125" style="2" customWidth="1"/>
    <col min="2818" max="2818" width="30.5703125" style="2" customWidth="1"/>
    <col min="2819" max="2819" width="16.42578125" style="2" customWidth="1"/>
    <col min="2820" max="2820" width="13" style="2" bestFit="1" customWidth="1"/>
    <col min="2821" max="3068" width="9.140625" style="2"/>
    <col min="3069" max="3069" width="16.28515625" style="2" customWidth="1"/>
    <col min="3070" max="3070" width="9.5703125" style="2" customWidth="1"/>
    <col min="3071" max="3071" width="25.85546875" style="2" customWidth="1"/>
    <col min="3072" max="3072" width="10.7109375" style="2" customWidth="1"/>
    <col min="3073" max="3073" width="40.42578125" style="2" customWidth="1"/>
    <col min="3074" max="3074" width="30.5703125" style="2" customWidth="1"/>
    <col min="3075" max="3075" width="16.42578125" style="2" customWidth="1"/>
    <col min="3076" max="3076" width="13" style="2" bestFit="1" customWidth="1"/>
    <col min="3077" max="3324" width="9.140625" style="2"/>
    <col min="3325" max="3325" width="16.28515625" style="2" customWidth="1"/>
    <col min="3326" max="3326" width="9.5703125" style="2" customWidth="1"/>
    <col min="3327" max="3327" width="25.85546875" style="2" customWidth="1"/>
    <col min="3328" max="3328" width="10.7109375" style="2" customWidth="1"/>
    <col min="3329" max="3329" width="40.42578125" style="2" customWidth="1"/>
    <col min="3330" max="3330" width="30.5703125" style="2" customWidth="1"/>
    <col min="3331" max="3331" width="16.42578125" style="2" customWidth="1"/>
    <col min="3332" max="3332" width="13" style="2" bestFit="1" customWidth="1"/>
    <col min="3333" max="3580" width="9.140625" style="2"/>
    <col min="3581" max="3581" width="16.28515625" style="2" customWidth="1"/>
    <col min="3582" max="3582" width="9.5703125" style="2" customWidth="1"/>
    <col min="3583" max="3583" width="25.85546875" style="2" customWidth="1"/>
    <col min="3584" max="3584" width="10.7109375" style="2" customWidth="1"/>
    <col min="3585" max="3585" width="40.42578125" style="2" customWidth="1"/>
    <col min="3586" max="3586" width="30.5703125" style="2" customWidth="1"/>
    <col min="3587" max="3587" width="16.42578125" style="2" customWidth="1"/>
    <col min="3588" max="3588" width="13" style="2" bestFit="1" customWidth="1"/>
    <col min="3589" max="3836" width="9.140625" style="2"/>
    <col min="3837" max="3837" width="16.28515625" style="2" customWidth="1"/>
    <col min="3838" max="3838" width="9.5703125" style="2" customWidth="1"/>
    <col min="3839" max="3839" width="25.85546875" style="2" customWidth="1"/>
    <col min="3840" max="3840" width="10.7109375" style="2" customWidth="1"/>
    <col min="3841" max="3841" width="40.42578125" style="2" customWidth="1"/>
    <col min="3842" max="3842" width="30.5703125" style="2" customWidth="1"/>
    <col min="3843" max="3843" width="16.42578125" style="2" customWidth="1"/>
    <col min="3844" max="3844" width="13" style="2" bestFit="1" customWidth="1"/>
    <col min="3845" max="4092" width="9.140625" style="2"/>
    <col min="4093" max="4093" width="16.28515625" style="2" customWidth="1"/>
    <col min="4094" max="4094" width="9.5703125" style="2" customWidth="1"/>
    <col min="4095" max="4095" width="25.85546875" style="2" customWidth="1"/>
    <col min="4096" max="4096" width="10.7109375" style="2" customWidth="1"/>
    <col min="4097" max="4097" width="40.42578125" style="2" customWidth="1"/>
    <col min="4098" max="4098" width="30.5703125" style="2" customWidth="1"/>
    <col min="4099" max="4099" width="16.42578125" style="2" customWidth="1"/>
    <col min="4100" max="4100" width="13" style="2" bestFit="1" customWidth="1"/>
    <col min="4101" max="4348" width="9.140625" style="2"/>
    <col min="4349" max="4349" width="16.28515625" style="2" customWidth="1"/>
    <col min="4350" max="4350" width="9.5703125" style="2" customWidth="1"/>
    <col min="4351" max="4351" width="25.85546875" style="2" customWidth="1"/>
    <col min="4352" max="4352" width="10.7109375" style="2" customWidth="1"/>
    <col min="4353" max="4353" width="40.42578125" style="2" customWidth="1"/>
    <col min="4354" max="4354" width="30.5703125" style="2" customWidth="1"/>
    <col min="4355" max="4355" width="16.42578125" style="2" customWidth="1"/>
    <col min="4356" max="4356" width="13" style="2" bestFit="1" customWidth="1"/>
    <col min="4357" max="4604" width="9.140625" style="2"/>
    <col min="4605" max="4605" width="16.28515625" style="2" customWidth="1"/>
    <col min="4606" max="4606" width="9.5703125" style="2" customWidth="1"/>
    <col min="4607" max="4607" width="25.85546875" style="2" customWidth="1"/>
    <col min="4608" max="4608" width="10.7109375" style="2" customWidth="1"/>
    <col min="4609" max="4609" width="40.42578125" style="2" customWidth="1"/>
    <col min="4610" max="4610" width="30.5703125" style="2" customWidth="1"/>
    <col min="4611" max="4611" width="16.42578125" style="2" customWidth="1"/>
    <col min="4612" max="4612" width="13" style="2" bestFit="1" customWidth="1"/>
    <col min="4613" max="4860" width="9.140625" style="2"/>
    <col min="4861" max="4861" width="16.28515625" style="2" customWidth="1"/>
    <col min="4862" max="4862" width="9.5703125" style="2" customWidth="1"/>
    <col min="4863" max="4863" width="25.85546875" style="2" customWidth="1"/>
    <col min="4864" max="4864" width="10.7109375" style="2" customWidth="1"/>
    <col min="4865" max="4865" width="40.42578125" style="2" customWidth="1"/>
    <col min="4866" max="4866" width="30.5703125" style="2" customWidth="1"/>
    <col min="4867" max="4867" width="16.42578125" style="2" customWidth="1"/>
    <col min="4868" max="4868" width="13" style="2" bestFit="1" customWidth="1"/>
    <col min="4869" max="5116" width="9.140625" style="2"/>
    <col min="5117" max="5117" width="16.28515625" style="2" customWidth="1"/>
    <col min="5118" max="5118" width="9.5703125" style="2" customWidth="1"/>
    <col min="5119" max="5119" width="25.85546875" style="2" customWidth="1"/>
    <col min="5120" max="5120" width="10.7109375" style="2" customWidth="1"/>
    <col min="5121" max="5121" width="40.42578125" style="2" customWidth="1"/>
    <col min="5122" max="5122" width="30.5703125" style="2" customWidth="1"/>
    <col min="5123" max="5123" width="16.42578125" style="2" customWidth="1"/>
    <col min="5124" max="5124" width="13" style="2" bestFit="1" customWidth="1"/>
    <col min="5125" max="5372" width="9.140625" style="2"/>
    <col min="5373" max="5373" width="16.28515625" style="2" customWidth="1"/>
    <col min="5374" max="5374" width="9.5703125" style="2" customWidth="1"/>
    <col min="5375" max="5375" width="25.85546875" style="2" customWidth="1"/>
    <col min="5376" max="5376" width="10.7109375" style="2" customWidth="1"/>
    <col min="5377" max="5377" width="40.42578125" style="2" customWidth="1"/>
    <col min="5378" max="5378" width="30.5703125" style="2" customWidth="1"/>
    <col min="5379" max="5379" width="16.42578125" style="2" customWidth="1"/>
    <col min="5380" max="5380" width="13" style="2" bestFit="1" customWidth="1"/>
    <col min="5381" max="5628" width="9.140625" style="2"/>
    <col min="5629" max="5629" width="16.28515625" style="2" customWidth="1"/>
    <col min="5630" max="5630" width="9.5703125" style="2" customWidth="1"/>
    <col min="5631" max="5631" width="25.85546875" style="2" customWidth="1"/>
    <col min="5632" max="5632" width="10.7109375" style="2" customWidth="1"/>
    <col min="5633" max="5633" width="40.42578125" style="2" customWidth="1"/>
    <col min="5634" max="5634" width="30.5703125" style="2" customWidth="1"/>
    <col min="5635" max="5635" width="16.42578125" style="2" customWidth="1"/>
    <col min="5636" max="5636" width="13" style="2" bestFit="1" customWidth="1"/>
    <col min="5637" max="5884" width="9.140625" style="2"/>
    <col min="5885" max="5885" width="16.28515625" style="2" customWidth="1"/>
    <col min="5886" max="5886" width="9.5703125" style="2" customWidth="1"/>
    <col min="5887" max="5887" width="25.85546875" style="2" customWidth="1"/>
    <col min="5888" max="5888" width="10.7109375" style="2" customWidth="1"/>
    <col min="5889" max="5889" width="40.42578125" style="2" customWidth="1"/>
    <col min="5890" max="5890" width="30.5703125" style="2" customWidth="1"/>
    <col min="5891" max="5891" width="16.42578125" style="2" customWidth="1"/>
    <col min="5892" max="5892" width="13" style="2" bestFit="1" customWidth="1"/>
    <col min="5893" max="6140" width="9.140625" style="2"/>
    <col min="6141" max="6141" width="16.28515625" style="2" customWidth="1"/>
    <col min="6142" max="6142" width="9.5703125" style="2" customWidth="1"/>
    <col min="6143" max="6143" width="25.85546875" style="2" customWidth="1"/>
    <col min="6144" max="6144" width="10.7109375" style="2" customWidth="1"/>
    <col min="6145" max="6145" width="40.42578125" style="2" customWidth="1"/>
    <col min="6146" max="6146" width="30.5703125" style="2" customWidth="1"/>
    <col min="6147" max="6147" width="16.42578125" style="2" customWidth="1"/>
    <col min="6148" max="6148" width="13" style="2" bestFit="1" customWidth="1"/>
    <col min="6149" max="6396" width="9.140625" style="2"/>
    <col min="6397" max="6397" width="16.28515625" style="2" customWidth="1"/>
    <col min="6398" max="6398" width="9.5703125" style="2" customWidth="1"/>
    <col min="6399" max="6399" width="25.85546875" style="2" customWidth="1"/>
    <col min="6400" max="6400" width="10.7109375" style="2" customWidth="1"/>
    <col min="6401" max="6401" width="40.42578125" style="2" customWidth="1"/>
    <col min="6402" max="6402" width="30.5703125" style="2" customWidth="1"/>
    <col min="6403" max="6403" width="16.42578125" style="2" customWidth="1"/>
    <col min="6404" max="6404" width="13" style="2" bestFit="1" customWidth="1"/>
    <col min="6405" max="6652" width="9.140625" style="2"/>
    <col min="6653" max="6653" width="16.28515625" style="2" customWidth="1"/>
    <col min="6654" max="6654" width="9.5703125" style="2" customWidth="1"/>
    <col min="6655" max="6655" width="25.85546875" style="2" customWidth="1"/>
    <col min="6656" max="6656" width="10.7109375" style="2" customWidth="1"/>
    <col min="6657" max="6657" width="40.42578125" style="2" customWidth="1"/>
    <col min="6658" max="6658" width="30.5703125" style="2" customWidth="1"/>
    <col min="6659" max="6659" width="16.42578125" style="2" customWidth="1"/>
    <col min="6660" max="6660" width="13" style="2" bestFit="1" customWidth="1"/>
    <col min="6661" max="6908" width="9.140625" style="2"/>
    <col min="6909" max="6909" width="16.28515625" style="2" customWidth="1"/>
    <col min="6910" max="6910" width="9.5703125" style="2" customWidth="1"/>
    <col min="6911" max="6911" width="25.85546875" style="2" customWidth="1"/>
    <col min="6912" max="6912" width="10.7109375" style="2" customWidth="1"/>
    <col min="6913" max="6913" width="40.42578125" style="2" customWidth="1"/>
    <col min="6914" max="6914" width="30.5703125" style="2" customWidth="1"/>
    <col min="6915" max="6915" width="16.42578125" style="2" customWidth="1"/>
    <col min="6916" max="6916" width="13" style="2" bestFit="1" customWidth="1"/>
    <col min="6917" max="7164" width="9.140625" style="2"/>
    <col min="7165" max="7165" width="16.28515625" style="2" customWidth="1"/>
    <col min="7166" max="7166" width="9.5703125" style="2" customWidth="1"/>
    <col min="7167" max="7167" width="25.85546875" style="2" customWidth="1"/>
    <col min="7168" max="7168" width="10.7109375" style="2" customWidth="1"/>
    <col min="7169" max="7169" width="40.42578125" style="2" customWidth="1"/>
    <col min="7170" max="7170" width="30.5703125" style="2" customWidth="1"/>
    <col min="7171" max="7171" width="16.42578125" style="2" customWidth="1"/>
    <col min="7172" max="7172" width="13" style="2" bestFit="1" customWidth="1"/>
    <col min="7173" max="7420" width="9.140625" style="2"/>
    <col min="7421" max="7421" width="16.28515625" style="2" customWidth="1"/>
    <col min="7422" max="7422" width="9.5703125" style="2" customWidth="1"/>
    <col min="7423" max="7423" width="25.85546875" style="2" customWidth="1"/>
    <col min="7424" max="7424" width="10.7109375" style="2" customWidth="1"/>
    <col min="7425" max="7425" width="40.42578125" style="2" customWidth="1"/>
    <col min="7426" max="7426" width="30.5703125" style="2" customWidth="1"/>
    <col min="7427" max="7427" width="16.42578125" style="2" customWidth="1"/>
    <col min="7428" max="7428" width="13" style="2" bestFit="1" customWidth="1"/>
    <col min="7429" max="7676" width="9.140625" style="2"/>
    <col min="7677" max="7677" width="16.28515625" style="2" customWidth="1"/>
    <col min="7678" max="7678" width="9.5703125" style="2" customWidth="1"/>
    <col min="7679" max="7679" width="25.85546875" style="2" customWidth="1"/>
    <col min="7680" max="7680" width="10.7109375" style="2" customWidth="1"/>
    <col min="7681" max="7681" width="40.42578125" style="2" customWidth="1"/>
    <col min="7682" max="7682" width="30.5703125" style="2" customWidth="1"/>
    <col min="7683" max="7683" width="16.42578125" style="2" customWidth="1"/>
    <col min="7684" max="7684" width="13" style="2" bestFit="1" customWidth="1"/>
    <col min="7685" max="7932" width="9.140625" style="2"/>
    <col min="7933" max="7933" width="16.28515625" style="2" customWidth="1"/>
    <col min="7934" max="7934" width="9.5703125" style="2" customWidth="1"/>
    <col min="7935" max="7935" width="25.85546875" style="2" customWidth="1"/>
    <col min="7936" max="7936" width="10.7109375" style="2" customWidth="1"/>
    <col min="7937" max="7937" width="40.42578125" style="2" customWidth="1"/>
    <col min="7938" max="7938" width="30.5703125" style="2" customWidth="1"/>
    <col min="7939" max="7939" width="16.42578125" style="2" customWidth="1"/>
    <col min="7940" max="7940" width="13" style="2" bestFit="1" customWidth="1"/>
    <col min="7941" max="8188" width="9.140625" style="2"/>
    <col min="8189" max="8189" width="16.28515625" style="2" customWidth="1"/>
    <col min="8190" max="8190" width="9.5703125" style="2" customWidth="1"/>
    <col min="8191" max="8191" width="25.85546875" style="2" customWidth="1"/>
    <col min="8192" max="8192" width="10.7109375" style="2" customWidth="1"/>
    <col min="8193" max="8193" width="40.42578125" style="2" customWidth="1"/>
    <col min="8194" max="8194" width="30.5703125" style="2" customWidth="1"/>
    <col min="8195" max="8195" width="16.42578125" style="2" customWidth="1"/>
    <col min="8196" max="8196" width="13" style="2" bestFit="1" customWidth="1"/>
    <col min="8197" max="8444" width="9.140625" style="2"/>
    <col min="8445" max="8445" width="16.28515625" style="2" customWidth="1"/>
    <col min="8446" max="8446" width="9.5703125" style="2" customWidth="1"/>
    <col min="8447" max="8447" width="25.85546875" style="2" customWidth="1"/>
    <col min="8448" max="8448" width="10.7109375" style="2" customWidth="1"/>
    <col min="8449" max="8449" width="40.42578125" style="2" customWidth="1"/>
    <col min="8450" max="8450" width="30.5703125" style="2" customWidth="1"/>
    <col min="8451" max="8451" width="16.42578125" style="2" customWidth="1"/>
    <col min="8452" max="8452" width="13" style="2" bestFit="1" customWidth="1"/>
    <col min="8453" max="8700" width="9.140625" style="2"/>
    <col min="8701" max="8701" width="16.28515625" style="2" customWidth="1"/>
    <col min="8702" max="8702" width="9.5703125" style="2" customWidth="1"/>
    <col min="8703" max="8703" width="25.85546875" style="2" customWidth="1"/>
    <col min="8704" max="8704" width="10.7109375" style="2" customWidth="1"/>
    <col min="8705" max="8705" width="40.42578125" style="2" customWidth="1"/>
    <col min="8706" max="8706" width="30.5703125" style="2" customWidth="1"/>
    <col min="8707" max="8707" width="16.42578125" style="2" customWidth="1"/>
    <col min="8708" max="8708" width="13" style="2" bestFit="1" customWidth="1"/>
    <col min="8709" max="8956" width="9.140625" style="2"/>
    <col min="8957" max="8957" width="16.28515625" style="2" customWidth="1"/>
    <col min="8958" max="8958" width="9.5703125" style="2" customWidth="1"/>
    <col min="8959" max="8959" width="25.85546875" style="2" customWidth="1"/>
    <col min="8960" max="8960" width="10.7109375" style="2" customWidth="1"/>
    <col min="8961" max="8961" width="40.42578125" style="2" customWidth="1"/>
    <col min="8962" max="8962" width="30.5703125" style="2" customWidth="1"/>
    <col min="8963" max="8963" width="16.42578125" style="2" customWidth="1"/>
    <col min="8964" max="8964" width="13" style="2" bestFit="1" customWidth="1"/>
    <col min="8965" max="9212" width="9.140625" style="2"/>
    <col min="9213" max="9213" width="16.28515625" style="2" customWidth="1"/>
    <col min="9214" max="9214" width="9.5703125" style="2" customWidth="1"/>
    <col min="9215" max="9215" width="25.85546875" style="2" customWidth="1"/>
    <col min="9216" max="9216" width="10.7109375" style="2" customWidth="1"/>
    <col min="9217" max="9217" width="40.42578125" style="2" customWidth="1"/>
    <col min="9218" max="9218" width="30.5703125" style="2" customWidth="1"/>
    <col min="9219" max="9219" width="16.42578125" style="2" customWidth="1"/>
    <col min="9220" max="9220" width="13" style="2" bestFit="1" customWidth="1"/>
    <col min="9221" max="9468" width="9.140625" style="2"/>
    <col min="9469" max="9469" width="16.28515625" style="2" customWidth="1"/>
    <col min="9470" max="9470" width="9.5703125" style="2" customWidth="1"/>
    <col min="9471" max="9471" width="25.85546875" style="2" customWidth="1"/>
    <col min="9472" max="9472" width="10.7109375" style="2" customWidth="1"/>
    <col min="9473" max="9473" width="40.42578125" style="2" customWidth="1"/>
    <col min="9474" max="9474" width="30.5703125" style="2" customWidth="1"/>
    <col min="9475" max="9475" width="16.42578125" style="2" customWidth="1"/>
    <col min="9476" max="9476" width="13" style="2" bestFit="1" customWidth="1"/>
    <col min="9477" max="9724" width="9.140625" style="2"/>
    <col min="9725" max="9725" width="16.28515625" style="2" customWidth="1"/>
    <col min="9726" max="9726" width="9.5703125" style="2" customWidth="1"/>
    <col min="9727" max="9727" width="25.85546875" style="2" customWidth="1"/>
    <col min="9728" max="9728" width="10.7109375" style="2" customWidth="1"/>
    <col min="9729" max="9729" width="40.42578125" style="2" customWidth="1"/>
    <col min="9730" max="9730" width="30.5703125" style="2" customWidth="1"/>
    <col min="9731" max="9731" width="16.42578125" style="2" customWidth="1"/>
    <col min="9732" max="9732" width="13" style="2" bestFit="1" customWidth="1"/>
    <col min="9733" max="9980" width="9.140625" style="2"/>
    <col min="9981" max="9981" width="16.28515625" style="2" customWidth="1"/>
    <col min="9982" max="9982" width="9.5703125" style="2" customWidth="1"/>
    <col min="9983" max="9983" width="25.85546875" style="2" customWidth="1"/>
    <col min="9984" max="9984" width="10.7109375" style="2" customWidth="1"/>
    <col min="9985" max="9985" width="40.42578125" style="2" customWidth="1"/>
    <col min="9986" max="9986" width="30.5703125" style="2" customWidth="1"/>
    <col min="9987" max="9987" width="16.42578125" style="2" customWidth="1"/>
    <col min="9988" max="9988" width="13" style="2" bestFit="1" customWidth="1"/>
    <col min="9989" max="10236" width="9.140625" style="2"/>
    <col min="10237" max="10237" width="16.28515625" style="2" customWidth="1"/>
    <col min="10238" max="10238" width="9.5703125" style="2" customWidth="1"/>
    <col min="10239" max="10239" width="25.85546875" style="2" customWidth="1"/>
    <col min="10240" max="10240" width="10.7109375" style="2" customWidth="1"/>
    <col min="10241" max="10241" width="40.42578125" style="2" customWidth="1"/>
    <col min="10242" max="10242" width="30.5703125" style="2" customWidth="1"/>
    <col min="10243" max="10243" width="16.42578125" style="2" customWidth="1"/>
    <col min="10244" max="10244" width="13" style="2" bestFit="1" customWidth="1"/>
    <col min="10245" max="10492" width="9.140625" style="2"/>
    <col min="10493" max="10493" width="16.28515625" style="2" customWidth="1"/>
    <col min="10494" max="10494" width="9.5703125" style="2" customWidth="1"/>
    <col min="10495" max="10495" width="25.85546875" style="2" customWidth="1"/>
    <col min="10496" max="10496" width="10.7109375" style="2" customWidth="1"/>
    <col min="10497" max="10497" width="40.42578125" style="2" customWidth="1"/>
    <col min="10498" max="10498" width="30.5703125" style="2" customWidth="1"/>
    <col min="10499" max="10499" width="16.42578125" style="2" customWidth="1"/>
    <col min="10500" max="10500" width="13" style="2" bestFit="1" customWidth="1"/>
    <col min="10501" max="10748" width="9.140625" style="2"/>
    <col min="10749" max="10749" width="16.28515625" style="2" customWidth="1"/>
    <col min="10750" max="10750" width="9.5703125" style="2" customWidth="1"/>
    <col min="10751" max="10751" width="25.85546875" style="2" customWidth="1"/>
    <col min="10752" max="10752" width="10.7109375" style="2" customWidth="1"/>
    <col min="10753" max="10753" width="40.42578125" style="2" customWidth="1"/>
    <col min="10754" max="10754" width="30.5703125" style="2" customWidth="1"/>
    <col min="10755" max="10755" width="16.42578125" style="2" customWidth="1"/>
    <col min="10756" max="10756" width="13" style="2" bestFit="1" customWidth="1"/>
    <col min="10757" max="11004" width="9.140625" style="2"/>
    <col min="11005" max="11005" width="16.28515625" style="2" customWidth="1"/>
    <col min="11006" max="11006" width="9.5703125" style="2" customWidth="1"/>
    <col min="11007" max="11007" width="25.85546875" style="2" customWidth="1"/>
    <col min="11008" max="11008" width="10.7109375" style="2" customWidth="1"/>
    <col min="11009" max="11009" width="40.42578125" style="2" customWidth="1"/>
    <col min="11010" max="11010" width="30.5703125" style="2" customWidth="1"/>
    <col min="11011" max="11011" width="16.42578125" style="2" customWidth="1"/>
    <col min="11012" max="11012" width="13" style="2" bestFit="1" customWidth="1"/>
    <col min="11013" max="11260" width="9.140625" style="2"/>
    <col min="11261" max="11261" width="16.28515625" style="2" customWidth="1"/>
    <col min="11262" max="11262" width="9.5703125" style="2" customWidth="1"/>
    <col min="11263" max="11263" width="25.85546875" style="2" customWidth="1"/>
    <col min="11264" max="11264" width="10.7109375" style="2" customWidth="1"/>
    <col min="11265" max="11265" width="40.42578125" style="2" customWidth="1"/>
    <col min="11266" max="11266" width="30.5703125" style="2" customWidth="1"/>
    <col min="11267" max="11267" width="16.42578125" style="2" customWidth="1"/>
    <col min="11268" max="11268" width="13" style="2" bestFit="1" customWidth="1"/>
    <col min="11269" max="11516" width="9.140625" style="2"/>
    <col min="11517" max="11517" width="16.28515625" style="2" customWidth="1"/>
    <col min="11518" max="11518" width="9.5703125" style="2" customWidth="1"/>
    <col min="11519" max="11519" width="25.85546875" style="2" customWidth="1"/>
    <col min="11520" max="11520" width="10.7109375" style="2" customWidth="1"/>
    <col min="11521" max="11521" width="40.42578125" style="2" customWidth="1"/>
    <col min="11522" max="11522" width="30.5703125" style="2" customWidth="1"/>
    <col min="11523" max="11523" width="16.42578125" style="2" customWidth="1"/>
    <col min="11524" max="11524" width="13" style="2" bestFit="1" customWidth="1"/>
    <col min="11525" max="11772" width="9.140625" style="2"/>
    <col min="11773" max="11773" width="16.28515625" style="2" customWidth="1"/>
    <col min="11774" max="11774" width="9.5703125" style="2" customWidth="1"/>
    <col min="11775" max="11775" width="25.85546875" style="2" customWidth="1"/>
    <col min="11776" max="11776" width="10.7109375" style="2" customWidth="1"/>
    <col min="11777" max="11777" width="40.42578125" style="2" customWidth="1"/>
    <col min="11778" max="11778" width="30.5703125" style="2" customWidth="1"/>
    <col min="11779" max="11779" width="16.42578125" style="2" customWidth="1"/>
    <col min="11780" max="11780" width="13" style="2" bestFit="1" customWidth="1"/>
    <col min="11781" max="12028" width="9.140625" style="2"/>
    <col min="12029" max="12029" width="16.28515625" style="2" customWidth="1"/>
    <col min="12030" max="12030" width="9.5703125" style="2" customWidth="1"/>
    <col min="12031" max="12031" width="25.85546875" style="2" customWidth="1"/>
    <col min="12032" max="12032" width="10.7109375" style="2" customWidth="1"/>
    <col min="12033" max="12033" width="40.42578125" style="2" customWidth="1"/>
    <col min="12034" max="12034" width="30.5703125" style="2" customWidth="1"/>
    <col min="12035" max="12035" width="16.42578125" style="2" customWidth="1"/>
    <col min="12036" max="12036" width="13" style="2" bestFit="1" customWidth="1"/>
    <col min="12037" max="12284" width="9.140625" style="2"/>
    <col min="12285" max="12285" width="16.28515625" style="2" customWidth="1"/>
    <col min="12286" max="12286" width="9.5703125" style="2" customWidth="1"/>
    <col min="12287" max="12287" width="25.85546875" style="2" customWidth="1"/>
    <col min="12288" max="12288" width="10.7109375" style="2" customWidth="1"/>
    <col min="12289" max="12289" width="40.42578125" style="2" customWidth="1"/>
    <col min="12290" max="12290" width="30.5703125" style="2" customWidth="1"/>
    <col min="12291" max="12291" width="16.42578125" style="2" customWidth="1"/>
    <col min="12292" max="12292" width="13" style="2" bestFit="1" customWidth="1"/>
    <col min="12293" max="12540" width="9.140625" style="2"/>
    <col min="12541" max="12541" width="16.28515625" style="2" customWidth="1"/>
    <col min="12542" max="12542" width="9.5703125" style="2" customWidth="1"/>
    <col min="12543" max="12543" width="25.85546875" style="2" customWidth="1"/>
    <col min="12544" max="12544" width="10.7109375" style="2" customWidth="1"/>
    <col min="12545" max="12545" width="40.42578125" style="2" customWidth="1"/>
    <col min="12546" max="12546" width="30.5703125" style="2" customWidth="1"/>
    <col min="12547" max="12547" width="16.42578125" style="2" customWidth="1"/>
    <col min="12548" max="12548" width="13" style="2" bestFit="1" customWidth="1"/>
    <col min="12549" max="12796" width="9.140625" style="2"/>
    <col min="12797" max="12797" width="16.28515625" style="2" customWidth="1"/>
    <col min="12798" max="12798" width="9.5703125" style="2" customWidth="1"/>
    <col min="12799" max="12799" width="25.85546875" style="2" customWidth="1"/>
    <col min="12800" max="12800" width="10.7109375" style="2" customWidth="1"/>
    <col min="12801" max="12801" width="40.42578125" style="2" customWidth="1"/>
    <col min="12802" max="12802" width="30.5703125" style="2" customWidth="1"/>
    <col min="12803" max="12803" width="16.42578125" style="2" customWidth="1"/>
    <col min="12804" max="12804" width="13" style="2" bestFit="1" customWidth="1"/>
    <col min="12805" max="13052" width="9.140625" style="2"/>
    <col min="13053" max="13053" width="16.28515625" style="2" customWidth="1"/>
    <col min="13054" max="13054" width="9.5703125" style="2" customWidth="1"/>
    <col min="13055" max="13055" width="25.85546875" style="2" customWidth="1"/>
    <col min="13056" max="13056" width="10.7109375" style="2" customWidth="1"/>
    <col min="13057" max="13057" width="40.42578125" style="2" customWidth="1"/>
    <col min="13058" max="13058" width="30.5703125" style="2" customWidth="1"/>
    <col min="13059" max="13059" width="16.42578125" style="2" customWidth="1"/>
    <col min="13060" max="13060" width="13" style="2" bestFit="1" customWidth="1"/>
    <col min="13061" max="13308" width="9.140625" style="2"/>
    <col min="13309" max="13309" width="16.28515625" style="2" customWidth="1"/>
    <col min="13310" max="13310" width="9.5703125" style="2" customWidth="1"/>
    <col min="13311" max="13311" width="25.85546875" style="2" customWidth="1"/>
    <col min="13312" max="13312" width="10.7109375" style="2" customWidth="1"/>
    <col min="13313" max="13313" width="40.42578125" style="2" customWidth="1"/>
    <col min="13314" max="13314" width="30.5703125" style="2" customWidth="1"/>
    <col min="13315" max="13315" width="16.42578125" style="2" customWidth="1"/>
    <col min="13316" max="13316" width="13" style="2" bestFit="1" customWidth="1"/>
    <col min="13317" max="13564" width="9.140625" style="2"/>
    <col min="13565" max="13565" width="16.28515625" style="2" customWidth="1"/>
    <col min="13566" max="13566" width="9.5703125" style="2" customWidth="1"/>
    <col min="13567" max="13567" width="25.85546875" style="2" customWidth="1"/>
    <col min="13568" max="13568" width="10.7109375" style="2" customWidth="1"/>
    <col min="13569" max="13569" width="40.42578125" style="2" customWidth="1"/>
    <col min="13570" max="13570" width="30.5703125" style="2" customWidth="1"/>
    <col min="13571" max="13571" width="16.42578125" style="2" customWidth="1"/>
    <col min="13572" max="13572" width="13" style="2" bestFit="1" customWidth="1"/>
    <col min="13573" max="13820" width="9.140625" style="2"/>
    <col min="13821" max="13821" width="16.28515625" style="2" customWidth="1"/>
    <col min="13822" max="13822" width="9.5703125" style="2" customWidth="1"/>
    <col min="13823" max="13823" width="25.85546875" style="2" customWidth="1"/>
    <col min="13824" max="13824" width="10.7109375" style="2" customWidth="1"/>
    <col min="13825" max="13825" width="40.42578125" style="2" customWidth="1"/>
    <col min="13826" max="13826" width="30.5703125" style="2" customWidth="1"/>
    <col min="13827" max="13827" width="16.42578125" style="2" customWidth="1"/>
    <col min="13828" max="13828" width="13" style="2" bestFit="1" customWidth="1"/>
    <col min="13829" max="14076" width="9.140625" style="2"/>
    <col min="14077" max="14077" width="16.28515625" style="2" customWidth="1"/>
    <col min="14078" max="14078" width="9.5703125" style="2" customWidth="1"/>
    <col min="14079" max="14079" width="25.85546875" style="2" customWidth="1"/>
    <col min="14080" max="14080" width="10.7109375" style="2" customWidth="1"/>
    <col min="14081" max="14081" width="40.42578125" style="2" customWidth="1"/>
    <col min="14082" max="14082" width="30.5703125" style="2" customWidth="1"/>
    <col min="14083" max="14083" width="16.42578125" style="2" customWidth="1"/>
    <col min="14084" max="14084" width="13" style="2" bestFit="1" customWidth="1"/>
    <col min="14085" max="14332" width="9.140625" style="2"/>
    <col min="14333" max="14333" width="16.28515625" style="2" customWidth="1"/>
    <col min="14334" max="14334" width="9.5703125" style="2" customWidth="1"/>
    <col min="14335" max="14335" width="25.85546875" style="2" customWidth="1"/>
    <col min="14336" max="14336" width="10.7109375" style="2" customWidth="1"/>
    <col min="14337" max="14337" width="40.42578125" style="2" customWidth="1"/>
    <col min="14338" max="14338" width="30.5703125" style="2" customWidth="1"/>
    <col min="14339" max="14339" width="16.42578125" style="2" customWidth="1"/>
    <col min="14340" max="14340" width="13" style="2" bestFit="1" customWidth="1"/>
    <col min="14341" max="14588" width="9.140625" style="2"/>
    <col min="14589" max="14589" width="16.28515625" style="2" customWidth="1"/>
    <col min="14590" max="14590" width="9.5703125" style="2" customWidth="1"/>
    <col min="14591" max="14591" width="25.85546875" style="2" customWidth="1"/>
    <col min="14592" max="14592" width="10.7109375" style="2" customWidth="1"/>
    <col min="14593" max="14593" width="40.42578125" style="2" customWidth="1"/>
    <col min="14594" max="14594" width="30.5703125" style="2" customWidth="1"/>
    <col min="14595" max="14595" width="16.42578125" style="2" customWidth="1"/>
    <col min="14596" max="14596" width="13" style="2" bestFit="1" customWidth="1"/>
    <col min="14597" max="14844" width="9.140625" style="2"/>
    <col min="14845" max="14845" width="16.28515625" style="2" customWidth="1"/>
    <col min="14846" max="14846" width="9.5703125" style="2" customWidth="1"/>
    <col min="14847" max="14847" width="25.85546875" style="2" customWidth="1"/>
    <col min="14848" max="14848" width="10.7109375" style="2" customWidth="1"/>
    <col min="14849" max="14849" width="40.42578125" style="2" customWidth="1"/>
    <col min="14850" max="14850" width="30.5703125" style="2" customWidth="1"/>
    <col min="14851" max="14851" width="16.42578125" style="2" customWidth="1"/>
    <col min="14852" max="14852" width="13" style="2" bestFit="1" customWidth="1"/>
    <col min="14853" max="15100" width="9.140625" style="2"/>
    <col min="15101" max="15101" width="16.28515625" style="2" customWidth="1"/>
    <col min="15102" max="15102" width="9.5703125" style="2" customWidth="1"/>
    <col min="15103" max="15103" width="25.85546875" style="2" customWidth="1"/>
    <col min="15104" max="15104" width="10.7109375" style="2" customWidth="1"/>
    <col min="15105" max="15105" width="40.42578125" style="2" customWidth="1"/>
    <col min="15106" max="15106" width="30.5703125" style="2" customWidth="1"/>
    <col min="15107" max="15107" width="16.42578125" style="2" customWidth="1"/>
    <col min="15108" max="15108" width="13" style="2" bestFit="1" customWidth="1"/>
    <col min="15109" max="15356" width="9.140625" style="2"/>
    <col min="15357" max="15357" width="16.28515625" style="2" customWidth="1"/>
    <col min="15358" max="15358" width="9.5703125" style="2" customWidth="1"/>
    <col min="15359" max="15359" width="25.85546875" style="2" customWidth="1"/>
    <col min="15360" max="15360" width="10.7109375" style="2" customWidth="1"/>
    <col min="15361" max="15361" width="40.42578125" style="2" customWidth="1"/>
    <col min="15362" max="15362" width="30.5703125" style="2" customWidth="1"/>
    <col min="15363" max="15363" width="16.42578125" style="2" customWidth="1"/>
    <col min="15364" max="15364" width="13" style="2" bestFit="1" customWidth="1"/>
    <col min="15365" max="15612" width="9.140625" style="2"/>
    <col min="15613" max="15613" width="16.28515625" style="2" customWidth="1"/>
    <col min="15614" max="15614" width="9.5703125" style="2" customWidth="1"/>
    <col min="15615" max="15615" width="25.85546875" style="2" customWidth="1"/>
    <col min="15616" max="15616" width="10.7109375" style="2" customWidth="1"/>
    <col min="15617" max="15617" width="40.42578125" style="2" customWidth="1"/>
    <col min="15618" max="15618" width="30.5703125" style="2" customWidth="1"/>
    <col min="15619" max="15619" width="16.42578125" style="2" customWidth="1"/>
    <col min="15620" max="15620" width="13" style="2" bestFit="1" customWidth="1"/>
    <col min="15621" max="15868" width="9.140625" style="2"/>
    <col min="15869" max="15869" width="16.28515625" style="2" customWidth="1"/>
    <col min="15870" max="15870" width="9.5703125" style="2" customWidth="1"/>
    <col min="15871" max="15871" width="25.85546875" style="2" customWidth="1"/>
    <col min="15872" max="15872" width="10.7109375" style="2" customWidth="1"/>
    <col min="15873" max="15873" width="40.42578125" style="2" customWidth="1"/>
    <col min="15874" max="15874" width="30.5703125" style="2" customWidth="1"/>
    <col min="15875" max="15875" width="16.42578125" style="2" customWidth="1"/>
    <col min="15876" max="15876" width="13" style="2" bestFit="1" customWidth="1"/>
    <col min="15877" max="16124" width="9.140625" style="2"/>
    <col min="16125" max="16125" width="16.28515625" style="2" customWidth="1"/>
    <col min="16126" max="16126" width="9.5703125" style="2" customWidth="1"/>
    <col min="16127" max="16127" width="25.85546875" style="2" customWidth="1"/>
    <col min="16128" max="16128" width="10.7109375" style="2" customWidth="1"/>
    <col min="16129" max="16129" width="40.42578125" style="2" customWidth="1"/>
    <col min="16130" max="16130" width="30.5703125" style="2" customWidth="1"/>
    <col min="16131" max="16131" width="16.42578125" style="2" customWidth="1"/>
    <col min="16132" max="16132" width="13" style="2" bestFit="1" customWidth="1"/>
    <col min="16133" max="16384" width="9.140625" style="2"/>
  </cols>
  <sheetData>
    <row r="3" spans="1:12">
      <c r="G3" s="101"/>
      <c r="H3" s="101"/>
      <c r="I3" s="101"/>
      <c r="J3" s="101"/>
    </row>
    <row r="5" spans="1:12" ht="18.75">
      <c r="A5" s="1483" t="s">
        <v>51</v>
      </c>
      <c r="B5" s="1483"/>
      <c r="C5" s="1483"/>
      <c r="D5" s="1483"/>
      <c r="E5" s="1483"/>
      <c r="F5" s="1483"/>
      <c r="G5" s="1483"/>
      <c r="H5" s="1483"/>
      <c r="I5" s="1483"/>
      <c r="J5" s="1483"/>
      <c r="K5" s="1483"/>
      <c r="L5" s="1487"/>
    </row>
    <row r="6" spans="1:12" ht="18.75">
      <c r="A6" s="1483" t="s">
        <v>29</v>
      </c>
      <c r="B6" s="1483"/>
      <c r="C6" s="1483"/>
      <c r="D6" s="1483"/>
      <c r="E6" s="1483"/>
      <c r="F6" s="1483"/>
      <c r="G6" s="1483"/>
      <c r="H6" s="1483"/>
      <c r="I6" s="1483"/>
      <c r="J6" s="1483"/>
      <c r="K6" s="1483"/>
      <c r="L6" s="1487"/>
    </row>
    <row r="7" spans="1:12">
      <c r="G7" s="87"/>
      <c r="H7" s="87"/>
      <c r="I7" s="87"/>
      <c r="J7" s="87"/>
    </row>
    <row r="8" spans="1:12">
      <c r="C8" s="4"/>
      <c r="D8" s="4"/>
      <c r="L8" s="125" t="s">
        <v>0</v>
      </c>
    </row>
    <row r="9" spans="1:12" s="31" customFormat="1" ht="73.5" customHeight="1">
      <c r="A9" s="12" t="s">
        <v>1</v>
      </c>
      <c r="B9" s="12" t="s">
        <v>2</v>
      </c>
      <c r="C9" s="12" t="s">
        <v>68</v>
      </c>
      <c r="D9" s="12" t="s">
        <v>4</v>
      </c>
      <c r="E9" s="12" t="s">
        <v>5</v>
      </c>
      <c r="F9" s="12" t="s">
        <v>6</v>
      </c>
      <c r="G9" s="89" t="s">
        <v>52</v>
      </c>
      <c r="H9" s="89" t="s">
        <v>73</v>
      </c>
      <c r="I9" s="89" t="s">
        <v>74</v>
      </c>
      <c r="J9" s="89" t="s">
        <v>75</v>
      </c>
      <c r="K9" s="89" t="s">
        <v>33</v>
      </c>
      <c r="L9" s="126" t="s">
        <v>50</v>
      </c>
    </row>
    <row r="10" spans="1:12" s="31" customFormat="1" ht="44.25" customHeight="1">
      <c r="A10" s="1484" t="s">
        <v>26</v>
      </c>
      <c r="B10" s="1485"/>
      <c r="C10" s="1485"/>
      <c r="D10" s="1485"/>
      <c r="E10" s="1485"/>
      <c r="F10" s="1485"/>
      <c r="G10" s="1485"/>
      <c r="H10" s="1485"/>
      <c r="I10" s="1485"/>
      <c r="J10" s="1485"/>
      <c r="K10" s="1485"/>
      <c r="L10" s="1485"/>
    </row>
    <row r="11" spans="1:12" s="31" customFormat="1" ht="30.75" customHeight="1">
      <c r="A11" s="55" t="s">
        <v>7</v>
      </c>
      <c r="B11" s="55">
        <v>4</v>
      </c>
      <c r="C11" s="55" t="s">
        <v>69</v>
      </c>
      <c r="D11" s="55">
        <v>111</v>
      </c>
      <c r="E11" s="11">
        <v>211</v>
      </c>
      <c r="F11" s="8" t="s">
        <v>8</v>
      </c>
      <c r="G11" s="100">
        <v>32780340.52</v>
      </c>
      <c r="H11" s="100"/>
      <c r="I11" s="100"/>
      <c r="J11" s="100">
        <f>G11+I11</f>
        <v>32780340.52</v>
      </c>
      <c r="K11" s="99">
        <v>27186806.899999999</v>
      </c>
      <c r="L11" s="99">
        <v>27124887.949999999</v>
      </c>
    </row>
    <row r="12" spans="1:12" s="31" customFormat="1" ht="47.25">
      <c r="A12" s="55" t="s">
        <v>7</v>
      </c>
      <c r="B12" s="55">
        <v>4</v>
      </c>
      <c r="C12" s="55" t="s">
        <v>71</v>
      </c>
      <c r="D12" s="55">
        <v>111</v>
      </c>
      <c r="E12" s="11">
        <v>266</v>
      </c>
      <c r="F12" s="8" t="s">
        <v>43</v>
      </c>
      <c r="G12" s="100">
        <v>19800</v>
      </c>
      <c r="H12" s="100"/>
      <c r="I12" s="100">
        <v>50000</v>
      </c>
      <c r="J12" s="100">
        <f t="shared" ref="J12:J40" si="0">G12+I12</f>
        <v>69800</v>
      </c>
      <c r="K12" s="99">
        <v>19800</v>
      </c>
      <c r="L12" s="99">
        <v>19800</v>
      </c>
    </row>
    <row r="13" spans="1:12" s="31" customFormat="1" ht="94.5">
      <c r="A13" s="55" t="s">
        <v>7</v>
      </c>
      <c r="B13" s="55">
        <v>4</v>
      </c>
      <c r="C13" s="55" t="s">
        <v>71</v>
      </c>
      <c r="D13" s="55">
        <v>111</v>
      </c>
      <c r="E13" s="11">
        <v>211</v>
      </c>
      <c r="F13" s="8" t="s">
        <v>49</v>
      </c>
      <c r="G13" s="100">
        <v>128000</v>
      </c>
      <c r="H13" s="100"/>
      <c r="I13" s="100"/>
      <c r="J13" s="100">
        <f t="shared" si="0"/>
        <v>128000</v>
      </c>
      <c r="K13" s="99">
        <v>88000</v>
      </c>
      <c r="L13" s="99">
        <v>94000</v>
      </c>
    </row>
    <row r="14" spans="1:12" s="31" customFormat="1" ht="22.5" customHeight="1">
      <c r="A14" s="55" t="s">
        <v>7</v>
      </c>
      <c r="B14" s="55">
        <v>4</v>
      </c>
      <c r="C14" s="55" t="s">
        <v>71</v>
      </c>
      <c r="D14" s="55">
        <v>112</v>
      </c>
      <c r="E14" s="11">
        <v>214</v>
      </c>
      <c r="F14" s="8" t="s">
        <v>35</v>
      </c>
      <c r="G14" s="100">
        <v>960000</v>
      </c>
      <c r="H14" s="100"/>
      <c r="I14" s="100"/>
      <c r="J14" s="100">
        <f t="shared" si="0"/>
        <v>960000</v>
      </c>
      <c r="K14" s="99">
        <v>880000</v>
      </c>
      <c r="L14" s="99">
        <v>960000</v>
      </c>
    </row>
    <row r="15" spans="1:12" s="31" customFormat="1" ht="55.5" customHeight="1">
      <c r="A15" s="55" t="s">
        <v>7</v>
      </c>
      <c r="B15" s="55">
        <v>4</v>
      </c>
      <c r="C15" s="55" t="s">
        <v>71</v>
      </c>
      <c r="D15" s="55">
        <v>112</v>
      </c>
      <c r="E15" s="11">
        <v>266</v>
      </c>
      <c r="F15" s="8" t="s">
        <v>66</v>
      </c>
      <c r="G15" s="100">
        <v>103240</v>
      </c>
      <c r="H15" s="100"/>
      <c r="I15" s="100">
        <v>-50000</v>
      </c>
      <c r="J15" s="100">
        <f t="shared" si="0"/>
        <v>53240</v>
      </c>
      <c r="K15" s="99">
        <f>1800+101917.75</f>
        <v>103717.75</v>
      </c>
      <c r="L15" s="99">
        <f>525+101747.75</f>
        <v>102272.75</v>
      </c>
    </row>
    <row r="16" spans="1:12" s="31" customFormat="1" ht="55.5" customHeight="1">
      <c r="A16" s="55" t="s">
        <v>7</v>
      </c>
      <c r="B16" s="55">
        <v>4</v>
      </c>
      <c r="C16" s="55" t="s">
        <v>71</v>
      </c>
      <c r="D16" s="55">
        <v>112</v>
      </c>
      <c r="E16" s="11">
        <v>226</v>
      </c>
      <c r="F16" s="8" t="s">
        <v>102</v>
      </c>
      <c r="G16" s="100">
        <v>10000</v>
      </c>
      <c r="H16" s="100"/>
      <c r="I16" s="100"/>
      <c r="J16" s="100">
        <f t="shared" si="0"/>
        <v>10000</v>
      </c>
      <c r="K16" s="99">
        <v>0</v>
      </c>
      <c r="L16" s="99">
        <v>0</v>
      </c>
    </row>
    <row r="17" spans="1:18" s="31" customFormat="1" ht="18" customHeight="1">
      <c r="A17" s="55" t="s">
        <v>7</v>
      </c>
      <c r="B17" s="55">
        <v>4</v>
      </c>
      <c r="C17" s="55" t="s">
        <v>69</v>
      </c>
      <c r="D17" s="55">
        <v>119</v>
      </c>
      <c r="E17" s="11">
        <v>213</v>
      </c>
      <c r="F17" s="8" t="s">
        <v>10</v>
      </c>
      <c r="G17" s="100">
        <v>9756045.25</v>
      </c>
      <c r="H17" s="100"/>
      <c r="I17" s="100"/>
      <c r="J17" s="100">
        <f t="shared" si="0"/>
        <v>9756045.25</v>
      </c>
      <c r="K17" s="100">
        <v>8142293.2800000003</v>
      </c>
      <c r="L17" s="100">
        <v>8098921.9800000004</v>
      </c>
    </row>
    <row r="18" spans="1:18" s="31" customFormat="1" ht="31.5">
      <c r="A18" s="55" t="s">
        <v>7</v>
      </c>
      <c r="B18" s="55">
        <v>4</v>
      </c>
      <c r="C18" s="55" t="s">
        <v>71</v>
      </c>
      <c r="D18" s="55">
        <v>119</v>
      </c>
      <c r="E18" s="11">
        <v>213</v>
      </c>
      <c r="F18" s="8" t="s">
        <v>67</v>
      </c>
      <c r="G18" s="100">
        <v>17516</v>
      </c>
      <c r="H18" s="100"/>
      <c r="I18" s="100"/>
      <c r="J18" s="100">
        <f t="shared" si="0"/>
        <v>17516</v>
      </c>
      <c r="K18" s="100">
        <v>5436</v>
      </c>
      <c r="L18" s="100">
        <v>7248</v>
      </c>
    </row>
    <row r="19" spans="1:18" s="31" customFormat="1" ht="19.5" customHeight="1">
      <c r="A19" s="55" t="s">
        <v>7</v>
      </c>
      <c r="B19" s="55">
        <v>4</v>
      </c>
      <c r="C19" s="55" t="s">
        <v>71</v>
      </c>
      <c r="D19" s="55">
        <v>244</v>
      </c>
      <c r="E19" s="11">
        <v>221</v>
      </c>
      <c r="F19" s="8" t="s">
        <v>11</v>
      </c>
      <c r="G19" s="100">
        <v>289784.15999999997</v>
      </c>
      <c r="H19" s="100"/>
      <c r="I19" s="100"/>
      <c r="J19" s="100">
        <f t="shared" si="0"/>
        <v>289784.15999999997</v>
      </c>
      <c r="K19" s="99">
        <v>238784.16</v>
      </c>
      <c r="L19" s="99">
        <v>108464.16</v>
      </c>
    </row>
    <row r="20" spans="1:18" s="31" customFormat="1" ht="19.5" customHeight="1">
      <c r="A20" s="55" t="s">
        <v>7</v>
      </c>
      <c r="B20" s="55">
        <v>4</v>
      </c>
      <c r="C20" s="55" t="s">
        <v>71</v>
      </c>
      <c r="D20" s="55">
        <v>244</v>
      </c>
      <c r="E20" s="11">
        <v>222</v>
      </c>
      <c r="F20" s="8" t="s">
        <v>12</v>
      </c>
      <c r="G20" s="100">
        <v>247741.27</v>
      </c>
      <c r="H20" s="100"/>
      <c r="I20" s="100"/>
      <c r="J20" s="100">
        <f t="shared" si="0"/>
        <v>247741.27</v>
      </c>
      <c r="K20" s="99">
        <v>79311.92</v>
      </c>
      <c r="L20" s="99">
        <v>79311.92</v>
      </c>
    </row>
    <row r="21" spans="1:18" s="31" customFormat="1" ht="15.75">
      <c r="A21" s="55" t="s">
        <v>7</v>
      </c>
      <c r="B21" s="55">
        <v>4</v>
      </c>
      <c r="C21" s="55" t="s">
        <v>71</v>
      </c>
      <c r="D21" s="55">
        <v>244</v>
      </c>
      <c r="E21" s="11">
        <v>223</v>
      </c>
      <c r="F21" s="8" t="s">
        <v>13</v>
      </c>
      <c r="G21" s="100">
        <v>1973451.06</v>
      </c>
      <c r="H21" s="100"/>
      <c r="I21" s="100">
        <v>-485884.3</v>
      </c>
      <c r="J21" s="100">
        <f t="shared" si="0"/>
        <v>1487566.76</v>
      </c>
      <c r="K21" s="99">
        <v>2023390.58</v>
      </c>
      <c r="L21" s="99">
        <v>2057755.88</v>
      </c>
      <c r="Q21" s="31" t="s">
        <v>64</v>
      </c>
    </row>
    <row r="22" spans="1:18" s="31" customFormat="1" ht="15.75">
      <c r="A22" s="55" t="s">
        <v>7</v>
      </c>
      <c r="B22" s="55">
        <v>4</v>
      </c>
      <c r="C22" s="55" t="s">
        <v>71</v>
      </c>
      <c r="D22" s="55">
        <v>244</v>
      </c>
      <c r="E22" s="11">
        <v>225</v>
      </c>
      <c r="F22" s="8" t="s">
        <v>14</v>
      </c>
      <c r="G22" s="100">
        <v>1766727.42</v>
      </c>
      <c r="H22" s="100"/>
      <c r="I22" s="100">
        <v>-508763.65</v>
      </c>
      <c r="J22" s="100">
        <f t="shared" si="0"/>
        <v>1257963.77</v>
      </c>
      <c r="K22" s="99">
        <v>1845207.18</v>
      </c>
      <c r="L22" s="99">
        <v>1952688.71</v>
      </c>
      <c r="P22" s="31">
        <v>2020</v>
      </c>
      <c r="Q22" s="13">
        <v>6847892.9900000002</v>
      </c>
      <c r="R22" s="7">
        <v>8138171.5300000003</v>
      </c>
    </row>
    <row r="23" spans="1:18" s="31" customFormat="1" ht="15.75">
      <c r="A23" s="55" t="s">
        <v>7</v>
      </c>
      <c r="B23" s="55">
        <v>4</v>
      </c>
      <c r="C23" s="55" t="s">
        <v>71</v>
      </c>
      <c r="D23" s="55">
        <v>244</v>
      </c>
      <c r="E23" s="11">
        <v>224</v>
      </c>
      <c r="F23" s="8" t="s">
        <v>15</v>
      </c>
      <c r="G23" s="100">
        <v>0</v>
      </c>
      <c r="H23" s="100"/>
      <c r="I23" s="100">
        <v>8815770</v>
      </c>
      <c r="J23" s="100">
        <f t="shared" si="0"/>
        <v>8815770</v>
      </c>
      <c r="K23" s="99">
        <v>0</v>
      </c>
      <c r="L23" s="99">
        <v>0</v>
      </c>
      <c r="Q23" s="13"/>
      <c r="R23" s="7"/>
    </row>
    <row r="24" spans="1:18" s="31" customFormat="1" ht="15.75">
      <c r="A24" s="55" t="s">
        <v>7</v>
      </c>
      <c r="B24" s="55">
        <v>4</v>
      </c>
      <c r="C24" s="55" t="s">
        <v>71</v>
      </c>
      <c r="D24" s="55">
        <v>244</v>
      </c>
      <c r="E24" s="11">
        <v>226</v>
      </c>
      <c r="F24" s="8" t="s">
        <v>15</v>
      </c>
      <c r="G24" s="100">
        <v>1348035.1</v>
      </c>
      <c r="H24" s="100"/>
      <c r="I24" s="100">
        <v>-134486.85</v>
      </c>
      <c r="J24" s="100">
        <f t="shared" si="0"/>
        <v>1213548.25</v>
      </c>
      <c r="K24" s="100">
        <f>1128025.2+171322.74</f>
        <v>1299347.94</v>
      </c>
      <c r="L24" s="100">
        <v>1314452.71</v>
      </c>
      <c r="M24" s="102"/>
      <c r="P24" s="31">
        <v>2021</v>
      </c>
      <c r="Q24" s="13">
        <v>6759321.96</v>
      </c>
      <c r="R24" s="7">
        <v>7211607.3600000003</v>
      </c>
    </row>
    <row r="25" spans="1:18" s="30" customFormat="1" ht="15.75">
      <c r="A25" s="27" t="s">
        <v>7</v>
      </c>
      <c r="B25" s="27">
        <v>4</v>
      </c>
      <c r="C25" s="27" t="s">
        <v>70</v>
      </c>
      <c r="D25" s="27">
        <v>244</v>
      </c>
      <c r="E25" s="28">
        <v>226</v>
      </c>
      <c r="F25" s="29" t="s">
        <v>15</v>
      </c>
      <c r="G25" s="107">
        <v>2329591.33</v>
      </c>
      <c r="H25" s="107"/>
      <c r="I25" s="107">
        <v>-259000</v>
      </c>
      <c r="J25" s="107">
        <f t="shared" si="0"/>
        <v>2070591.33</v>
      </c>
      <c r="K25" s="107">
        <v>2192317.98</v>
      </c>
      <c r="L25" s="107">
        <v>2329591.33</v>
      </c>
      <c r="M25" s="108"/>
      <c r="P25" s="30">
        <v>2022</v>
      </c>
      <c r="Q25" s="94">
        <v>6759321.96</v>
      </c>
      <c r="R25" s="109">
        <v>7211607.3600000003</v>
      </c>
    </row>
    <row r="26" spans="1:18" s="31" customFormat="1" ht="15.75">
      <c r="A26" s="20" t="s">
        <v>30</v>
      </c>
      <c r="B26" s="20">
        <v>4</v>
      </c>
      <c r="C26" s="20" t="s">
        <v>47</v>
      </c>
      <c r="D26" s="20">
        <v>244</v>
      </c>
      <c r="E26" s="21">
        <v>226</v>
      </c>
      <c r="F26" s="22" t="s">
        <v>15</v>
      </c>
      <c r="G26" s="23">
        <v>0</v>
      </c>
      <c r="H26" s="23"/>
      <c r="I26" s="23">
        <v>169385.08</v>
      </c>
      <c r="J26" s="23">
        <f t="shared" si="0"/>
        <v>169385.08</v>
      </c>
      <c r="K26" s="23">
        <v>0</v>
      </c>
      <c r="L26" s="23">
        <v>0</v>
      </c>
      <c r="M26" s="102"/>
      <c r="Q26" s="13"/>
      <c r="R26" s="7"/>
    </row>
    <row r="27" spans="1:18" s="31" customFormat="1" ht="15.75">
      <c r="A27" s="20" t="s">
        <v>31</v>
      </c>
      <c r="B27" s="20">
        <v>4</v>
      </c>
      <c r="C27" s="20" t="s">
        <v>47</v>
      </c>
      <c r="D27" s="20">
        <v>244</v>
      </c>
      <c r="E27" s="21">
        <v>226</v>
      </c>
      <c r="F27" s="22" t="s">
        <v>15</v>
      </c>
      <c r="G27" s="23">
        <v>0</v>
      </c>
      <c r="H27" s="23"/>
      <c r="I27" s="23">
        <v>395212.59</v>
      </c>
      <c r="J27" s="23">
        <f t="shared" si="0"/>
        <v>395212.59</v>
      </c>
      <c r="K27" s="23">
        <v>0</v>
      </c>
      <c r="L27" s="23">
        <v>0</v>
      </c>
      <c r="Q27" s="13"/>
      <c r="R27" s="7"/>
    </row>
    <row r="28" spans="1:18" s="31" customFormat="1" ht="15.75">
      <c r="A28" s="20" t="s">
        <v>7</v>
      </c>
      <c r="B28" s="20">
        <v>4</v>
      </c>
      <c r="C28" s="20" t="s">
        <v>47</v>
      </c>
      <c r="D28" s="20">
        <v>244</v>
      </c>
      <c r="E28" s="21">
        <v>226</v>
      </c>
      <c r="F28" s="22" t="s">
        <v>15</v>
      </c>
      <c r="G28" s="23">
        <v>0</v>
      </c>
      <c r="H28" s="23"/>
      <c r="I28" s="23">
        <v>29715.66</v>
      </c>
      <c r="J28" s="23">
        <f t="shared" si="0"/>
        <v>29715.66</v>
      </c>
      <c r="K28" s="23">
        <v>0</v>
      </c>
      <c r="L28" s="23">
        <v>0</v>
      </c>
      <c r="Q28" s="13"/>
      <c r="R28" s="7"/>
    </row>
    <row r="29" spans="1:18" s="31" customFormat="1" ht="18" customHeight="1">
      <c r="A29" s="55" t="s">
        <v>7</v>
      </c>
      <c r="B29" s="55">
        <v>4</v>
      </c>
      <c r="C29" s="55" t="s">
        <v>71</v>
      </c>
      <c r="D29" s="55">
        <v>851</v>
      </c>
      <c r="E29" s="11">
        <v>291</v>
      </c>
      <c r="F29" s="8" t="s">
        <v>28</v>
      </c>
      <c r="G29" s="100">
        <v>2236329</v>
      </c>
      <c r="H29" s="100"/>
      <c r="I29" s="100">
        <v>-1012874</v>
      </c>
      <c r="J29" s="100">
        <f t="shared" si="0"/>
        <v>1223455</v>
      </c>
      <c r="K29" s="99">
        <v>2031292</v>
      </c>
      <c r="L29" s="99">
        <f>1925704+99437-23543.03-26365.72</f>
        <v>1975232.25</v>
      </c>
    </row>
    <row r="30" spans="1:18" s="31" customFormat="1" ht="16.5" customHeight="1">
      <c r="A30" s="55" t="s">
        <v>7</v>
      </c>
      <c r="B30" s="55">
        <v>4</v>
      </c>
      <c r="C30" s="55" t="s">
        <v>71</v>
      </c>
      <c r="D30" s="55">
        <v>853</v>
      </c>
      <c r="E30" s="11">
        <v>291</v>
      </c>
      <c r="F30" s="8" t="s">
        <v>28</v>
      </c>
      <c r="G30" s="100">
        <v>19701</v>
      </c>
      <c r="H30" s="100"/>
      <c r="I30" s="100"/>
      <c r="J30" s="100">
        <f t="shared" si="0"/>
        <v>19701</v>
      </c>
      <c r="K30" s="100">
        <v>19701</v>
      </c>
      <c r="L30" s="100">
        <v>19701</v>
      </c>
    </row>
    <row r="31" spans="1:18" s="31" customFormat="1" ht="19.5" customHeight="1">
      <c r="A31" s="55" t="s">
        <v>7</v>
      </c>
      <c r="B31" s="55">
        <v>4</v>
      </c>
      <c r="C31" s="55" t="s">
        <v>71</v>
      </c>
      <c r="D31" s="55">
        <v>853</v>
      </c>
      <c r="E31" s="11">
        <v>297</v>
      </c>
      <c r="F31" s="8" t="s">
        <v>38</v>
      </c>
      <c r="G31" s="100">
        <v>57383.81</v>
      </c>
      <c r="H31" s="100"/>
      <c r="I31" s="100"/>
      <c r="J31" s="100">
        <f t="shared" si="0"/>
        <v>57383.81</v>
      </c>
      <c r="K31" s="100">
        <v>57383.81</v>
      </c>
      <c r="L31" s="100">
        <v>57383.81</v>
      </c>
    </row>
    <row r="32" spans="1:18" s="26" customFormat="1" ht="31.5">
      <c r="A32" s="20" t="s">
        <v>30</v>
      </c>
      <c r="B32" s="20">
        <v>4</v>
      </c>
      <c r="C32" s="20" t="s">
        <v>47</v>
      </c>
      <c r="D32" s="20">
        <v>244</v>
      </c>
      <c r="E32" s="21">
        <v>310</v>
      </c>
      <c r="F32" s="22" t="s">
        <v>16</v>
      </c>
      <c r="G32" s="23">
        <v>0</v>
      </c>
      <c r="H32" s="23"/>
      <c r="I32" s="23">
        <v>674139.96</v>
      </c>
      <c r="J32" s="23">
        <f t="shared" si="0"/>
        <v>674139.96</v>
      </c>
      <c r="K32" s="23">
        <v>0</v>
      </c>
      <c r="L32" s="23">
        <v>0</v>
      </c>
    </row>
    <row r="33" spans="1:16" s="26" customFormat="1" ht="31.5">
      <c r="A33" s="20" t="s">
        <v>31</v>
      </c>
      <c r="B33" s="20">
        <v>4</v>
      </c>
      <c r="C33" s="20" t="s">
        <v>47</v>
      </c>
      <c r="D33" s="20">
        <v>244</v>
      </c>
      <c r="E33" s="21">
        <v>310</v>
      </c>
      <c r="F33" s="22" t="s">
        <v>16</v>
      </c>
      <c r="G33" s="23">
        <v>0</v>
      </c>
      <c r="H33" s="23"/>
      <c r="I33" s="23">
        <v>1572916.6</v>
      </c>
      <c r="J33" s="23">
        <f t="shared" si="0"/>
        <v>1572916.6</v>
      </c>
      <c r="K33" s="23">
        <v>0</v>
      </c>
      <c r="L33" s="23">
        <v>0</v>
      </c>
    </row>
    <row r="34" spans="1:16" s="26" customFormat="1" ht="31.5">
      <c r="A34" s="20" t="s">
        <v>7</v>
      </c>
      <c r="B34" s="20">
        <v>4</v>
      </c>
      <c r="C34" s="20" t="s">
        <v>47</v>
      </c>
      <c r="D34" s="20">
        <v>244</v>
      </c>
      <c r="E34" s="21">
        <v>310</v>
      </c>
      <c r="F34" s="22" t="s">
        <v>16</v>
      </c>
      <c r="G34" s="23">
        <v>0</v>
      </c>
      <c r="H34" s="23"/>
      <c r="I34" s="23">
        <v>118266.14</v>
      </c>
      <c r="J34" s="23">
        <f t="shared" si="0"/>
        <v>118266.14</v>
      </c>
      <c r="K34" s="23">
        <v>0</v>
      </c>
      <c r="L34" s="23">
        <v>0</v>
      </c>
    </row>
    <row r="35" spans="1:16" s="26" customFormat="1" ht="31.5">
      <c r="A35" s="20" t="s">
        <v>30</v>
      </c>
      <c r="B35" s="20">
        <v>4</v>
      </c>
      <c r="C35" s="20" t="s">
        <v>47</v>
      </c>
      <c r="D35" s="20">
        <v>244</v>
      </c>
      <c r="E35" s="21">
        <v>346</v>
      </c>
      <c r="F35" s="22" t="s">
        <v>16</v>
      </c>
      <c r="G35" s="23">
        <v>0</v>
      </c>
      <c r="H35" s="23"/>
      <c r="I35" s="23">
        <v>36074.959999999999</v>
      </c>
      <c r="J35" s="23">
        <f t="shared" si="0"/>
        <v>36074.959999999999</v>
      </c>
      <c r="K35" s="23">
        <v>0</v>
      </c>
      <c r="L35" s="23">
        <v>0</v>
      </c>
    </row>
    <row r="36" spans="1:16" s="26" customFormat="1" ht="31.5">
      <c r="A36" s="20" t="s">
        <v>31</v>
      </c>
      <c r="B36" s="20">
        <v>4</v>
      </c>
      <c r="C36" s="20" t="s">
        <v>47</v>
      </c>
      <c r="D36" s="20">
        <v>244</v>
      </c>
      <c r="E36" s="21">
        <v>346</v>
      </c>
      <c r="F36" s="22" t="s">
        <v>16</v>
      </c>
      <c r="G36" s="23">
        <v>0</v>
      </c>
      <c r="H36" s="23"/>
      <c r="I36" s="23">
        <v>84170.81</v>
      </c>
      <c r="J36" s="23">
        <f t="shared" si="0"/>
        <v>84170.81</v>
      </c>
      <c r="K36" s="23">
        <v>0</v>
      </c>
      <c r="L36" s="23">
        <v>0</v>
      </c>
    </row>
    <row r="37" spans="1:16" s="26" customFormat="1" ht="31.5">
      <c r="A37" s="20" t="s">
        <v>7</v>
      </c>
      <c r="B37" s="20">
        <v>4</v>
      </c>
      <c r="C37" s="20" t="s">
        <v>47</v>
      </c>
      <c r="D37" s="20">
        <v>244</v>
      </c>
      <c r="E37" s="21">
        <v>346</v>
      </c>
      <c r="F37" s="22" t="s">
        <v>16</v>
      </c>
      <c r="G37" s="23">
        <v>0</v>
      </c>
      <c r="H37" s="23"/>
      <c r="I37" s="23">
        <v>6328.73</v>
      </c>
      <c r="J37" s="23">
        <f t="shared" si="0"/>
        <v>6328.73</v>
      </c>
      <c r="K37" s="23">
        <v>0</v>
      </c>
      <c r="L37" s="23">
        <v>0</v>
      </c>
    </row>
    <row r="38" spans="1:16" s="30" customFormat="1" ht="31.5">
      <c r="A38" s="27" t="s">
        <v>7</v>
      </c>
      <c r="B38" s="27">
        <v>4</v>
      </c>
      <c r="C38" s="27" t="s">
        <v>70</v>
      </c>
      <c r="D38" s="27">
        <v>244</v>
      </c>
      <c r="E38" s="28">
        <v>345</v>
      </c>
      <c r="F38" s="29" t="s">
        <v>16</v>
      </c>
      <c r="G38" s="107">
        <v>0</v>
      </c>
      <c r="H38" s="107"/>
      <c r="I38" s="107">
        <v>19000</v>
      </c>
      <c r="J38" s="107">
        <f>G38+I38</f>
        <v>19000</v>
      </c>
      <c r="K38" s="98">
        <v>0</v>
      </c>
      <c r="L38" s="98">
        <v>0</v>
      </c>
    </row>
    <row r="39" spans="1:16" s="30" customFormat="1" ht="31.5">
      <c r="A39" s="27" t="s">
        <v>7</v>
      </c>
      <c r="B39" s="27">
        <v>4</v>
      </c>
      <c r="C39" s="27" t="s">
        <v>70</v>
      </c>
      <c r="D39" s="27">
        <v>244</v>
      </c>
      <c r="E39" s="28">
        <v>346</v>
      </c>
      <c r="F39" s="29" t="s">
        <v>16</v>
      </c>
      <c r="G39" s="107">
        <v>270864.25</v>
      </c>
      <c r="H39" s="107"/>
      <c r="I39" s="107">
        <v>240000</v>
      </c>
      <c r="J39" s="107">
        <f t="shared" si="0"/>
        <v>510864.25</v>
      </c>
      <c r="K39" s="98">
        <v>267080.24</v>
      </c>
      <c r="L39" s="98">
        <v>306328</v>
      </c>
    </row>
    <row r="40" spans="1:16" s="31" customFormat="1" ht="47.25">
      <c r="A40" s="55" t="s">
        <v>7</v>
      </c>
      <c r="B40" s="55">
        <v>4</v>
      </c>
      <c r="C40" s="55" t="s">
        <v>71</v>
      </c>
      <c r="D40" s="16">
        <v>119</v>
      </c>
      <c r="E40" s="17">
        <v>266</v>
      </c>
      <c r="F40" s="9" t="s">
        <v>65</v>
      </c>
      <c r="G40" s="100">
        <v>31238.880000000001</v>
      </c>
      <c r="H40" s="100"/>
      <c r="I40" s="100"/>
      <c r="J40" s="100">
        <f t="shared" si="0"/>
        <v>31238.880000000001</v>
      </c>
      <c r="K40" s="100">
        <v>28363.16</v>
      </c>
      <c r="L40" s="100">
        <v>28311.82</v>
      </c>
      <c r="M40" s="13">
        <v>3086210.53</v>
      </c>
      <c r="N40" s="13">
        <v>6673761.2000000002</v>
      </c>
      <c r="O40" s="7">
        <f>M40+N40</f>
        <v>9759971.7300000004</v>
      </c>
      <c r="P40" s="31" t="b">
        <f>I41=O40</f>
        <v>1</v>
      </c>
    </row>
    <row r="41" spans="1:16" s="31" customFormat="1" ht="15.75" customHeight="1">
      <c r="A41" s="1482" t="s">
        <v>17</v>
      </c>
      <c r="B41" s="1482"/>
      <c r="C41" s="1482"/>
      <c r="D41" s="1482"/>
      <c r="E41" s="1482"/>
      <c r="F41" s="1482"/>
      <c r="G41" s="13">
        <f t="shared" ref="G41:L41" si="1">SUM(G11:G40)</f>
        <v>54345789.049999997</v>
      </c>
      <c r="H41" s="13">
        <f t="shared" si="1"/>
        <v>0</v>
      </c>
      <c r="I41" s="13">
        <f t="shared" si="1"/>
        <v>9759971.7300000004</v>
      </c>
      <c r="J41" s="13">
        <f t="shared" si="1"/>
        <v>64105760.780000001</v>
      </c>
      <c r="K41" s="13">
        <f t="shared" si="1"/>
        <v>46508233.899999999</v>
      </c>
      <c r="L41" s="13">
        <f t="shared" si="1"/>
        <v>46636352.270000003</v>
      </c>
      <c r="M41" s="13"/>
      <c r="N41" s="13"/>
      <c r="O41" s="13"/>
    </row>
    <row r="42" spans="1:16" s="31" customFormat="1" ht="23.25" customHeight="1">
      <c r="A42" s="1486" t="s">
        <v>18</v>
      </c>
      <c r="B42" s="1486"/>
      <c r="C42" s="1486"/>
      <c r="D42" s="1486"/>
      <c r="E42" s="1486"/>
      <c r="F42" s="1486"/>
      <c r="G42" s="1486"/>
      <c r="H42" s="131"/>
      <c r="I42" s="131"/>
      <c r="J42" s="131"/>
      <c r="K42" s="131"/>
      <c r="L42" s="131"/>
      <c r="N42" s="13"/>
    </row>
    <row r="43" spans="1:16" s="31" customFormat="1" ht="28.5" customHeight="1">
      <c r="A43" s="16" t="s">
        <v>44</v>
      </c>
      <c r="B43" s="16">
        <v>5</v>
      </c>
      <c r="C43" s="55" t="s">
        <v>72</v>
      </c>
      <c r="D43" s="16">
        <v>244</v>
      </c>
      <c r="E43" s="17">
        <v>226</v>
      </c>
      <c r="F43" s="8" t="s">
        <v>15</v>
      </c>
      <c r="G43" s="100">
        <v>51097.49</v>
      </c>
      <c r="H43" s="100"/>
      <c r="I43" s="100"/>
      <c r="J43" s="100">
        <v>51097.49</v>
      </c>
      <c r="K43" s="100">
        <v>0</v>
      </c>
      <c r="L43" s="100">
        <v>0</v>
      </c>
      <c r="N43" s="7"/>
    </row>
    <row r="44" spans="1:16" s="31" customFormat="1" ht="21.75" customHeight="1">
      <c r="A44" s="55" t="s">
        <v>19</v>
      </c>
      <c r="B44" s="16">
        <v>5</v>
      </c>
      <c r="C44" s="55" t="s">
        <v>71</v>
      </c>
      <c r="D44" s="55">
        <v>112</v>
      </c>
      <c r="E44" s="11">
        <v>266</v>
      </c>
      <c r="F44" s="8" t="s">
        <v>40</v>
      </c>
      <c r="G44" s="100">
        <v>1200</v>
      </c>
      <c r="H44" s="100"/>
      <c r="I44" s="100"/>
      <c r="J44" s="100">
        <v>1200</v>
      </c>
      <c r="K44" s="100">
        <v>4800</v>
      </c>
      <c r="L44" s="100">
        <v>7200</v>
      </c>
    </row>
    <row r="45" spans="1:16" s="31" customFormat="1" ht="15.75">
      <c r="A45" s="1476" t="s">
        <v>17</v>
      </c>
      <c r="B45" s="1477"/>
      <c r="C45" s="1477"/>
      <c r="D45" s="1477"/>
      <c r="E45" s="1477"/>
      <c r="F45" s="1478"/>
      <c r="G45" s="13">
        <f t="shared" ref="G45:L45" si="2">SUM(G43:G44)</f>
        <v>52297.49</v>
      </c>
      <c r="H45" s="13">
        <f t="shared" si="2"/>
        <v>0</v>
      </c>
      <c r="I45" s="13">
        <f t="shared" si="2"/>
        <v>0</v>
      </c>
      <c r="J45" s="13">
        <f t="shared" si="2"/>
        <v>52297.49</v>
      </c>
      <c r="K45" s="13">
        <f t="shared" si="2"/>
        <v>4800</v>
      </c>
      <c r="L45" s="13">
        <f t="shared" si="2"/>
        <v>7200</v>
      </c>
    </row>
    <row r="46" spans="1:16" s="31" customFormat="1" ht="16.5" customHeight="1">
      <c r="A46" s="1476" t="s">
        <v>21</v>
      </c>
      <c r="B46" s="1477"/>
      <c r="C46" s="1477"/>
      <c r="D46" s="1477"/>
      <c r="E46" s="1477"/>
      <c r="F46" s="1478"/>
      <c r="G46" s="10">
        <f t="shared" ref="G46:L46" si="3">G41+G45</f>
        <v>54398086.539999999</v>
      </c>
      <c r="H46" s="10">
        <f t="shared" si="3"/>
        <v>0</v>
      </c>
      <c r="I46" s="10">
        <f t="shared" si="3"/>
        <v>9759971.7300000004</v>
      </c>
      <c r="J46" s="10">
        <f t="shared" si="3"/>
        <v>64158058.270000003</v>
      </c>
      <c r="K46" s="10">
        <f t="shared" si="3"/>
        <v>46513033.899999999</v>
      </c>
      <c r="L46" s="10">
        <f t="shared" si="3"/>
        <v>46643552.270000003</v>
      </c>
    </row>
    <row r="47" spans="1:16" s="31" customFormat="1" ht="15.75">
      <c r="A47" s="1479" t="s">
        <v>22</v>
      </c>
      <c r="B47" s="1479"/>
      <c r="C47" s="1479"/>
      <c r="D47" s="1479"/>
      <c r="E47" s="1479"/>
      <c r="F47" s="1479"/>
      <c r="G47" s="1479"/>
      <c r="H47" s="131"/>
      <c r="I47" s="131"/>
      <c r="J47" s="131"/>
      <c r="K47" s="131"/>
      <c r="L47" s="131"/>
    </row>
    <row r="48" spans="1:16" s="31" customFormat="1" ht="24.75" customHeight="1">
      <c r="A48" s="55" t="s">
        <v>23</v>
      </c>
      <c r="B48" s="55">
        <v>2</v>
      </c>
      <c r="C48" s="55" t="s">
        <v>69</v>
      </c>
      <c r="D48" s="55">
        <v>111</v>
      </c>
      <c r="E48" s="55">
        <v>211</v>
      </c>
      <c r="F48" s="8" t="s">
        <v>8</v>
      </c>
      <c r="G48" s="99">
        <f>4302112.92+616536.16</f>
        <v>4918649.08</v>
      </c>
      <c r="H48" s="99">
        <v>616536.16</v>
      </c>
      <c r="I48" s="99"/>
      <c r="J48" s="99">
        <f>G48+I48</f>
        <v>4918649.08</v>
      </c>
      <c r="K48" s="99">
        <v>5045709.93</v>
      </c>
      <c r="L48" s="99">
        <v>5207036.58</v>
      </c>
    </row>
    <row r="49" spans="1:12" s="31" customFormat="1" ht="94.5">
      <c r="A49" s="55" t="s">
        <v>23</v>
      </c>
      <c r="B49" s="55">
        <v>2</v>
      </c>
      <c r="C49" s="55" t="s">
        <v>71</v>
      </c>
      <c r="D49" s="55">
        <v>111</v>
      </c>
      <c r="E49" s="11">
        <v>211</v>
      </c>
      <c r="F49" s="8" t="s">
        <v>49</v>
      </c>
      <c r="G49" s="100">
        <v>8000</v>
      </c>
      <c r="H49" s="100"/>
      <c r="I49" s="100">
        <v>2000</v>
      </c>
      <c r="J49" s="99">
        <f t="shared" ref="J49:J65" si="4">G49+I49</f>
        <v>10000</v>
      </c>
      <c r="K49" s="99">
        <v>8000</v>
      </c>
      <c r="L49" s="99">
        <v>3000</v>
      </c>
    </row>
    <row r="50" spans="1:12" s="31" customFormat="1" ht="47.25">
      <c r="A50" s="55" t="s">
        <v>23</v>
      </c>
      <c r="B50" s="55">
        <v>2</v>
      </c>
      <c r="C50" s="55" t="s">
        <v>71</v>
      </c>
      <c r="D50" s="55">
        <v>111</v>
      </c>
      <c r="E50" s="11">
        <v>266</v>
      </c>
      <c r="F50" s="8" t="s">
        <v>43</v>
      </c>
      <c r="G50" s="99">
        <v>19800</v>
      </c>
      <c r="H50" s="99"/>
      <c r="I50" s="99">
        <v>-2000</v>
      </c>
      <c r="J50" s="99">
        <f t="shared" si="4"/>
        <v>17800</v>
      </c>
      <c r="K50" s="99">
        <v>19800</v>
      </c>
      <c r="L50" s="99">
        <v>19800</v>
      </c>
    </row>
    <row r="51" spans="1:12" s="31" customFormat="1" ht="47.25">
      <c r="A51" s="55" t="s">
        <v>23</v>
      </c>
      <c r="B51" s="55">
        <v>2</v>
      </c>
      <c r="C51" s="55" t="s">
        <v>71</v>
      </c>
      <c r="D51" s="55">
        <v>112</v>
      </c>
      <c r="E51" s="11">
        <v>266</v>
      </c>
      <c r="F51" s="8" t="s">
        <v>41</v>
      </c>
      <c r="G51" s="100">
        <v>1800</v>
      </c>
      <c r="H51" s="100"/>
      <c r="I51" s="100"/>
      <c r="J51" s="99">
        <f t="shared" si="4"/>
        <v>1800</v>
      </c>
      <c r="K51" s="99">
        <v>1800</v>
      </c>
      <c r="L51" s="99">
        <v>900</v>
      </c>
    </row>
    <row r="52" spans="1:12" s="31" customFormat="1" ht="16.5" customHeight="1">
      <c r="A52" s="55" t="s">
        <v>23</v>
      </c>
      <c r="B52" s="55">
        <v>2</v>
      </c>
      <c r="C52" s="55" t="s">
        <v>71</v>
      </c>
      <c r="D52" s="55">
        <v>112</v>
      </c>
      <c r="E52" s="11">
        <v>214</v>
      </c>
      <c r="F52" s="8" t="s">
        <v>35</v>
      </c>
      <c r="G52" s="99">
        <v>140000</v>
      </c>
      <c r="H52" s="99"/>
      <c r="I52" s="99"/>
      <c r="J52" s="99">
        <f t="shared" si="4"/>
        <v>140000</v>
      </c>
      <c r="K52" s="99">
        <v>100000</v>
      </c>
      <c r="L52" s="99">
        <v>140000</v>
      </c>
    </row>
    <row r="53" spans="1:12" s="31" customFormat="1" ht="17.25" customHeight="1">
      <c r="A53" s="55" t="s">
        <v>23</v>
      </c>
      <c r="B53" s="55">
        <v>2</v>
      </c>
      <c r="C53" s="55" t="s">
        <v>71</v>
      </c>
      <c r="D53" s="55">
        <v>112</v>
      </c>
      <c r="E53" s="11">
        <v>212</v>
      </c>
      <c r="F53" s="8" t="s">
        <v>34</v>
      </c>
      <c r="G53" s="99">
        <v>238500</v>
      </c>
      <c r="H53" s="99"/>
      <c r="I53" s="99"/>
      <c r="J53" s="99">
        <f t="shared" si="4"/>
        <v>238500</v>
      </c>
      <c r="K53" s="99">
        <v>243000</v>
      </c>
      <c r="L53" s="99">
        <v>243000</v>
      </c>
    </row>
    <row r="54" spans="1:12" s="31" customFormat="1" ht="31.5">
      <c r="A54" s="55" t="s">
        <v>23</v>
      </c>
      <c r="B54" s="55">
        <v>2</v>
      </c>
      <c r="C54" s="55" t="s">
        <v>71</v>
      </c>
      <c r="D54" s="55">
        <v>112</v>
      </c>
      <c r="E54" s="11">
        <v>226</v>
      </c>
      <c r="F54" s="8" t="s">
        <v>42</v>
      </c>
      <c r="G54" s="99">
        <v>750321</v>
      </c>
      <c r="H54" s="99"/>
      <c r="I54" s="99"/>
      <c r="J54" s="99">
        <f t="shared" si="4"/>
        <v>750321</v>
      </c>
      <c r="K54" s="99">
        <v>764478</v>
      </c>
      <c r="L54" s="99">
        <v>764478</v>
      </c>
    </row>
    <row r="55" spans="1:12" s="31" customFormat="1" ht="15.75">
      <c r="A55" s="55" t="s">
        <v>23</v>
      </c>
      <c r="B55" s="55">
        <v>2</v>
      </c>
      <c r="C55" s="55" t="s">
        <v>69</v>
      </c>
      <c r="D55" s="55">
        <v>119</v>
      </c>
      <c r="E55" s="11">
        <v>213</v>
      </c>
      <c r="F55" s="8" t="s">
        <v>10</v>
      </c>
      <c r="G55" s="99">
        <f>1296103.38+117000</f>
        <v>1413103.38</v>
      </c>
      <c r="H55" s="99">
        <v>117000</v>
      </c>
      <c r="I55" s="99">
        <v>24542.75</v>
      </c>
      <c r="J55" s="99">
        <f t="shared" si="4"/>
        <v>1437646.13</v>
      </c>
      <c r="K55" s="99">
        <v>1450913.69</v>
      </c>
      <c r="L55" s="99">
        <v>1533302.43</v>
      </c>
    </row>
    <row r="56" spans="1:12" s="31" customFormat="1" ht="15.75">
      <c r="A56" s="55" t="s">
        <v>23</v>
      </c>
      <c r="B56" s="55">
        <v>2</v>
      </c>
      <c r="C56" s="55" t="s">
        <v>71</v>
      </c>
      <c r="D56" s="55">
        <v>244</v>
      </c>
      <c r="E56" s="11">
        <v>221</v>
      </c>
      <c r="F56" s="8" t="s">
        <v>11</v>
      </c>
      <c r="G56" s="99">
        <v>0</v>
      </c>
      <c r="H56" s="99"/>
      <c r="I56" s="99"/>
      <c r="J56" s="99">
        <f t="shared" si="4"/>
        <v>0</v>
      </c>
      <c r="K56" s="99">
        <v>51000</v>
      </c>
      <c r="L56" s="99">
        <v>181320</v>
      </c>
    </row>
    <row r="57" spans="1:12" s="31" customFormat="1" ht="15.75">
      <c r="A57" s="55" t="s">
        <v>23</v>
      </c>
      <c r="B57" s="55">
        <v>2</v>
      </c>
      <c r="C57" s="55" t="s">
        <v>71</v>
      </c>
      <c r="D57" s="55">
        <v>244</v>
      </c>
      <c r="E57" s="11">
        <v>225</v>
      </c>
      <c r="F57" s="8" t="s">
        <v>14</v>
      </c>
      <c r="G57" s="99">
        <v>409991.63</v>
      </c>
      <c r="H57" s="99"/>
      <c r="I57" s="99"/>
      <c r="J57" s="99">
        <f t="shared" si="4"/>
        <v>409991.63</v>
      </c>
      <c r="K57" s="99">
        <v>247159.33</v>
      </c>
      <c r="L57" s="99">
        <f>14294.28+17902</f>
        <v>32196.28</v>
      </c>
    </row>
    <row r="58" spans="1:12" s="31" customFormat="1" ht="15.75">
      <c r="A58" s="55" t="s">
        <v>23</v>
      </c>
      <c r="B58" s="55">
        <v>2</v>
      </c>
      <c r="C58" s="55" t="s">
        <v>71</v>
      </c>
      <c r="D58" s="55">
        <v>244</v>
      </c>
      <c r="E58" s="11">
        <v>222</v>
      </c>
      <c r="F58" s="8" t="s">
        <v>12</v>
      </c>
      <c r="G58" s="99">
        <v>236954.25</v>
      </c>
      <c r="H58" s="99"/>
      <c r="I58" s="99"/>
      <c r="J58" s="99">
        <f t="shared" si="4"/>
        <v>236954.25</v>
      </c>
      <c r="K58" s="99">
        <v>405383.61</v>
      </c>
      <c r="L58" s="99">
        <v>405383.61</v>
      </c>
    </row>
    <row r="59" spans="1:12" s="31" customFormat="1" ht="15.75">
      <c r="A59" s="55" t="s">
        <v>23</v>
      </c>
      <c r="B59" s="55">
        <v>2</v>
      </c>
      <c r="C59" s="55" t="s">
        <v>71</v>
      </c>
      <c r="D59" s="55">
        <v>244</v>
      </c>
      <c r="E59" s="11">
        <v>226</v>
      </c>
      <c r="F59" s="8" t="s">
        <v>15</v>
      </c>
      <c r="G59" s="99">
        <f>2841006.08-129266.9+435000</f>
        <v>3146739.18</v>
      </c>
      <c r="H59" s="99">
        <v>435000</v>
      </c>
      <c r="I59" s="99"/>
      <c r="J59" s="99">
        <f t="shared" si="4"/>
        <v>3146739.18</v>
      </c>
      <c r="K59" s="99">
        <f>2841006.07-87345.09+3674.88</f>
        <v>2757335.86</v>
      </c>
      <c r="L59" s="99">
        <f>2841006.08-98774.99</f>
        <v>2742231.09</v>
      </c>
    </row>
    <row r="60" spans="1:12" s="31" customFormat="1" ht="15.75">
      <c r="A60" s="55" t="s">
        <v>23</v>
      </c>
      <c r="B60" s="55">
        <v>2</v>
      </c>
      <c r="C60" s="55" t="s">
        <v>71</v>
      </c>
      <c r="D60" s="55">
        <v>853</v>
      </c>
      <c r="E60" s="11">
        <v>297</v>
      </c>
      <c r="F60" s="8" t="s">
        <v>38</v>
      </c>
      <c r="G60" s="100">
        <v>6453.17</v>
      </c>
      <c r="H60" s="100"/>
      <c r="I60" s="100"/>
      <c r="J60" s="99">
        <f t="shared" si="4"/>
        <v>6453.17</v>
      </c>
      <c r="K60" s="100">
        <v>7568.56</v>
      </c>
      <c r="L60" s="100">
        <v>7810.55</v>
      </c>
    </row>
    <row r="61" spans="1:12" s="31" customFormat="1" ht="17.25" customHeight="1">
      <c r="A61" s="55" t="s">
        <v>23</v>
      </c>
      <c r="B61" s="55">
        <v>2</v>
      </c>
      <c r="C61" s="55" t="s">
        <v>71</v>
      </c>
      <c r="D61" s="55">
        <v>244</v>
      </c>
      <c r="E61" s="11">
        <v>310</v>
      </c>
      <c r="F61" s="8" t="s">
        <v>20</v>
      </c>
      <c r="G61" s="99">
        <v>1235078.56</v>
      </c>
      <c r="H61" s="99"/>
      <c r="I61" s="99"/>
      <c r="J61" s="99">
        <f t="shared" si="4"/>
        <v>1235078.56</v>
      </c>
      <c r="K61" s="99">
        <v>254705.11</v>
      </c>
      <c r="L61" s="99">
        <v>76395.55</v>
      </c>
    </row>
    <row r="62" spans="1:12" s="31" customFormat="1" ht="15.75">
      <c r="A62" s="55" t="s">
        <v>23</v>
      </c>
      <c r="B62" s="55">
        <v>2</v>
      </c>
      <c r="C62" s="55" t="s">
        <v>71</v>
      </c>
      <c r="D62" s="55">
        <v>244</v>
      </c>
      <c r="E62" s="11">
        <v>342</v>
      </c>
      <c r="F62" s="8" t="s">
        <v>39</v>
      </c>
      <c r="G62" s="99">
        <f>33186.16+18143.84</f>
        <v>51330</v>
      </c>
      <c r="H62" s="99"/>
      <c r="I62" s="99"/>
      <c r="J62" s="99">
        <f t="shared" si="4"/>
        <v>51330</v>
      </c>
      <c r="K62" s="99">
        <v>51330</v>
      </c>
      <c r="L62" s="99">
        <v>51330</v>
      </c>
    </row>
    <row r="63" spans="1:12" s="31" customFormat="1" ht="15.75">
      <c r="A63" s="55" t="s">
        <v>23</v>
      </c>
      <c r="B63" s="55">
        <v>2</v>
      </c>
      <c r="C63" s="55" t="s">
        <v>71</v>
      </c>
      <c r="D63" s="55">
        <v>244</v>
      </c>
      <c r="E63" s="11">
        <v>345</v>
      </c>
      <c r="F63" s="8" t="s">
        <v>39</v>
      </c>
      <c r="G63" s="99">
        <v>9117.07</v>
      </c>
      <c r="H63" s="99"/>
      <c r="I63" s="99"/>
      <c r="J63" s="99">
        <f t="shared" si="4"/>
        <v>9117.07</v>
      </c>
      <c r="K63" s="99">
        <v>9117.07</v>
      </c>
      <c r="L63" s="99">
        <v>9117.07</v>
      </c>
    </row>
    <row r="64" spans="1:12" s="31" customFormat="1" ht="15.75">
      <c r="A64" s="55" t="s">
        <v>23</v>
      </c>
      <c r="B64" s="55">
        <v>2</v>
      </c>
      <c r="C64" s="55" t="s">
        <v>71</v>
      </c>
      <c r="D64" s="55">
        <v>244</v>
      </c>
      <c r="E64" s="11">
        <v>346</v>
      </c>
      <c r="F64" s="8" t="s">
        <v>39</v>
      </c>
      <c r="G64" s="99">
        <v>254922.44</v>
      </c>
      <c r="H64" s="99"/>
      <c r="I64" s="99"/>
      <c r="J64" s="99">
        <f t="shared" si="4"/>
        <v>254922.44</v>
      </c>
      <c r="K64" s="99">
        <v>254922.44</v>
      </c>
      <c r="L64" s="99">
        <v>254922.44</v>
      </c>
    </row>
    <row r="65" spans="1:13" s="31" customFormat="1" ht="15.75">
      <c r="A65" s="55" t="s">
        <v>23</v>
      </c>
      <c r="B65" s="55">
        <v>2</v>
      </c>
      <c r="C65" s="55" t="s">
        <v>71</v>
      </c>
      <c r="D65" s="55">
        <v>244</v>
      </c>
      <c r="E65" s="11">
        <v>349</v>
      </c>
      <c r="F65" s="8" t="s">
        <v>39</v>
      </c>
      <c r="G65" s="99">
        <v>1029026.4</v>
      </c>
      <c r="H65" s="99"/>
      <c r="I65" s="99"/>
      <c r="J65" s="99">
        <f t="shared" si="4"/>
        <v>1029026.4</v>
      </c>
      <c r="K65" s="99">
        <v>1029026.4</v>
      </c>
      <c r="L65" s="99">
        <v>1029026.4</v>
      </c>
    </row>
    <row r="66" spans="1:13" s="31" customFormat="1" ht="15.75">
      <c r="A66" s="1482" t="s">
        <v>17</v>
      </c>
      <c r="B66" s="1482"/>
      <c r="C66" s="1482"/>
      <c r="D66" s="1482"/>
      <c r="E66" s="1482"/>
      <c r="F66" s="1482"/>
      <c r="G66" s="10">
        <f>SUM(G48:G65)</f>
        <v>13869786.16</v>
      </c>
      <c r="H66" s="10">
        <f>SUM(H48:H65)</f>
        <v>1168536.1599999999</v>
      </c>
      <c r="I66" s="10">
        <f>SUM(I48:I65)</f>
        <v>24542.75</v>
      </c>
      <c r="J66" s="10">
        <f>SUM(J48:J65)</f>
        <v>13894328.91</v>
      </c>
      <c r="K66" s="10">
        <f>K48+K49+K50+K51+K52+K53+K54+K55+K56+K57+K58+K59+K60+K61+K62+K63+K64+K65</f>
        <v>12701250</v>
      </c>
      <c r="L66" s="10">
        <f>L48+L49+L50+L51+L52+L53+L54+L55+L56+L57+L58+L59+L60+L61+L62+L63+L64+L65</f>
        <v>12701250</v>
      </c>
    </row>
    <row r="67" spans="1:13" s="31" customFormat="1" ht="15.75">
      <c r="A67" s="1482" t="s">
        <v>24</v>
      </c>
      <c r="B67" s="1482"/>
      <c r="C67" s="1482"/>
      <c r="D67" s="1482"/>
      <c r="E67" s="1482"/>
      <c r="F67" s="1482"/>
      <c r="G67" s="10">
        <f t="shared" ref="G67:L67" si="5">G46+G66</f>
        <v>68267872.700000003</v>
      </c>
      <c r="H67" s="10">
        <f t="shared" si="5"/>
        <v>1168536.1599999999</v>
      </c>
      <c r="I67" s="10">
        <f t="shared" si="5"/>
        <v>9784514.4800000004</v>
      </c>
      <c r="J67" s="10">
        <f t="shared" si="5"/>
        <v>78052387.180000007</v>
      </c>
      <c r="K67" s="10">
        <f t="shared" si="5"/>
        <v>59214283.899999999</v>
      </c>
      <c r="L67" s="10">
        <f t="shared" si="5"/>
        <v>59344802.270000003</v>
      </c>
    </row>
    <row r="68" spans="1:13" s="31" customFormat="1">
      <c r="A68" s="2"/>
      <c r="B68" s="2"/>
      <c r="C68" s="2"/>
      <c r="D68" s="2"/>
      <c r="E68" s="2"/>
      <c r="F68" s="2"/>
      <c r="G68" s="132"/>
      <c r="H68" s="85"/>
      <c r="I68" s="85"/>
      <c r="J68" s="85"/>
      <c r="K68" s="86"/>
      <c r="L68" s="86"/>
    </row>
    <row r="69" spans="1:13" s="32" customFormat="1" ht="33.75" hidden="1" customHeight="1">
      <c r="A69" s="1480" t="s">
        <v>25</v>
      </c>
      <c r="B69" s="1480"/>
      <c r="C69" s="130"/>
      <c r="D69" s="130"/>
      <c r="E69" s="1481" t="s">
        <v>32</v>
      </c>
      <c r="F69" s="1481"/>
      <c r="G69" s="103"/>
      <c r="H69" s="103"/>
      <c r="I69" s="103"/>
      <c r="J69" s="103"/>
      <c r="K69" s="122"/>
      <c r="L69" s="104"/>
    </row>
    <row r="70" spans="1:13" s="15" customFormat="1" ht="27" hidden="1" customHeight="1">
      <c r="A70" s="15" t="s">
        <v>27</v>
      </c>
      <c r="G70" s="105"/>
      <c r="H70" s="105"/>
      <c r="I70" s="105"/>
      <c r="J70" s="105"/>
      <c r="K70" s="123"/>
      <c r="L70" s="106"/>
    </row>
    <row r="71" spans="1:13" ht="29.25" customHeight="1">
      <c r="E71" s="2" t="s">
        <v>25</v>
      </c>
      <c r="G71" s="2" t="s">
        <v>32</v>
      </c>
      <c r="H71" s="2"/>
      <c r="I71" s="2"/>
      <c r="J71" s="2"/>
      <c r="L71" s="88"/>
    </row>
    <row r="74" spans="1:13">
      <c r="M74" s="4"/>
    </row>
    <row r="300" spans="11:12" ht="12.75" hidden="1" customHeight="1">
      <c r="K300" s="117"/>
      <c r="L300" s="88"/>
    </row>
    <row r="316" spans="11:12" ht="12.75" hidden="1" customHeight="1">
      <c r="K316" s="117"/>
      <c r="L316" s="88"/>
    </row>
  </sheetData>
  <autoFilter ref="A9:G67"/>
  <mergeCells count="12">
    <mergeCell ref="A45:F45"/>
    <mergeCell ref="A5:L5"/>
    <mergeCell ref="A6:L6"/>
    <mergeCell ref="A10:L10"/>
    <mergeCell ref="A41:F41"/>
    <mergeCell ref="A42:G42"/>
    <mergeCell ref="A46:F46"/>
    <mergeCell ref="A47:G47"/>
    <mergeCell ref="A66:F66"/>
    <mergeCell ref="A67:F67"/>
    <mergeCell ref="A69:B69"/>
    <mergeCell ref="E69:F69"/>
  </mergeCells>
  <printOptions horizontalCentered="1"/>
  <pageMargins left="0" right="0" top="0" bottom="0" header="0.35433070866141736" footer="0.35433070866141736"/>
  <pageSetup paperSize="9" scale="47" fitToHeight="2" orientation="landscape" horizontalDpi="4294967295" verticalDpi="4294967295" r:id="rId1"/>
  <headerFooter alignWithMargins="0"/>
  <rowBreaks count="2" manualBreakCount="2">
    <brk id="46" max="8" man="1"/>
    <brk id="71" max="8"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filterMode="1">
    <tabColor rgb="FF92D050"/>
  </sheetPr>
  <dimension ref="A3:R320"/>
  <sheetViews>
    <sheetView view="pageBreakPreview" zoomScale="85" zoomScaleNormal="85" zoomScaleSheetLayoutView="85" workbookViewId="0">
      <selection activeCell="M11" sqref="M11"/>
    </sheetView>
  </sheetViews>
  <sheetFormatPr defaultRowHeight="12.75"/>
  <cols>
    <col min="1" max="1" width="12.85546875" style="2" customWidth="1"/>
    <col min="2" max="2" width="7.85546875" style="2" customWidth="1"/>
    <col min="3" max="3" width="24.42578125" style="2" customWidth="1"/>
    <col min="4" max="4" width="8.42578125" style="2" customWidth="1"/>
    <col min="5" max="5" width="8.85546875" style="2" customWidth="1"/>
    <col min="6" max="6" width="46.85546875" style="2" customWidth="1"/>
    <col min="7" max="7" width="16.5703125" style="88" customWidth="1"/>
    <col min="8" max="8" width="15.42578125" style="88" customWidth="1"/>
    <col min="9" max="10" width="16.5703125" style="88" customWidth="1"/>
    <col min="11" max="11" width="15.5703125" style="88" customWidth="1"/>
    <col min="12" max="12" width="15.7109375" style="124" customWidth="1"/>
    <col min="13" max="13" width="23.7109375" style="2" bestFit="1" customWidth="1"/>
    <col min="14" max="14" width="16.28515625" style="2" customWidth="1"/>
    <col min="15" max="15" width="14.5703125" style="2" customWidth="1"/>
    <col min="16" max="16" width="9.140625" style="2"/>
    <col min="17" max="17" width="13.140625" style="2" customWidth="1"/>
    <col min="18" max="18" width="12.7109375" style="2" customWidth="1"/>
    <col min="19" max="252" width="9.140625" style="2"/>
    <col min="253" max="253" width="16.28515625" style="2" customWidth="1"/>
    <col min="254" max="254" width="9.5703125" style="2" customWidth="1"/>
    <col min="255" max="255" width="25.85546875" style="2" customWidth="1"/>
    <col min="256" max="256" width="10.7109375" style="2" customWidth="1"/>
    <col min="257" max="257" width="40.42578125" style="2" customWidth="1"/>
    <col min="258" max="258" width="30.5703125" style="2" customWidth="1"/>
    <col min="259" max="259" width="16.42578125" style="2" customWidth="1"/>
    <col min="260" max="260" width="13" style="2" bestFit="1" customWidth="1"/>
    <col min="261" max="508" width="9.140625" style="2"/>
    <col min="509" max="509" width="16.28515625" style="2" customWidth="1"/>
    <col min="510" max="510" width="9.5703125" style="2" customWidth="1"/>
    <col min="511" max="511" width="25.85546875" style="2" customWidth="1"/>
    <col min="512" max="512" width="10.7109375" style="2" customWidth="1"/>
    <col min="513" max="513" width="40.42578125" style="2" customWidth="1"/>
    <col min="514" max="514" width="30.5703125" style="2" customWidth="1"/>
    <col min="515" max="515" width="16.42578125" style="2" customWidth="1"/>
    <col min="516" max="516" width="13" style="2" bestFit="1" customWidth="1"/>
    <col min="517" max="764" width="9.140625" style="2"/>
    <col min="765" max="765" width="16.28515625" style="2" customWidth="1"/>
    <col min="766" max="766" width="9.5703125" style="2" customWidth="1"/>
    <col min="767" max="767" width="25.85546875" style="2" customWidth="1"/>
    <col min="768" max="768" width="10.7109375" style="2" customWidth="1"/>
    <col min="769" max="769" width="40.42578125" style="2" customWidth="1"/>
    <col min="770" max="770" width="30.5703125" style="2" customWidth="1"/>
    <col min="771" max="771" width="16.42578125" style="2" customWidth="1"/>
    <col min="772" max="772" width="13" style="2" bestFit="1" customWidth="1"/>
    <col min="773" max="1020" width="9.140625" style="2"/>
    <col min="1021" max="1021" width="16.28515625" style="2" customWidth="1"/>
    <col min="1022" max="1022" width="9.5703125" style="2" customWidth="1"/>
    <col min="1023" max="1023" width="25.85546875" style="2" customWidth="1"/>
    <col min="1024" max="1024" width="10.7109375" style="2" customWidth="1"/>
    <col min="1025" max="1025" width="40.42578125" style="2" customWidth="1"/>
    <col min="1026" max="1026" width="30.5703125" style="2" customWidth="1"/>
    <col min="1027" max="1027" width="16.42578125" style="2" customWidth="1"/>
    <col min="1028" max="1028" width="13" style="2" bestFit="1" customWidth="1"/>
    <col min="1029" max="1276" width="9.140625" style="2"/>
    <col min="1277" max="1277" width="16.28515625" style="2" customWidth="1"/>
    <col min="1278" max="1278" width="9.5703125" style="2" customWidth="1"/>
    <col min="1279" max="1279" width="25.85546875" style="2" customWidth="1"/>
    <col min="1280" max="1280" width="10.7109375" style="2" customWidth="1"/>
    <col min="1281" max="1281" width="40.42578125" style="2" customWidth="1"/>
    <col min="1282" max="1282" width="30.5703125" style="2" customWidth="1"/>
    <col min="1283" max="1283" width="16.42578125" style="2" customWidth="1"/>
    <col min="1284" max="1284" width="13" style="2" bestFit="1" customWidth="1"/>
    <col min="1285" max="1532" width="9.140625" style="2"/>
    <col min="1533" max="1533" width="16.28515625" style="2" customWidth="1"/>
    <col min="1534" max="1534" width="9.5703125" style="2" customWidth="1"/>
    <col min="1535" max="1535" width="25.85546875" style="2" customWidth="1"/>
    <col min="1536" max="1536" width="10.7109375" style="2" customWidth="1"/>
    <col min="1537" max="1537" width="40.42578125" style="2" customWidth="1"/>
    <col min="1538" max="1538" width="30.5703125" style="2" customWidth="1"/>
    <col min="1539" max="1539" width="16.42578125" style="2" customWidth="1"/>
    <col min="1540" max="1540" width="13" style="2" bestFit="1" customWidth="1"/>
    <col min="1541" max="1788" width="9.140625" style="2"/>
    <col min="1789" max="1789" width="16.28515625" style="2" customWidth="1"/>
    <col min="1790" max="1790" width="9.5703125" style="2" customWidth="1"/>
    <col min="1791" max="1791" width="25.85546875" style="2" customWidth="1"/>
    <col min="1792" max="1792" width="10.7109375" style="2" customWidth="1"/>
    <col min="1793" max="1793" width="40.42578125" style="2" customWidth="1"/>
    <col min="1794" max="1794" width="30.5703125" style="2" customWidth="1"/>
    <col min="1795" max="1795" width="16.42578125" style="2" customWidth="1"/>
    <col min="1796" max="1796" width="13" style="2" bestFit="1" customWidth="1"/>
    <col min="1797" max="2044" width="9.140625" style="2"/>
    <col min="2045" max="2045" width="16.28515625" style="2" customWidth="1"/>
    <col min="2046" max="2046" width="9.5703125" style="2" customWidth="1"/>
    <col min="2047" max="2047" width="25.85546875" style="2" customWidth="1"/>
    <col min="2048" max="2048" width="10.7109375" style="2" customWidth="1"/>
    <col min="2049" max="2049" width="40.42578125" style="2" customWidth="1"/>
    <col min="2050" max="2050" width="30.5703125" style="2" customWidth="1"/>
    <col min="2051" max="2051" width="16.42578125" style="2" customWidth="1"/>
    <col min="2052" max="2052" width="13" style="2" bestFit="1" customWidth="1"/>
    <col min="2053" max="2300" width="9.140625" style="2"/>
    <col min="2301" max="2301" width="16.28515625" style="2" customWidth="1"/>
    <col min="2302" max="2302" width="9.5703125" style="2" customWidth="1"/>
    <col min="2303" max="2303" width="25.85546875" style="2" customWidth="1"/>
    <col min="2304" max="2304" width="10.7109375" style="2" customWidth="1"/>
    <col min="2305" max="2305" width="40.42578125" style="2" customWidth="1"/>
    <col min="2306" max="2306" width="30.5703125" style="2" customWidth="1"/>
    <col min="2307" max="2307" width="16.42578125" style="2" customWidth="1"/>
    <col min="2308" max="2308" width="13" style="2" bestFit="1" customWidth="1"/>
    <col min="2309" max="2556" width="9.140625" style="2"/>
    <col min="2557" max="2557" width="16.28515625" style="2" customWidth="1"/>
    <col min="2558" max="2558" width="9.5703125" style="2" customWidth="1"/>
    <col min="2559" max="2559" width="25.85546875" style="2" customWidth="1"/>
    <col min="2560" max="2560" width="10.7109375" style="2" customWidth="1"/>
    <col min="2561" max="2561" width="40.42578125" style="2" customWidth="1"/>
    <col min="2562" max="2562" width="30.5703125" style="2" customWidth="1"/>
    <col min="2563" max="2563" width="16.42578125" style="2" customWidth="1"/>
    <col min="2564" max="2564" width="13" style="2" bestFit="1" customWidth="1"/>
    <col min="2565" max="2812" width="9.140625" style="2"/>
    <col min="2813" max="2813" width="16.28515625" style="2" customWidth="1"/>
    <col min="2814" max="2814" width="9.5703125" style="2" customWidth="1"/>
    <col min="2815" max="2815" width="25.85546875" style="2" customWidth="1"/>
    <col min="2816" max="2816" width="10.7109375" style="2" customWidth="1"/>
    <col min="2817" max="2817" width="40.42578125" style="2" customWidth="1"/>
    <col min="2818" max="2818" width="30.5703125" style="2" customWidth="1"/>
    <col min="2819" max="2819" width="16.42578125" style="2" customWidth="1"/>
    <col min="2820" max="2820" width="13" style="2" bestFit="1" customWidth="1"/>
    <col min="2821" max="3068" width="9.140625" style="2"/>
    <col min="3069" max="3069" width="16.28515625" style="2" customWidth="1"/>
    <col min="3070" max="3070" width="9.5703125" style="2" customWidth="1"/>
    <col min="3071" max="3071" width="25.85546875" style="2" customWidth="1"/>
    <col min="3072" max="3072" width="10.7109375" style="2" customWidth="1"/>
    <col min="3073" max="3073" width="40.42578125" style="2" customWidth="1"/>
    <col min="3074" max="3074" width="30.5703125" style="2" customWidth="1"/>
    <col min="3075" max="3075" width="16.42578125" style="2" customWidth="1"/>
    <col min="3076" max="3076" width="13" style="2" bestFit="1" customWidth="1"/>
    <col min="3077" max="3324" width="9.140625" style="2"/>
    <col min="3325" max="3325" width="16.28515625" style="2" customWidth="1"/>
    <col min="3326" max="3326" width="9.5703125" style="2" customWidth="1"/>
    <col min="3327" max="3327" width="25.85546875" style="2" customWidth="1"/>
    <col min="3328" max="3328" width="10.7109375" style="2" customWidth="1"/>
    <col min="3329" max="3329" width="40.42578125" style="2" customWidth="1"/>
    <col min="3330" max="3330" width="30.5703125" style="2" customWidth="1"/>
    <col min="3331" max="3331" width="16.42578125" style="2" customWidth="1"/>
    <col min="3332" max="3332" width="13" style="2" bestFit="1" customWidth="1"/>
    <col min="3333" max="3580" width="9.140625" style="2"/>
    <col min="3581" max="3581" width="16.28515625" style="2" customWidth="1"/>
    <col min="3582" max="3582" width="9.5703125" style="2" customWidth="1"/>
    <col min="3583" max="3583" width="25.85546875" style="2" customWidth="1"/>
    <col min="3584" max="3584" width="10.7109375" style="2" customWidth="1"/>
    <col min="3585" max="3585" width="40.42578125" style="2" customWidth="1"/>
    <col min="3586" max="3586" width="30.5703125" style="2" customWidth="1"/>
    <col min="3587" max="3587" width="16.42578125" style="2" customWidth="1"/>
    <col min="3588" max="3588" width="13" style="2" bestFit="1" customWidth="1"/>
    <col min="3589" max="3836" width="9.140625" style="2"/>
    <col min="3837" max="3837" width="16.28515625" style="2" customWidth="1"/>
    <col min="3838" max="3838" width="9.5703125" style="2" customWidth="1"/>
    <col min="3839" max="3839" width="25.85546875" style="2" customWidth="1"/>
    <col min="3840" max="3840" width="10.7109375" style="2" customWidth="1"/>
    <col min="3841" max="3841" width="40.42578125" style="2" customWidth="1"/>
    <col min="3842" max="3842" width="30.5703125" style="2" customWidth="1"/>
    <col min="3843" max="3843" width="16.42578125" style="2" customWidth="1"/>
    <col min="3844" max="3844" width="13" style="2" bestFit="1" customWidth="1"/>
    <col min="3845" max="4092" width="9.140625" style="2"/>
    <col min="4093" max="4093" width="16.28515625" style="2" customWidth="1"/>
    <col min="4094" max="4094" width="9.5703125" style="2" customWidth="1"/>
    <col min="4095" max="4095" width="25.85546875" style="2" customWidth="1"/>
    <col min="4096" max="4096" width="10.7109375" style="2" customWidth="1"/>
    <col min="4097" max="4097" width="40.42578125" style="2" customWidth="1"/>
    <col min="4098" max="4098" width="30.5703125" style="2" customWidth="1"/>
    <col min="4099" max="4099" width="16.42578125" style="2" customWidth="1"/>
    <col min="4100" max="4100" width="13" style="2" bestFit="1" customWidth="1"/>
    <col min="4101" max="4348" width="9.140625" style="2"/>
    <col min="4349" max="4349" width="16.28515625" style="2" customWidth="1"/>
    <col min="4350" max="4350" width="9.5703125" style="2" customWidth="1"/>
    <col min="4351" max="4351" width="25.85546875" style="2" customWidth="1"/>
    <col min="4352" max="4352" width="10.7109375" style="2" customWidth="1"/>
    <col min="4353" max="4353" width="40.42578125" style="2" customWidth="1"/>
    <col min="4354" max="4354" width="30.5703125" style="2" customWidth="1"/>
    <col min="4355" max="4355" width="16.42578125" style="2" customWidth="1"/>
    <col min="4356" max="4356" width="13" style="2" bestFit="1" customWidth="1"/>
    <col min="4357" max="4604" width="9.140625" style="2"/>
    <col min="4605" max="4605" width="16.28515625" style="2" customWidth="1"/>
    <col min="4606" max="4606" width="9.5703125" style="2" customWidth="1"/>
    <col min="4607" max="4607" width="25.85546875" style="2" customWidth="1"/>
    <col min="4608" max="4608" width="10.7109375" style="2" customWidth="1"/>
    <col min="4609" max="4609" width="40.42578125" style="2" customWidth="1"/>
    <col min="4610" max="4610" width="30.5703125" style="2" customWidth="1"/>
    <col min="4611" max="4611" width="16.42578125" style="2" customWidth="1"/>
    <col min="4612" max="4612" width="13" style="2" bestFit="1" customWidth="1"/>
    <col min="4613" max="4860" width="9.140625" style="2"/>
    <col min="4861" max="4861" width="16.28515625" style="2" customWidth="1"/>
    <col min="4862" max="4862" width="9.5703125" style="2" customWidth="1"/>
    <col min="4863" max="4863" width="25.85546875" style="2" customWidth="1"/>
    <col min="4864" max="4864" width="10.7109375" style="2" customWidth="1"/>
    <col min="4865" max="4865" width="40.42578125" style="2" customWidth="1"/>
    <col min="4866" max="4866" width="30.5703125" style="2" customWidth="1"/>
    <col min="4867" max="4867" width="16.42578125" style="2" customWidth="1"/>
    <col min="4868" max="4868" width="13" style="2" bestFit="1" customWidth="1"/>
    <col min="4869" max="5116" width="9.140625" style="2"/>
    <col min="5117" max="5117" width="16.28515625" style="2" customWidth="1"/>
    <col min="5118" max="5118" width="9.5703125" style="2" customWidth="1"/>
    <col min="5119" max="5119" width="25.85546875" style="2" customWidth="1"/>
    <col min="5120" max="5120" width="10.7109375" style="2" customWidth="1"/>
    <col min="5121" max="5121" width="40.42578125" style="2" customWidth="1"/>
    <col min="5122" max="5122" width="30.5703125" style="2" customWidth="1"/>
    <col min="5123" max="5123" width="16.42578125" style="2" customWidth="1"/>
    <col min="5124" max="5124" width="13" style="2" bestFit="1" customWidth="1"/>
    <col min="5125" max="5372" width="9.140625" style="2"/>
    <col min="5373" max="5373" width="16.28515625" style="2" customWidth="1"/>
    <col min="5374" max="5374" width="9.5703125" style="2" customWidth="1"/>
    <col min="5375" max="5375" width="25.85546875" style="2" customWidth="1"/>
    <col min="5376" max="5376" width="10.7109375" style="2" customWidth="1"/>
    <col min="5377" max="5377" width="40.42578125" style="2" customWidth="1"/>
    <col min="5378" max="5378" width="30.5703125" style="2" customWidth="1"/>
    <col min="5379" max="5379" width="16.42578125" style="2" customWidth="1"/>
    <col min="5380" max="5380" width="13" style="2" bestFit="1" customWidth="1"/>
    <col min="5381" max="5628" width="9.140625" style="2"/>
    <col min="5629" max="5629" width="16.28515625" style="2" customWidth="1"/>
    <col min="5630" max="5630" width="9.5703125" style="2" customWidth="1"/>
    <col min="5631" max="5631" width="25.85546875" style="2" customWidth="1"/>
    <col min="5632" max="5632" width="10.7109375" style="2" customWidth="1"/>
    <col min="5633" max="5633" width="40.42578125" style="2" customWidth="1"/>
    <col min="5634" max="5634" width="30.5703125" style="2" customWidth="1"/>
    <col min="5635" max="5635" width="16.42578125" style="2" customWidth="1"/>
    <col min="5636" max="5636" width="13" style="2" bestFit="1" customWidth="1"/>
    <col min="5637" max="5884" width="9.140625" style="2"/>
    <col min="5885" max="5885" width="16.28515625" style="2" customWidth="1"/>
    <col min="5886" max="5886" width="9.5703125" style="2" customWidth="1"/>
    <col min="5887" max="5887" width="25.85546875" style="2" customWidth="1"/>
    <col min="5888" max="5888" width="10.7109375" style="2" customWidth="1"/>
    <col min="5889" max="5889" width="40.42578125" style="2" customWidth="1"/>
    <col min="5890" max="5890" width="30.5703125" style="2" customWidth="1"/>
    <col min="5891" max="5891" width="16.42578125" style="2" customWidth="1"/>
    <col min="5892" max="5892" width="13" style="2" bestFit="1" customWidth="1"/>
    <col min="5893" max="6140" width="9.140625" style="2"/>
    <col min="6141" max="6141" width="16.28515625" style="2" customWidth="1"/>
    <col min="6142" max="6142" width="9.5703125" style="2" customWidth="1"/>
    <col min="6143" max="6143" width="25.85546875" style="2" customWidth="1"/>
    <col min="6144" max="6144" width="10.7109375" style="2" customWidth="1"/>
    <col min="6145" max="6145" width="40.42578125" style="2" customWidth="1"/>
    <col min="6146" max="6146" width="30.5703125" style="2" customWidth="1"/>
    <col min="6147" max="6147" width="16.42578125" style="2" customWidth="1"/>
    <col min="6148" max="6148" width="13" style="2" bestFit="1" customWidth="1"/>
    <col min="6149" max="6396" width="9.140625" style="2"/>
    <col min="6397" max="6397" width="16.28515625" style="2" customWidth="1"/>
    <col min="6398" max="6398" width="9.5703125" style="2" customWidth="1"/>
    <col min="6399" max="6399" width="25.85546875" style="2" customWidth="1"/>
    <col min="6400" max="6400" width="10.7109375" style="2" customWidth="1"/>
    <col min="6401" max="6401" width="40.42578125" style="2" customWidth="1"/>
    <col min="6402" max="6402" width="30.5703125" style="2" customWidth="1"/>
    <col min="6403" max="6403" width="16.42578125" style="2" customWidth="1"/>
    <col min="6404" max="6404" width="13" style="2" bestFit="1" customWidth="1"/>
    <col min="6405" max="6652" width="9.140625" style="2"/>
    <col min="6653" max="6653" width="16.28515625" style="2" customWidth="1"/>
    <col min="6654" max="6654" width="9.5703125" style="2" customWidth="1"/>
    <col min="6655" max="6655" width="25.85546875" style="2" customWidth="1"/>
    <col min="6656" max="6656" width="10.7109375" style="2" customWidth="1"/>
    <col min="6657" max="6657" width="40.42578125" style="2" customWidth="1"/>
    <col min="6658" max="6658" width="30.5703125" style="2" customWidth="1"/>
    <col min="6659" max="6659" width="16.42578125" style="2" customWidth="1"/>
    <col min="6660" max="6660" width="13" style="2" bestFit="1" customWidth="1"/>
    <col min="6661" max="6908" width="9.140625" style="2"/>
    <col min="6909" max="6909" width="16.28515625" style="2" customWidth="1"/>
    <col min="6910" max="6910" width="9.5703125" style="2" customWidth="1"/>
    <col min="6911" max="6911" width="25.85546875" style="2" customWidth="1"/>
    <col min="6912" max="6912" width="10.7109375" style="2" customWidth="1"/>
    <col min="6913" max="6913" width="40.42578125" style="2" customWidth="1"/>
    <col min="6914" max="6914" width="30.5703125" style="2" customWidth="1"/>
    <col min="6915" max="6915" width="16.42578125" style="2" customWidth="1"/>
    <col min="6916" max="6916" width="13" style="2" bestFit="1" customWidth="1"/>
    <col min="6917" max="7164" width="9.140625" style="2"/>
    <col min="7165" max="7165" width="16.28515625" style="2" customWidth="1"/>
    <col min="7166" max="7166" width="9.5703125" style="2" customWidth="1"/>
    <col min="7167" max="7167" width="25.85546875" style="2" customWidth="1"/>
    <col min="7168" max="7168" width="10.7109375" style="2" customWidth="1"/>
    <col min="7169" max="7169" width="40.42578125" style="2" customWidth="1"/>
    <col min="7170" max="7170" width="30.5703125" style="2" customWidth="1"/>
    <col min="7171" max="7171" width="16.42578125" style="2" customWidth="1"/>
    <col min="7172" max="7172" width="13" style="2" bestFit="1" customWidth="1"/>
    <col min="7173" max="7420" width="9.140625" style="2"/>
    <col min="7421" max="7421" width="16.28515625" style="2" customWidth="1"/>
    <col min="7422" max="7422" width="9.5703125" style="2" customWidth="1"/>
    <col min="7423" max="7423" width="25.85546875" style="2" customWidth="1"/>
    <col min="7424" max="7424" width="10.7109375" style="2" customWidth="1"/>
    <col min="7425" max="7425" width="40.42578125" style="2" customWidth="1"/>
    <col min="7426" max="7426" width="30.5703125" style="2" customWidth="1"/>
    <col min="7427" max="7427" width="16.42578125" style="2" customWidth="1"/>
    <col min="7428" max="7428" width="13" style="2" bestFit="1" customWidth="1"/>
    <col min="7429" max="7676" width="9.140625" style="2"/>
    <col min="7677" max="7677" width="16.28515625" style="2" customWidth="1"/>
    <col min="7678" max="7678" width="9.5703125" style="2" customWidth="1"/>
    <col min="7679" max="7679" width="25.85546875" style="2" customWidth="1"/>
    <col min="7680" max="7680" width="10.7109375" style="2" customWidth="1"/>
    <col min="7681" max="7681" width="40.42578125" style="2" customWidth="1"/>
    <col min="7682" max="7682" width="30.5703125" style="2" customWidth="1"/>
    <col min="7683" max="7683" width="16.42578125" style="2" customWidth="1"/>
    <col min="7684" max="7684" width="13" style="2" bestFit="1" customWidth="1"/>
    <col min="7685" max="7932" width="9.140625" style="2"/>
    <col min="7933" max="7933" width="16.28515625" style="2" customWidth="1"/>
    <col min="7934" max="7934" width="9.5703125" style="2" customWidth="1"/>
    <col min="7935" max="7935" width="25.85546875" style="2" customWidth="1"/>
    <col min="7936" max="7936" width="10.7109375" style="2" customWidth="1"/>
    <col min="7937" max="7937" width="40.42578125" style="2" customWidth="1"/>
    <col min="7938" max="7938" width="30.5703125" style="2" customWidth="1"/>
    <col min="7939" max="7939" width="16.42578125" style="2" customWidth="1"/>
    <col min="7940" max="7940" width="13" style="2" bestFit="1" customWidth="1"/>
    <col min="7941" max="8188" width="9.140625" style="2"/>
    <col min="8189" max="8189" width="16.28515625" style="2" customWidth="1"/>
    <col min="8190" max="8190" width="9.5703125" style="2" customWidth="1"/>
    <col min="8191" max="8191" width="25.85546875" style="2" customWidth="1"/>
    <col min="8192" max="8192" width="10.7109375" style="2" customWidth="1"/>
    <col min="8193" max="8193" width="40.42578125" style="2" customWidth="1"/>
    <col min="8194" max="8194" width="30.5703125" style="2" customWidth="1"/>
    <col min="8195" max="8195" width="16.42578125" style="2" customWidth="1"/>
    <col min="8196" max="8196" width="13" style="2" bestFit="1" customWidth="1"/>
    <col min="8197" max="8444" width="9.140625" style="2"/>
    <col min="8445" max="8445" width="16.28515625" style="2" customWidth="1"/>
    <col min="8446" max="8446" width="9.5703125" style="2" customWidth="1"/>
    <col min="8447" max="8447" width="25.85546875" style="2" customWidth="1"/>
    <col min="8448" max="8448" width="10.7109375" style="2" customWidth="1"/>
    <col min="8449" max="8449" width="40.42578125" style="2" customWidth="1"/>
    <col min="8450" max="8450" width="30.5703125" style="2" customWidth="1"/>
    <col min="8451" max="8451" width="16.42578125" style="2" customWidth="1"/>
    <col min="8452" max="8452" width="13" style="2" bestFit="1" customWidth="1"/>
    <col min="8453" max="8700" width="9.140625" style="2"/>
    <col min="8701" max="8701" width="16.28515625" style="2" customWidth="1"/>
    <col min="8702" max="8702" width="9.5703125" style="2" customWidth="1"/>
    <col min="8703" max="8703" width="25.85546875" style="2" customWidth="1"/>
    <col min="8704" max="8704" width="10.7109375" style="2" customWidth="1"/>
    <col min="8705" max="8705" width="40.42578125" style="2" customWidth="1"/>
    <col min="8706" max="8706" width="30.5703125" style="2" customWidth="1"/>
    <col min="8707" max="8707" width="16.42578125" style="2" customWidth="1"/>
    <col min="8708" max="8708" width="13" style="2" bestFit="1" customWidth="1"/>
    <col min="8709" max="8956" width="9.140625" style="2"/>
    <col min="8957" max="8957" width="16.28515625" style="2" customWidth="1"/>
    <col min="8958" max="8958" width="9.5703125" style="2" customWidth="1"/>
    <col min="8959" max="8959" width="25.85546875" style="2" customWidth="1"/>
    <col min="8960" max="8960" width="10.7109375" style="2" customWidth="1"/>
    <col min="8961" max="8961" width="40.42578125" style="2" customWidth="1"/>
    <col min="8962" max="8962" width="30.5703125" style="2" customWidth="1"/>
    <col min="8963" max="8963" width="16.42578125" style="2" customWidth="1"/>
    <col min="8964" max="8964" width="13" style="2" bestFit="1" customWidth="1"/>
    <col min="8965" max="9212" width="9.140625" style="2"/>
    <col min="9213" max="9213" width="16.28515625" style="2" customWidth="1"/>
    <col min="9214" max="9214" width="9.5703125" style="2" customWidth="1"/>
    <col min="9215" max="9215" width="25.85546875" style="2" customWidth="1"/>
    <col min="9216" max="9216" width="10.7109375" style="2" customWidth="1"/>
    <col min="9217" max="9217" width="40.42578125" style="2" customWidth="1"/>
    <col min="9218" max="9218" width="30.5703125" style="2" customWidth="1"/>
    <col min="9219" max="9219" width="16.42578125" style="2" customWidth="1"/>
    <col min="9220" max="9220" width="13" style="2" bestFit="1" customWidth="1"/>
    <col min="9221" max="9468" width="9.140625" style="2"/>
    <col min="9469" max="9469" width="16.28515625" style="2" customWidth="1"/>
    <col min="9470" max="9470" width="9.5703125" style="2" customWidth="1"/>
    <col min="9471" max="9471" width="25.85546875" style="2" customWidth="1"/>
    <col min="9472" max="9472" width="10.7109375" style="2" customWidth="1"/>
    <col min="9473" max="9473" width="40.42578125" style="2" customWidth="1"/>
    <col min="9474" max="9474" width="30.5703125" style="2" customWidth="1"/>
    <col min="9475" max="9475" width="16.42578125" style="2" customWidth="1"/>
    <col min="9476" max="9476" width="13" style="2" bestFit="1" customWidth="1"/>
    <col min="9477" max="9724" width="9.140625" style="2"/>
    <col min="9725" max="9725" width="16.28515625" style="2" customWidth="1"/>
    <col min="9726" max="9726" width="9.5703125" style="2" customWidth="1"/>
    <col min="9727" max="9727" width="25.85546875" style="2" customWidth="1"/>
    <col min="9728" max="9728" width="10.7109375" style="2" customWidth="1"/>
    <col min="9729" max="9729" width="40.42578125" style="2" customWidth="1"/>
    <col min="9730" max="9730" width="30.5703125" style="2" customWidth="1"/>
    <col min="9731" max="9731" width="16.42578125" style="2" customWidth="1"/>
    <col min="9732" max="9732" width="13" style="2" bestFit="1" customWidth="1"/>
    <col min="9733" max="9980" width="9.140625" style="2"/>
    <col min="9981" max="9981" width="16.28515625" style="2" customWidth="1"/>
    <col min="9982" max="9982" width="9.5703125" style="2" customWidth="1"/>
    <col min="9983" max="9983" width="25.85546875" style="2" customWidth="1"/>
    <col min="9984" max="9984" width="10.7109375" style="2" customWidth="1"/>
    <col min="9985" max="9985" width="40.42578125" style="2" customWidth="1"/>
    <col min="9986" max="9986" width="30.5703125" style="2" customWidth="1"/>
    <col min="9987" max="9987" width="16.42578125" style="2" customWidth="1"/>
    <col min="9988" max="9988" width="13" style="2" bestFit="1" customWidth="1"/>
    <col min="9989" max="10236" width="9.140625" style="2"/>
    <col min="10237" max="10237" width="16.28515625" style="2" customWidth="1"/>
    <col min="10238" max="10238" width="9.5703125" style="2" customWidth="1"/>
    <col min="10239" max="10239" width="25.85546875" style="2" customWidth="1"/>
    <col min="10240" max="10240" width="10.7109375" style="2" customWidth="1"/>
    <col min="10241" max="10241" width="40.42578125" style="2" customWidth="1"/>
    <col min="10242" max="10242" width="30.5703125" style="2" customWidth="1"/>
    <col min="10243" max="10243" width="16.42578125" style="2" customWidth="1"/>
    <col min="10244" max="10244" width="13" style="2" bestFit="1" customWidth="1"/>
    <col min="10245" max="10492" width="9.140625" style="2"/>
    <col min="10493" max="10493" width="16.28515625" style="2" customWidth="1"/>
    <col min="10494" max="10494" width="9.5703125" style="2" customWidth="1"/>
    <col min="10495" max="10495" width="25.85546875" style="2" customWidth="1"/>
    <col min="10496" max="10496" width="10.7109375" style="2" customWidth="1"/>
    <col min="10497" max="10497" width="40.42578125" style="2" customWidth="1"/>
    <col min="10498" max="10498" width="30.5703125" style="2" customWidth="1"/>
    <col min="10499" max="10499" width="16.42578125" style="2" customWidth="1"/>
    <col min="10500" max="10500" width="13" style="2" bestFit="1" customWidth="1"/>
    <col min="10501" max="10748" width="9.140625" style="2"/>
    <col min="10749" max="10749" width="16.28515625" style="2" customWidth="1"/>
    <col min="10750" max="10750" width="9.5703125" style="2" customWidth="1"/>
    <col min="10751" max="10751" width="25.85546875" style="2" customWidth="1"/>
    <col min="10752" max="10752" width="10.7109375" style="2" customWidth="1"/>
    <col min="10753" max="10753" width="40.42578125" style="2" customWidth="1"/>
    <col min="10754" max="10754" width="30.5703125" style="2" customWidth="1"/>
    <col min="10755" max="10755" width="16.42578125" style="2" customWidth="1"/>
    <col min="10756" max="10756" width="13" style="2" bestFit="1" customWidth="1"/>
    <col min="10757" max="11004" width="9.140625" style="2"/>
    <col min="11005" max="11005" width="16.28515625" style="2" customWidth="1"/>
    <col min="11006" max="11006" width="9.5703125" style="2" customWidth="1"/>
    <col min="11007" max="11007" width="25.85546875" style="2" customWidth="1"/>
    <col min="11008" max="11008" width="10.7109375" style="2" customWidth="1"/>
    <col min="11009" max="11009" width="40.42578125" style="2" customWidth="1"/>
    <col min="11010" max="11010" width="30.5703125" style="2" customWidth="1"/>
    <col min="11011" max="11011" width="16.42578125" style="2" customWidth="1"/>
    <col min="11012" max="11012" width="13" style="2" bestFit="1" customWidth="1"/>
    <col min="11013" max="11260" width="9.140625" style="2"/>
    <col min="11261" max="11261" width="16.28515625" style="2" customWidth="1"/>
    <col min="11262" max="11262" width="9.5703125" style="2" customWidth="1"/>
    <col min="11263" max="11263" width="25.85546875" style="2" customWidth="1"/>
    <col min="11264" max="11264" width="10.7109375" style="2" customWidth="1"/>
    <col min="11265" max="11265" width="40.42578125" style="2" customWidth="1"/>
    <col min="11266" max="11266" width="30.5703125" style="2" customWidth="1"/>
    <col min="11267" max="11267" width="16.42578125" style="2" customWidth="1"/>
    <col min="11268" max="11268" width="13" style="2" bestFit="1" customWidth="1"/>
    <col min="11269" max="11516" width="9.140625" style="2"/>
    <col min="11517" max="11517" width="16.28515625" style="2" customWidth="1"/>
    <col min="11518" max="11518" width="9.5703125" style="2" customWidth="1"/>
    <col min="11519" max="11519" width="25.85546875" style="2" customWidth="1"/>
    <col min="11520" max="11520" width="10.7109375" style="2" customWidth="1"/>
    <col min="11521" max="11521" width="40.42578125" style="2" customWidth="1"/>
    <col min="11522" max="11522" width="30.5703125" style="2" customWidth="1"/>
    <col min="11523" max="11523" width="16.42578125" style="2" customWidth="1"/>
    <col min="11524" max="11524" width="13" style="2" bestFit="1" customWidth="1"/>
    <col min="11525" max="11772" width="9.140625" style="2"/>
    <col min="11773" max="11773" width="16.28515625" style="2" customWidth="1"/>
    <col min="11774" max="11774" width="9.5703125" style="2" customWidth="1"/>
    <col min="11775" max="11775" width="25.85546875" style="2" customWidth="1"/>
    <col min="11776" max="11776" width="10.7109375" style="2" customWidth="1"/>
    <col min="11777" max="11777" width="40.42578125" style="2" customWidth="1"/>
    <col min="11778" max="11778" width="30.5703125" style="2" customWidth="1"/>
    <col min="11779" max="11779" width="16.42578125" style="2" customWidth="1"/>
    <col min="11780" max="11780" width="13" style="2" bestFit="1" customWidth="1"/>
    <col min="11781" max="12028" width="9.140625" style="2"/>
    <col min="12029" max="12029" width="16.28515625" style="2" customWidth="1"/>
    <col min="12030" max="12030" width="9.5703125" style="2" customWidth="1"/>
    <col min="12031" max="12031" width="25.85546875" style="2" customWidth="1"/>
    <col min="12032" max="12032" width="10.7109375" style="2" customWidth="1"/>
    <col min="12033" max="12033" width="40.42578125" style="2" customWidth="1"/>
    <col min="12034" max="12034" width="30.5703125" style="2" customWidth="1"/>
    <col min="12035" max="12035" width="16.42578125" style="2" customWidth="1"/>
    <col min="12036" max="12036" width="13" style="2" bestFit="1" customWidth="1"/>
    <col min="12037" max="12284" width="9.140625" style="2"/>
    <col min="12285" max="12285" width="16.28515625" style="2" customWidth="1"/>
    <col min="12286" max="12286" width="9.5703125" style="2" customWidth="1"/>
    <col min="12287" max="12287" width="25.85546875" style="2" customWidth="1"/>
    <col min="12288" max="12288" width="10.7109375" style="2" customWidth="1"/>
    <col min="12289" max="12289" width="40.42578125" style="2" customWidth="1"/>
    <col min="12290" max="12290" width="30.5703125" style="2" customWidth="1"/>
    <col min="12291" max="12291" width="16.42578125" style="2" customWidth="1"/>
    <col min="12292" max="12292" width="13" style="2" bestFit="1" customWidth="1"/>
    <col min="12293" max="12540" width="9.140625" style="2"/>
    <col min="12541" max="12541" width="16.28515625" style="2" customWidth="1"/>
    <col min="12542" max="12542" width="9.5703125" style="2" customWidth="1"/>
    <col min="12543" max="12543" width="25.85546875" style="2" customWidth="1"/>
    <col min="12544" max="12544" width="10.7109375" style="2" customWidth="1"/>
    <col min="12545" max="12545" width="40.42578125" style="2" customWidth="1"/>
    <col min="12546" max="12546" width="30.5703125" style="2" customWidth="1"/>
    <col min="12547" max="12547" width="16.42578125" style="2" customWidth="1"/>
    <col min="12548" max="12548" width="13" style="2" bestFit="1" customWidth="1"/>
    <col min="12549" max="12796" width="9.140625" style="2"/>
    <col min="12797" max="12797" width="16.28515625" style="2" customWidth="1"/>
    <col min="12798" max="12798" width="9.5703125" style="2" customWidth="1"/>
    <col min="12799" max="12799" width="25.85546875" style="2" customWidth="1"/>
    <col min="12800" max="12800" width="10.7109375" style="2" customWidth="1"/>
    <col min="12801" max="12801" width="40.42578125" style="2" customWidth="1"/>
    <col min="12802" max="12802" width="30.5703125" style="2" customWidth="1"/>
    <col min="12803" max="12803" width="16.42578125" style="2" customWidth="1"/>
    <col min="12804" max="12804" width="13" style="2" bestFit="1" customWidth="1"/>
    <col min="12805" max="13052" width="9.140625" style="2"/>
    <col min="13053" max="13053" width="16.28515625" style="2" customWidth="1"/>
    <col min="13054" max="13054" width="9.5703125" style="2" customWidth="1"/>
    <col min="13055" max="13055" width="25.85546875" style="2" customWidth="1"/>
    <col min="13056" max="13056" width="10.7109375" style="2" customWidth="1"/>
    <col min="13057" max="13057" width="40.42578125" style="2" customWidth="1"/>
    <col min="13058" max="13058" width="30.5703125" style="2" customWidth="1"/>
    <col min="13059" max="13059" width="16.42578125" style="2" customWidth="1"/>
    <col min="13060" max="13060" width="13" style="2" bestFit="1" customWidth="1"/>
    <col min="13061" max="13308" width="9.140625" style="2"/>
    <col min="13309" max="13309" width="16.28515625" style="2" customWidth="1"/>
    <col min="13310" max="13310" width="9.5703125" style="2" customWidth="1"/>
    <col min="13311" max="13311" width="25.85546875" style="2" customWidth="1"/>
    <col min="13312" max="13312" width="10.7109375" style="2" customWidth="1"/>
    <col min="13313" max="13313" width="40.42578125" style="2" customWidth="1"/>
    <col min="13314" max="13314" width="30.5703125" style="2" customWidth="1"/>
    <col min="13315" max="13315" width="16.42578125" style="2" customWidth="1"/>
    <col min="13316" max="13316" width="13" style="2" bestFit="1" customWidth="1"/>
    <col min="13317" max="13564" width="9.140625" style="2"/>
    <col min="13565" max="13565" width="16.28515625" style="2" customWidth="1"/>
    <col min="13566" max="13566" width="9.5703125" style="2" customWidth="1"/>
    <col min="13567" max="13567" width="25.85546875" style="2" customWidth="1"/>
    <col min="13568" max="13568" width="10.7109375" style="2" customWidth="1"/>
    <col min="13569" max="13569" width="40.42578125" style="2" customWidth="1"/>
    <col min="13570" max="13570" width="30.5703125" style="2" customWidth="1"/>
    <col min="13571" max="13571" width="16.42578125" style="2" customWidth="1"/>
    <col min="13572" max="13572" width="13" style="2" bestFit="1" customWidth="1"/>
    <col min="13573" max="13820" width="9.140625" style="2"/>
    <col min="13821" max="13821" width="16.28515625" style="2" customWidth="1"/>
    <col min="13822" max="13822" width="9.5703125" style="2" customWidth="1"/>
    <col min="13823" max="13823" width="25.85546875" style="2" customWidth="1"/>
    <col min="13824" max="13824" width="10.7109375" style="2" customWidth="1"/>
    <col min="13825" max="13825" width="40.42578125" style="2" customWidth="1"/>
    <col min="13826" max="13826" width="30.5703125" style="2" customWidth="1"/>
    <col min="13827" max="13827" width="16.42578125" style="2" customWidth="1"/>
    <col min="13828" max="13828" width="13" style="2" bestFit="1" customWidth="1"/>
    <col min="13829" max="14076" width="9.140625" style="2"/>
    <col min="14077" max="14077" width="16.28515625" style="2" customWidth="1"/>
    <col min="14078" max="14078" width="9.5703125" style="2" customWidth="1"/>
    <col min="14079" max="14079" width="25.85546875" style="2" customWidth="1"/>
    <col min="14080" max="14080" width="10.7109375" style="2" customWidth="1"/>
    <col min="14081" max="14081" width="40.42578125" style="2" customWidth="1"/>
    <col min="14082" max="14082" width="30.5703125" style="2" customWidth="1"/>
    <col min="14083" max="14083" width="16.42578125" style="2" customWidth="1"/>
    <col min="14084" max="14084" width="13" style="2" bestFit="1" customWidth="1"/>
    <col min="14085" max="14332" width="9.140625" style="2"/>
    <col min="14333" max="14333" width="16.28515625" style="2" customWidth="1"/>
    <col min="14334" max="14334" width="9.5703125" style="2" customWidth="1"/>
    <col min="14335" max="14335" width="25.85546875" style="2" customWidth="1"/>
    <col min="14336" max="14336" width="10.7109375" style="2" customWidth="1"/>
    <col min="14337" max="14337" width="40.42578125" style="2" customWidth="1"/>
    <col min="14338" max="14338" width="30.5703125" style="2" customWidth="1"/>
    <col min="14339" max="14339" width="16.42578125" style="2" customWidth="1"/>
    <col min="14340" max="14340" width="13" style="2" bestFit="1" customWidth="1"/>
    <col min="14341" max="14588" width="9.140625" style="2"/>
    <col min="14589" max="14589" width="16.28515625" style="2" customWidth="1"/>
    <col min="14590" max="14590" width="9.5703125" style="2" customWidth="1"/>
    <col min="14591" max="14591" width="25.85546875" style="2" customWidth="1"/>
    <col min="14592" max="14592" width="10.7109375" style="2" customWidth="1"/>
    <col min="14593" max="14593" width="40.42578125" style="2" customWidth="1"/>
    <col min="14594" max="14594" width="30.5703125" style="2" customWidth="1"/>
    <col min="14595" max="14595" width="16.42578125" style="2" customWidth="1"/>
    <col min="14596" max="14596" width="13" style="2" bestFit="1" customWidth="1"/>
    <col min="14597" max="14844" width="9.140625" style="2"/>
    <col min="14845" max="14845" width="16.28515625" style="2" customWidth="1"/>
    <col min="14846" max="14846" width="9.5703125" style="2" customWidth="1"/>
    <col min="14847" max="14847" width="25.85546875" style="2" customWidth="1"/>
    <col min="14848" max="14848" width="10.7109375" style="2" customWidth="1"/>
    <col min="14849" max="14849" width="40.42578125" style="2" customWidth="1"/>
    <col min="14850" max="14850" width="30.5703125" style="2" customWidth="1"/>
    <col min="14851" max="14851" width="16.42578125" style="2" customWidth="1"/>
    <col min="14852" max="14852" width="13" style="2" bestFit="1" customWidth="1"/>
    <col min="14853" max="15100" width="9.140625" style="2"/>
    <col min="15101" max="15101" width="16.28515625" style="2" customWidth="1"/>
    <col min="15102" max="15102" width="9.5703125" style="2" customWidth="1"/>
    <col min="15103" max="15103" width="25.85546875" style="2" customWidth="1"/>
    <col min="15104" max="15104" width="10.7109375" style="2" customWidth="1"/>
    <col min="15105" max="15105" width="40.42578125" style="2" customWidth="1"/>
    <col min="15106" max="15106" width="30.5703125" style="2" customWidth="1"/>
    <col min="15107" max="15107" width="16.42578125" style="2" customWidth="1"/>
    <col min="15108" max="15108" width="13" style="2" bestFit="1" customWidth="1"/>
    <col min="15109" max="15356" width="9.140625" style="2"/>
    <col min="15357" max="15357" width="16.28515625" style="2" customWidth="1"/>
    <col min="15358" max="15358" width="9.5703125" style="2" customWidth="1"/>
    <col min="15359" max="15359" width="25.85546875" style="2" customWidth="1"/>
    <col min="15360" max="15360" width="10.7109375" style="2" customWidth="1"/>
    <col min="15361" max="15361" width="40.42578125" style="2" customWidth="1"/>
    <col min="15362" max="15362" width="30.5703125" style="2" customWidth="1"/>
    <col min="15363" max="15363" width="16.42578125" style="2" customWidth="1"/>
    <col min="15364" max="15364" width="13" style="2" bestFit="1" customWidth="1"/>
    <col min="15365" max="15612" width="9.140625" style="2"/>
    <col min="15613" max="15613" width="16.28515625" style="2" customWidth="1"/>
    <col min="15614" max="15614" width="9.5703125" style="2" customWidth="1"/>
    <col min="15615" max="15615" width="25.85546875" style="2" customWidth="1"/>
    <col min="15616" max="15616" width="10.7109375" style="2" customWidth="1"/>
    <col min="15617" max="15617" width="40.42578125" style="2" customWidth="1"/>
    <col min="15618" max="15618" width="30.5703125" style="2" customWidth="1"/>
    <col min="15619" max="15619" width="16.42578125" style="2" customWidth="1"/>
    <col min="15620" max="15620" width="13" style="2" bestFit="1" customWidth="1"/>
    <col min="15621" max="15868" width="9.140625" style="2"/>
    <col min="15869" max="15869" width="16.28515625" style="2" customWidth="1"/>
    <col min="15870" max="15870" width="9.5703125" style="2" customWidth="1"/>
    <col min="15871" max="15871" width="25.85546875" style="2" customWidth="1"/>
    <col min="15872" max="15872" width="10.7109375" style="2" customWidth="1"/>
    <col min="15873" max="15873" width="40.42578125" style="2" customWidth="1"/>
    <col min="15874" max="15874" width="30.5703125" style="2" customWidth="1"/>
    <col min="15875" max="15875" width="16.42578125" style="2" customWidth="1"/>
    <col min="15876" max="15876" width="13" style="2" bestFit="1" customWidth="1"/>
    <col min="15877" max="16124" width="9.140625" style="2"/>
    <col min="16125" max="16125" width="16.28515625" style="2" customWidth="1"/>
    <col min="16126" max="16126" width="9.5703125" style="2" customWidth="1"/>
    <col min="16127" max="16127" width="25.85546875" style="2" customWidth="1"/>
    <col min="16128" max="16128" width="10.7109375" style="2" customWidth="1"/>
    <col min="16129" max="16129" width="40.42578125" style="2" customWidth="1"/>
    <col min="16130" max="16130" width="30.5703125" style="2" customWidth="1"/>
    <col min="16131" max="16131" width="16.42578125" style="2" customWidth="1"/>
    <col min="16132" max="16132" width="13" style="2" bestFit="1" customWidth="1"/>
    <col min="16133" max="16384" width="9.140625" style="2"/>
  </cols>
  <sheetData>
    <row r="3" spans="1:12">
      <c r="G3" s="101"/>
      <c r="H3" s="101"/>
      <c r="I3" s="101"/>
      <c r="J3" s="101"/>
    </row>
    <row r="5" spans="1:12" ht="18.75">
      <c r="A5" s="1483" t="s">
        <v>51</v>
      </c>
      <c r="B5" s="1483"/>
      <c r="C5" s="1483"/>
      <c r="D5" s="1483"/>
      <c r="E5" s="1483"/>
      <c r="F5" s="1483"/>
      <c r="G5" s="1483"/>
      <c r="H5" s="1483"/>
      <c r="I5" s="1483"/>
      <c r="J5" s="1483"/>
      <c r="K5" s="1483"/>
      <c r="L5" s="1487"/>
    </row>
    <row r="6" spans="1:12" ht="18.75">
      <c r="A6" s="1483" t="s">
        <v>29</v>
      </c>
      <c r="B6" s="1483"/>
      <c r="C6" s="1483"/>
      <c r="D6" s="1483"/>
      <c r="E6" s="1483"/>
      <c r="F6" s="1483"/>
      <c r="G6" s="1483"/>
      <c r="H6" s="1483"/>
      <c r="I6" s="1483"/>
      <c r="J6" s="1483"/>
      <c r="K6" s="1483"/>
      <c r="L6" s="1487"/>
    </row>
    <row r="7" spans="1:12">
      <c r="G7" s="87"/>
      <c r="H7" s="87"/>
      <c r="I7" s="87"/>
      <c r="J7" s="87"/>
    </row>
    <row r="8" spans="1:12">
      <c r="C8" s="4"/>
      <c r="D8" s="4"/>
      <c r="L8" s="125" t="s">
        <v>0</v>
      </c>
    </row>
    <row r="9" spans="1:12" s="31" customFormat="1" ht="73.5" customHeight="1">
      <c r="A9" s="12" t="s">
        <v>1</v>
      </c>
      <c r="B9" s="12" t="s">
        <v>2</v>
      </c>
      <c r="C9" s="12" t="s">
        <v>68</v>
      </c>
      <c r="D9" s="12" t="s">
        <v>4</v>
      </c>
      <c r="E9" s="12" t="s">
        <v>5</v>
      </c>
      <c r="F9" s="12" t="s">
        <v>6</v>
      </c>
      <c r="G9" s="89" t="s">
        <v>52</v>
      </c>
      <c r="H9" s="89" t="s">
        <v>73</v>
      </c>
      <c r="I9" s="89" t="s">
        <v>74</v>
      </c>
      <c r="J9" s="89" t="s">
        <v>75</v>
      </c>
      <c r="K9" s="89" t="s">
        <v>33</v>
      </c>
      <c r="L9" s="126" t="s">
        <v>50</v>
      </c>
    </row>
    <row r="10" spans="1:12" s="31" customFormat="1" ht="44.25" hidden="1" customHeight="1">
      <c r="A10" s="1484" t="s">
        <v>26</v>
      </c>
      <c r="B10" s="1485"/>
      <c r="C10" s="1485"/>
      <c r="D10" s="1485"/>
      <c r="E10" s="1485"/>
      <c r="F10" s="1485"/>
      <c r="G10" s="1485"/>
      <c r="H10" s="1485"/>
      <c r="I10" s="1485"/>
      <c r="J10" s="1485"/>
      <c r="K10" s="1485"/>
      <c r="L10" s="1485"/>
    </row>
    <row r="11" spans="1:12" s="31" customFormat="1" ht="30.75" hidden="1" customHeight="1">
      <c r="A11" s="55" t="s">
        <v>7</v>
      </c>
      <c r="B11" s="55">
        <v>4</v>
      </c>
      <c r="C11" s="55" t="s">
        <v>69</v>
      </c>
      <c r="D11" s="55">
        <v>111</v>
      </c>
      <c r="E11" s="11">
        <v>211</v>
      </c>
      <c r="F11" s="8" t="s">
        <v>8</v>
      </c>
      <c r="G11" s="100">
        <v>32780340.52</v>
      </c>
      <c r="H11" s="100"/>
      <c r="I11" s="100"/>
      <c r="J11" s="100">
        <f>G11+I11</f>
        <v>32780340.52</v>
      </c>
      <c r="K11" s="99">
        <v>27186806.899999999</v>
      </c>
      <c r="L11" s="99">
        <v>27124887.949999999</v>
      </c>
    </row>
    <row r="12" spans="1:12" s="31" customFormat="1" ht="47.25" hidden="1">
      <c r="A12" s="55" t="s">
        <v>7</v>
      </c>
      <c r="B12" s="55">
        <v>4</v>
      </c>
      <c r="C12" s="55" t="s">
        <v>71</v>
      </c>
      <c r="D12" s="55">
        <v>111</v>
      </c>
      <c r="E12" s="11">
        <v>266</v>
      </c>
      <c r="F12" s="8" t="s">
        <v>43</v>
      </c>
      <c r="G12" s="100">
        <v>69800</v>
      </c>
      <c r="H12" s="100"/>
      <c r="I12" s="100"/>
      <c r="J12" s="100">
        <f t="shared" ref="J12:J48" si="0">G12+I12</f>
        <v>69800</v>
      </c>
      <c r="K12" s="99">
        <v>19800</v>
      </c>
      <c r="L12" s="99">
        <v>19800</v>
      </c>
    </row>
    <row r="13" spans="1:12" s="31" customFormat="1" ht="94.5" hidden="1">
      <c r="A13" s="55" t="s">
        <v>7</v>
      </c>
      <c r="B13" s="55">
        <v>4</v>
      </c>
      <c r="C13" s="55" t="s">
        <v>71</v>
      </c>
      <c r="D13" s="55">
        <v>111</v>
      </c>
      <c r="E13" s="11">
        <v>211</v>
      </c>
      <c r="F13" s="8" t="s">
        <v>49</v>
      </c>
      <c r="G13" s="100">
        <v>128000</v>
      </c>
      <c r="H13" s="100"/>
      <c r="I13" s="100"/>
      <c r="J13" s="100">
        <f t="shared" si="0"/>
        <v>128000</v>
      </c>
      <c r="K13" s="99">
        <v>88000</v>
      </c>
      <c r="L13" s="99">
        <v>94000</v>
      </c>
    </row>
    <row r="14" spans="1:12" s="31" customFormat="1" ht="22.5" hidden="1" customHeight="1">
      <c r="A14" s="55" t="s">
        <v>7</v>
      </c>
      <c r="B14" s="55">
        <v>4</v>
      </c>
      <c r="C14" s="55" t="s">
        <v>71</v>
      </c>
      <c r="D14" s="55">
        <v>112</v>
      </c>
      <c r="E14" s="11">
        <v>214</v>
      </c>
      <c r="F14" s="8" t="s">
        <v>35</v>
      </c>
      <c r="G14" s="100">
        <v>960000</v>
      </c>
      <c r="H14" s="100"/>
      <c r="I14" s="100"/>
      <c r="J14" s="100">
        <f t="shared" si="0"/>
        <v>960000</v>
      </c>
      <c r="K14" s="99">
        <v>880000</v>
      </c>
      <c r="L14" s="99">
        <v>960000</v>
      </c>
    </row>
    <row r="15" spans="1:12" s="31" customFormat="1" ht="55.5" hidden="1" customHeight="1">
      <c r="A15" s="55" t="s">
        <v>7</v>
      </c>
      <c r="B15" s="55">
        <v>4</v>
      </c>
      <c r="C15" s="55" t="s">
        <v>71</v>
      </c>
      <c r="D15" s="55">
        <v>112</v>
      </c>
      <c r="E15" s="11">
        <v>266</v>
      </c>
      <c r="F15" s="8" t="s">
        <v>66</v>
      </c>
      <c r="G15" s="100">
        <v>53240</v>
      </c>
      <c r="H15" s="100"/>
      <c r="I15" s="100"/>
      <c r="J15" s="100">
        <f t="shared" si="0"/>
        <v>53240</v>
      </c>
      <c r="K15" s="99">
        <f>1800+101917.75</f>
        <v>103717.75</v>
      </c>
      <c r="L15" s="99">
        <f>525+101747.75</f>
        <v>102272.75</v>
      </c>
    </row>
    <row r="16" spans="1:12" s="31" customFormat="1" ht="55.5" hidden="1" customHeight="1">
      <c r="A16" s="55" t="s">
        <v>7</v>
      </c>
      <c r="B16" s="55">
        <v>4</v>
      </c>
      <c r="C16" s="55" t="s">
        <v>71</v>
      </c>
      <c r="D16" s="55">
        <v>112</v>
      </c>
      <c r="E16" s="11">
        <v>226</v>
      </c>
      <c r="F16" s="8" t="s">
        <v>102</v>
      </c>
      <c r="G16" s="100">
        <v>10000</v>
      </c>
      <c r="H16" s="100"/>
      <c r="I16" s="100"/>
      <c r="J16" s="100">
        <f t="shared" si="0"/>
        <v>10000</v>
      </c>
      <c r="K16" s="99">
        <v>0</v>
      </c>
      <c r="L16" s="99">
        <v>0</v>
      </c>
    </row>
    <row r="17" spans="1:18" s="31" customFormat="1" ht="18" hidden="1" customHeight="1">
      <c r="A17" s="55" t="s">
        <v>7</v>
      </c>
      <c r="B17" s="55">
        <v>4</v>
      </c>
      <c r="C17" s="55" t="s">
        <v>69</v>
      </c>
      <c r="D17" s="55">
        <v>119</v>
      </c>
      <c r="E17" s="11">
        <v>213</v>
      </c>
      <c r="F17" s="8" t="s">
        <v>10</v>
      </c>
      <c r="G17" s="100">
        <v>9756045.25</v>
      </c>
      <c r="H17" s="100"/>
      <c r="I17" s="100"/>
      <c r="J17" s="100">
        <f t="shared" si="0"/>
        <v>9756045.25</v>
      </c>
      <c r="K17" s="100">
        <v>8142293.2800000003</v>
      </c>
      <c r="L17" s="100">
        <v>8098921.9800000004</v>
      </c>
    </row>
    <row r="18" spans="1:18" s="31" customFormat="1" ht="31.5" hidden="1">
      <c r="A18" s="55" t="s">
        <v>7</v>
      </c>
      <c r="B18" s="55">
        <v>4</v>
      </c>
      <c r="C18" s="55" t="s">
        <v>71</v>
      </c>
      <c r="D18" s="55">
        <v>119</v>
      </c>
      <c r="E18" s="11">
        <v>213</v>
      </c>
      <c r="F18" s="8" t="s">
        <v>67</v>
      </c>
      <c r="G18" s="100">
        <v>17516</v>
      </c>
      <c r="H18" s="100"/>
      <c r="I18" s="100"/>
      <c r="J18" s="100">
        <f t="shared" si="0"/>
        <v>17516</v>
      </c>
      <c r="K18" s="100">
        <v>5436</v>
      </c>
      <c r="L18" s="100">
        <v>7248</v>
      </c>
    </row>
    <row r="19" spans="1:18" s="31" customFormat="1" ht="19.5" hidden="1" customHeight="1">
      <c r="A19" s="55" t="s">
        <v>7</v>
      </c>
      <c r="B19" s="55">
        <v>4</v>
      </c>
      <c r="C19" s="55" t="s">
        <v>71</v>
      </c>
      <c r="D19" s="55">
        <v>244</v>
      </c>
      <c r="E19" s="11">
        <v>221</v>
      </c>
      <c r="F19" s="8" t="s">
        <v>11</v>
      </c>
      <c r="G19" s="100">
        <v>289784.15999999997</v>
      </c>
      <c r="H19" s="100"/>
      <c r="I19" s="100"/>
      <c r="J19" s="100">
        <f t="shared" si="0"/>
        <v>289784.15999999997</v>
      </c>
      <c r="K19" s="99">
        <v>238784.16</v>
      </c>
      <c r="L19" s="99">
        <v>108464.16</v>
      </c>
    </row>
    <row r="20" spans="1:18" s="31" customFormat="1" ht="19.5" hidden="1" customHeight="1">
      <c r="A20" s="55" t="s">
        <v>7</v>
      </c>
      <c r="B20" s="55">
        <v>4</v>
      </c>
      <c r="C20" s="55" t="s">
        <v>71</v>
      </c>
      <c r="D20" s="55">
        <v>244</v>
      </c>
      <c r="E20" s="11">
        <v>222</v>
      </c>
      <c r="F20" s="8" t="s">
        <v>12</v>
      </c>
      <c r="G20" s="100">
        <v>247741.27</v>
      </c>
      <c r="H20" s="100"/>
      <c r="I20" s="100"/>
      <c r="J20" s="100">
        <f t="shared" si="0"/>
        <v>247741.27</v>
      </c>
      <c r="K20" s="99">
        <v>79311.92</v>
      </c>
      <c r="L20" s="99">
        <v>79311.92</v>
      </c>
    </row>
    <row r="21" spans="1:18" s="31" customFormat="1" ht="15.75" hidden="1">
      <c r="A21" s="55" t="s">
        <v>7</v>
      </c>
      <c r="B21" s="55">
        <v>4</v>
      </c>
      <c r="C21" s="55" t="s">
        <v>71</v>
      </c>
      <c r="D21" s="55">
        <v>244</v>
      </c>
      <c r="E21" s="11">
        <v>223</v>
      </c>
      <c r="F21" s="8" t="s">
        <v>13</v>
      </c>
      <c r="G21" s="100">
        <v>1487566.76</v>
      </c>
      <c r="H21" s="100"/>
      <c r="I21" s="100"/>
      <c r="J21" s="100">
        <f t="shared" si="0"/>
        <v>1487566.76</v>
      </c>
      <c r="K21" s="99">
        <v>2023390.58</v>
      </c>
      <c r="L21" s="99">
        <v>2057755.88</v>
      </c>
      <c r="Q21" s="31" t="s">
        <v>64</v>
      </c>
    </row>
    <row r="22" spans="1:18" s="31" customFormat="1" ht="15.75" hidden="1">
      <c r="A22" s="55" t="s">
        <v>7</v>
      </c>
      <c r="B22" s="55">
        <v>4</v>
      </c>
      <c r="C22" s="55" t="s">
        <v>71</v>
      </c>
      <c r="D22" s="55">
        <v>244</v>
      </c>
      <c r="E22" s="11">
        <v>225</v>
      </c>
      <c r="F22" s="8" t="s">
        <v>14</v>
      </c>
      <c r="G22" s="100">
        <v>1257963.77</v>
      </c>
      <c r="H22" s="100"/>
      <c r="I22" s="100"/>
      <c r="J22" s="100">
        <f t="shared" si="0"/>
        <v>1257963.77</v>
      </c>
      <c r="K22" s="99">
        <v>1845207.18</v>
      </c>
      <c r="L22" s="99">
        <v>1952688.71</v>
      </c>
      <c r="P22" s="31">
        <v>2020</v>
      </c>
      <c r="Q22" s="13">
        <v>6847892.9900000002</v>
      </c>
      <c r="R22" s="7">
        <v>8138171.5300000003</v>
      </c>
    </row>
    <row r="23" spans="1:18" s="31" customFormat="1" ht="15.75" hidden="1">
      <c r="A23" s="55" t="s">
        <v>7</v>
      </c>
      <c r="B23" s="55">
        <v>4</v>
      </c>
      <c r="C23" s="55" t="s">
        <v>71</v>
      </c>
      <c r="D23" s="55">
        <v>244</v>
      </c>
      <c r="E23" s="11">
        <v>224</v>
      </c>
      <c r="F23" s="8" t="s">
        <v>15</v>
      </c>
      <c r="G23" s="100">
        <v>8815770</v>
      </c>
      <c r="H23" s="100"/>
      <c r="I23" s="100"/>
      <c r="J23" s="100">
        <f t="shared" si="0"/>
        <v>8815770</v>
      </c>
      <c r="K23" s="99">
        <v>0</v>
      </c>
      <c r="L23" s="99">
        <v>0</v>
      </c>
      <c r="Q23" s="13"/>
      <c r="R23" s="7"/>
    </row>
    <row r="24" spans="1:18" s="31" customFormat="1" ht="15.75" hidden="1">
      <c r="A24" s="55" t="s">
        <v>7</v>
      </c>
      <c r="B24" s="55">
        <v>4</v>
      </c>
      <c r="C24" s="55" t="s">
        <v>71</v>
      </c>
      <c r="D24" s="55">
        <v>244</v>
      </c>
      <c r="E24" s="11">
        <v>226</v>
      </c>
      <c r="F24" s="8" t="s">
        <v>15</v>
      </c>
      <c r="G24" s="100">
        <v>1213548.25</v>
      </c>
      <c r="H24" s="100"/>
      <c r="I24" s="100"/>
      <c r="J24" s="100">
        <f t="shared" si="0"/>
        <v>1213548.25</v>
      </c>
      <c r="K24" s="100">
        <f>1128025.2+171322.74</f>
        <v>1299347.94</v>
      </c>
      <c r="L24" s="100">
        <v>1314452.71</v>
      </c>
      <c r="M24" s="102"/>
      <c r="P24" s="31">
        <v>2021</v>
      </c>
      <c r="Q24" s="13">
        <v>6759321.96</v>
      </c>
      <c r="R24" s="7">
        <v>7211607.3600000003</v>
      </c>
    </row>
    <row r="25" spans="1:18" s="30" customFormat="1" ht="15.75" hidden="1">
      <c r="A25" s="27" t="s">
        <v>7</v>
      </c>
      <c r="B25" s="27">
        <v>4</v>
      </c>
      <c r="C25" s="27" t="s">
        <v>70</v>
      </c>
      <c r="D25" s="27">
        <v>244</v>
      </c>
      <c r="E25" s="28">
        <v>226</v>
      </c>
      <c r="F25" s="29" t="s">
        <v>15</v>
      </c>
      <c r="G25" s="107">
        <v>2070591.33</v>
      </c>
      <c r="H25" s="107"/>
      <c r="I25" s="107"/>
      <c r="J25" s="107">
        <f t="shared" si="0"/>
        <v>2070591.33</v>
      </c>
      <c r="K25" s="107">
        <v>2192317.98</v>
      </c>
      <c r="L25" s="107">
        <v>2329591.33</v>
      </c>
      <c r="M25" s="108"/>
      <c r="P25" s="30">
        <v>2022</v>
      </c>
      <c r="Q25" s="94">
        <v>6759321.96</v>
      </c>
      <c r="R25" s="109">
        <v>7211607.3600000003</v>
      </c>
    </row>
    <row r="26" spans="1:18" s="31" customFormat="1" ht="15.75" hidden="1">
      <c r="A26" s="20" t="s">
        <v>30</v>
      </c>
      <c r="B26" s="20">
        <v>4</v>
      </c>
      <c r="C26" s="20" t="s">
        <v>47</v>
      </c>
      <c r="D26" s="20">
        <v>244</v>
      </c>
      <c r="E26" s="21">
        <v>226</v>
      </c>
      <c r="F26" s="22" t="s">
        <v>15</v>
      </c>
      <c r="G26" s="23">
        <v>169385.08</v>
      </c>
      <c r="H26" s="23"/>
      <c r="I26" s="23"/>
      <c r="J26" s="23">
        <f t="shared" si="0"/>
        <v>169385.08</v>
      </c>
      <c r="K26" s="23">
        <v>0</v>
      </c>
      <c r="L26" s="23">
        <v>0</v>
      </c>
      <c r="M26" s="102"/>
      <c r="Q26" s="13"/>
      <c r="R26" s="7"/>
    </row>
    <row r="27" spans="1:18" s="31" customFormat="1" ht="15.75">
      <c r="A27" s="20" t="s">
        <v>31</v>
      </c>
      <c r="B27" s="20">
        <v>4</v>
      </c>
      <c r="C27" s="20" t="s">
        <v>47</v>
      </c>
      <c r="D27" s="20">
        <v>244</v>
      </c>
      <c r="E27" s="21">
        <v>226</v>
      </c>
      <c r="F27" s="22" t="s">
        <v>15</v>
      </c>
      <c r="G27" s="23">
        <v>395212.59</v>
      </c>
      <c r="H27" s="23"/>
      <c r="I27" s="23"/>
      <c r="J27" s="23">
        <f t="shared" si="0"/>
        <v>395212.59</v>
      </c>
      <c r="K27" s="23">
        <v>0</v>
      </c>
      <c r="L27" s="23">
        <v>0</v>
      </c>
      <c r="Q27" s="13"/>
      <c r="R27" s="7"/>
    </row>
    <row r="28" spans="1:18" s="31" customFormat="1" ht="15.75" hidden="1">
      <c r="A28" s="20" t="s">
        <v>7</v>
      </c>
      <c r="B28" s="20">
        <v>4</v>
      </c>
      <c r="C28" s="20" t="s">
        <v>47</v>
      </c>
      <c r="D28" s="20">
        <v>244</v>
      </c>
      <c r="E28" s="21">
        <v>226</v>
      </c>
      <c r="F28" s="22" t="s">
        <v>15</v>
      </c>
      <c r="G28" s="23">
        <v>29715.66</v>
      </c>
      <c r="H28" s="23"/>
      <c r="I28" s="23"/>
      <c r="J28" s="23">
        <f t="shared" si="0"/>
        <v>29715.66</v>
      </c>
      <c r="K28" s="23">
        <v>0</v>
      </c>
      <c r="L28" s="23">
        <v>0</v>
      </c>
      <c r="Q28" s="13"/>
      <c r="R28" s="7"/>
    </row>
    <row r="29" spans="1:18" s="31" customFormat="1" ht="18" hidden="1" customHeight="1">
      <c r="A29" s="55" t="s">
        <v>7</v>
      </c>
      <c r="B29" s="55">
        <v>4</v>
      </c>
      <c r="C29" s="55" t="s">
        <v>71</v>
      </c>
      <c r="D29" s="55">
        <v>851</v>
      </c>
      <c r="E29" s="11">
        <v>291</v>
      </c>
      <c r="F29" s="8" t="s">
        <v>28</v>
      </c>
      <c r="G29" s="100">
        <v>1223455</v>
      </c>
      <c r="H29" s="100"/>
      <c r="I29" s="100"/>
      <c r="J29" s="100">
        <f t="shared" si="0"/>
        <v>1223455</v>
      </c>
      <c r="K29" s="99">
        <v>2031292</v>
      </c>
      <c r="L29" s="99">
        <f>1925704+99437-23543.03-26365.72</f>
        <v>1975232.25</v>
      </c>
    </row>
    <row r="30" spans="1:18" s="31" customFormat="1" ht="16.5" hidden="1" customHeight="1">
      <c r="A30" s="55" t="s">
        <v>7</v>
      </c>
      <c r="B30" s="55">
        <v>4</v>
      </c>
      <c r="C30" s="55" t="s">
        <v>71</v>
      </c>
      <c r="D30" s="55">
        <v>853</v>
      </c>
      <c r="E30" s="11">
        <v>291</v>
      </c>
      <c r="F30" s="8" t="s">
        <v>28</v>
      </c>
      <c r="G30" s="100">
        <v>19701</v>
      </c>
      <c r="H30" s="100"/>
      <c r="I30" s="100"/>
      <c r="J30" s="100">
        <f t="shared" si="0"/>
        <v>19701</v>
      </c>
      <c r="K30" s="100">
        <v>19701</v>
      </c>
      <c r="L30" s="100">
        <v>19701</v>
      </c>
    </row>
    <row r="31" spans="1:18" s="31" customFormat="1" ht="19.5" hidden="1" customHeight="1">
      <c r="A31" s="55" t="s">
        <v>7</v>
      </c>
      <c r="B31" s="55">
        <v>4</v>
      </c>
      <c r="C31" s="55" t="s">
        <v>71</v>
      </c>
      <c r="D31" s="55">
        <v>853</v>
      </c>
      <c r="E31" s="11">
        <v>297</v>
      </c>
      <c r="F31" s="8" t="s">
        <v>38</v>
      </c>
      <c r="G31" s="100">
        <v>57383.81</v>
      </c>
      <c r="H31" s="100"/>
      <c r="I31" s="100"/>
      <c r="J31" s="100">
        <f t="shared" si="0"/>
        <v>57383.81</v>
      </c>
      <c r="K31" s="100">
        <v>57383.81</v>
      </c>
      <c r="L31" s="100">
        <v>57383.81</v>
      </c>
    </row>
    <row r="32" spans="1:18" s="26" customFormat="1" ht="31.5" hidden="1">
      <c r="A32" s="20" t="s">
        <v>30</v>
      </c>
      <c r="B32" s="20">
        <v>4</v>
      </c>
      <c r="C32" s="20" t="s">
        <v>47</v>
      </c>
      <c r="D32" s="20">
        <v>244</v>
      </c>
      <c r="E32" s="21">
        <v>310</v>
      </c>
      <c r="F32" s="22" t="s">
        <v>16</v>
      </c>
      <c r="G32" s="23">
        <v>674139.96</v>
      </c>
      <c r="H32" s="23"/>
      <c r="I32" s="23"/>
      <c r="J32" s="23">
        <f t="shared" si="0"/>
        <v>674139.96</v>
      </c>
      <c r="K32" s="23">
        <v>0</v>
      </c>
      <c r="L32" s="23">
        <v>0</v>
      </c>
    </row>
    <row r="33" spans="1:16" s="26" customFormat="1" ht="31.5">
      <c r="A33" s="20" t="s">
        <v>31</v>
      </c>
      <c r="B33" s="20">
        <v>4</v>
      </c>
      <c r="C33" s="20" t="s">
        <v>47</v>
      </c>
      <c r="D33" s="20">
        <v>244</v>
      </c>
      <c r="E33" s="21">
        <v>310</v>
      </c>
      <c r="F33" s="22" t="s">
        <v>16</v>
      </c>
      <c r="G33" s="23">
        <v>1572916.6</v>
      </c>
      <c r="H33" s="23"/>
      <c r="I33" s="23"/>
      <c r="J33" s="23">
        <f t="shared" si="0"/>
        <v>1572916.6</v>
      </c>
      <c r="K33" s="23">
        <v>0</v>
      </c>
      <c r="L33" s="23">
        <v>0</v>
      </c>
    </row>
    <row r="34" spans="1:16" s="26" customFormat="1" ht="31.5" hidden="1">
      <c r="A34" s="20" t="s">
        <v>7</v>
      </c>
      <c r="B34" s="20">
        <v>4</v>
      </c>
      <c r="C34" s="20" t="s">
        <v>47</v>
      </c>
      <c r="D34" s="20">
        <v>244</v>
      </c>
      <c r="E34" s="21">
        <v>310</v>
      </c>
      <c r="F34" s="22" t="s">
        <v>16</v>
      </c>
      <c r="G34" s="23">
        <v>118266.14</v>
      </c>
      <c r="H34" s="23"/>
      <c r="I34" s="23"/>
      <c r="J34" s="23">
        <f t="shared" si="0"/>
        <v>118266.14</v>
      </c>
      <c r="K34" s="23">
        <v>0</v>
      </c>
      <c r="L34" s="23">
        <v>0</v>
      </c>
    </row>
    <row r="35" spans="1:16" s="26" customFormat="1" ht="31.5" hidden="1">
      <c r="A35" s="20" t="s">
        <v>30</v>
      </c>
      <c r="B35" s="20">
        <v>4</v>
      </c>
      <c r="C35" s="20" t="s">
        <v>47</v>
      </c>
      <c r="D35" s="20">
        <v>244</v>
      </c>
      <c r="E35" s="21">
        <v>346</v>
      </c>
      <c r="F35" s="22" t="s">
        <v>16</v>
      </c>
      <c r="G35" s="23">
        <v>36074.959999999999</v>
      </c>
      <c r="H35" s="23"/>
      <c r="I35" s="23"/>
      <c r="J35" s="23">
        <f t="shared" si="0"/>
        <v>36074.959999999999</v>
      </c>
      <c r="K35" s="23">
        <v>0</v>
      </c>
      <c r="L35" s="23">
        <v>0</v>
      </c>
    </row>
    <row r="36" spans="1:16" s="26" customFormat="1" ht="31.5">
      <c r="A36" s="20" t="s">
        <v>31</v>
      </c>
      <c r="B36" s="20">
        <v>4</v>
      </c>
      <c r="C36" s="20" t="s">
        <v>47</v>
      </c>
      <c r="D36" s="20">
        <v>244</v>
      </c>
      <c r="E36" s="21">
        <v>346</v>
      </c>
      <c r="F36" s="22" t="s">
        <v>16</v>
      </c>
      <c r="G36" s="23">
        <v>84170.81</v>
      </c>
      <c r="H36" s="23"/>
      <c r="I36" s="23"/>
      <c r="J36" s="23">
        <f t="shared" si="0"/>
        <v>84170.81</v>
      </c>
      <c r="K36" s="23">
        <v>0</v>
      </c>
      <c r="L36" s="23">
        <v>0</v>
      </c>
    </row>
    <row r="37" spans="1:16" s="26" customFormat="1" ht="31.5" hidden="1">
      <c r="A37" s="20" t="s">
        <v>7</v>
      </c>
      <c r="B37" s="20">
        <v>4</v>
      </c>
      <c r="C37" s="20" t="s">
        <v>47</v>
      </c>
      <c r="D37" s="20">
        <v>244</v>
      </c>
      <c r="E37" s="21">
        <v>346</v>
      </c>
      <c r="F37" s="22" t="s">
        <v>16</v>
      </c>
      <c r="G37" s="23">
        <v>6328.73</v>
      </c>
      <c r="H37" s="23"/>
      <c r="I37" s="23"/>
      <c r="J37" s="23">
        <f t="shared" si="0"/>
        <v>6328.73</v>
      </c>
      <c r="K37" s="23">
        <v>0</v>
      </c>
      <c r="L37" s="23">
        <v>0</v>
      </c>
    </row>
    <row r="38" spans="1:16" s="30" customFormat="1" ht="31.5" hidden="1">
      <c r="A38" s="27" t="s">
        <v>7</v>
      </c>
      <c r="B38" s="27">
        <v>4</v>
      </c>
      <c r="C38" s="27" t="s">
        <v>70</v>
      </c>
      <c r="D38" s="27">
        <v>244</v>
      </c>
      <c r="E38" s="28">
        <v>345</v>
      </c>
      <c r="F38" s="29" t="s">
        <v>16</v>
      </c>
      <c r="G38" s="107">
        <v>19000</v>
      </c>
      <c r="H38" s="107"/>
      <c r="I38" s="107"/>
      <c r="J38" s="107">
        <f t="shared" si="0"/>
        <v>19000</v>
      </c>
      <c r="K38" s="98">
        <v>0</v>
      </c>
      <c r="L38" s="98">
        <v>0</v>
      </c>
    </row>
    <row r="39" spans="1:16" s="30" customFormat="1" ht="31.5" hidden="1">
      <c r="A39" s="27" t="s">
        <v>7</v>
      </c>
      <c r="B39" s="27">
        <v>4</v>
      </c>
      <c r="C39" s="27" t="s">
        <v>70</v>
      </c>
      <c r="D39" s="27">
        <v>244</v>
      </c>
      <c r="E39" s="28">
        <v>346</v>
      </c>
      <c r="F39" s="29" t="s">
        <v>16</v>
      </c>
      <c r="G39" s="107">
        <v>510864.25</v>
      </c>
      <c r="H39" s="107"/>
      <c r="I39" s="107"/>
      <c r="J39" s="107">
        <f t="shared" si="0"/>
        <v>510864.25</v>
      </c>
      <c r="K39" s="98">
        <v>267080.24</v>
      </c>
      <c r="L39" s="98">
        <v>306328</v>
      </c>
    </row>
    <row r="40" spans="1:16" s="31" customFormat="1" ht="47.25" hidden="1">
      <c r="A40" s="55" t="s">
        <v>7</v>
      </c>
      <c r="B40" s="55">
        <v>4</v>
      </c>
      <c r="C40" s="55" t="s">
        <v>71</v>
      </c>
      <c r="D40" s="16">
        <v>119</v>
      </c>
      <c r="E40" s="17">
        <v>266</v>
      </c>
      <c r="F40" s="9" t="s">
        <v>65</v>
      </c>
      <c r="G40" s="100">
        <v>31238.880000000001</v>
      </c>
      <c r="H40" s="100"/>
      <c r="I40" s="100"/>
      <c r="J40" s="100">
        <f t="shared" si="0"/>
        <v>31238.880000000001</v>
      </c>
      <c r="K40" s="100">
        <v>28363.16</v>
      </c>
      <c r="L40" s="100">
        <v>28311.82</v>
      </c>
      <c r="M40" s="13">
        <v>3086210.53</v>
      </c>
      <c r="N40" s="13">
        <v>6673761.2000000002</v>
      </c>
      <c r="O40" s="7">
        <f>M40+N40</f>
        <v>9759971.7300000004</v>
      </c>
      <c r="P40" s="31" t="b">
        <f>I41=O40</f>
        <v>0</v>
      </c>
    </row>
    <row r="41" spans="1:16" s="31" customFormat="1" ht="15.75" hidden="1" customHeight="1">
      <c r="A41" s="1482" t="s">
        <v>17</v>
      </c>
      <c r="B41" s="1482"/>
      <c r="C41" s="1482"/>
      <c r="D41" s="1482"/>
      <c r="E41" s="1482"/>
      <c r="F41" s="1482"/>
      <c r="G41" s="13">
        <f t="shared" ref="G41:L41" si="1">SUM(G11:G40)</f>
        <v>64105760.780000001</v>
      </c>
      <c r="H41" s="13">
        <f t="shared" si="1"/>
        <v>0</v>
      </c>
      <c r="I41" s="13">
        <f t="shared" si="1"/>
        <v>0</v>
      </c>
      <c r="J41" s="13">
        <f t="shared" si="1"/>
        <v>64105760.780000001</v>
      </c>
      <c r="K41" s="13">
        <f t="shared" si="1"/>
        <v>46508233.899999999</v>
      </c>
      <c r="L41" s="13">
        <f t="shared" si="1"/>
        <v>46636352.270000003</v>
      </c>
      <c r="M41" s="13"/>
      <c r="N41" s="13"/>
      <c r="O41" s="13"/>
    </row>
    <row r="42" spans="1:16" s="31" customFormat="1" ht="23.25" hidden="1" customHeight="1">
      <c r="A42" s="1486" t="s">
        <v>18</v>
      </c>
      <c r="B42" s="1486"/>
      <c r="C42" s="1486"/>
      <c r="D42" s="1486"/>
      <c r="E42" s="1486"/>
      <c r="F42" s="1486"/>
      <c r="G42" s="1486"/>
      <c r="H42" s="164"/>
      <c r="I42" s="164"/>
      <c r="J42" s="164"/>
      <c r="K42" s="164"/>
      <c r="L42" s="164"/>
      <c r="N42" s="13"/>
    </row>
    <row r="43" spans="1:16" s="169" customFormat="1" ht="28.5" hidden="1" customHeight="1">
      <c r="A43" s="165" t="s">
        <v>107</v>
      </c>
      <c r="B43" s="165">
        <v>5</v>
      </c>
      <c r="C43" s="55" t="s">
        <v>69</v>
      </c>
      <c r="D43" s="165">
        <v>244</v>
      </c>
      <c r="E43" s="167">
        <v>211</v>
      </c>
      <c r="F43" s="8" t="s">
        <v>8</v>
      </c>
      <c r="G43" s="97">
        <v>0</v>
      </c>
      <c r="H43" s="97"/>
      <c r="I43" s="97">
        <v>377922.32</v>
      </c>
      <c r="J43" s="100">
        <f t="shared" si="0"/>
        <v>377922.32</v>
      </c>
      <c r="K43" s="97">
        <v>0</v>
      </c>
      <c r="L43" s="97">
        <v>0</v>
      </c>
      <c r="N43" s="170"/>
    </row>
    <row r="44" spans="1:16" s="169" customFormat="1" ht="28.5" hidden="1" customHeight="1">
      <c r="A44" s="165" t="s">
        <v>107</v>
      </c>
      <c r="B44" s="165">
        <v>5</v>
      </c>
      <c r="C44" s="55" t="s">
        <v>69</v>
      </c>
      <c r="D44" s="165">
        <v>244</v>
      </c>
      <c r="E44" s="167">
        <v>213</v>
      </c>
      <c r="F44" s="8" t="s">
        <v>10</v>
      </c>
      <c r="G44" s="97">
        <v>0</v>
      </c>
      <c r="H44" s="97"/>
      <c r="I44" s="97">
        <v>236317.89</v>
      </c>
      <c r="J44" s="100">
        <f t="shared" si="0"/>
        <v>236317.89</v>
      </c>
      <c r="K44" s="97">
        <v>0</v>
      </c>
      <c r="L44" s="97">
        <v>0</v>
      </c>
      <c r="N44" s="170"/>
    </row>
    <row r="45" spans="1:16" s="169" customFormat="1" ht="28.5" hidden="1" customHeight="1">
      <c r="A45" s="165" t="s">
        <v>107</v>
      </c>
      <c r="B45" s="165">
        <v>5</v>
      </c>
      <c r="C45" s="166" t="s">
        <v>71</v>
      </c>
      <c r="D45" s="165">
        <v>244</v>
      </c>
      <c r="E45" s="167">
        <v>226</v>
      </c>
      <c r="F45" s="8" t="s">
        <v>108</v>
      </c>
      <c r="G45" s="97">
        <v>0</v>
      </c>
      <c r="H45" s="97"/>
      <c r="I45" s="97">
        <v>195616</v>
      </c>
      <c r="J45" s="100">
        <f t="shared" si="0"/>
        <v>195616</v>
      </c>
      <c r="K45" s="97">
        <v>0</v>
      </c>
      <c r="L45" s="97">
        <v>0</v>
      </c>
      <c r="N45" s="170"/>
    </row>
    <row r="46" spans="1:16" s="169" customFormat="1" ht="28.5" hidden="1" customHeight="1">
      <c r="A46" s="165" t="s">
        <v>107</v>
      </c>
      <c r="B46" s="165">
        <v>5</v>
      </c>
      <c r="C46" s="166" t="s">
        <v>71</v>
      </c>
      <c r="D46" s="165">
        <v>244</v>
      </c>
      <c r="E46" s="167">
        <v>346</v>
      </c>
      <c r="F46" s="168" t="s">
        <v>109</v>
      </c>
      <c r="G46" s="97">
        <v>0</v>
      </c>
      <c r="H46" s="97"/>
      <c r="I46" s="97">
        <v>42396.89</v>
      </c>
      <c r="J46" s="100">
        <f t="shared" si="0"/>
        <v>42396.89</v>
      </c>
      <c r="K46" s="97">
        <v>0</v>
      </c>
      <c r="L46" s="97">
        <v>0</v>
      </c>
      <c r="N46" s="170"/>
    </row>
    <row r="47" spans="1:16" s="31" customFormat="1" ht="28.5" hidden="1" customHeight="1">
      <c r="A47" s="16" t="s">
        <v>44</v>
      </c>
      <c r="B47" s="16">
        <v>5</v>
      </c>
      <c r="C47" s="55" t="s">
        <v>72</v>
      </c>
      <c r="D47" s="16">
        <v>244</v>
      </c>
      <c r="E47" s="17">
        <v>226</v>
      </c>
      <c r="F47" s="8" t="s">
        <v>15</v>
      </c>
      <c r="G47" s="100">
        <v>51097.49</v>
      </c>
      <c r="H47" s="100"/>
      <c r="I47" s="100"/>
      <c r="J47" s="100">
        <f t="shared" si="0"/>
        <v>51097.49</v>
      </c>
      <c r="K47" s="100">
        <v>0</v>
      </c>
      <c r="L47" s="100">
        <v>0</v>
      </c>
      <c r="N47" s="7"/>
    </row>
    <row r="48" spans="1:16" s="31" customFormat="1" ht="21.75" hidden="1" customHeight="1">
      <c r="A48" s="55" t="s">
        <v>19</v>
      </c>
      <c r="B48" s="16">
        <v>5</v>
      </c>
      <c r="C48" s="55" t="s">
        <v>71</v>
      </c>
      <c r="D48" s="55">
        <v>112</v>
      </c>
      <c r="E48" s="11">
        <v>266</v>
      </c>
      <c r="F48" s="8" t="s">
        <v>40</v>
      </c>
      <c r="G48" s="100">
        <v>1200</v>
      </c>
      <c r="H48" s="100"/>
      <c r="I48" s="100"/>
      <c r="J48" s="100">
        <f t="shared" si="0"/>
        <v>1200</v>
      </c>
      <c r="K48" s="100">
        <v>4800</v>
      </c>
      <c r="L48" s="100">
        <v>7200</v>
      </c>
    </row>
    <row r="49" spans="1:12" s="31" customFormat="1" ht="15.75" hidden="1">
      <c r="A49" s="1476" t="s">
        <v>17</v>
      </c>
      <c r="B49" s="1477"/>
      <c r="C49" s="1477"/>
      <c r="D49" s="1477"/>
      <c r="E49" s="1477"/>
      <c r="F49" s="1478"/>
      <c r="G49" s="13">
        <f>SUM(G47:G48)</f>
        <v>52297.49</v>
      </c>
      <c r="H49" s="13">
        <f>SUM(H47:H48)</f>
        <v>0</v>
      </c>
      <c r="I49" s="13">
        <f>SUM(I43:I48)</f>
        <v>852253.1</v>
      </c>
      <c r="J49" s="13">
        <f>SUM(J43:J48)</f>
        <v>904550.59</v>
      </c>
      <c r="K49" s="13">
        <f>SUM(K47:K48)</f>
        <v>4800</v>
      </c>
      <c r="L49" s="13">
        <f>SUM(L47:L48)</f>
        <v>7200</v>
      </c>
    </row>
    <row r="50" spans="1:12" s="31" customFormat="1" ht="16.5" hidden="1" customHeight="1">
      <c r="A50" s="1476" t="s">
        <v>21</v>
      </c>
      <c r="B50" s="1477"/>
      <c r="C50" s="1477"/>
      <c r="D50" s="1477"/>
      <c r="E50" s="1477"/>
      <c r="F50" s="1478"/>
      <c r="G50" s="10">
        <f t="shared" ref="G50:L50" si="2">G41+G49</f>
        <v>64158058.270000003</v>
      </c>
      <c r="H50" s="10">
        <f t="shared" si="2"/>
        <v>0</v>
      </c>
      <c r="I50" s="10">
        <f t="shared" si="2"/>
        <v>852253.1</v>
      </c>
      <c r="J50" s="10">
        <f t="shared" si="2"/>
        <v>65010311.369999997</v>
      </c>
      <c r="K50" s="10">
        <f t="shared" si="2"/>
        <v>46513033.899999999</v>
      </c>
      <c r="L50" s="10">
        <f t="shared" si="2"/>
        <v>46643552.270000003</v>
      </c>
    </row>
    <row r="51" spans="1:12" s="31" customFormat="1" ht="15.75" hidden="1">
      <c r="A51" s="1479" t="s">
        <v>22</v>
      </c>
      <c r="B51" s="1479"/>
      <c r="C51" s="1479"/>
      <c r="D51" s="1479"/>
      <c r="E51" s="1479"/>
      <c r="F51" s="1479"/>
      <c r="G51" s="1479"/>
      <c r="H51" s="164"/>
      <c r="I51" s="164"/>
      <c r="J51" s="164"/>
      <c r="K51" s="164"/>
      <c r="L51" s="164"/>
    </row>
    <row r="52" spans="1:12" s="31" customFormat="1" ht="24.75" hidden="1" customHeight="1">
      <c r="A52" s="55" t="s">
        <v>23</v>
      </c>
      <c r="B52" s="55">
        <v>2</v>
      </c>
      <c r="C52" s="55" t="s">
        <v>69</v>
      </c>
      <c r="D52" s="55">
        <v>111</v>
      </c>
      <c r="E52" s="55">
        <v>211</v>
      </c>
      <c r="F52" s="8" t="s">
        <v>8</v>
      </c>
      <c r="G52" s="99">
        <v>4918649.08</v>
      </c>
      <c r="H52" s="99">
        <v>616536.16</v>
      </c>
      <c r="I52" s="99"/>
      <c r="J52" s="99">
        <f>G52+I52</f>
        <v>4918649.08</v>
      </c>
      <c r="K52" s="99">
        <v>5045709.93</v>
      </c>
      <c r="L52" s="99">
        <v>5207036.58</v>
      </c>
    </row>
    <row r="53" spans="1:12" s="31" customFormat="1" ht="94.5" hidden="1">
      <c r="A53" s="55" t="s">
        <v>23</v>
      </c>
      <c r="B53" s="55">
        <v>2</v>
      </c>
      <c r="C53" s="55" t="s">
        <v>71</v>
      </c>
      <c r="D53" s="55">
        <v>111</v>
      </c>
      <c r="E53" s="11">
        <v>211</v>
      </c>
      <c r="F53" s="8" t="s">
        <v>49</v>
      </c>
      <c r="G53" s="100">
        <v>10000</v>
      </c>
      <c r="H53" s="100"/>
      <c r="I53" s="100"/>
      <c r="J53" s="99">
        <f t="shared" ref="J53:J69" si="3">G53+I53</f>
        <v>10000</v>
      </c>
      <c r="K53" s="99">
        <v>8000</v>
      </c>
      <c r="L53" s="99">
        <v>3000</v>
      </c>
    </row>
    <row r="54" spans="1:12" s="31" customFormat="1" ht="47.25" hidden="1">
      <c r="A54" s="55" t="s">
        <v>23</v>
      </c>
      <c r="B54" s="55">
        <v>2</v>
      </c>
      <c r="C54" s="55" t="s">
        <v>71</v>
      </c>
      <c r="D54" s="55">
        <v>111</v>
      </c>
      <c r="E54" s="11">
        <v>266</v>
      </c>
      <c r="F54" s="8" t="s">
        <v>43</v>
      </c>
      <c r="G54" s="99">
        <v>17800</v>
      </c>
      <c r="H54" s="99"/>
      <c r="I54" s="99"/>
      <c r="J54" s="99">
        <f t="shared" si="3"/>
        <v>17800</v>
      </c>
      <c r="K54" s="99">
        <v>19800</v>
      </c>
      <c r="L54" s="99">
        <v>19800</v>
      </c>
    </row>
    <row r="55" spans="1:12" s="31" customFormat="1" ht="47.25" hidden="1">
      <c r="A55" s="55" t="s">
        <v>23</v>
      </c>
      <c r="B55" s="55">
        <v>2</v>
      </c>
      <c r="C55" s="55" t="s">
        <v>71</v>
      </c>
      <c r="D55" s="55">
        <v>112</v>
      </c>
      <c r="E55" s="11">
        <v>266</v>
      </c>
      <c r="F55" s="8" t="s">
        <v>41</v>
      </c>
      <c r="G55" s="100">
        <v>1800</v>
      </c>
      <c r="H55" s="100"/>
      <c r="I55" s="100"/>
      <c r="J55" s="99">
        <f t="shared" si="3"/>
        <v>1800</v>
      </c>
      <c r="K55" s="99">
        <v>1800</v>
      </c>
      <c r="L55" s="99">
        <v>900</v>
      </c>
    </row>
    <row r="56" spans="1:12" s="31" customFormat="1" ht="16.5" hidden="1" customHeight="1">
      <c r="A56" s="55" t="s">
        <v>23</v>
      </c>
      <c r="B56" s="55">
        <v>2</v>
      </c>
      <c r="C56" s="55" t="s">
        <v>71</v>
      </c>
      <c r="D56" s="55">
        <v>112</v>
      </c>
      <c r="E56" s="11">
        <v>214</v>
      </c>
      <c r="F56" s="8" t="s">
        <v>35</v>
      </c>
      <c r="G56" s="99">
        <v>140000</v>
      </c>
      <c r="H56" s="99"/>
      <c r="I56" s="99"/>
      <c r="J56" s="99">
        <f t="shared" si="3"/>
        <v>140000</v>
      </c>
      <c r="K56" s="99">
        <v>100000</v>
      </c>
      <c r="L56" s="99">
        <v>140000</v>
      </c>
    </row>
    <row r="57" spans="1:12" s="31" customFormat="1" ht="17.25" hidden="1" customHeight="1">
      <c r="A57" s="55" t="s">
        <v>23</v>
      </c>
      <c r="B57" s="55">
        <v>2</v>
      </c>
      <c r="C57" s="55" t="s">
        <v>71</v>
      </c>
      <c r="D57" s="55">
        <v>112</v>
      </c>
      <c r="E57" s="11">
        <v>212</v>
      </c>
      <c r="F57" s="8" t="s">
        <v>34</v>
      </c>
      <c r="G57" s="99">
        <v>238500</v>
      </c>
      <c r="H57" s="99"/>
      <c r="I57" s="99"/>
      <c r="J57" s="99">
        <f t="shared" si="3"/>
        <v>238500</v>
      </c>
      <c r="K57" s="99">
        <v>243000</v>
      </c>
      <c r="L57" s="99">
        <v>243000</v>
      </c>
    </row>
    <row r="58" spans="1:12" s="31" customFormat="1" ht="31.5" hidden="1">
      <c r="A58" s="55" t="s">
        <v>23</v>
      </c>
      <c r="B58" s="55">
        <v>2</v>
      </c>
      <c r="C58" s="55" t="s">
        <v>71</v>
      </c>
      <c r="D58" s="55">
        <v>112</v>
      </c>
      <c r="E58" s="11">
        <v>226</v>
      </c>
      <c r="F58" s="8" t="s">
        <v>42</v>
      </c>
      <c r="G58" s="99">
        <v>750321</v>
      </c>
      <c r="H58" s="99"/>
      <c r="I58" s="99"/>
      <c r="J58" s="99">
        <f t="shared" si="3"/>
        <v>750321</v>
      </c>
      <c r="K58" s="99">
        <v>764478</v>
      </c>
      <c r="L58" s="99">
        <v>764478</v>
      </c>
    </row>
    <row r="59" spans="1:12" s="31" customFormat="1" ht="15.75" hidden="1">
      <c r="A59" s="55" t="s">
        <v>23</v>
      </c>
      <c r="B59" s="55">
        <v>2</v>
      </c>
      <c r="C59" s="55" t="s">
        <v>69</v>
      </c>
      <c r="D59" s="55">
        <v>119</v>
      </c>
      <c r="E59" s="11">
        <v>213</v>
      </c>
      <c r="F59" s="8" t="s">
        <v>10</v>
      </c>
      <c r="G59" s="99">
        <v>1437646.13</v>
      </c>
      <c r="H59" s="99">
        <v>117000</v>
      </c>
      <c r="I59" s="99"/>
      <c r="J59" s="99">
        <f t="shared" si="3"/>
        <v>1437646.13</v>
      </c>
      <c r="K59" s="99">
        <v>1450913.69</v>
      </c>
      <c r="L59" s="99">
        <v>1533302.43</v>
      </c>
    </row>
    <row r="60" spans="1:12" s="31" customFormat="1" ht="15.75" hidden="1">
      <c r="A60" s="55" t="s">
        <v>23</v>
      </c>
      <c r="B60" s="55">
        <v>2</v>
      </c>
      <c r="C60" s="55" t="s">
        <v>71</v>
      </c>
      <c r="D60" s="55">
        <v>244</v>
      </c>
      <c r="E60" s="11">
        <v>221</v>
      </c>
      <c r="F60" s="8" t="s">
        <v>11</v>
      </c>
      <c r="G60" s="99">
        <v>0</v>
      </c>
      <c r="H60" s="99"/>
      <c r="I60" s="99"/>
      <c r="J60" s="99">
        <f t="shared" si="3"/>
        <v>0</v>
      </c>
      <c r="K60" s="99">
        <v>51000</v>
      </c>
      <c r="L60" s="99">
        <v>181320</v>
      </c>
    </row>
    <row r="61" spans="1:12" s="31" customFormat="1" ht="15.75" hidden="1">
      <c r="A61" s="55" t="s">
        <v>23</v>
      </c>
      <c r="B61" s="55">
        <v>2</v>
      </c>
      <c r="C61" s="55" t="s">
        <v>71</v>
      </c>
      <c r="D61" s="55">
        <v>244</v>
      </c>
      <c r="E61" s="11">
        <v>225</v>
      </c>
      <c r="F61" s="8" t="s">
        <v>14</v>
      </c>
      <c r="G61" s="99">
        <v>409991.63</v>
      </c>
      <c r="H61" s="99"/>
      <c r="I61" s="99"/>
      <c r="J61" s="99">
        <f t="shared" si="3"/>
        <v>409991.63</v>
      </c>
      <c r="K61" s="99">
        <v>247159.33</v>
      </c>
      <c r="L61" s="99">
        <f>14294.28+17902</f>
        <v>32196.28</v>
      </c>
    </row>
    <row r="62" spans="1:12" s="31" customFormat="1" ht="15.75" hidden="1">
      <c r="A62" s="55" t="s">
        <v>23</v>
      </c>
      <c r="B62" s="55">
        <v>2</v>
      </c>
      <c r="C62" s="55" t="s">
        <v>71</v>
      </c>
      <c r="D62" s="55">
        <v>244</v>
      </c>
      <c r="E62" s="11">
        <v>222</v>
      </c>
      <c r="F62" s="8" t="s">
        <v>12</v>
      </c>
      <c r="G62" s="99">
        <v>236954.25</v>
      </c>
      <c r="H62" s="99"/>
      <c r="I62" s="99"/>
      <c r="J62" s="99">
        <f t="shared" si="3"/>
        <v>236954.25</v>
      </c>
      <c r="K62" s="99">
        <v>405383.61</v>
      </c>
      <c r="L62" s="99">
        <v>405383.61</v>
      </c>
    </row>
    <row r="63" spans="1:12" s="31" customFormat="1" ht="15.75" hidden="1">
      <c r="A63" s="55" t="s">
        <v>23</v>
      </c>
      <c r="B63" s="55">
        <v>2</v>
      </c>
      <c r="C63" s="55" t="s">
        <v>71</v>
      </c>
      <c r="D63" s="55">
        <v>244</v>
      </c>
      <c r="E63" s="11">
        <v>226</v>
      </c>
      <c r="F63" s="8" t="s">
        <v>15</v>
      </c>
      <c r="G63" s="99">
        <v>3146739.18</v>
      </c>
      <c r="H63" s="99">
        <v>435000</v>
      </c>
      <c r="I63" s="99"/>
      <c r="J63" s="99">
        <f t="shared" si="3"/>
        <v>3146739.18</v>
      </c>
      <c r="K63" s="99">
        <f>2841006.07-87345.09+3674.88</f>
        <v>2757335.86</v>
      </c>
      <c r="L63" s="99">
        <f>2841006.08-98774.99</f>
        <v>2742231.09</v>
      </c>
    </row>
    <row r="64" spans="1:12" s="31" customFormat="1" ht="15.75" hidden="1">
      <c r="A64" s="55" t="s">
        <v>23</v>
      </c>
      <c r="B64" s="55">
        <v>2</v>
      </c>
      <c r="C64" s="55" t="s">
        <v>71</v>
      </c>
      <c r="D64" s="55">
        <v>853</v>
      </c>
      <c r="E64" s="11">
        <v>297</v>
      </c>
      <c r="F64" s="8" t="s">
        <v>38</v>
      </c>
      <c r="G64" s="100">
        <v>6453.17</v>
      </c>
      <c r="H64" s="100"/>
      <c r="I64" s="100"/>
      <c r="J64" s="99">
        <f t="shared" si="3"/>
        <v>6453.17</v>
      </c>
      <c r="K64" s="100">
        <v>7568.56</v>
      </c>
      <c r="L64" s="100">
        <v>7810.55</v>
      </c>
    </row>
    <row r="65" spans="1:13" s="31" customFormat="1" ht="17.25" hidden="1" customHeight="1">
      <c r="A65" s="55" t="s">
        <v>23</v>
      </c>
      <c r="B65" s="55">
        <v>2</v>
      </c>
      <c r="C65" s="55" t="s">
        <v>71</v>
      </c>
      <c r="D65" s="55">
        <v>244</v>
      </c>
      <c r="E65" s="11">
        <v>310</v>
      </c>
      <c r="F65" s="8" t="s">
        <v>20</v>
      </c>
      <c r="G65" s="99">
        <v>1235078.56</v>
      </c>
      <c r="H65" s="99"/>
      <c r="I65" s="99"/>
      <c r="J65" s="99">
        <f t="shared" si="3"/>
        <v>1235078.56</v>
      </c>
      <c r="K65" s="99">
        <v>254705.11</v>
      </c>
      <c r="L65" s="99">
        <v>76395.55</v>
      </c>
    </row>
    <row r="66" spans="1:13" s="31" customFormat="1" ht="15.75" hidden="1">
      <c r="A66" s="55" t="s">
        <v>23</v>
      </c>
      <c r="B66" s="55">
        <v>2</v>
      </c>
      <c r="C66" s="55" t="s">
        <v>71</v>
      </c>
      <c r="D66" s="55">
        <v>244</v>
      </c>
      <c r="E66" s="11">
        <v>342</v>
      </c>
      <c r="F66" s="8" t="s">
        <v>39</v>
      </c>
      <c r="G66" s="99">
        <v>51330</v>
      </c>
      <c r="H66" s="99"/>
      <c r="I66" s="99"/>
      <c r="J66" s="99">
        <f t="shared" si="3"/>
        <v>51330</v>
      </c>
      <c r="K66" s="99">
        <v>51330</v>
      </c>
      <c r="L66" s="99">
        <v>51330</v>
      </c>
    </row>
    <row r="67" spans="1:13" s="31" customFormat="1" ht="15.75" hidden="1">
      <c r="A67" s="55" t="s">
        <v>23</v>
      </c>
      <c r="B67" s="55">
        <v>2</v>
      </c>
      <c r="C67" s="55" t="s">
        <v>71</v>
      </c>
      <c r="D67" s="55">
        <v>244</v>
      </c>
      <c r="E67" s="11">
        <v>345</v>
      </c>
      <c r="F67" s="8" t="s">
        <v>39</v>
      </c>
      <c r="G67" s="99">
        <v>9117.07</v>
      </c>
      <c r="H67" s="99"/>
      <c r="I67" s="99"/>
      <c r="J67" s="99">
        <f t="shared" si="3"/>
        <v>9117.07</v>
      </c>
      <c r="K67" s="99">
        <v>9117.07</v>
      </c>
      <c r="L67" s="99">
        <v>9117.07</v>
      </c>
    </row>
    <row r="68" spans="1:13" s="31" customFormat="1" ht="15.75" hidden="1">
      <c r="A68" s="55" t="s">
        <v>23</v>
      </c>
      <c r="B68" s="55">
        <v>2</v>
      </c>
      <c r="C68" s="55" t="s">
        <v>71</v>
      </c>
      <c r="D68" s="55">
        <v>244</v>
      </c>
      <c r="E68" s="11">
        <v>346</v>
      </c>
      <c r="F68" s="8" t="s">
        <v>39</v>
      </c>
      <c r="G68" s="99">
        <v>254922.44</v>
      </c>
      <c r="H68" s="99"/>
      <c r="I68" s="99"/>
      <c r="J68" s="99">
        <f t="shared" si="3"/>
        <v>254922.44</v>
      </c>
      <c r="K68" s="99">
        <v>254922.44</v>
      </c>
      <c r="L68" s="99">
        <v>254922.44</v>
      </c>
    </row>
    <row r="69" spans="1:13" s="31" customFormat="1" ht="15.75" hidden="1">
      <c r="A69" s="55" t="s">
        <v>23</v>
      </c>
      <c r="B69" s="55">
        <v>2</v>
      </c>
      <c r="C69" s="55" t="s">
        <v>71</v>
      </c>
      <c r="D69" s="55">
        <v>244</v>
      </c>
      <c r="E69" s="11">
        <v>349</v>
      </c>
      <c r="F69" s="8" t="s">
        <v>39</v>
      </c>
      <c r="G69" s="99">
        <v>1029026.4</v>
      </c>
      <c r="H69" s="99"/>
      <c r="I69" s="99"/>
      <c r="J69" s="99">
        <f t="shared" si="3"/>
        <v>1029026.4</v>
      </c>
      <c r="K69" s="99">
        <v>1029026.4</v>
      </c>
      <c r="L69" s="99">
        <v>1029026.4</v>
      </c>
    </row>
    <row r="70" spans="1:13" s="31" customFormat="1" ht="15.75" hidden="1">
      <c r="A70" s="1482" t="s">
        <v>17</v>
      </c>
      <c r="B70" s="1482"/>
      <c r="C70" s="1482"/>
      <c r="D70" s="1482"/>
      <c r="E70" s="1482"/>
      <c r="F70" s="1482"/>
      <c r="G70" s="10">
        <f>SUM(G52:G69)</f>
        <v>13894328.91</v>
      </c>
      <c r="H70" s="10">
        <f>SUM(H52:H69)</f>
        <v>1168536.1599999999</v>
      </c>
      <c r="I70" s="10">
        <f>SUM(I52:I69)</f>
        <v>0</v>
      </c>
      <c r="J70" s="10">
        <f>SUM(J52:J69)</f>
        <v>13894328.91</v>
      </c>
      <c r="K70" s="10">
        <f>K52+K53+K54+K55+K56+K57+K58+K59+K60+K61+K62+K63+K64+K65+K66+K67+K68+K69</f>
        <v>12701250</v>
      </c>
      <c r="L70" s="10">
        <f>L52+L53+L54+L55+L56+L57+L58+L59+L60+L61+L62+L63+L64+L65+L66+L67+L68+L69</f>
        <v>12701250</v>
      </c>
    </row>
    <row r="71" spans="1:13" s="31" customFormat="1" ht="15.75" hidden="1">
      <c r="A71" s="1482" t="s">
        <v>24</v>
      </c>
      <c r="B71" s="1482"/>
      <c r="C71" s="1482"/>
      <c r="D71" s="1482"/>
      <c r="E71" s="1482"/>
      <c r="F71" s="1482"/>
      <c r="G71" s="10">
        <f t="shared" ref="G71:L71" si="4">G50+G70</f>
        <v>78052387.180000007</v>
      </c>
      <c r="H71" s="10">
        <f t="shared" si="4"/>
        <v>1168536.1599999999</v>
      </c>
      <c r="I71" s="10">
        <f t="shared" si="4"/>
        <v>852253.1</v>
      </c>
      <c r="J71" s="10">
        <f t="shared" si="4"/>
        <v>78904640.280000001</v>
      </c>
      <c r="K71" s="10">
        <f t="shared" si="4"/>
        <v>59214283.899999999</v>
      </c>
      <c r="L71" s="10">
        <f t="shared" si="4"/>
        <v>59344802.270000003</v>
      </c>
    </row>
    <row r="72" spans="1:13" s="31" customFormat="1">
      <c r="A72" s="2"/>
      <c r="B72" s="2"/>
      <c r="C72" s="2"/>
      <c r="D72" s="2"/>
      <c r="E72" s="2"/>
      <c r="F72" s="2"/>
      <c r="G72" s="132"/>
      <c r="H72" s="85"/>
      <c r="I72" s="85"/>
      <c r="J72" s="85"/>
      <c r="K72" s="86"/>
      <c r="L72" s="86"/>
    </row>
    <row r="73" spans="1:13" s="32" customFormat="1" ht="33.75" hidden="1" customHeight="1">
      <c r="A73" s="1480" t="s">
        <v>25</v>
      </c>
      <c r="B73" s="1480"/>
      <c r="C73" s="163"/>
      <c r="D73" s="163"/>
      <c r="E73" s="1481" t="s">
        <v>32</v>
      </c>
      <c r="F73" s="1481"/>
      <c r="G73" s="103"/>
      <c r="H73" s="103"/>
      <c r="I73" s="103"/>
      <c r="J73" s="103"/>
      <c r="K73" s="122"/>
      <c r="L73" s="104"/>
    </row>
    <row r="74" spans="1:13" s="15" customFormat="1" ht="27" hidden="1" customHeight="1">
      <c r="A74" s="15" t="s">
        <v>27</v>
      </c>
      <c r="G74" s="105"/>
      <c r="H74" s="105"/>
      <c r="I74" s="105"/>
      <c r="J74" s="105"/>
      <c r="K74" s="123"/>
      <c r="L74" s="106"/>
    </row>
    <row r="75" spans="1:13" ht="29.25" customHeight="1">
      <c r="E75" s="2" t="s">
        <v>25</v>
      </c>
      <c r="G75" s="2" t="s">
        <v>32</v>
      </c>
      <c r="H75" s="2"/>
      <c r="I75" s="2"/>
      <c r="J75" s="4"/>
      <c r="L75" s="88"/>
    </row>
    <row r="78" spans="1:13">
      <c r="M78" s="4"/>
    </row>
    <row r="304" spans="11:12" ht="12.75" hidden="1" customHeight="1">
      <c r="K304" s="117"/>
      <c r="L304" s="88"/>
    </row>
    <row r="320" spans="11:12" ht="12.75" hidden="1" customHeight="1">
      <c r="K320" s="117"/>
      <c r="L320" s="88"/>
    </row>
  </sheetData>
  <autoFilter ref="A9:G71">
    <filterColumn colId="0">
      <filters>
        <filter val="3-001-2214"/>
      </filters>
    </filterColumn>
  </autoFilter>
  <mergeCells count="12">
    <mergeCell ref="A49:F49"/>
    <mergeCell ref="A5:L5"/>
    <mergeCell ref="A6:L6"/>
    <mergeCell ref="A10:L10"/>
    <mergeCell ref="A41:F41"/>
    <mergeCell ref="A42:G42"/>
    <mergeCell ref="A50:F50"/>
    <mergeCell ref="A51:G51"/>
    <mergeCell ref="A70:F70"/>
    <mergeCell ref="A71:F71"/>
    <mergeCell ref="A73:B73"/>
    <mergeCell ref="E73:F73"/>
  </mergeCells>
  <printOptions horizontalCentered="1"/>
  <pageMargins left="0" right="0" top="0" bottom="0" header="0.35433070866141736" footer="0.35433070866141736"/>
  <pageSetup paperSize="9" scale="55" fitToHeight="2" orientation="landscape" horizontalDpi="4294967295" verticalDpi="4294967295" r:id="rId1"/>
  <headerFooter alignWithMargins="0"/>
  <rowBreaks count="2" manualBreakCount="2">
    <brk id="50" max="8" man="1"/>
    <brk id="75" max="8"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9">
    <tabColor rgb="FF92D050"/>
  </sheetPr>
  <dimension ref="A3:R325"/>
  <sheetViews>
    <sheetView view="pageBreakPreview" topLeftCell="B13" zoomScaleNormal="85" zoomScaleSheetLayoutView="100" workbookViewId="0">
      <selection activeCell="M11" sqref="M11"/>
    </sheetView>
  </sheetViews>
  <sheetFormatPr defaultRowHeight="12.75"/>
  <cols>
    <col min="1" max="1" width="12.85546875" style="2" customWidth="1"/>
    <col min="2" max="2" width="7.85546875" style="2" customWidth="1"/>
    <col min="3" max="3" width="24.42578125" style="2" customWidth="1"/>
    <col min="4" max="4" width="8.42578125" style="2" customWidth="1"/>
    <col min="5" max="5" width="8.85546875" style="2" customWidth="1"/>
    <col min="6" max="6" width="46.85546875" style="2" customWidth="1"/>
    <col min="7" max="7" width="16.5703125" style="88" customWidth="1"/>
    <col min="8" max="8" width="15.42578125" style="88" customWidth="1"/>
    <col min="9" max="10" width="16.5703125" style="88" customWidth="1"/>
    <col min="11" max="11" width="15.5703125" style="88" customWidth="1"/>
    <col min="12" max="12" width="15.7109375" style="124" customWidth="1"/>
    <col min="13" max="13" width="23.7109375" style="2" bestFit="1" customWidth="1"/>
    <col min="14" max="14" width="16.28515625" style="2" customWidth="1"/>
    <col min="15" max="15" width="14.5703125" style="2" customWidth="1"/>
    <col min="16" max="16" width="9.140625" style="2"/>
    <col min="17" max="17" width="13.140625" style="2" customWidth="1"/>
    <col min="18" max="18" width="12.7109375" style="2" customWidth="1"/>
    <col min="19" max="252" width="9.140625" style="2"/>
    <col min="253" max="253" width="16.28515625" style="2" customWidth="1"/>
    <col min="254" max="254" width="9.5703125" style="2" customWidth="1"/>
    <col min="255" max="255" width="25.85546875" style="2" customWidth="1"/>
    <col min="256" max="256" width="10.7109375" style="2" customWidth="1"/>
    <col min="257" max="257" width="40.42578125" style="2" customWidth="1"/>
    <col min="258" max="258" width="30.5703125" style="2" customWidth="1"/>
    <col min="259" max="259" width="16.42578125" style="2" customWidth="1"/>
    <col min="260" max="260" width="13" style="2" bestFit="1" customWidth="1"/>
    <col min="261" max="508" width="9.140625" style="2"/>
    <col min="509" max="509" width="16.28515625" style="2" customWidth="1"/>
    <col min="510" max="510" width="9.5703125" style="2" customWidth="1"/>
    <col min="511" max="511" width="25.85546875" style="2" customWidth="1"/>
    <col min="512" max="512" width="10.7109375" style="2" customWidth="1"/>
    <col min="513" max="513" width="40.42578125" style="2" customWidth="1"/>
    <col min="514" max="514" width="30.5703125" style="2" customWidth="1"/>
    <col min="515" max="515" width="16.42578125" style="2" customWidth="1"/>
    <col min="516" max="516" width="13" style="2" bestFit="1" customWidth="1"/>
    <col min="517" max="764" width="9.140625" style="2"/>
    <col min="765" max="765" width="16.28515625" style="2" customWidth="1"/>
    <col min="766" max="766" width="9.5703125" style="2" customWidth="1"/>
    <col min="767" max="767" width="25.85546875" style="2" customWidth="1"/>
    <col min="768" max="768" width="10.7109375" style="2" customWidth="1"/>
    <col min="769" max="769" width="40.42578125" style="2" customWidth="1"/>
    <col min="770" max="770" width="30.5703125" style="2" customWidth="1"/>
    <col min="771" max="771" width="16.42578125" style="2" customWidth="1"/>
    <col min="772" max="772" width="13" style="2" bestFit="1" customWidth="1"/>
    <col min="773" max="1020" width="9.140625" style="2"/>
    <col min="1021" max="1021" width="16.28515625" style="2" customWidth="1"/>
    <col min="1022" max="1022" width="9.5703125" style="2" customWidth="1"/>
    <col min="1023" max="1023" width="25.85546875" style="2" customWidth="1"/>
    <col min="1024" max="1024" width="10.7109375" style="2" customWidth="1"/>
    <col min="1025" max="1025" width="40.42578125" style="2" customWidth="1"/>
    <col min="1026" max="1026" width="30.5703125" style="2" customWidth="1"/>
    <col min="1027" max="1027" width="16.42578125" style="2" customWidth="1"/>
    <col min="1028" max="1028" width="13" style="2" bestFit="1" customWidth="1"/>
    <col min="1029" max="1276" width="9.140625" style="2"/>
    <col min="1277" max="1277" width="16.28515625" style="2" customWidth="1"/>
    <col min="1278" max="1278" width="9.5703125" style="2" customWidth="1"/>
    <col min="1279" max="1279" width="25.85546875" style="2" customWidth="1"/>
    <col min="1280" max="1280" width="10.7109375" style="2" customWidth="1"/>
    <col min="1281" max="1281" width="40.42578125" style="2" customWidth="1"/>
    <col min="1282" max="1282" width="30.5703125" style="2" customWidth="1"/>
    <col min="1283" max="1283" width="16.42578125" style="2" customWidth="1"/>
    <col min="1284" max="1284" width="13" style="2" bestFit="1" customWidth="1"/>
    <col min="1285" max="1532" width="9.140625" style="2"/>
    <col min="1533" max="1533" width="16.28515625" style="2" customWidth="1"/>
    <col min="1534" max="1534" width="9.5703125" style="2" customWidth="1"/>
    <col min="1535" max="1535" width="25.85546875" style="2" customWidth="1"/>
    <col min="1536" max="1536" width="10.7109375" style="2" customWidth="1"/>
    <col min="1537" max="1537" width="40.42578125" style="2" customWidth="1"/>
    <col min="1538" max="1538" width="30.5703125" style="2" customWidth="1"/>
    <col min="1539" max="1539" width="16.42578125" style="2" customWidth="1"/>
    <col min="1540" max="1540" width="13" style="2" bestFit="1" customWidth="1"/>
    <col min="1541" max="1788" width="9.140625" style="2"/>
    <col min="1789" max="1789" width="16.28515625" style="2" customWidth="1"/>
    <col min="1790" max="1790" width="9.5703125" style="2" customWidth="1"/>
    <col min="1791" max="1791" width="25.85546875" style="2" customWidth="1"/>
    <col min="1792" max="1792" width="10.7109375" style="2" customWidth="1"/>
    <col min="1793" max="1793" width="40.42578125" style="2" customWidth="1"/>
    <col min="1794" max="1794" width="30.5703125" style="2" customWidth="1"/>
    <col min="1795" max="1795" width="16.42578125" style="2" customWidth="1"/>
    <col min="1796" max="1796" width="13" style="2" bestFit="1" customWidth="1"/>
    <col min="1797" max="2044" width="9.140625" style="2"/>
    <col min="2045" max="2045" width="16.28515625" style="2" customWidth="1"/>
    <col min="2046" max="2046" width="9.5703125" style="2" customWidth="1"/>
    <col min="2047" max="2047" width="25.85546875" style="2" customWidth="1"/>
    <col min="2048" max="2048" width="10.7109375" style="2" customWidth="1"/>
    <col min="2049" max="2049" width="40.42578125" style="2" customWidth="1"/>
    <col min="2050" max="2050" width="30.5703125" style="2" customWidth="1"/>
    <col min="2051" max="2051" width="16.42578125" style="2" customWidth="1"/>
    <col min="2052" max="2052" width="13" style="2" bestFit="1" customWidth="1"/>
    <col min="2053" max="2300" width="9.140625" style="2"/>
    <col min="2301" max="2301" width="16.28515625" style="2" customWidth="1"/>
    <col min="2302" max="2302" width="9.5703125" style="2" customWidth="1"/>
    <col min="2303" max="2303" width="25.85546875" style="2" customWidth="1"/>
    <col min="2304" max="2304" width="10.7109375" style="2" customWidth="1"/>
    <col min="2305" max="2305" width="40.42578125" style="2" customWidth="1"/>
    <col min="2306" max="2306" width="30.5703125" style="2" customWidth="1"/>
    <col min="2307" max="2307" width="16.42578125" style="2" customWidth="1"/>
    <col min="2308" max="2308" width="13" style="2" bestFit="1" customWidth="1"/>
    <col min="2309" max="2556" width="9.140625" style="2"/>
    <col min="2557" max="2557" width="16.28515625" style="2" customWidth="1"/>
    <col min="2558" max="2558" width="9.5703125" style="2" customWidth="1"/>
    <col min="2559" max="2559" width="25.85546875" style="2" customWidth="1"/>
    <col min="2560" max="2560" width="10.7109375" style="2" customWidth="1"/>
    <col min="2561" max="2561" width="40.42578125" style="2" customWidth="1"/>
    <col min="2562" max="2562" width="30.5703125" style="2" customWidth="1"/>
    <col min="2563" max="2563" width="16.42578125" style="2" customWidth="1"/>
    <col min="2564" max="2564" width="13" style="2" bestFit="1" customWidth="1"/>
    <col min="2565" max="2812" width="9.140625" style="2"/>
    <col min="2813" max="2813" width="16.28515625" style="2" customWidth="1"/>
    <col min="2814" max="2814" width="9.5703125" style="2" customWidth="1"/>
    <col min="2815" max="2815" width="25.85546875" style="2" customWidth="1"/>
    <col min="2816" max="2816" width="10.7109375" style="2" customWidth="1"/>
    <col min="2817" max="2817" width="40.42578125" style="2" customWidth="1"/>
    <col min="2818" max="2818" width="30.5703125" style="2" customWidth="1"/>
    <col min="2819" max="2819" width="16.42578125" style="2" customWidth="1"/>
    <col min="2820" max="2820" width="13" style="2" bestFit="1" customWidth="1"/>
    <col min="2821" max="3068" width="9.140625" style="2"/>
    <col min="3069" max="3069" width="16.28515625" style="2" customWidth="1"/>
    <col min="3070" max="3070" width="9.5703125" style="2" customWidth="1"/>
    <col min="3071" max="3071" width="25.85546875" style="2" customWidth="1"/>
    <col min="3072" max="3072" width="10.7109375" style="2" customWidth="1"/>
    <col min="3073" max="3073" width="40.42578125" style="2" customWidth="1"/>
    <col min="3074" max="3074" width="30.5703125" style="2" customWidth="1"/>
    <col min="3075" max="3075" width="16.42578125" style="2" customWidth="1"/>
    <col min="3076" max="3076" width="13" style="2" bestFit="1" customWidth="1"/>
    <col min="3077" max="3324" width="9.140625" style="2"/>
    <col min="3325" max="3325" width="16.28515625" style="2" customWidth="1"/>
    <col min="3326" max="3326" width="9.5703125" style="2" customWidth="1"/>
    <col min="3327" max="3327" width="25.85546875" style="2" customWidth="1"/>
    <col min="3328" max="3328" width="10.7109375" style="2" customWidth="1"/>
    <col min="3329" max="3329" width="40.42578125" style="2" customWidth="1"/>
    <col min="3330" max="3330" width="30.5703125" style="2" customWidth="1"/>
    <col min="3331" max="3331" width="16.42578125" style="2" customWidth="1"/>
    <col min="3332" max="3332" width="13" style="2" bestFit="1" customWidth="1"/>
    <col min="3333" max="3580" width="9.140625" style="2"/>
    <col min="3581" max="3581" width="16.28515625" style="2" customWidth="1"/>
    <col min="3582" max="3582" width="9.5703125" style="2" customWidth="1"/>
    <col min="3583" max="3583" width="25.85546875" style="2" customWidth="1"/>
    <col min="3584" max="3584" width="10.7109375" style="2" customWidth="1"/>
    <col min="3585" max="3585" width="40.42578125" style="2" customWidth="1"/>
    <col min="3586" max="3586" width="30.5703125" style="2" customWidth="1"/>
    <col min="3587" max="3587" width="16.42578125" style="2" customWidth="1"/>
    <col min="3588" max="3588" width="13" style="2" bestFit="1" customWidth="1"/>
    <col min="3589" max="3836" width="9.140625" style="2"/>
    <col min="3837" max="3837" width="16.28515625" style="2" customWidth="1"/>
    <col min="3838" max="3838" width="9.5703125" style="2" customWidth="1"/>
    <col min="3839" max="3839" width="25.85546875" style="2" customWidth="1"/>
    <col min="3840" max="3840" width="10.7109375" style="2" customWidth="1"/>
    <col min="3841" max="3841" width="40.42578125" style="2" customWidth="1"/>
    <col min="3842" max="3842" width="30.5703125" style="2" customWidth="1"/>
    <col min="3843" max="3843" width="16.42578125" style="2" customWidth="1"/>
    <col min="3844" max="3844" width="13" style="2" bestFit="1" customWidth="1"/>
    <col min="3845" max="4092" width="9.140625" style="2"/>
    <col min="4093" max="4093" width="16.28515625" style="2" customWidth="1"/>
    <col min="4094" max="4094" width="9.5703125" style="2" customWidth="1"/>
    <col min="4095" max="4095" width="25.85546875" style="2" customWidth="1"/>
    <col min="4096" max="4096" width="10.7109375" style="2" customWidth="1"/>
    <col min="4097" max="4097" width="40.42578125" style="2" customWidth="1"/>
    <col min="4098" max="4098" width="30.5703125" style="2" customWidth="1"/>
    <col min="4099" max="4099" width="16.42578125" style="2" customWidth="1"/>
    <col min="4100" max="4100" width="13" style="2" bestFit="1" customWidth="1"/>
    <col min="4101" max="4348" width="9.140625" style="2"/>
    <col min="4349" max="4349" width="16.28515625" style="2" customWidth="1"/>
    <col min="4350" max="4350" width="9.5703125" style="2" customWidth="1"/>
    <col min="4351" max="4351" width="25.85546875" style="2" customWidth="1"/>
    <col min="4352" max="4352" width="10.7109375" style="2" customWidth="1"/>
    <col min="4353" max="4353" width="40.42578125" style="2" customWidth="1"/>
    <col min="4354" max="4354" width="30.5703125" style="2" customWidth="1"/>
    <col min="4355" max="4355" width="16.42578125" style="2" customWidth="1"/>
    <col min="4356" max="4356" width="13" style="2" bestFit="1" customWidth="1"/>
    <col min="4357" max="4604" width="9.140625" style="2"/>
    <col min="4605" max="4605" width="16.28515625" style="2" customWidth="1"/>
    <col min="4606" max="4606" width="9.5703125" style="2" customWidth="1"/>
    <col min="4607" max="4607" width="25.85546875" style="2" customWidth="1"/>
    <col min="4608" max="4608" width="10.7109375" style="2" customWidth="1"/>
    <col min="4609" max="4609" width="40.42578125" style="2" customWidth="1"/>
    <col min="4610" max="4610" width="30.5703125" style="2" customWidth="1"/>
    <col min="4611" max="4611" width="16.42578125" style="2" customWidth="1"/>
    <col min="4612" max="4612" width="13" style="2" bestFit="1" customWidth="1"/>
    <col min="4613" max="4860" width="9.140625" style="2"/>
    <col min="4861" max="4861" width="16.28515625" style="2" customWidth="1"/>
    <col min="4862" max="4862" width="9.5703125" style="2" customWidth="1"/>
    <col min="4863" max="4863" width="25.85546875" style="2" customWidth="1"/>
    <col min="4864" max="4864" width="10.7109375" style="2" customWidth="1"/>
    <col min="4865" max="4865" width="40.42578125" style="2" customWidth="1"/>
    <col min="4866" max="4866" width="30.5703125" style="2" customWidth="1"/>
    <col min="4867" max="4867" width="16.42578125" style="2" customWidth="1"/>
    <col min="4868" max="4868" width="13" style="2" bestFit="1" customWidth="1"/>
    <col min="4869" max="5116" width="9.140625" style="2"/>
    <col min="5117" max="5117" width="16.28515625" style="2" customWidth="1"/>
    <col min="5118" max="5118" width="9.5703125" style="2" customWidth="1"/>
    <col min="5119" max="5119" width="25.85546875" style="2" customWidth="1"/>
    <col min="5120" max="5120" width="10.7109375" style="2" customWidth="1"/>
    <col min="5121" max="5121" width="40.42578125" style="2" customWidth="1"/>
    <col min="5122" max="5122" width="30.5703125" style="2" customWidth="1"/>
    <col min="5123" max="5123" width="16.42578125" style="2" customWidth="1"/>
    <col min="5124" max="5124" width="13" style="2" bestFit="1" customWidth="1"/>
    <col min="5125" max="5372" width="9.140625" style="2"/>
    <col min="5373" max="5373" width="16.28515625" style="2" customWidth="1"/>
    <col min="5374" max="5374" width="9.5703125" style="2" customWidth="1"/>
    <col min="5375" max="5375" width="25.85546875" style="2" customWidth="1"/>
    <col min="5376" max="5376" width="10.7109375" style="2" customWidth="1"/>
    <col min="5377" max="5377" width="40.42578125" style="2" customWidth="1"/>
    <col min="5378" max="5378" width="30.5703125" style="2" customWidth="1"/>
    <col min="5379" max="5379" width="16.42578125" style="2" customWidth="1"/>
    <col min="5380" max="5380" width="13" style="2" bestFit="1" customWidth="1"/>
    <col min="5381" max="5628" width="9.140625" style="2"/>
    <col min="5629" max="5629" width="16.28515625" style="2" customWidth="1"/>
    <col min="5630" max="5630" width="9.5703125" style="2" customWidth="1"/>
    <col min="5631" max="5631" width="25.85546875" style="2" customWidth="1"/>
    <col min="5632" max="5632" width="10.7109375" style="2" customWidth="1"/>
    <col min="5633" max="5633" width="40.42578125" style="2" customWidth="1"/>
    <col min="5634" max="5634" width="30.5703125" style="2" customWidth="1"/>
    <col min="5635" max="5635" width="16.42578125" style="2" customWidth="1"/>
    <col min="5636" max="5636" width="13" style="2" bestFit="1" customWidth="1"/>
    <col min="5637" max="5884" width="9.140625" style="2"/>
    <col min="5885" max="5885" width="16.28515625" style="2" customWidth="1"/>
    <col min="5886" max="5886" width="9.5703125" style="2" customWidth="1"/>
    <col min="5887" max="5887" width="25.85546875" style="2" customWidth="1"/>
    <col min="5888" max="5888" width="10.7109375" style="2" customWidth="1"/>
    <col min="5889" max="5889" width="40.42578125" style="2" customWidth="1"/>
    <col min="5890" max="5890" width="30.5703125" style="2" customWidth="1"/>
    <col min="5891" max="5891" width="16.42578125" style="2" customWidth="1"/>
    <col min="5892" max="5892" width="13" style="2" bestFit="1" customWidth="1"/>
    <col min="5893" max="6140" width="9.140625" style="2"/>
    <col min="6141" max="6141" width="16.28515625" style="2" customWidth="1"/>
    <col min="6142" max="6142" width="9.5703125" style="2" customWidth="1"/>
    <col min="6143" max="6143" width="25.85546875" style="2" customWidth="1"/>
    <col min="6144" max="6144" width="10.7109375" style="2" customWidth="1"/>
    <col min="6145" max="6145" width="40.42578125" style="2" customWidth="1"/>
    <col min="6146" max="6146" width="30.5703125" style="2" customWidth="1"/>
    <col min="6147" max="6147" width="16.42578125" style="2" customWidth="1"/>
    <col min="6148" max="6148" width="13" style="2" bestFit="1" customWidth="1"/>
    <col min="6149" max="6396" width="9.140625" style="2"/>
    <col min="6397" max="6397" width="16.28515625" style="2" customWidth="1"/>
    <col min="6398" max="6398" width="9.5703125" style="2" customWidth="1"/>
    <col min="6399" max="6399" width="25.85546875" style="2" customWidth="1"/>
    <col min="6400" max="6400" width="10.7109375" style="2" customWidth="1"/>
    <col min="6401" max="6401" width="40.42578125" style="2" customWidth="1"/>
    <col min="6402" max="6402" width="30.5703125" style="2" customWidth="1"/>
    <col min="6403" max="6403" width="16.42578125" style="2" customWidth="1"/>
    <col min="6404" max="6404" width="13" style="2" bestFit="1" customWidth="1"/>
    <col min="6405" max="6652" width="9.140625" style="2"/>
    <col min="6653" max="6653" width="16.28515625" style="2" customWidth="1"/>
    <col min="6654" max="6654" width="9.5703125" style="2" customWidth="1"/>
    <col min="6655" max="6655" width="25.85546875" style="2" customWidth="1"/>
    <col min="6656" max="6656" width="10.7109375" style="2" customWidth="1"/>
    <col min="6657" max="6657" width="40.42578125" style="2" customWidth="1"/>
    <col min="6658" max="6658" width="30.5703125" style="2" customWidth="1"/>
    <col min="6659" max="6659" width="16.42578125" style="2" customWidth="1"/>
    <col min="6660" max="6660" width="13" style="2" bestFit="1" customWidth="1"/>
    <col min="6661" max="6908" width="9.140625" style="2"/>
    <col min="6909" max="6909" width="16.28515625" style="2" customWidth="1"/>
    <col min="6910" max="6910" width="9.5703125" style="2" customWidth="1"/>
    <col min="6911" max="6911" width="25.85546875" style="2" customWidth="1"/>
    <col min="6912" max="6912" width="10.7109375" style="2" customWidth="1"/>
    <col min="6913" max="6913" width="40.42578125" style="2" customWidth="1"/>
    <col min="6914" max="6914" width="30.5703125" style="2" customWidth="1"/>
    <col min="6915" max="6915" width="16.42578125" style="2" customWidth="1"/>
    <col min="6916" max="6916" width="13" style="2" bestFit="1" customWidth="1"/>
    <col min="6917" max="7164" width="9.140625" style="2"/>
    <col min="7165" max="7165" width="16.28515625" style="2" customWidth="1"/>
    <col min="7166" max="7166" width="9.5703125" style="2" customWidth="1"/>
    <col min="7167" max="7167" width="25.85546875" style="2" customWidth="1"/>
    <col min="7168" max="7168" width="10.7109375" style="2" customWidth="1"/>
    <col min="7169" max="7169" width="40.42578125" style="2" customWidth="1"/>
    <col min="7170" max="7170" width="30.5703125" style="2" customWidth="1"/>
    <col min="7171" max="7171" width="16.42578125" style="2" customWidth="1"/>
    <col min="7172" max="7172" width="13" style="2" bestFit="1" customWidth="1"/>
    <col min="7173" max="7420" width="9.140625" style="2"/>
    <col min="7421" max="7421" width="16.28515625" style="2" customWidth="1"/>
    <col min="7422" max="7422" width="9.5703125" style="2" customWidth="1"/>
    <col min="7423" max="7423" width="25.85546875" style="2" customWidth="1"/>
    <col min="7424" max="7424" width="10.7109375" style="2" customWidth="1"/>
    <col min="7425" max="7425" width="40.42578125" style="2" customWidth="1"/>
    <col min="7426" max="7426" width="30.5703125" style="2" customWidth="1"/>
    <col min="7427" max="7427" width="16.42578125" style="2" customWidth="1"/>
    <col min="7428" max="7428" width="13" style="2" bestFit="1" customWidth="1"/>
    <col min="7429" max="7676" width="9.140625" style="2"/>
    <col min="7677" max="7677" width="16.28515625" style="2" customWidth="1"/>
    <col min="7678" max="7678" width="9.5703125" style="2" customWidth="1"/>
    <col min="7679" max="7679" width="25.85546875" style="2" customWidth="1"/>
    <col min="7680" max="7680" width="10.7109375" style="2" customWidth="1"/>
    <col min="7681" max="7681" width="40.42578125" style="2" customWidth="1"/>
    <col min="7682" max="7682" width="30.5703125" style="2" customWidth="1"/>
    <col min="7683" max="7683" width="16.42578125" style="2" customWidth="1"/>
    <col min="7684" max="7684" width="13" style="2" bestFit="1" customWidth="1"/>
    <col min="7685" max="7932" width="9.140625" style="2"/>
    <col min="7933" max="7933" width="16.28515625" style="2" customWidth="1"/>
    <col min="7934" max="7934" width="9.5703125" style="2" customWidth="1"/>
    <col min="7935" max="7935" width="25.85546875" style="2" customWidth="1"/>
    <col min="7936" max="7936" width="10.7109375" style="2" customWidth="1"/>
    <col min="7937" max="7937" width="40.42578125" style="2" customWidth="1"/>
    <col min="7938" max="7938" width="30.5703125" style="2" customWidth="1"/>
    <col min="7939" max="7939" width="16.42578125" style="2" customWidth="1"/>
    <col min="7940" max="7940" width="13" style="2" bestFit="1" customWidth="1"/>
    <col min="7941" max="8188" width="9.140625" style="2"/>
    <col min="8189" max="8189" width="16.28515625" style="2" customWidth="1"/>
    <col min="8190" max="8190" width="9.5703125" style="2" customWidth="1"/>
    <col min="8191" max="8191" width="25.85546875" style="2" customWidth="1"/>
    <col min="8192" max="8192" width="10.7109375" style="2" customWidth="1"/>
    <col min="8193" max="8193" width="40.42578125" style="2" customWidth="1"/>
    <col min="8194" max="8194" width="30.5703125" style="2" customWidth="1"/>
    <col min="8195" max="8195" width="16.42578125" style="2" customWidth="1"/>
    <col min="8196" max="8196" width="13" style="2" bestFit="1" customWidth="1"/>
    <col min="8197" max="8444" width="9.140625" style="2"/>
    <col min="8445" max="8445" width="16.28515625" style="2" customWidth="1"/>
    <col min="8446" max="8446" width="9.5703125" style="2" customWidth="1"/>
    <col min="8447" max="8447" width="25.85546875" style="2" customWidth="1"/>
    <col min="8448" max="8448" width="10.7109375" style="2" customWidth="1"/>
    <col min="8449" max="8449" width="40.42578125" style="2" customWidth="1"/>
    <col min="8450" max="8450" width="30.5703125" style="2" customWidth="1"/>
    <col min="8451" max="8451" width="16.42578125" style="2" customWidth="1"/>
    <col min="8452" max="8452" width="13" style="2" bestFit="1" customWidth="1"/>
    <col min="8453" max="8700" width="9.140625" style="2"/>
    <col min="8701" max="8701" width="16.28515625" style="2" customWidth="1"/>
    <col min="8702" max="8702" width="9.5703125" style="2" customWidth="1"/>
    <col min="8703" max="8703" width="25.85546875" style="2" customWidth="1"/>
    <col min="8704" max="8704" width="10.7109375" style="2" customWidth="1"/>
    <col min="8705" max="8705" width="40.42578125" style="2" customWidth="1"/>
    <col min="8706" max="8706" width="30.5703125" style="2" customWidth="1"/>
    <col min="8707" max="8707" width="16.42578125" style="2" customWidth="1"/>
    <col min="8708" max="8708" width="13" style="2" bestFit="1" customWidth="1"/>
    <col min="8709" max="8956" width="9.140625" style="2"/>
    <col min="8957" max="8957" width="16.28515625" style="2" customWidth="1"/>
    <col min="8958" max="8958" width="9.5703125" style="2" customWidth="1"/>
    <col min="8959" max="8959" width="25.85546875" style="2" customWidth="1"/>
    <col min="8960" max="8960" width="10.7109375" style="2" customWidth="1"/>
    <col min="8961" max="8961" width="40.42578125" style="2" customWidth="1"/>
    <col min="8962" max="8962" width="30.5703125" style="2" customWidth="1"/>
    <col min="8963" max="8963" width="16.42578125" style="2" customWidth="1"/>
    <col min="8964" max="8964" width="13" style="2" bestFit="1" customWidth="1"/>
    <col min="8965" max="9212" width="9.140625" style="2"/>
    <col min="9213" max="9213" width="16.28515625" style="2" customWidth="1"/>
    <col min="9214" max="9214" width="9.5703125" style="2" customWidth="1"/>
    <col min="9215" max="9215" width="25.85546875" style="2" customWidth="1"/>
    <col min="9216" max="9216" width="10.7109375" style="2" customWidth="1"/>
    <col min="9217" max="9217" width="40.42578125" style="2" customWidth="1"/>
    <col min="9218" max="9218" width="30.5703125" style="2" customWidth="1"/>
    <col min="9219" max="9219" width="16.42578125" style="2" customWidth="1"/>
    <col min="9220" max="9220" width="13" style="2" bestFit="1" customWidth="1"/>
    <col min="9221" max="9468" width="9.140625" style="2"/>
    <col min="9469" max="9469" width="16.28515625" style="2" customWidth="1"/>
    <col min="9470" max="9470" width="9.5703125" style="2" customWidth="1"/>
    <col min="9471" max="9471" width="25.85546875" style="2" customWidth="1"/>
    <col min="9472" max="9472" width="10.7109375" style="2" customWidth="1"/>
    <col min="9473" max="9473" width="40.42578125" style="2" customWidth="1"/>
    <col min="9474" max="9474" width="30.5703125" style="2" customWidth="1"/>
    <col min="9475" max="9475" width="16.42578125" style="2" customWidth="1"/>
    <col min="9476" max="9476" width="13" style="2" bestFit="1" customWidth="1"/>
    <col min="9477" max="9724" width="9.140625" style="2"/>
    <col min="9725" max="9725" width="16.28515625" style="2" customWidth="1"/>
    <col min="9726" max="9726" width="9.5703125" style="2" customWidth="1"/>
    <col min="9727" max="9727" width="25.85546875" style="2" customWidth="1"/>
    <col min="9728" max="9728" width="10.7109375" style="2" customWidth="1"/>
    <col min="9729" max="9729" width="40.42578125" style="2" customWidth="1"/>
    <col min="9730" max="9730" width="30.5703125" style="2" customWidth="1"/>
    <col min="9731" max="9731" width="16.42578125" style="2" customWidth="1"/>
    <col min="9732" max="9732" width="13" style="2" bestFit="1" customWidth="1"/>
    <col min="9733" max="9980" width="9.140625" style="2"/>
    <col min="9981" max="9981" width="16.28515625" style="2" customWidth="1"/>
    <col min="9982" max="9982" width="9.5703125" style="2" customWidth="1"/>
    <col min="9983" max="9983" width="25.85546875" style="2" customWidth="1"/>
    <col min="9984" max="9984" width="10.7109375" style="2" customWidth="1"/>
    <col min="9985" max="9985" width="40.42578125" style="2" customWidth="1"/>
    <col min="9986" max="9986" width="30.5703125" style="2" customWidth="1"/>
    <col min="9987" max="9987" width="16.42578125" style="2" customWidth="1"/>
    <col min="9988" max="9988" width="13" style="2" bestFit="1" customWidth="1"/>
    <col min="9989" max="10236" width="9.140625" style="2"/>
    <col min="10237" max="10237" width="16.28515625" style="2" customWidth="1"/>
    <col min="10238" max="10238" width="9.5703125" style="2" customWidth="1"/>
    <col min="10239" max="10239" width="25.85546875" style="2" customWidth="1"/>
    <col min="10240" max="10240" width="10.7109375" style="2" customWidth="1"/>
    <col min="10241" max="10241" width="40.42578125" style="2" customWidth="1"/>
    <col min="10242" max="10242" width="30.5703125" style="2" customWidth="1"/>
    <col min="10243" max="10243" width="16.42578125" style="2" customWidth="1"/>
    <col min="10244" max="10244" width="13" style="2" bestFit="1" customWidth="1"/>
    <col min="10245" max="10492" width="9.140625" style="2"/>
    <col min="10493" max="10493" width="16.28515625" style="2" customWidth="1"/>
    <col min="10494" max="10494" width="9.5703125" style="2" customWidth="1"/>
    <col min="10495" max="10495" width="25.85546875" style="2" customWidth="1"/>
    <col min="10496" max="10496" width="10.7109375" style="2" customWidth="1"/>
    <col min="10497" max="10497" width="40.42578125" style="2" customWidth="1"/>
    <col min="10498" max="10498" width="30.5703125" style="2" customWidth="1"/>
    <col min="10499" max="10499" width="16.42578125" style="2" customWidth="1"/>
    <col min="10500" max="10500" width="13" style="2" bestFit="1" customWidth="1"/>
    <col min="10501" max="10748" width="9.140625" style="2"/>
    <col min="10749" max="10749" width="16.28515625" style="2" customWidth="1"/>
    <col min="10750" max="10750" width="9.5703125" style="2" customWidth="1"/>
    <col min="10751" max="10751" width="25.85546875" style="2" customWidth="1"/>
    <col min="10752" max="10752" width="10.7109375" style="2" customWidth="1"/>
    <col min="10753" max="10753" width="40.42578125" style="2" customWidth="1"/>
    <col min="10754" max="10754" width="30.5703125" style="2" customWidth="1"/>
    <col min="10755" max="10755" width="16.42578125" style="2" customWidth="1"/>
    <col min="10756" max="10756" width="13" style="2" bestFit="1" customWidth="1"/>
    <col min="10757" max="11004" width="9.140625" style="2"/>
    <col min="11005" max="11005" width="16.28515625" style="2" customWidth="1"/>
    <col min="11006" max="11006" width="9.5703125" style="2" customWidth="1"/>
    <col min="11007" max="11007" width="25.85546875" style="2" customWidth="1"/>
    <col min="11008" max="11008" width="10.7109375" style="2" customWidth="1"/>
    <col min="11009" max="11009" width="40.42578125" style="2" customWidth="1"/>
    <col min="11010" max="11010" width="30.5703125" style="2" customWidth="1"/>
    <col min="11011" max="11011" width="16.42578125" style="2" customWidth="1"/>
    <col min="11012" max="11012" width="13" style="2" bestFit="1" customWidth="1"/>
    <col min="11013" max="11260" width="9.140625" style="2"/>
    <col min="11261" max="11261" width="16.28515625" style="2" customWidth="1"/>
    <col min="11262" max="11262" width="9.5703125" style="2" customWidth="1"/>
    <col min="11263" max="11263" width="25.85546875" style="2" customWidth="1"/>
    <col min="11264" max="11264" width="10.7109375" style="2" customWidth="1"/>
    <col min="11265" max="11265" width="40.42578125" style="2" customWidth="1"/>
    <col min="11266" max="11266" width="30.5703125" style="2" customWidth="1"/>
    <col min="11267" max="11267" width="16.42578125" style="2" customWidth="1"/>
    <col min="11268" max="11268" width="13" style="2" bestFit="1" customWidth="1"/>
    <col min="11269" max="11516" width="9.140625" style="2"/>
    <col min="11517" max="11517" width="16.28515625" style="2" customWidth="1"/>
    <col min="11518" max="11518" width="9.5703125" style="2" customWidth="1"/>
    <col min="11519" max="11519" width="25.85546875" style="2" customWidth="1"/>
    <col min="11520" max="11520" width="10.7109375" style="2" customWidth="1"/>
    <col min="11521" max="11521" width="40.42578125" style="2" customWidth="1"/>
    <col min="11522" max="11522" width="30.5703125" style="2" customWidth="1"/>
    <col min="11523" max="11523" width="16.42578125" style="2" customWidth="1"/>
    <col min="11524" max="11524" width="13" style="2" bestFit="1" customWidth="1"/>
    <col min="11525" max="11772" width="9.140625" style="2"/>
    <col min="11773" max="11773" width="16.28515625" style="2" customWidth="1"/>
    <col min="11774" max="11774" width="9.5703125" style="2" customWidth="1"/>
    <col min="11775" max="11775" width="25.85546875" style="2" customWidth="1"/>
    <col min="11776" max="11776" width="10.7109375" style="2" customWidth="1"/>
    <col min="11777" max="11777" width="40.42578125" style="2" customWidth="1"/>
    <col min="11778" max="11778" width="30.5703125" style="2" customWidth="1"/>
    <col min="11779" max="11779" width="16.42578125" style="2" customWidth="1"/>
    <col min="11780" max="11780" width="13" style="2" bestFit="1" customWidth="1"/>
    <col min="11781" max="12028" width="9.140625" style="2"/>
    <col min="12029" max="12029" width="16.28515625" style="2" customWidth="1"/>
    <col min="12030" max="12030" width="9.5703125" style="2" customWidth="1"/>
    <col min="12031" max="12031" width="25.85546875" style="2" customWidth="1"/>
    <col min="12032" max="12032" width="10.7109375" style="2" customWidth="1"/>
    <col min="12033" max="12033" width="40.42578125" style="2" customWidth="1"/>
    <col min="12034" max="12034" width="30.5703125" style="2" customWidth="1"/>
    <col min="12035" max="12035" width="16.42578125" style="2" customWidth="1"/>
    <col min="12036" max="12036" width="13" style="2" bestFit="1" customWidth="1"/>
    <col min="12037" max="12284" width="9.140625" style="2"/>
    <col min="12285" max="12285" width="16.28515625" style="2" customWidth="1"/>
    <col min="12286" max="12286" width="9.5703125" style="2" customWidth="1"/>
    <col min="12287" max="12287" width="25.85546875" style="2" customWidth="1"/>
    <col min="12288" max="12288" width="10.7109375" style="2" customWidth="1"/>
    <col min="12289" max="12289" width="40.42578125" style="2" customWidth="1"/>
    <col min="12290" max="12290" width="30.5703125" style="2" customWidth="1"/>
    <col min="12291" max="12291" width="16.42578125" style="2" customWidth="1"/>
    <col min="12292" max="12292" width="13" style="2" bestFit="1" customWidth="1"/>
    <col min="12293" max="12540" width="9.140625" style="2"/>
    <col min="12541" max="12541" width="16.28515625" style="2" customWidth="1"/>
    <col min="12542" max="12542" width="9.5703125" style="2" customWidth="1"/>
    <col min="12543" max="12543" width="25.85546875" style="2" customWidth="1"/>
    <col min="12544" max="12544" width="10.7109375" style="2" customWidth="1"/>
    <col min="12545" max="12545" width="40.42578125" style="2" customWidth="1"/>
    <col min="12546" max="12546" width="30.5703125" style="2" customWidth="1"/>
    <col min="12547" max="12547" width="16.42578125" style="2" customWidth="1"/>
    <col min="12548" max="12548" width="13" style="2" bestFit="1" customWidth="1"/>
    <col min="12549" max="12796" width="9.140625" style="2"/>
    <col min="12797" max="12797" width="16.28515625" style="2" customWidth="1"/>
    <col min="12798" max="12798" width="9.5703125" style="2" customWidth="1"/>
    <col min="12799" max="12799" width="25.85546875" style="2" customWidth="1"/>
    <col min="12800" max="12800" width="10.7109375" style="2" customWidth="1"/>
    <col min="12801" max="12801" width="40.42578125" style="2" customWidth="1"/>
    <col min="12802" max="12802" width="30.5703125" style="2" customWidth="1"/>
    <col min="12803" max="12803" width="16.42578125" style="2" customWidth="1"/>
    <col min="12804" max="12804" width="13" style="2" bestFit="1" customWidth="1"/>
    <col min="12805" max="13052" width="9.140625" style="2"/>
    <col min="13053" max="13053" width="16.28515625" style="2" customWidth="1"/>
    <col min="13054" max="13054" width="9.5703125" style="2" customWidth="1"/>
    <col min="13055" max="13055" width="25.85546875" style="2" customWidth="1"/>
    <col min="13056" max="13056" width="10.7109375" style="2" customWidth="1"/>
    <col min="13057" max="13057" width="40.42578125" style="2" customWidth="1"/>
    <col min="13058" max="13058" width="30.5703125" style="2" customWidth="1"/>
    <col min="13059" max="13059" width="16.42578125" style="2" customWidth="1"/>
    <col min="13060" max="13060" width="13" style="2" bestFit="1" customWidth="1"/>
    <col min="13061" max="13308" width="9.140625" style="2"/>
    <col min="13309" max="13309" width="16.28515625" style="2" customWidth="1"/>
    <col min="13310" max="13310" width="9.5703125" style="2" customWidth="1"/>
    <col min="13311" max="13311" width="25.85546875" style="2" customWidth="1"/>
    <col min="13312" max="13312" width="10.7109375" style="2" customWidth="1"/>
    <col min="13313" max="13313" width="40.42578125" style="2" customWidth="1"/>
    <col min="13314" max="13314" width="30.5703125" style="2" customWidth="1"/>
    <col min="13315" max="13315" width="16.42578125" style="2" customWidth="1"/>
    <col min="13316" max="13316" width="13" style="2" bestFit="1" customWidth="1"/>
    <col min="13317" max="13564" width="9.140625" style="2"/>
    <col min="13565" max="13565" width="16.28515625" style="2" customWidth="1"/>
    <col min="13566" max="13566" width="9.5703125" style="2" customWidth="1"/>
    <col min="13567" max="13567" width="25.85546875" style="2" customWidth="1"/>
    <col min="13568" max="13568" width="10.7109375" style="2" customWidth="1"/>
    <col min="13569" max="13569" width="40.42578125" style="2" customWidth="1"/>
    <col min="13570" max="13570" width="30.5703125" style="2" customWidth="1"/>
    <col min="13571" max="13571" width="16.42578125" style="2" customWidth="1"/>
    <col min="13572" max="13572" width="13" style="2" bestFit="1" customWidth="1"/>
    <col min="13573" max="13820" width="9.140625" style="2"/>
    <col min="13821" max="13821" width="16.28515625" style="2" customWidth="1"/>
    <col min="13822" max="13822" width="9.5703125" style="2" customWidth="1"/>
    <col min="13823" max="13823" width="25.85546875" style="2" customWidth="1"/>
    <col min="13824" max="13824" width="10.7109375" style="2" customWidth="1"/>
    <col min="13825" max="13825" width="40.42578125" style="2" customWidth="1"/>
    <col min="13826" max="13826" width="30.5703125" style="2" customWidth="1"/>
    <col min="13827" max="13827" width="16.42578125" style="2" customWidth="1"/>
    <col min="13828" max="13828" width="13" style="2" bestFit="1" customWidth="1"/>
    <col min="13829" max="14076" width="9.140625" style="2"/>
    <col min="14077" max="14077" width="16.28515625" style="2" customWidth="1"/>
    <col min="14078" max="14078" width="9.5703125" style="2" customWidth="1"/>
    <col min="14079" max="14079" width="25.85546875" style="2" customWidth="1"/>
    <col min="14080" max="14080" width="10.7109375" style="2" customWidth="1"/>
    <col min="14081" max="14081" width="40.42578125" style="2" customWidth="1"/>
    <col min="14082" max="14082" width="30.5703125" style="2" customWidth="1"/>
    <col min="14083" max="14083" width="16.42578125" style="2" customWidth="1"/>
    <col min="14084" max="14084" width="13" style="2" bestFit="1" customWidth="1"/>
    <col min="14085" max="14332" width="9.140625" style="2"/>
    <col min="14333" max="14333" width="16.28515625" style="2" customWidth="1"/>
    <col min="14334" max="14334" width="9.5703125" style="2" customWidth="1"/>
    <col min="14335" max="14335" width="25.85546875" style="2" customWidth="1"/>
    <col min="14336" max="14336" width="10.7109375" style="2" customWidth="1"/>
    <col min="14337" max="14337" width="40.42578125" style="2" customWidth="1"/>
    <col min="14338" max="14338" width="30.5703125" style="2" customWidth="1"/>
    <col min="14339" max="14339" width="16.42578125" style="2" customWidth="1"/>
    <col min="14340" max="14340" width="13" style="2" bestFit="1" customWidth="1"/>
    <col min="14341" max="14588" width="9.140625" style="2"/>
    <col min="14589" max="14589" width="16.28515625" style="2" customWidth="1"/>
    <col min="14590" max="14590" width="9.5703125" style="2" customWidth="1"/>
    <col min="14591" max="14591" width="25.85546875" style="2" customWidth="1"/>
    <col min="14592" max="14592" width="10.7109375" style="2" customWidth="1"/>
    <col min="14593" max="14593" width="40.42578125" style="2" customWidth="1"/>
    <col min="14594" max="14594" width="30.5703125" style="2" customWidth="1"/>
    <col min="14595" max="14595" width="16.42578125" style="2" customWidth="1"/>
    <col min="14596" max="14596" width="13" style="2" bestFit="1" customWidth="1"/>
    <col min="14597" max="14844" width="9.140625" style="2"/>
    <col min="14845" max="14845" width="16.28515625" style="2" customWidth="1"/>
    <col min="14846" max="14846" width="9.5703125" style="2" customWidth="1"/>
    <col min="14847" max="14847" width="25.85546875" style="2" customWidth="1"/>
    <col min="14848" max="14848" width="10.7109375" style="2" customWidth="1"/>
    <col min="14849" max="14849" width="40.42578125" style="2" customWidth="1"/>
    <col min="14850" max="14850" width="30.5703125" style="2" customWidth="1"/>
    <col min="14851" max="14851" width="16.42578125" style="2" customWidth="1"/>
    <col min="14852" max="14852" width="13" style="2" bestFit="1" customWidth="1"/>
    <col min="14853" max="15100" width="9.140625" style="2"/>
    <col min="15101" max="15101" width="16.28515625" style="2" customWidth="1"/>
    <col min="15102" max="15102" width="9.5703125" style="2" customWidth="1"/>
    <col min="15103" max="15103" width="25.85546875" style="2" customWidth="1"/>
    <col min="15104" max="15104" width="10.7109375" style="2" customWidth="1"/>
    <col min="15105" max="15105" width="40.42578125" style="2" customWidth="1"/>
    <col min="15106" max="15106" width="30.5703125" style="2" customWidth="1"/>
    <col min="15107" max="15107" width="16.42578125" style="2" customWidth="1"/>
    <col min="15108" max="15108" width="13" style="2" bestFit="1" customWidth="1"/>
    <col min="15109" max="15356" width="9.140625" style="2"/>
    <col min="15357" max="15357" width="16.28515625" style="2" customWidth="1"/>
    <col min="15358" max="15358" width="9.5703125" style="2" customWidth="1"/>
    <col min="15359" max="15359" width="25.85546875" style="2" customWidth="1"/>
    <col min="15360" max="15360" width="10.7109375" style="2" customWidth="1"/>
    <col min="15361" max="15361" width="40.42578125" style="2" customWidth="1"/>
    <col min="15362" max="15362" width="30.5703125" style="2" customWidth="1"/>
    <col min="15363" max="15363" width="16.42578125" style="2" customWidth="1"/>
    <col min="15364" max="15364" width="13" style="2" bestFit="1" customWidth="1"/>
    <col min="15365" max="15612" width="9.140625" style="2"/>
    <col min="15613" max="15613" width="16.28515625" style="2" customWidth="1"/>
    <col min="15614" max="15614" width="9.5703125" style="2" customWidth="1"/>
    <col min="15615" max="15615" width="25.85546875" style="2" customWidth="1"/>
    <col min="15616" max="15616" width="10.7109375" style="2" customWidth="1"/>
    <col min="15617" max="15617" width="40.42578125" style="2" customWidth="1"/>
    <col min="15618" max="15618" width="30.5703125" style="2" customWidth="1"/>
    <col min="15619" max="15619" width="16.42578125" style="2" customWidth="1"/>
    <col min="15620" max="15620" width="13" style="2" bestFit="1" customWidth="1"/>
    <col min="15621" max="15868" width="9.140625" style="2"/>
    <col min="15869" max="15869" width="16.28515625" style="2" customWidth="1"/>
    <col min="15870" max="15870" width="9.5703125" style="2" customWidth="1"/>
    <col min="15871" max="15871" width="25.85546875" style="2" customWidth="1"/>
    <col min="15872" max="15872" width="10.7109375" style="2" customWidth="1"/>
    <col min="15873" max="15873" width="40.42578125" style="2" customWidth="1"/>
    <col min="15874" max="15874" width="30.5703125" style="2" customWidth="1"/>
    <col min="15875" max="15875" width="16.42578125" style="2" customWidth="1"/>
    <col min="15876" max="15876" width="13" style="2" bestFit="1" customWidth="1"/>
    <col min="15877" max="16124" width="9.140625" style="2"/>
    <col min="16125" max="16125" width="16.28515625" style="2" customWidth="1"/>
    <col min="16126" max="16126" width="9.5703125" style="2" customWidth="1"/>
    <col min="16127" max="16127" width="25.85546875" style="2" customWidth="1"/>
    <col min="16128" max="16128" width="10.7109375" style="2" customWidth="1"/>
    <col min="16129" max="16129" width="40.42578125" style="2" customWidth="1"/>
    <col min="16130" max="16130" width="30.5703125" style="2" customWidth="1"/>
    <col min="16131" max="16131" width="16.42578125" style="2" customWidth="1"/>
    <col min="16132" max="16132" width="13" style="2" bestFit="1" customWidth="1"/>
    <col min="16133" max="16384" width="9.140625" style="2"/>
  </cols>
  <sheetData>
    <row r="3" spans="1:12">
      <c r="G3" s="101"/>
      <c r="H3" s="101"/>
      <c r="I3" s="101"/>
      <c r="J3" s="101"/>
    </row>
    <row r="5" spans="1:12" ht="18.75">
      <c r="A5" s="1483" t="s">
        <v>51</v>
      </c>
      <c r="B5" s="1483"/>
      <c r="C5" s="1483"/>
      <c r="D5" s="1483"/>
      <c r="E5" s="1483"/>
      <c r="F5" s="1483"/>
      <c r="G5" s="1483"/>
      <c r="H5" s="1483"/>
      <c r="I5" s="1483"/>
      <c r="J5" s="1483"/>
      <c r="K5" s="1483"/>
      <c r="L5" s="1487"/>
    </row>
    <row r="6" spans="1:12" ht="18.75">
      <c r="A6" s="1483" t="s">
        <v>29</v>
      </c>
      <c r="B6" s="1483"/>
      <c r="C6" s="1483"/>
      <c r="D6" s="1483"/>
      <c r="E6" s="1483"/>
      <c r="F6" s="1483"/>
      <c r="G6" s="1483"/>
      <c r="H6" s="1483"/>
      <c r="I6" s="1483"/>
      <c r="J6" s="1483"/>
      <c r="K6" s="1483"/>
      <c r="L6" s="1487"/>
    </row>
    <row r="7" spans="1:12">
      <c r="G7" s="87"/>
      <c r="H7" s="87"/>
      <c r="I7" s="87"/>
      <c r="J7" s="87"/>
    </row>
    <row r="8" spans="1:12">
      <c r="C8" s="4"/>
      <c r="D8" s="4"/>
      <c r="L8" s="125" t="s">
        <v>0</v>
      </c>
    </row>
    <row r="9" spans="1:12" s="31" customFormat="1" ht="73.5" customHeight="1">
      <c r="A9" s="12" t="s">
        <v>1</v>
      </c>
      <c r="B9" s="12" t="s">
        <v>2</v>
      </c>
      <c r="C9" s="12" t="s">
        <v>68</v>
      </c>
      <c r="D9" s="12" t="s">
        <v>4</v>
      </c>
      <c r="E9" s="12" t="s">
        <v>5</v>
      </c>
      <c r="F9" s="12" t="s">
        <v>6</v>
      </c>
      <c r="G9" s="89" t="s">
        <v>52</v>
      </c>
      <c r="H9" s="89" t="s">
        <v>73</v>
      </c>
      <c r="I9" s="89" t="s">
        <v>74</v>
      </c>
      <c r="J9" s="89" t="s">
        <v>75</v>
      </c>
      <c r="K9" s="89" t="s">
        <v>33</v>
      </c>
      <c r="L9" s="126" t="s">
        <v>50</v>
      </c>
    </row>
    <row r="10" spans="1:12" s="31" customFormat="1" ht="44.25" customHeight="1">
      <c r="A10" s="1484" t="s">
        <v>26</v>
      </c>
      <c r="B10" s="1485"/>
      <c r="C10" s="1485"/>
      <c r="D10" s="1485"/>
      <c r="E10" s="1485"/>
      <c r="F10" s="1485"/>
      <c r="G10" s="1485"/>
      <c r="H10" s="1485"/>
      <c r="I10" s="1485"/>
      <c r="J10" s="1485"/>
      <c r="K10" s="1485"/>
      <c r="L10" s="1485"/>
    </row>
    <row r="11" spans="1:12" s="31" customFormat="1" ht="30.75" customHeight="1">
      <c r="A11" s="55" t="s">
        <v>7</v>
      </c>
      <c r="B11" s="55">
        <v>4</v>
      </c>
      <c r="C11" s="55" t="s">
        <v>69</v>
      </c>
      <c r="D11" s="55">
        <v>111</v>
      </c>
      <c r="E11" s="11">
        <v>211</v>
      </c>
      <c r="F11" s="8" t="s">
        <v>8</v>
      </c>
      <c r="G11" s="100">
        <v>32780340.52</v>
      </c>
      <c r="H11" s="100"/>
      <c r="I11" s="100"/>
      <c r="J11" s="100">
        <f>G11+I11</f>
        <v>32780340.52</v>
      </c>
      <c r="K11" s="99">
        <v>27186806.899999999</v>
      </c>
      <c r="L11" s="99">
        <v>27124887.949999999</v>
      </c>
    </row>
    <row r="12" spans="1:12" s="31" customFormat="1" ht="47.25">
      <c r="A12" s="55" t="s">
        <v>7</v>
      </c>
      <c r="B12" s="55">
        <v>4</v>
      </c>
      <c r="C12" s="55" t="s">
        <v>71</v>
      </c>
      <c r="D12" s="55">
        <v>111</v>
      </c>
      <c r="E12" s="11">
        <v>266</v>
      </c>
      <c r="F12" s="8" t="s">
        <v>43</v>
      </c>
      <c r="G12" s="100">
        <v>69800</v>
      </c>
      <c r="H12" s="100"/>
      <c r="I12" s="100">
        <v>35000</v>
      </c>
      <c r="J12" s="100">
        <f t="shared" ref="J12:J53" si="0">G12+I12</f>
        <v>104800</v>
      </c>
      <c r="K12" s="99">
        <v>19800</v>
      </c>
      <c r="L12" s="99">
        <v>19800</v>
      </c>
    </row>
    <row r="13" spans="1:12" s="31" customFormat="1" ht="94.5">
      <c r="A13" s="55" t="s">
        <v>7</v>
      </c>
      <c r="B13" s="55">
        <v>4</v>
      </c>
      <c r="C13" s="55" t="s">
        <v>71</v>
      </c>
      <c r="D13" s="55">
        <v>111</v>
      </c>
      <c r="E13" s="11">
        <v>211</v>
      </c>
      <c r="F13" s="8" t="s">
        <v>49</v>
      </c>
      <c r="G13" s="100">
        <v>128000</v>
      </c>
      <c r="H13" s="100"/>
      <c r="I13" s="100"/>
      <c r="J13" s="100">
        <f t="shared" si="0"/>
        <v>128000</v>
      </c>
      <c r="K13" s="99">
        <v>88000</v>
      </c>
      <c r="L13" s="99">
        <v>94000</v>
      </c>
    </row>
    <row r="14" spans="1:12" s="31" customFormat="1" ht="22.5" customHeight="1">
      <c r="A14" s="55" t="s">
        <v>7</v>
      </c>
      <c r="B14" s="55">
        <v>4</v>
      </c>
      <c r="C14" s="55" t="s">
        <v>71</v>
      </c>
      <c r="D14" s="55">
        <v>112</v>
      </c>
      <c r="E14" s="11">
        <v>214</v>
      </c>
      <c r="F14" s="8" t="s">
        <v>35</v>
      </c>
      <c r="G14" s="100">
        <v>960000</v>
      </c>
      <c r="H14" s="100"/>
      <c r="I14" s="100"/>
      <c r="J14" s="100">
        <f t="shared" si="0"/>
        <v>960000</v>
      </c>
      <c r="K14" s="99">
        <v>880000</v>
      </c>
      <c r="L14" s="99">
        <v>960000</v>
      </c>
    </row>
    <row r="15" spans="1:12" s="31" customFormat="1" ht="55.5" customHeight="1">
      <c r="A15" s="55" t="s">
        <v>7</v>
      </c>
      <c r="B15" s="55">
        <v>4</v>
      </c>
      <c r="C15" s="55" t="s">
        <v>71</v>
      </c>
      <c r="D15" s="55">
        <v>112</v>
      </c>
      <c r="E15" s="11">
        <v>266</v>
      </c>
      <c r="F15" s="8" t="s">
        <v>66</v>
      </c>
      <c r="G15" s="100">
        <v>53240</v>
      </c>
      <c r="H15" s="100"/>
      <c r="I15" s="100">
        <v>-35000</v>
      </c>
      <c r="J15" s="100">
        <f t="shared" si="0"/>
        <v>18240</v>
      </c>
      <c r="K15" s="99">
        <f>1800+101917.75</f>
        <v>103717.75</v>
      </c>
      <c r="L15" s="99">
        <f>525+101747.75</f>
        <v>102272.75</v>
      </c>
    </row>
    <row r="16" spans="1:12" s="31" customFormat="1" ht="55.5" customHeight="1">
      <c r="A16" s="55" t="s">
        <v>7</v>
      </c>
      <c r="B16" s="55">
        <v>4</v>
      </c>
      <c r="C16" s="55" t="s">
        <v>71</v>
      </c>
      <c r="D16" s="55">
        <v>112</v>
      </c>
      <c r="E16" s="11">
        <v>226</v>
      </c>
      <c r="F16" s="8" t="s">
        <v>102</v>
      </c>
      <c r="G16" s="100">
        <v>10000</v>
      </c>
      <c r="H16" s="100"/>
      <c r="I16" s="100"/>
      <c r="J16" s="100">
        <f t="shared" si="0"/>
        <v>10000</v>
      </c>
      <c r="K16" s="99">
        <v>0</v>
      </c>
      <c r="L16" s="99">
        <v>0</v>
      </c>
    </row>
    <row r="17" spans="1:18" s="31" customFormat="1" ht="23.25" customHeight="1">
      <c r="A17" s="55" t="s">
        <v>7</v>
      </c>
      <c r="B17" s="55">
        <v>4</v>
      </c>
      <c r="C17" s="55" t="s">
        <v>69</v>
      </c>
      <c r="D17" s="55">
        <v>119</v>
      </c>
      <c r="E17" s="11">
        <v>213</v>
      </c>
      <c r="F17" s="8" t="s">
        <v>10</v>
      </c>
      <c r="G17" s="100">
        <v>9756045.25</v>
      </c>
      <c r="H17" s="100"/>
      <c r="I17" s="100"/>
      <c r="J17" s="100">
        <f>G17+I17</f>
        <v>9756045.25</v>
      </c>
      <c r="K17" s="100">
        <v>8142293.2800000003</v>
      </c>
      <c r="L17" s="100">
        <v>8098921.9800000004</v>
      </c>
    </row>
    <row r="18" spans="1:18" s="185" customFormat="1" ht="18" customHeight="1">
      <c r="A18" s="182" t="s">
        <v>135</v>
      </c>
      <c r="B18" s="182">
        <v>4</v>
      </c>
      <c r="C18" s="182" t="s">
        <v>69</v>
      </c>
      <c r="D18" s="182">
        <v>119</v>
      </c>
      <c r="E18" s="183">
        <v>213</v>
      </c>
      <c r="F18" s="184" t="s">
        <v>10</v>
      </c>
      <c r="G18" s="121">
        <v>0</v>
      </c>
      <c r="H18" s="121"/>
      <c r="I18" s="121">
        <v>594533.98</v>
      </c>
      <c r="J18" s="121">
        <f>G18+I18</f>
        <v>594533.98</v>
      </c>
      <c r="K18" s="121">
        <v>0</v>
      </c>
      <c r="L18" s="121">
        <v>0</v>
      </c>
    </row>
    <row r="19" spans="1:18" s="31" customFormat="1" ht="31.5">
      <c r="A19" s="55" t="s">
        <v>7</v>
      </c>
      <c r="B19" s="55">
        <v>4</v>
      </c>
      <c r="C19" s="55" t="s">
        <v>71</v>
      </c>
      <c r="D19" s="55">
        <v>119</v>
      </c>
      <c r="E19" s="11">
        <v>213</v>
      </c>
      <c r="F19" s="8" t="s">
        <v>67</v>
      </c>
      <c r="G19" s="100">
        <v>17516</v>
      </c>
      <c r="H19" s="100"/>
      <c r="I19" s="100"/>
      <c r="J19" s="100">
        <f t="shared" si="0"/>
        <v>17516</v>
      </c>
      <c r="K19" s="100">
        <v>5436</v>
      </c>
      <c r="L19" s="100">
        <v>7248</v>
      </c>
    </row>
    <row r="20" spans="1:18" s="31" customFormat="1" ht="19.5" customHeight="1">
      <c r="A20" s="55" t="s">
        <v>7</v>
      </c>
      <c r="B20" s="55">
        <v>4</v>
      </c>
      <c r="C20" s="55" t="s">
        <v>71</v>
      </c>
      <c r="D20" s="55">
        <v>244</v>
      </c>
      <c r="E20" s="11">
        <v>221</v>
      </c>
      <c r="F20" s="8" t="s">
        <v>11</v>
      </c>
      <c r="G20" s="100">
        <v>289784.15999999997</v>
      </c>
      <c r="H20" s="100"/>
      <c r="I20" s="100"/>
      <c r="J20" s="100">
        <f t="shared" si="0"/>
        <v>289784.15999999997</v>
      </c>
      <c r="K20" s="99">
        <v>238784.16</v>
      </c>
      <c r="L20" s="99">
        <v>108464.16</v>
      </c>
    </row>
    <row r="21" spans="1:18" s="31" customFormat="1" ht="19.5" customHeight="1">
      <c r="A21" s="55" t="s">
        <v>7</v>
      </c>
      <c r="B21" s="55">
        <v>4</v>
      </c>
      <c r="C21" s="55" t="s">
        <v>71</v>
      </c>
      <c r="D21" s="55">
        <v>244</v>
      </c>
      <c r="E21" s="11">
        <v>222</v>
      </c>
      <c r="F21" s="8" t="s">
        <v>12</v>
      </c>
      <c r="G21" s="100">
        <v>247741.27</v>
      </c>
      <c r="H21" s="100"/>
      <c r="I21" s="100"/>
      <c r="J21" s="100">
        <f t="shared" si="0"/>
        <v>247741.27</v>
      </c>
      <c r="K21" s="99">
        <v>79311.92</v>
      </c>
      <c r="L21" s="99">
        <v>79311.92</v>
      </c>
    </row>
    <row r="22" spans="1:18" s="31" customFormat="1" ht="15.75">
      <c r="A22" s="55" t="s">
        <v>7</v>
      </c>
      <c r="B22" s="55">
        <v>4</v>
      </c>
      <c r="C22" s="55" t="s">
        <v>71</v>
      </c>
      <c r="D22" s="55">
        <v>244</v>
      </c>
      <c r="E22" s="11">
        <v>223</v>
      </c>
      <c r="F22" s="8" t="s">
        <v>13</v>
      </c>
      <c r="G22" s="100">
        <v>1487566.76</v>
      </c>
      <c r="H22" s="100"/>
      <c r="I22" s="100">
        <f>-32544.27+(-30000)+(-100000)</f>
        <v>-162544.26999999999</v>
      </c>
      <c r="J22" s="100">
        <f t="shared" si="0"/>
        <v>1325022.49</v>
      </c>
      <c r="K22" s="99">
        <v>2023390.58</v>
      </c>
      <c r="L22" s="99">
        <v>2057755.88</v>
      </c>
      <c r="Q22" s="31" t="s">
        <v>64</v>
      </c>
    </row>
    <row r="23" spans="1:18" s="31" customFormat="1" ht="15.75">
      <c r="A23" s="55" t="s">
        <v>7</v>
      </c>
      <c r="B23" s="55">
        <v>4</v>
      </c>
      <c r="C23" s="55" t="s">
        <v>71</v>
      </c>
      <c r="D23" s="55">
        <v>244</v>
      </c>
      <c r="E23" s="11">
        <v>225</v>
      </c>
      <c r="F23" s="8" t="s">
        <v>14</v>
      </c>
      <c r="G23" s="100">
        <v>1257963.77</v>
      </c>
      <c r="H23" s="100"/>
      <c r="I23" s="100">
        <v>30000</v>
      </c>
      <c r="J23" s="100">
        <f t="shared" si="0"/>
        <v>1287963.77</v>
      </c>
      <c r="K23" s="99">
        <v>1845207.18</v>
      </c>
      <c r="L23" s="99">
        <v>1952688.71</v>
      </c>
      <c r="P23" s="31">
        <v>2020</v>
      </c>
      <c r="Q23" s="13">
        <v>6847892.9900000002</v>
      </c>
      <c r="R23" s="7">
        <v>8138171.5300000003</v>
      </c>
    </row>
    <row r="24" spans="1:18" s="31" customFormat="1" ht="15.75">
      <c r="A24" s="55" t="s">
        <v>7</v>
      </c>
      <c r="B24" s="55">
        <v>4</v>
      </c>
      <c r="C24" s="55" t="s">
        <v>71</v>
      </c>
      <c r="D24" s="55">
        <v>244</v>
      </c>
      <c r="E24" s="11">
        <v>224</v>
      </c>
      <c r="F24" s="8" t="s">
        <v>15</v>
      </c>
      <c r="G24" s="100">
        <v>8815770</v>
      </c>
      <c r="H24" s="100"/>
      <c r="I24" s="100">
        <v>32544.27</v>
      </c>
      <c r="J24" s="100">
        <f t="shared" si="0"/>
        <v>8848314.2699999996</v>
      </c>
      <c r="K24" s="99">
        <v>0</v>
      </c>
      <c r="L24" s="99">
        <v>0</v>
      </c>
      <c r="Q24" s="13"/>
      <c r="R24" s="7"/>
    </row>
    <row r="25" spans="1:18" s="31" customFormat="1" ht="15.75">
      <c r="A25" s="55" t="s">
        <v>7</v>
      </c>
      <c r="B25" s="55">
        <v>4</v>
      </c>
      <c r="C25" s="55" t="s">
        <v>71</v>
      </c>
      <c r="D25" s="55">
        <v>244</v>
      </c>
      <c r="E25" s="11">
        <v>226</v>
      </c>
      <c r="F25" s="8" t="s">
        <v>15</v>
      </c>
      <c r="G25" s="100">
        <v>1213548.25</v>
      </c>
      <c r="H25" s="100"/>
      <c r="I25" s="100">
        <v>100000</v>
      </c>
      <c r="J25" s="100">
        <f t="shared" si="0"/>
        <v>1313548.25</v>
      </c>
      <c r="K25" s="100">
        <f>1128025.2+171322.74</f>
        <v>1299347.94</v>
      </c>
      <c r="L25" s="100">
        <v>1314452.71</v>
      </c>
      <c r="M25" s="102"/>
      <c r="P25" s="31">
        <v>2021</v>
      </c>
      <c r="Q25" s="13">
        <v>6759321.96</v>
      </c>
      <c r="R25" s="7">
        <v>7211607.3600000003</v>
      </c>
    </row>
    <row r="26" spans="1:18" s="30" customFormat="1" ht="15.75">
      <c r="A26" s="27" t="s">
        <v>7</v>
      </c>
      <c r="B26" s="27">
        <v>4</v>
      </c>
      <c r="C26" s="27" t="s">
        <v>70</v>
      </c>
      <c r="D26" s="27">
        <v>244</v>
      </c>
      <c r="E26" s="28">
        <v>226</v>
      </c>
      <c r="F26" s="29" t="s">
        <v>15</v>
      </c>
      <c r="G26" s="107">
        <v>2070591.33</v>
      </c>
      <c r="H26" s="107"/>
      <c r="I26" s="107"/>
      <c r="J26" s="107">
        <f t="shared" si="0"/>
        <v>2070591.33</v>
      </c>
      <c r="K26" s="107">
        <v>2192317.98</v>
      </c>
      <c r="L26" s="107">
        <v>2329591.33</v>
      </c>
      <c r="M26" s="108"/>
      <c r="P26" s="30">
        <v>2022</v>
      </c>
      <c r="Q26" s="94">
        <v>6759321.96</v>
      </c>
      <c r="R26" s="109">
        <v>7211607.3600000003</v>
      </c>
    </row>
    <row r="27" spans="1:18" s="31" customFormat="1" ht="15.75">
      <c r="A27" s="20" t="s">
        <v>30</v>
      </c>
      <c r="B27" s="20">
        <v>4</v>
      </c>
      <c r="C27" s="20" t="s">
        <v>47</v>
      </c>
      <c r="D27" s="20">
        <v>244</v>
      </c>
      <c r="E27" s="21">
        <v>226</v>
      </c>
      <c r="F27" s="22" t="s">
        <v>15</v>
      </c>
      <c r="G27" s="23">
        <v>169385.08</v>
      </c>
      <c r="H27" s="23"/>
      <c r="I27" s="23">
        <v>-4.67</v>
      </c>
      <c r="J27" s="23">
        <f t="shared" si="0"/>
        <v>169380.41</v>
      </c>
      <c r="K27" s="23">
        <v>0</v>
      </c>
      <c r="L27" s="23">
        <v>0</v>
      </c>
      <c r="M27" s="102"/>
      <c r="Q27" s="13"/>
      <c r="R27" s="7"/>
    </row>
    <row r="28" spans="1:18" s="31" customFormat="1" ht="15.75">
      <c r="A28" s="20" t="s">
        <v>31</v>
      </c>
      <c r="B28" s="20">
        <v>4</v>
      </c>
      <c r="C28" s="20" t="s">
        <v>47</v>
      </c>
      <c r="D28" s="20">
        <v>244</v>
      </c>
      <c r="E28" s="21">
        <v>226</v>
      </c>
      <c r="F28" s="22" t="s">
        <v>15</v>
      </c>
      <c r="G28" s="23">
        <v>395212.59</v>
      </c>
      <c r="H28" s="23"/>
      <c r="I28" s="23">
        <v>4.67</v>
      </c>
      <c r="J28" s="23">
        <f t="shared" si="0"/>
        <v>395217.26</v>
      </c>
      <c r="K28" s="23">
        <v>0</v>
      </c>
      <c r="L28" s="23">
        <v>0</v>
      </c>
      <c r="Q28" s="13"/>
      <c r="R28" s="7"/>
    </row>
    <row r="29" spans="1:18" s="31" customFormat="1" ht="15.75">
      <c r="A29" s="20" t="s">
        <v>7</v>
      </c>
      <c r="B29" s="20">
        <v>4</v>
      </c>
      <c r="C29" s="20" t="s">
        <v>47</v>
      </c>
      <c r="D29" s="20">
        <v>244</v>
      </c>
      <c r="E29" s="21">
        <v>226</v>
      </c>
      <c r="F29" s="22" t="s">
        <v>15</v>
      </c>
      <c r="G29" s="23">
        <v>29715.66</v>
      </c>
      <c r="H29" s="23"/>
      <c r="I29" s="23"/>
      <c r="J29" s="23">
        <f t="shared" si="0"/>
        <v>29715.66</v>
      </c>
      <c r="K29" s="23">
        <v>0</v>
      </c>
      <c r="L29" s="23">
        <v>0</v>
      </c>
      <c r="Q29" s="13"/>
      <c r="R29" s="7"/>
    </row>
    <row r="30" spans="1:18" s="31" customFormat="1" ht="18" customHeight="1">
      <c r="A30" s="55" t="s">
        <v>7</v>
      </c>
      <c r="B30" s="55">
        <v>4</v>
      </c>
      <c r="C30" s="55" t="s">
        <v>71</v>
      </c>
      <c r="D30" s="55">
        <v>851</v>
      </c>
      <c r="E30" s="11">
        <v>291</v>
      </c>
      <c r="F30" s="8" t="s">
        <v>28</v>
      </c>
      <c r="G30" s="100">
        <v>1223455</v>
      </c>
      <c r="H30" s="100"/>
      <c r="I30" s="100"/>
      <c r="J30" s="100">
        <f t="shared" si="0"/>
        <v>1223455</v>
      </c>
      <c r="K30" s="99">
        <v>2031292</v>
      </c>
      <c r="L30" s="99">
        <f>1925704+99437-23543.03-26365.72</f>
        <v>1975232.25</v>
      </c>
    </row>
    <row r="31" spans="1:18" s="31" customFormat="1" ht="16.5" customHeight="1">
      <c r="A31" s="55" t="s">
        <v>7</v>
      </c>
      <c r="B31" s="55">
        <v>4</v>
      </c>
      <c r="C31" s="55" t="s">
        <v>71</v>
      </c>
      <c r="D31" s="55">
        <v>853</v>
      </c>
      <c r="E31" s="11">
        <v>291</v>
      </c>
      <c r="F31" s="8" t="s">
        <v>28</v>
      </c>
      <c r="G31" s="100">
        <v>19701</v>
      </c>
      <c r="H31" s="100"/>
      <c r="I31" s="100"/>
      <c r="J31" s="100">
        <f t="shared" si="0"/>
        <v>19701</v>
      </c>
      <c r="K31" s="100">
        <v>19701</v>
      </c>
      <c r="L31" s="100">
        <v>19701</v>
      </c>
    </row>
    <row r="32" spans="1:18" s="31" customFormat="1" ht="19.5" customHeight="1">
      <c r="A32" s="55" t="s">
        <v>7</v>
      </c>
      <c r="B32" s="55">
        <v>4</v>
      </c>
      <c r="C32" s="55" t="s">
        <v>71</v>
      </c>
      <c r="D32" s="55">
        <v>853</v>
      </c>
      <c r="E32" s="11">
        <v>297</v>
      </c>
      <c r="F32" s="8" t="s">
        <v>38</v>
      </c>
      <c r="G32" s="100">
        <v>57383.81</v>
      </c>
      <c r="H32" s="100"/>
      <c r="I32" s="100"/>
      <c r="J32" s="100">
        <f t="shared" si="0"/>
        <v>57383.81</v>
      </c>
      <c r="K32" s="100">
        <v>57383.81</v>
      </c>
      <c r="L32" s="100">
        <v>57383.81</v>
      </c>
    </row>
    <row r="33" spans="1:16" s="26" customFormat="1" ht="15.75">
      <c r="A33" s="20" t="s">
        <v>30</v>
      </c>
      <c r="B33" s="20">
        <v>4</v>
      </c>
      <c r="C33" s="20" t="s">
        <v>47</v>
      </c>
      <c r="D33" s="20">
        <v>244</v>
      </c>
      <c r="E33" s="21">
        <v>310</v>
      </c>
      <c r="F33" s="22" t="s">
        <v>20</v>
      </c>
      <c r="G33" s="23">
        <v>674139.96</v>
      </c>
      <c r="H33" s="23"/>
      <c r="I33" s="23">
        <v>-15.33</v>
      </c>
      <c r="J33" s="23">
        <f t="shared" si="0"/>
        <v>674124.63</v>
      </c>
      <c r="K33" s="23">
        <v>0</v>
      </c>
      <c r="L33" s="23">
        <v>0</v>
      </c>
    </row>
    <row r="34" spans="1:16" s="26" customFormat="1" ht="15.75">
      <c r="A34" s="20" t="s">
        <v>31</v>
      </c>
      <c r="B34" s="20">
        <v>4</v>
      </c>
      <c r="C34" s="20" t="s">
        <v>47</v>
      </c>
      <c r="D34" s="20">
        <v>244</v>
      </c>
      <c r="E34" s="21">
        <v>310</v>
      </c>
      <c r="F34" s="22" t="s">
        <v>20</v>
      </c>
      <c r="G34" s="23">
        <v>1572916.6</v>
      </c>
      <c r="H34" s="23"/>
      <c r="I34" s="23">
        <v>15.33</v>
      </c>
      <c r="J34" s="23">
        <f t="shared" si="0"/>
        <v>1572931.93</v>
      </c>
      <c r="K34" s="23">
        <v>0</v>
      </c>
      <c r="L34" s="23">
        <v>0</v>
      </c>
    </row>
    <row r="35" spans="1:16" s="26" customFormat="1" ht="15.75">
      <c r="A35" s="20" t="s">
        <v>7</v>
      </c>
      <c r="B35" s="20">
        <v>4</v>
      </c>
      <c r="C35" s="20" t="s">
        <v>47</v>
      </c>
      <c r="D35" s="20">
        <v>244</v>
      </c>
      <c r="E35" s="21">
        <v>310</v>
      </c>
      <c r="F35" s="22" t="s">
        <v>20</v>
      </c>
      <c r="G35" s="23">
        <v>118266.14</v>
      </c>
      <c r="H35" s="23"/>
      <c r="I35" s="23"/>
      <c r="J35" s="23">
        <f t="shared" si="0"/>
        <v>118266.14</v>
      </c>
      <c r="K35" s="23">
        <v>0</v>
      </c>
      <c r="L35" s="23">
        <v>0</v>
      </c>
    </row>
    <row r="36" spans="1:16" s="26" customFormat="1" ht="31.5">
      <c r="A36" s="20" t="s">
        <v>30</v>
      </c>
      <c r="B36" s="20">
        <v>4</v>
      </c>
      <c r="C36" s="20" t="s">
        <v>47</v>
      </c>
      <c r="D36" s="20">
        <v>244</v>
      </c>
      <c r="E36" s="21">
        <v>346</v>
      </c>
      <c r="F36" s="22" t="s">
        <v>112</v>
      </c>
      <c r="G36" s="23">
        <v>36074.959999999999</v>
      </c>
      <c r="H36" s="23"/>
      <c r="I36" s="23"/>
      <c r="J36" s="23">
        <f t="shared" si="0"/>
        <v>36074.959999999999</v>
      </c>
      <c r="K36" s="23">
        <v>0</v>
      </c>
      <c r="L36" s="23">
        <v>0</v>
      </c>
    </row>
    <row r="37" spans="1:16" s="26" customFormat="1" ht="31.5">
      <c r="A37" s="20" t="s">
        <v>31</v>
      </c>
      <c r="B37" s="20">
        <v>4</v>
      </c>
      <c r="C37" s="20" t="s">
        <v>47</v>
      </c>
      <c r="D37" s="20">
        <v>244</v>
      </c>
      <c r="E37" s="21">
        <v>346</v>
      </c>
      <c r="F37" s="22" t="s">
        <v>112</v>
      </c>
      <c r="G37" s="23">
        <v>84170.81</v>
      </c>
      <c r="H37" s="23"/>
      <c r="I37" s="23"/>
      <c r="J37" s="23">
        <f t="shared" si="0"/>
        <v>84170.81</v>
      </c>
      <c r="K37" s="23">
        <v>0</v>
      </c>
      <c r="L37" s="23">
        <v>0</v>
      </c>
    </row>
    <row r="38" spans="1:16" s="26" customFormat="1" ht="31.5">
      <c r="A38" s="20" t="s">
        <v>7</v>
      </c>
      <c r="B38" s="20">
        <v>4</v>
      </c>
      <c r="C38" s="20" t="s">
        <v>47</v>
      </c>
      <c r="D38" s="20">
        <v>244</v>
      </c>
      <c r="E38" s="21">
        <v>346</v>
      </c>
      <c r="F38" s="22" t="s">
        <v>112</v>
      </c>
      <c r="G38" s="23">
        <v>6328.73</v>
      </c>
      <c r="H38" s="23"/>
      <c r="I38" s="23"/>
      <c r="J38" s="23">
        <f t="shared" si="0"/>
        <v>6328.73</v>
      </c>
      <c r="K38" s="23">
        <v>0</v>
      </c>
      <c r="L38" s="23">
        <v>0</v>
      </c>
    </row>
    <row r="39" spans="1:16" s="30" customFormat="1" ht="15.75">
      <c r="A39" s="27" t="s">
        <v>7</v>
      </c>
      <c r="B39" s="27">
        <v>4</v>
      </c>
      <c r="C39" s="27" t="s">
        <v>70</v>
      </c>
      <c r="D39" s="27">
        <v>244</v>
      </c>
      <c r="E39" s="28">
        <v>345</v>
      </c>
      <c r="F39" s="29" t="s">
        <v>111</v>
      </c>
      <c r="G39" s="107">
        <v>19000</v>
      </c>
      <c r="H39" s="107"/>
      <c r="I39" s="107"/>
      <c r="J39" s="107">
        <f t="shared" si="0"/>
        <v>19000</v>
      </c>
      <c r="K39" s="98">
        <v>0</v>
      </c>
      <c r="L39" s="98">
        <v>0</v>
      </c>
    </row>
    <row r="40" spans="1:16" s="30" customFormat="1" ht="31.5">
      <c r="A40" s="27" t="s">
        <v>7</v>
      </c>
      <c r="B40" s="27">
        <v>4</v>
      </c>
      <c r="C40" s="27" t="s">
        <v>70</v>
      </c>
      <c r="D40" s="27">
        <v>244</v>
      </c>
      <c r="E40" s="28">
        <v>346</v>
      </c>
      <c r="F40" s="29" t="s">
        <v>112</v>
      </c>
      <c r="G40" s="107">
        <v>510864.25</v>
      </c>
      <c r="H40" s="107"/>
      <c r="I40" s="107"/>
      <c r="J40" s="107">
        <f t="shared" si="0"/>
        <v>510864.25</v>
      </c>
      <c r="K40" s="98">
        <v>267080.24</v>
      </c>
      <c r="L40" s="98">
        <v>306328</v>
      </c>
    </row>
    <row r="41" spans="1:16" s="31" customFormat="1" ht="47.25">
      <c r="A41" s="55" t="s">
        <v>7</v>
      </c>
      <c r="B41" s="55">
        <v>4</v>
      </c>
      <c r="C41" s="55" t="s">
        <v>71</v>
      </c>
      <c r="D41" s="16">
        <v>119</v>
      </c>
      <c r="E41" s="17">
        <v>266</v>
      </c>
      <c r="F41" s="9" t="s">
        <v>65</v>
      </c>
      <c r="G41" s="100">
        <v>31238.880000000001</v>
      </c>
      <c r="H41" s="100"/>
      <c r="I41" s="100"/>
      <c r="J41" s="100">
        <f t="shared" si="0"/>
        <v>31238.880000000001</v>
      </c>
      <c r="K41" s="100">
        <v>28363.16</v>
      </c>
      <c r="L41" s="100">
        <v>28311.82</v>
      </c>
      <c r="M41" s="13">
        <v>3086210.53</v>
      </c>
      <c r="N41" s="13">
        <v>6673761.2000000002</v>
      </c>
      <c r="O41" s="7">
        <f>M41+N41</f>
        <v>9759971.7300000004</v>
      </c>
      <c r="P41" s="31" t="b">
        <f>I42=O41</f>
        <v>0</v>
      </c>
    </row>
    <row r="42" spans="1:16" s="31" customFormat="1" ht="15.75" customHeight="1">
      <c r="A42" s="1482" t="s">
        <v>17</v>
      </c>
      <c r="B42" s="1482"/>
      <c r="C42" s="1482"/>
      <c r="D42" s="1482"/>
      <c r="E42" s="1482"/>
      <c r="F42" s="1482"/>
      <c r="G42" s="13">
        <f t="shared" ref="G42:L42" si="1">SUM(G11:G41)</f>
        <v>64105760.780000001</v>
      </c>
      <c r="H42" s="13">
        <f t="shared" si="1"/>
        <v>0</v>
      </c>
      <c r="I42" s="13">
        <f t="shared" si="1"/>
        <v>594533.98</v>
      </c>
      <c r="J42" s="13">
        <f t="shared" si="1"/>
        <v>64700294.759999998</v>
      </c>
      <c r="K42" s="13">
        <f t="shared" si="1"/>
        <v>46508233.899999999</v>
      </c>
      <c r="L42" s="13">
        <f t="shared" si="1"/>
        <v>46636352.270000003</v>
      </c>
      <c r="M42" s="13"/>
      <c r="N42" s="13"/>
      <c r="O42" s="13"/>
    </row>
    <row r="43" spans="1:16" s="31" customFormat="1" ht="23.25" customHeight="1">
      <c r="A43" s="1486" t="s">
        <v>18</v>
      </c>
      <c r="B43" s="1486"/>
      <c r="C43" s="1486"/>
      <c r="D43" s="1486"/>
      <c r="E43" s="1486"/>
      <c r="F43" s="1486"/>
      <c r="G43" s="1486"/>
      <c r="H43" s="172"/>
      <c r="I43" s="172"/>
      <c r="J43" s="172"/>
      <c r="K43" s="172"/>
      <c r="L43" s="172"/>
      <c r="N43" s="13"/>
    </row>
    <row r="44" spans="1:16" s="179" customFormat="1" ht="28.5" customHeight="1">
      <c r="A44" s="174" t="s">
        <v>110</v>
      </c>
      <c r="B44" s="174">
        <v>5</v>
      </c>
      <c r="C44" s="175" t="s">
        <v>136</v>
      </c>
      <c r="D44" s="174">
        <v>244</v>
      </c>
      <c r="E44" s="176">
        <v>226</v>
      </c>
      <c r="F44" s="177" t="s">
        <v>108</v>
      </c>
      <c r="G44" s="178">
        <v>0</v>
      </c>
      <c r="H44" s="178"/>
      <c r="I44" s="178">
        <f>451467-2590</f>
        <v>448877</v>
      </c>
      <c r="J44" s="203">
        <f>G44+I44</f>
        <v>448877</v>
      </c>
      <c r="K44" s="178">
        <v>0</v>
      </c>
      <c r="L44" s="178">
        <v>0</v>
      </c>
      <c r="N44" s="180"/>
    </row>
    <row r="45" spans="1:16" s="179" customFormat="1" ht="28.5" customHeight="1">
      <c r="A45" s="174" t="s">
        <v>110</v>
      </c>
      <c r="B45" s="174">
        <v>5</v>
      </c>
      <c r="C45" s="175" t="s">
        <v>136</v>
      </c>
      <c r="D45" s="174">
        <v>244</v>
      </c>
      <c r="E45" s="176">
        <v>310</v>
      </c>
      <c r="F45" s="177" t="s">
        <v>20</v>
      </c>
      <c r="G45" s="178">
        <v>0</v>
      </c>
      <c r="H45" s="178"/>
      <c r="I45" s="178">
        <f>40500+164995</f>
        <v>205495</v>
      </c>
      <c r="J45" s="203">
        <f>G45+I45</f>
        <v>205495</v>
      </c>
      <c r="K45" s="178">
        <v>0</v>
      </c>
      <c r="L45" s="178">
        <v>0</v>
      </c>
      <c r="N45" s="180"/>
    </row>
    <row r="46" spans="1:16" s="179" customFormat="1" ht="28.5" customHeight="1">
      <c r="A46" s="174" t="s">
        <v>110</v>
      </c>
      <c r="B46" s="174">
        <v>5</v>
      </c>
      <c r="C46" s="175" t="s">
        <v>136</v>
      </c>
      <c r="D46" s="174">
        <v>244</v>
      </c>
      <c r="E46" s="176">
        <v>345</v>
      </c>
      <c r="F46" s="177" t="s">
        <v>111</v>
      </c>
      <c r="G46" s="178">
        <v>0</v>
      </c>
      <c r="H46" s="178"/>
      <c r="I46" s="178">
        <f>9500+2590</f>
        <v>12090</v>
      </c>
      <c r="J46" s="203">
        <f>G46+I46</f>
        <v>12090</v>
      </c>
      <c r="K46" s="178">
        <v>0</v>
      </c>
      <c r="L46" s="178">
        <v>0</v>
      </c>
      <c r="N46" s="180"/>
    </row>
    <row r="47" spans="1:16" s="179" customFormat="1" ht="35.25" customHeight="1">
      <c r="A47" s="174" t="s">
        <v>110</v>
      </c>
      <c r="B47" s="174">
        <v>5</v>
      </c>
      <c r="C47" s="175" t="s">
        <v>136</v>
      </c>
      <c r="D47" s="174">
        <v>244</v>
      </c>
      <c r="E47" s="176">
        <v>346</v>
      </c>
      <c r="F47" s="177" t="s">
        <v>112</v>
      </c>
      <c r="G47" s="178">
        <v>0</v>
      </c>
      <c r="H47" s="178"/>
      <c r="I47" s="178">
        <f>104273+100000</f>
        <v>204273</v>
      </c>
      <c r="J47" s="203">
        <f>G47+I47</f>
        <v>204273</v>
      </c>
      <c r="K47" s="178">
        <v>0</v>
      </c>
      <c r="L47" s="178">
        <v>0</v>
      </c>
      <c r="N47" s="180"/>
    </row>
    <row r="48" spans="1:16" s="26" customFormat="1" ht="28.5" customHeight="1">
      <c r="A48" s="190" t="s">
        <v>107</v>
      </c>
      <c r="B48" s="190">
        <v>5</v>
      </c>
      <c r="C48" s="20" t="s">
        <v>69</v>
      </c>
      <c r="D48" s="190">
        <v>244</v>
      </c>
      <c r="E48" s="191">
        <v>211</v>
      </c>
      <c r="F48" s="22" t="s">
        <v>8</v>
      </c>
      <c r="G48" s="23">
        <v>377922.32</v>
      </c>
      <c r="H48" s="23"/>
      <c r="I48" s="23">
        <v>57961</v>
      </c>
      <c r="J48" s="23">
        <f t="shared" si="0"/>
        <v>435883.32</v>
      </c>
      <c r="K48" s="23">
        <v>0</v>
      </c>
      <c r="L48" s="23">
        <v>0</v>
      </c>
      <c r="N48" s="192"/>
    </row>
    <row r="49" spans="1:14" s="26" customFormat="1" ht="28.5" customHeight="1">
      <c r="A49" s="190" t="s">
        <v>107</v>
      </c>
      <c r="B49" s="190">
        <v>5</v>
      </c>
      <c r="C49" s="20" t="s">
        <v>69</v>
      </c>
      <c r="D49" s="190">
        <v>244</v>
      </c>
      <c r="E49" s="191">
        <v>213</v>
      </c>
      <c r="F49" s="22" t="s">
        <v>10</v>
      </c>
      <c r="G49" s="23">
        <v>236317.89</v>
      </c>
      <c r="H49" s="23"/>
      <c r="I49" s="23"/>
      <c r="J49" s="23">
        <f t="shared" si="0"/>
        <v>236317.89</v>
      </c>
      <c r="K49" s="23">
        <v>0</v>
      </c>
      <c r="L49" s="23">
        <v>0</v>
      </c>
      <c r="N49" s="192"/>
    </row>
    <row r="50" spans="1:14" s="26" customFormat="1" ht="28.5" customHeight="1">
      <c r="A50" s="190" t="s">
        <v>107</v>
      </c>
      <c r="B50" s="190">
        <v>5</v>
      </c>
      <c r="C50" s="20" t="s">
        <v>71</v>
      </c>
      <c r="D50" s="190">
        <v>244</v>
      </c>
      <c r="E50" s="191">
        <v>226</v>
      </c>
      <c r="F50" s="22" t="s">
        <v>108</v>
      </c>
      <c r="G50" s="23">
        <v>195616</v>
      </c>
      <c r="H50" s="23"/>
      <c r="I50" s="23">
        <v>-57961</v>
      </c>
      <c r="J50" s="24">
        <f t="shared" si="0"/>
        <v>137655</v>
      </c>
      <c r="K50" s="23">
        <v>0</v>
      </c>
      <c r="L50" s="23">
        <v>0</v>
      </c>
      <c r="N50" s="192"/>
    </row>
    <row r="51" spans="1:14" s="26" customFormat="1" ht="28.5" customHeight="1">
      <c r="A51" s="190" t="s">
        <v>107</v>
      </c>
      <c r="B51" s="190">
        <v>5</v>
      </c>
      <c r="C51" s="20" t="s">
        <v>71</v>
      </c>
      <c r="D51" s="190">
        <v>244</v>
      </c>
      <c r="E51" s="191">
        <v>346</v>
      </c>
      <c r="F51" s="22" t="s">
        <v>16</v>
      </c>
      <c r="G51" s="23">
        <v>42396.89</v>
      </c>
      <c r="H51" s="23"/>
      <c r="I51" s="23"/>
      <c r="J51" s="24">
        <f t="shared" si="0"/>
        <v>42396.89</v>
      </c>
      <c r="K51" s="23">
        <v>0</v>
      </c>
      <c r="L51" s="23">
        <v>0</v>
      </c>
      <c r="N51" s="192"/>
    </row>
    <row r="52" spans="1:14" s="31" customFormat="1" ht="28.5" customHeight="1">
      <c r="A52" s="16" t="s">
        <v>44</v>
      </c>
      <c r="B52" s="16">
        <v>5</v>
      </c>
      <c r="C52" s="55" t="s">
        <v>72</v>
      </c>
      <c r="D52" s="16">
        <v>244</v>
      </c>
      <c r="E52" s="17">
        <v>226</v>
      </c>
      <c r="F52" s="8" t="s">
        <v>15</v>
      </c>
      <c r="G52" s="100">
        <v>51097.49</v>
      </c>
      <c r="H52" s="100"/>
      <c r="I52" s="100"/>
      <c r="J52" s="13">
        <f t="shared" si="0"/>
        <v>51097.49</v>
      </c>
      <c r="K52" s="100">
        <v>0</v>
      </c>
      <c r="L52" s="100">
        <v>0</v>
      </c>
      <c r="N52" s="7"/>
    </row>
    <row r="53" spans="1:14" s="31" customFormat="1" ht="21.75" customHeight="1">
      <c r="A53" s="55" t="s">
        <v>19</v>
      </c>
      <c r="B53" s="16">
        <v>5</v>
      </c>
      <c r="C53" s="55" t="s">
        <v>71</v>
      </c>
      <c r="D53" s="55">
        <v>112</v>
      </c>
      <c r="E53" s="11">
        <v>266</v>
      </c>
      <c r="F53" s="8" t="s">
        <v>40</v>
      </c>
      <c r="G53" s="100">
        <v>1200</v>
      </c>
      <c r="H53" s="100"/>
      <c r="I53" s="100"/>
      <c r="J53" s="100">
        <f t="shared" si="0"/>
        <v>1200</v>
      </c>
      <c r="K53" s="100">
        <v>4800</v>
      </c>
      <c r="L53" s="100">
        <v>7200</v>
      </c>
    </row>
    <row r="54" spans="1:14" s="31" customFormat="1" ht="15.75">
      <c r="A54" s="1476" t="s">
        <v>17</v>
      </c>
      <c r="B54" s="1477"/>
      <c r="C54" s="1477"/>
      <c r="D54" s="1477"/>
      <c r="E54" s="1477"/>
      <c r="F54" s="1478"/>
      <c r="G54" s="13">
        <f>SUM(G44:G53)</f>
        <v>904550.59</v>
      </c>
      <c r="H54" s="13">
        <f>SUM(H52:H53)</f>
        <v>0</v>
      </c>
      <c r="I54" s="13">
        <f>SUM(I44:I53)</f>
        <v>870735</v>
      </c>
      <c r="J54" s="13">
        <f>SUM(J44:J53)</f>
        <v>1775285.59</v>
      </c>
      <c r="K54" s="13">
        <f>SUM(K52:K53)</f>
        <v>4800</v>
      </c>
      <c r="L54" s="13">
        <f>SUM(L52:L53)</f>
        <v>7200</v>
      </c>
    </row>
    <row r="55" spans="1:14" s="31" customFormat="1" ht="16.5" customHeight="1">
      <c r="A55" s="1476" t="s">
        <v>21</v>
      </c>
      <c r="B55" s="1477"/>
      <c r="C55" s="1477"/>
      <c r="D55" s="1477"/>
      <c r="E55" s="1477"/>
      <c r="F55" s="1478"/>
      <c r="G55" s="10">
        <f t="shared" ref="G55:L55" si="2">G42+G54</f>
        <v>65010311.369999997</v>
      </c>
      <c r="H55" s="10">
        <f t="shared" si="2"/>
        <v>0</v>
      </c>
      <c r="I55" s="10">
        <f t="shared" si="2"/>
        <v>1465268.98</v>
      </c>
      <c r="J55" s="10">
        <f t="shared" si="2"/>
        <v>66475580.350000001</v>
      </c>
      <c r="K55" s="10">
        <f t="shared" si="2"/>
        <v>46513033.899999999</v>
      </c>
      <c r="L55" s="10">
        <f t="shared" si="2"/>
        <v>46643552.270000003</v>
      </c>
    </row>
    <row r="56" spans="1:14" s="31" customFormat="1" ht="15.75">
      <c r="A56" s="1479" t="s">
        <v>22</v>
      </c>
      <c r="B56" s="1479"/>
      <c r="C56" s="1479"/>
      <c r="D56" s="1479"/>
      <c r="E56" s="1479"/>
      <c r="F56" s="1479"/>
      <c r="G56" s="1479"/>
      <c r="H56" s="172"/>
      <c r="I56" s="172"/>
      <c r="J56" s="172"/>
      <c r="K56" s="172"/>
      <c r="L56" s="172"/>
    </row>
    <row r="57" spans="1:14" s="31" customFormat="1" ht="24.75" customHeight="1">
      <c r="A57" s="55" t="s">
        <v>23</v>
      </c>
      <c r="B57" s="55">
        <v>2</v>
      </c>
      <c r="C57" s="55" t="s">
        <v>69</v>
      </c>
      <c r="D57" s="55">
        <v>111</v>
      </c>
      <c r="E57" s="55">
        <v>211</v>
      </c>
      <c r="F57" s="8" t="s">
        <v>8</v>
      </c>
      <c r="G57" s="99">
        <v>4918649.08</v>
      </c>
      <c r="H57" s="99">
        <v>616536.16</v>
      </c>
      <c r="I57" s="99"/>
      <c r="J57" s="99">
        <f>G57+I57</f>
        <v>4918649.08</v>
      </c>
      <c r="K57" s="99">
        <v>5045709.93</v>
      </c>
      <c r="L57" s="99">
        <v>5207036.58</v>
      </c>
    </row>
    <row r="58" spans="1:14" s="31" customFormat="1" ht="94.5">
      <c r="A58" s="55" t="s">
        <v>23</v>
      </c>
      <c r="B58" s="55">
        <v>2</v>
      </c>
      <c r="C58" s="55" t="s">
        <v>71</v>
      </c>
      <c r="D58" s="55">
        <v>111</v>
      </c>
      <c r="E58" s="11">
        <v>211</v>
      </c>
      <c r="F58" s="8" t="s">
        <v>49</v>
      </c>
      <c r="G58" s="100">
        <v>10000</v>
      </c>
      <c r="H58" s="100"/>
      <c r="I58" s="100"/>
      <c r="J58" s="99">
        <f t="shared" ref="J58:J74" si="3">G58+I58</f>
        <v>10000</v>
      </c>
      <c r="K58" s="99">
        <v>8000</v>
      </c>
      <c r="L58" s="99">
        <v>3000</v>
      </c>
    </row>
    <row r="59" spans="1:14" s="31" customFormat="1" ht="47.25">
      <c r="A59" s="55" t="s">
        <v>23</v>
      </c>
      <c r="B59" s="55">
        <v>2</v>
      </c>
      <c r="C59" s="55" t="s">
        <v>71</v>
      </c>
      <c r="D59" s="55">
        <v>111</v>
      </c>
      <c r="E59" s="11">
        <v>266</v>
      </c>
      <c r="F59" s="8" t="s">
        <v>43</v>
      </c>
      <c r="G59" s="99">
        <v>17800</v>
      </c>
      <c r="H59" s="99"/>
      <c r="I59" s="99"/>
      <c r="J59" s="99">
        <f t="shared" si="3"/>
        <v>17800</v>
      </c>
      <c r="K59" s="99">
        <v>19800</v>
      </c>
      <c r="L59" s="99">
        <v>19800</v>
      </c>
    </row>
    <row r="60" spans="1:14" s="31" customFormat="1" ht="47.25">
      <c r="A60" s="55" t="s">
        <v>23</v>
      </c>
      <c r="B60" s="55">
        <v>2</v>
      </c>
      <c r="C60" s="55" t="s">
        <v>71</v>
      </c>
      <c r="D60" s="55">
        <v>112</v>
      </c>
      <c r="E60" s="11">
        <v>266</v>
      </c>
      <c r="F60" s="8" t="s">
        <v>41</v>
      </c>
      <c r="G60" s="100">
        <v>1800</v>
      </c>
      <c r="H60" s="100"/>
      <c r="I60" s="100"/>
      <c r="J60" s="99">
        <f t="shared" si="3"/>
        <v>1800</v>
      </c>
      <c r="K60" s="99">
        <v>1800</v>
      </c>
      <c r="L60" s="99">
        <v>900</v>
      </c>
    </row>
    <row r="61" spans="1:14" s="31" customFormat="1" ht="16.5" customHeight="1">
      <c r="A61" s="55" t="s">
        <v>23</v>
      </c>
      <c r="B61" s="55">
        <v>2</v>
      </c>
      <c r="C61" s="55" t="s">
        <v>71</v>
      </c>
      <c r="D61" s="55">
        <v>112</v>
      </c>
      <c r="E61" s="11">
        <v>214</v>
      </c>
      <c r="F61" s="8" t="s">
        <v>35</v>
      </c>
      <c r="G61" s="99">
        <v>140000</v>
      </c>
      <c r="H61" s="99"/>
      <c r="I61" s="99"/>
      <c r="J61" s="99">
        <f t="shared" si="3"/>
        <v>140000</v>
      </c>
      <c r="K61" s="99">
        <v>100000</v>
      </c>
      <c r="L61" s="99">
        <v>140000</v>
      </c>
    </row>
    <row r="62" spans="1:14" s="31" customFormat="1" ht="17.25" customHeight="1">
      <c r="A62" s="55" t="s">
        <v>23</v>
      </c>
      <c r="B62" s="55">
        <v>2</v>
      </c>
      <c r="C62" s="55" t="s">
        <v>71</v>
      </c>
      <c r="D62" s="55">
        <v>112</v>
      </c>
      <c r="E62" s="11">
        <v>212</v>
      </c>
      <c r="F62" s="8" t="s">
        <v>34</v>
      </c>
      <c r="G62" s="99">
        <v>238500</v>
      </c>
      <c r="H62" s="99"/>
      <c r="I62" s="99"/>
      <c r="J62" s="99">
        <f t="shared" si="3"/>
        <v>238500</v>
      </c>
      <c r="K62" s="99">
        <v>243000</v>
      </c>
      <c r="L62" s="99">
        <v>243000</v>
      </c>
    </row>
    <row r="63" spans="1:14" s="31" customFormat="1" ht="31.5">
      <c r="A63" s="55" t="s">
        <v>23</v>
      </c>
      <c r="B63" s="55">
        <v>2</v>
      </c>
      <c r="C63" s="55" t="s">
        <v>71</v>
      </c>
      <c r="D63" s="55">
        <v>112</v>
      </c>
      <c r="E63" s="11">
        <v>226</v>
      </c>
      <c r="F63" s="8" t="s">
        <v>42</v>
      </c>
      <c r="G63" s="99">
        <v>750321</v>
      </c>
      <c r="H63" s="99"/>
      <c r="I63" s="99"/>
      <c r="J63" s="99">
        <f t="shared" si="3"/>
        <v>750321</v>
      </c>
      <c r="K63" s="99">
        <v>764478</v>
      </c>
      <c r="L63" s="99">
        <v>764478</v>
      </c>
    </row>
    <row r="64" spans="1:14" s="31" customFormat="1" ht="15.75">
      <c r="A64" s="55" t="s">
        <v>23</v>
      </c>
      <c r="B64" s="55">
        <v>2</v>
      </c>
      <c r="C64" s="55" t="s">
        <v>69</v>
      </c>
      <c r="D64" s="55">
        <v>119</v>
      </c>
      <c r="E64" s="11">
        <v>213</v>
      </c>
      <c r="F64" s="8" t="s">
        <v>10</v>
      </c>
      <c r="G64" s="99">
        <v>1437646.13</v>
      </c>
      <c r="H64" s="99">
        <v>117000</v>
      </c>
      <c r="I64" s="99">
        <f>67709.05-40000</f>
        <v>27709.05</v>
      </c>
      <c r="J64" s="99">
        <f t="shared" si="3"/>
        <v>1465355.18</v>
      </c>
      <c r="K64" s="99">
        <v>1450913.69</v>
      </c>
      <c r="L64" s="99">
        <v>1533302.43</v>
      </c>
    </row>
    <row r="65" spans="1:12" s="31" customFormat="1" ht="15.75">
      <c r="A65" s="55" t="s">
        <v>23</v>
      </c>
      <c r="B65" s="55">
        <v>2</v>
      </c>
      <c r="C65" s="55" t="s">
        <v>71</v>
      </c>
      <c r="D65" s="55">
        <v>244</v>
      </c>
      <c r="E65" s="11">
        <v>221</v>
      </c>
      <c r="F65" s="8" t="s">
        <v>11</v>
      </c>
      <c r="G65" s="99">
        <v>0</v>
      </c>
      <c r="H65" s="99"/>
      <c r="I65" s="99"/>
      <c r="J65" s="99">
        <f t="shared" si="3"/>
        <v>0</v>
      </c>
      <c r="K65" s="99">
        <v>51000</v>
      </c>
      <c r="L65" s="99">
        <v>181320</v>
      </c>
    </row>
    <row r="66" spans="1:12" s="31" customFormat="1" ht="15.75">
      <c r="A66" s="55" t="s">
        <v>23</v>
      </c>
      <c r="B66" s="55">
        <v>2</v>
      </c>
      <c r="C66" s="55" t="s">
        <v>71</v>
      </c>
      <c r="D66" s="55">
        <v>244</v>
      </c>
      <c r="E66" s="11">
        <v>225</v>
      </c>
      <c r="F66" s="8" t="s">
        <v>14</v>
      </c>
      <c r="G66" s="99">
        <v>409991.63</v>
      </c>
      <c r="H66" s="99"/>
      <c r="I66" s="99">
        <v>20000</v>
      </c>
      <c r="J66" s="99">
        <f t="shared" si="3"/>
        <v>429991.63</v>
      </c>
      <c r="K66" s="99">
        <v>247159.33</v>
      </c>
      <c r="L66" s="99">
        <f>14294.28+17902</f>
        <v>32196.28</v>
      </c>
    </row>
    <row r="67" spans="1:12" s="31" customFormat="1" ht="15.75">
      <c r="A67" s="55" t="s">
        <v>23</v>
      </c>
      <c r="B67" s="55">
        <v>2</v>
      </c>
      <c r="C67" s="55" t="s">
        <v>71</v>
      </c>
      <c r="D67" s="55">
        <v>244</v>
      </c>
      <c r="E67" s="11">
        <v>222</v>
      </c>
      <c r="F67" s="8" t="s">
        <v>12</v>
      </c>
      <c r="G67" s="99">
        <v>236954.25</v>
      </c>
      <c r="H67" s="99"/>
      <c r="I67" s="99">
        <v>15000</v>
      </c>
      <c r="J67" s="99">
        <f t="shared" si="3"/>
        <v>251954.25</v>
      </c>
      <c r="K67" s="99">
        <v>405383.61</v>
      </c>
      <c r="L67" s="99">
        <v>405383.61</v>
      </c>
    </row>
    <row r="68" spans="1:12" s="31" customFormat="1" ht="15.75">
      <c r="A68" s="55" t="s">
        <v>23</v>
      </c>
      <c r="B68" s="55">
        <v>2</v>
      </c>
      <c r="C68" s="55" t="s">
        <v>71</v>
      </c>
      <c r="D68" s="55">
        <v>244</v>
      </c>
      <c r="E68" s="11">
        <v>226</v>
      </c>
      <c r="F68" s="8" t="s">
        <v>15</v>
      </c>
      <c r="G68" s="99">
        <v>3146739.18</v>
      </c>
      <c r="H68" s="99">
        <v>435000</v>
      </c>
      <c r="I68" s="99">
        <f>30000+40000</f>
        <v>70000</v>
      </c>
      <c r="J68" s="99">
        <f t="shared" si="3"/>
        <v>3216739.18</v>
      </c>
      <c r="K68" s="99">
        <f>2841006.07-87345.09+3674.88</f>
        <v>2757335.86</v>
      </c>
      <c r="L68" s="99">
        <f>2841006.08-98774.99</f>
        <v>2742231.09</v>
      </c>
    </row>
    <row r="69" spans="1:12" s="31" customFormat="1" ht="15.75">
      <c r="A69" s="55" t="s">
        <v>23</v>
      </c>
      <c r="B69" s="55">
        <v>2</v>
      </c>
      <c r="C69" s="55" t="s">
        <v>71</v>
      </c>
      <c r="D69" s="55">
        <v>853</v>
      </c>
      <c r="E69" s="11">
        <v>297</v>
      </c>
      <c r="F69" s="8" t="s">
        <v>38</v>
      </c>
      <c r="G69" s="100">
        <v>6453.17</v>
      </c>
      <c r="H69" s="100"/>
      <c r="I69" s="100"/>
      <c r="J69" s="99">
        <f t="shared" si="3"/>
        <v>6453.17</v>
      </c>
      <c r="K69" s="100">
        <v>7568.56</v>
      </c>
      <c r="L69" s="100">
        <v>7810.55</v>
      </c>
    </row>
    <row r="70" spans="1:12" s="31" customFormat="1" ht="17.25" customHeight="1">
      <c r="A70" s="55" t="s">
        <v>23</v>
      </c>
      <c r="B70" s="55">
        <v>2</v>
      </c>
      <c r="C70" s="55" t="s">
        <v>71</v>
      </c>
      <c r="D70" s="55">
        <v>244</v>
      </c>
      <c r="E70" s="11">
        <v>310</v>
      </c>
      <c r="F70" s="8" t="s">
        <v>20</v>
      </c>
      <c r="G70" s="99">
        <v>1235078.56</v>
      </c>
      <c r="H70" s="99"/>
      <c r="I70" s="99"/>
      <c r="J70" s="99">
        <f t="shared" si="3"/>
        <v>1235078.56</v>
      </c>
      <c r="K70" s="99">
        <v>254705.11</v>
      </c>
      <c r="L70" s="99">
        <v>76395.55</v>
      </c>
    </row>
    <row r="71" spans="1:12" s="31" customFormat="1" ht="15.75">
      <c r="A71" s="55" t="s">
        <v>23</v>
      </c>
      <c r="B71" s="55">
        <v>2</v>
      </c>
      <c r="C71" s="55" t="s">
        <v>71</v>
      </c>
      <c r="D71" s="55">
        <v>244</v>
      </c>
      <c r="E71" s="11">
        <v>342</v>
      </c>
      <c r="F71" s="8" t="s">
        <v>39</v>
      </c>
      <c r="G71" s="99">
        <v>51330</v>
      </c>
      <c r="H71" s="99"/>
      <c r="I71" s="99"/>
      <c r="J71" s="99">
        <f t="shared" si="3"/>
        <v>51330</v>
      </c>
      <c r="K71" s="99">
        <v>51330</v>
      </c>
      <c r="L71" s="99">
        <v>51330</v>
      </c>
    </row>
    <row r="72" spans="1:12" s="31" customFormat="1" ht="15.75">
      <c r="A72" s="55" t="s">
        <v>23</v>
      </c>
      <c r="B72" s="55">
        <v>2</v>
      </c>
      <c r="C72" s="55" t="s">
        <v>71</v>
      </c>
      <c r="D72" s="55">
        <v>244</v>
      </c>
      <c r="E72" s="11">
        <v>345</v>
      </c>
      <c r="F72" s="8" t="s">
        <v>39</v>
      </c>
      <c r="G72" s="99">
        <v>9117.07</v>
      </c>
      <c r="H72" s="99"/>
      <c r="I72" s="99"/>
      <c r="J72" s="99">
        <f t="shared" si="3"/>
        <v>9117.07</v>
      </c>
      <c r="K72" s="99">
        <v>9117.07</v>
      </c>
      <c r="L72" s="99">
        <v>9117.07</v>
      </c>
    </row>
    <row r="73" spans="1:12" s="31" customFormat="1" ht="15.75">
      <c r="A73" s="55" t="s">
        <v>23</v>
      </c>
      <c r="B73" s="55">
        <v>2</v>
      </c>
      <c r="C73" s="55" t="s">
        <v>71</v>
      </c>
      <c r="D73" s="55">
        <v>244</v>
      </c>
      <c r="E73" s="11">
        <v>346</v>
      </c>
      <c r="F73" s="8" t="s">
        <v>39</v>
      </c>
      <c r="G73" s="99">
        <v>254922.44</v>
      </c>
      <c r="H73" s="99"/>
      <c r="I73" s="99">
        <v>20000</v>
      </c>
      <c r="J73" s="99">
        <f t="shared" si="3"/>
        <v>274922.44</v>
      </c>
      <c r="K73" s="99">
        <v>254922.44</v>
      </c>
      <c r="L73" s="99">
        <v>254922.44</v>
      </c>
    </row>
    <row r="74" spans="1:12" s="31" customFormat="1" ht="15.75">
      <c r="A74" s="55" t="s">
        <v>23</v>
      </c>
      <c r="B74" s="55">
        <v>2</v>
      </c>
      <c r="C74" s="55" t="s">
        <v>71</v>
      </c>
      <c r="D74" s="55">
        <v>244</v>
      </c>
      <c r="E74" s="11">
        <v>349</v>
      </c>
      <c r="F74" s="8" t="s">
        <v>39</v>
      </c>
      <c r="G74" s="99">
        <v>1029026.4</v>
      </c>
      <c r="H74" s="99"/>
      <c r="I74" s="99"/>
      <c r="J74" s="99">
        <f t="shared" si="3"/>
        <v>1029026.4</v>
      </c>
      <c r="K74" s="99">
        <v>1029026.4</v>
      </c>
      <c r="L74" s="99">
        <v>1029026.4</v>
      </c>
    </row>
    <row r="75" spans="1:12" s="31" customFormat="1" ht="15.75">
      <c r="A75" s="1482" t="s">
        <v>17</v>
      </c>
      <c r="B75" s="1482"/>
      <c r="C75" s="1482"/>
      <c r="D75" s="1482"/>
      <c r="E75" s="1482"/>
      <c r="F75" s="1482"/>
      <c r="G75" s="10">
        <f>SUM(G57:G74)</f>
        <v>13894328.91</v>
      </c>
      <c r="H75" s="10">
        <f>SUM(H57:H74)</f>
        <v>1168536.1599999999</v>
      </c>
      <c r="I75" s="10">
        <f>SUM(I57:I74)</f>
        <v>152709.04999999999</v>
      </c>
      <c r="J75" s="10">
        <f>SUM(J57:J74)</f>
        <v>14047037.960000001</v>
      </c>
      <c r="K75" s="10">
        <f>K57+K58+K59+K60+K61+K62+K63+K64+K65+K66+K67+K68+K69+K70+K71+K72+K73+K74</f>
        <v>12701250</v>
      </c>
      <c r="L75" s="10">
        <f>L57+L58+L59+L60+L61+L62+L63+L64+L65+L66+L67+L68+L69+L70+L71+L72+L73+L74</f>
        <v>12701250</v>
      </c>
    </row>
    <row r="76" spans="1:12" s="31" customFormat="1" ht="15.75">
      <c r="A76" s="1482" t="s">
        <v>24</v>
      </c>
      <c r="B76" s="1482"/>
      <c r="C76" s="1482"/>
      <c r="D76" s="1482"/>
      <c r="E76" s="1482"/>
      <c r="F76" s="1482"/>
      <c r="G76" s="10">
        <f t="shared" ref="G76:L76" si="4">G55+G75</f>
        <v>78904640.280000001</v>
      </c>
      <c r="H76" s="10">
        <f t="shared" si="4"/>
        <v>1168536.1599999999</v>
      </c>
      <c r="I76" s="10">
        <f t="shared" si="4"/>
        <v>1617978.03</v>
      </c>
      <c r="J76" s="10">
        <f t="shared" si="4"/>
        <v>80522618.310000002</v>
      </c>
      <c r="K76" s="10">
        <f t="shared" si="4"/>
        <v>59214283.899999999</v>
      </c>
      <c r="L76" s="10">
        <f t="shared" si="4"/>
        <v>59344802.270000003</v>
      </c>
    </row>
    <row r="77" spans="1:12" s="31" customFormat="1">
      <c r="A77" s="2"/>
      <c r="B77" s="2"/>
      <c r="C77" s="2"/>
      <c r="D77" s="2"/>
      <c r="E77" s="2"/>
      <c r="F77" s="2"/>
      <c r="G77" s="132"/>
      <c r="H77" s="85"/>
      <c r="I77" s="85"/>
      <c r="J77" s="85"/>
      <c r="K77" s="86"/>
      <c r="L77" s="86"/>
    </row>
    <row r="78" spans="1:12" s="32" customFormat="1" ht="33.75" hidden="1" customHeight="1">
      <c r="A78" s="1480" t="s">
        <v>25</v>
      </c>
      <c r="B78" s="1480"/>
      <c r="C78" s="171"/>
      <c r="D78" s="171"/>
      <c r="E78" s="1481" t="s">
        <v>32</v>
      </c>
      <c r="F78" s="1481"/>
      <c r="G78" s="103"/>
      <c r="H78" s="103"/>
      <c r="I78" s="103"/>
      <c r="J78" s="103"/>
      <c r="K78" s="122"/>
      <c r="L78" s="104"/>
    </row>
    <row r="79" spans="1:12" s="15" customFormat="1" ht="27" hidden="1" customHeight="1">
      <c r="A79" s="15" t="s">
        <v>27</v>
      </c>
      <c r="G79" s="105"/>
      <c r="H79" s="105"/>
      <c r="I79" s="105"/>
      <c r="J79" s="105"/>
      <c r="K79" s="123"/>
      <c r="L79" s="106"/>
    </row>
    <row r="80" spans="1:12" ht="29.25" customHeight="1">
      <c r="E80" s="2" t="s">
        <v>25</v>
      </c>
      <c r="G80" s="2" t="s">
        <v>32</v>
      </c>
      <c r="H80" s="2"/>
      <c r="I80" s="2"/>
      <c r="J80" s="4"/>
      <c r="L80" s="88"/>
    </row>
    <row r="83" spans="13:13">
      <c r="M83" s="4"/>
    </row>
    <row r="309" spans="11:12" ht="12.75" hidden="1" customHeight="1">
      <c r="K309" s="117"/>
      <c r="L309" s="88"/>
    </row>
    <row r="325" spans="11:12" ht="12.75" hidden="1" customHeight="1">
      <c r="K325" s="117"/>
      <c r="L325" s="88"/>
    </row>
  </sheetData>
  <autoFilter ref="A9:G76"/>
  <mergeCells count="12">
    <mergeCell ref="A55:F55"/>
    <mergeCell ref="A56:G56"/>
    <mergeCell ref="A75:F75"/>
    <mergeCell ref="A76:F76"/>
    <mergeCell ref="A78:B78"/>
    <mergeCell ref="E78:F78"/>
    <mergeCell ref="A54:F54"/>
    <mergeCell ref="A5:L5"/>
    <mergeCell ref="A6:L6"/>
    <mergeCell ref="A10:L10"/>
    <mergeCell ref="A42:F42"/>
    <mergeCell ref="A43:G43"/>
  </mergeCells>
  <printOptions horizontalCentered="1"/>
  <pageMargins left="0" right="0" top="0" bottom="0" header="0.35433070866141736" footer="0.35433070866141736"/>
  <pageSetup paperSize="9" scale="55" fitToHeight="2" orientation="landscape" horizontalDpi="4294967295" verticalDpi="4294967295" r:id="rId1"/>
  <headerFooter alignWithMargins="0"/>
  <rowBreaks count="3" manualBreakCount="3">
    <brk id="42" max="11" man="1"/>
    <brk id="55" max="8" man="1"/>
    <brk id="80" max="8"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tabColor rgb="FF92D050"/>
  </sheetPr>
  <dimension ref="A5:O326"/>
  <sheetViews>
    <sheetView view="pageBreakPreview" zoomScale="85" zoomScaleNormal="85" zoomScaleSheetLayoutView="85" workbookViewId="0">
      <selection activeCell="M11" sqref="M11"/>
    </sheetView>
  </sheetViews>
  <sheetFormatPr defaultRowHeight="12.75"/>
  <cols>
    <col min="1" max="1" width="12.85546875" style="2" customWidth="1"/>
    <col min="2" max="2" width="7.85546875" style="2" customWidth="1"/>
    <col min="3" max="3" width="24.42578125" style="2" customWidth="1"/>
    <col min="4" max="4" width="8.42578125" style="2" customWidth="1"/>
    <col min="5" max="5" width="8.85546875" style="2" customWidth="1"/>
    <col min="6" max="6" width="46.85546875" style="2" customWidth="1"/>
    <col min="7" max="8" width="18.7109375" style="88" customWidth="1"/>
    <col min="9" max="12" width="17.5703125" style="88" customWidth="1"/>
    <col min="13" max="13" width="16" style="2" customWidth="1"/>
    <col min="14" max="14" width="13.28515625" style="2" customWidth="1"/>
    <col min="15" max="15" width="12.28515625" style="2" bestFit="1" customWidth="1"/>
    <col min="16" max="241" width="9.140625" style="2"/>
    <col min="242" max="242" width="16.28515625" style="2" customWidth="1"/>
    <col min="243" max="243" width="9.5703125" style="2" customWidth="1"/>
    <col min="244" max="244" width="25.85546875" style="2" customWidth="1"/>
    <col min="245" max="245" width="10.7109375" style="2" customWidth="1"/>
    <col min="246" max="246" width="40.42578125" style="2" customWidth="1"/>
    <col min="247" max="247" width="30.5703125" style="2" customWidth="1"/>
    <col min="248" max="248" width="16.42578125" style="2" customWidth="1"/>
    <col min="249" max="249" width="13" style="2" bestFit="1" customWidth="1"/>
    <col min="250" max="497" width="9.140625" style="2"/>
    <col min="498" max="498" width="16.28515625" style="2" customWidth="1"/>
    <col min="499" max="499" width="9.5703125" style="2" customWidth="1"/>
    <col min="500" max="500" width="25.85546875" style="2" customWidth="1"/>
    <col min="501" max="501" width="10.7109375" style="2" customWidth="1"/>
    <col min="502" max="502" width="40.42578125" style="2" customWidth="1"/>
    <col min="503" max="503" width="30.5703125" style="2" customWidth="1"/>
    <col min="504" max="504" width="16.42578125" style="2" customWidth="1"/>
    <col min="505" max="505" width="13" style="2" bestFit="1" customWidth="1"/>
    <col min="506" max="753" width="9.140625" style="2"/>
    <col min="754" max="754" width="16.28515625" style="2" customWidth="1"/>
    <col min="755" max="755" width="9.5703125" style="2" customWidth="1"/>
    <col min="756" max="756" width="25.85546875" style="2" customWidth="1"/>
    <col min="757" max="757" width="10.7109375" style="2" customWidth="1"/>
    <col min="758" max="758" width="40.42578125" style="2" customWidth="1"/>
    <col min="759" max="759" width="30.5703125" style="2" customWidth="1"/>
    <col min="760" max="760" width="16.42578125" style="2" customWidth="1"/>
    <col min="761" max="761" width="13" style="2" bestFit="1" customWidth="1"/>
    <col min="762" max="1009" width="9.140625" style="2"/>
    <col min="1010" max="1010" width="16.28515625" style="2" customWidth="1"/>
    <col min="1011" max="1011" width="9.5703125" style="2" customWidth="1"/>
    <col min="1012" max="1012" width="25.85546875" style="2" customWidth="1"/>
    <col min="1013" max="1013" width="10.7109375" style="2" customWidth="1"/>
    <col min="1014" max="1014" width="40.42578125" style="2" customWidth="1"/>
    <col min="1015" max="1015" width="30.5703125" style="2" customWidth="1"/>
    <col min="1016" max="1016" width="16.42578125" style="2" customWidth="1"/>
    <col min="1017" max="1017" width="13" style="2" bestFit="1" customWidth="1"/>
    <col min="1018" max="1265" width="9.140625" style="2"/>
    <col min="1266" max="1266" width="16.28515625" style="2" customWidth="1"/>
    <col min="1267" max="1267" width="9.5703125" style="2" customWidth="1"/>
    <col min="1268" max="1268" width="25.85546875" style="2" customWidth="1"/>
    <col min="1269" max="1269" width="10.7109375" style="2" customWidth="1"/>
    <col min="1270" max="1270" width="40.42578125" style="2" customWidth="1"/>
    <col min="1271" max="1271" width="30.5703125" style="2" customWidth="1"/>
    <col min="1272" max="1272" width="16.42578125" style="2" customWidth="1"/>
    <col min="1273" max="1273" width="13" style="2" bestFit="1" customWidth="1"/>
    <col min="1274" max="1521" width="9.140625" style="2"/>
    <col min="1522" max="1522" width="16.28515625" style="2" customWidth="1"/>
    <col min="1523" max="1523" width="9.5703125" style="2" customWidth="1"/>
    <col min="1524" max="1524" width="25.85546875" style="2" customWidth="1"/>
    <col min="1525" max="1525" width="10.7109375" style="2" customWidth="1"/>
    <col min="1526" max="1526" width="40.42578125" style="2" customWidth="1"/>
    <col min="1527" max="1527" width="30.5703125" style="2" customWidth="1"/>
    <col min="1528" max="1528" width="16.42578125" style="2" customWidth="1"/>
    <col min="1529" max="1529" width="13" style="2" bestFit="1" customWidth="1"/>
    <col min="1530" max="1777" width="9.140625" style="2"/>
    <col min="1778" max="1778" width="16.28515625" style="2" customWidth="1"/>
    <col min="1779" max="1779" width="9.5703125" style="2" customWidth="1"/>
    <col min="1780" max="1780" width="25.85546875" style="2" customWidth="1"/>
    <col min="1781" max="1781" width="10.7109375" style="2" customWidth="1"/>
    <col min="1782" max="1782" width="40.42578125" style="2" customWidth="1"/>
    <col min="1783" max="1783" width="30.5703125" style="2" customWidth="1"/>
    <col min="1784" max="1784" width="16.42578125" style="2" customWidth="1"/>
    <col min="1785" max="1785" width="13" style="2" bestFit="1" customWidth="1"/>
    <col min="1786" max="2033" width="9.140625" style="2"/>
    <col min="2034" max="2034" width="16.28515625" style="2" customWidth="1"/>
    <col min="2035" max="2035" width="9.5703125" style="2" customWidth="1"/>
    <col min="2036" max="2036" width="25.85546875" style="2" customWidth="1"/>
    <col min="2037" max="2037" width="10.7109375" style="2" customWidth="1"/>
    <col min="2038" max="2038" width="40.42578125" style="2" customWidth="1"/>
    <col min="2039" max="2039" width="30.5703125" style="2" customWidth="1"/>
    <col min="2040" max="2040" width="16.42578125" style="2" customWidth="1"/>
    <col min="2041" max="2041" width="13" style="2" bestFit="1" customWidth="1"/>
    <col min="2042" max="2289" width="9.140625" style="2"/>
    <col min="2290" max="2290" width="16.28515625" style="2" customWidth="1"/>
    <col min="2291" max="2291" width="9.5703125" style="2" customWidth="1"/>
    <col min="2292" max="2292" width="25.85546875" style="2" customWidth="1"/>
    <col min="2293" max="2293" width="10.7109375" style="2" customWidth="1"/>
    <col min="2294" max="2294" width="40.42578125" style="2" customWidth="1"/>
    <col min="2295" max="2295" width="30.5703125" style="2" customWidth="1"/>
    <col min="2296" max="2296" width="16.42578125" style="2" customWidth="1"/>
    <col min="2297" max="2297" width="13" style="2" bestFit="1" customWidth="1"/>
    <col min="2298" max="2545" width="9.140625" style="2"/>
    <col min="2546" max="2546" width="16.28515625" style="2" customWidth="1"/>
    <col min="2547" max="2547" width="9.5703125" style="2" customWidth="1"/>
    <col min="2548" max="2548" width="25.85546875" style="2" customWidth="1"/>
    <col min="2549" max="2549" width="10.7109375" style="2" customWidth="1"/>
    <col min="2550" max="2550" width="40.42578125" style="2" customWidth="1"/>
    <col min="2551" max="2551" width="30.5703125" style="2" customWidth="1"/>
    <col min="2552" max="2552" width="16.42578125" style="2" customWidth="1"/>
    <col min="2553" max="2553" width="13" style="2" bestFit="1" customWidth="1"/>
    <col min="2554" max="2801" width="9.140625" style="2"/>
    <col min="2802" max="2802" width="16.28515625" style="2" customWidth="1"/>
    <col min="2803" max="2803" width="9.5703125" style="2" customWidth="1"/>
    <col min="2804" max="2804" width="25.85546875" style="2" customWidth="1"/>
    <col min="2805" max="2805" width="10.7109375" style="2" customWidth="1"/>
    <col min="2806" max="2806" width="40.42578125" style="2" customWidth="1"/>
    <col min="2807" max="2807" width="30.5703125" style="2" customWidth="1"/>
    <col min="2808" max="2808" width="16.42578125" style="2" customWidth="1"/>
    <col min="2809" max="2809" width="13" style="2" bestFit="1" customWidth="1"/>
    <col min="2810" max="3057" width="9.140625" style="2"/>
    <col min="3058" max="3058" width="16.28515625" style="2" customWidth="1"/>
    <col min="3059" max="3059" width="9.5703125" style="2" customWidth="1"/>
    <col min="3060" max="3060" width="25.85546875" style="2" customWidth="1"/>
    <col min="3061" max="3061" width="10.7109375" style="2" customWidth="1"/>
    <col min="3062" max="3062" width="40.42578125" style="2" customWidth="1"/>
    <col min="3063" max="3063" width="30.5703125" style="2" customWidth="1"/>
    <col min="3064" max="3064" width="16.42578125" style="2" customWidth="1"/>
    <col min="3065" max="3065" width="13" style="2" bestFit="1" customWidth="1"/>
    <col min="3066" max="3313" width="9.140625" style="2"/>
    <col min="3314" max="3314" width="16.28515625" style="2" customWidth="1"/>
    <col min="3315" max="3315" width="9.5703125" style="2" customWidth="1"/>
    <col min="3316" max="3316" width="25.85546875" style="2" customWidth="1"/>
    <col min="3317" max="3317" width="10.7109375" style="2" customWidth="1"/>
    <col min="3318" max="3318" width="40.42578125" style="2" customWidth="1"/>
    <col min="3319" max="3319" width="30.5703125" style="2" customWidth="1"/>
    <col min="3320" max="3320" width="16.42578125" style="2" customWidth="1"/>
    <col min="3321" max="3321" width="13" style="2" bestFit="1" customWidth="1"/>
    <col min="3322" max="3569" width="9.140625" style="2"/>
    <col min="3570" max="3570" width="16.28515625" style="2" customWidth="1"/>
    <col min="3571" max="3571" width="9.5703125" style="2" customWidth="1"/>
    <col min="3572" max="3572" width="25.85546875" style="2" customWidth="1"/>
    <col min="3573" max="3573" width="10.7109375" style="2" customWidth="1"/>
    <col min="3574" max="3574" width="40.42578125" style="2" customWidth="1"/>
    <col min="3575" max="3575" width="30.5703125" style="2" customWidth="1"/>
    <col min="3576" max="3576" width="16.42578125" style="2" customWidth="1"/>
    <col min="3577" max="3577" width="13" style="2" bestFit="1" customWidth="1"/>
    <col min="3578" max="3825" width="9.140625" style="2"/>
    <col min="3826" max="3826" width="16.28515625" style="2" customWidth="1"/>
    <col min="3827" max="3827" width="9.5703125" style="2" customWidth="1"/>
    <col min="3828" max="3828" width="25.85546875" style="2" customWidth="1"/>
    <col min="3829" max="3829" width="10.7109375" style="2" customWidth="1"/>
    <col min="3830" max="3830" width="40.42578125" style="2" customWidth="1"/>
    <col min="3831" max="3831" width="30.5703125" style="2" customWidth="1"/>
    <col min="3832" max="3832" width="16.42578125" style="2" customWidth="1"/>
    <col min="3833" max="3833" width="13" style="2" bestFit="1" customWidth="1"/>
    <col min="3834" max="4081" width="9.140625" style="2"/>
    <col min="4082" max="4082" width="16.28515625" style="2" customWidth="1"/>
    <col min="4083" max="4083" width="9.5703125" style="2" customWidth="1"/>
    <col min="4084" max="4084" width="25.85546875" style="2" customWidth="1"/>
    <col min="4085" max="4085" width="10.7109375" style="2" customWidth="1"/>
    <col min="4086" max="4086" width="40.42578125" style="2" customWidth="1"/>
    <col min="4087" max="4087" width="30.5703125" style="2" customWidth="1"/>
    <col min="4088" max="4088" width="16.42578125" style="2" customWidth="1"/>
    <col min="4089" max="4089" width="13" style="2" bestFit="1" customWidth="1"/>
    <col min="4090" max="4337" width="9.140625" style="2"/>
    <col min="4338" max="4338" width="16.28515625" style="2" customWidth="1"/>
    <col min="4339" max="4339" width="9.5703125" style="2" customWidth="1"/>
    <col min="4340" max="4340" width="25.85546875" style="2" customWidth="1"/>
    <col min="4341" max="4341" width="10.7109375" style="2" customWidth="1"/>
    <col min="4342" max="4342" width="40.42578125" style="2" customWidth="1"/>
    <col min="4343" max="4343" width="30.5703125" style="2" customWidth="1"/>
    <col min="4344" max="4344" width="16.42578125" style="2" customWidth="1"/>
    <col min="4345" max="4345" width="13" style="2" bestFit="1" customWidth="1"/>
    <col min="4346" max="4593" width="9.140625" style="2"/>
    <col min="4594" max="4594" width="16.28515625" style="2" customWidth="1"/>
    <col min="4595" max="4595" width="9.5703125" style="2" customWidth="1"/>
    <col min="4596" max="4596" width="25.85546875" style="2" customWidth="1"/>
    <col min="4597" max="4597" width="10.7109375" style="2" customWidth="1"/>
    <col min="4598" max="4598" width="40.42578125" style="2" customWidth="1"/>
    <col min="4599" max="4599" width="30.5703125" style="2" customWidth="1"/>
    <col min="4600" max="4600" width="16.42578125" style="2" customWidth="1"/>
    <col min="4601" max="4601" width="13" style="2" bestFit="1" customWidth="1"/>
    <col min="4602" max="4849" width="9.140625" style="2"/>
    <col min="4850" max="4850" width="16.28515625" style="2" customWidth="1"/>
    <col min="4851" max="4851" width="9.5703125" style="2" customWidth="1"/>
    <col min="4852" max="4852" width="25.85546875" style="2" customWidth="1"/>
    <col min="4853" max="4853" width="10.7109375" style="2" customWidth="1"/>
    <col min="4854" max="4854" width="40.42578125" style="2" customWidth="1"/>
    <col min="4855" max="4855" width="30.5703125" style="2" customWidth="1"/>
    <col min="4856" max="4856" width="16.42578125" style="2" customWidth="1"/>
    <col min="4857" max="4857" width="13" style="2" bestFit="1" customWidth="1"/>
    <col min="4858" max="5105" width="9.140625" style="2"/>
    <col min="5106" max="5106" width="16.28515625" style="2" customWidth="1"/>
    <col min="5107" max="5107" width="9.5703125" style="2" customWidth="1"/>
    <col min="5108" max="5108" width="25.85546875" style="2" customWidth="1"/>
    <col min="5109" max="5109" width="10.7109375" style="2" customWidth="1"/>
    <col min="5110" max="5110" width="40.42578125" style="2" customWidth="1"/>
    <col min="5111" max="5111" width="30.5703125" style="2" customWidth="1"/>
    <col min="5112" max="5112" width="16.42578125" style="2" customWidth="1"/>
    <col min="5113" max="5113" width="13" style="2" bestFit="1" customWidth="1"/>
    <col min="5114" max="5361" width="9.140625" style="2"/>
    <col min="5362" max="5362" width="16.28515625" style="2" customWidth="1"/>
    <col min="5363" max="5363" width="9.5703125" style="2" customWidth="1"/>
    <col min="5364" max="5364" width="25.85546875" style="2" customWidth="1"/>
    <col min="5365" max="5365" width="10.7109375" style="2" customWidth="1"/>
    <col min="5366" max="5366" width="40.42578125" style="2" customWidth="1"/>
    <col min="5367" max="5367" width="30.5703125" style="2" customWidth="1"/>
    <col min="5368" max="5368" width="16.42578125" style="2" customWidth="1"/>
    <col min="5369" max="5369" width="13" style="2" bestFit="1" customWidth="1"/>
    <col min="5370" max="5617" width="9.140625" style="2"/>
    <col min="5618" max="5618" width="16.28515625" style="2" customWidth="1"/>
    <col min="5619" max="5619" width="9.5703125" style="2" customWidth="1"/>
    <col min="5620" max="5620" width="25.85546875" style="2" customWidth="1"/>
    <col min="5621" max="5621" width="10.7109375" style="2" customWidth="1"/>
    <col min="5622" max="5622" width="40.42578125" style="2" customWidth="1"/>
    <col min="5623" max="5623" width="30.5703125" style="2" customWidth="1"/>
    <col min="5624" max="5624" width="16.42578125" style="2" customWidth="1"/>
    <col min="5625" max="5625" width="13" style="2" bestFit="1" customWidth="1"/>
    <col min="5626" max="5873" width="9.140625" style="2"/>
    <col min="5874" max="5874" width="16.28515625" style="2" customWidth="1"/>
    <col min="5875" max="5875" width="9.5703125" style="2" customWidth="1"/>
    <col min="5876" max="5876" width="25.85546875" style="2" customWidth="1"/>
    <col min="5877" max="5877" width="10.7109375" style="2" customWidth="1"/>
    <col min="5878" max="5878" width="40.42578125" style="2" customWidth="1"/>
    <col min="5879" max="5879" width="30.5703125" style="2" customWidth="1"/>
    <col min="5880" max="5880" width="16.42578125" style="2" customWidth="1"/>
    <col min="5881" max="5881" width="13" style="2" bestFit="1" customWidth="1"/>
    <col min="5882" max="6129" width="9.140625" style="2"/>
    <col min="6130" max="6130" width="16.28515625" style="2" customWidth="1"/>
    <col min="6131" max="6131" width="9.5703125" style="2" customWidth="1"/>
    <col min="6132" max="6132" width="25.85546875" style="2" customWidth="1"/>
    <col min="6133" max="6133" width="10.7109375" style="2" customWidth="1"/>
    <col min="6134" max="6134" width="40.42578125" style="2" customWidth="1"/>
    <col min="6135" max="6135" width="30.5703125" style="2" customWidth="1"/>
    <col min="6136" max="6136" width="16.42578125" style="2" customWidth="1"/>
    <col min="6137" max="6137" width="13" style="2" bestFit="1" customWidth="1"/>
    <col min="6138" max="6385" width="9.140625" style="2"/>
    <col min="6386" max="6386" width="16.28515625" style="2" customWidth="1"/>
    <col min="6387" max="6387" width="9.5703125" style="2" customWidth="1"/>
    <col min="6388" max="6388" width="25.85546875" style="2" customWidth="1"/>
    <col min="6389" max="6389" width="10.7109375" style="2" customWidth="1"/>
    <col min="6390" max="6390" width="40.42578125" style="2" customWidth="1"/>
    <col min="6391" max="6391" width="30.5703125" style="2" customWidth="1"/>
    <col min="6392" max="6392" width="16.42578125" style="2" customWidth="1"/>
    <col min="6393" max="6393" width="13" style="2" bestFit="1" customWidth="1"/>
    <col min="6394" max="6641" width="9.140625" style="2"/>
    <col min="6642" max="6642" width="16.28515625" style="2" customWidth="1"/>
    <col min="6643" max="6643" width="9.5703125" style="2" customWidth="1"/>
    <col min="6644" max="6644" width="25.85546875" style="2" customWidth="1"/>
    <col min="6645" max="6645" width="10.7109375" style="2" customWidth="1"/>
    <col min="6646" max="6646" width="40.42578125" style="2" customWidth="1"/>
    <col min="6647" max="6647" width="30.5703125" style="2" customWidth="1"/>
    <col min="6648" max="6648" width="16.42578125" style="2" customWidth="1"/>
    <col min="6649" max="6649" width="13" style="2" bestFit="1" customWidth="1"/>
    <col min="6650" max="6897" width="9.140625" style="2"/>
    <col min="6898" max="6898" width="16.28515625" style="2" customWidth="1"/>
    <col min="6899" max="6899" width="9.5703125" style="2" customWidth="1"/>
    <col min="6900" max="6900" width="25.85546875" style="2" customWidth="1"/>
    <col min="6901" max="6901" width="10.7109375" style="2" customWidth="1"/>
    <col min="6902" max="6902" width="40.42578125" style="2" customWidth="1"/>
    <col min="6903" max="6903" width="30.5703125" style="2" customWidth="1"/>
    <col min="6904" max="6904" width="16.42578125" style="2" customWidth="1"/>
    <col min="6905" max="6905" width="13" style="2" bestFit="1" customWidth="1"/>
    <col min="6906" max="7153" width="9.140625" style="2"/>
    <col min="7154" max="7154" width="16.28515625" style="2" customWidth="1"/>
    <col min="7155" max="7155" width="9.5703125" style="2" customWidth="1"/>
    <col min="7156" max="7156" width="25.85546875" style="2" customWidth="1"/>
    <col min="7157" max="7157" width="10.7109375" style="2" customWidth="1"/>
    <col min="7158" max="7158" width="40.42578125" style="2" customWidth="1"/>
    <col min="7159" max="7159" width="30.5703125" style="2" customWidth="1"/>
    <col min="7160" max="7160" width="16.42578125" style="2" customWidth="1"/>
    <col min="7161" max="7161" width="13" style="2" bestFit="1" customWidth="1"/>
    <col min="7162" max="7409" width="9.140625" style="2"/>
    <col min="7410" max="7410" width="16.28515625" style="2" customWidth="1"/>
    <col min="7411" max="7411" width="9.5703125" style="2" customWidth="1"/>
    <col min="7412" max="7412" width="25.85546875" style="2" customWidth="1"/>
    <col min="7413" max="7413" width="10.7109375" style="2" customWidth="1"/>
    <col min="7414" max="7414" width="40.42578125" style="2" customWidth="1"/>
    <col min="7415" max="7415" width="30.5703125" style="2" customWidth="1"/>
    <col min="7416" max="7416" width="16.42578125" style="2" customWidth="1"/>
    <col min="7417" max="7417" width="13" style="2" bestFit="1" customWidth="1"/>
    <col min="7418" max="7665" width="9.140625" style="2"/>
    <col min="7666" max="7666" width="16.28515625" style="2" customWidth="1"/>
    <col min="7667" max="7667" width="9.5703125" style="2" customWidth="1"/>
    <col min="7668" max="7668" width="25.85546875" style="2" customWidth="1"/>
    <col min="7669" max="7669" width="10.7109375" style="2" customWidth="1"/>
    <col min="7670" max="7670" width="40.42578125" style="2" customWidth="1"/>
    <col min="7671" max="7671" width="30.5703125" style="2" customWidth="1"/>
    <col min="7672" max="7672" width="16.42578125" style="2" customWidth="1"/>
    <col min="7673" max="7673" width="13" style="2" bestFit="1" customWidth="1"/>
    <col min="7674" max="7921" width="9.140625" style="2"/>
    <col min="7922" max="7922" width="16.28515625" style="2" customWidth="1"/>
    <col min="7923" max="7923" width="9.5703125" style="2" customWidth="1"/>
    <col min="7924" max="7924" width="25.85546875" style="2" customWidth="1"/>
    <col min="7925" max="7925" width="10.7109375" style="2" customWidth="1"/>
    <col min="7926" max="7926" width="40.42578125" style="2" customWidth="1"/>
    <col min="7927" max="7927" width="30.5703125" style="2" customWidth="1"/>
    <col min="7928" max="7928" width="16.42578125" style="2" customWidth="1"/>
    <col min="7929" max="7929" width="13" style="2" bestFit="1" customWidth="1"/>
    <col min="7930" max="8177" width="9.140625" style="2"/>
    <col min="8178" max="8178" width="16.28515625" style="2" customWidth="1"/>
    <col min="8179" max="8179" width="9.5703125" style="2" customWidth="1"/>
    <col min="8180" max="8180" width="25.85546875" style="2" customWidth="1"/>
    <col min="8181" max="8181" width="10.7109375" style="2" customWidth="1"/>
    <col min="8182" max="8182" width="40.42578125" style="2" customWidth="1"/>
    <col min="8183" max="8183" width="30.5703125" style="2" customWidth="1"/>
    <col min="8184" max="8184" width="16.42578125" style="2" customWidth="1"/>
    <col min="8185" max="8185" width="13" style="2" bestFit="1" customWidth="1"/>
    <col min="8186" max="8433" width="9.140625" style="2"/>
    <col min="8434" max="8434" width="16.28515625" style="2" customWidth="1"/>
    <col min="8435" max="8435" width="9.5703125" style="2" customWidth="1"/>
    <col min="8436" max="8436" width="25.85546875" style="2" customWidth="1"/>
    <col min="8437" max="8437" width="10.7109375" style="2" customWidth="1"/>
    <col min="8438" max="8438" width="40.42578125" style="2" customWidth="1"/>
    <col min="8439" max="8439" width="30.5703125" style="2" customWidth="1"/>
    <col min="8440" max="8440" width="16.42578125" style="2" customWidth="1"/>
    <col min="8441" max="8441" width="13" style="2" bestFit="1" customWidth="1"/>
    <col min="8442" max="8689" width="9.140625" style="2"/>
    <col min="8690" max="8690" width="16.28515625" style="2" customWidth="1"/>
    <col min="8691" max="8691" width="9.5703125" style="2" customWidth="1"/>
    <col min="8692" max="8692" width="25.85546875" style="2" customWidth="1"/>
    <col min="8693" max="8693" width="10.7109375" style="2" customWidth="1"/>
    <col min="8694" max="8694" width="40.42578125" style="2" customWidth="1"/>
    <col min="8695" max="8695" width="30.5703125" style="2" customWidth="1"/>
    <col min="8696" max="8696" width="16.42578125" style="2" customWidth="1"/>
    <col min="8697" max="8697" width="13" style="2" bestFit="1" customWidth="1"/>
    <col min="8698" max="8945" width="9.140625" style="2"/>
    <col min="8946" max="8946" width="16.28515625" style="2" customWidth="1"/>
    <col min="8947" max="8947" width="9.5703125" style="2" customWidth="1"/>
    <col min="8948" max="8948" width="25.85546875" style="2" customWidth="1"/>
    <col min="8949" max="8949" width="10.7109375" style="2" customWidth="1"/>
    <col min="8950" max="8950" width="40.42578125" style="2" customWidth="1"/>
    <col min="8951" max="8951" width="30.5703125" style="2" customWidth="1"/>
    <col min="8952" max="8952" width="16.42578125" style="2" customWidth="1"/>
    <col min="8953" max="8953" width="13" style="2" bestFit="1" customWidth="1"/>
    <col min="8954" max="9201" width="9.140625" style="2"/>
    <col min="9202" max="9202" width="16.28515625" style="2" customWidth="1"/>
    <col min="9203" max="9203" width="9.5703125" style="2" customWidth="1"/>
    <col min="9204" max="9204" width="25.85546875" style="2" customWidth="1"/>
    <col min="9205" max="9205" width="10.7109375" style="2" customWidth="1"/>
    <col min="9206" max="9206" width="40.42578125" style="2" customWidth="1"/>
    <col min="9207" max="9207" width="30.5703125" style="2" customWidth="1"/>
    <col min="9208" max="9208" width="16.42578125" style="2" customWidth="1"/>
    <col min="9209" max="9209" width="13" style="2" bestFit="1" customWidth="1"/>
    <col min="9210" max="9457" width="9.140625" style="2"/>
    <col min="9458" max="9458" width="16.28515625" style="2" customWidth="1"/>
    <col min="9459" max="9459" width="9.5703125" style="2" customWidth="1"/>
    <col min="9460" max="9460" width="25.85546875" style="2" customWidth="1"/>
    <col min="9461" max="9461" width="10.7109375" style="2" customWidth="1"/>
    <col min="9462" max="9462" width="40.42578125" style="2" customWidth="1"/>
    <col min="9463" max="9463" width="30.5703125" style="2" customWidth="1"/>
    <col min="9464" max="9464" width="16.42578125" style="2" customWidth="1"/>
    <col min="9465" max="9465" width="13" style="2" bestFit="1" customWidth="1"/>
    <col min="9466" max="9713" width="9.140625" style="2"/>
    <col min="9714" max="9714" width="16.28515625" style="2" customWidth="1"/>
    <col min="9715" max="9715" width="9.5703125" style="2" customWidth="1"/>
    <col min="9716" max="9716" width="25.85546875" style="2" customWidth="1"/>
    <col min="9717" max="9717" width="10.7109375" style="2" customWidth="1"/>
    <col min="9718" max="9718" width="40.42578125" style="2" customWidth="1"/>
    <col min="9719" max="9719" width="30.5703125" style="2" customWidth="1"/>
    <col min="9720" max="9720" width="16.42578125" style="2" customWidth="1"/>
    <col min="9721" max="9721" width="13" style="2" bestFit="1" customWidth="1"/>
    <col min="9722" max="9969" width="9.140625" style="2"/>
    <col min="9970" max="9970" width="16.28515625" style="2" customWidth="1"/>
    <col min="9971" max="9971" width="9.5703125" style="2" customWidth="1"/>
    <col min="9972" max="9972" width="25.85546875" style="2" customWidth="1"/>
    <col min="9973" max="9973" width="10.7109375" style="2" customWidth="1"/>
    <col min="9974" max="9974" width="40.42578125" style="2" customWidth="1"/>
    <col min="9975" max="9975" width="30.5703125" style="2" customWidth="1"/>
    <col min="9976" max="9976" width="16.42578125" style="2" customWidth="1"/>
    <col min="9977" max="9977" width="13" style="2" bestFit="1" customWidth="1"/>
    <col min="9978" max="10225" width="9.140625" style="2"/>
    <col min="10226" max="10226" width="16.28515625" style="2" customWidth="1"/>
    <col min="10227" max="10227" width="9.5703125" style="2" customWidth="1"/>
    <col min="10228" max="10228" width="25.85546875" style="2" customWidth="1"/>
    <col min="10229" max="10229" width="10.7109375" style="2" customWidth="1"/>
    <col min="10230" max="10230" width="40.42578125" style="2" customWidth="1"/>
    <col min="10231" max="10231" width="30.5703125" style="2" customWidth="1"/>
    <col min="10232" max="10232" width="16.42578125" style="2" customWidth="1"/>
    <col min="10233" max="10233" width="13" style="2" bestFit="1" customWidth="1"/>
    <col min="10234" max="10481" width="9.140625" style="2"/>
    <col min="10482" max="10482" width="16.28515625" style="2" customWidth="1"/>
    <col min="10483" max="10483" width="9.5703125" style="2" customWidth="1"/>
    <col min="10484" max="10484" width="25.85546875" style="2" customWidth="1"/>
    <col min="10485" max="10485" width="10.7109375" style="2" customWidth="1"/>
    <col min="10486" max="10486" width="40.42578125" style="2" customWidth="1"/>
    <col min="10487" max="10487" width="30.5703125" style="2" customWidth="1"/>
    <col min="10488" max="10488" width="16.42578125" style="2" customWidth="1"/>
    <col min="10489" max="10489" width="13" style="2" bestFit="1" customWidth="1"/>
    <col min="10490" max="10737" width="9.140625" style="2"/>
    <col min="10738" max="10738" width="16.28515625" style="2" customWidth="1"/>
    <col min="10739" max="10739" width="9.5703125" style="2" customWidth="1"/>
    <col min="10740" max="10740" width="25.85546875" style="2" customWidth="1"/>
    <col min="10741" max="10741" width="10.7109375" style="2" customWidth="1"/>
    <col min="10742" max="10742" width="40.42578125" style="2" customWidth="1"/>
    <col min="10743" max="10743" width="30.5703125" style="2" customWidth="1"/>
    <col min="10744" max="10744" width="16.42578125" style="2" customWidth="1"/>
    <col min="10745" max="10745" width="13" style="2" bestFit="1" customWidth="1"/>
    <col min="10746" max="10993" width="9.140625" style="2"/>
    <col min="10994" max="10994" width="16.28515625" style="2" customWidth="1"/>
    <col min="10995" max="10995" width="9.5703125" style="2" customWidth="1"/>
    <col min="10996" max="10996" width="25.85546875" style="2" customWidth="1"/>
    <col min="10997" max="10997" width="10.7109375" style="2" customWidth="1"/>
    <col min="10998" max="10998" width="40.42578125" style="2" customWidth="1"/>
    <col min="10999" max="10999" width="30.5703125" style="2" customWidth="1"/>
    <col min="11000" max="11000" width="16.42578125" style="2" customWidth="1"/>
    <col min="11001" max="11001" width="13" style="2" bestFit="1" customWidth="1"/>
    <col min="11002" max="11249" width="9.140625" style="2"/>
    <col min="11250" max="11250" width="16.28515625" style="2" customWidth="1"/>
    <col min="11251" max="11251" width="9.5703125" style="2" customWidth="1"/>
    <col min="11252" max="11252" width="25.85546875" style="2" customWidth="1"/>
    <col min="11253" max="11253" width="10.7109375" style="2" customWidth="1"/>
    <col min="11254" max="11254" width="40.42578125" style="2" customWidth="1"/>
    <col min="11255" max="11255" width="30.5703125" style="2" customWidth="1"/>
    <col min="11256" max="11256" width="16.42578125" style="2" customWidth="1"/>
    <col min="11257" max="11257" width="13" style="2" bestFit="1" customWidth="1"/>
    <col min="11258" max="11505" width="9.140625" style="2"/>
    <col min="11506" max="11506" width="16.28515625" style="2" customWidth="1"/>
    <col min="11507" max="11507" width="9.5703125" style="2" customWidth="1"/>
    <col min="11508" max="11508" width="25.85546875" style="2" customWidth="1"/>
    <col min="11509" max="11509" width="10.7109375" style="2" customWidth="1"/>
    <col min="11510" max="11510" width="40.42578125" style="2" customWidth="1"/>
    <col min="11511" max="11511" width="30.5703125" style="2" customWidth="1"/>
    <col min="11512" max="11512" width="16.42578125" style="2" customWidth="1"/>
    <col min="11513" max="11513" width="13" style="2" bestFit="1" customWidth="1"/>
    <col min="11514" max="11761" width="9.140625" style="2"/>
    <col min="11762" max="11762" width="16.28515625" style="2" customWidth="1"/>
    <col min="11763" max="11763" width="9.5703125" style="2" customWidth="1"/>
    <col min="11764" max="11764" width="25.85546875" style="2" customWidth="1"/>
    <col min="11765" max="11765" width="10.7109375" style="2" customWidth="1"/>
    <col min="11766" max="11766" width="40.42578125" style="2" customWidth="1"/>
    <col min="11767" max="11767" width="30.5703125" style="2" customWidth="1"/>
    <col min="11768" max="11768" width="16.42578125" style="2" customWidth="1"/>
    <col min="11769" max="11769" width="13" style="2" bestFit="1" customWidth="1"/>
    <col min="11770" max="12017" width="9.140625" style="2"/>
    <col min="12018" max="12018" width="16.28515625" style="2" customWidth="1"/>
    <col min="12019" max="12019" width="9.5703125" style="2" customWidth="1"/>
    <col min="12020" max="12020" width="25.85546875" style="2" customWidth="1"/>
    <col min="12021" max="12021" width="10.7109375" style="2" customWidth="1"/>
    <col min="12022" max="12022" width="40.42578125" style="2" customWidth="1"/>
    <col min="12023" max="12023" width="30.5703125" style="2" customWidth="1"/>
    <col min="12024" max="12024" width="16.42578125" style="2" customWidth="1"/>
    <col min="12025" max="12025" width="13" style="2" bestFit="1" customWidth="1"/>
    <col min="12026" max="12273" width="9.140625" style="2"/>
    <col min="12274" max="12274" width="16.28515625" style="2" customWidth="1"/>
    <col min="12275" max="12275" width="9.5703125" style="2" customWidth="1"/>
    <col min="12276" max="12276" width="25.85546875" style="2" customWidth="1"/>
    <col min="12277" max="12277" width="10.7109375" style="2" customWidth="1"/>
    <col min="12278" max="12278" width="40.42578125" style="2" customWidth="1"/>
    <col min="12279" max="12279" width="30.5703125" style="2" customWidth="1"/>
    <col min="12280" max="12280" width="16.42578125" style="2" customWidth="1"/>
    <col min="12281" max="12281" width="13" style="2" bestFit="1" customWidth="1"/>
    <col min="12282" max="12529" width="9.140625" style="2"/>
    <col min="12530" max="12530" width="16.28515625" style="2" customWidth="1"/>
    <col min="12531" max="12531" width="9.5703125" style="2" customWidth="1"/>
    <col min="12532" max="12532" width="25.85546875" style="2" customWidth="1"/>
    <col min="12533" max="12533" width="10.7109375" style="2" customWidth="1"/>
    <col min="12534" max="12534" width="40.42578125" style="2" customWidth="1"/>
    <col min="12535" max="12535" width="30.5703125" style="2" customWidth="1"/>
    <col min="12536" max="12536" width="16.42578125" style="2" customWidth="1"/>
    <col min="12537" max="12537" width="13" style="2" bestFit="1" customWidth="1"/>
    <col min="12538" max="12785" width="9.140625" style="2"/>
    <col min="12786" max="12786" width="16.28515625" style="2" customWidth="1"/>
    <col min="12787" max="12787" width="9.5703125" style="2" customWidth="1"/>
    <col min="12788" max="12788" width="25.85546875" style="2" customWidth="1"/>
    <col min="12789" max="12789" width="10.7109375" style="2" customWidth="1"/>
    <col min="12790" max="12790" width="40.42578125" style="2" customWidth="1"/>
    <col min="12791" max="12791" width="30.5703125" style="2" customWidth="1"/>
    <col min="12792" max="12792" width="16.42578125" style="2" customWidth="1"/>
    <col min="12793" max="12793" width="13" style="2" bestFit="1" customWidth="1"/>
    <col min="12794" max="13041" width="9.140625" style="2"/>
    <col min="13042" max="13042" width="16.28515625" style="2" customWidth="1"/>
    <col min="13043" max="13043" width="9.5703125" style="2" customWidth="1"/>
    <col min="13044" max="13044" width="25.85546875" style="2" customWidth="1"/>
    <col min="13045" max="13045" width="10.7109375" style="2" customWidth="1"/>
    <col min="13046" max="13046" width="40.42578125" style="2" customWidth="1"/>
    <col min="13047" max="13047" width="30.5703125" style="2" customWidth="1"/>
    <col min="13048" max="13048" width="16.42578125" style="2" customWidth="1"/>
    <col min="13049" max="13049" width="13" style="2" bestFit="1" customWidth="1"/>
    <col min="13050" max="13297" width="9.140625" style="2"/>
    <col min="13298" max="13298" width="16.28515625" style="2" customWidth="1"/>
    <col min="13299" max="13299" width="9.5703125" style="2" customWidth="1"/>
    <col min="13300" max="13300" width="25.85546875" style="2" customWidth="1"/>
    <col min="13301" max="13301" width="10.7109375" style="2" customWidth="1"/>
    <col min="13302" max="13302" width="40.42578125" style="2" customWidth="1"/>
    <col min="13303" max="13303" width="30.5703125" style="2" customWidth="1"/>
    <col min="13304" max="13304" width="16.42578125" style="2" customWidth="1"/>
    <col min="13305" max="13305" width="13" style="2" bestFit="1" customWidth="1"/>
    <col min="13306" max="13553" width="9.140625" style="2"/>
    <col min="13554" max="13554" width="16.28515625" style="2" customWidth="1"/>
    <col min="13555" max="13555" width="9.5703125" style="2" customWidth="1"/>
    <col min="13556" max="13556" width="25.85546875" style="2" customWidth="1"/>
    <col min="13557" max="13557" width="10.7109375" style="2" customWidth="1"/>
    <col min="13558" max="13558" width="40.42578125" style="2" customWidth="1"/>
    <col min="13559" max="13559" width="30.5703125" style="2" customWidth="1"/>
    <col min="13560" max="13560" width="16.42578125" style="2" customWidth="1"/>
    <col min="13561" max="13561" width="13" style="2" bestFit="1" customWidth="1"/>
    <col min="13562" max="13809" width="9.140625" style="2"/>
    <col min="13810" max="13810" width="16.28515625" style="2" customWidth="1"/>
    <col min="13811" max="13811" width="9.5703125" style="2" customWidth="1"/>
    <col min="13812" max="13812" width="25.85546875" style="2" customWidth="1"/>
    <col min="13813" max="13813" width="10.7109375" style="2" customWidth="1"/>
    <col min="13814" max="13814" width="40.42578125" style="2" customWidth="1"/>
    <col min="13815" max="13815" width="30.5703125" style="2" customWidth="1"/>
    <col min="13816" max="13816" width="16.42578125" style="2" customWidth="1"/>
    <col min="13817" max="13817" width="13" style="2" bestFit="1" customWidth="1"/>
    <col min="13818" max="14065" width="9.140625" style="2"/>
    <col min="14066" max="14066" width="16.28515625" style="2" customWidth="1"/>
    <col min="14067" max="14067" width="9.5703125" style="2" customWidth="1"/>
    <col min="14068" max="14068" width="25.85546875" style="2" customWidth="1"/>
    <col min="14069" max="14069" width="10.7109375" style="2" customWidth="1"/>
    <col min="14070" max="14070" width="40.42578125" style="2" customWidth="1"/>
    <col min="14071" max="14071" width="30.5703125" style="2" customWidth="1"/>
    <col min="14072" max="14072" width="16.42578125" style="2" customWidth="1"/>
    <col min="14073" max="14073" width="13" style="2" bestFit="1" customWidth="1"/>
    <col min="14074" max="14321" width="9.140625" style="2"/>
    <col min="14322" max="14322" width="16.28515625" style="2" customWidth="1"/>
    <col min="14323" max="14323" width="9.5703125" style="2" customWidth="1"/>
    <col min="14324" max="14324" width="25.85546875" style="2" customWidth="1"/>
    <col min="14325" max="14325" width="10.7109375" style="2" customWidth="1"/>
    <col min="14326" max="14326" width="40.42578125" style="2" customWidth="1"/>
    <col min="14327" max="14327" width="30.5703125" style="2" customWidth="1"/>
    <col min="14328" max="14328" width="16.42578125" style="2" customWidth="1"/>
    <col min="14329" max="14329" width="13" style="2" bestFit="1" customWidth="1"/>
    <col min="14330" max="14577" width="9.140625" style="2"/>
    <col min="14578" max="14578" width="16.28515625" style="2" customWidth="1"/>
    <col min="14579" max="14579" width="9.5703125" style="2" customWidth="1"/>
    <col min="14580" max="14580" width="25.85546875" style="2" customWidth="1"/>
    <col min="14581" max="14581" width="10.7109375" style="2" customWidth="1"/>
    <col min="14582" max="14582" width="40.42578125" style="2" customWidth="1"/>
    <col min="14583" max="14583" width="30.5703125" style="2" customWidth="1"/>
    <col min="14584" max="14584" width="16.42578125" style="2" customWidth="1"/>
    <col min="14585" max="14585" width="13" style="2" bestFit="1" customWidth="1"/>
    <col min="14586" max="14833" width="9.140625" style="2"/>
    <col min="14834" max="14834" width="16.28515625" style="2" customWidth="1"/>
    <col min="14835" max="14835" width="9.5703125" style="2" customWidth="1"/>
    <col min="14836" max="14836" width="25.85546875" style="2" customWidth="1"/>
    <col min="14837" max="14837" width="10.7109375" style="2" customWidth="1"/>
    <col min="14838" max="14838" width="40.42578125" style="2" customWidth="1"/>
    <col min="14839" max="14839" width="30.5703125" style="2" customWidth="1"/>
    <col min="14840" max="14840" width="16.42578125" style="2" customWidth="1"/>
    <col min="14841" max="14841" width="13" style="2" bestFit="1" customWidth="1"/>
    <col min="14842" max="15089" width="9.140625" style="2"/>
    <col min="15090" max="15090" width="16.28515625" style="2" customWidth="1"/>
    <col min="15091" max="15091" width="9.5703125" style="2" customWidth="1"/>
    <col min="15092" max="15092" width="25.85546875" style="2" customWidth="1"/>
    <col min="15093" max="15093" width="10.7109375" style="2" customWidth="1"/>
    <col min="15094" max="15094" width="40.42578125" style="2" customWidth="1"/>
    <col min="15095" max="15095" width="30.5703125" style="2" customWidth="1"/>
    <col min="15096" max="15096" width="16.42578125" style="2" customWidth="1"/>
    <col min="15097" max="15097" width="13" style="2" bestFit="1" customWidth="1"/>
    <col min="15098" max="15345" width="9.140625" style="2"/>
    <col min="15346" max="15346" width="16.28515625" style="2" customWidth="1"/>
    <col min="15347" max="15347" width="9.5703125" style="2" customWidth="1"/>
    <col min="15348" max="15348" width="25.85546875" style="2" customWidth="1"/>
    <col min="15349" max="15349" width="10.7109375" style="2" customWidth="1"/>
    <col min="15350" max="15350" width="40.42578125" style="2" customWidth="1"/>
    <col min="15351" max="15351" width="30.5703125" style="2" customWidth="1"/>
    <col min="15352" max="15352" width="16.42578125" style="2" customWidth="1"/>
    <col min="15353" max="15353" width="13" style="2" bestFit="1" customWidth="1"/>
    <col min="15354" max="15601" width="9.140625" style="2"/>
    <col min="15602" max="15602" width="16.28515625" style="2" customWidth="1"/>
    <col min="15603" max="15603" width="9.5703125" style="2" customWidth="1"/>
    <col min="15604" max="15604" width="25.85546875" style="2" customWidth="1"/>
    <col min="15605" max="15605" width="10.7109375" style="2" customWidth="1"/>
    <col min="15606" max="15606" width="40.42578125" style="2" customWidth="1"/>
    <col min="15607" max="15607" width="30.5703125" style="2" customWidth="1"/>
    <col min="15608" max="15608" width="16.42578125" style="2" customWidth="1"/>
    <col min="15609" max="15609" width="13" style="2" bestFit="1" customWidth="1"/>
    <col min="15610" max="15857" width="9.140625" style="2"/>
    <col min="15858" max="15858" width="16.28515625" style="2" customWidth="1"/>
    <col min="15859" max="15859" width="9.5703125" style="2" customWidth="1"/>
    <col min="15860" max="15860" width="25.85546875" style="2" customWidth="1"/>
    <col min="15861" max="15861" width="10.7109375" style="2" customWidth="1"/>
    <col min="15862" max="15862" width="40.42578125" style="2" customWidth="1"/>
    <col min="15863" max="15863" width="30.5703125" style="2" customWidth="1"/>
    <col min="15864" max="15864" width="16.42578125" style="2" customWidth="1"/>
    <col min="15865" max="15865" width="13" style="2" bestFit="1" customWidth="1"/>
    <col min="15866" max="16113" width="9.140625" style="2"/>
    <col min="16114" max="16114" width="16.28515625" style="2" customWidth="1"/>
    <col min="16115" max="16115" width="9.5703125" style="2" customWidth="1"/>
    <col min="16116" max="16116" width="25.85546875" style="2" customWidth="1"/>
    <col min="16117" max="16117" width="10.7109375" style="2" customWidth="1"/>
    <col min="16118" max="16118" width="40.42578125" style="2" customWidth="1"/>
    <col min="16119" max="16119" width="30.5703125" style="2" customWidth="1"/>
    <col min="16120" max="16120" width="16.42578125" style="2" customWidth="1"/>
    <col min="16121" max="16121" width="13" style="2" bestFit="1" customWidth="1"/>
    <col min="16122" max="16384" width="9.140625" style="2"/>
  </cols>
  <sheetData>
    <row r="5" spans="1:12" ht="18.75">
      <c r="A5" s="1483" t="s">
        <v>137</v>
      </c>
      <c r="B5" s="1483"/>
      <c r="C5" s="1483"/>
      <c r="D5" s="1483"/>
      <c r="E5" s="1483"/>
      <c r="F5" s="1483"/>
      <c r="G5" s="1483"/>
      <c r="H5" s="1483"/>
      <c r="I5" s="1483"/>
      <c r="J5" s="213"/>
      <c r="K5" s="2"/>
      <c r="L5" s="213"/>
    </row>
    <row r="6" spans="1:12" ht="18.75">
      <c r="A6" s="1483" t="s">
        <v>29</v>
      </c>
      <c r="B6" s="1483"/>
      <c r="C6" s="1483"/>
      <c r="D6" s="1483"/>
      <c r="E6" s="1483"/>
      <c r="F6" s="1483"/>
      <c r="G6" s="1483"/>
      <c r="H6" s="1483"/>
      <c r="I6" s="1483"/>
      <c r="J6" s="213"/>
      <c r="K6" s="2"/>
      <c r="L6" s="213"/>
    </row>
    <row r="8" spans="1:12">
      <c r="C8" s="4"/>
      <c r="D8" s="4"/>
      <c r="I8" s="5" t="s">
        <v>0</v>
      </c>
      <c r="J8" s="5"/>
      <c r="K8" s="5" t="s">
        <v>0</v>
      </c>
      <c r="L8" s="5"/>
    </row>
    <row r="9" spans="1:12" s="31" customFormat="1" ht="73.5" customHeight="1">
      <c r="A9" s="12" t="s">
        <v>1</v>
      </c>
      <c r="B9" s="12" t="s">
        <v>2</v>
      </c>
      <c r="C9" s="12" t="s">
        <v>68</v>
      </c>
      <c r="D9" s="12" t="s">
        <v>4</v>
      </c>
      <c r="E9" s="12" t="s">
        <v>5</v>
      </c>
      <c r="F9" s="12" t="s">
        <v>6</v>
      </c>
      <c r="G9" s="89" t="s">
        <v>33</v>
      </c>
      <c r="H9" s="90" t="s">
        <v>62</v>
      </c>
      <c r="I9" s="90" t="s">
        <v>50</v>
      </c>
      <c r="J9" s="90" t="s">
        <v>62</v>
      </c>
      <c r="K9" s="90" t="s">
        <v>138</v>
      </c>
      <c r="L9" s="90" t="s">
        <v>62</v>
      </c>
    </row>
    <row r="10" spans="1:12" s="31" customFormat="1" ht="44.25" customHeight="1">
      <c r="A10" s="1484" t="s">
        <v>26</v>
      </c>
      <c r="B10" s="1485"/>
      <c r="C10" s="1485"/>
      <c r="D10" s="1485"/>
      <c r="E10" s="1485"/>
      <c r="F10" s="1485"/>
      <c r="G10" s="1485"/>
      <c r="H10" s="1485"/>
      <c r="I10" s="1485"/>
      <c r="J10" s="214"/>
      <c r="L10" s="214"/>
    </row>
    <row r="11" spans="1:12" s="31" customFormat="1" ht="30.75" customHeight="1">
      <c r="A11" s="55" t="s">
        <v>7</v>
      </c>
      <c r="B11" s="55">
        <v>4</v>
      </c>
      <c r="C11" s="55" t="s">
        <v>69</v>
      </c>
      <c r="D11" s="55">
        <v>111</v>
      </c>
      <c r="E11" s="11">
        <v>211</v>
      </c>
      <c r="F11" s="8" t="s">
        <v>8</v>
      </c>
      <c r="G11" s="99">
        <f>27186806.9-614.4-99999.96</f>
        <v>27086192.539999999</v>
      </c>
      <c r="H11" s="99">
        <f>45486789.59-G11-G49</f>
        <v>13449877.85</v>
      </c>
      <c r="I11" s="99">
        <f>27124887.95-614.4-99999.96</f>
        <v>27024273.59</v>
      </c>
      <c r="J11" s="99">
        <f>45486789.59-I11-I49</f>
        <v>13511796.800000001</v>
      </c>
      <c r="K11" s="99">
        <f>27124887.95-614.4-99999.96</f>
        <v>27024273.59</v>
      </c>
      <c r="L11" s="99">
        <f>45486789.59-K11-K49</f>
        <v>13511796.800000001</v>
      </c>
    </row>
    <row r="12" spans="1:12" s="31" customFormat="1" ht="47.25">
      <c r="A12" s="55" t="s">
        <v>7</v>
      </c>
      <c r="B12" s="55">
        <v>4</v>
      </c>
      <c r="C12" s="55" t="s">
        <v>71</v>
      </c>
      <c r="D12" s="55">
        <v>111</v>
      </c>
      <c r="E12" s="11">
        <v>266</v>
      </c>
      <c r="F12" s="8" t="s">
        <v>43</v>
      </c>
      <c r="G12" s="99"/>
      <c r="H12" s="99"/>
      <c r="I12" s="99"/>
      <c r="J12" s="99"/>
      <c r="K12" s="99"/>
      <c r="L12" s="99"/>
    </row>
    <row r="13" spans="1:12" s="31" customFormat="1" ht="94.5">
      <c r="A13" s="55" t="s">
        <v>7</v>
      </c>
      <c r="B13" s="55">
        <v>4</v>
      </c>
      <c r="C13" s="55" t="s">
        <v>71</v>
      </c>
      <c r="D13" s="55">
        <v>111</v>
      </c>
      <c r="E13" s="11">
        <v>211</v>
      </c>
      <c r="F13" s="8" t="s">
        <v>49</v>
      </c>
      <c r="G13" s="99"/>
      <c r="H13" s="99"/>
      <c r="I13" s="99"/>
      <c r="J13" s="99"/>
      <c r="K13" s="99"/>
      <c r="L13" s="99"/>
    </row>
    <row r="14" spans="1:12" s="31" customFormat="1" ht="15.75">
      <c r="A14" s="55"/>
      <c r="B14" s="55"/>
      <c r="C14" s="55"/>
      <c r="D14" s="55"/>
      <c r="E14" s="11">
        <v>211</v>
      </c>
      <c r="F14" s="8" t="s">
        <v>145</v>
      </c>
      <c r="G14" s="95">
        <v>10000</v>
      </c>
      <c r="H14" s="10"/>
      <c r="I14" s="10">
        <v>30000</v>
      </c>
      <c r="J14" s="10"/>
      <c r="K14" s="10">
        <v>10000</v>
      </c>
      <c r="L14" s="10"/>
    </row>
    <row r="15" spans="1:12" s="31" customFormat="1" ht="15.75">
      <c r="A15" s="55"/>
      <c r="B15" s="55"/>
      <c r="C15" s="55"/>
      <c r="D15" s="55"/>
      <c r="E15" s="11">
        <v>211</v>
      </c>
      <c r="F15" s="8" t="s">
        <v>139</v>
      </c>
      <c r="G15" s="95">
        <v>40000</v>
      </c>
      <c r="H15" s="10"/>
      <c r="I15" s="10">
        <v>40000</v>
      </c>
      <c r="J15" s="10"/>
      <c r="K15" s="10">
        <v>40000</v>
      </c>
      <c r="L15" s="10"/>
    </row>
    <row r="16" spans="1:12" s="31" customFormat="1" ht="15.75">
      <c r="A16" s="55"/>
      <c r="B16" s="55"/>
      <c r="C16" s="55"/>
      <c r="D16" s="55"/>
      <c r="E16" s="11">
        <v>211</v>
      </c>
      <c r="F16" s="8" t="s">
        <v>141</v>
      </c>
      <c r="G16" s="95">
        <v>15000</v>
      </c>
      <c r="H16" s="10"/>
      <c r="I16" s="10">
        <v>15000</v>
      </c>
      <c r="J16" s="10"/>
      <c r="K16" s="10">
        <v>15000</v>
      </c>
      <c r="L16" s="10"/>
    </row>
    <row r="17" spans="1:14" s="31" customFormat="1" ht="47.25">
      <c r="A17" s="55"/>
      <c r="B17" s="55"/>
      <c r="C17" s="55"/>
      <c r="D17" s="55"/>
      <c r="E17" s="11">
        <v>211</v>
      </c>
      <c r="F17" s="8" t="s">
        <v>143</v>
      </c>
      <c r="G17" s="95">
        <v>36000</v>
      </c>
      <c r="H17" s="10"/>
      <c r="I17" s="10">
        <v>30000</v>
      </c>
      <c r="J17" s="10"/>
      <c r="K17" s="10">
        <v>22000</v>
      </c>
      <c r="L17" s="10"/>
    </row>
    <row r="18" spans="1:14" s="31" customFormat="1" ht="22.5" customHeight="1">
      <c r="A18" s="55" t="s">
        <v>7</v>
      </c>
      <c r="B18" s="55">
        <v>4</v>
      </c>
      <c r="C18" s="55" t="s">
        <v>71</v>
      </c>
      <c r="D18" s="55">
        <v>112</v>
      </c>
      <c r="E18" s="11">
        <v>214</v>
      </c>
      <c r="F18" s="8" t="s">
        <v>35</v>
      </c>
      <c r="G18" s="95">
        <v>1357300</v>
      </c>
      <c r="H18" s="10"/>
      <c r="I18" s="10">
        <v>1246500</v>
      </c>
      <c r="J18" s="10"/>
      <c r="K18" s="10">
        <v>1357300</v>
      </c>
      <c r="L18" s="10"/>
    </row>
    <row r="19" spans="1:14" s="31" customFormat="1" ht="55.5" customHeight="1">
      <c r="A19" s="55" t="s">
        <v>7</v>
      </c>
      <c r="B19" s="55">
        <v>4</v>
      </c>
      <c r="C19" s="55" t="s">
        <v>71</v>
      </c>
      <c r="D19" s="55">
        <v>112</v>
      </c>
      <c r="E19" s="11">
        <v>266</v>
      </c>
      <c r="F19" s="8" t="s">
        <v>144</v>
      </c>
      <c r="G19" s="95">
        <v>189833.28</v>
      </c>
      <c r="H19" s="10"/>
      <c r="I19" s="10">
        <v>173418.7</v>
      </c>
      <c r="J19" s="10"/>
      <c r="K19" s="10">
        <v>146516.97</v>
      </c>
      <c r="L19" s="10"/>
    </row>
    <row r="20" spans="1:14" s="31" customFormat="1" ht="55.5" customHeight="1">
      <c r="A20" s="55"/>
      <c r="B20" s="55"/>
      <c r="C20" s="55"/>
      <c r="D20" s="55"/>
      <c r="E20" s="11">
        <v>266</v>
      </c>
      <c r="F20" s="8" t="s">
        <v>41</v>
      </c>
      <c r="G20" s="95">
        <v>5100</v>
      </c>
      <c r="H20" s="10"/>
      <c r="I20" s="10">
        <v>3145</v>
      </c>
      <c r="J20" s="10"/>
      <c r="K20" s="10">
        <v>680</v>
      </c>
      <c r="L20" s="10"/>
    </row>
    <row r="21" spans="1:14" s="31" customFormat="1" ht="55.5" customHeight="1">
      <c r="A21" s="55" t="s">
        <v>7</v>
      </c>
      <c r="B21" s="55">
        <v>4</v>
      </c>
      <c r="C21" s="55" t="s">
        <v>71</v>
      </c>
      <c r="D21" s="55">
        <v>112</v>
      </c>
      <c r="E21" s="11">
        <v>226</v>
      </c>
      <c r="F21" s="8" t="s">
        <v>102</v>
      </c>
      <c r="G21" s="99">
        <v>0</v>
      </c>
      <c r="H21" s="99"/>
      <c r="I21" s="99">
        <v>0</v>
      </c>
      <c r="J21" s="99"/>
      <c r="K21" s="99">
        <v>0</v>
      </c>
      <c r="L21" s="99"/>
    </row>
    <row r="22" spans="1:14" s="31" customFormat="1" ht="23.25" customHeight="1">
      <c r="A22" s="55" t="s">
        <v>7</v>
      </c>
      <c r="B22" s="55">
        <v>4</v>
      </c>
      <c r="C22" s="55" t="s">
        <v>69</v>
      </c>
      <c r="D22" s="55">
        <v>119</v>
      </c>
      <c r="E22" s="11">
        <v>213</v>
      </c>
      <c r="F22" s="8" t="s">
        <v>10</v>
      </c>
      <c r="G22" s="100">
        <v>8142293.2800000003</v>
      </c>
      <c r="H22" s="100">
        <f>13466336.88-G22-G55</f>
        <v>3839894.82</v>
      </c>
      <c r="I22" s="100">
        <v>8098921.9800000004</v>
      </c>
      <c r="J22" s="100">
        <f>13466336.88-I22-I55</f>
        <v>3883266.12</v>
      </c>
      <c r="K22" s="100">
        <v>8098921.9800000004</v>
      </c>
      <c r="L22" s="100">
        <f>13466336.88-K22-K55</f>
        <v>3883266.12</v>
      </c>
      <c r="M22" s="215"/>
      <c r="N22" s="215"/>
    </row>
    <row r="23" spans="1:14" s="31" customFormat="1" ht="31.5">
      <c r="A23" s="55" t="s">
        <v>7</v>
      </c>
      <c r="B23" s="55">
        <v>4</v>
      </c>
      <c r="C23" s="55" t="s">
        <v>71</v>
      </c>
      <c r="D23" s="55">
        <v>119</v>
      </c>
      <c r="E23" s="11">
        <v>213</v>
      </c>
      <c r="F23" s="8" t="s">
        <v>67</v>
      </c>
      <c r="G23" s="13">
        <v>57329.65</v>
      </c>
      <c r="H23" s="13"/>
      <c r="I23" s="13">
        <v>52372.45</v>
      </c>
      <c r="J23" s="13"/>
      <c r="K23" s="13">
        <v>44248.12</v>
      </c>
      <c r="L23" s="13"/>
    </row>
    <row r="24" spans="1:14" s="31" customFormat="1" ht="47.25">
      <c r="A24" s="55"/>
      <c r="B24" s="55"/>
      <c r="C24" s="55"/>
      <c r="D24" s="55"/>
      <c r="E24" s="11">
        <v>213</v>
      </c>
      <c r="F24" s="8" t="s">
        <v>146</v>
      </c>
      <c r="G24" s="94">
        <f>G14*30.2%</f>
        <v>3020</v>
      </c>
      <c r="H24" s="13"/>
      <c r="I24" s="13">
        <f>I14*30.2%</f>
        <v>9060</v>
      </c>
      <c r="J24" s="13"/>
      <c r="K24" s="13">
        <f>K14*30.2%</f>
        <v>3020</v>
      </c>
      <c r="L24" s="13"/>
    </row>
    <row r="25" spans="1:14" s="31" customFormat="1" ht="47.25">
      <c r="A25" s="55"/>
      <c r="B25" s="55"/>
      <c r="C25" s="55"/>
      <c r="D25" s="55"/>
      <c r="E25" s="11">
        <v>213</v>
      </c>
      <c r="F25" s="8" t="s">
        <v>140</v>
      </c>
      <c r="G25" s="94">
        <v>12080</v>
      </c>
      <c r="H25" s="13"/>
      <c r="I25" s="13">
        <v>12080</v>
      </c>
      <c r="J25" s="13"/>
      <c r="K25" s="13">
        <v>12080</v>
      </c>
      <c r="L25" s="13"/>
    </row>
    <row r="26" spans="1:14" s="31" customFormat="1" ht="47.25">
      <c r="A26" s="55"/>
      <c r="B26" s="55"/>
      <c r="C26" s="55"/>
      <c r="D26" s="55"/>
      <c r="E26" s="11">
        <v>213</v>
      </c>
      <c r="F26" s="8" t="s">
        <v>142</v>
      </c>
      <c r="G26" s="94">
        <v>4530</v>
      </c>
      <c r="H26" s="13"/>
      <c r="I26" s="13">
        <v>4530</v>
      </c>
      <c r="J26" s="13"/>
      <c r="K26" s="13">
        <v>4530</v>
      </c>
      <c r="L26" s="13"/>
    </row>
    <row r="27" spans="1:14" s="31" customFormat="1" ht="19.5" customHeight="1">
      <c r="A27" s="55" t="s">
        <v>7</v>
      </c>
      <c r="B27" s="55">
        <v>4</v>
      </c>
      <c r="C27" s="55" t="s">
        <v>71</v>
      </c>
      <c r="D27" s="55">
        <v>244</v>
      </c>
      <c r="E27" s="11">
        <v>221</v>
      </c>
      <c r="F27" s="8" t="s">
        <v>11</v>
      </c>
      <c r="G27" s="95">
        <f>228206.4+614.4</f>
        <v>228820.8</v>
      </c>
      <c r="H27" s="10"/>
      <c r="I27" s="10">
        <f>228206.4+614.4</f>
        <v>228820.8</v>
      </c>
      <c r="J27" s="10"/>
      <c r="K27" s="10">
        <f>228206.4+614.4</f>
        <v>228820.8</v>
      </c>
      <c r="L27" s="10"/>
    </row>
    <row r="28" spans="1:14" s="31" customFormat="1" ht="19.5" customHeight="1">
      <c r="A28" s="55" t="s">
        <v>7</v>
      </c>
      <c r="B28" s="55">
        <v>4</v>
      </c>
      <c r="C28" s="55" t="s">
        <v>71</v>
      </c>
      <c r="D28" s="55">
        <v>244</v>
      </c>
      <c r="E28" s="11">
        <v>222</v>
      </c>
      <c r="F28" s="8" t="s">
        <v>12</v>
      </c>
      <c r="G28" s="95">
        <v>160373.01999999999</v>
      </c>
      <c r="H28" s="10"/>
      <c r="I28" s="10">
        <v>160373.01999999999</v>
      </c>
      <c r="J28" s="10"/>
      <c r="K28" s="10">
        <v>160373.01999999999</v>
      </c>
      <c r="L28" s="10"/>
    </row>
    <row r="29" spans="1:14" s="31" customFormat="1" ht="15.75">
      <c r="A29" s="55" t="s">
        <v>7</v>
      </c>
      <c r="B29" s="55">
        <v>4</v>
      </c>
      <c r="C29" s="55" t="s">
        <v>71</v>
      </c>
      <c r="D29" s="55">
        <v>244</v>
      </c>
      <c r="E29" s="11">
        <v>223</v>
      </c>
      <c r="F29" s="8" t="s">
        <v>13</v>
      </c>
      <c r="G29" s="95">
        <v>1269431.3600000001</v>
      </c>
      <c r="H29" s="10"/>
      <c r="I29" s="10">
        <v>1279109.97</v>
      </c>
      <c r="J29" s="10"/>
      <c r="K29" s="10">
        <v>1288233.6599999999</v>
      </c>
      <c r="L29" s="10"/>
    </row>
    <row r="30" spans="1:14" s="31" customFormat="1" ht="15.75">
      <c r="A30" s="55" t="s">
        <v>7</v>
      </c>
      <c r="B30" s="55">
        <v>4</v>
      </c>
      <c r="C30" s="55" t="s">
        <v>71</v>
      </c>
      <c r="D30" s="55">
        <v>244</v>
      </c>
      <c r="E30" s="11">
        <v>223</v>
      </c>
      <c r="F30" s="8" t="s">
        <v>147</v>
      </c>
      <c r="G30" s="95">
        <v>32043.97</v>
      </c>
      <c r="H30" s="10"/>
      <c r="I30" s="10">
        <v>33152.959999999999</v>
      </c>
      <c r="J30" s="10"/>
      <c r="K30" s="10">
        <v>33381.040000000001</v>
      </c>
      <c r="L30" s="10"/>
    </row>
    <row r="31" spans="1:14" s="31" customFormat="1" ht="33" customHeight="1">
      <c r="A31" s="55" t="s">
        <v>7</v>
      </c>
      <c r="B31" s="55">
        <v>4</v>
      </c>
      <c r="C31" s="55" t="s">
        <v>71</v>
      </c>
      <c r="D31" s="55">
        <v>244</v>
      </c>
      <c r="E31" s="11">
        <v>225</v>
      </c>
      <c r="F31" s="8" t="s">
        <v>149</v>
      </c>
      <c r="G31" s="10">
        <f>5236.14+35700+81611.22</f>
        <v>122547.36</v>
      </c>
      <c r="H31" s="10"/>
      <c r="I31" s="10">
        <f>5236.14+35700+81611.22</f>
        <v>122547.36</v>
      </c>
      <c r="J31" s="10"/>
      <c r="K31" s="10">
        <f>5236.14+35700+81611.22</f>
        <v>122547.36</v>
      </c>
      <c r="L31" s="10"/>
    </row>
    <row r="32" spans="1:14" s="31" customFormat="1" ht="31.5">
      <c r="A32" s="55" t="s">
        <v>7</v>
      </c>
      <c r="B32" s="55">
        <v>4</v>
      </c>
      <c r="C32" s="55" t="s">
        <v>71</v>
      </c>
      <c r="D32" s="55">
        <v>244</v>
      </c>
      <c r="E32" s="11">
        <v>225</v>
      </c>
      <c r="F32" s="8" t="s">
        <v>148</v>
      </c>
      <c r="G32" s="95">
        <f>961008.5-272296.72+99999.96</f>
        <v>788711.74</v>
      </c>
      <c r="H32" s="10"/>
      <c r="I32" s="10">
        <f>961008.5-209187.6+99999.96</f>
        <v>851820.86</v>
      </c>
      <c r="J32" s="10"/>
      <c r="K32" s="10">
        <f>961008.5-253883+99999.96</f>
        <v>807125.46</v>
      </c>
      <c r="L32" s="10"/>
    </row>
    <row r="33" spans="1:14" s="31" customFormat="1" ht="15.75">
      <c r="A33" s="55" t="s">
        <v>7</v>
      </c>
      <c r="B33" s="55">
        <v>4</v>
      </c>
      <c r="C33" s="55" t="s">
        <v>71</v>
      </c>
      <c r="D33" s="55">
        <v>244</v>
      </c>
      <c r="E33" s="11">
        <v>224</v>
      </c>
      <c r="F33" s="8" t="s">
        <v>151</v>
      </c>
      <c r="G33" s="95">
        <f>12428476.8-9362656.92+272296.72+1386.97</f>
        <v>3339503.57</v>
      </c>
      <c r="H33" s="95">
        <f>12428476.8-G33</f>
        <v>9088973.2300000004</v>
      </c>
      <c r="I33" s="10">
        <f>12428476.8-9078188.03+209187.6+1386.97</f>
        <v>3560863.34</v>
      </c>
      <c r="J33" s="10">
        <f>12428476.8-I33</f>
        <v>8867613.4600000009</v>
      </c>
      <c r="K33" s="10">
        <f>12428476.8-9118684.41+253883+1386.97</f>
        <v>3565062.36</v>
      </c>
      <c r="L33" s="10">
        <f>12428476.8-K33</f>
        <v>8863414.4399999995</v>
      </c>
    </row>
    <row r="34" spans="1:14" s="31" customFormat="1" ht="15.75">
      <c r="A34" s="55" t="s">
        <v>7</v>
      </c>
      <c r="B34" s="55">
        <v>4</v>
      </c>
      <c r="C34" s="55" t="s">
        <v>71</v>
      </c>
      <c r="D34" s="55">
        <v>244</v>
      </c>
      <c r="E34" s="11">
        <v>226</v>
      </c>
      <c r="F34" s="8" t="s">
        <v>150</v>
      </c>
      <c r="G34" s="94">
        <v>911266.3</v>
      </c>
      <c r="H34" s="13"/>
      <c r="I34" s="13">
        <v>911266.3</v>
      </c>
      <c r="J34" s="13"/>
      <c r="K34" s="13">
        <v>911266.3</v>
      </c>
      <c r="L34" s="13"/>
    </row>
    <row r="35" spans="1:14" s="30" customFormat="1" ht="15.75">
      <c r="A35" s="27" t="s">
        <v>7</v>
      </c>
      <c r="B35" s="27">
        <v>4</v>
      </c>
      <c r="C35" s="27" t="s">
        <v>70</v>
      </c>
      <c r="D35" s="27">
        <v>244</v>
      </c>
      <c r="E35" s="28">
        <v>226</v>
      </c>
      <c r="F35" s="29" t="s">
        <v>15</v>
      </c>
      <c r="G35" s="94">
        <v>2100099.31</v>
      </c>
      <c r="H35" s="107"/>
      <c r="I35" s="107">
        <v>2238560.48</v>
      </c>
      <c r="J35" s="107"/>
      <c r="K35" s="107">
        <v>2091392.71</v>
      </c>
      <c r="L35" s="107"/>
    </row>
    <row r="36" spans="1:14" s="31" customFormat="1" ht="18" customHeight="1">
      <c r="A36" s="55" t="s">
        <v>7</v>
      </c>
      <c r="B36" s="55">
        <v>4</v>
      </c>
      <c r="C36" s="55" t="s">
        <v>71</v>
      </c>
      <c r="D36" s="55">
        <v>851</v>
      </c>
      <c r="E36" s="11">
        <v>291</v>
      </c>
      <c r="F36" s="8" t="s">
        <v>28</v>
      </c>
      <c r="G36" s="10">
        <v>119325</v>
      </c>
      <c r="H36" s="10"/>
      <c r="I36" s="10">
        <v>0</v>
      </c>
      <c r="J36" s="10"/>
      <c r="K36" s="10">
        <v>0</v>
      </c>
      <c r="L36" s="10"/>
      <c r="M36" s="7">
        <f>G40+H40</f>
        <v>72886979.799999997</v>
      </c>
    </row>
    <row r="37" spans="1:14" s="31" customFormat="1" ht="19.5" customHeight="1">
      <c r="A37" s="55" t="s">
        <v>7</v>
      </c>
      <c r="B37" s="55">
        <v>4</v>
      </c>
      <c r="C37" s="55" t="s">
        <v>71</v>
      </c>
      <c r="D37" s="55">
        <v>853</v>
      </c>
      <c r="E37" s="11">
        <v>297</v>
      </c>
      <c r="F37" s="8" t="s">
        <v>38</v>
      </c>
      <c r="G37" s="13">
        <f>68230.24-G70</f>
        <v>60804.160000000003</v>
      </c>
      <c r="H37" s="13"/>
      <c r="I37" s="13">
        <f>68230.24-I70</f>
        <v>60804.160000000003</v>
      </c>
      <c r="J37" s="13"/>
      <c r="K37" s="13">
        <f>68230.24-K70</f>
        <v>60804.160000000003</v>
      </c>
      <c r="L37" s="100"/>
    </row>
    <row r="38" spans="1:14" s="30" customFormat="1" ht="31.5">
      <c r="A38" s="27" t="s">
        <v>7</v>
      </c>
      <c r="B38" s="27">
        <v>4</v>
      </c>
      <c r="C38" s="27" t="s">
        <v>70</v>
      </c>
      <c r="D38" s="27">
        <v>244</v>
      </c>
      <c r="E38" s="28">
        <v>346</v>
      </c>
      <c r="F38" s="29" t="s">
        <v>112</v>
      </c>
      <c r="G38" s="95">
        <v>359298.91</v>
      </c>
      <c r="H38" s="98"/>
      <c r="I38" s="98">
        <v>397358.85</v>
      </c>
      <c r="J38" s="98"/>
      <c r="K38" s="98">
        <v>544526.62</v>
      </c>
      <c r="L38" s="98"/>
    </row>
    <row r="39" spans="1:14" s="31" customFormat="1" ht="47.25">
      <c r="A39" s="55" t="s">
        <v>7</v>
      </c>
      <c r="B39" s="55">
        <v>4</v>
      </c>
      <c r="C39" s="55" t="s">
        <v>71</v>
      </c>
      <c r="D39" s="16">
        <v>119</v>
      </c>
      <c r="E39" s="17">
        <v>266</v>
      </c>
      <c r="F39" s="9" t="s">
        <v>65</v>
      </c>
      <c r="G39" s="94">
        <v>57329.65</v>
      </c>
      <c r="H39" s="13"/>
      <c r="I39" s="13">
        <v>52372.45</v>
      </c>
      <c r="J39" s="13"/>
      <c r="K39" s="13">
        <v>44248.12</v>
      </c>
      <c r="L39" s="13"/>
    </row>
    <row r="40" spans="1:14" s="31" customFormat="1" ht="15.75" customHeight="1">
      <c r="A40" s="1482" t="s">
        <v>17</v>
      </c>
      <c r="B40" s="1482"/>
      <c r="C40" s="1482"/>
      <c r="D40" s="1482"/>
      <c r="E40" s="1482"/>
      <c r="F40" s="1482"/>
      <c r="G40" s="13">
        <f t="shared" ref="G40:L40" si="0">SUM(G11:G39)</f>
        <v>46508233.899999999</v>
      </c>
      <c r="H40" s="13">
        <f t="shared" si="0"/>
        <v>26378745.899999999</v>
      </c>
      <c r="I40" s="13">
        <f t="shared" si="0"/>
        <v>46636352.270000003</v>
      </c>
      <c r="J40" s="13">
        <f t="shared" si="0"/>
        <v>26262676.379999999</v>
      </c>
      <c r="K40" s="13">
        <f t="shared" si="0"/>
        <v>46636352.270000003</v>
      </c>
      <c r="L40" s="13">
        <f t="shared" si="0"/>
        <v>26258477.359999999</v>
      </c>
    </row>
    <row r="41" spans="1:14" s="31" customFormat="1" ht="15.75" customHeight="1">
      <c r="A41" s="209"/>
      <c r="B41" s="209"/>
      <c r="C41" s="209"/>
      <c r="D41" s="209"/>
      <c r="E41" s="209"/>
      <c r="F41" s="209"/>
      <c r="G41" s="211">
        <v>46508233.899999999</v>
      </c>
      <c r="H41" s="211"/>
      <c r="I41" s="211">
        <v>46636352.270000003</v>
      </c>
      <c r="J41" s="211"/>
      <c r="K41" s="211">
        <v>46636352.270000003</v>
      </c>
      <c r="L41" s="211"/>
    </row>
    <row r="42" spans="1:14" s="31" customFormat="1" ht="23.25" customHeight="1">
      <c r="A42" s="1486" t="s">
        <v>18</v>
      </c>
      <c r="B42" s="1486"/>
      <c r="C42" s="1486"/>
      <c r="D42" s="1486"/>
      <c r="E42" s="1486"/>
      <c r="F42" s="1486"/>
      <c r="G42" s="216">
        <f>G40-G41</f>
        <v>0</v>
      </c>
      <c r="H42" s="214"/>
      <c r="I42" s="216">
        <f>I40-I41</f>
        <v>0</v>
      </c>
      <c r="J42" s="214"/>
      <c r="K42" s="216">
        <f>K40-K41</f>
        <v>0</v>
      </c>
      <c r="L42" s="214"/>
      <c r="M42" s="215"/>
      <c r="N42" s="215"/>
    </row>
    <row r="43" spans="1:14" s="31" customFormat="1" ht="28.5" customHeight="1">
      <c r="A43" s="16" t="s">
        <v>44</v>
      </c>
      <c r="B43" s="16">
        <v>5</v>
      </c>
      <c r="C43" s="55" t="s">
        <v>72</v>
      </c>
      <c r="D43" s="16">
        <v>244</v>
      </c>
      <c r="E43" s="17">
        <v>226</v>
      </c>
      <c r="F43" s="8" t="s">
        <v>15</v>
      </c>
      <c r="G43" s="100">
        <v>52833.25</v>
      </c>
      <c r="H43" s="100"/>
      <c r="I43" s="100">
        <v>0</v>
      </c>
      <c r="J43" s="100"/>
      <c r="K43" s="100">
        <v>0</v>
      </c>
      <c r="L43" s="100"/>
    </row>
    <row r="44" spans="1:14" s="31" customFormat="1" ht="21.75" customHeight="1">
      <c r="A44" s="55" t="s">
        <v>19</v>
      </c>
      <c r="B44" s="16">
        <v>5</v>
      </c>
      <c r="C44" s="55" t="s">
        <v>71</v>
      </c>
      <c r="D44" s="55">
        <v>112</v>
      </c>
      <c r="E44" s="11">
        <v>266</v>
      </c>
      <c r="F44" s="8" t="s">
        <v>40</v>
      </c>
      <c r="G44" s="100">
        <v>0</v>
      </c>
      <c r="H44" s="100"/>
      <c r="I44" s="100">
        <v>0</v>
      </c>
      <c r="J44" s="100"/>
      <c r="K44" s="100">
        <v>0</v>
      </c>
      <c r="L44" s="100"/>
    </row>
    <row r="45" spans="1:14" s="31" customFormat="1" ht="15.75">
      <c r="A45" s="1476" t="s">
        <v>17</v>
      </c>
      <c r="B45" s="1477"/>
      <c r="C45" s="1477"/>
      <c r="D45" s="1477"/>
      <c r="E45" s="1477"/>
      <c r="F45" s="1478"/>
      <c r="G45" s="13">
        <f>SUM(G43:G44)</f>
        <v>52833.25</v>
      </c>
      <c r="H45" s="13"/>
      <c r="I45" s="13">
        <f>SUM(I43:I44)</f>
        <v>0</v>
      </c>
      <c r="J45" s="13"/>
      <c r="K45" s="13">
        <f>SUM(K43:K44)</f>
        <v>0</v>
      </c>
      <c r="L45" s="13"/>
    </row>
    <row r="46" spans="1:14" s="31" customFormat="1" ht="16.5" customHeight="1">
      <c r="A46" s="1476" t="s">
        <v>21</v>
      </c>
      <c r="B46" s="1477"/>
      <c r="C46" s="1477"/>
      <c r="D46" s="1477"/>
      <c r="E46" s="1477"/>
      <c r="F46" s="1478"/>
      <c r="G46" s="10">
        <f>G40+G45</f>
        <v>46561067.149999999</v>
      </c>
      <c r="H46" s="10"/>
      <c r="I46" s="10">
        <f>I40+I45</f>
        <v>46636352.270000003</v>
      </c>
      <c r="J46" s="10"/>
      <c r="K46" s="10">
        <f>K40+K45</f>
        <v>46636352.270000003</v>
      </c>
      <c r="L46" s="10"/>
    </row>
    <row r="47" spans="1:14" s="31" customFormat="1" ht="16.5" customHeight="1">
      <c r="A47" s="204"/>
      <c r="B47" s="205"/>
      <c r="C47" s="205"/>
      <c r="D47" s="205"/>
      <c r="E47" s="205"/>
      <c r="F47" s="206"/>
      <c r="G47" s="210">
        <v>4800</v>
      </c>
      <c r="H47" s="210"/>
      <c r="I47" s="210">
        <v>7200</v>
      </c>
      <c r="J47" s="210"/>
      <c r="K47" s="210">
        <v>7200</v>
      </c>
      <c r="L47" s="210"/>
    </row>
    <row r="48" spans="1:14" s="31" customFormat="1" ht="15.75">
      <c r="A48" s="1479" t="s">
        <v>22</v>
      </c>
      <c r="B48" s="1479"/>
      <c r="C48" s="1479"/>
      <c r="D48" s="1479"/>
      <c r="E48" s="1479"/>
      <c r="F48" s="1479"/>
      <c r="G48" s="208"/>
      <c r="H48" s="214"/>
      <c r="I48" s="208"/>
      <c r="J48" s="214"/>
      <c r="K48" s="208"/>
      <c r="L48" s="214"/>
    </row>
    <row r="49" spans="1:15" s="31" customFormat="1" ht="24.75" customHeight="1">
      <c r="A49" s="55" t="s">
        <v>23</v>
      </c>
      <c r="B49" s="55">
        <v>2</v>
      </c>
      <c r="C49" s="55" t="s">
        <v>69</v>
      </c>
      <c r="D49" s="55">
        <v>111</v>
      </c>
      <c r="E49" s="55">
        <v>211</v>
      </c>
      <c r="F49" s="8" t="s">
        <v>8</v>
      </c>
      <c r="G49" s="10">
        <v>4950719.2</v>
      </c>
      <c r="H49" s="10"/>
      <c r="I49" s="10">
        <v>4950719.2</v>
      </c>
      <c r="J49" s="10"/>
      <c r="K49" s="10">
        <v>4950719.2</v>
      </c>
      <c r="L49" s="10"/>
    </row>
    <row r="50" spans="1:15" s="31" customFormat="1" ht="94.5">
      <c r="A50" s="55" t="s">
        <v>23</v>
      </c>
      <c r="B50" s="55">
        <v>2</v>
      </c>
      <c r="C50" s="55" t="s">
        <v>71</v>
      </c>
      <c r="D50" s="55">
        <v>111</v>
      </c>
      <c r="E50" s="11">
        <v>211</v>
      </c>
      <c r="F50" s="8" t="s">
        <v>49</v>
      </c>
      <c r="G50" s="99"/>
      <c r="H50" s="99"/>
      <c r="I50" s="99"/>
      <c r="J50" s="99"/>
      <c r="K50" s="99"/>
      <c r="L50" s="99"/>
      <c r="M50" s="7"/>
      <c r="N50" s="7"/>
      <c r="O50" s="7"/>
    </row>
    <row r="51" spans="1:15" s="31" customFormat="1" ht="47.25">
      <c r="A51" s="55"/>
      <c r="B51" s="55"/>
      <c r="C51" s="55"/>
      <c r="D51" s="55"/>
      <c r="E51" s="11">
        <v>211</v>
      </c>
      <c r="F51" s="8" t="s">
        <v>59</v>
      </c>
      <c r="G51" s="95">
        <v>4000</v>
      </c>
      <c r="H51" s="10"/>
      <c r="I51" s="10">
        <v>1000</v>
      </c>
      <c r="J51" s="10"/>
      <c r="K51" s="10">
        <v>0</v>
      </c>
      <c r="L51" s="10"/>
      <c r="M51" s="7"/>
      <c r="N51" s="7"/>
      <c r="O51" s="7"/>
    </row>
    <row r="52" spans="1:15" s="31" customFormat="1" ht="47.25">
      <c r="A52" s="55" t="s">
        <v>23</v>
      </c>
      <c r="B52" s="55">
        <v>2</v>
      </c>
      <c r="C52" s="55" t="s">
        <v>71</v>
      </c>
      <c r="D52" s="55">
        <v>111</v>
      </c>
      <c r="E52" s="11">
        <v>266</v>
      </c>
      <c r="F52" s="8" t="s">
        <v>43</v>
      </c>
      <c r="G52" s="99"/>
      <c r="H52" s="99"/>
      <c r="I52" s="99"/>
      <c r="J52" s="99"/>
      <c r="K52" s="99"/>
      <c r="L52" s="99"/>
    </row>
    <row r="53" spans="1:15" s="31" customFormat="1" ht="47.25">
      <c r="A53" s="55" t="s">
        <v>23</v>
      </c>
      <c r="B53" s="55">
        <v>2</v>
      </c>
      <c r="C53" s="55" t="s">
        <v>71</v>
      </c>
      <c r="D53" s="55">
        <v>112</v>
      </c>
      <c r="E53" s="11">
        <v>266</v>
      </c>
      <c r="F53" s="8" t="s">
        <v>41</v>
      </c>
      <c r="G53" s="95">
        <v>1020</v>
      </c>
      <c r="H53" s="10"/>
      <c r="I53" s="10">
        <v>425</v>
      </c>
      <c r="J53" s="10"/>
      <c r="K53" s="10">
        <v>0</v>
      </c>
      <c r="L53" s="10"/>
    </row>
    <row r="54" spans="1:15" s="31" customFormat="1" ht="16.5" customHeight="1">
      <c r="A54" s="55" t="s">
        <v>23</v>
      </c>
      <c r="B54" s="55">
        <v>2</v>
      </c>
      <c r="C54" s="55" t="s">
        <v>71</v>
      </c>
      <c r="D54" s="55">
        <v>112</v>
      </c>
      <c r="E54" s="11">
        <v>214</v>
      </c>
      <c r="F54" s="8" t="s">
        <v>35</v>
      </c>
      <c r="G54" s="95">
        <v>83100</v>
      </c>
      <c r="H54" s="10"/>
      <c r="I54" s="10">
        <v>138500</v>
      </c>
      <c r="J54" s="10"/>
      <c r="K54" s="10">
        <v>83100</v>
      </c>
      <c r="L54" s="10"/>
    </row>
    <row r="55" spans="1:15" s="31" customFormat="1" ht="15.75">
      <c r="A55" s="55" t="s">
        <v>23</v>
      </c>
      <c r="B55" s="55">
        <v>2</v>
      </c>
      <c r="C55" s="55" t="s">
        <v>69</v>
      </c>
      <c r="D55" s="55">
        <v>119</v>
      </c>
      <c r="E55" s="11">
        <v>213</v>
      </c>
      <c r="F55" s="8" t="s">
        <v>10</v>
      </c>
      <c r="G55" s="10">
        <v>1484148.78</v>
      </c>
      <c r="H55" s="10"/>
      <c r="I55" s="10">
        <v>1484148.78</v>
      </c>
      <c r="J55" s="10"/>
      <c r="K55" s="10">
        <v>1484148.78</v>
      </c>
      <c r="L55" s="10"/>
    </row>
    <row r="56" spans="1:15" s="31" customFormat="1" ht="16.5" customHeight="1">
      <c r="A56" s="55" t="s">
        <v>23</v>
      </c>
      <c r="B56" s="55">
        <v>2</v>
      </c>
      <c r="C56" s="55" t="s">
        <v>71</v>
      </c>
      <c r="D56" s="55">
        <v>244</v>
      </c>
      <c r="E56" s="11">
        <v>222</v>
      </c>
      <c r="F56" s="8" t="s">
        <v>12</v>
      </c>
      <c r="G56" s="95">
        <v>253921.27</v>
      </c>
      <c r="H56" s="10"/>
      <c r="I56" s="10">
        <v>253921.27</v>
      </c>
      <c r="J56" s="10"/>
      <c r="K56" s="10">
        <v>253921.27</v>
      </c>
      <c r="L56" s="10"/>
    </row>
    <row r="57" spans="1:15" s="31" customFormat="1" ht="15.75">
      <c r="A57" s="55" t="s">
        <v>23</v>
      </c>
      <c r="B57" s="55">
        <v>2</v>
      </c>
      <c r="C57" s="55" t="s">
        <v>71</v>
      </c>
      <c r="D57" s="55">
        <v>244</v>
      </c>
      <c r="E57" s="11">
        <v>225</v>
      </c>
      <c r="F57" s="8" t="s">
        <v>14</v>
      </c>
      <c r="G57" s="95">
        <f>272296.72-99999.96</f>
        <v>172296.76</v>
      </c>
      <c r="H57" s="10"/>
      <c r="I57" s="10">
        <f>209187.6-99999.96</f>
        <v>109187.64</v>
      </c>
      <c r="J57" s="10"/>
      <c r="K57" s="10">
        <f>253883-99999.96</f>
        <v>153883.04</v>
      </c>
      <c r="L57" s="10"/>
    </row>
    <row r="58" spans="1:15" s="31" customFormat="1" ht="15.75">
      <c r="A58" s="55" t="s">
        <v>23</v>
      </c>
      <c r="B58" s="55">
        <v>2</v>
      </c>
      <c r="C58" s="55" t="s">
        <v>71</v>
      </c>
      <c r="D58" s="55">
        <v>244</v>
      </c>
      <c r="E58" s="11">
        <v>226</v>
      </c>
      <c r="F58" s="8" t="s">
        <v>152</v>
      </c>
      <c r="G58" s="95">
        <v>108721.8</v>
      </c>
      <c r="H58" s="10"/>
      <c r="I58" s="10">
        <v>117419.52</v>
      </c>
      <c r="J58" s="10"/>
      <c r="K58" s="10">
        <v>126813.12</v>
      </c>
      <c r="L58" s="10"/>
    </row>
    <row r="59" spans="1:15" s="31" customFormat="1" ht="15.75">
      <c r="A59" s="55" t="s">
        <v>23</v>
      </c>
      <c r="B59" s="55">
        <v>2</v>
      </c>
      <c r="C59" s="55" t="s">
        <v>71</v>
      </c>
      <c r="D59" s="55">
        <v>244</v>
      </c>
      <c r="E59" s="11">
        <v>226</v>
      </c>
      <c r="F59" s="8" t="s">
        <v>153</v>
      </c>
      <c r="G59" s="95">
        <v>52171.199999999997</v>
      </c>
      <c r="H59" s="10"/>
      <c r="I59" s="10">
        <v>54777.599999999999</v>
      </c>
      <c r="J59" s="10"/>
      <c r="K59" s="10">
        <v>57513.599999999999</v>
      </c>
      <c r="L59" s="10"/>
    </row>
    <row r="60" spans="1:15" s="31" customFormat="1" ht="15.75">
      <c r="A60" s="55" t="s">
        <v>23</v>
      </c>
      <c r="B60" s="55">
        <v>2</v>
      </c>
      <c r="C60" s="55" t="s">
        <v>71</v>
      </c>
      <c r="D60" s="55">
        <v>244</v>
      </c>
      <c r="E60" s="11">
        <v>226</v>
      </c>
      <c r="F60" s="8" t="s">
        <v>154</v>
      </c>
      <c r="G60" s="95">
        <v>21790</v>
      </c>
      <c r="H60" s="10"/>
      <c r="I60" s="10">
        <v>21790</v>
      </c>
      <c r="J60" s="10"/>
      <c r="K60" s="10">
        <v>21790</v>
      </c>
      <c r="L60" s="10"/>
    </row>
    <row r="61" spans="1:15" s="31" customFormat="1" ht="31.5">
      <c r="A61" s="55" t="s">
        <v>23</v>
      </c>
      <c r="B61" s="55">
        <v>2</v>
      </c>
      <c r="C61" s="55" t="s">
        <v>71</v>
      </c>
      <c r="D61" s="55">
        <v>244</v>
      </c>
      <c r="E61" s="11">
        <v>226</v>
      </c>
      <c r="F61" s="8" t="s">
        <v>155</v>
      </c>
      <c r="G61" s="95">
        <v>156000</v>
      </c>
      <c r="H61" s="10"/>
      <c r="I61" s="10">
        <v>156000</v>
      </c>
      <c r="J61" s="10"/>
      <c r="K61" s="10">
        <v>156000</v>
      </c>
      <c r="L61" s="10"/>
    </row>
    <row r="62" spans="1:15" s="31" customFormat="1" ht="31.5">
      <c r="A62" s="55" t="s">
        <v>23</v>
      </c>
      <c r="B62" s="55">
        <v>2</v>
      </c>
      <c r="C62" s="55" t="s">
        <v>71</v>
      </c>
      <c r="D62" s="55">
        <v>244</v>
      </c>
      <c r="E62" s="11">
        <v>226</v>
      </c>
      <c r="F62" s="8" t="s">
        <v>156</v>
      </c>
      <c r="G62" s="95">
        <v>1383821.9</v>
      </c>
      <c r="H62" s="10"/>
      <c r="I62" s="10">
        <v>1383821.9</v>
      </c>
      <c r="J62" s="10"/>
      <c r="K62" s="10">
        <v>1383821.9</v>
      </c>
      <c r="L62" s="10"/>
    </row>
    <row r="63" spans="1:15" s="31" customFormat="1" ht="15.75">
      <c r="A63" s="55" t="s">
        <v>23</v>
      </c>
      <c r="B63" s="55">
        <v>2</v>
      </c>
      <c r="C63" s="55" t="s">
        <v>71</v>
      </c>
      <c r="D63" s="55">
        <v>244</v>
      </c>
      <c r="E63" s="11">
        <v>226</v>
      </c>
      <c r="F63" s="8" t="s">
        <v>157</v>
      </c>
      <c r="G63" s="95">
        <v>199999.92</v>
      </c>
      <c r="H63" s="10"/>
      <c r="I63" s="10">
        <v>199999.92</v>
      </c>
      <c r="J63" s="10"/>
      <c r="K63" s="10">
        <v>199999.92</v>
      </c>
      <c r="L63" s="10"/>
    </row>
    <row r="64" spans="1:15" s="31" customFormat="1" ht="15.75">
      <c r="A64" s="55" t="s">
        <v>23</v>
      </c>
      <c r="B64" s="55">
        <v>2</v>
      </c>
      <c r="C64" s="55" t="s">
        <v>71</v>
      </c>
      <c r="D64" s="55">
        <v>244</v>
      </c>
      <c r="E64" s="11">
        <v>226</v>
      </c>
      <c r="F64" s="8" t="s">
        <v>159</v>
      </c>
      <c r="G64" s="95">
        <v>76788.2</v>
      </c>
      <c r="H64" s="10"/>
      <c r="I64" s="10">
        <v>76788.2</v>
      </c>
      <c r="J64" s="10"/>
      <c r="K64" s="10">
        <v>76788.2</v>
      </c>
      <c r="L64" s="10"/>
    </row>
    <row r="65" spans="1:12" s="31" customFormat="1" ht="15.75">
      <c r="A65" s="55" t="s">
        <v>23</v>
      </c>
      <c r="B65" s="55">
        <v>2</v>
      </c>
      <c r="C65" s="55" t="s">
        <v>71</v>
      </c>
      <c r="D65" s="55">
        <v>244</v>
      </c>
      <c r="E65" s="11">
        <v>226</v>
      </c>
      <c r="F65" s="8" t="s">
        <v>158</v>
      </c>
      <c r="G65" s="95">
        <v>9933.32</v>
      </c>
      <c r="H65" s="10"/>
      <c r="I65" s="10">
        <v>9933.32</v>
      </c>
      <c r="J65" s="10"/>
      <c r="K65" s="10">
        <v>9933.32</v>
      </c>
      <c r="L65" s="10"/>
    </row>
    <row r="66" spans="1:12" s="31" customFormat="1" ht="31.5">
      <c r="A66" s="55" t="s">
        <v>23</v>
      </c>
      <c r="B66" s="55">
        <v>2</v>
      </c>
      <c r="C66" s="55" t="s">
        <v>71</v>
      </c>
      <c r="D66" s="55">
        <v>244</v>
      </c>
      <c r="E66" s="11">
        <v>226</v>
      </c>
      <c r="F66" s="8" t="s">
        <v>160</v>
      </c>
      <c r="G66" s="95">
        <v>622720</v>
      </c>
      <c r="H66" s="10"/>
      <c r="I66" s="10">
        <v>622720</v>
      </c>
      <c r="J66" s="10"/>
      <c r="K66" s="10">
        <v>622720</v>
      </c>
      <c r="L66" s="10"/>
    </row>
    <row r="67" spans="1:12" s="31" customFormat="1" ht="15.75">
      <c r="A67" s="55" t="s">
        <v>23</v>
      </c>
      <c r="B67" s="55">
        <v>2</v>
      </c>
      <c r="C67" s="55" t="s">
        <v>71</v>
      </c>
      <c r="D67" s="55">
        <v>244</v>
      </c>
      <c r="E67" s="11">
        <v>226</v>
      </c>
      <c r="F67" s="8" t="s">
        <v>161</v>
      </c>
      <c r="G67" s="95">
        <v>418590</v>
      </c>
      <c r="H67" s="10"/>
      <c r="I67" s="10">
        <v>418590</v>
      </c>
      <c r="J67" s="10"/>
      <c r="K67" s="10">
        <v>418590</v>
      </c>
      <c r="L67" s="10"/>
    </row>
    <row r="68" spans="1:12" s="31" customFormat="1" ht="15.75">
      <c r="A68" s="55" t="s">
        <v>23</v>
      </c>
      <c r="B68" s="55">
        <v>2</v>
      </c>
      <c r="C68" s="55" t="s">
        <v>71</v>
      </c>
      <c r="D68" s="55">
        <v>244</v>
      </c>
      <c r="E68" s="11">
        <v>226</v>
      </c>
      <c r="F68" s="8" t="s">
        <v>162</v>
      </c>
      <c r="G68" s="95">
        <v>17655.259999999998</v>
      </c>
      <c r="H68" s="10"/>
      <c r="I68" s="10">
        <v>17655.259999999998</v>
      </c>
      <c r="J68" s="10"/>
      <c r="K68" s="10">
        <v>17655.259999999998</v>
      </c>
      <c r="L68" s="10"/>
    </row>
    <row r="69" spans="1:12" s="31" customFormat="1" ht="31.5">
      <c r="A69" s="55" t="s">
        <v>23</v>
      </c>
      <c r="B69" s="55">
        <v>2</v>
      </c>
      <c r="C69" s="55" t="s">
        <v>71</v>
      </c>
      <c r="D69" s="55">
        <v>244</v>
      </c>
      <c r="E69" s="11">
        <v>226</v>
      </c>
      <c r="F69" s="8" t="s">
        <v>169</v>
      </c>
      <c r="G69" s="95">
        <v>138200</v>
      </c>
      <c r="H69" s="10"/>
      <c r="I69" s="10">
        <v>138200</v>
      </c>
      <c r="J69" s="10"/>
      <c r="K69" s="10">
        <v>138200</v>
      </c>
      <c r="L69" s="10"/>
    </row>
    <row r="70" spans="1:12" s="31" customFormat="1" ht="15.75">
      <c r="A70" s="55" t="s">
        <v>23</v>
      </c>
      <c r="B70" s="55">
        <v>2</v>
      </c>
      <c r="C70" s="55" t="s">
        <v>71</v>
      </c>
      <c r="D70" s="55">
        <v>853</v>
      </c>
      <c r="E70" s="11">
        <v>297</v>
      </c>
      <c r="F70" s="8" t="s">
        <v>38</v>
      </c>
      <c r="G70" s="13">
        <v>7426.08</v>
      </c>
      <c r="H70" s="13"/>
      <c r="I70" s="13">
        <v>7426.08</v>
      </c>
      <c r="J70" s="13"/>
      <c r="K70" s="13">
        <v>7426.08</v>
      </c>
      <c r="L70" s="13"/>
    </row>
    <row r="71" spans="1:12" s="31" customFormat="1" ht="31.5">
      <c r="A71" s="55" t="s">
        <v>23</v>
      </c>
      <c r="B71" s="55">
        <v>2</v>
      </c>
      <c r="C71" s="55" t="s">
        <v>71</v>
      </c>
      <c r="D71" s="55">
        <v>244</v>
      </c>
      <c r="E71" s="11">
        <v>346</v>
      </c>
      <c r="F71" s="8" t="s">
        <v>168</v>
      </c>
      <c r="G71" s="94">
        <v>76176.639999999999</v>
      </c>
      <c r="H71" s="13"/>
      <c r="I71" s="13">
        <v>76176.639999999999</v>
      </c>
      <c r="J71" s="13"/>
      <c r="K71" s="13">
        <v>76176.639999999999</v>
      </c>
      <c r="L71" s="13"/>
    </row>
    <row r="72" spans="1:12" s="31" customFormat="1" ht="31.5">
      <c r="A72" s="55" t="s">
        <v>23</v>
      </c>
      <c r="B72" s="55">
        <v>2</v>
      </c>
      <c r="C72" s="55" t="s">
        <v>71</v>
      </c>
      <c r="D72" s="55">
        <v>244</v>
      </c>
      <c r="E72" s="11">
        <v>345</v>
      </c>
      <c r="F72" s="8" t="s">
        <v>166</v>
      </c>
      <c r="G72" s="94">
        <v>12502</v>
      </c>
      <c r="H72" s="13"/>
      <c r="I72" s="13">
        <v>12502</v>
      </c>
      <c r="J72" s="13"/>
      <c r="K72" s="13">
        <v>12502</v>
      </c>
      <c r="L72" s="13"/>
    </row>
    <row r="73" spans="1:12" s="31" customFormat="1" ht="15.75">
      <c r="A73" s="55" t="s">
        <v>23</v>
      </c>
      <c r="B73" s="55">
        <v>2</v>
      </c>
      <c r="C73" s="55" t="s">
        <v>71</v>
      </c>
      <c r="D73" s="55">
        <v>244</v>
      </c>
      <c r="E73" s="11">
        <v>346</v>
      </c>
      <c r="F73" s="8" t="s">
        <v>165</v>
      </c>
      <c r="G73" s="95">
        <v>145856.06</v>
      </c>
      <c r="H73" s="10"/>
      <c r="I73" s="10">
        <v>145856.06</v>
      </c>
      <c r="J73" s="10"/>
      <c r="K73" s="10">
        <v>145856.06</v>
      </c>
      <c r="L73" s="10"/>
    </row>
    <row r="74" spans="1:12" s="31" customFormat="1" ht="31.5">
      <c r="A74" s="55" t="s">
        <v>23</v>
      </c>
      <c r="B74" s="55">
        <v>2</v>
      </c>
      <c r="C74" s="55" t="s">
        <v>71</v>
      </c>
      <c r="D74" s="55">
        <v>244</v>
      </c>
      <c r="E74" s="11">
        <v>346</v>
      </c>
      <c r="F74" s="8" t="s">
        <v>167</v>
      </c>
      <c r="G74" s="95">
        <v>80867.289999999994</v>
      </c>
      <c r="H74" s="10"/>
      <c r="I74" s="10">
        <v>80867.289999999994</v>
      </c>
      <c r="J74" s="10"/>
      <c r="K74" s="10">
        <v>80867.289999999994</v>
      </c>
      <c r="L74" s="10"/>
    </row>
    <row r="75" spans="1:12" s="31" customFormat="1" ht="15.75">
      <c r="A75" s="55" t="s">
        <v>23</v>
      </c>
      <c r="B75" s="55">
        <v>2</v>
      </c>
      <c r="C75" s="55" t="s">
        <v>71</v>
      </c>
      <c r="D75" s="55">
        <v>244</v>
      </c>
      <c r="E75" s="11">
        <v>349</v>
      </c>
      <c r="F75" s="8" t="s">
        <v>163</v>
      </c>
      <c r="G75" s="95">
        <v>117600</v>
      </c>
      <c r="H75" s="10"/>
      <c r="I75" s="10">
        <v>117600</v>
      </c>
      <c r="J75" s="10"/>
      <c r="K75" s="10">
        <v>117600</v>
      </c>
      <c r="L75" s="10"/>
    </row>
    <row r="76" spans="1:12" s="31" customFormat="1" ht="31.5">
      <c r="A76" s="55" t="s">
        <v>23</v>
      </c>
      <c r="B76" s="55">
        <v>2</v>
      </c>
      <c r="C76" s="55" t="s">
        <v>71</v>
      </c>
      <c r="D76" s="55">
        <v>244</v>
      </c>
      <c r="E76" s="11">
        <v>349</v>
      </c>
      <c r="F76" s="8" t="s">
        <v>164</v>
      </c>
      <c r="G76" s="95">
        <v>893974.32</v>
      </c>
      <c r="H76" s="10"/>
      <c r="I76" s="10">
        <v>893974.32</v>
      </c>
      <c r="J76" s="10"/>
      <c r="K76" s="10">
        <v>893974.32</v>
      </c>
      <c r="L76" s="10"/>
    </row>
    <row r="77" spans="1:12" s="31" customFormat="1" ht="15.75">
      <c r="A77" s="1482" t="s">
        <v>17</v>
      </c>
      <c r="B77" s="1482"/>
      <c r="C77" s="1482"/>
      <c r="D77" s="1482"/>
      <c r="E77" s="1482"/>
      <c r="F77" s="1482"/>
      <c r="G77" s="10">
        <f>SUM(G49:G76)</f>
        <v>11490000</v>
      </c>
      <c r="H77" s="10"/>
      <c r="I77" s="10">
        <f>SUM(I49:I76)</f>
        <v>11490000</v>
      </c>
      <c r="J77" s="10"/>
      <c r="K77" s="10">
        <f>SUM(K49:K76)</f>
        <v>11490000</v>
      </c>
      <c r="L77" s="10"/>
    </row>
    <row r="78" spans="1:12" s="31" customFormat="1" ht="15.75">
      <c r="A78" s="1482" t="s">
        <v>24</v>
      </c>
      <c r="B78" s="1482"/>
      <c r="C78" s="1482"/>
      <c r="D78" s="1482"/>
      <c r="E78" s="1482"/>
      <c r="F78" s="1482"/>
      <c r="G78" s="10">
        <f>G46+G77</f>
        <v>58051067.149999999</v>
      </c>
      <c r="H78" s="10"/>
      <c r="I78" s="10">
        <f>I46+I77</f>
        <v>58126352.270000003</v>
      </c>
      <c r="J78" s="10"/>
      <c r="K78" s="10">
        <f>K46+K77</f>
        <v>58126352.270000003</v>
      </c>
      <c r="L78" s="10"/>
    </row>
    <row r="79" spans="1:12" s="31" customFormat="1">
      <c r="A79" s="2"/>
      <c r="B79" s="2"/>
      <c r="C79" s="2"/>
      <c r="D79" s="2"/>
      <c r="E79" s="2"/>
      <c r="F79" s="2"/>
      <c r="G79" s="86"/>
      <c r="H79" s="86"/>
      <c r="I79" s="86"/>
      <c r="J79" s="86"/>
      <c r="K79" s="86"/>
      <c r="L79" s="86"/>
    </row>
    <row r="80" spans="1:12" s="32" customFormat="1" ht="33.75" hidden="1" customHeight="1">
      <c r="A80" s="1480" t="s">
        <v>25</v>
      </c>
      <c r="B80" s="1480"/>
      <c r="C80" s="207"/>
      <c r="D80" s="207"/>
      <c r="E80" s="1481" t="s">
        <v>32</v>
      </c>
      <c r="F80" s="1481"/>
      <c r="G80" s="104"/>
      <c r="H80" s="104"/>
      <c r="I80" s="104"/>
      <c r="J80" s="104"/>
      <c r="K80" s="104"/>
      <c r="L80" s="104"/>
    </row>
    <row r="81" spans="1:12" s="15" customFormat="1" ht="27" hidden="1" customHeight="1">
      <c r="A81" s="15" t="s">
        <v>27</v>
      </c>
      <c r="G81" s="212"/>
      <c r="H81" s="212"/>
      <c r="I81" s="106"/>
      <c r="J81" s="106"/>
      <c r="K81" s="106"/>
      <c r="L81" s="106"/>
    </row>
    <row r="82" spans="1:12" ht="29.25" customHeight="1">
      <c r="E82" s="2" t="s">
        <v>25</v>
      </c>
      <c r="G82" s="10">
        <v>11490000</v>
      </c>
      <c r="H82" s="10"/>
      <c r="I82" s="10">
        <v>11490000</v>
      </c>
      <c r="J82" s="10"/>
      <c r="K82" s="10">
        <v>11490000</v>
      </c>
      <c r="L82" s="10"/>
    </row>
    <row r="83" spans="1:12">
      <c r="G83" s="4">
        <f t="shared" ref="G83:L83" si="1">G82-G77</f>
        <v>0</v>
      </c>
      <c r="H83" s="4">
        <f t="shared" si="1"/>
        <v>0</v>
      </c>
      <c r="I83" s="4">
        <f t="shared" si="1"/>
        <v>0</v>
      </c>
      <c r="J83" s="4">
        <f t="shared" si="1"/>
        <v>0</v>
      </c>
      <c r="K83" s="4">
        <f t="shared" si="1"/>
        <v>0</v>
      </c>
      <c r="L83" s="4">
        <f t="shared" si="1"/>
        <v>0</v>
      </c>
    </row>
    <row r="84" spans="1:12">
      <c r="G84" s="4"/>
      <c r="H84" s="4"/>
      <c r="I84" s="4"/>
      <c r="J84" s="4"/>
      <c r="K84" s="4"/>
      <c r="L84" s="4"/>
    </row>
    <row r="310" ht="12.75" hidden="1" customHeight="1"/>
    <row r="326" ht="12.75" hidden="1" customHeight="1"/>
  </sheetData>
  <autoFilter ref="A9:F78"/>
  <mergeCells count="12">
    <mergeCell ref="A45:F45"/>
    <mergeCell ref="A5:I5"/>
    <mergeCell ref="A6:I6"/>
    <mergeCell ref="A10:I10"/>
    <mergeCell ref="A40:F40"/>
    <mergeCell ref="A42:F42"/>
    <mergeCell ref="A46:F46"/>
    <mergeCell ref="A48:F48"/>
    <mergeCell ref="A77:F77"/>
    <mergeCell ref="A78:F78"/>
    <mergeCell ref="A80:B80"/>
    <mergeCell ref="E80:F80"/>
  </mergeCells>
  <printOptions horizontalCentered="1"/>
  <pageMargins left="0" right="0" top="0" bottom="0" header="0.35433070866141736" footer="0.35433070866141736"/>
  <pageSetup paperSize="9" scale="48" fitToHeight="2" orientation="landscape" horizontalDpi="4294967295" verticalDpi="4294967295" r:id="rId1"/>
  <headerFooter alignWithMargins="0"/>
  <rowBreaks count="3" manualBreakCount="3">
    <brk id="40" max="11" man="1"/>
    <brk id="47" max="11" man="1"/>
    <brk id="82"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tabColor rgb="FF92D050"/>
  </sheetPr>
  <dimension ref="A5:O325"/>
  <sheetViews>
    <sheetView view="pageBreakPreview" topLeftCell="A12" zoomScale="85" zoomScaleNormal="85" zoomScaleSheetLayoutView="85" workbookViewId="0">
      <selection activeCell="M11" sqref="M11"/>
    </sheetView>
  </sheetViews>
  <sheetFormatPr defaultRowHeight="12.75"/>
  <cols>
    <col min="1" max="1" width="12.85546875" style="2" customWidth="1"/>
    <col min="2" max="2" width="7.85546875" style="2" customWidth="1"/>
    <col min="3" max="3" width="24.42578125" style="2" customWidth="1"/>
    <col min="4" max="4" width="8.42578125" style="2" customWidth="1"/>
    <col min="5" max="5" width="8.85546875" style="2" customWidth="1"/>
    <col min="6" max="6" width="46.85546875" style="2" customWidth="1"/>
    <col min="7" max="8" width="18.7109375" style="88" customWidth="1"/>
    <col min="9" max="12" width="17.5703125" style="88" customWidth="1"/>
    <col min="13" max="13" width="16" style="2" customWidth="1"/>
    <col min="14" max="14" width="13.28515625" style="2" customWidth="1"/>
    <col min="15" max="15" width="12.28515625" style="2" bestFit="1" customWidth="1"/>
    <col min="16" max="241" width="9.140625" style="2"/>
    <col min="242" max="242" width="16.28515625" style="2" customWidth="1"/>
    <col min="243" max="243" width="9.5703125" style="2" customWidth="1"/>
    <col min="244" max="244" width="25.85546875" style="2" customWidth="1"/>
    <col min="245" max="245" width="10.7109375" style="2" customWidth="1"/>
    <col min="246" max="246" width="40.42578125" style="2" customWidth="1"/>
    <col min="247" max="247" width="30.5703125" style="2" customWidth="1"/>
    <col min="248" max="248" width="16.42578125" style="2" customWidth="1"/>
    <col min="249" max="249" width="13" style="2" bestFit="1" customWidth="1"/>
    <col min="250" max="497" width="9.140625" style="2"/>
    <col min="498" max="498" width="16.28515625" style="2" customWidth="1"/>
    <col min="499" max="499" width="9.5703125" style="2" customWidth="1"/>
    <col min="500" max="500" width="25.85546875" style="2" customWidth="1"/>
    <col min="501" max="501" width="10.7109375" style="2" customWidth="1"/>
    <col min="502" max="502" width="40.42578125" style="2" customWidth="1"/>
    <col min="503" max="503" width="30.5703125" style="2" customWidth="1"/>
    <col min="504" max="504" width="16.42578125" style="2" customWidth="1"/>
    <col min="505" max="505" width="13" style="2" bestFit="1" customWidth="1"/>
    <col min="506" max="753" width="9.140625" style="2"/>
    <col min="754" max="754" width="16.28515625" style="2" customWidth="1"/>
    <col min="755" max="755" width="9.5703125" style="2" customWidth="1"/>
    <col min="756" max="756" width="25.85546875" style="2" customWidth="1"/>
    <col min="757" max="757" width="10.7109375" style="2" customWidth="1"/>
    <col min="758" max="758" width="40.42578125" style="2" customWidth="1"/>
    <col min="759" max="759" width="30.5703125" style="2" customWidth="1"/>
    <col min="760" max="760" width="16.42578125" style="2" customWidth="1"/>
    <col min="761" max="761" width="13" style="2" bestFit="1" customWidth="1"/>
    <col min="762" max="1009" width="9.140625" style="2"/>
    <col min="1010" max="1010" width="16.28515625" style="2" customWidth="1"/>
    <col min="1011" max="1011" width="9.5703125" style="2" customWidth="1"/>
    <col min="1012" max="1012" width="25.85546875" style="2" customWidth="1"/>
    <col min="1013" max="1013" width="10.7109375" style="2" customWidth="1"/>
    <col min="1014" max="1014" width="40.42578125" style="2" customWidth="1"/>
    <col min="1015" max="1015" width="30.5703125" style="2" customWidth="1"/>
    <col min="1016" max="1016" width="16.42578125" style="2" customWidth="1"/>
    <col min="1017" max="1017" width="13" style="2" bestFit="1" customWidth="1"/>
    <col min="1018" max="1265" width="9.140625" style="2"/>
    <col min="1266" max="1266" width="16.28515625" style="2" customWidth="1"/>
    <col min="1267" max="1267" width="9.5703125" style="2" customWidth="1"/>
    <col min="1268" max="1268" width="25.85546875" style="2" customWidth="1"/>
    <col min="1269" max="1269" width="10.7109375" style="2" customWidth="1"/>
    <col min="1270" max="1270" width="40.42578125" style="2" customWidth="1"/>
    <col min="1271" max="1271" width="30.5703125" style="2" customWidth="1"/>
    <col min="1272" max="1272" width="16.42578125" style="2" customWidth="1"/>
    <col min="1273" max="1273" width="13" style="2" bestFit="1" customWidth="1"/>
    <col min="1274" max="1521" width="9.140625" style="2"/>
    <col min="1522" max="1522" width="16.28515625" style="2" customWidth="1"/>
    <col min="1523" max="1523" width="9.5703125" style="2" customWidth="1"/>
    <col min="1524" max="1524" width="25.85546875" style="2" customWidth="1"/>
    <col min="1525" max="1525" width="10.7109375" style="2" customWidth="1"/>
    <col min="1526" max="1526" width="40.42578125" style="2" customWidth="1"/>
    <col min="1527" max="1527" width="30.5703125" style="2" customWidth="1"/>
    <col min="1528" max="1528" width="16.42578125" style="2" customWidth="1"/>
    <col min="1529" max="1529" width="13" style="2" bestFit="1" customWidth="1"/>
    <col min="1530" max="1777" width="9.140625" style="2"/>
    <col min="1778" max="1778" width="16.28515625" style="2" customWidth="1"/>
    <col min="1779" max="1779" width="9.5703125" style="2" customWidth="1"/>
    <col min="1780" max="1780" width="25.85546875" style="2" customWidth="1"/>
    <col min="1781" max="1781" width="10.7109375" style="2" customWidth="1"/>
    <col min="1782" max="1782" width="40.42578125" style="2" customWidth="1"/>
    <col min="1783" max="1783" width="30.5703125" style="2" customWidth="1"/>
    <col min="1784" max="1784" width="16.42578125" style="2" customWidth="1"/>
    <col min="1785" max="1785" width="13" style="2" bestFit="1" customWidth="1"/>
    <col min="1786" max="2033" width="9.140625" style="2"/>
    <col min="2034" max="2034" width="16.28515625" style="2" customWidth="1"/>
    <col min="2035" max="2035" width="9.5703125" style="2" customWidth="1"/>
    <col min="2036" max="2036" width="25.85546875" style="2" customWidth="1"/>
    <col min="2037" max="2037" width="10.7109375" style="2" customWidth="1"/>
    <col min="2038" max="2038" width="40.42578125" style="2" customWidth="1"/>
    <col min="2039" max="2039" width="30.5703125" style="2" customWidth="1"/>
    <col min="2040" max="2040" width="16.42578125" style="2" customWidth="1"/>
    <col min="2041" max="2041" width="13" style="2" bestFit="1" customWidth="1"/>
    <col min="2042" max="2289" width="9.140625" style="2"/>
    <col min="2290" max="2290" width="16.28515625" style="2" customWidth="1"/>
    <col min="2291" max="2291" width="9.5703125" style="2" customWidth="1"/>
    <col min="2292" max="2292" width="25.85546875" style="2" customWidth="1"/>
    <col min="2293" max="2293" width="10.7109375" style="2" customWidth="1"/>
    <col min="2294" max="2294" width="40.42578125" style="2" customWidth="1"/>
    <col min="2295" max="2295" width="30.5703125" style="2" customWidth="1"/>
    <col min="2296" max="2296" width="16.42578125" style="2" customWidth="1"/>
    <col min="2297" max="2297" width="13" style="2" bestFit="1" customWidth="1"/>
    <col min="2298" max="2545" width="9.140625" style="2"/>
    <col min="2546" max="2546" width="16.28515625" style="2" customWidth="1"/>
    <col min="2547" max="2547" width="9.5703125" style="2" customWidth="1"/>
    <col min="2548" max="2548" width="25.85546875" style="2" customWidth="1"/>
    <col min="2549" max="2549" width="10.7109375" style="2" customWidth="1"/>
    <col min="2550" max="2550" width="40.42578125" style="2" customWidth="1"/>
    <col min="2551" max="2551" width="30.5703125" style="2" customWidth="1"/>
    <col min="2552" max="2552" width="16.42578125" style="2" customWidth="1"/>
    <col min="2553" max="2553" width="13" style="2" bestFit="1" customWidth="1"/>
    <col min="2554" max="2801" width="9.140625" style="2"/>
    <col min="2802" max="2802" width="16.28515625" style="2" customWidth="1"/>
    <col min="2803" max="2803" width="9.5703125" style="2" customWidth="1"/>
    <col min="2804" max="2804" width="25.85546875" style="2" customWidth="1"/>
    <col min="2805" max="2805" width="10.7109375" style="2" customWidth="1"/>
    <col min="2806" max="2806" width="40.42578125" style="2" customWidth="1"/>
    <col min="2807" max="2807" width="30.5703125" style="2" customWidth="1"/>
    <col min="2808" max="2808" width="16.42578125" style="2" customWidth="1"/>
    <col min="2809" max="2809" width="13" style="2" bestFit="1" customWidth="1"/>
    <col min="2810" max="3057" width="9.140625" style="2"/>
    <col min="3058" max="3058" width="16.28515625" style="2" customWidth="1"/>
    <col min="3059" max="3059" width="9.5703125" style="2" customWidth="1"/>
    <col min="3060" max="3060" width="25.85546875" style="2" customWidth="1"/>
    <col min="3061" max="3061" width="10.7109375" style="2" customWidth="1"/>
    <col min="3062" max="3062" width="40.42578125" style="2" customWidth="1"/>
    <col min="3063" max="3063" width="30.5703125" style="2" customWidth="1"/>
    <col min="3064" max="3064" width="16.42578125" style="2" customWidth="1"/>
    <col min="3065" max="3065" width="13" style="2" bestFit="1" customWidth="1"/>
    <col min="3066" max="3313" width="9.140625" style="2"/>
    <col min="3314" max="3314" width="16.28515625" style="2" customWidth="1"/>
    <col min="3315" max="3315" width="9.5703125" style="2" customWidth="1"/>
    <col min="3316" max="3316" width="25.85546875" style="2" customWidth="1"/>
    <col min="3317" max="3317" width="10.7109375" style="2" customWidth="1"/>
    <col min="3318" max="3318" width="40.42578125" style="2" customWidth="1"/>
    <col min="3319" max="3319" width="30.5703125" style="2" customWidth="1"/>
    <col min="3320" max="3320" width="16.42578125" style="2" customWidth="1"/>
    <col min="3321" max="3321" width="13" style="2" bestFit="1" customWidth="1"/>
    <col min="3322" max="3569" width="9.140625" style="2"/>
    <col min="3570" max="3570" width="16.28515625" style="2" customWidth="1"/>
    <col min="3571" max="3571" width="9.5703125" style="2" customWidth="1"/>
    <col min="3572" max="3572" width="25.85546875" style="2" customWidth="1"/>
    <col min="3573" max="3573" width="10.7109375" style="2" customWidth="1"/>
    <col min="3574" max="3574" width="40.42578125" style="2" customWidth="1"/>
    <col min="3575" max="3575" width="30.5703125" style="2" customWidth="1"/>
    <col min="3576" max="3576" width="16.42578125" style="2" customWidth="1"/>
    <col min="3577" max="3577" width="13" style="2" bestFit="1" customWidth="1"/>
    <col min="3578" max="3825" width="9.140625" style="2"/>
    <col min="3826" max="3826" width="16.28515625" style="2" customWidth="1"/>
    <col min="3827" max="3827" width="9.5703125" style="2" customWidth="1"/>
    <col min="3828" max="3828" width="25.85546875" style="2" customWidth="1"/>
    <col min="3829" max="3829" width="10.7109375" style="2" customWidth="1"/>
    <col min="3830" max="3830" width="40.42578125" style="2" customWidth="1"/>
    <col min="3831" max="3831" width="30.5703125" style="2" customWidth="1"/>
    <col min="3832" max="3832" width="16.42578125" style="2" customWidth="1"/>
    <col min="3833" max="3833" width="13" style="2" bestFit="1" customWidth="1"/>
    <col min="3834" max="4081" width="9.140625" style="2"/>
    <col min="4082" max="4082" width="16.28515625" style="2" customWidth="1"/>
    <col min="4083" max="4083" width="9.5703125" style="2" customWidth="1"/>
    <col min="4084" max="4084" width="25.85546875" style="2" customWidth="1"/>
    <col min="4085" max="4085" width="10.7109375" style="2" customWidth="1"/>
    <col min="4086" max="4086" width="40.42578125" style="2" customWidth="1"/>
    <col min="4087" max="4087" width="30.5703125" style="2" customWidth="1"/>
    <col min="4088" max="4088" width="16.42578125" style="2" customWidth="1"/>
    <col min="4089" max="4089" width="13" style="2" bestFit="1" customWidth="1"/>
    <col min="4090" max="4337" width="9.140625" style="2"/>
    <col min="4338" max="4338" width="16.28515625" style="2" customWidth="1"/>
    <col min="4339" max="4339" width="9.5703125" style="2" customWidth="1"/>
    <col min="4340" max="4340" width="25.85546875" style="2" customWidth="1"/>
    <col min="4341" max="4341" width="10.7109375" style="2" customWidth="1"/>
    <col min="4342" max="4342" width="40.42578125" style="2" customWidth="1"/>
    <col min="4343" max="4343" width="30.5703125" style="2" customWidth="1"/>
    <col min="4344" max="4344" width="16.42578125" style="2" customWidth="1"/>
    <col min="4345" max="4345" width="13" style="2" bestFit="1" customWidth="1"/>
    <col min="4346" max="4593" width="9.140625" style="2"/>
    <col min="4594" max="4594" width="16.28515625" style="2" customWidth="1"/>
    <col min="4595" max="4595" width="9.5703125" style="2" customWidth="1"/>
    <col min="4596" max="4596" width="25.85546875" style="2" customWidth="1"/>
    <col min="4597" max="4597" width="10.7109375" style="2" customWidth="1"/>
    <col min="4598" max="4598" width="40.42578125" style="2" customWidth="1"/>
    <col min="4599" max="4599" width="30.5703125" style="2" customWidth="1"/>
    <col min="4600" max="4600" width="16.42578125" style="2" customWidth="1"/>
    <col min="4601" max="4601" width="13" style="2" bestFit="1" customWidth="1"/>
    <col min="4602" max="4849" width="9.140625" style="2"/>
    <col min="4850" max="4850" width="16.28515625" style="2" customWidth="1"/>
    <col min="4851" max="4851" width="9.5703125" style="2" customWidth="1"/>
    <col min="4852" max="4852" width="25.85546875" style="2" customWidth="1"/>
    <col min="4853" max="4853" width="10.7109375" style="2" customWidth="1"/>
    <col min="4854" max="4854" width="40.42578125" style="2" customWidth="1"/>
    <col min="4855" max="4855" width="30.5703125" style="2" customWidth="1"/>
    <col min="4856" max="4856" width="16.42578125" style="2" customWidth="1"/>
    <col min="4857" max="4857" width="13" style="2" bestFit="1" customWidth="1"/>
    <col min="4858" max="5105" width="9.140625" style="2"/>
    <col min="5106" max="5106" width="16.28515625" style="2" customWidth="1"/>
    <col min="5107" max="5107" width="9.5703125" style="2" customWidth="1"/>
    <col min="5108" max="5108" width="25.85546875" style="2" customWidth="1"/>
    <col min="5109" max="5109" width="10.7109375" style="2" customWidth="1"/>
    <col min="5110" max="5110" width="40.42578125" style="2" customWidth="1"/>
    <col min="5111" max="5111" width="30.5703125" style="2" customWidth="1"/>
    <col min="5112" max="5112" width="16.42578125" style="2" customWidth="1"/>
    <col min="5113" max="5113" width="13" style="2" bestFit="1" customWidth="1"/>
    <col min="5114" max="5361" width="9.140625" style="2"/>
    <col min="5362" max="5362" width="16.28515625" style="2" customWidth="1"/>
    <col min="5363" max="5363" width="9.5703125" style="2" customWidth="1"/>
    <col min="5364" max="5364" width="25.85546875" style="2" customWidth="1"/>
    <col min="5365" max="5365" width="10.7109375" style="2" customWidth="1"/>
    <col min="5366" max="5366" width="40.42578125" style="2" customWidth="1"/>
    <col min="5367" max="5367" width="30.5703125" style="2" customWidth="1"/>
    <col min="5368" max="5368" width="16.42578125" style="2" customWidth="1"/>
    <col min="5369" max="5369" width="13" style="2" bestFit="1" customWidth="1"/>
    <col min="5370" max="5617" width="9.140625" style="2"/>
    <col min="5618" max="5618" width="16.28515625" style="2" customWidth="1"/>
    <col min="5619" max="5619" width="9.5703125" style="2" customWidth="1"/>
    <col min="5620" max="5620" width="25.85546875" style="2" customWidth="1"/>
    <col min="5621" max="5621" width="10.7109375" style="2" customWidth="1"/>
    <col min="5622" max="5622" width="40.42578125" style="2" customWidth="1"/>
    <col min="5623" max="5623" width="30.5703125" style="2" customWidth="1"/>
    <col min="5624" max="5624" width="16.42578125" style="2" customWidth="1"/>
    <col min="5625" max="5625" width="13" style="2" bestFit="1" customWidth="1"/>
    <col min="5626" max="5873" width="9.140625" style="2"/>
    <col min="5874" max="5874" width="16.28515625" style="2" customWidth="1"/>
    <col min="5875" max="5875" width="9.5703125" style="2" customWidth="1"/>
    <col min="5876" max="5876" width="25.85546875" style="2" customWidth="1"/>
    <col min="5877" max="5877" width="10.7109375" style="2" customWidth="1"/>
    <col min="5878" max="5878" width="40.42578125" style="2" customWidth="1"/>
    <col min="5879" max="5879" width="30.5703125" style="2" customWidth="1"/>
    <col min="5880" max="5880" width="16.42578125" style="2" customWidth="1"/>
    <col min="5881" max="5881" width="13" style="2" bestFit="1" customWidth="1"/>
    <col min="5882" max="6129" width="9.140625" style="2"/>
    <col min="6130" max="6130" width="16.28515625" style="2" customWidth="1"/>
    <col min="6131" max="6131" width="9.5703125" style="2" customWidth="1"/>
    <col min="6132" max="6132" width="25.85546875" style="2" customWidth="1"/>
    <col min="6133" max="6133" width="10.7109375" style="2" customWidth="1"/>
    <col min="6134" max="6134" width="40.42578125" style="2" customWidth="1"/>
    <col min="6135" max="6135" width="30.5703125" style="2" customWidth="1"/>
    <col min="6136" max="6136" width="16.42578125" style="2" customWidth="1"/>
    <col min="6137" max="6137" width="13" style="2" bestFit="1" customWidth="1"/>
    <col min="6138" max="6385" width="9.140625" style="2"/>
    <col min="6386" max="6386" width="16.28515625" style="2" customWidth="1"/>
    <col min="6387" max="6387" width="9.5703125" style="2" customWidth="1"/>
    <col min="6388" max="6388" width="25.85546875" style="2" customWidth="1"/>
    <col min="6389" max="6389" width="10.7109375" style="2" customWidth="1"/>
    <col min="6390" max="6390" width="40.42578125" style="2" customWidth="1"/>
    <col min="6391" max="6391" width="30.5703125" style="2" customWidth="1"/>
    <col min="6392" max="6392" width="16.42578125" style="2" customWidth="1"/>
    <col min="6393" max="6393" width="13" style="2" bestFit="1" customWidth="1"/>
    <col min="6394" max="6641" width="9.140625" style="2"/>
    <col min="6642" max="6642" width="16.28515625" style="2" customWidth="1"/>
    <col min="6643" max="6643" width="9.5703125" style="2" customWidth="1"/>
    <col min="6644" max="6644" width="25.85546875" style="2" customWidth="1"/>
    <col min="6645" max="6645" width="10.7109375" style="2" customWidth="1"/>
    <col min="6646" max="6646" width="40.42578125" style="2" customWidth="1"/>
    <col min="6647" max="6647" width="30.5703125" style="2" customWidth="1"/>
    <col min="6648" max="6648" width="16.42578125" style="2" customWidth="1"/>
    <col min="6649" max="6649" width="13" style="2" bestFit="1" customWidth="1"/>
    <col min="6650" max="6897" width="9.140625" style="2"/>
    <col min="6898" max="6898" width="16.28515625" style="2" customWidth="1"/>
    <col min="6899" max="6899" width="9.5703125" style="2" customWidth="1"/>
    <col min="6900" max="6900" width="25.85546875" style="2" customWidth="1"/>
    <col min="6901" max="6901" width="10.7109375" style="2" customWidth="1"/>
    <col min="6902" max="6902" width="40.42578125" style="2" customWidth="1"/>
    <col min="6903" max="6903" width="30.5703125" style="2" customWidth="1"/>
    <col min="6904" max="6904" width="16.42578125" style="2" customWidth="1"/>
    <col min="6905" max="6905" width="13" style="2" bestFit="1" customWidth="1"/>
    <col min="6906" max="7153" width="9.140625" style="2"/>
    <col min="7154" max="7154" width="16.28515625" style="2" customWidth="1"/>
    <col min="7155" max="7155" width="9.5703125" style="2" customWidth="1"/>
    <col min="7156" max="7156" width="25.85546875" style="2" customWidth="1"/>
    <col min="7157" max="7157" width="10.7109375" style="2" customWidth="1"/>
    <col min="7158" max="7158" width="40.42578125" style="2" customWidth="1"/>
    <col min="7159" max="7159" width="30.5703125" style="2" customWidth="1"/>
    <col min="7160" max="7160" width="16.42578125" style="2" customWidth="1"/>
    <col min="7161" max="7161" width="13" style="2" bestFit="1" customWidth="1"/>
    <col min="7162" max="7409" width="9.140625" style="2"/>
    <col min="7410" max="7410" width="16.28515625" style="2" customWidth="1"/>
    <col min="7411" max="7411" width="9.5703125" style="2" customWidth="1"/>
    <col min="7412" max="7412" width="25.85546875" style="2" customWidth="1"/>
    <col min="7413" max="7413" width="10.7109375" style="2" customWidth="1"/>
    <col min="7414" max="7414" width="40.42578125" style="2" customWidth="1"/>
    <col min="7415" max="7415" width="30.5703125" style="2" customWidth="1"/>
    <col min="7416" max="7416" width="16.42578125" style="2" customWidth="1"/>
    <col min="7417" max="7417" width="13" style="2" bestFit="1" customWidth="1"/>
    <col min="7418" max="7665" width="9.140625" style="2"/>
    <col min="7666" max="7666" width="16.28515625" style="2" customWidth="1"/>
    <col min="7667" max="7667" width="9.5703125" style="2" customWidth="1"/>
    <col min="7668" max="7668" width="25.85546875" style="2" customWidth="1"/>
    <col min="7669" max="7669" width="10.7109375" style="2" customWidth="1"/>
    <col min="7670" max="7670" width="40.42578125" style="2" customWidth="1"/>
    <col min="7671" max="7671" width="30.5703125" style="2" customWidth="1"/>
    <col min="7672" max="7672" width="16.42578125" style="2" customWidth="1"/>
    <col min="7673" max="7673" width="13" style="2" bestFit="1" customWidth="1"/>
    <col min="7674" max="7921" width="9.140625" style="2"/>
    <col min="7922" max="7922" width="16.28515625" style="2" customWidth="1"/>
    <col min="7923" max="7923" width="9.5703125" style="2" customWidth="1"/>
    <col min="7924" max="7924" width="25.85546875" style="2" customWidth="1"/>
    <col min="7925" max="7925" width="10.7109375" style="2" customWidth="1"/>
    <col min="7926" max="7926" width="40.42578125" style="2" customWidth="1"/>
    <col min="7927" max="7927" width="30.5703125" style="2" customWidth="1"/>
    <col min="7928" max="7928" width="16.42578125" style="2" customWidth="1"/>
    <col min="7929" max="7929" width="13" style="2" bestFit="1" customWidth="1"/>
    <col min="7930" max="8177" width="9.140625" style="2"/>
    <col min="8178" max="8178" width="16.28515625" style="2" customWidth="1"/>
    <col min="8179" max="8179" width="9.5703125" style="2" customWidth="1"/>
    <col min="8180" max="8180" width="25.85546875" style="2" customWidth="1"/>
    <col min="8181" max="8181" width="10.7109375" style="2" customWidth="1"/>
    <col min="8182" max="8182" width="40.42578125" style="2" customWidth="1"/>
    <col min="8183" max="8183" width="30.5703125" style="2" customWidth="1"/>
    <col min="8184" max="8184" width="16.42578125" style="2" customWidth="1"/>
    <col min="8185" max="8185" width="13" style="2" bestFit="1" customWidth="1"/>
    <col min="8186" max="8433" width="9.140625" style="2"/>
    <col min="8434" max="8434" width="16.28515625" style="2" customWidth="1"/>
    <col min="8435" max="8435" width="9.5703125" style="2" customWidth="1"/>
    <col min="8436" max="8436" width="25.85546875" style="2" customWidth="1"/>
    <col min="8437" max="8437" width="10.7109375" style="2" customWidth="1"/>
    <col min="8438" max="8438" width="40.42578125" style="2" customWidth="1"/>
    <col min="8439" max="8439" width="30.5703125" style="2" customWidth="1"/>
    <col min="8440" max="8440" width="16.42578125" style="2" customWidth="1"/>
    <col min="8441" max="8441" width="13" style="2" bestFit="1" customWidth="1"/>
    <col min="8442" max="8689" width="9.140625" style="2"/>
    <col min="8690" max="8690" width="16.28515625" style="2" customWidth="1"/>
    <col min="8691" max="8691" width="9.5703125" style="2" customWidth="1"/>
    <col min="8692" max="8692" width="25.85546875" style="2" customWidth="1"/>
    <col min="8693" max="8693" width="10.7109375" style="2" customWidth="1"/>
    <col min="8694" max="8694" width="40.42578125" style="2" customWidth="1"/>
    <col min="8695" max="8695" width="30.5703125" style="2" customWidth="1"/>
    <col min="8696" max="8696" width="16.42578125" style="2" customWidth="1"/>
    <col min="8697" max="8697" width="13" style="2" bestFit="1" customWidth="1"/>
    <col min="8698" max="8945" width="9.140625" style="2"/>
    <col min="8946" max="8946" width="16.28515625" style="2" customWidth="1"/>
    <col min="8947" max="8947" width="9.5703125" style="2" customWidth="1"/>
    <col min="8948" max="8948" width="25.85546875" style="2" customWidth="1"/>
    <col min="8949" max="8949" width="10.7109375" style="2" customWidth="1"/>
    <col min="8950" max="8950" width="40.42578125" style="2" customWidth="1"/>
    <col min="8951" max="8951" width="30.5703125" style="2" customWidth="1"/>
    <col min="8952" max="8952" width="16.42578125" style="2" customWidth="1"/>
    <col min="8953" max="8953" width="13" style="2" bestFit="1" customWidth="1"/>
    <col min="8954" max="9201" width="9.140625" style="2"/>
    <col min="9202" max="9202" width="16.28515625" style="2" customWidth="1"/>
    <col min="9203" max="9203" width="9.5703125" style="2" customWidth="1"/>
    <col min="9204" max="9204" width="25.85546875" style="2" customWidth="1"/>
    <col min="9205" max="9205" width="10.7109375" style="2" customWidth="1"/>
    <col min="9206" max="9206" width="40.42578125" style="2" customWidth="1"/>
    <col min="9207" max="9207" width="30.5703125" style="2" customWidth="1"/>
    <col min="9208" max="9208" width="16.42578125" style="2" customWidth="1"/>
    <col min="9209" max="9209" width="13" style="2" bestFit="1" customWidth="1"/>
    <col min="9210" max="9457" width="9.140625" style="2"/>
    <col min="9458" max="9458" width="16.28515625" style="2" customWidth="1"/>
    <col min="9459" max="9459" width="9.5703125" style="2" customWidth="1"/>
    <col min="9460" max="9460" width="25.85546875" style="2" customWidth="1"/>
    <col min="9461" max="9461" width="10.7109375" style="2" customWidth="1"/>
    <col min="9462" max="9462" width="40.42578125" style="2" customWidth="1"/>
    <col min="9463" max="9463" width="30.5703125" style="2" customWidth="1"/>
    <col min="9464" max="9464" width="16.42578125" style="2" customWidth="1"/>
    <col min="9465" max="9465" width="13" style="2" bestFit="1" customWidth="1"/>
    <col min="9466" max="9713" width="9.140625" style="2"/>
    <col min="9714" max="9714" width="16.28515625" style="2" customWidth="1"/>
    <col min="9715" max="9715" width="9.5703125" style="2" customWidth="1"/>
    <col min="9716" max="9716" width="25.85546875" style="2" customWidth="1"/>
    <col min="9717" max="9717" width="10.7109375" style="2" customWidth="1"/>
    <col min="9718" max="9718" width="40.42578125" style="2" customWidth="1"/>
    <col min="9719" max="9719" width="30.5703125" style="2" customWidth="1"/>
    <col min="9720" max="9720" width="16.42578125" style="2" customWidth="1"/>
    <col min="9721" max="9721" width="13" style="2" bestFit="1" customWidth="1"/>
    <col min="9722" max="9969" width="9.140625" style="2"/>
    <col min="9970" max="9970" width="16.28515625" style="2" customWidth="1"/>
    <col min="9971" max="9971" width="9.5703125" style="2" customWidth="1"/>
    <col min="9972" max="9972" width="25.85546875" style="2" customWidth="1"/>
    <col min="9973" max="9973" width="10.7109375" style="2" customWidth="1"/>
    <col min="9974" max="9974" width="40.42578125" style="2" customWidth="1"/>
    <col min="9975" max="9975" width="30.5703125" style="2" customWidth="1"/>
    <col min="9976" max="9976" width="16.42578125" style="2" customWidth="1"/>
    <col min="9977" max="9977" width="13" style="2" bestFit="1" customWidth="1"/>
    <col min="9978" max="10225" width="9.140625" style="2"/>
    <col min="10226" max="10226" width="16.28515625" style="2" customWidth="1"/>
    <col min="10227" max="10227" width="9.5703125" style="2" customWidth="1"/>
    <col min="10228" max="10228" width="25.85546875" style="2" customWidth="1"/>
    <col min="10229" max="10229" width="10.7109375" style="2" customWidth="1"/>
    <col min="10230" max="10230" width="40.42578125" style="2" customWidth="1"/>
    <col min="10231" max="10231" width="30.5703125" style="2" customWidth="1"/>
    <col min="10232" max="10232" width="16.42578125" style="2" customWidth="1"/>
    <col min="10233" max="10233" width="13" style="2" bestFit="1" customWidth="1"/>
    <col min="10234" max="10481" width="9.140625" style="2"/>
    <col min="10482" max="10482" width="16.28515625" style="2" customWidth="1"/>
    <col min="10483" max="10483" width="9.5703125" style="2" customWidth="1"/>
    <col min="10484" max="10484" width="25.85546875" style="2" customWidth="1"/>
    <col min="10485" max="10485" width="10.7109375" style="2" customWidth="1"/>
    <col min="10486" max="10486" width="40.42578125" style="2" customWidth="1"/>
    <col min="10487" max="10487" width="30.5703125" style="2" customWidth="1"/>
    <col min="10488" max="10488" width="16.42578125" style="2" customWidth="1"/>
    <col min="10489" max="10489" width="13" style="2" bestFit="1" customWidth="1"/>
    <col min="10490" max="10737" width="9.140625" style="2"/>
    <col min="10738" max="10738" width="16.28515625" style="2" customWidth="1"/>
    <col min="10739" max="10739" width="9.5703125" style="2" customWidth="1"/>
    <col min="10740" max="10740" width="25.85546875" style="2" customWidth="1"/>
    <col min="10741" max="10741" width="10.7109375" style="2" customWidth="1"/>
    <col min="10742" max="10742" width="40.42578125" style="2" customWidth="1"/>
    <col min="10743" max="10743" width="30.5703125" style="2" customWidth="1"/>
    <col min="10744" max="10744" width="16.42578125" style="2" customWidth="1"/>
    <col min="10745" max="10745" width="13" style="2" bestFit="1" customWidth="1"/>
    <col min="10746" max="10993" width="9.140625" style="2"/>
    <col min="10994" max="10994" width="16.28515625" style="2" customWidth="1"/>
    <col min="10995" max="10995" width="9.5703125" style="2" customWidth="1"/>
    <col min="10996" max="10996" width="25.85546875" style="2" customWidth="1"/>
    <col min="10997" max="10997" width="10.7109375" style="2" customWidth="1"/>
    <col min="10998" max="10998" width="40.42578125" style="2" customWidth="1"/>
    <col min="10999" max="10999" width="30.5703125" style="2" customWidth="1"/>
    <col min="11000" max="11000" width="16.42578125" style="2" customWidth="1"/>
    <col min="11001" max="11001" width="13" style="2" bestFit="1" customWidth="1"/>
    <col min="11002" max="11249" width="9.140625" style="2"/>
    <col min="11250" max="11250" width="16.28515625" style="2" customWidth="1"/>
    <col min="11251" max="11251" width="9.5703125" style="2" customWidth="1"/>
    <col min="11252" max="11252" width="25.85546875" style="2" customWidth="1"/>
    <col min="11253" max="11253" width="10.7109375" style="2" customWidth="1"/>
    <col min="11254" max="11254" width="40.42578125" style="2" customWidth="1"/>
    <col min="11255" max="11255" width="30.5703125" style="2" customWidth="1"/>
    <col min="11256" max="11256" width="16.42578125" style="2" customWidth="1"/>
    <col min="11257" max="11257" width="13" style="2" bestFit="1" customWidth="1"/>
    <col min="11258" max="11505" width="9.140625" style="2"/>
    <col min="11506" max="11506" width="16.28515625" style="2" customWidth="1"/>
    <col min="11507" max="11507" width="9.5703125" style="2" customWidth="1"/>
    <col min="11508" max="11508" width="25.85546875" style="2" customWidth="1"/>
    <col min="11509" max="11509" width="10.7109375" style="2" customWidth="1"/>
    <col min="11510" max="11510" width="40.42578125" style="2" customWidth="1"/>
    <col min="11511" max="11511" width="30.5703125" style="2" customWidth="1"/>
    <col min="11512" max="11512" width="16.42578125" style="2" customWidth="1"/>
    <col min="11513" max="11513" width="13" style="2" bestFit="1" customWidth="1"/>
    <col min="11514" max="11761" width="9.140625" style="2"/>
    <col min="11762" max="11762" width="16.28515625" style="2" customWidth="1"/>
    <col min="11763" max="11763" width="9.5703125" style="2" customWidth="1"/>
    <col min="11764" max="11764" width="25.85546875" style="2" customWidth="1"/>
    <col min="11765" max="11765" width="10.7109375" style="2" customWidth="1"/>
    <col min="11766" max="11766" width="40.42578125" style="2" customWidth="1"/>
    <col min="11767" max="11767" width="30.5703125" style="2" customWidth="1"/>
    <col min="11768" max="11768" width="16.42578125" style="2" customWidth="1"/>
    <col min="11769" max="11769" width="13" style="2" bestFit="1" customWidth="1"/>
    <col min="11770" max="12017" width="9.140625" style="2"/>
    <col min="12018" max="12018" width="16.28515625" style="2" customWidth="1"/>
    <col min="12019" max="12019" width="9.5703125" style="2" customWidth="1"/>
    <col min="12020" max="12020" width="25.85546875" style="2" customWidth="1"/>
    <col min="12021" max="12021" width="10.7109375" style="2" customWidth="1"/>
    <col min="12022" max="12022" width="40.42578125" style="2" customWidth="1"/>
    <col min="12023" max="12023" width="30.5703125" style="2" customWidth="1"/>
    <col min="12024" max="12024" width="16.42578125" style="2" customWidth="1"/>
    <col min="12025" max="12025" width="13" style="2" bestFit="1" customWidth="1"/>
    <col min="12026" max="12273" width="9.140625" style="2"/>
    <col min="12274" max="12274" width="16.28515625" style="2" customWidth="1"/>
    <col min="12275" max="12275" width="9.5703125" style="2" customWidth="1"/>
    <col min="12276" max="12276" width="25.85546875" style="2" customWidth="1"/>
    <col min="12277" max="12277" width="10.7109375" style="2" customWidth="1"/>
    <col min="12278" max="12278" width="40.42578125" style="2" customWidth="1"/>
    <col min="12279" max="12279" width="30.5703125" style="2" customWidth="1"/>
    <col min="12280" max="12280" width="16.42578125" style="2" customWidth="1"/>
    <col min="12281" max="12281" width="13" style="2" bestFit="1" customWidth="1"/>
    <col min="12282" max="12529" width="9.140625" style="2"/>
    <col min="12530" max="12530" width="16.28515625" style="2" customWidth="1"/>
    <col min="12531" max="12531" width="9.5703125" style="2" customWidth="1"/>
    <col min="12532" max="12532" width="25.85546875" style="2" customWidth="1"/>
    <col min="12533" max="12533" width="10.7109375" style="2" customWidth="1"/>
    <col min="12534" max="12534" width="40.42578125" style="2" customWidth="1"/>
    <col min="12535" max="12535" width="30.5703125" style="2" customWidth="1"/>
    <col min="12536" max="12536" width="16.42578125" style="2" customWidth="1"/>
    <col min="12537" max="12537" width="13" style="2" bestFit="1" customWidth="1"/>
    <col min="12538" max="12785" width="9.140625" style="2"/>
    <col min="12786" max="12786" width="16.28515625" style="2" customWidth="1"/>
    <col min="12787" max="12787" width="9.5703125" style="2" customWidth="1"/>
    <col min="12788" max="12788" width="25.85546875" style="2" customWidth="1"/>
    <col min="12789" max="12789" width="10.7109375" style="2" customWidth="1"/>
    <col min="12790" max="12790" width="40.42578125" style="2" customWidth="1"/>
    <col min="12791" max="12791" width="30.5703125" style="2" customWidth="1"/>
    <col min="12792" max="12792" width="16.42578125" style="2" customWidth="1"/>
    <col min="12793" max="12793" width="13" style="2" bestFit="1" customWidth="1"/>
    <col min="12794" max="13041" width="9.140625" style="2"/>
    <col min="13042" max="13042" width="16.28515625" style="2" customWidth="1"/>
    <col min="13043" max="13043" width="9.5703125" style="2" customWidth="1"/>
    <col min="13044" max="13044" width="25.85546875" style="2" customWidth="1"/>
    <col min="13045" max="13045" width="10.7109375" style="2" customWidth="1"/>
    <col min="13046" max="13046" width="40.42578125" style="2" customWidth="1"/>
    <col min="13047" max="13047" width="30.5703125" style="2" customWidth="1"/>
    <col min="13048" max="13048" width="16.42578125" style="2" customWidth="1"/>
    <col min="13049" max="13049" width="13" style="2" bestFit="1" customWidth="1"/>
    <col min="13050" max="13297" width="9.140625" style="2"/>
    <col min="13298" max="13298" width="16.28515625" style="2" customWidth="1"/>
    <col min="13299" max="13299" width="9.5703125" style="2" customWidth="1"/>
    <col min="13300" max="13300" width="25.85546875" style="2" customWidth="1"/>
    <col min="13301" max="13301" width="10.7109375" style="2" customWidth="1"/>
    <col min="13302" max="13302" width="40.42578125" style="2" customWidth="1"/>
    <col min="13303" max="13303" width="30.5703125" style="2" customWidth="1"/>
    <col min="13304" max="13304" width="16.42578125" style="2" customWidth="1"/>
    <col min="13305" max="13305" width="13" style="2" bestFit="1" customWidth="1"/>
    <col min="13306" max="13553" width="9.140625" style="2"/>
    <col min="13554" max="13554" width="16.28515625" style="2" customWidth="1"/>
    <col min="13555" max="13555" width="9.5703125" style="2" customWidth="1"/>
    <col min="13556" max="13556" width="25.85546875" style="2" customWidth="1"/>
    <col min="13557" max="13557" width="10.7109375" style="2" customWidth="1"/>
    <col min="13558" max="13558" width="40.42578125" style="2" customWidth="1"/>
    <col min="13559" max="13559" width="30.5703125" style="2" customWidth="1"/>
    <col min="13560" max="13560" width="16.42578125" style="2" customWidth="1"/>
    <col min="13561" max="13561" width="13" style="2" bestFit="1" customWidth="1"/>
    <col min="13562" max="13809" width="9.140625" style="2"/>
    <col min="13810" max="13810" width="16.28515625" style="2" customWidth="1"/>
    <col min="13811" max="13811" width="9.5703125" style="2" customWidth="1"/>
    <col min="13812" max="13812" width="25.85546875" style="2" customWidth="1"/>
    <col min="13813" max="13813" width="10.7109375" style="2" customWidth="1"/>
    <col min="13814" max="13814" width="40.42578125" style="2" customWidth="1"/>
    <col min="13815" max="13815" width="30.5703125" style="2" customWidth="1"/>
    <col min="13816" max="13816" width="16.42578125" style="2" customWidth="1"/>
    <col min="13817" max="13817" width="13" style="2" bestFit="1" customWidth="1"/>
    <col min="13818" max="14065" width="9.140625" style="2"/>
    <col min="14066" max="14066" width="16.28515625" style="2" customWidth="1"/>
    <col min="14067" max="14067" width="9.5703125" style="2" customWidth="1"/>
    <col min="14068" max="14068" width="25.85546875" style="2" customWidth="1"/>
    <col min="14069" max="14069" width="10.7109375" style="2" customWidth="1"/>
    <col min="14070" max="14070" width="40.42578125" style="2" customWidth="1"/>
    <col min="14071" max="14071" width="30.5703125" style="2" customWidth="1"/>
    <col min="14072" max="14072" width="16.42578125" style="2" customWidth="1"/>
    <col min="14073" max="14073" width="13" style="2" bestFit="1" customWidth="1"/>
    <col min="14074" max="14321" width="9.140625" style="2"/>
    <col min="14322" max="14322" width="16.28515625" style="2" customWidth="1"/>
    <col min="14323" max="14323" width="9.5703125" style="2" customWidth="1"/>
    <col min="14324" max="14324" width="25.85546875" style="2" customWidth="1"/>
    <col min="14325" max="14325" width="10.7109375" style="2" customWidth="1"/>
    <col min="14326" max="14326" width="40.42578125" style="2" customWidth="1"/>
    <col min="14327" max="14327" width="30.5703125" style="2" customWidth="1"/>
    <col min="14328" max="14328" width="16.42578125" style="2" customWidth="1"/>
    <col min="14329" max="14329" width="13" style="2" bestFit="1" customWidth="1"/>
    <col min="14330" max="14577" width="9.140625" style="2"/>
    <col min="14578" max="14578" width="16.28515625" style="2" customWidth="1"/>
    <col min="14579" max="14579" width="9.5703125" style="2" customWidth="1"/>
    <col min="14580" max="14580" width="25.85546875" style="2" customWidth="1"/>
    <col min="14581" max="14581" width="10.7109375" style="2" customWidth="1"/>
    <col min="14582" max="14582" width="40.42578125" style="2" customWidth="1"/>
    <col min="14583" max="14583" width="30.5703125" style="2" customWidth="1"/>
    <col min="14584" max="14584" width="16.42578125" style="2" customWidth="1"/>
    <col min="14585" max="14585" width="13" style="2" bestFit="1" customWidth="1"/>
    <col min="14586" max="14833" width="9.140625" style="2"/>
    <col min="14834" max="14834" width="16.28515625" style="2" customWidth="1"/>
    <col min="14835" max="14835" width="9.5703125" style="2" customWidth="1"/>
    <col min="14836" max="14836" width="25.85546875" style="2" customWidth="1"/>
    <col min="14837" max="14837" width="10.7109375" style="2" customWidth="1"/>
    <col min="14838" max="14838" width="40.42578125" style="2" customWidth="1"/>
    <col min="14839" max="14839" width="30.5703125" style="2" customWidth="1"/>
    <col min="14840" max="14840" width="16.42578125" style="2" customWidth="1"/>
    <col min="14841" max="14841" width="13" style="2" bestFit="1" customWidth="1"/>
    <col min="14842" max="15089" width="9.140625" style="2"/>
    <col min="15090" max="15090" width="16.28515625" style="2" customWidth="1"/>
    <col min="15091" max="15091" width="9.5703125" style="2" customWidth="1"/>
    <col min="15092" max="15092" width="25.85546875" style="2" customWidth="1"/>
    <col min="15093" max="15093" width="10.7109375" style="2" customWidth="1"/>
    <col min="15094" max="15094" width="40.42578125" style="2" customWidth="1"/>
    <col min="15095" max="15095" width="30.5703125" style="2" customWidth="1"/>
    <col min="15096" max="15096" width="16.42578125" style="2" customWidth="1"/>
    <col min="15097" max="15097" width="13" style="2" bestFit="1" customWidth="1"/>
    <col min="15098" max="15345" width="9.140625" style="2"/>
    <col min="15346" max="15346" width="16.28515625" style="2" customWidth="1"/>
    <col min="15347" max="15347" width="9.5703125" style="2" customWidth="1"/>
    <col min="15348" max="15348" width="25.85546875" style="2" customWidth="1"/>
    <col min="15349" max="15349" width="10.7109375" style="2" customWidth="1"/>
    <col min="15350" max="15350" width="40.42578125" style="2" customWidth="1"/>
    <col min="15351" max="15351" width="30.5703125" style="2" customWidth="1"/>
    <col min="15352" max="15352" width="16.42578125" style="2" customWidth="1"/>
    <col min="15353" max="15353" width="13" style="2" bestFit="1" customWidth="1"/>
    <col min="15354" max="15601" width="9.140625" style="2"/>
    <col min="15602" max="15602" width="16.28515625" style="2" customWidth="1"/>
    <col min="15603" max="15603" width="9.5703125" style="2" customWidth="1"/>
    <col min="15604" max="15604" width="25.85546875" style="2" customWidth="1"/>
    <col min="15605" max="15605" width="10.7109375" style="2" customWidth="1"/>
    <col min="15606" max="15606" width="40.42578125" style="2" customWidth="1"/>
    <col min="15607" max="15607" width="30.5703125" style="2" customWidth="1"/>
    <col min="15608" max="15608" width="16.42578125" style="2" customWidth="1"/>
    <col min="15609" max="15609" width="13" style="2" bestFit="1" customWidth="1"/>
    <col min="15610" max="15857" width="9.140625" style="2"/>
    <col min="15858" max="15858" width="16.28515625" style="2" customWidth="1"/>
    <col min="15859" max="15859" width="9.5703125" style="2" customWidth="1"/>
    <col min="15860" max="15860" width="25.85546875" style="2" customWidth="1"/>
    <col min="15861" max="15861" width="10.7109375" style="2" customWidth="1"/>
    <col min="15862" max="15862" width="40.42578125" style="2" customWidth="1"/>
    <col min="15863" max="15863" width="30.5703125" style="2" customWidth="1"/>
    <col min="15864" max="15864" width="16.42578125" style="2" customWidth="1"/>
    <col min="15865" max="15865" width="13" style="2" bestFit="1" customWidth="1"/>
    <col min="15866" max="16113" width="9.140625" style="2"/>
    <col min="16114" max="16114" width="16.28515625" style="2" customWidth="1"/>
    <col min="16115" max="16115" width="9.5703125" style="2" customWidth="1"/>
    <col min="16116" max="16116" width="25.85546875" style="2" customWidth="1"/>
    <col min="16117" max="16117" width="10.7109375" style="2" customWidth="1"/>
    <col min="16118" max="16118" width="40.42578125" style="2" customWidth="1"/>
    <col min="16119" max="16119" width="30.5703125" style="2" customWidth="1"/>
    <col min="16120" max="16120" width="16.42578125" style="2" customWidth="1"/>
    <col min="16121" max="16121" width="13" style="2" bestFit="1" customWidth="1"/>
    <col min="16122" max="16384" width="9.140625" style="2"/>
  </cols>
  <sheetData>
    <row r="5" spans="1:13" ht="18.75">
      <c r="A5" s="1483" t="s">
        <v>137</v>
      </c>
      <c r="B5" s="1483"/>
      <c r="C5" s="1483"/>
      <c r="D5" s="1483"/>
      <c r="E5" s="1483"/>
      <c r="F5" s="1483"/>
      <c r="G5" s="1483"/>
      <c r="H5" s="1483"/>
      <c r="I5" s="1483"/>
      <c r="J5" s="221"/>
      <c r="K5" s="2"/>
      <c r="L5" s="221"/>
    </row>
    <row r="6" spans="1:13" ht="18.75">
      <c r="A6" s="1483" t="s">
        <v>29</v>
      </c>
      <c r="B6" s="1483"/>
      <c r="C6" s="1483"/>
      <c r="D6" s="1483"/>
      <c r="E6" s="1483"/>
      <c r="F6" s="1483"/>
      <c r="G6" s="1483"/>
      <c r="H6" s="1483"/>
      <c r="I6" s="1483"/>
      <c r="J6" s="221"/>
      <c r="K6" s="2"/>
      <c r="L6" s="221"/>
    </row>
    <row r="8" spans="1:13">
      <c r="C8" s="4"/>
      <c r="D8" s="4"/>
      <c r="I8" s="5" t="s">
        <v>0</v>
      </c>
      <c r="J8" s="5"/>
      <c r="K8" s="5" t="s">
        <v>0</v>
      </c>
      <c r="L8" s="5"/>
    </row>
    <row r="9" spans="1:13" s="31" customFormat="1" ht="73.5" customHeight="1">
      <c r="A9" s="12" t="s">
        <v>1</v>
      </c>
      <c r="B9" s="12" t="s">
        <v>2</v>
      </c>
      <c r="C9" s="12" t="s">
        <v>68</v>
      </c>
      <c r="D9" s="12" t="s">
        <v>4</v>
      </c>
      <c r="E9" s="12" t="s">
        <v>5</v>
      </c>
      <c r="F9" s="12" t="s">
        <v>6</v>
      </c>
      <c r="G9" s="89" t="s">
        <v>33</v>
      </c>
      <c r="H9" s="90" t="s">
        <v>62</v>
      </c>
      <c r="I9" s="90" t="s">
        <v>50</v>
      </c>
      <c r="J9" s="90" t="s">
        <v>62</v>
      </c>
      <c r="K9" s="90" t="s">
        <v>138</v>
      </c>
      <c r="L9" s="90" t="s">
        <v>62</v>
      </c>
    </row>
    <row r="10" spans="1:13" s="31" customFormat="1" ht="44.25" customHeight="1">
      <c r="A10" s="1484" t="s">
        <v>26</v>
      </c>
      <c r="B10" s="1485"/>
      <c r="C10" s="1485"/>
      <c r="D10" s="1485"/>
      <c r="E10" s="1485"/>
      <c r="F10" s="1485"/>
      <c r="G10" s="1485"/>
      <c r="H10" s="1485"/>
      <c r="I10" s="1485"/>
      <c r="J10" s="222"/>
      <c r="L10" s="222"/>
    </row>
    <row r="11" spans="1:13" s="31" customFormat="1" ht="30.75" customHeight="1">
      <c r="A11" s="55" t="s">
        <v>7</v>
      </c>
      <c r="B11" s="55">
        <v>4</v>
      </c>
      <c r="C11" s="55" t="s">
        <v>69</v>
      </c>
      <c r="D11" s="55">
        <v>111</v>
      </c>
      <c r="E11" s="11">
        <v>211</v>
      </c>
      <c r="F11" s="8" t="s">
        <v>8</v>
      </c>
      <c r="G11" s="99">
        <f>27143522.19+10177.38+2504.13+0.07</f>
        <v>27156203.77</v>
      </c>
      <c r="H11" s="99">
        <f>43817338.31-G11-G48</f>
        <v>11710415.34</v>
      </c>
      <c r="I11" s="99">
        <f>27076646.04+17597.8</f>
        <v>27094243.84</v>
      </c>
      <c r="J11" s="99">
        <f>43816260.03-I11-I48</f>
        <v>11771296.99</v>
      </c>
      <c r="K11" s="99">
        <f>27068521.71+16920.63</f>
        <v>27085442.34</v>
      </c>
      <c r="L11" s="99">
        <f>43816006.91-K11-K48</f>
        <v>11779845.369999999</v>
      </c>
      <c r="M11" s="7">
        <f>G22++G54</f>
        <v>9626442.0600000005</v>
      </c>
    </row>
    <row r="12" spans="1:13" s="31" customFormat="1" ht="47.25">
      <c r="A12" s="55" t="s">
        <v>7</v>
      </c>
      <c r="B12" s="55">
        <v>4</v>
      </c>
      <c r="C12" s="55" t="s">
        <v>71</v>
      </c>
      <c r="D12" s="55">
        <v>111</v>
      </c>
      <c r="E12" s="11">
        <v>266</v>
      </c>
      <c r="F12" s="8" t="s">
        <v>43</v>
      </c>
      <c r="G12" s="99"/>
      <c r="H12" s="99"/>
      <c r="I12" s="99"/>
      <c r="J12" s="99"/>
      <c r="K12" s="99"/>
      <c r="L12" s="99"/>
      <c r="M12" s="7"/>
    </row>
    <row r="13" spans="1:13" s="31" customFormat="1" ht="94.5">
      <c r="A13" s="55" t="s">
        <v>7</v>
      </c>
      <c r="B13" s="55">
        <v>4</v>
      </c>
      <c r="C13" s="55" t="s">
        <v>71</v>
      </c>
      <c r="D13" s="55">
        <v>111</v>
      </c>
      <c r="E13" s="11">
        <v>211</v>
      </c>
      <c r="F13" s="8" t="s">
        <v>49</v>
      </c>
      <c r="G13" s="99"/>
      <c r="H13" s="99"/>
      <c r="I13" s="99"/>
      <c r="J13" s="99"/>
      <c r="K13" s="99"/>
      <c r="L13" s="99"/>
      <c r="M13" s="7"/>
    </row>
    <row r="14" spans="1:13" s="31" customFormat="1" ht="15.75">
      <c r="A14" s="55"/>
      <c r="B14" s="55"/>
      <c r="C14" s="55"/>
      <c r="D14" s="55"/>
      <c r="E14" s="11">
        <v>211</v>
      </c>
      <c r="F14" s="8" t="s">
        <v>145</v>
      </c>
      <c r="G14" s="95">
        <v>10000</v>
      </c>
      <c r="H14" s="10"/>
      <c r="I14" s="223">
        <v>30000</v>
      </c>
      <c r="J14" s="10"/>
      <c r="K14" s="10">
        <v>10000</v>
      </c>
      <c r="L14" s="10"/>
      <c r="M14" s="7"/>
    </row>
    <row r="15" spans="1:13" s="31" customFormat="1" ht="15.75">
      <c r="A15" s="55"/>
      <c r="B15" s="55"/>
      <c r="C15" s="55"/>
      <c r="D15" s="55"/>
      <c r="E15" s="11">
        <v>211</v>
      </c>
      <c r="F15" s="8" t="s">
        <v>139</v>
      </c>
      <c r="G15" s="95">
        <v>40000</v>
      </c>
      <c r="H15" s="10"/>
      <c r="I15" s="223">
        <v>40000</v>
      </c>
      <c r="J15" s="10"/>
      <c r="K15" s="10">
        <v>40000</v>
      </c>
      <c r="L15" s="10"/>
      <c r="M15" s="7"/>
    </row>
    <row r="16" spans="1:13" s="31" customFormat="1" ht="15.75">
      <c r="A16" s="55"/>
      <c r="B16" s="55"/>
      <c r="C16" s="55"/>
      <c r="D16" s="55"/>
      <c r="E16" s="11">
        <v>211</v>
      </c>
      <c r="F16" s="8" t="s">
        <v>141</v>
      </c>
      <c r="G16" s="95">
        <v>15000</v>
      </c>
      <c r="H16" s="10"/>
      <c r="I16" s="223">
        <v>15000</v>
      </c>
      <c r="J16" s="10"/>
      <c r="K16" s="10">
        <v>15000</v>
      </c>
      <c r="L16" s="10"/>
      <c r="M16" s="7"/>
    </row>
    <row r="17" spans="1:14" s="31" customFormat="1" ht="47.25">
      <c r="A17" s="55"/>
      <c r="B17" s="55"/>
      <c r="C17" s="55"/>
      <c r="D17" s="55"/>
      <c r="E17" s="11">
        <v>211</v>
      </c>
      <c r="F17" s="8" t="s">
        <v>143</v>
      </c>
      <c r="G17" s="95">
        <v>36000</v>
      </c>
      <c r="H17" s="10"/>
      <c r="I17" s="223">
        <v>30000</v>
      </c>
      <c r="J17" s="10"/>
      <c r="K17" s="10">
        <v>22000</v>
      </c>
      <c r="L17" s="10"/>
      <c r="M17" s="7"/>
    </row>
    <row r="18" spans="1:14" s="31" customFormat="1" ht="22.5" customHeight="1">
      <c r="A18" s="55" t="s">
        <v>7</v>
      </c>
      <c r="B18" s="55">
        <v>4</v>
      </c>
      <c r="C18" s="55" t="s">
        <v>71</v>
      </c>
      <c r="D18" s="55">
        <v>112</v>
      </c>
      <c r="E18" s="11">
        <v>214</v>
      </c>
      <c r="F18" s="8" t="s">
        <v>35</v>
      </c>
      <c r="G18" s="95">
        <v>1357300</v>
      </c>
      <c r="H18" s="10"/>
      <c r="I18" s="223">
        <v>1246500</v>
      </c>
      <c r="J18" s="10"/>
      <c r="K18" s="10">
        <v>1357300</v>
      </c>
      <c r="L18" s="10"/>
      <c r="M18" s="7"/>
    </row>
    <row r="19" spans="1:14" s="31" customFormat="1" ht="55.5" customHeight="1">
      <c r="A19" s="55" t="s">
        <v>7</v>
      </c>
      <c r="B19" s="55">
        <v>4</v>
      </c>
      <c r="C19" s="55" t="s">
        <v>71</v>
      </c>
      <c r="D19" s="55">
        <v>112</v>
      </c>
      <c r="E19" s="11">
        <v>266</v>
      </c>
      <c r="F19" s="8" t="s">
        <v>144</v>
      </c>
      <c r="G19" s="95">
        <v>189833.28</v>
      </c>
      <c r="H19" s="10"/>
      <c r="I19" s="223">
        <v>173418.7</v>
      </c>
      <c r="J19" s="10"/>
      <c r="K19" s="10">
        <v>146516.97</v>
      </c>
      <c r="L19" s="10"/>
      <c r="M19" s="7"/>
    </row>
    <row r="20" spans="1:14" s="31" customFormat="1" ht="55.5" customHeight="1">
      <c r="A20" s="55"/>
      <c r="B20" s="55"/>
      <c r="C20" s="55"/>
      <c r="D20" s="55"/>
      <c r="E20" s="11">
        <v>266</v>
      </c>
      <c r="F20" s="8" t="s">
        <v>41</v>
      </c>
      <c r="G20" s="95">
        <v>5100</v>
      </c>
      <c r="H20" s="10"/>
      <c r="I20" s="223">
        <v>3145</v>
      </c>
      <c r="J20" s="10"/>
      <c r="K20" s="10">
        <v>680</v>
      </c>
      <c r="L20" s="10"/>
      <c r="M20" s="7"/>
    </row>
    <row r="21" spans="1:14" s="31" customFormat="1" ht="55.5" customHeight="1">
      <c r="A21" s="55" t="s">
        <v>7</v>
      </c>
      <c r="B21" s="55">
        <v>4</v>
      </c>
      <c r="C21" s="55" t="s">
        <v>71</v>
      </c>
      <c r="D21" s="55">
        <v>112</v>
      </c>
      <c r="E21" s="11">
        <v>226</v>
      </c>
      <c r="F21" s="8" t="s">
        <v>102</v>
      </c>
      <c r="G21" s="99">
        <v>0</v>
      </c>
      <c r="H21" s="99"/>
      <c r="I21" s="99">
        <v>0</v>
      </c>
      <c r="J21" s="99"/>
      <c r="K21" s="99">
        <v>0</v>
      </c>
      <c r="L21" s="99"/>
      <c r="M21" s="7"/>
    </row>
    <row r="22" spans="1:14" s="31" customFormat="1" ht="23.25" customHeight="1">
      <c r="A22" s="55" t="s">
        <v>7</v>
      </c>
      <c r="B22" s="55">
        <v>4</v>
      </c>
      <c r="C22" s="55" t="s">
        <v>69</v>
      </c>
      <c r="D22" s="55">
        <v>119</v>
      </c>
      <c r="E22" s="11">
        <v>213</v>
      </c>
      <c r="F22" s="8" t="s">
        <v>10</v>
      </c>
      <c r="G22" s="100">
        <v>8142293.2800000003</v>
      </c>
      <c r="H22" s="100">
        <f>13039644.4-G22-G54</f>
        <v>3413202.34</v>
      </c>
      <c r="I22" s="100">
        <v>8098921.9800000004</v>
      </c>
      <c r="J22" s="100">
        <f>13043420.35-I22-I54</f>
        <v>3460349.59</v>
      </c>
      <c r="K22" s="100">
        <v>8098921.9800000004</v>
      </c>
      <c r="L22" s="100">
        <f>13043691.44-K22-K54</f>
        <v>3460620.68</v>
      </c>
      <c r="M22" s="7"/>
      <c r="N22" s="215"/>
    </row>
    <row r="23" spans="1:14" s="31" customFormat="1" ht="47.25">
      <c r="A23" s="55"/>
      <c r="B23" s="55"/>
      <c r="C23" s="55"/>
      <c r="D23" s="55"/>
      <c r="E23" s="11">
        <v>213</v>
      </c>
      <c r="F23" s="8" t="s">
        <v>146</v>
      </c>
      <c r="G23" s="94">
        <f>G14*30.2%</f>
        <v>3020</v>
      </c>
      <c r="H23" s="13"/>
      <c r="I23" s="224">
        <f>I14*30.2%</f>
        <v>9060</v>
      </c>
      <c r="J23" s="13"/>
      <c r="K23" s="13">
        <f>K14*30.2%</f>
        <v>3020</v>
      </c>
      <c r="L23" s="13"/>
      <c r="M23" s="7"/>
    </row>
    <row r="24" spans="1:14" s="31" customFormat="1" ht="47.25">
      <c r="A24" s="55"/>
      <c r="B24" s="55"/>
      <c r="C24" s="55"/>
      <c r="D24" s="55"/>
      <c r="E24" s="11">
        <v>213</v>
      </c>
      <c r="F24" s="8" t="s">
        <v>140</v>
      </c>
      <c r="G24" s="94">
        <v>12080</v>
      </c>
      <c r="H24" s="13"/>
      <c r="I24" s="224">
        <v>12080</v>
      </c>
      <c r="J24" s="13"/>
      <c r="K24" s="13">
        <v>12080</v>
      </c>
      <c r="L24" s="13"/>
      <c r="M24" s="7"/>
    </row>
    <row r="25" spans="1:14" s="31" customFormat="1" ht="47.25">
      <c r="A25" s="55"/>
      <c r="B25" s="55"/>
      <c r="C25" s="55"/>
      <c r="D25" s="55"/>
      <c r="E25" s="11">
        <v>213</v>
      </c>
      <c r="F25" s="8" t="s">
        <v>142</v>
      </c>
      <c r="G25" s="94">
        <v>4530</v>
      </c>
      <c r="H25" s="13"/>
      <c r="I25" s="224">
        <v>4530</v>
      </c>
      <c r="J25" s="13"/>
      <c r="K25" s="13">
        <v>4530</v>
      </c>
      <c r="L25" s="13"/>
      <c r="M25" s="7"/>
    </row>
    <row r="26" spans="1:14" s="31" customFormat="1" ht="19.5" customHeight="1">
      <c r="A26" s="55" t="s">
        <v>7</v>
      </c>
      <c r="B26" s="55">
        <v>4</v>
      </c>
      <c r="C26" s="55" t="s">
        <v>71</v>
      </c>
      <c r="D26" s="55">
        <v>244</v>
      </c>
      <c r="E26" s="11">
        <v>221</v>
      </c>
      <c r="F26" s="8" t="s">
        <v>11</v>
      </c>
      <c r="G26" s="95">
        <f>228206.4+614.4</f>
        <v>228820.8</v>
      </c>
      <c r="H26" s="10"/>
      <c r="I26" s="223">
        <f>228206.4+614.4</f>
        <v>228820.8</v>
      </c>
      <c r="J26" s="10"/>
      <c r="K26" s="10">
        <f>228206.4+614.4</f>
        <v>228820.8</v>
      </c>
      <c r="L26" s="10"/>
      <c r="M26" s="7"/>
    </row>
    <row r="27" spans="1:14" s="31" customFormat="1" ht="19.5" customHeight="1">
      <c r="A27" s="55" t="s">
        <v>7</v>
      </c>
      <c r="B27" s="55">
        <v>4</v>
      </c>
      <c r="C27" s="55" t="s">
        <v>71</v>
      </c>
      <c r="D27" s="55">
        <v>244</v>
      </c>
      <c r="E27" s="11">
        <v>222</v>
      </c>
      <c r="F27" s="8" t="s">
        <v>12</v>
      </c>
      <c r="G27" s="95">
        <v>160373.01999999999</v>
      </c>
      <c r="H27" s="10"/>
      <c r="I27" s="223">
        <v>160373.01999999999</v>
      </c>
      <c r="J27" s="10"/>
      <c r="K27" s="10">
        <v>160373.01999999999</v>
      </c>
      <c r="L27" s="10"/>
      <c r="M27" s="7"/>
    </row>
    <row r="28" spans="1:14" s="31" customFormat="1" ht="15.75">
      <c r="A28" s="55" t="s">
        <v>7</v>
      </c>
      <c r="B28" s="55">
        <v>4</v>
      </c>
      <c r="C28" s="55" t="s">
        <v>71</v>
      </c>
      <c r="D28" s="55">
        <v>244</v>
      </c>
      <c r="E28" s="11">
        <v>223</v>
      </c>
      <c r="F28" s="8" t="s">
        <v>13</v>
      </c>
      <c r="G28" s="95">
        <v>1259254.03</v>
      </c>
      <c r="H28" s="10"/>
      <c r="I28" s="10">
        <v>1264018.02</v>
      </c>
      <c r="J28" s="10"/>
      <c r="K28" s="10">
        <v>1273819.1399999999</v>
      </c>
      <c r="L28" s="10"/>
      <c r="M28" s="7"/>
    </row>
    <row r="29" spans="1:14" s="31" customFormat="1" ht="15.75">
      <c r="A29" s="55" t="s">
        <v>7</v>
      </c>
      <c r="B29" s="55">
        <v>4</v>
      </c>
      <c r="C29" s="55" t="s">
        <v>71</v>
      </c>
      <c r="D29" s="55">
        <v>244</v>
      </c>
      <c r="E29" s="11">
        <v>223</v>
      </c>
      <c r="F29" s="8" t="s">
        <v>147</v>
      </c>
      <c r="G29" s="95">
        <v>32043.919999999998</v>
      </c>
      <c r="H29" s="10"/>
      <c r="I29" s="10">
        <v>33152.92</v>
      </c>
      <c r="J29" s="10"/>
      <c r="K29" s="10">
        <v>33381.120000000003</v>
      </c>
      <c r="L29" s="10"/>
      <c r="M29" s="7"/>
    </row>
    <row r="30" spans="1:14" s="31" customFormat="1" ht="33" customHeight="1">
      <c r="A30" s="55" t="s">
        <v>7</v>
      </c>
      <c r="B30" s="55">
        <v>4</v>
      </c>
      <c r="C30" s="55" t="s">
        <v>71</v>
      </c>
      <c r="D30" s="55">
        <v>244</v>
      </c>
      <c r="E30" s="11">
        <v>225</v>
      </c>
      <c r="F30" s="8" t="s">
        <v>149</v>
      </c>
      <c r="G30" s="10">
        <f>5236.14+35700+81611.22</f>
        <v>122547.36</v>
      </c>
      <c r="H30" s="10"/>
      <c r="I30" s="10">
        <f>5236.14+35700+81611.22</f>
        <v>122547.36</v>
      </c>
      <c r="J30" s="10"/>
      <c r="K30" s="10">
        <f>5236.14+35700+81611.22</f>
        <v>122547.36</v>
      </c>
      <c r="L30" s="10"/>
      <c r="M30" s="7"/>
    </row>
    <row r="31" spans="1:14" s="31" customFormat="1" ht="31.5">
      <c r="A31" s="55" t="s">
        <v>7</v>
      </c>
      <c r="B31" s="55">
        <v>4</v>
      </c>
      <c r="C31" s="55" t="s">
        <v>71</v>
      </c>
      <c r="D31" s="55">
        <v>244</v>
      </c>
      <c r="E31" s="11">
        <v>225</v>
      </c>
      <c r="F31" s="8" t="s">
        <v>148</v>
      </c>
      <c r="G31" s="95">
        <f>961008.5-272296.72+99999.96</f>
        <v>788711.74</v>
      </c>
      <c r="H31" s="10"/>
      <c r="I31" s="10">
        <f>961008.5-209187.6+99999.96</f>
        <v>851820.86</v>
      </c>
      <c r="J31" s="10"/>
      <c r="K31" s="10">
        <f>961008.5-253883+99999.96</f>
        <v>807125.46</v>
      </c>
      <c r="L31" s="10"/>
      <c r="M31" s="7"/>
    </row>
    <row r="32" spans="1:14" s="31" customFormat="1" ht="15.75">
      <c r="A32" s="55" t="s">
        <v>7</v>
      </c>
      <c r="B32" s="55">
        <v>4</v>
      </c>
      <c r="C32" s="55" t="s">
        <v>71</v>
      </c>
      <c r="D32" s="55">
        <v>244</v>
      </c>
      <c r="E32" s="11">
        <v>224</v>
      </c>
      <c r="F32" s="8" t="s">
        <v>151</v>
      </c>
      <c r="G32" s="95">
        <f>12428476.8-9362656.92+272296.72+1386.97</f>
        <v>3339503.57</v>
      </c>
      <c r="H32" s="95">
        <f>12428476.8-G32</f>
        <v>9088973.2300000004</v>
      </c>
      <c r="I32" s="10">
        <f>12428476.8-9078188.03+209187.6+1386.97</f>
        <v>3560863.34</v>
      </c>
      <c r="J32" s="10">
        <f>12428476.8-I32</f>
        <v>8867613.4600000009</v>
      </c>
      <c r="K32" s="10">
        <f>12428476.8-9118684.41+253883+1386.97</f>
        <v>3565062.36</v>
      </c>
      <c r="L32" s="10">
        <f>12428476.8-K32</f>
        <v>8863414.4399999995</v>
      </c>
      <c r="M32" s="7"/>
    </row>
    <row r="33" spans="1:14" s="31" customFormat="1" ht="15.75">
      <c r="A33" s="55" t="s">
        <v>7</v>
      </c>
      <c r="B33" s="55">
        <v>4</v>
      </c>
      <c r="C33" s="55" t="s">
        <v>71</v>
      </c>
      <c r="D33" s="55">
        <v>244</v>
      </c>
      <c r="E33" s="11">
        <v>226</v>
      </c>
      <c r="F33" s="8" t="s">
        <v>150</v>
      </c>
      <c r="G33" s="94">
        <v>911266.3</v>
      </c>
      <c r="H33" s="13"/>
      <c r="I33" s="13">
        <v>911266.3</v>
      </c>
      <c r="J33" s="13"/>
      <c r="K33" s="13">
        <v>911266.3</v>
      </c>
      <c r="L33" s="13"/>
      <c r="M33" s="7"/>
    </row>
    <row r="34" spans="1:14" s="30" customFormat="1" ht="15.75">
      <c r="A34" s="27" t="s">
        <v>7</v>
      </c>
      <c r="B34" s="27">
        <v>4</v>
      </c>
      <c r="C34" s="27" t="s">
        <v>70</v>
      </c>
      <c r="D34" s="27">
        <v>244</v>
      </c>
      <c r="E34" s="28">
        <v>226</v>
      </c>
      <c r="F34" s="29" t="s">
        <v>15</v>
      </c>
      <c r="G34" s="94">
        <v>2100099.31</v>
      </c>
      <c r="H34" s="107"/>
      <c r="I34" s="107">
        <v>2238560.48</v>
      </c>
      <c r="J34" s="107"/>
      <c r="K34" s="107">
        <v>2091392.71</v>
      </c>
      <c r="L34" s="107"/>
      <c r="M34" s="7"/>
    </row>
    <row r="35" spans="1:14" s="31" customFormat="1" ht="18" customHeight="1">
      <c r="A35" s="55" t="s">
        <v>7</v>
      </c>
      <c r="B35" s="55">
        <v>4</v>
      </c>
      <c r="C35" s="55" t="s">
        <v>71</v>
      </c>
      <c r="D35" s="55">
        <v>851</v>
      </c>
      <c r="E35" s="11">
        <v>291</v>
      </c>
      <c r="F35" s="8" t="s">
        <v>28</v>
      </c>
      <c r="G35" s="10">
        <v>119325</v>
      </c>
      <c r="H35" s="10"/>
      <c r="I35" s="10">
        <v>0</v>
      </c>
      <c r="J35" s="10"/>
      <c r="K35" s="10">
        <v>0</v>
      </c>
      <c r="L35" s="10"/>
      <c r="M35" s="7"/>
    </row>
    <row r="36" spans="1:14" s="31" customFormat="1" ht="19.5" customHeight="1">
      <c r="A36" s="55" t="s">
        <v>7</v>
      </c>
      <c r="B36" s="55">
        <v>4</v>
      </c>
      <c r="C36" s="55" t="s">
        <v>71</v>
      </c>
      <c r="D36" s="55">
        <v>853</v>
      </c>
      <c r="E36" s="11">
        <v>297</v>
      </c>
      <c r="F36" s="8" t="s">
        <v>38</v>
      </c>
      <c r="G36" s="13">
        <f>65726.04-G69</f>
        <v>58299.96</v>
      </c>
      <c r="H36" s="13"/>
      <c r="I36" s="13">
        <f>65724.43-I69</f>
        <v>58298.35</v>
      </c>
      <c r="J36" s="13"/>
      <c r="K36" s="13">
        <f>65724.05-K69</f>
        <v>58297.97</v>
      </c>
      <c r="L36" s="100"/>
      <c r="M36" s="7"/>
    </row>
    <row r="37" spans="1:14" s="30" customFormat="1" ht="31.5">
      <c r="A37" s="27" t="s">
        <v>7</v>
      </c>
      <c r="B37" s="27">
        <v>4</v>
      </c>
      <c r="C37" s="27" t="s">
        <v>70</v>
      </c>
      <c r="D37" s="27">
        <v>244</v>
      </c>
      <c r="E37" s="28">
        <v>346</v>
      </c>
      <c r="F37" s="29" t="s">
        <v>112</v>
      </c>
      <c r="G37" s="95">
        <v>359298.91</v>
      </c>
      <c r="H37" s="98"/>
      <c r="I37" s="98">
        <v>397358.85</v>
      </c>
      <c r="J37" s="98"/>
      <c r="K37" s="98">
        <v>544526.62</v>
      </c>
      <c r="L37" s="98"/>
      <c r="M37" s="7"/>
    </row>
    <row r="38" spans="1:14" s="31" customFormat="1" ht="47.25">
      <c r="A38" s="55" t="s">
        <v>7</v>
      </c>
      <c r="B38" s="55">
        <v>4</v>
      </c>
      <c r="C38" s="55" t="s">
        <v>71</v>
      </c>
      <c r="D38" s="16">
        <v>119</v>
      </c>
      <c r="E38" s="17">
        <v>266</v>
      </c>
      <c r="F38" s="9" t="s">
        <v>65</v>
      </c>
      <c r="G38" s="94">
        <v>57329.65</v>
      </c>
      <c r="H38" s="13"/>
      <c r="I38" s="224">
        <v>52372.45</v>
      </c>
      <c r="J38" s="13"/>
      <c r="K38" s="13">
        <v>44248.12</v>
      </c>
      <c r="L38" s="13"/>
      <c r="M38" s="7"/>
    </row>
    <row r="39" spans="1:14" s="31" customFormat="1" ht="15.75" customHeight="1">
      <c r="A39" s="1482" t="s">
        <v>17</v>
      </c>
      <c r="B39" s="1482"/>
      <c r="C39" s="1482"/>
      <c r="D39" s="1482"/>
      <c r="E39" s="1482"/>
      <c r="F39" s="1482"/>
      <c r="G39" s="13">
        <f t="shared" ref="G39:L39" si="0">SUM(G11:G38)</f>
        <v>46508233.899999999</v>
      </c>
      <c r="H39" s="13">
        <f t="shared" si="0"/>
        <v>24212590.91</v>
      </c>
      <c r="I39" s="13">
        <f t="shared" si="0"/>
        <v>46636352.270000003</v>
      </c>
      <c r="J39" s="13">
        <f t="shared" si="0"/>
        <v>24099260.039999999</v>
      </c>
      <c r="K39" s="13">
        <f t="shared" si="0"/>
        <v>46636352.270000003</v>
      </c>
      <c r="L39" s="13">
        <f t="shared" si="0"/>
        <v>24103880.489999998</v>
      </c>
      <c r="M39" s="7"/>
    </row>
    <row r="40" spans="1:14" s="31" customFormat="1" ht="15.75" customHeight="1">
      <c r="A40" s="209"/>
      <c r="B40" s="209"/>
      <c r="C40" s="209"/>
      <c r="D40" s="209"/>
      <c r="E40" s="209"/>
      <c r="F40" s="209"/>
      <c r="G40" s="211">
        <v>46508233.899999999</v>
      </c>
      <c r="H40" s="211"/>
      <c r="I40" s="211">
        <v>46636352.270000003</v>
      </c>
      <c r="J40" s="211"/>
      <c r="K40" s="211">
        <v>46636352.270000003</v>
      </c>
      <c r="L40" s="211"/>
      <c r="M40" s="7"/>
    </row>
    <row r="41" spans="1:14" s="31" customFormat="1" ht="23.25" customHeight="1">
      <c r="A41" s="1486" t="s">
        <v>18</v>
      </c>
      <c r="B41" s="1486"/>
      <c r="C41" s="1486"/>
      <c r="D41" s="1486"/>
      <c r="E41" s="1486"/>
      <c r="F41" s="1486"/>
      <c r="G41" s="216">
        <f>G39-G40</f>
        <v>0</v>
      </c>
      <c r="H41" s="222"/>
      <c r="I41" s="216">
        <f>I39-I40</f>
        <v>0</v>
      </c>
      <c r="J41" s="222"/>
      <c r="K41" s="216">
        <f>K39-K40</f>
        <v>0</v>
      </c>
      <c r="L41" s="222"/>
      <c r="M41" s="7"/>
      <c r="N41" s="215"/>
    </row>
    <row r="42" spans="1:14" s="31" customFormat="1" ht="28.5" customHeight="1">
      <c r="A42" s="16" t="s">
        <v>44</v>
      </c>
      <c r="B42" s="16">
        <v>5</v>
      </c>
      <c r="C42" s="55" t="s">
        <v>72</v>
      </c>
      <c r="D42" s="16">
        <v>244</v>
      </c>
      <c r="E42" s="17">
        <v>226</v>
      </c>
      <c r="F42" s="8" t="s">
        <v>15</v>
      </c>
      <c r="G42" s="100">
        <v>52833.25</v>
      </c>
      <c r="H42" s="100"/>
      <c r="I42" s="100">
        <v>0</v>
      </c>
      <c r="J42" s="100"/>
      <c r="K42" s="100">
        <v>0</v>
      </c>
      <c r="L42" s="100"/>
      <c r="M42" s="7"/>
    </row>
    <row r="43" spans="1:14" s="31" customFormat="1" ht="21.75" customHeight="1">
      <c r="A43" s="55" t="s">
        <v>19</v>
      </c>
      <c r="B43" s="16">
        <v>5</v>
      </c>
      <c r="C43" s="55" t="s">
        <v>71</v>
      </c>
      <c r="D43" s="55">
        <v>112</v>
      </c>
      <c r="E43" s="11">
        <v>266</v>
      </c>
      <c r="F43" s="8" t="s">
        <v>40</v>
      </c>
      <c r="G43" s="100">
        <v>0</v>
      </c>
      <c r="H43" s="100"/>
      <c r="I43" s="100">
        <v>0</v>
      </c>
      <c r="J43" s="100"/>
      <c r="K43" s="100">
        <v>0</v>
      </c>
      <c r="L43" s="100"/>
      <c r="M43" s="7"/>
    </row>
    <row r="44" spans="1:14" s="31" customFormat="1" ht="15.75">
      <c r="A44" s="1476" t="s">
        <v>17</v>
      </c>
      <c r="B44" s="1477"/>
      <c r="C44" s="1477"/>
      <c r="D44" s="1477"/>
      <c r="E44" s="1477"/>
      <c r="F44" s="1478"/>
      <c r="G44" s="13">
        <f>SUM(G42:G43)</f>
        <v>52833.25</v>
      </c>
      <c r="H44" s="13"/>
      <c r="I44" s="13">
        <f>SUM(I42:I43)</f>
        <v>0</v>
      </c>
      <c r="J44" s="13"/>
      <c r="K44" s="13">
        <f>SUM(K42:K43)</f>
        <v>0</v>
      </c>
      <c r="L44" s="13"/>
      <c r="M44" s="7"/>
    </row>
    <row r="45" spans="1:14" s="31" customFormat="1" ht="16.5" customHeight="1">
      <c r="A45" s="1476" t="s">
        <v>21</v>
      </c>
      <c r="B45" s="1477"/>
      <c r="C45" s="1477"/>
      <c r="D45" s="1477"/>
      <c r="E45" s="1477"/>
      <c r="F45" s="1478"/>
      <c r="G45" s="10">
        <f>G39+G44</f>
        <v>46561067.149999999</v>
      </c>
      <c r="H45" s="10"/>
      <c r="I45" s="10">
        <f>I39+I44</f>
        <v>46636352.270000003</v>
      </c>
      <c r="J45" s="10"/>
      <c r="K45" s="10">
        <f>K39+K44</f>
        <v>46636352.270000003</v>
      </c>
      <c r="L45" s="10"/>
      <c r="M45" s="7"/>
    </row>
    <row r="46" spans="1:14" s="31" customFormat="1" ht="16.5" customHeight="1">
      <c r="A46" s="217"/>
      <c r="B46" s="218"/>
      <c r="C46" s="218"/>
      <c r="D46" s="218"/>
      <c r="E46" s="218"/>
      <c r="F46" s="219"/>
      <c r="G46" s="210">
        <v>4800</v>
      </c>
      <c r="H46" s="210"/>
      <c r="I46" s="210">
        <v>7200</v>
      </c>
      <c r="J46" s="210"/>
      <c r="K46" s="210">
        <v>7200</v>
      </c>
      <c r="L46" s="210"/>
      <c r="M46" s="7"/>
    </row>
    <row r="47" spans="1:14" s="31" customFormat="1" ht="15.75">
      <c r="A47" s="1479" t="s">
        <v>22</v>
      </c>
      <c r="B47" s="1479"/>
      <c r="C47" s="1479"/>
      <c r="D47" s="1479"/>
      <c r="E47" s="1479"/>
      <c r="F47" s="1479"/>
      <c r="G47" s="222"/>
      <c r="H47" s="222"/>
      <c r="I47" s="222"/>
      <c r="J47" s="222"/>
      <c r="K47" s="222"/>
      <c r="L47" s="222"/>
      <c r="M47" s="7"/>
    </row>
    <row r="48" spans="1:14" s="31" customFormat="1" ht="24.75" customHeight="1">
      <c r="A48" s="55" t="s">
        <v>23</v>
      </c>
      <c r="B48" s="55">
        <v>2</v>
      </c>
      <c r="C48" s="55" t="s">
        <v>69</v>
      </c>
      <c r="D48" s="55">
        <v>111</v>
      </c>
      <c r="E48" s="55">
        <v>211</v>
      </c>
      <c r="F48" s="8" t="s">
        <v>8</v>
      </c>
      <c r="G48" s="10">
        <v>4950719.2</v>
      </c>
      <c r="H48" s="10"/>
      <c r="I48" s="10">
        <v>4950719.2</v>
      </c>
      <c r="J48" s="10"/>
      <c r="K48" s="10">
        <v>4950719.2</v>
      </c>
      <c r="L48" s="10"/>
      <c r="M48" s="7"/>
    </row>
    <row r="49" spans="1:15" s="31" customFormat="1" ht="94.5">
      <c r="A49" s="55" t="s">
        <v>23</v>
      </c>
      <c r="B49" s="55">
        <v>2</v>
      </c>
      <c r="C49" s="55" t="s">
        <v>71</v>
      </c>
      <c r="D49" s="55">
        <v>111</v>
      </c>
      <c r="E49" s="11">
        <v>211</v>
      </c>
      <c r="F49" s="8" t="s">
        <v>49</v>
      </c>
      <c r="G49" s="99"/>
      <c r="H49" s="99"/>
      <c r="I49" s="99"/>
      <c r="J49" s="99"/>
      <c r="K49" s="99"/>
      <c r="L49" s="99"/>
      <c r="M49" s="7"/>
      <c r="N49" s="7"/>
      <c r="O49" s="7"/>
    </row>
    <row r="50" spans="1:15" s="31" customFormat="1" ht="47.25">
      <c r="A50" s="55"/>
      <c r="B50" s="55"/>
      <c r="C50" s="55"/>
      <c r="D50" s="55"/>
      <c r="E50" s="11">
        <v>211</v>
      </c>
      <c r="F50" s="8" t="s">
        <v>59</v>
      </c>
      <c r="G50" s="95">
        <v>4000</v>
      </c>
      <c r="H50" s="10"/>
      <c r="I50" s="223">
        <v>1000</v>
      </c>
      <c r="J50" s="10"/>
      <c r="K50" s="10">
        <v>0</v>
      </c>
      <c r="L50" s="10"/>
      <c r="M50" s="7"/>
      <c r="N50" s="7"/>
      <c r="O50" s="7"/>
    </row>
    <row r="51" spans="1:15" s="31" customFormat="1" ht="47.25">
      <c r="A51" s="55" t="s">
        <v>23</v>
      </c>
      <c r="B51" s="55">
        <v>2</v>
      </c>
      <c r="C51" s="55" t="s">
        <v>71</v>
      </c>
      <c r="D51" s="55">
        <v>111</v>
      </c>
      <c r="E51" s="11">
        <v>266</v>
      </c>
      <c r="F51" s="8" t="s">
        <v>43</v>
      </c>
      <c r="G51" s="99"/>
      <c r="H51" s="99"/>
      <c r="I51" s="99"/>
      <c r="J51" s="99"/>
      <c r="K51" s="99"/>
      <c r="L51" s="99"/>
      <c r="M51" s="7"/>
    </row>
    <row r="52" spans="1:15" s="31" customFormat="1" ht="47.25">
      <c r="A52" s="55" t="s">
        <v>23</v>
      </c>
      <c r="B52" s="55">
        <v>2</v>
      </c>
      <c r="C52" s="55" t="s">
        <v>71</v>
      </c>
      <c r="D52" s="55">
        <v>112</v>
      </c>
      <c r="E52" s="11">
        <v>266</v>
      </c>
      <c r="F52" s="8" t="s">
        <v>41</v>
      </c>
      <c r="G52" s="95">
        <v>1020</v>
      </c>
      <c r="H52" s="10"/>
      <c r="I52" s="223">
        <v>425</v>
      </c>
      <c r="J52" s="10"/>
      <c r="K52" s="10">
        <v>0</v>
      </c>
      <c r="L52" s="10"/>
      <c r="M52" s="7"/>
    </row>
    <row r="53" spans="1:15" s="31" customFormat="1" ht="16.5" customHeight="1">
      <c r="A53" s="55" t="s">
        <v>23</v>
      </c>
      <c r="B53" s="55">
        <v>2</v>
      </c>
      <c r="C53" s="55" t="s">
        <v>71</v>
      </c>
      <c r="D53" s="55">
        <v>112</v>
      </c>
      <c r="E53" s="11">
        <v>214</v>
      </c>
      <c r="F53" s="8" t="s">
        <v>35</v>
      </c>
      <c r="G53" s="95">
        <v>83100</v>
      </c>
      <c r="H53" s="10"/>
      <c r="I53" s="223">
        <v>138500</v>
      </c>
      <c r="J53" s="10"/>
      <c r="K53" s="10">
        <v>83100</v>
      </c>
      <c r="L53" s="10"/>
      <c r="M53" s="7"/>
    </row>
    <row r="54" spans="1:15" s="31" customFormat="1" ht="15.75">
      <c r="A54" s="55" t="s">
        <v>23</v>
      </c>
      <c r="B54" s="55">
        <v>2</v>
      </c>
      <c r="C54" s="55" t="s">
        <v>69</v>
      </c>
      <c r="D54" s="55">
        <v>119</v>
      </c>
      <c r="E54" s="11">
        <v>213</v>
      </c>
      <c r="F54" s="8" t="s">
        <v>10</v>
      </c>
      <c r="G54" s="10">
        <v>1484148.78</v>
      </c>
      <c r="H54" s="10"/>
      <c r="I54" s="10">
        <v>1484148.78</v>
      </c>
      <c r="J54" s="10"/>
      <c r="K54" s="10">
        <v>1484148.78</v>
      </c>
      <c r="L54" s="10"/>
      <c r="M54" s="7"/>
    </row>
    <row r="55" spans="1:15" s="31" customFormat="1" ht="16.5" customHeight="1">
      <c r="A55" s="55" t="s">
        <v>23</v>
      </c>
      <c r="B55" s="55">
        <v>2</v>
      </c>
      <c r="C55" s="55" t="s">
        <v>71</v>
      </c>
      <c r="D55" s="55">
        <v>244</v>
      </c>
      <c r="E55" s="11">
        <v>222</v>
      </c>
      <c r="F55" s="8" t="s">
        <v>12</v>
      </c>
      <c r="G55" s="95">
        <v>253921.27</v>
      </c>
      <c r="H55" s="10"/>
      <c r="I55" s="223">
        <v>253921.27</v>
      </c>
      <c r="J55" s="10"/>
      <c r="K55" s="10">
        <v>253921.27</v>
      </c>
      <c r="L55" s="10"/>
      <c r="M55" s="7"/>
    </row>
    <row r="56" spans="1:15" s="31" customFormat="1" ht="15.75">
      <c r="A56" s="55" t="s">
        <v>23</v>
      </c>
      <c r="B56" s="55">
        <v>2</v>
      </c>
      <c r="C56" s="55" t="s">
        <v>71</v>
      </c>
      <c r="D56" s="55">
        <v>244</v>
      </c>
      <c r="E56" s="11">
        <v>225</v>
      </c>
      <c r="F56" s="8" t="s">
        <v>14</v>
      </c>
      <c r="G56" s="95">
        <f>272296.72-99999.96</f>
        <v>172296.76</v>
      </c>
      <c r="H56" s="10"/>
      <c r="I56" s="10">
        <f>209187.6-99999.96</f>
        <v>109187.64</v>
      </c>
      <c r="J56" s="10"/>
      <c r="K56" s="10">
        <f>253883-99999.96</f>
        <v>153883.04</v>
      </c>
      <c r="L56" s="10"/>
      <c r="M56" s="7"/>
    </row>
    <row r="57" spans="1:15" s="31" customFormat="1" ht="15.75">
      <c r="A57" s="55" t="s">
        <v>23</v>
      </c>
      <c r="B57" s="55">
        <v>2</v>
      </c>
      <c r="C57" s="55" t="s">
        <v>71</v>
      </c>
      <c r="D57" s="55">
        <v>244</v>
      </c>
      <c r="E57" s="11">
        <v>226</v>
      </c>
      <c r="F57" s="8" t="s">
        <v>152</v>
      </c>
      <c r="G57" s="95">
        <v>108721.8</v>
      </c>
      <c r="H57" s="10"/>
      <c r="I57" s="10">
        <v>117419.52</v>
      </c>
      <c r="J57" s="10"/>
      <c r="K57" s="10">
        <v>126813.12</v>
      </c>
      <c r="L57" s="10"/>
      <c r="M57" s="7"/>
    </row>
    <row r="58" spans="1:15" s="31" customFormat="1" ht="15.75">
      <c r="A58" s="55" t="s">
        <v>23</v>
      </c>
      <c r="B58" s="55">
        <v>2</v>
      </c>
      <c r="C58" s="55" t="s">
        <v>71</v>
      </c>
      <c r="D58" s="55">
        <v>244</v>
      </c>
      <c r="E58" s="11">
        <v>226</v>
      </c>
      <c r="F58" s="8" t="s">
        <v>153</v>
      </c>
      <c r="G58" s="95">
        <v>52171.199999999997</v>
      </c>
      <c r="H58" s="10"/>
      <c r="I58" s="10">
        <v>54777.599999999999</v>
      </c>
      <c r="J58" s="10"/>
      <c r="K58" s="10">
        <v>57513.599999999999</v>
      </c>
      <c r="L58" s="10"/>
      <c r="M58" s="7"/>
    </row>
    <row r="59" spans="1:15" s="31" customFormat="1" ht="15.75">
      <c r="A59" s="55" t="s">
        <v>23</v>
      </c>
      <c r="B59" s="55">
        <v>2</v>
      </c>
      <c r="C59" s="55" t="s">
        <v>71</v>
      </c>
      <c r="D59" s="55">
        <v>244</v>
      </c>
      <c r="E59" s="11">
        <v>226</v>
      </c>
      <c r="F59" s="8" t="s">
        <v>154</v>
      </c>
      <c r="G59" s="95">
        <v>21790</v>
      </c>
      <c r="H59" s="10"/>
      <c r="I59" s="10">
        <v>21790</v>
      </c>
      <c r="J59" s="10"/>
      <c r="K59" s="10">
        <v>21790</v>
      </c>
      <c r="L59" s="10"/>
      <c r="M59" s="7"/>
    </row>
    <row r="60" spans="1:15" s="31" customFormat="1" ht="31.5">
      <c r="A60" s="55" t="s">
        <v>23</v>
      </c>
      <c r="B60" s="55">
        <v>2</v>
      </c>
      <c r="C60" s="55" t="s">
        <v>71</v>
      </c>
      <c r="D60" s="55">
        <v>244</v>
      </c>
      <c r="E60" s="11">
        <v>226</v>
      </c>
      <c r="F60" s="8" t="s">
        <v>155</v>
      </c>
      <c r="G60" s="95">
        <v>156000</v>
      </c>
      <c r="H60" s="10"/>
      <c r="I60" s="10">
        <v>156000</v>
      </c>
      <c r="J60" s="10"/>
      <c r="K60" s="10">
        <v>156000</v>
      </c>
      <c r="L60" s="10"/>
      <c r="M60" s="7"/>
    </row>
    <row r="61" spans="1:15" s="31" customFormat="1" ht="31.5">
      <c r="A61" s="55" t="s">
        <v>23</v>
      </c>
      <c r="B61" s="55">
        <v>2</v>
      </c>
      <c r="C61" s="55" t="s">
        <v>71</v>
      </c>
      <c r="D61" s="55">
        <v>244</v>
      </c>
      <c r="E61" s="11">
        <v>226</v>
      </c>
      <c r="F61" s="8" t="s">
        <v>156</v>
      </c>
      <c r="G61" s="95">
        <v>1383821.9</v>
      </c>
      <c r="H61" s="10"/>
      <c r="I61" s="10">
        <v>1383821.9</v>
      </c>
      <c r="J61" s="10"/>
      <c r="K61" s="10">
        <v>1383821.9</v>
      </c>
      <c r="L61" s="10"/>
      <c r="M61" s="7"/>
    </row>
    <row r="62" spans="1:15" s="31" customFormat="1" ht="15.75">
      <c r="A62" s="55" t="s">
        <v>23</v>
      </c>
      <c r="B62" s="55">
        <v>2</v>
      </c>
      <c r="C62" s="55" t="s">
        <v>71</v>
      </c>
      <c r="D62" s="55">
        <v>244</v>
      </c>
      <c r="E62" s="11">
        <v>226</v>
      </c>
      <c r="F62" s="8" t="s">
        <v>157</v>
      </c>
      <c r="G62" s="95">
        <v>199999.92</v>
      </c>
      <c r="H62" s="10"/>
      <c r="I62" s="10">
        <v>199999.92</v>
      </c>
      <c r="J62" s="10"/>
      <c r="K62" s="10">
        <v>199999.92</v>
      </c>
      <c r="L62" s="10"/>
      <c r="M62" s="7"/>
    </row>
    <row r="63" spans="1:15" s="31" customFormat="1" ht="15.75">
      <c r="A63" s="55" t="s">
        <v>23</v>
      </c>
      <c r="B63" s="55">
        <v>2</v>
      </c>
      <c r="C63" s="55" t="s">
        <v>71</v>
      </c>
      <c r="D63" s="55">
        <v>244</v>
      </c>
      <c r="E63" s="11">
        <v>226</v>
      </c>
      <c r="F63" s="8" t="s">
        <v>159</v>
      </c>
      <c r="G63" s="95">
        <v>76788.2</v>
      </c>
      <c r="H63" s="10"/>
      <c r="I63" s="10">
        <v>76788.2</v>
      </c>
      <c r="J63" s="10"/>
      <c r="K63" s="10">
        <v>76788.2</v>
      </c>
      <c r="L63" s="10"/>
      <c r="M63" s="7"/>
    </row>
    <row r="64" spans="1:15" s="31" customFormat="1" ht="15.75">
      <c r="A64" s="55" t="s">
        <v>23</v>
      </c>
      <c r="B64" s="55">
        <v>2</v>
      </c>
      <c r="C64" s="55" t="s">
        <v>71</v>
      </c>
      <c r="D64" s="55">
        <v>244</v>
      </c>
      <c r="E64" s="11">
        <v>226</v>
      </c>
      <c r="F64" s="8" t="s">
        <v>158</v>
      </c>
      <c r="G64" s="95">
        <v>9933.32</v>
      </c>
      <c r="H64" s="10"/>
      <c r="I64" s="10">
        <v>9933.32</v>
      </c>
      <c r="J64" s="10"/>
      <c r="K64" s="10">
        <v>9933.32</v>
      </c>
      <c r="L64" s="10"/>
      <c r="M64" s="7"/>
    </row>
    <row r="65" spans="1:13" s="31" customFormat="1" ht="31.5">
      <c r="A65" s="55" t="s">
        <v>23</v>
      </c>
      <c r="B65" s="55">
        <v>2</v>
      </c>
      <c r="C65" s="55" t="s">
        <v>71</v>
      </c>
      <c r="D65" s="55">
        <v>244</v>
      </c>
      <c r="E65" s="11">
        <v>226</v>
      </c>
      <c r="F65" s="8" t="s">
        <v>160</v>
      </c>
      <c r="G65" s="95">
        <v>622720</v>
      </c>
      <c r="H65" s="10"/>
      <c r="I65" s="10">
        <v>622720</v>
      </c>
      <c r="J65" s="10"/>
      <c r="K65" s="10">
        <v>622720</v>
      </c>
      <c r="L65" s="10"/>
      <c r="M65" s="7"/>
    </row>
    <row r="66" spans="1:13" s="31" customFormat="1" ht="15.75">
      <c r="A66" s="55" t="s">
        <v>23</v>
      </c>
      <c r="B66" s="55">
        <v>2</v>
      </c>
      <c r="C66" s="55" t="s">
        <v>71</v>
      </c>
      <c r="D66" s="55">
        <v>244</v>
      </c>
      <c r="E66" s="11">
        <v>226</v>
      </c>
      <c r="F66" s="8" t="s">
        <v>161</v>
      </c>
      <c r="G66" s="95">
        <v>418590</v>
      </c>
      <c r="H66" s="10"/>
      <c r="I66" s="10">
        <v>418590</v>
      </c>
      <c r="J66" s="10"/>
      <c r="K66" s="10">
        <v>418590</v>
      </c>
      <c r="L66" s="10"/>
      <c r="M66" s="7"/>
    </row>
    <row r="67" spans="1:13" s="31" customFormat="1" ht="15.75">
      <c r="A67" s="55" t="s">
        <v>23</v>
      </c>
      <c r="B67" s="55">
        <v>2</v>
      </c>
      <c r="C67" s="55" t="s">
        <v>71</v>
      </c>
      <c r="D67" s="55">
        <v>244</v>
      </c>
      <c r="E67" s="11">
        <v>226</v>
      </c>
      <c r="F67" s="8" t="s">
        <v>162</v>
      </c>
      <c r="G67" s="95">
        <v>17655.259999999998</v>
      </c>
      <c r="H67" s="10"/>
      <c r="I67" s="10">
        <v>17655.259999999998</v>
      </c>
      <c r="J67" s="10"/>
      <c r="K67" s="10">
        <v>17655.259999999998</v>
      </c>
      <c r="L67" s="10"/>
      <c r="M67" s="7"/>
    </row>
    <row r="68" spans="1:13" s="31" customFormat="1" ht="31.5">
      <c r="A68" s="55" t="s">
        <v>23</v>
      </c>
      <c r="B68" s="55">
        <v>2</v>
      </c>
      <c r="C68" s="55" t="s">
        <v>71</v>
      </c>
      <c r="D68" s="55">
        <v>244</v>
      </c>
      <c r="E68" s="11">
        <v>226</v>
      </c>
      <c r="F68" s="8" t="s">
        <v>169</v>
      </c>
      <c r="G68" s="95">
        <v>138200</v>
      </c>
      <c r="H68" s="10"/>
      <c r="I68" s="10">
        <v>138200</v>
      </c>
      <c r="J68" s="10"/>
      <c r="K68" s="10">
        <v>138200</v>
      </c>
      <c r="L68" s="10"/>
      <c r="M68" s="7"/>
    </row>
    <row r="69" spans="1:13" s="31" customFormat="1" ht="15.75">
      <c r="A69" s="55" t="s">
        <v>23</v>
      </c>
      <c r="B69" s="55">
        <v>2</v>
      </c>
      <c r="C69" s="55" t="s">
        <v>71</v>
      </c>
      <c r="D69" s="55">
        <v>853</v>
      </c>
      <c r="E69" s="11">
        <v>297</v>
      </c>
      <c r="F69" s="8" t="s">
        <v>38</v>
      </c>
      <c r="G69" s="13">
        <v>7426.08</v>
      </c>
      <c r="H69" s="13"/>
      <c r="I69" s="13">
        <v>7426.08</v>
      </c>
      <c r="J69" s="13"/>
      <c r="K69" s="13">
        <v>7426.08</v>
      </c>
      <c r="L69" s="13"/>
      <c r="M69" s="7"/>
    </row>
    <row r="70" spans="1:13" s="31" customFormat="1" ht="31.5">
      <c r="A70" s="55" t="s">
        <v>23</v>
      </c>
      <c r="B70" s="55">
        <v>2</v>
      </c>
      <c r="C70" s="55" t="s">
        <v>71</v>
      </c>
      <c r="D70" s="55">
        <v>244</v>
      </c>
      <c r="E70" s="11">
        <v>346</v>
      </c>
      <c r="F70" s="8" t="s">
        <v>168</v>
      </c>
      <c r="G70" s="94">
        <v>76176.639999999999</v>
      </c>
      <c r="H70" s="13"/>
      <c r="I70" s="13">
        <v>76176.639999999999</v>
      </c>
      <c r="J70" s="13"/>
      <c r="K70" s="13">
        <v>76176.639999999999</v>
      </c>
      <c r="L70" s="13"/>
      <c r="M70" s="7"/>
    </row>
    <row r="71" spans="1:13" s="31" customFormat="1" ht="31.5">
      <c r="A71" s="55" t="s">
        <v>23</v>
      </c>
      <c r="B71" s="55">
        <v>2</v>
      </c>
      <c r="C71" s="55" t="s">
        <v>71</v>
      </c>
      <c r="D71" s="55">
        <v>244</v>
      </c>
      <c r="E71" s="11">
        <v>345</v>
      </c>
      <c r="F71" s="8" t="s">
        <v>166</v>
      </c>
      <c r="G71" s="94">
        <v>12502</v>
      </c>
      <c r="H71" s="13"/>
      <c r="I71" s="13">
        <v>12502</v>
      </c>
      <c r="J71" s="13"/>
      <c r="K71" s="13">
        <v>12502</v>
      </c>
      <c r="L71" s="13"/>
      <c r="M71" s="7"/>
    </row>
    <row r="72" spans="1:13" s="31" customFormat="1" ht="15.75">
      <c r="A72" s="55" t="s">
        <v>23</v>
      </c>
      <c r="B72" s="55">
        <v>2</v>
      </c>
      <c r="C72" s="55" t="s">
        <v>71</v>
      </c>
      <c r="D72" s="55">
        <v>244</v>
      </c>
      <c r="E72" s="11">
        <v>346</v>
      </c>
      <c r="F72" s="8" t="s">
        <v>165</v>
      </c>
      <c r="G72" s="95">
        <v>145856.06</v>
      </c>
      <c r="H72" s="10"/>
      <c r="I72" s="10">
        <v>145856.06</v>
      </c>
      <c r="J72" s="10"/>
      <c r="K72" s="10">
        <v>145856.06</v>
      </c>
      <c r="L72" s="10"/>
      <c r="M72" s="7"/>
    </row>
    <row r="73" spans="1:13" s="31" customFormat="1" ht="31.5">
      <c r="A73" s="55" t="s">
        <v>23</v>
      </c>
      <c r="B73" s="55">
        <v>2</v>
      </c>
      <c r="C73" s="55" t="s">
        <v>71</v>
      </c>
      <c r="D73" s="55">
        <v>244</v>
      </c>
      <c r="E73" s="11">
        <v>346</v>
      </c>
      <c r="F73" s="8" t="s">
        <v>167</v>
      </c>
      <c r="G73" s="95">
        <v>80867.289999999994</v>
      </c>
      <c r="H73" s="10"/>
      <c r="I73" s="10">
        <v>80867.289999999994</v>
      </c>
      <c r="J73" s="10"/>
      <c r="K73" s="10">
        <v>80867.289999999994</v>
      </c>
      <c r="L73" s="10"/>
      <c r="M73" s="7"/>
    </row>
    <row r="74" spans="1:13" s="31" customFormat="1" ht="15.75">
      <c r="A74" s="55" t="s">
        <v>23</v>
      </c>
      <c r="B74" s="55">
        <v>2</v>
      </c>
      <c r="C74" s="55" t="s">
        <v>71</v>
      </c>
      <c r="D74" s="55">
        <v>244</v>
      </c>
      <c r="E74" s="11">
        <v>349</v>
      </c>
      <c r="F74" s="8" t="s">
        <v>163</v>
      </c>
      <c r="G74" s="95">
        <v>117600</v>
      </c>
      <c r="H74" s="10"/>
      <c r="I74" s="10">
        <v>117600</v>
      </c>
      <c r="J74" s="10"/>
      <c r="K74" s="10">
        <v>117600</v>
      </c>
      <c r="L74" s="10"/>
      <c r="M74" s="7"/>
    </row>
    <row r="75" spans="1:13" s="31" customFormat="1" ht="31.5">
      <c r="A75" s="55" t="s">
        <v>23</v>
      </c>
      <c r="B75" s="55">
        <v>2</v>
      </c>
      <c r="C75" s="55" t="s">
        <v>71</v>
      </c>
      <c r="D75" s="55">
        <v>244</v>
      </c>
      <c r="E75" s="11">
        <v>349</v>
      </c>
      <c r="F75" s="8" t="s">
        <v>164</v>
      </c>
      <c r="G75" s="95">
        <v>893974.32</v>
      </c>
      <c r="H75" s="10"/>
      <c r="I75" s="10">
        <v>893974.32</v>
      </c>
      <c r="J75" s="10"/>
      <c r="K75" s="10">
        <v>893974.32</v>
      </c>
      <c r="L75" s="10"/>
      <c r="M75" s="7"/>
    </row>
    <row r="76" spans="1:13" s="31" customFormat="1" ht="15.75">
      <c r="A76" s="1482" t="s">
        <v>17</v>
      </c>
      <c r="B76" s="1482"/>
      <c r="C76" s="1482"/>
      <c r="D76" s="1482"/>
      <c r="E76" s="1482"/>
      <c r="F76" s="1482"/>
      <c r="G76" s="10">
        <f>SUM(G48:G75)</f>
        <v>11490000</v>
      </c>
      <c r="H76" s="10"/>
      <c r="I76" s="10">
        <f>SUM(I48:I75)</f>
        <v>11490000</v>
      </c>
      <c r="J76" s="10"/>
      <c r="K76" s="10">
        <f>SUM(K48:K75)</f>
        <v>11490000</v>
      </c>
      <c r="L76" s="10"/>
      <c r="M76" s="7"/>
    </row>
    <row r="77" spans="1:13" s="31" customFormat="1" ht="15.75">
      <c r="A77" s="1482" t="s">
        <v>24</v>
      </c>
      <c r="B77" s="1482"/>
      <c r="C77" s="1482"/>
      <c r="D77" s="1482"/>
      <c r="E77" s="1482"/>
      <c r="F77" s="1482"/>
      <c r="G77" s="10">
        <f>G45+G76</f>
        <v>58051067.149999999</v>
      </c>
      <c r="H77" s="10"/>
      <c r="I77" s="10">
        <f>I45+I76</f>
        <v>58126352.270000003</v>
      </c>
      <c r="J77" s="10"/>
      <c r="K77" s="10">
        <f>K45+K76</f>
        <v>58126352.270000003</v>
      </c>
      <c r="L77" s="10"/>
      <c r="M77" s="7"/>
    </row>
    <row r="78" spans="1:13" s="31" customFormat="1">
      <c r="A78" s="2"/>
      <c r="B78" s="2"/>
      <c r="C78" s="2"/>
      <c r="D78" s="2"/>
      <c r="E78" s="2"/>
      <c r="F78" s="2"/>
      <c r="G78" s="86"/>
      <c r="H78" s="86"/>
      <c r="I78" s="86"/>
      <c r="J78" s="86"/>
      <c r="K78" s="86"/>
      <c r="L78" s="86"/>
    </row>
    <row r="79" spans="1:13" s="32" customFormat="1" ht="33.75" customHeight="1">
      <c r="A79" s="1480" t="s">
        <v>25</v>
      </c>
      <c r="B79" s="1480"/>
      <c r="C79" s="220"/>
      <c r="D79" s="220"/>
      <c r="E79" s="1481" t="s">
        <v>32</v>
      </c>
      <c r="F79" s="1481"/>
      <c r="G79" s="104"/>
      <c r="H79" s="104"/>
      <c r="I79" s="104"/>
      <c r="J79" s="104"/>
      <c r="K79" s="104"/>
      <c r="L79" s="104"/>
    </row>
    <row r="80" spans="1:13" s="15" customFormat="1" ht="27" customHeight="1">
      <c r="A80" s="15" t="s">
        <v>27</v>
      </c>
      <c r="G80" s="212"/>
      <c r="H80" s="212"/>
      <c r="I80" s="106"/>
      <c r="J80" s="106"/>
      <c r="K80" s="106"/>
      <c r="L80" s="106"/>
    </row>
    <row r="81" spans="5:12" ht="29.25" customHeight="1">
      <c r="E81" s="2" t="s">
        <v>25</v>
      </c>
      <c r="G81" s="10">
        <v>11490000</v>
      </c>
      <c r="H81" s="10"/>
      <c r="I81" s="10">
        <v>11490000</v>
      </c>
      <c r="J81" s="10"/>
      <c r="K81" s="10">
        <v>11490000</v>
      </c>
      <c r="L81" s="10"/>
    </row>
    <row r="82" spans="5:12">
      <c r="G82" s="4">
        <f t="shared" ref="G82:L82" si="1">G81-G76</f>
        <v>0</v>
      </c>
      <c r="H82" s="4">
        <f t="shared" si="1"/>
        <v>0</v>
      </c>
      <c r="I82" s="4">
        <f t="shared" si="1"/>
        <v>0</v>
      </c>
      <c r="J82" s="4">
        <f t="shared" si="1"/>
        <v>0</v>
      </c>
      <c r="K82" s="4">
        <f t="shared" si="1"/>
        <v>0</v>
      </c>
      <c r="L82" s="4">
        <f t="shared" si="1"/>
        <v>0</v>
      </c>
    </row>
    <row r="83" spans="5:12">
      <c r="G83" s="4"/>
      <c r="H83" s="4"/>
      <c r="I83" s="4"/>
      <c r="J83" s="4"/>
      <c r="K83" s="4"/>
      <c r="L83" s="4"/>
    </row>
    <row r="309" ht="12.75" hidden="1" customHeight="1"/>
    <row r="325" ht="12.75" hidden="1" customHeight="1"/>
  </sheetData>
  <autoFilter ref="A9:F77"/>
  <mergeCells count="12">
    <mergeCell ref="A44:F44"/>
    <mergeCell ref="A5:I5"/>
    <mergeCell ref="A6:I6"/>
    <mergeCell ref="A10:I10"/>
    <mergeCell ref="A39:F39"/>
    <mergeCell ref="A41:F41"/>
    <mergeCell ref="A45:F45"/>
    <mergeCell ref="A47:F47"/>
    <mergeCell ref="A76:F76"/>
    <mergeCell ref="A77:F77"/>
    <mergeCell ref="A79:B79"/>
    <mergeCell ref="E79:F79"/>
  </mergeCells>
  <printOptions horizontalCentered="1"/>
  <pageMargins left="0" right="0" top="0" bottom="0" header="0.35433070866141736" footer="0.35433070866141736"/>
  <pageSetup paperSize="9" scale="48" fitToHeight="2" orientation="landscape" horizontalDpi="4294967295" verticalDpi="4294967295" r:id="rId1"/>
  <headerFooter alignWithMargins="0"/>
  <rowBreaks count="3" manualBreakCount="3">
    <brk id="39" max="11" man="1"/>
    <brk id="46" max="11" man="1"/>
    <brk id="81"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tabColor rgb="FF92D050"/>
  </sheetPr>
  <dimension ref="A5:O337"/>
  <sheetViews>
    <sheetView view="pageBreakPreview" topLeftCell="A28" zoomScale="85" zoomScaleNormal="85" zoomScaleSheetLayoutView="85" workbookViewId="0">
      <selection activeCell="G34" sqref="G34"/>
    </sheetView>
  </sheetViews>
  <sheetFormatPr defaultRowHeight="12.75"/>
  <cols>
    <col min="1" max="1" width="12.85546875" style="2" customWidth="1"/>
    <col min="2" max="2" width="7.85546875" style="2" customWidth="1"/>
    <col min="3" max="3" width="24.42578125" style="2" customWidth="1"/>
    <col min="4" max="4" width="8.42578125" style="2" customWidth="1"/>
    <col min="5" max="5" width="8.85546875" style="2" customWidth="1"/>
    <col min="6" max="6" width="46.85546875" style="2" customWidth="1"/>
    <col min="7" max="8" width="18.7109375" style="88" customWidth="1"/>
    <col min="9" max="12" width="17.5703125" style="88" customWidth="1"/>
    <col min="13" max="13" width="16" style="2" customWidth="1"/>
    <col min="14" max="14" width="13.28515625" style="2" customWidth="1"/>
    <col min="15" max="15" width="12.28515625" style="2" bestFit="1" customWidth="1"/>
    <col min="16" max="241" width="9.140625" style="2"/>
    <col min="242" max="242" width="16.28515625" style="2" customWidth="1"/>
    <col min="243" max="243" width="9.5703125" style="2" customWidth="1"/>
    <col min="244" max="244" width="25.85546875" style="2" customWidth="1"/>
    <col min="245" max="245" width="10.7109375" style="2" customWidth="1"/>
    <col min="246" max="246" width="40.42578125" style="2" customWidth="1"/>
    <col min="247" max="247" width="30.5703125" style="2" customWidth="1"/>
    <col min="248" max="248" width="16.42578125" style="2" customWidth="1"/>
    <col min="249" max="249" width="13" style="2" bestFit="1" customWidth="1"/>
    <col min="250" max="497" width="9.140625" style="2"/>
    <col min="498" max="498" width="16.28515625" style="2" customWidth="1"/>
    <col min="499" max="499" width="9.5703125" style="2" customWidth="1"/>
    <col min="500" max="500" width="25.85546875" style="2" customWidth="1"/>
    <col min="501" max="501" width="10.7109375" style="2" customWidth="1"/>
    <col min="502" max="502" width="40.42578125" style="2" customWidth="1"/>
    <col min="503" max="503" width="30.5703125" style="2" customWidth="1"/>
    <col min="504" max="504" width="16.42578125" style="2" customWidth="1"/>
    <col min="505" max="505" width="13" style="2" bestFit="1" customWidth="1"/>
    <col min="506" max="753" width="9.140625" style="2"/>
    <col min="754" max="754" width="16.28515625" style="2" customWidth="1"/>
    <col min="755" max="755" width="9.5703125" style="2" customWidth="1"/>
    <col min="756" max="756" width="25.85546875" style="2" customWidth="1"/>
    <col min="757" max="757" width="10.7109375" style="2" customWidth="1"/>
    <col min="758" max="758" width="40.42578125" style="2" customWidth="1"/>
    <col min="759" max="759" width="30.5703125" style="2" customWidth="1"/>
    <col min="760" max="760" width="16.42578125" style="2" customWidth="1"/>
    <col min="761" max="761" width="13" style="2" bestFit="1" customWidth="1"/>
    <col min="762" max="1009" width="9.140625" style="2"/>
    <col min="1010" max="1010" width="16.28515625" style="2" customWidth="1"/>
    <col min="1011" max="1011" width="9.5703125" style="2" customWidth="1"/>
    <col min="1012" max="1012" width="25.85546875" style="2" customWidth="1"/>
    <col min="1013" max="1013" width="10.7109375" style="2" customWidth="1"/>
    <col min="1014" max="1014" width="40.42578125" style="2" customWidth="1"/>
    <col min="1015" max="1015" width="30.5703125" style="2" customWidth="1"/>
    <col min="1016" max="1016" width="16.42578125" style="2" customWidth="1"/>
    <col min="1017" max="1017" width="13" style="2" bestFit="1" customWidth="1"/>
    <col min="1018" max="1265" width="9.140625" style="2"/>
    <col min="1266" max="1266" width="16.28515625" style="2" customWidth="1"/>
    <col min="1267" max="1267" width="9.5703125" style="2" customWidth="1"/>
    <col min="1268" max="1268" width="25.85546875" style="2" customWidth="1"/>
    <col min="1269" max="1269" width="10.7109375" style="2" customWidth="1"/>
    <col min="1270" max="1270" width="40.42578125" style="2" customWidth="1"/>
    <col min="1271" max="1271" width="30.5703125" style="2" customWidth="1"/>
    <col min="1272" max="1272" width="16.42578125" style="2" customWidth="1"/>
    <col min="1273" max="1273" width="13" style="2" bestFit="1" customWidth="1"/>
    <col min="1274" max="1521" width="9.140625" style="2"/>
    <col min="1522" max="1522" width="16.28515625" style="2" customWidth="1"/>
    <col min="1523" max="1523" width="9.5703125" style="2" customWidth="1"/>
    <col min="1524" max="1524" width="25.85546875" style="2" customWidth="1"/>
    <col min="1525" max="1525" width="10.7109375" style="2" customWidth="1"/>
    <col min="1526" max="1526" width="40.42578125" style="2" customWidth="1"/>
    <col min="1527" max="1527" width="30.5703125" style="2" customWidth="1"/>
    <col min="1528" max="1528" width="16.42578125" style="2" customWidth="1"/>
    <col min="1529" max="1529" width="13" style="2" bestFit="1" customWidth="1"/>
    <col min="1530" max="1777" width="9.140625" style="2"/>
    <col min="1778" max="1778" width="16.28515625" style="2" customWidth="1"/>
    <col min="1779" max="1779" width="9.5703125" style="2" customWidth="1"/>
    <col min="1780" max="1780" width="25.85546875" style="2" customWidth="1"/>
    <col min="1781" max="1781" width="10.7109375" style="2" customWidth="1"/>
    <col min="1782" max="1782" width="40.42578125" style="2" customWidth="1"/>
    <col min="1783" max="1783" width="30.5703125" style="2" customWidth="1"/>
    <col min="1784" max="1784" width="16.42578125" style="2" customWidth="1"/>
    <col min="1785" max="1785" width="13" style="2" bestFit="1" customWidth="1"/>
    <col min="1786" max="2033" width="9.140625" style="2"/>
    <col min="2034" max="2034" width="16.28515625" style="2" customWidth="1"/>
    <col min="2035" max="2035" width="9.5703125" style="2" customWidth="1"/>
    <col min="2036" max="2036" width="25.85546875" style="2" customWidth="1"/>
    <col min="2037" max="2037" width="10.7109375" style="2" customWidth="1"/>
    <col min="2038" max="2038" width="40.42578125" style="2" customWidth="1"/>
    <col min="2039" max="2039" width="30.5703125" style="2" customWidth="1"/>
    <col min="2040" max="2040" width="16.42578125" style="2" customWidth="1"/>
    <col min="2041" max="2041" width="13" style="2" bestFit="1" customWidth="1"/>
    <col min="2042" max="2289" width="9.140625" style="2"/>
    <col min="2290" max="2290" width="16.28515625" style="2" customWidth="1"/>
    <col min="2291" max="2291" width="9.5703125" style="2" customWidth="1"/>
    <col min="2292" max="2292" width="25.85546875" style="2" customWidth="1"/>
    <col min="2293" max="2293" width="10.7109375" style="2" customWidth="1"/>
    <col min="2294" max="2294" width="40.42578125" style="2" customWidth="1"/>
    <col min="2295" max="2295" width="30.5703125" style="2" customWidth="1"/>
    <col min="2296" max="2296" width="16.42578125" style="2" customWidth="1"/>
    <col min="2297" max="2297" width="13" style="2" bestFit="1" customWidth="1"/>
    <col min="2298" max="2545" width="9.140625" style="2"/>
    <col min="2546" max="2546" width="16.28515625" style="2" customWidth="1"/>
    <col min="2547" max="2547" width="9.5703125" style="2" customWidth="1"/>
    <col min="2548" max="2548" width="25.85546875" style="2" customWidth="1"/>
    <col min="2549" max="2549" width="10.7109375" style="2" customWidth="1"/>
    <col min="2550" max="2550" width="40.42578125" style="2" customWidth="1"/>
    <col min="2551" max="2551" width="30.5703125" style="2" customWidth="1"/>
    <col min="2552" max="2552" width="16.42578125" style="2" customWidth="1"/>
    <col min="2553" max="2553" width="13" style="2" bestFit="1" customWidth="1"/>
    <col min="2554" max="2801" width="9.140625" style="2"/>
    <col min="2802" max="2802" width="16.28515625" style="2" customWidth="1"/>
    <col min="2803" max="2803" width="9.5703125" style="2" customWidth="1"/>
    <col min="2804" max="2804" width="25.85546875" style="2" customWidth="1"/>
    <col min="2805" max="2805" width="10.7109375" style="2" customWidth="1"/>
    <col min="2806" max="2806" width="40.42578125" style="2" customWidth="1"/>
    <col min="2807" max="2807" width="30.5703125" style="2" customWidth="1"/>
    <col min="2808" max="2808" width="16.42578125" style="2" customWidth="1"/>
    <col min="2809" max="2809" width="13" style="2" bestFit="1" customWidth="1"/>
    <col min="2810" max="3057" width="9.140625" style="2"/>
    <col min="3058" max="3058" width="16.28515625" style="2" customWidth="1"/>
    <col min="3059" max="3059" width="9.5703125" style="2" customWidth="1"/>
    <col min="3060" max="3060" width="25.85546875" style="2" customWidth="1"/>
    <col min="3061" max="3061" width="10.7109375" style="2" customWidth="1"/>
    <col min="3062" max="3062" width="40.42578125" style="2" customWidth="1"/>
    <col min="3063" max="3063" width="30.5703125" style="2" customWidth="1"/>
    <col min="3064" max="3064" width="16.42578125" style="2" customWidth="1"/>
    <col min="3065" max="3065" width="13" style="2" bestFit="1" customWidth="1"/>
    <col min="3066" max="3313" width="9.140625" style="2"/>
    <col min="3314" max="3314" width="16.28515625" style="2" customWidth="1"/>
    <col min="3315" max="3315" width="9.5703125" style="2" customWidth="1"/>
    <col min="3316" max="3316" width="25.85546875" style="2" customWidth="1"/>
    <col min="3317" max="3317" width="10.7109375" style="2" customWidth="1"/>
    <col min="3318" max="3318" width="40.42578125" style="2" customWidth="1"/>
    <col min="3319" max="3319" width="30.5703125" style="2" customWidth="1"/>
    <col min="3320" max="3320" width="16.42578125" style="2" customWidth="1"/>
    <col min="3321" max="3321" width="13" style="2" bestFit="1" customWidth="1"/>
    <col min="3322" max="3569" width="9.140625" style="2"/>
    <col min="3570" max="3570" width="16.28515625" style="2" customWidth="1"/>
    <col min="3571" max="3571" width="9.5703125" style="2" customWidth="1"/>
    <col min="3572" max="3572" width="25.85546875" style="2" customWidth="1"/>
    <col min="3573" max="3573" width="10.7109375" style="2" customWidth="1"/>
    <col min="3574" max="3574" width="40.42578125" style="2" customWidth="1"/>
    <col min="3575" max="3575" width="30.5703125" style="2" customWidth="1"/>
    <col min="3576" max="3576" width="16.42578125" style="2" customWidth="1"/>
    <col min="3577" max="3577" width="13" style="2" bestFit="1" customWidth="1"/>
    <col min="3578" max="3825" width="9.140625" style="2"/>
    <col min="3826" max="3826" width="16.28515625" style="2" customWidth="1"/>
    <col min="3827" max="3827" width="9.5703125" style="2" customWidth="1"/>
    <col min="3828" max="3828" width="25.85546875" style="2" customWidth="1"/>
    <col min="3829" max="3829" width="10.7109375" style="2" customWidth="1"/>
    <col min="3830" max="3830" width="40.42578125" style="2" customWidth="1"/>
    <col min="3831" max="3831" width="30.5703125" style="2" customWidth="1"/>
    <col min="3832" max="3832" width="16.42578125" style="2" customWidth="1"/>
    <col min="3833" max="3833" width="13" style="2" bestFit="1" customWidth="1"/>
    <col min="3834" max="4081" width="9.140625" style="2"/>
    <col min="4082" max="4082" width="16.28515625" style="2" customWidth="1"/>
    <col min="4083" max="4083" width="9.5703125" style="2" customWidth="1"/>
    <col min="4084" max="4084" width="25.85546875" style="2" customWidth="1"/>
    <col min="4085" max="4085" width="10.7109375" style="2" customWidth="1"/>
    <col min="4086" max="4086" width="40.42578125" style="2" customWidth="1"/>
    <col min="4087" max="4087" width="30.5703125" style="2" customWidth="1"/>
    <col min="4088" max="4088" width="16.42578125" style="2" customWidth="1"/>
    <col min="4089" max="4089" width="13" style="2" bestFit="1" customWidth="1"/>
    <col min="4090" max="4337" width="9.140625" style="2"/>
    <col min="4338" max="4338" width="16.28515625" style="2" customWidth="1"/>
    <col min="4339" max="4339" width="9.5703125" style="2" customWidth="1"/>
    <col min="4340" max="4340" width="25.85546875" style="2" customWidth="1"/>
    <col min="4341" max="4341" width="10.7109375" style="2" customWidth="1"/>
    <col min="4342" max="4342" width="40.42578125" style="2" customWidth="1"/>
    <col min="4343" max="4343" width="30.5703125" style="2" customWidth="1"/>
    <col min="4344" max="4344" width="16.42578125" style="2" customWidth="1"/>
    <col min="4345" max="4345" width="13" style="2" bestFit="1" customWidth="1"/>
    <col min="4346" max="4593" width="9.140625" style="2"/>
    <col min="4594" max="4594" width="16.28515625" style="2" customWidth="1"/>
    <col min="4595" max="4595" width="9.5703125" style="2" customWidth="1"/>
    <col min="4596" max="4596" width="25.85546875" style="2" customWidth="1"/>
    <col min="4597" max="4597" width="10.7109375" style="2" customWidth="1"/>
    <col min="4598" max="4598" width="40.42578125" style="2" customWidth="1"/>
    <col min="4599" max="4599" width="30.5703125" style="2" customWidth="1"/>
    <col min="4600" max="4600" width="16.42578125" style="2" customWidth="1"/>
    <col min="4601" max="4601" width="13" style="2" bestFit="1" customWidth="1"/>
    <col min="4602" max="4849" width="9.140625" style="2"/>
    <col min="4850" max="4850" width="16.28515625" style="2" customWidth="1"/>
    <col min="4851" max="4851" width="9.5703125" style="2" customWidth="1"/>
    <col min="4852" max="4852" width="25.85546875" style="2" customWidth="1"/>
    <col min="4853" max="4853" width="10.7109375" style="2" customWidth="1"/>
    <col min="4854" max="4854" width="40.42578125" style="2" customWidth="1"/>
    <col min="4855" max="4855" width="30.5703125" style="2" customWidth="1"/>
    <col min="4856" max="4856" width="16.42578125" style="2" customWidth="1"/>
    <col min="4857" max="4857" width="13" style="2" bestFit="1" customWidth="1"/>
    <col min="4858" max="5105" width="9.140625" style="2"/>
    <col min="5106" max="5106" width="16.28515625" style="2" customWidth="1"/>
    <col min="5107" max="5107" width="9.5703125" style="2" customWidth="1"/>
    <col min="5108" max="5108" width="25.85546875" style="2" customWidth="1"/>
    <col min="5109" max="5109" width="10.7109375" style="2" customWidth="1"/>
    <col min="5110" max="5110" width="40.42578125" style="2" customWidth="1"/>
    <col min="5111" max="5111" width="30.5703125" style="2" customWidth="1"/>
    <col min="5112" max="5112" width="16.42578125" style="2" customWidth="1"/>
    <col min="5113" max="5113" width="13" style="2" bestFit="1" customWidth="1"/>
    <col min="5114" max="5361" width="9.140625" style="2"/>
    <col min="5362" max="5362" width="16.28515625" style="2" customWidth="1"/>
    <col min="5363" max="5363" width="9.5703125" style="2" customWidth="1"/>
    <col min="5364" max="5364" width="25.85546875" style="2" customWidth="1"/>
    <col min="5365" max="5365" width="10.7109375" style="2" customWidth="1"/>
    <col min="5366" max="5366" width="40.42578125" style="2" customWidth="1"/>
    <col min="5367" max="5367" width="30.5703125" style="2" customWidth="1"/>
    <col min="5368" max="5368" width="16.42578125" style="2" customWidth="1"/>
    <col min="5369" max="5369" width="13" style="2" bestFit="1" customWidth="1"/>
    <col min="5370" max="5617" width="9.140625" style="2"/>
    <col min="5618" max="5618" width="16.28515625" style="2" customWidth="1"/>
    <col min="5619" max="5619" width="9.5703125" style="2" customWidth="1"/>
    <col min="5620" max="5620" width="25.85546875" style="2" customWidth="1"/>
    <col min="5621" max="5621" width="10.7109375" style="2" customWidth="1"/>
    <col min="5622" max="5622" width="40.42578125" style="2" customWidth="1"/>
    <col min="5623" max="5623" width="30.5703125" style="2" customWidth="1"/>
    <col min="5624" max="5624" width="16.42578125" style="2" customWidth="1"/>
    <col min="5625" max="5625" width="13" style="2" bestFit="1" customWidth="1"/>
    <col min="5626" max="5873" width="9.140625" style="2"/>
    <col min="5874" max="5874" width="16.28515625" style="2" customWidth="1"/>
    <col min="5875" max="5875" width="9.5703125" style="2" customWidth="1"/>
    <col min="5876" max="5876" width="25.85546875" style="2" customWidth="1"/>
    <col min="5877" max="5877" width="10.7109375" style="2" customWidth="1"/>
    <col min="5878" max="5878" width="40.42578125" style="2" customWidth="1"/>
    <col min="5879" max="5879" width="30.5703125" style="2" customWidth="1"/>
    <col min="5880" max="5880" width="16.42578125" style="2" customWidth="1"/>
    <col min="5881" max="5881" width="13" style="2" bestFit="1" customWidth="1"/>
    <col min="5882" max="6129" width="9.140625" style="2"/>
    <col min="6130" max="6130" width="16.28515625" style="2" customWidth="1"/>
    <col min="6131" max="6131" width="9.5703125" style="2" customWidth="1"/>
    <col min="6132" max="6132" width="25.85546875" style="2" customWidth="1"/>
    <col min="6133" max="6133" width="10.7109375" style="2" customWidth="1"/>
    <col min="6134" max="6134" width="40.42578125" style="2" customWidth="1"/>
    <col min="6135" max="6135" width="30.5703125" style="2" customWidth="1"/>
    <col min="6136" max="6136" width="16.42578125" style="2" customWidth="1"/>
    <col min="6137" max="6137" width="13" style="2" bestFit="1" customWidth="1"/>
    <col min="6138" max="6385" width="9.140625" style="2"/>
    <col min="6386" max="6386" width="16.28515625" style="2" customWidth="1"/>
    <col min="6387" max="6387" width="9.5703125" style="2" customWidth="1"/>
    <col min="6388" max="6388" width="25.85546875" style="2" customWidth="1"/>
    <col min="6389" max="6389" width="10.7109375" style="2" customWidth="1"/>
    <col min="6390" max="6390" width="40.42578125" style="2" customWidth="1"/>
    <col min="6391" max="6391" width="30.5703125" style="2" customWidth="1"/>
    <col min="6392" max="6392" width="16.42578125" style="2" customWidth="1"/>
    <col min="6393" max="6393" width="13" style="2" bestFit="1" customWidth="1"/>
    <col min="6394" max="6641" width="9.140625" style="2"/>
    <col min="6642" max="6642" width="16.28515625" style="2" customWidth="1"/>
    <col min="6643" max="6643" width="9.5703125" style="2" customWidth="1"/>
    <col min="6644" max="6644" width="25.85546875" style="2" customWidth="1"/>
    <col min="6645" max="6645" width="10.7109375" style="2" customWidth="1"/>
    <col min="6646" max="6646" width="40.42578125" style="2" customWidth="1"/>
    <col min="6647" max="6647" width="30.5703125" style="2" customWidth="1"/>
    <col min="6648" max="6648" width="16.42578125" style="2" customWidth="1"/>
    <col min="6649" max="6649" width="13" style="2" bestFit="1" customWidth="1"/>
    <col min="6650" max="6897" width="9.140625" style="2"/>
    <col min="6898" max="6898" width="16.28515625" style="2" customWidth="1"/>
    <col min="6899" max="6899" width="9.5703125" style="2" customWidth="1"/>
    <col min="6900" max="6900" width="25.85546875" style="2" customWidth="1"/>
    <col min="6901" max="6901" width="10.7109375" style="2" customWidth="1"/>
    <col min="6902" max="6902" width="40.42578125" style="2" customWidth="1"/>
    <col min="6903" max="6903" width="30.5703125" style="2" customWidth="1"/>
    <col min="6904" max="6904" width="16.42578125" style="2" customWidth="1"/>
    <col min="6905" max="6905" width="13" style="2" bestFit="1" customWidth="1"/>
    <col min="6906" max="7153" width="9.140625" style="2"/>
    <col min="7154" max="7154" width="16.28515625" style="2" customWidth="1"/>
    <col min="7155" max="7155" width="9.5703125" style="2" customWidth="1"/>
    <col min="7156" max="7156" width="25.85546875" style="2" customWidth="1"/>
    <col min="7157" max="7157" width="10.7109375" style="2" customWidth="1"/>
    <col min="7158" max="7158" width="40.42578125" style="2" customWidth="1"/>
    <col min="7159" max="7159" width="30.5703125" style="2" customWidth="1"/>
    <col min="7160" max="7160" width="16.42578125" style="2" customWidth="1"/>
    <col min="7161" max="7161" width="13" style="2" bestFit="1" customWidth="1"/>
    <col min="7162" max="7409" width="9.140625" style="2"/>
    <col min="7410" max="7410" width="16.28515625" style="2" customWidth="1"/>
    <col min="7411" max="7411" width="9.5703125" style="2" customWidth="1"/>
    <col min="7412" max="7412" width="25.85546875" style="2" customWidth="1"/>
    <col min="7413" max="7413" width="10.7109375" style="2" customWidth="1"/>
    <col min="7414" max="7414" width="40.42578125" style="2" customWidth="1"/>
    <col min="7415" max="7415" width="30.5703125" style="2" customWidth="1"/>
    <col min="7416" max="7416" width="16.42578125" style="2" customWidth="1"/>
    <col min="7417" max="7417" width="13" style="2" bestFit="1" customWidth="1"/>
    <col min="7418" max="7665" width="9.140625" style="2"/>
    <col min="7666" max="7666" width="16.28515625" style="2" customWidth="1"/>
    <col min="7667" max="7667" width="9.5703125" style="2" customWidth="1"/>
    <col min="7668" max="7668" width="25.85546875" style="2" customWidth="1"/>
    <col min="7669" max="7669" width="10.7109375" style="2" customWidth="1"/>
    <col min="7670" max="7670" width="40.42578125" style="2" customWidth="1"/>
    <col min="7671" max="7671" width="30.5703125" style="2" customWidth="1"/>
    <col min="7672" max="7672" width="16.42578125" style="2" customWidth="1"/>
    <col min="7673" max="7673" width="13" style="2" bestFit="1" customWidth="1"/>
    <col min="7674" max="7921" width="9.140625" style="2"/>
    <col min="7922" max="7922" width="16.28515625" style="2" customWidth="1"/>
    <col min="7923" max="7923" width="9.5703125" style="2" customWidth="1"/>
    <col min="7924" max="7924" width="25.85546875" style="2" customWidth="1"/>
    <col min="7925" max="7925" width="10.7109375" style="2" customWidth="1"/>
    <col min="7926" max="7926" width="40.42578125" style="2" customWidth="1"/>
    <col min="7927" max="7927" width="30.5703125" style="2" customWidth="1"/>
    <col min="7928" max="7928" width="16.42578125" style="2" customWidth="1"/>
    <col min="7929" max="7929" width="13" style="2" bestFit="1" customWidth="1"/>
    <col min="7930" max="8177" width="9.140625" style="2"/>
    <col min="8178" max="8178" width="16.28515625" style="2" customWidth="1"/>
    <col min="8179" max="8179" width="9.5703125" style="2" customWidth="1"/>
    <col min="8180" max="8180" width="25.85546875" style="2" customWidth="1"/>
    <col min="8181" max="8181" width="10.7109375" style="2" customWidth="1"/>
    <col min="8182" max="8182" width="40.42578125" style="2" customWidth="1"/>
    <col min="8183" max="8183" width="30.5703125" style="2" customWidth="1"/>
    <col min="8184" max="8184" width="16.42578125" style="2" customWidth="1"/>
    <col min="8185" max="8185" width="13" style="2" bestFit="1" customWidth="1"/>
    <col min="8186" max="8433" width="9.140625" style="2"/>
    <col min="8434" max="8434" width="16.28515625" style="2" customWidth="1"/>
    <col min="8435" max="8435" width="9.5703125" style="2" customWidth="1"/>
    <col min="8436" max="8436" width="25.85546875" style="2" customWidth="1"/>
    <col min="8437" max="8437" width="10.7109375" style="2" customWidth="1"/>
    <col min="8438" max="8438" width="40.42578125" style="2" customWidth="1"/>
    <col min="8439" max="8439" width="30.5703125" style="2" customWidth="1"/>
    <col min="8440" max="8440" width="16.42578125" style="2" customWidth="1"/>
    <col min="8441" max="8441" width="13" style="2" bestFit="1" customWidth="1"/>
    <col min="8442" max="8689" width="9.140625" style="2"/>
    <col min="8690" max="8690" width="16.28515625" style="2" customWidth="1"/>
    <col min="8691" max="8691" width="9.5703125" style="2" customWidth="1"/>
    <col min="8692" max="8692" width="25.85546875" style="2" customWidth="1"/>
    <col min="8693" max="8693" width="10.7109375" style="2" customWidth="1"/>
    <col min="8694" max="8694" width="40.42578125" style="2" customWidth="1"/>
    <col min="8695" max="8695" width="30.5703125" style="2" customWidth="1"/>
    <col min="8696" max="8696" width="16.42578125" style="2" customWidth="1"/>
    <col min="8697" max="8697" width="13" style="2" bestFit="1" customWidth="1"/>
    <col min="8698" max="8945" width="9.140625" style="2"/>
    <col min="8946" max="8946" width="16.28515625" style="2" customWidth="1"/>
    <col min="8947" max="8947" width="9.5703125" style="2" customWidth="1"/>
    <col min="8948" max="8948" width="25.85546875" style="2" customWidth="1"/>
    <col min="8949" max="8949" width="10.7109375" style="2" customWidth="1"/>
    <col min="8950" max="8950" width="40.42578125" style="2" customWidth="1"/>
    <col min="8951" max="8951" width="30.5703125" style="2" customWidth="1"/>
    <col min="8952" max="8952" width="16.42578125" style="2" customWidth="1"/>
    <col min="8953" max="8953" width="13" style="2" bestFit="1" customWidth="1"/>
    <col min="8954" max="9201" width="9.140625" style="2"/>
    <col min="9202" max="9202" width="16.28515625" style="2" customWidth="1"/>
    <col min="9203" max="9203" width="9.5703125" style="2" customWidth="1"/>
    <col min="9204" max="9204" width="25.85546875" style="2" customWidth="1"/>
    <col min="9205" max="9205" width="10.7109375" style="2" customWidth="1"/>
    <col min="9206" max="9206" width="40.42578125" style="2" customWidth="1"/>
    <col min="9207" max="9207" width="30.5703125" style="2" customWidth="1"/>
    <col min="9208" max="9208" width="16.42578125" style="2" customWidth="1"/>
    <col min="9209" max="9209" width="13" style="2" bestFit="1" customWidth="1"/>
    <col min="9210" max="9457" width="9.140625" style="2"/>
    <col min="9458" max="9458" width="16.28515625" style="2" customWidth="1"/>
    <col min="9459" max="9459" width="9.5703125" style="2" customWidth="1"/>
    <col min="9460" max="9460" width="25.85546875" style="2" customWidth="1"/>
    <col min="9461" max="9461" width="10.7109375" style="2" customWidth="1"/>
    <col min="9462" max="9462" width="40.42578125" style="2" customWidth="1"/>
    <col min="9463" max="9463" width="30.5703125" style="2" customWidth="1"/>
    <col min="9464" max="9464" width="16.42578125" style="2" customWidth="1"/>
    <col min="9465" max="9465" width="13" style="2" bestFit="1" customWidth="1"/>
    <col min="9466" max="9713" width="9.140625" style="2"/>
    <col min="9714" max="9714" width="16.28515625" style="2" customWidth="1"/>
    <col min="9715" max="9715" width="9.5703125" style="2" customWidth="1"/>
    <col min="9716" max="9716" width="25.85546875" style="2" customWidth="1"/>
    <col min="9717" max="9717" width="10.7109375" style="2" customWidth="1"/>
    <col min="9718" max="9718" width="40.42578125" style="2" customWidth="1"/>
    <col min="9719" max="9719" width="30.5703125" style="2" customWidth="1"/>
    <col min="9720" max="9720" width="16.42578125" style="2" customWidth="1"/>
    <col min="9721" max="9721" width="13" style="2" bestFit="1" customWidth="1"/>
    <col min="9722" max="9969" width="9.140625" style="2"/>
    <col min="9970" max="9970" width="16.28515625" style="2" customWidth="1"/>
    <col min="9971" max="9971" width="9.5703125" style="2" customWidth="1"/>
    <col min="9972" max="9972" width="25.85546875" style="2" customWidth="1"/>
    <col min="9973" max="9973" width="10.7109375" style="2" customWidth="1"/>
    <col min="9974" max="9974" width="40.42578125" style="2" customWidth="1"/>
    <col min="9975" max="9975" width="30.5703125" style="2" customWidth="1"/>
    <col min="9976" max="9976" width="16.42578125" style="2" customWidth="1"/>
    <col min="9977" max="9977" width="13" style="2" bestFit="1" customWidth="1"/>
    <col min="9978" max="10225" width="9.140625" style="2"/>
    <col min="10226" max="10226" width="16.28515625" style="2" customWidth="1"/>
    <col min="10227" max="10227" width="9.5703125" style="2" customWidth="1"/>
    <col min="10228" max="10228" width="25.85546875" style="2" customWidth="1"/>
    <col min="10229" max="10229" width="10.7109375" style="2" customWidth="1"/>
    <col min="10230" max="10230" width="40.42578125" style="2" customWidth="1"/>
    <col min="10231" max="10231" width="30.5703125" style="2" customWidth="1"/>
    <col min="10232" max="10232" width="16.42578125" style="2" customWidth="1"/>
    <col min="10233" max="10233" width="13" style="2" bestFit="1" customWidth="1"/>
    <col min="10234" max="10481" width="9.140625" style="2"/>
    <col min="10482" max="10482" width="16.28515625" style="2" customWidth="1"/>
    <col min="10483" max="10483" width="9.5703125" style="2" customWidth="1"/>
    <col min="10484" max="10484" width="25.85546875" style="2" customWidth="1"/>
    <col min="10485" max="10485" width="10.7109375" style="2" customWidth="1"/>
    <col min="10486" max="10486" width="40.42578125" style="2" customWidth="1"/>
    <col min="10487" max="10487" width="30.5703125" style="2" customWidth="1"/>
    <col min="10488" max="10488" width="16.42578125" style="2" customWidth="1"/>
    <col min="10489" max="10489" width="13" style="2" bestFit="1" customWidth="1"/>
    <col min="10490" max="10737" width="9.140625" style="2"/>
    <col min="10738" max="10738" width="16.28515625" style="2" customWidth="1"/>
    <col min="10739" max="10739" width="9.5703125" style="2" customWidth="1"/>
    <col min="10740" max="10740" width="25.85546875" style="2" customWidth="1"/>
    <col min="10741" max="10741" width="10.7109375" style="2" customWidth="1"/>
    <col min="10742" max="10742" width="40.42578125" style="2" customWidth="1"/>
    <col min="10743" max="10743" width="30.5703125" style="2" customWidth="1"/>
    <col min="10744" max="10744" width="16.42578125" style="2" customWidth="1"/>
    <col min="10745" max="10745" width="13" style="2" bestFit="1" customWidth="1"/>
    <col min="10746" max="10993" width="9.140625" style="2"/>
    <col min="10994" max="10994" width="16.28515625" style="2" customWidth="1"/>
    <col min="10995" max="10995" width="9.5703125" style="2" customWidth="1"/>
    <col min="10996" max="10996" width="25.85546875" style="2" customWidth="1"/>
    <col min="10997" max="10997" width="10.7109375" style="2" customWidth="1"/>
    <col min="10998" max="10998" width="40.42578125" style="2" customWidth="1"/>
    <col min="10999" max="10999" width="30.5703125" style="2" customWidth="1"/>
    <col min="11000" max="11000" width="16.42578125" style="2" customWidth="1"/>
    <col min="11001" max="11001" width="13" style="2" bestFit="1" customWidth="1"/>
    <col min="11002" max="11249" width="9.140625" style="2"/>
    <col min="11250" max="11250" width="16.28515625" style="2" customWidth="1"/>
    <col min="11251" max="11251" width="9.5703125" style="2" customWidth="1"/>
    <col min="11252" max="11252" width="25.85546875" style="2" customWidth="1"/>
    <col min="11253" max="11253" width="10.7109375" style="2" customWidth="1"/>
    <col min="11254" max="11254" width="40.42578125" style="2" customWidth="1"/>
    <col min="11255" max="11255" width="30.5703125" style="2" customWidth="1"/>
    <col min="11256" max="11256" width="16.42578125" style="2" customWidth="1"/>
    <col min="11257" max="11257" width="13" style="2" bestFit="1" customWidth="1"/>
    <col min="11258" max="11505" width="9.140625" style="2"/>
    <col min="11506" max="11506" width="16.28515625" style="2" customWidth="1"/>
    <col min="11507" max="11507" width="9.5703125" style="2" customWidth="1"/>
    <col min="11508" max="11508" width="25.85546875" style="2" customWidth="1"/>
    <col min="11509" max="11509" width="10.7109375" style="2" customWidth="1"/>
    <col min="11510" max="11510" width="40.42578125" style="2" customWidth="1"/>
    <col min="11511" max="11511" width="30.5703125" style="2" customWidth="1"/>
    <col min="11512" max="11512" width="16.42578125" style="2" customWidth="1"/>
    <col min="11513" max="11513" width="13" style="2" bestFit="1" customWidth="1"/>
    <col min="11514" max="11761" width="9.140625" style="2"/>
    <col min="11762" max="11762" width="16.28515625" style="2" customWidth="1"/>
    <col min="11763" max="11763" width="9.5703125" style="2" customWidth="1"/>
    <col min="11764" max="11764" width="25.85546875" style="2" customWidth="1"/>
    <col min="11765" max="11765" width="10.7109375" style="2" customWidth="1"/>
    <col min="11766" max="11766" width="40.42578125" style="2" customWidth="1"/>
    <col min="11767" max="11767" width="30.5703125" style="2" customWidth="1"/>
    <col min="11768" max="11768" width="16.42578125" style="2" customWidth="1"/>
    <col min="11769" max="11769" width="13" style="2" bestFit="1" customWidth="1"/>
    <col min="11770" max="12017" width="9.140625" style="2"/>
    <col min="12018" max="12018" width="16.28515625" style="2" customWidth="1"/>
    <col min="12019" max="12019" width="9.5703125" style="2" customWidth="1"/>
    <col min="12020" max="12020" width="25.85546875" style="2" customWidth="1"/>
    <col min="12021" max="12021" width="10.7109375" style="2" customWidth="1"/>
    <col min="12022" max="12022" width="40.42578125" style="2" customWidth="1"/>
    <col min="12023" max="12023" width="30.5703125" style="2" customWidth="1"/>
    <col min="12024" max="12024" width="16.42578125" style="2" customWidth="1"/>
    <col min="12025" max="12025" width="13" style="2" bestFit="1" customWidth="1"/>
    <col min="12026" max="12273" width="9.140625" style="2"/>
    <col min="12274" max="12274" width="16.28515625" style="2" customWidth="1"/>
    <col min="12275" max="12275" width="9.5703125" style="2" customWidth="1"/>
    <col min="12276" max="12276" width="25.85546875" style="2" customWidth="1"/>
    <col min="12277" max="12277" width="10.7109375" style="2" customWidth="1"/>
    <col min="12278" max="12278" width="40.42578125" style="2" customWidth="1"/>
    <col min="12279" max="12279" width="30.5703125" style="2" customWidth="1"/>
    <col min="12280" max="12280" width="16.42578125" style="2" customWidth="1"/>
    <col min="12281" max="12281" width="13" style="2" bestFit="1" customWidth="1"/>
    <col min="12282" max="12529" width="9.140625" style="2"/>
    <col min="12530" max="12530" width="16.28515625" style="2" customWidth="1"/>
    <col min="12531" max="12531" width="9.5703125" style="2" customWidth="1"/>
    <col min="12532" max="12532" width="25.85546875" style="2" customWidth="1"/>
    <col min="12533" max="12533" width="10.7109375" style="2" customWidth="1"/>
    <col min="12534" max="12534" width="40.42578125" style="2" customWidth="1"/>
    <col min="12535" max="12535" width="30.5703125" style="2" customWidth="1"/>
    <col min="12536" max="12536" width="16.42578125" style="2" customWidth="1"/>
    <col min="12537" max="12537" width="13" style="2" bestFit="1" customWidth="1"/>
    <col min="12538" max="12785" width="9.140625" style="2"/>
    <col min="12786" max="12786" width="16.28515625" style="2" customWidth="1"/>
    <col min="12787" max="12787" width="9.5703125" style="2" customWidth="1"/>
    <col min="12788" max="12788" width="25.85546875" style="2" customWidth="1"/>
    <col min="12789" max="12789" width="10.7109375" style="2" customWidth="1"/>
    <col min="12790" max="12790" width="40.42578125" style="2" customWidth="1"/>
    <col min="12791" max="12791" width="30.5703125" style="2" customWidth="1"/>
    <col min="12792" max="12792" width="16.42578125" style="2" customWidth="1"/>
    <col min="12793" max="12793" width="13" style="2" bestFit="1" customWidth="1"/>
    <col min="12794" max="13041" width="9.140625" style="2"/>
    <col min="13042" max="13042" width="16.28515625" style="2" customWidth="1"/>
    <col min="13043" max="13043" width="9.5703125" style="2" customWidth="1"/>
    <col min="13044" max="13044" width="25.85546875" style="2" customWidth="1"/>
    <col min="13045" max="13045" width="10.7109375" style="2" customWidth="1"/>
    <col min="13046" max="13046" width="40.42578125" style="2" customWidth="1"/>
    <col min="13047" max="13047" width="30.5703125" style="2" customWidth="1"/>
    <col min="13048" max="13048" width="16.42578125" style="2" customWidth="1"/>
    <col min="13049" max="13049" width="13" style="2" bestFit="1" customWidth="1"/>
    <col min="13050" max="13297" width="9.140625" style="2"/>
    <col min="13298" max="13298" width="16.28515625" style="2" customWidth="1"/>
    <col min="13299" max="13299" width="9.5703125" style="2" customWidth="1"/>
    <col min="13300" max="13300" width="25.85546875" style="2" customWidth="1"/>
    <col min="13301" max="13301" width="10.7109375" style="2" customWidth="1"/>
    <col min="13302" max="13302" width="40.42578125" style="2" customWidth="1"/>
    <col min="13303" max="13303" width="30.5703125" style="2" customWidth="1"/>
    <col min="13304" max="13304" width="16.42578125" style="2" customWidth="1"/>
    <col min="13305" max="13305" width="13" style="2" bestFit="1" customWidth="1"/>
    <col min="13306" max="13553" width="9.140625" style="2"/>
    <col min="13554" max="13554" width="16.28515625" style="2" customWidth="1"/>
    <col min="13555" max="13555" width="9.5703125" style="2" customWidth="1"/>
    <col min="13556" max="13556" width="25.85546875" style="2" customWidth="1"/>
    <col min="13557" max="13557" width="10.7109375" style="2" customWidth="1"/>
    <col min="13558" max="13558" width="40.42578125" style="2" customWidth="1"/>
    <col min="13559" max="13559" width="30.5703125" style="2" customWidth="1"/>
    <col min="13560" max="13560" width="16.42578125" style="2" customWidth="1"/>
    <col min="13561" max="13561" width="13" style="2" bestFit="1" customWidth="1"/>
    <col min="13562" max="13809" width="9.140625" style="2"/>
    <col min="13810" max="13810" width="16.28515625" style="2" customWidth="1"/>
    <col min="13811" max="13811" width="9.5703125" style="2" customWidth="1"/>
    <col min="13812" max="13812" width="25.85546875" style="2" customWidth="1"/>
    <col min="13813" max="13813" width="10.7109375" style="2" customWidth="1"/>
    <col min="13814" max="13814" width="40.42578125" style="2" customWidth="1"/>
    <col min="13815" max="13815" width="30.5703125" style="2" customWidth="1"/>
    <col min="13816" max="13816" width="16.42578125" style="2" customWidth="1"/>
    <col min="13817" max="13817" width="13" style="2" bestFit="1" customWidth="1"/>
    <col min="13818" max="14065" width="9.140625" style="2"/>
    <col min="14066" max="14066" width="16.28515625" style="2" customWidth="1"/>
    <col min="14067" max="14067" width="9.5703125" style="2" customWidth="1"/>
    <col min="14068" max="14068" width="25.85546875" style="2" customWidth="1"/>
    <col min="14069" max="14069" width="10.7109375" style="2" customWidth="1"/>
    <col min="14070" max="14070" width="40.42578125" style="2" customWidth="1"/>
    <col min="14071" max="14071" width="30.5703125" style="2" customWidth="1"/>
    <col min="14072" max="14072" width="16.42578125" style="2" customWidth="1"/>
    <col min="14073" max="14073" width="13" style="2" bestFit="1" customWidth="1"/>
    <col min="14074" max="14321" width="9.140625" style="2"/>
    <col min="14322" max="14322" width="16.28515625" style="2" customWidth="1"/>
    <col min="14323" max="14323" width="9.5703125" style="2" customWidth="1"/>
    <col min="14324" max="14324" width="25.85546875" style="2" customWidth="1"/>
    <col min="14325" max="14325" width="10.7109375" style="2" customWidth="1"/>
    <col min="14326" max="14326" width="40.42578125" style="2" customWidth="1"/>
    <col min="14327" max="14327" width="30.5703125" style="2" customWidth="1"/>
    <col min="14328" max="14328" width="16.42578125" style="2" customWidth="1"/>
    <col min="14329" max="14329" width="13" style="2" bestFit="1" customWidth="1"/>
    <col min="14330" max="14577" width="9.140625" style="2"/>
    <col min="14578" max="14578" width="16.28515625" style="2" customWidth="1"/>
    <col min="14579" max="14579" width="9.5703125" style="2" customWidth="1"/>
    <col min="14580" max="14580" width="25.85546875" style="2" customWidth="1"/>
    <col min="14581" max="14581" width="10.7109375" style="2" customWidth="1"/>
    <col min="14582" max="14582" width="40.42578125" style="2" customWidth="1"/>
    <col min="14583" max="14583" width="30.5703125" style="2" customWidth="1"/>
    <col min="14584" max="14584" width="16.42578125" style="2" customWidth="1"/>
    <col min="14585" max="14585" width="13" style="2" bestFit="1" customWidth="1"/>
    <col min="14586" max="14833" width="9.140625" style="2"/>
    <col min="14834" max="14834" width="16.28515625" style="2" customWidth="1"/>
    <col min="14835" max="14835" width="9.5703125" style="2" customWidth="1"/>
    <col min="14836" max="14836" width="25.85546875" style="2" customWidth="1"/>
    <col min="14837" max="14837" width="10.7109375" style="2" customWidth="1"/>
    <col min="14838" max="14838" width="40.42578125" style="2" customWidth="1"/>
    <col min="14839" max="14839" width="30.5703125" style="2" customWidth="1"/>
    <col min="14840" max="14840" width="16.42578125" style="2" customWidth="1"/>
    <col min="14841" max="14841" width="13" style="2" bestFit="1" customWidth="1"/>
    <col min="14842" max="15089" width="9.140625" style="2"/>
    <col min="15090" max="15090" width="16.28515625" style="2" customWidth="1"/>
    <col min="15091" max="15091" width="9.5703125" style="2" customWidth="1"/>
    <col min="15092" max="15092" width="25.85546875" style="2" customWidth="1"/>
    <col min="15093" max="15093" width="10.7109375" style="2" customWidth="1"/>
    <col min="15094" max="15094" width="40.42578125" style="2" customWidth="1"/>
    <col min="15095" max="15095" width="30.5703125" style="2" customWidth="1"/>
    <col min="15096" max="15096" width="16.42578125" style="2" customWidth="1"/>
    <col min="15097" max="15097" width="13" style="2" bestFit="1" customWidth="1"/>
    <col min="15098" max="15345" width="9.140625" style="2"/>
    <col min="15346" max="15346" width="16.28515625" style="2" customWidth="1"/>
    <col min="15347" max="15347" width="9.5703125" style="2" customWidth="1"/>
    <col min="15348" max="15348" width="25.85546875" style="2" customWidth="1"/>
    <col min="15349" max="15349" width="10.7109375" style="2" customWidth="1"/>
    <col min="15350" max="15350" width="40.42578125" style="2" customWidth="1"/>
    <col min="15351" max="15351" width="30.5703125" style="2" customWidth="1"/>
    <col min="15352" max="15352" width="16.42578125" style="2" customWidth="1"/>
    <col min="15353" max="15353" width="13" style="2" bestFit="1" customWidth="1"/>
    <col min="15354" max="15601" width="9.140625" style="2"/>
    <col min="15602" max="15602" width="16.28515625" style="2" customWidth="1"/>
    <col min="15603" max="15603" width="9.5703125" style="2" customWidth="1"/>
    <col min="15604" max="15604" width="25.85546875" style="2" customWidth="1"/>
    <col min="15605" max="15605" width="10.7109375" style="2" customWidth="1"/>
    <col min="15606" max="15606" width="40.42578125" style="2" customWidth="1"/>
    <col min="15607" max="15607" width="30.5703125" style="2" customWidth="1"/>
    <col min="15608" max="15608" width="16.42578125" style="2" customWidth="1"/>
    <col min="15609" max="15609" width="13" style="2" bestFit="1" customWidth="1"/>
    <col min="15610" max="15857" width="9.140625" style="2"/>
    <col min="15858" max="15858" width="16.28515625" style="2" customWidth="1"/>
    <col min="15859" max="15859" width="9.5703125" style="2" customWidth="1"/>
    <col min="15860" max="15860" width="25.85546875" style="2" customWidth="1"/>
    <col min="15861" max="15861" width="10.7109375" style="2" customWidth="1"/>
    <col min="15862" max="15862" width="40.42578125" style="2" customWidth="1"/>
    <col min="15863" max="15863" width="30.5703125" style="2" customWidth="1"/>
    <col min="15864" max="15864" width="16.42578125" style="2" customWidth="1"/>
    <col min="15865" max="15865" width="13" style="2" bestFit="1" customWidth="1"/>
    <col min="15866" max="16113" width="9.140625" style="2"/>
    <col min="16114" max="16114" width="16.28515625" style="2" customWidth="1"/>
    <col min="16115" max="16115" width="9.5703125" style="2" customWidth="1"/>
    <col min="16116" max="16116" width="25.85546875" style="2" customWidth="1"/>
    <col min="16117" max="16117" width="10.7109375" style="2" customWidth="1"/>
    <col min="16118" max="16118" width="40.42578125" style="2" customWidth="1"/>
    <col min="16119" max="16119" width="30.5703125" style="2" customWidth="1"/>
    <col min="16120" max="16120" width="16.42578125" style="2" customWidth="1"/>
    <col min="16121" max="16121" width="13" style="2" bestFit="1" customWidth="1"/>
    <col min="16122" max="16384" width="9.140625" style="2"/>
  </cols>
  <sheetData>
    <row r="5" spans="1:13" ht="18.75">
      <c r="A5" s="1483" t="s">
        <v>137</v>
      </c>
      <c r="B5" s="1483"/>
      <c r="C5" s="1483"/>
      <c r="D5" s="1483"/>
      <c r="E5" s="1483"/>
      <c r="F5" s="1483"/>
      <c r="G5" s="1483"/>
      <c r="H5" s="1483"/>
      <c r="I5" s="1483"/>
      <c r="J5" s="225"/>
      <c r="K5" s="2"/>
      <c r="L5" s="225"/>
    </row>
    <row r="6" spans="1:13" ht="18.75">
      <c r="A6" s="1483" t="s">
        <v>29</v>
      </c>
      <c r="B6" s="1483"/>
      <c r="C6" s="1483"/>
      <c r="D6" s="1483"/>
      <c r="E6" s="1483"/>
      <c r="F6" s="1483"/>
      <c r="G6" s="1483"/>
      <c r="H6" s="1483"/>
      <c r="I6" s="1483"/>
      <c r="J6" s="225"/>
      <c r="K6" s="2"/>
      <c r="L6" s="225"/>
    </row>
    <row r="8" spans="1:13">
      <c r="C8" s="4"/>
      <c r="D8" s="4"/>
      <c r="I8" s="5" t="s">
        <v>0</v>
      </c>
      <c r="J8" s="5"/>
      <c r="K8" s="5" t="s">
        <v>0</v>
      </c>
      <c r="L8" s="5"/>
    </row>
    <row r="9" spans="1:13" s="31" customFormat="1" ht="73.5" customHeight="1">
      <c r="A9" s="12" t="s">
        <v>1</v>
      </c>
      <c r="B9" s="12" t="s">
        <v>2</v>
      </c>
      <c r="C9" s="12" t="s">
        <v>68</v>
      </c>
      <c r="D9" s="12" t="s">
        <v>4</v>
      </c>
      <c r="E9" s="12" t="s">
        <v>5</v>
      </c>
      <c r="F9" s="12" t="s">
        <v>6</v>
      </c>
      <c r="G9" s="89" t="s">
        <v>33</v>
      </c>
      <c r="H9" s="90" t="s">
        <v>62</v>
      </c>
      <c r="I9" s="90" t="s">
        <v>50</v>
      </c>
      <c r="J9" s="90" t="s">
        <v>62</v>
      </c>
      <c r="K9" s="90" t="s">
        <v>138</v>
      </c>
      <c r="L9" s="90" t="s">
        <v>62</v>
      </c>
    </row>
    <row r="10" spans="1:13" s="31" customFormat="1" ht="44.25" customHeight="1">
      <c r="A10" s="1484" t="s">
        <v>26</v>
      </c>
      <c r="B10" s="1485"/>
      <c r="C10" s="1485"/>
      <c r="D10" s="1485"/>
      <c r="E10" s="1485"/>
      <c r="F10" s="1485"/>
      <c r="G10" s="1485"/>
      <c r="H10" s="1485"/>
      <c r="I10" s="1485"/>
      <c r="J10" s="230"/>
      <c r="L10" s="230"/>
    </row>
    <row r="11" spans="1:13" s="31" customFormat="1" ht="30.75" customHeight="1">
      <c r="A11" s="55" t="s">
        <v>7</v>
      </c>
      <c r="B11" s="55">
        <v>4</v>
      </c>
      <c r="C11" s="55" t="s">
        <v>69</v>
      </c>
      <c r="D11" s="55">
        <v>111</v>
      </c>
      <c r="E11" s="11">
        <v>211</v>
      </c>
      <c r="F11" s="8" t="s">
        <v>8</v>
      </c>
      <c r="G11" s="232">
        <v>27618737.899999999</v>
      </c>
      <c r="H11" s="99">
        <f>41959190-G11-G54</f>
        <v>9732639.7599999998</v>
      </c>
      <c r="I11" s="232">
        <v>27576409.34</v>
      </c>
      <c r="J11" s="99">
        <f>41959189.58-I11-I54</f>
        <v>9745146.4299999997</v>
      </c>
      <c r="K11" s="232">
        <f>27068521.71+16920.63+551697.5+680-84099+48064</f>
        <v>27601784.84</v>
      </c>
      <c r="L11" s="99">
        <f>41959182.86-K11-K54</f>
        <v>9719764.2100000009</v>
      </c>
      <c r="M11" s="7"/>
    </row>
    <row r="12" spans="1:13" s="31" customFormat="1" ht="47.25">
      <c r="A12" s="55" t="s">
        <v>7</v>
      </c>
      <c r="B12" s="55">
        <v>4</v>
      </c>
      <c r="C12" s="55" t="s">
        <v>71</v>
      </c>
      <c r="D12" s="55">
        <v>111</v>
      </c>
      <c r="E12" s="11">
        <v>266</v>
      </c>
      <c r="F12" s="8" t="s">
        <v>43</v>
      </c>
      <c r="G12" s="99"/>
      <c r="H12" s="99"/>
      <c r="I12" s="99"/>
      <c r="J12" s="99"/>
      <c r="K12" s="99"/>
      <c r="L12" s="99"/>
      <c r="M12" s="7"/>
    </row>
    <row r="13" spans="1:13" s="31" customFormat="1" ht="94.5">
      <c r="A13" s="55" t="s">
        <v>7</v>
      </c>
      <c r="B13" s="55">
        <v>4</v>
      </c>
      <c r="C13" s="55" t="s">
        <v>71</v>
      </c>
      <c r="D13" s="55">
        <v>111</v>
      </c>
      <c r="E13" s="11">
        <v>211</v>
      </c>
      <c r="F13" s="8" t="s">
        <v>49</v>
      </c>
      <c r="G13" s="237">
        <f>36000+10000+55000</f>
        <v>101000</v>
      </c>
      <c r="H13" s="99"/>
      <c r="I13" s="99">
        <v>364493.78</v>
      </c>
      <c r="J13" s="99"/>
      <c r="K13" s="99">
        <f>266084.09-680</f>
        <v>265404.09000000003</v>
      </c>
      <c r="L13" s="99"/>
      <c r="M13" s="7"/>
    </row>
    <row r="14" spans="1:13" s="31" customFormat="1" ht="15.75">
      <c r="A14" s="55"/>
      <c r="B14" s="55"/>
      <c r="C14" s="55"/>
      <c r="D14" s="55"/>
      <c r="E14" s="11">
        <v>211</v>
      </c>
      <c r="F14" s="8" t="s">
        <v>145</v>
      </c>
      <c r="G14" s="95"/>
      <c r="H14" s="10"/>
      <c r="I14" s="223"/>
      <c r="J14" s="10"/>
      <c r="K14" s="10"/>
      <c r="L14" s="10"/>
      <c r="M14" s="7"/>
    </row>
    <row r="15" spans="1:13" s="31" customFormat="1" ht="15.75">
      <c r="A15" s="55"/>
      <c r="B15" s="55"/>
      <c r="C15" s="55"/>
      <c r="D15" s="55"/>
      <c r="E15" s="11">
        <v>211</v>
      </c>
      <c r="F15" s="8" t="s">
        <v>139</v>
      </c>
      <c r="G15" s="95"/>
      <c r="H15" s="10"/>
      <c r="I15" s="223"/>
      <c r="J15" s="10"/>
      <c r="K15" s="10"/>
      <c r="L15" s="10"/>
      <c r="M15" s="7"/>
    </row>
    <row r="16" spans="1:13" s="31" customFormat="1" ht="15.75">
      <c r="A16" s="55"/>
      <c r="B16" s="55"/>
      <c r="C16" s="55"/>
      <c r="D16" s="55"/>
      <c r="E16" s="11">
        <v>211</v>
      </c>
      <c r="F16" s="8" t="s">
        <v>141</v>
      </c>
      <c r="G16" s="95"/>
      <c r="H16" s="10"/>
      <c r="I16" s="223"/>
      <c r="J16" s="10"/>
      <c r="K16" s="10"/>
      <c r="L16" s="10"/>
      <c r="M16" s="7"/>
    </row>
    <row r="17" spans="1:14" s="31" customFormat="1" ht="47.25">
      <c r="A17" s="55"/>
      <c r="B17" s="55"/>
      <c r="C17" s="55"/>
      <c r="D17" s="55"/>
      <c r="E17" s="11">
        <v>211</v>
      </c>
      <c r="F17" s="8" t="s">
        <v>143</v>
      </c>
      <c r="G17" s="95"/>
      <c r="H17" s="10"/>
      <c r="I17" s="223"/>
      <c r="J17" s="10"/>
      <c r="K17" s="10"/>
      <c r="L17" s="10"/>
      <c r="M17" s="7"/>
    </row>
    <row r="18" spans="1:14" s="31" customFormat="1" ht="22.5" customHeight="1">
      <c r="A18" s="55" t="s">
        <v>7</v>
      </c>
      <c r="B18" s="55">
        <v>4</v>
      </c>
      <c r="C18" s="55" t="s">
        <v>71</v>
      </c>
      <c r="D18" s="55">
        <v>112</v>
      </c>
      <c r="E18" s="11">
        <v>214</v>
      </c>
      <c r="F18" s="8" t="s">
        <v>35</v>
      </c>
      <c r="G18" s="116">
        <v>1000000</v>
      </c>
      <c r="H18" s="10"/>
      <c r="I18" s="223">
        <v>1301900</v>
      </c>
      <c r="J18" s="10"/>
      <c r="K18" s="10">
        <v>1357300</v>
      </c>
      <c r="L18" s="10"/>
      <c r="M18" s="7"/>
    </row>
    <row r="19" spans="1:14" s="31" customFormat="1" ht="71.25" customHeight="1">
      <c r="A19" s="55" t="s">
        <v>7</v>
      </c>
      <c r="B19" s="55">
        <v>4</v>
      </c>
      <c r="C19" s="55" t="s">
        <v>71</v>
      </c>
      <c r="D19" s="55">
        <v>112</v>
      </c>
      <c r="E19" s="11">
        <v>266</v>
      </c>
      <c r="F19" s="8" t="s">
        <v>41</v>
      </c>
      <c r="G19" s="116">
        <f>3060</f>
        <v>3060</v>
      </c>
      <c r="H19" s="10"/>
      <c r="I19" s="223"/>
      <c r="J19" s="10"/>
      <c r="K19" s="10"/>
      <c r="L19" s="10"/>
      <c r="M19" s="7"/>
    </row>
    <row r="20" spans="1:14" s="31" customFormat="1" ht="71.25" customHeight="1">
      <c r="A20" s="55" t="s">
        <v>7</v>
      </c>
      <c r="B20" s="55">
        <v>4</v>
      </c>
      <c r="C20" s="55" t="s">
        <v>71</v>
      </c>
      <c r="D20" s="55">
        <v>112</v>
      </c>
      <c r="E20" s="11">
        <v>266</v>
      </c>
      <c r="F20" s="8" t="s">
        <v>144</v>
      </c>
      <c r="G20" s="116">
        <f>202770.48</f>
        <v>202770.48</v>
      </c>
      <c r="H20" s="10"/>
      <c r="I20" s="223"/>
      <c r="J20" s="10"/>
      <c r="K20" s="10"/>
      <c r="L20" s="10"/>
      <c r="M20" s="7"/>
    </row>
    <row r="21" spans="1:14" s="31" customFormat="1" ht="55.5" customHeight="1">
      <c r="A21" s="55" t="s">
        <v>7</v>
      </c>
      <c r="B21" s="55">
        <v>4</v>
      </c>
      <c r="C21" s="55" t="s">
        <v>71</v>
      </c>
      <c r="D21" s="55">
        <v>244</v>
      </c>
      <c r="E21" s="11">
        <v>226</v>
      </c>
      <c r="F21" s="8" t="s">
        <v>172</v>
      </c>
      <c r="G21" s="95">
        <v>834.1</v>
      </c>
      <c r="H21" s="10"/>
      <c r="I21" s="223">
        <v>834.1</v>
      </c>
      <c r="J21" s="10"/>
      <c r="K21" s="10">
        <v>834.1</v>
      </c>
      <c r="L21" s="10"/>
      <c r="M21" s="7"/>
    </row>
    <row r="22" spans="1:14" s="31" customFormat="1" ht="55.5" customHeight="1">
      <c r="A22" s="55" t="s">
        <v>7</v>
      </c>
      <c r="B22" s="55">
        <v>4</v>
      </c>
      <c r="C22" s="55" t="s">
        <v>71</v>
      </c>
      <c r="D22" s="55">
        <v>244</v>
      </c>
      <c r="E22" s="11">
        <v>226</v>
      </c>
      <c r="F22" s="8" t="s">
        <v>171</v>
      </c>
      <c r="G22" s="99">
        <v>19775.91</v>
      </c>
      <c r="H22" s="99"/>
      <c r="I22" s="99">
        <v>19775.91</v>
      </c>
      <c r="J22" s="99"/>
      <c r="K22" s="99">
        <v>19775.91</v>
      </c>
      <c r="L22" s="99"/>
      <c r="M22" s="7"/>
    </row>
    <row r="23" spans="1:14" s="31" customFormat="1" ht="23.25" customHeight="1">
      <c r="A23" s="55" t="s">
        <v>7</v>
      </c>
      <c r="B23" s="55">
        <v>4</v>
      </c>
      <c r="C23" s="55" t="s">
        <v>69</v>
      </c>
      <c r="D23" s="55">
        <v>119</v>
      </c>
      <c r="E23" s="11">
        <v>213</v>
      </c>
      <c r="F23" s="8" t="s">
        <v>10</v>
      </c>
      <c r="G23" s="231">
        <v>8226427.1600000001</v>
      </c>
      <c r="H23" s="100">
        <f>12475243.59-G23-G60</f>
        <v>2872164.83</v>
      </c>
      <c r="I23" s="231">
        <v>8202262.6299999999</v>
      </c>
      <c r="J23" s="100">
        <f>12479345.04-I23-I60</f>
        <v>2900430.81</v>
      </c>
      <c r="K23" s="231">
        <f>8199987.32+1.05+0.04</f>
        <v>8199988.4100000001</v>
      </c>
      <c r="L23" s="100">
        <f>12479690.56-K23-K60</f>
        <v>2903050.55</v>
      </c>
      <c r="M23" s="7"/>
      <c r="N23" s="215"/>
    </row>
    <row r="24" spans="1:14" s="31" customFormat="1" ht="31.5">
      <c r="A24" s="55"/>
      <c r="B24" s="55"/>
      <c r="C24" s="55"/>
      <c r="D24" s="55"/>
      <c r="E24" s="11">
        <v>213</v>
      </c>
      <c r="F24" s="8" t="s">
        <v>174</v>
      </c>
      <c r="G24" s="91">
        <v>80866.679999999993</v>
      </c>
      <c r="H24" s="13"/>
      <c r="I24" s="224"/>
      <c r="J24" s="13"/>
      <c r="K24" s="13">
        <f>K14*30.2%</f>
        <v>0</v>
      </c>
      <c r="L24" s="13"/>
      <c r="M24" s="7"/>
    </row>
    <row r="25" spans="1:14" s="31" customFormat="1" ht="47.25">
      <c r="A25" s="55"/>
      <c r="B25" s="55"/>
      <c r="C25" s="55"/>
      <c r="D25" s="55"/>
      <c r="E25" s="11">
        <v>213</v>
      </c>
      <c r="F25" s="8" t="s">
        <v>140</v>
      </c>
      <c r="G25" s="94"/>
      <c r="H25" s="13"/>
      <c r="I25" s="224"/>
      <c r="J25" s="13"/>
      <c r="K25" s="13"/>
      <c r="L25" s="13"/>
      <c r="M25" s="7"/>
    </row>
    <row r="26" spans="1:14" s="31" customFormat="1" ht="47.25">
      <c r="A26" s="55"/>
      <c r="B26" s="55"/>
      <c r="C26" s="55"/>
      <c r="D26" s="55"/>
      <c r="E26" s="11">
        <v>213</v>
      </c>
      <c r="F26" s="8" t="s">
        <v>142</v>
      </c>
      <c r="G26" s="94"/>
      <c r="H26" s="13"/>
      <c r="I26" s="224"/>
      <c r="J26" s="13"/>
      <c r="K26" s="13"/>
      <c r="L26" s="13"/>
      <c r="M26" s="7"/>
    </row>
    <row r="27" spans="1:14" s="31" customFormat="1" ht="19.5" customHeight="1">
      <c r="A27" s="55" t="s">
        <v>7</v>
      </c>
      <c r="B27" s="55">
        <v>4</v>
      </c>
      <c r="C27" s="55" t="s">
        <v>71</v>
      </c>
      <c r="D27" s="55">
        <v>244</v>
      </c>
      <c r="E27" s="11">
        <v>221</v>
      </c>
      <c r="F27" s="8" t="s">
        <v>11</v>
      </c>
      <c r="G27" s="116">
        <v>196510.7</v>
      </c>
      <c r="H27" s="10"/>
      <c r="I27" s="223">
        <f>228206.4+614.4</f>
        <v>228820.8</v>
      </c>
      <c r="J27" s="10"/>
      <c r="K27" s="10">
        <f>228206.4+614.4</f>
        <v>228820.8</v>
      </c>
      <c r="L27" s="10"/>
      <c r="M27" s="7"/>
    </row>
    <row r="28" spans="1:14" s="31" customFormat="1" ht="19.5" customHeight="1">
      <c r="A28" s="55" t="s">
        <v>7</v>
      </c>
      <c r="B28" s="55">
        <v>4</v>
      </c>
      <c r="C28" s="55" t="s">
        <v>71</v>
      </c>
      <c r="D28" s="55">
        <v>244</v>
      </c>
      <c r="E28" s="11">
        <v>222</v>
      </c>
      <c r="F28" s="8" t="s">
        <v>12</v>
      </c>
      <c r="G28" s="116">
        <v>137727.94</v>
      </c>
      <c r="H28" s="10"/>
      <c r="I28" s="223">
        <v>120835.52</v>
      </c>
      <c r="J28" s="10"/>
      <c r="K28" s="223">
        <v>120835.52</v>
      </c>
      <c r="L28" s="10"/>
      <c r="M28" s="7"/>
    </row>
    <row r="29" spans="1:14" s="31" customFormat="1" ht="15.75">
      <c r="A29" s="55" t="s">
        <v>7</v>
      </c>
      <c r="B29" s="55">
        <v>4</v>
      </c>
      <c r="C29" s="55" t="s">
        <v>71</v>
      </c>
      <c r="D29" s="55">
        <v>244</v>
      </c>
      <c r="E29" s="11">
        <v>223</v>
      </c>
      <c r="F29" s="8" t="s">
        <v>13</v>
      </c>
      <c r="G29" s="95">
        <v>1167551.6200000001</v>
      </c>
      <c r="H29" s="10"/>
      <c r="I29" s="10">
        <v>1067719.1499999999</v>
      </c>
      <c r="J29" s="10"/>
      <c r="K29" s="10">
        <v>1081083.27</v>
      </c>
      <c r="L29" s="10"/>
      <c r="M29" s="7"/>
    </row>
    <row r="30" spans="1:14" s="31" customFormat="1" ht="15.75">
      <c r="A30" s="55" t="s">
        <v>7</v>
      </c>
      <c r="B30" s="55">
        <v>4</v>
      </c>
      <c r="C30" s="55" t="s">
        <v>71</v>
      </c>
      <c r="D30" s="55">
        <v>244</v>
      </c>
      <c r="E30" s="11">
        <v>223</v>
      </c>
      <c r="F30" s="8" t="s">
        <v>147</v>
      </c>
      <c r="G30" s="95">
        <v>32043.919999999998</v>
      </c>
      <c r="H30" s="10"/>
      <c r="I30" s="10">
        <v>33152.92</v>
      </c>
      <c r="J30" s="10"/>
      <c r="K30" s="10">
        <v>33381.120000000003</v>
      </c>
      <c r="L30" s="10"/>
      <c r="M30" s="7"/>
    </row>
    <row r="31" spans="1:14" s="31" customFormat="1" ht="33" customHeight="1">
      <c r="A31" s="55" t="s">
        <v>7</v>
      </c>
      <c r="B31" s="55">
        <v>4</v>
      </c>
      <c r="C31" s="55" t="s">
        <v>71</v>
      </c>
      <c r="D31" s="55">
        <v>244</v>
      </c>
      <c r="E31" s="11">
        <v>225</v>
      </c>
      <c r="F31" s="8" t="s">
        <v>149</v>
      </c>
      <c r="G31" s="10">
        <f>81611.22</f>
        <v>81611.22</v>
      </c>
      <c r="H31" s="10"/>
      <c r="I31" s="10">
        <v>81611.22</v>
      </c>
      <c r="J31" s="10"/>
      <c r="K31" s="10">
        <v>81611.22</v>
      </c>
      <c r="L31" s="10"/>
      <c r="M31" s="7"/>
    </row>
    <row r="32" spans="1:14" s="31" customFormat="1" ht="31.5">
      <c r="A32" s="55" t="s">
        <v>7</v>
      </c>
      <c r="B32" s="55">
        <v>4</v>
      </c>
      <c r="C32" s="55" t="s">
        <v>71</v>
      </c>
      <c r="D32" s="55">
        <v>244</v>
      </c>
      <c r="E32" s="11">
        <v>225</v>
      </c>
      <c r="F32" s="8" t="s">
        <v>148</v>
      </c>
      <c r="G32" s="95">
        <v>332170.86</v>
      </c>
      <c r="H32" s="10"/>
      <c r="I32" s="10">
        <v>332170.86</v>
      </c>
      <c r="J32" s="10"/>
      <c r="K32" s="10">
        <v>332170.86</v>
      </c>
      <c r="L32" s="10"/>
      <c r="M32" s="7"/>
    </row>
    <row r="33" spans="1:14" s="31" customFormat="1" ht="15.75">
      <c r="A33" s="55" t="s">
        <v>7</v>
      </c>
      <c r="B33" s="55">
        <v>4</v>
      </c>
      <c r="C33" s="55" t="s">
        <v>71</v>
      </c>
      <c r="D33" s="55">
        <v>244</v>
      </c>
      <c r="E33" s="11">
        <v>224</v>
      </c>
      <c r="F33" s="8" t="s">
        <v>151</v>
      </c>
      <c r="G33" s="94">
        <v>3837299.76</v>
      </c>
      <c r="H33" s="95">
        <f>12428476.8-G33</f>
        <v>8591177.0399999991</v>
      </c>
      <c r="I33" s="10">
        <v>4129932.54</v>
      </c>
      <c r="J33" s="10">
        <f>12428476.8-I33</f>
        <v>8298544.2599999998</v>
      </c>
      <c r="K33" s="10">
        <v>4169686.2</v>
      </c>
      <c r="L33" s="10">
        <f>12428476.8-K33</f>
        <v>8258790.5999999996</v>
      </c>
      <c r="M33" s="7"/>
    </row>
    <row r="34" spans="1:14" s="238" customFormat="1" ht="37.5" customHeight="1">
      <c r="A34" s="242"/>
      <c r="B34" s="242"/>
      <c r="C34" s="242"/>
      <c r="D34" s="242">
        <v>244</v>
      </c>
      <c r="E34" s="243">
        <v>226</v>
      </c>
      <c r="F34" s="244" t="s">
        <v>175</v>
      </c>
      <c r="G34" s="239">
        <v>26625.3</v>
      </c>
      <c r="H34" s="240"/>
      <c r="I34" s="241">
        <v>44052.53</v>
      </c>
      <c r="J34" s="241"/>
      <c r="K34" s="241">
        <v>27043.14</v>
      </c>
      <c r="L34" s="241"/>
      <c r="M34" s="245"/>
    </row>
    <row r="35" spans="1:14" s="31" customFormat="1" ht="15.75">
      <c r="A35" s="55" t="s">
        <v>7</v>
      </c>
      <c r="B35" s="55">
        <v>4</v>
      </c>
      <c r="C35" s="55" t="s">
        <v>71</v>
      </c>
      <c r="D35" s="55">
        <v>244</v>
      </c>
      <c r="E35" s="11">
        <v>226</v>
      </c>
      <c r="F35" s="8" t="s">
        <v>170</v>
      </c>
      <c r="G35" s="94">
        <v>373146.43</v>
      </c>
      <c r="H35" s="13"/>
      <c r="I35" s="13">
        <v>384971.35</v>
      </c>
      <c r="J35" s="13"/>
      <c r="K35" s="13">
        <v>396580.15</v>
      </c>
      <c r="L35" s="13"/>
      <c r="M35" s="7"/>
    </row>
    <row r="36" spans="1:14" s="31" customFormat="1" ht="15.75">
      <c r="A36" s="55" t="s">
        <v>7</v>
      </c>
      <c r="B36" s="55">
        <v>4</v>
      </c>
      <c r="C36" s="55" t="s">
        <v>71</v>
      </c>
      <c r="D36" s="55">
        <v>244</v>
      </c>
      <c r="E36" s="11">
        <v>226</v>
      </c>
      <c r="F36" s="8" t="s">
        <v>150</v>
      </c>
      <c r="G36" s="94">
        <v>458180.41</v>
      </c>
      <c r="H36" s="13"/>
      <c r="I36" s="13">
        <v>559213.87</v>
      </c>
      <c r="J36" s="13"/>
      <c r="K36" s="13">
        <v>559213.87</v>
      </c>
      <c r="L36" s="13"/>
      <c r="M36" s="7"/>
    </row>
    <row r="37" spans="1:14" s="30" customFormat="1" ht="15.75">
      <c r="A37" s="27" t="s">
        <v>7</v>
      </c>
      <c r="B37" s="27">
        <v>4</v>
      </c>
      <c r="C37" s="27" t="s">
        <v>70</v>
      </c>
      <c r="D37" s="27">
        <v>244</v>
      </c>
      <c r="E37" s="28">
        <v>226</v>
      </c>
      <c r="F37" s="29" t="s">
        <v>15</v>
      </c>
      <c r="G37" s="94">
        <v>2100099.31</v>
      </c>
      <c r="H37" s="107"/>
      <c r="I37" s="107">
        <v>2238560.48</v>
      </c>
      <c r="J37" s="107"/>
      <c r="K37" s="107">
        <v>2091392.71</v>
      </c>
      <c r="L37" s="107"/>
      <c r="M37" s="7"/>
    </row>
    <row r="38" spans="1:14" s="31" customFormat="1" ht="18" customHeight="1">
      <c r="A38" s="55" t="s">
        <v>7</v>
      </c>
      <c r="B38" s="55">
        <v>4</v>
      </c>
      <c r="C38" s="55" t="s">
        <v>71</v>
      </c>
      <c r="D38" s="55">
        <v>851</v>
      </c>
      <c r="E38" s="11">
        <v>291</v>
      </c>
      <c r="F38" s="8" t="s">
        <v>28</v>
      </c>
      <c r="G38" s="10">
        <f>119325-19888</f>
        <v>99437</v>
      </c>
      <c r="H38" s="10"/>
      <c r="I38" s="10">
        <v>0</v>
      </c>
      <c r="J38" s="10"/>
      <c r="K38" s="10">
        <v>0</v>
      </c>
      <c r="L38" s="10"/>
      <c r="M38" s="7"/>
    </row>
    <row r="39" spans="1:14" s="31" customFormat="1" ht="19.5" customHeight="1">
      <c r="A39" s="55" t="s">
        <v>7</v>
      </c>
      <c r="B39" s="55">
        <v>4</v>
      </c>
      <c r="C39" s="55" t="s">
        <v>71</v>
      </c>
      <c r="D39" s="55">
        <v>853</v>
      </c>
      <c r="E39" s="11">
        <v>297</v>
      </c>
      <c r="F39" s="8" t="s">
        <v>38</v>
      </c>
      <c r="G39" s="231">
        <f>G11*0.15%</f>
        <v>41428.11</v>
      </c>
      <c r="H39" s="231">
        <f>62938.83-G39-G81</f>
        <v>14618.57</v>
      </c>
      <c r="I39" s="231">
        <f>I11*0.15%</f>
        <v>41364.61</v>
      </c>
      <c r="J39" s="231">
        <f>62938.8-I39-I81</f>
        <v>14682.04</v>
      </c>
      <c r="K39" s="231">
        <f>K11*0.15%</f>
        <v>41402.68</v>
      </c>
      <c r="L39" s="100">
        <f>62938.78-K39-K81</f>
        <v>14643.95</v>
      </c>
      <c r="M39" s="7"/>
    </row>
    <row r="40" spans="1:14" s="238" customFormat="1" ht="37.5" customHeight="1">
      <c r="A40" s="242"/>
      <c r="B40" s="242"/>
      <c r="C40" s="242"/>
      <c r="D40" s="242">
        <v>244</v>
      </c>
      <c r="E40" s="243">
        <v>310</v>
      </c>
      <c r="F40" s="244" t="s">
        <v>176</v>
      </c>
      <c r="G40" s="239">
        <v>9740.39</v>
      </c>
      <c r="H40" s="240"/>
      <c r="I40" s="241">
        <v>9740.39</v>
      </c>
      <c r="J40" s="241"/>
      <c r="K40" s="241">
        <v>9740.39</v>
      </c>
      <c r="L40" s="241"/>
      <c r="M40" s="245"/>
    </row>
    <row r="41" spans="1:14" s="238" customFormat="1" ht="37.5" customHeight="1">
      <c r="A41" s="242"/>
      <c r="B41" s="242"/>
      <c r="C41" s="242"/>
      <c r="D41" s="242">
        <v>244</v>
      </c>
      <c r="E41" s="243">
        <v>346</v>
      </c>
      <c r="F41" s="244" t="s">
        <v>175</v>
      </c>
      <c r="G41" s="239">
        <v>90481.68</v>
      </c>
      <c r="H41" s="240"/>
      <c r="I41" s="241">
        <v>73054.45</v>
      </c>
      <c r="J41" s="241"/>
      <c r="K41" s="241">
        <v>90063.84</v>
      </c>
      <c r="L41" s="241"/>
      <c r="M41" s="245"/>
    </row>
    <row r="42" spans="1:14" s="31" customFormat="1" ht="29.25" customHeight="1">
      <c r="A42" s="55" t="s">
        <v>7</v>
      </c>
      <c r="B42" s="55">
        <v>4</v>
      </c>
      <c r="C42" s="55" t="s">
        <v>71</v>
      </c>
      <c r="D42" s="55">
        <v>244</v>
      </c>
      <c r="E42" s="11">
        <v>346</v>
      </c>
      <c r="F42" s="8" t="s">
        <v>112</v>
      </c>
      <c r="G42" s="13">
        <v>124103.74</v>
      </c>
      <c r="H42" s="13"/>
      <c r="I42" s="13">
        <v>131233.54</v>
      </c>
      <c r="J42" s="13"/>
      <c r="K42" s="13">
        <v>122383.74</v>
      </c>
      <c r="L42" s="100"/>
      <c r="M42" s="7"/>
    </row>
    <row r="43" spans="1:14" s="30" customFormat="1" ht="31.5">
      <c r="A43" s="27" t="s">
        <v>7</v>
      </c>
      <c r="B43" s="27">
        <v>4</v>
      </c>
      <c r="C43" s="27" t="s">
        <v>70</v>
      </c>
      <c r="D43" s="27">
        <v>244</v>
      </c>
      <c r="E43" s="28">
        <v>346</v>
      </c>
      <c r="F43" s="29" t="s">
        <v>112</v>
      </c>
      <c r="G43" s="95">
        <v>359298.91</v>
      </c>
      <c r="H43" s="98"/>
      <c r="I43" s="98">
        <v>397358.85</v>
      </c>
      <c r="J43" s="98"/>
      <c r="K43" s="98">
        <v>544526.62</v>
      </c>
      <c r="L43" s="98"/>
      <c r="M43" s="7"/>
    </row>
    <row r="44" spans="1:14" s="31" customFormat="1" ht="47.25">
      <c r="A44" s="55" t="s">
        <v>7</v>
      </c>
      <c r="B44" s="55">
        <v>4</v>
      </c>
      <c r="C44" s="55" t="s">
        <v>71</v>
      </c>
      <c r="D44" s="16">
        <v>119</v>
      </c>
      <c r="E44" s="17">
        <v>266</v>
      </c>
      <c r="F44" s="9" t="s">
        <v>65</v>
      </c>
      <c r="G44" s="94"/>
      <c r="H44" s="13"/>
      <c r="I44" s="224"/>
      <c r="J44" s="13"/>
      <c r="K44" s="13"/>
      <c r="L44" s="13"/>
      <c r="M44" s="7"/>
    </row>
    <row r="45" spans="1:14" s="31" customFormat="1" ht="15.75" customHeight="1">
      <c r="A45" s="1482" t="s">
        <v>17</v>
      </c>
      <c r="B45" s="1482"/>
      <c r="C45" s="1482"/>
      <c r="D45" s="1482"/>
      <c r="E45" s="1482"/>
      <c r="F45" s="1482"/>
      <c r="G45" s="13">
        <f t="shared" ref="G45:L45" si="0">SUM(G11:G44)</f>
        <v>46720929.530000001</v>
      </c>
      <c r="H45" s="13">
        <f t="shared" si="0"/>
        <v>21210600.199999999</v>
      </c>
      <c r="I45" s="13">
        <f t="shared" si="0"/>
        <v>47339468.840000004</v>
      </c>
      <c r="J45" s="13">
        <f t="shared" si="0"/>
        <v>20958803.539999999</v>
      </c>
      <c r="K45" s="13">
        <f t="shared" si="0"/>
        <v>47375023.479999997</v>
      </c>
      <c r="L45" s="13">
        <f t="shared" si="0"/>
        <v>20896249.309999999</v>
      </c>
      <c r="M45" s="7"/>
    </row>
    <row r="46" spans="1:14" s="31" customFormat="1" ht="15.75" customHeight="1">
      <c r="A46" s="209"/>
      <c r="B46" s="209"/>
      <c r="C46" s="209"/>
      <c r="D46" s="209"/>
      <c r="E46" s="209"/>
      <c r="F46" s="209"/>
      <c r="G46" s="211"/>
      <c r="H46" s="211"/>
      <c r="I46" s="211"/>
      <c r="J46" s="211"/>
      <c r="K46" s="211"/>
      <c r="L46" s="211"/>
      <c r="M46" s="7"/>
    </row>
    <row r="47" spans="1:14" s="31" customFormat="1" ht="23.25" customHeight="1">
      <c r="A47" s="1486" t="s">
        <v>18</v>
      </c>
      <c r="B47" s="1486"/>
      <c r="C47" s="1486"/>
      <c r="D47" s="1486"/>
      <c r="E47" s="1486"/>
      <c r="F47" s="1486"/>
      <c r="G47" s="216"/>
      <c r="H47" s="230"/>
      <c r="I47" s="216"/>
      <c r="J47" s="230"/>
      <c r="K47" s="216"/>
      <c r="L47" s="230"/>
      <c r="M47" s="7"/>
      <c r="N47" s="215"/>
    </row>
    <row r="48" spans="1:14" s="31" customFormat="1" ht="28.5" customHeight="1">
      <c r="A48" s="16" t="s">
        <v>44</v>
      </c>
      <c r="B48" s="16">
        <v>5</v>
      </c>
      <c r="C48" s="55" t="s">
        <v>72</v>
      </c>
      <c r="D48" s="16">
        <v>244</v>
      </c>
      <c r="E48" s="17">
        <v>226</v>
      </c>
      <c r="F48" s="8" t="s">
        <v>15</v>
      </c>
      <c r="G48" s="100">
        <v>52833.25</v>
      </c>
      <c r="H48" s="100"/>
      <c r="I48" s="100">
        <v>0</v>
      </c>
      <c r="J48" s="100"/>
      <c r="K48" s="100">
        <v>0</v>
      </c>
      <c r="L48" s="100"/>
      <c r="M48" s="7"/>
    </row>
    <row r="49" spans="1:15" s="31" customFormat="1" ht="21.75" customHeight="1">
      <c r="A49" s="55" t="s">
        <v>19</v>
      </c>
      <c r="B49" s="16">
        <v>5</v>
      </c>
      <c r="C49" s="55" t="s">
        <v>71</v>
      </c>
      <c r="D49" s="55">
        <v>112</v>
      </c>
      <c r="E49" s="11">
        <v>266</v>
      </c>
      <c r="F49" s="8" t="s">
        <v>40</v>
      </c>
      <c r="G49" s="100">
        <v>0</v>
      </c>
      <c r="H49" s="100"/>
      <c r="I49" s="100">
        <v>0</v>
      </c>
      <c r="J49" s="100"/>
      <c r="K49" s="100">
        <v>0</v>
      </c>
      <c r="L49" s="100"/>
      <c r="M49" s="7"/>
    </row>
    <row r="50" spans="1:15" s="31" customFormat="1" ht="15.75">
      <c r="A50" s="1476" t="s">
        <v>17</v>
      </c>
      <c r="B50" s="1477"/>
      <c r="C50" s="1477"/>
      <c r="D50" s="1477"/>
      <c r="E50" s="1477"/>
      <c r="F50" s="1478"/>
      <c r="G50" s="13">
        <f>SUM(G48:G49)</f>
        <v>52833.25</v>
      </c>
      <c r="H50" s="13"/>
      <c r="I50" s="13">
        <f>SUM(I48:I49)</f>
        <v>0</v>
      </c>
      <c r="J50" s="13"/>
      <c r="K50" s="13">
        <f>SUM(K48:K49)</f>
        <v>0</v>
      </c>
      <c r="L50" s="13"/>
      <c r="M50" s="7"/>
    </row>
    <row r="51" spans="1:15" s="31" customFormat="1" ht="16.5" customHeight="1">
      <c r="A51" s="1476" t="s">
        <v>21</v>
      </c>
      <c r="B51" s="1477"/>
      <c r="C51" s="1477"/>
      <c r="D51" s="1477"/>
      <c r="E51" s="1477"/>
      <c r="F51" s="1478"/>
      <c r="G51" s="10">
        <f>G45+G50</f>
        <v>46773762.780000001</v>
      </c>
      <c r="H51" s="10"/>
      <c r="I51" s="10">
        <f>I45+I50</f>
        <v>47339468.840000004</v>
      </c>
      <c r="J51" s="10"/>
      <c r="K51" s="10">
        <f>K45+K50</f>
        <v>47375023.479999997</v>
      </c>
      <c r="L51" s="10"/>
      <c r="M51" s="7"/>
    </row>
    <row r="52" spans="1:15" s="31" customFormat="1" ht="16.5" customHeight="1">
      <c r="A52" s="226"/>
      <c r="B52" s="227"/>
      <c r="C52" s="227"/>
      <c r="D52" s="227"/>
      <c r="E52" s="227"/>
      <c r="F52" s="228"/>
      <c r="G52" s="210">
        <v>46513033.899999999</v>
      </c>
      <c r="H52" s="210"/>
      <c r="I52" s="210">
        <v>46643552.270000003</v>
      </c>
      <c r="J52" s="210"/>
      <c r="K52" s="210">
        <v>46643552.270000003</v>
      </c>
      <c r="L52" s="210"/>
      <c r="M52" s="7"/>
    </row>
    <row r="53" spans="1:15" s="31" customFormat="1" ht="15.75">
      <c r="A53" s="1479" t="s">
        <v>22</v>
      </c>
      <c r="B53" s="1479"/>
      <c r="C53" s="1479"/>
      <c r="D53" s="1479"/>
      <c r="E53" s="1479"/>
      <c r="F53" s="1479"/>
      <c r="G53" s="216">
        <f>G52-G51</f>
        <v>-260728.88</v>
      </c>
      <c r="H53" s="230"/>
      <c r="I53" s="216">
        <f>I52-I51</f>
        <v>-695916.57</v>
      </c>
      <c r="J53" s="230"/>
      <c r="K53" s="216">
        <f>K52-K51</f>
        <v>-731471.21</v>
      </c>
      <c r="L53" s="230"/>
      <c r="M53" s="7"/>
    </row>
    <row r="54" spans="1:15" s="31" customFormat="1" ht="24.75" customHeight="1">
      <c r="A54" s="55" t="s">
        <v>23</v>
      </c>
      <c r="B54" s="55">
        <v>2</v>
      </c>
      <c r="C54" s="55" t="s">
        <v>69</v>
      </c>
      <c r="D54" s="55">
        <v>111</v>
      </c>
      <c r="E54" s="55">
        <v>211</v>
      </c>
      <c r="F54" s="8" t="s">
        <v>8</v>
      </c>
      <c r="G54" s="116">
        <v>4607812.34</v>
      </c>
      <c r="H54" s="10"/>
      <c r="I54" s="116">
        <v>4637633.8099999996</v>
      </c>
      <c r="J54" s="10"/>
      <c r="K54" s="116">
        <v>4637633.8099999996</v>
      </c>
      <c r="L54" s="10"/>
      <c r="M54" s="7"/>
    </row>
    <row r="55" spans="1:15" s="31" customFormat="1" ht="94.5">
      <c r="A55" s="55" t="s">
        <v>23</v>
      </c>
      <c r="B55" s="55">
        <v>2</v>
      </c>
      <c r="C55" s="55" t="s">
        <v>71</v>
      </c>
      <c r="D55" s="55">
        <v>111</v>
      </c>
      <c r="E55" s="11">
        <v>211</v>
      </c>
      <c r="F55" s="8" t="s">
        <v>49</v>
      </c>
      <c r="G55" s="234">
        <v>4000</v>
      </c>
      <c r="H55" s="99"/>
      <c r="I55" s="234">
        <v>1000</v>
      </c>
      <c r="J55" s="99"/>
      <c r="K55" s="236"/>
      <c r="L55" s="99"/>
      <c r="M55" s="7"/>
      <c r="N55" s="7"/>
      <c r="O55" s="7"/>
    </row>
    <row r="56" spans="1:15" s="31" customFormat="1" ht="47.25">
      <c r="A56" s="55"/>
      <c r="B56" s="55"/>
      <c r="C56" s="55"/>
      <c r="D56" s="55"/>
      <c r="E56" s="11">
        <v>211</v>
      </c>
      <c r="F56" s="8" t="s">
        <v>59</v>
      </c>
      <c r="G56" s="233"/>
      <c r="H56" s="10"/>
      <c r="I56" s="233"/>
      <c r="J56" s="10"/>
      <c r="K56" s="236"/>
      <c r="L56" s="10"/>
      <c r="M56" s="7"/>
      <c r="N56" s="7"/>
      <c r="O56" s="7"/>
    </row>
    <row r="57" spans="1:15" s="31" customFormat="1" ht="47.25">
      <c r="A57" s="55" t="s">
        <v>23</v>
      </c>
      <c r="B57" s="55">
        <v>2</v>
      </c>
      <c r="C57" s="55" t="s">
        <v>71</v>
      </c>
      <c r="D57" s="55">
        <v>111</v>
      </c>
      <c r="E57" s="11">
        <v>266</v>
      </c>
      <c r="F57" s="8" t="s">
        <v>43</v>
      </c>
      <c r="G57" s="233"/>
      <c r="H57" s="99"/>
      <c r="I57" s="233"/>
      <c r="J57" s="99"/>
      <c r="K57" s="236"/>
      <c r="L57" s="99"/>
      <c r="M57" s="7"/>
    </row>
    <row r="58" spans="1:15" s="31" customFormat="1" ht="47.25">
      <c r="A58" s="55" t="s">
        <v>23</v>
      </c>
      <c r="B58" s="55">
        <v>2</v>
      </c>
      <c r="C58" s="55" t="s">
        <v>71</v>
      </c>
      <c r="D58" s="55">
        <v>112</v>
      </c>
      <c r="E58" s="11">
        <v>266</v>
      </c>
      <c r="F58" s="8" t="s">
        <v>41</v>
      </c>
      <c r="G58" s="234">
        <v>1020</v>
      </c>
      <c r="H58" s="10"/>
      <c r="I58" s="234">
        <v>425</v>
      </c>
      <c r="J58" s="10"/>
      <c r="K58" s="236"/>
      <c r="L58" s="10"/>
      <c r="M58" s="7"/>
    </row>
    <row r="59" spans="1:15" s="31" customFormat="1" ht="16.5" customHeight="1">
      <c r="A59" s="55" t="s">
        <v>23</v>
      </c>
      <c r="B59" s="55">
        <v>2</v>
      </c>
      <c r="C59" s="55" t="s">
        <v>71</v>
      </c>
      <c r="D59" s="55">
        <v>112</v>
      </c>
      <c r="E59" s="11">
        <v>214</v>
      </c>
      <c r="F59" s="8" t="s">
        <v>35</v>
      </c>
      <c r="G59" s="116">
        <v>40000</v>
      </c>
      <c r="H59" s="10"/>
      <c r="I59" s="116">
        <v>100000</v>
      </c>
      <c r="J59" s="10"/>
      <c r="K59" s="116">
        <v>40000</v>
      </c>
      <c r="L59" s="10"/>
      <c r="M59" s="7"/>
    </row>
    <row r="60" spans="1:15" s="31" customFormat="1" ht="15.75">
      <c r="A60" s="55" t="s">
        <v>23</v>
      </c>
      <c r="B60" s="55">
        <v>2</v>
      </c>
      <c r="C60" s="55" t="s">
        <v>69</v>
      </c>
      <c r="D60" s="55">
        <v>119</v>
      </c>
      <c r="E60" s="11">
        <v>213</v>
      </c>
      <c r="F60" s="8" t="s">
        <v>10</v>
      </c>
      <c r="G60" s="116">
        <v>1376651.6</v>
      </c>
      <c r="H60" s="10"/>
      <c r="I60" s="116">
        <v>1376651.6</v>
      </c>
      <c r="J60" s="10"/>
      <c r="K60" s="116">
        <v>1376651.6</v>
      </c>
      <c r="L60" s="10"/>
      <c r="M60" s="7"/>
    </row>
    <row r="61" spans="1:15" s="31" customFormat="1" ht="15.75">
      <c r="A61" s="55" t="s">
        <v>173</v>
      </c>
      <c r="B61" s="55">
        <v>2</v>
      </c>
      <c r="C61" s="55" t="s">
        <v>71</v>
      </c>
      <c r="D61" s="55">
        <v>244</v>
      </c>
      <c r="E61" s="11">
        <v>221</v>
      </c>
      <c r="F61" s="8" t="s">
        <v>11</v>
      </c>
      <c r="G61" s="116">
        <v>32310.1</v>
      </c>
      <c r="H61" s="10"/>
      <c r="I61" s="116">
        <v>32310.09</v>
      </c>
      <c r="J61" s="10"/>
      <c r="K61" s="116">
        <v>31052.92</v>
      </c>
      <c r="L61" s="10"/>
      <c r="M61" s="7"/>
    </row>
    <row r="62" spans="1:15" s="31" customFormat="1" ht="15.75">
      <c r="A62" s="55" t="s">
        <v>23</v>
      </c>
      <c r="B62" s="55">
        <v>2</v>
      </c>
      <c r="C62" s="55" t="s">
        <v>71</v>
      </c>
      <c r="D62" s="55">
        <v>244</v>
      </c>
      <c r="E62" s="11">
        <v>223</v>
      </c>
      <c r="F62" s="8" t="s">
        <v>13</v>
      </c>
      <c r="G62" s="116">
        <v>242266.47</v>
      </c>
      <c r="H62" s="10"/>
      <c r="I62" s="116">
        <v>171537.93</v>
      </c>
      <c r="J62" s="10"/>
      <c r="K62" s="116">
        <v>172868.02</v>
      </c>
      <c r="L62" s="10"/>
      <c r="M62" s="7"/>
    </row>
    <row r="63" spans="1:15" s="31" customFormat="1" ht="15.75">
      <c r="A63" s="55" t="s">
        <v>23</v>
      </c>
      <c r="B63" s="55">
        <v>2</v>
      </c>
      <c r="C63" s="55" t="s">
        <v>71</v>
      </c>
      <c r="D63" s="55">
        <v>244</v>
      </c>
      <c r="E63" s="11">
        <v>223</v>
      </c>
      <c r="F63" s="8" t="s">
        <v>147</v>
      </c>
      <c r="G63" s="116">
        <v>4524.67</v>
      </c>
      <c r="H63" s="10"/>
      <c r="I63" s="116">
        <v>4499.1400000000003</v>
      </c>
      <c r="J63" s="10"/>
      <c r="K63" s="116">
        <v>4530.1000000000004</v>
      </c>
      <c r="L63" s="10"/>
      <c r="M63" s="7"/>
    </row>
    <row r="64" spans="1:15" s="31" customFormat="1" ht="16.5" customHeight="1">
      <c r="A64" s="55" t="s">
        <v>23</v>
      </c>
      <c r="B64" s="55">
        <v>2</v>
      </c>
      <c r="C64" s="55" t="s">
        <v>71</v>
      </c>
      <c r="D64" s="55">
        <v>244</v>
      </c>
      <c r="E64" s="11">
        <v>222</v>
      </c>
      <c r="F64" s="8" t="s">
        <v>12</v>
      </c>
      <c r="G64" s="116">
        <v>276566.34999999998</v>
      </c>
      <c r="H64" s="10"/>
      <c r="I64" s="116">
        <v>276566.34999999998</v>
      </c>
      <c r="J64" s="10"/>
      <c r="K64" s="116">
        <v>275685.24</v>
      </c>
      <c r="L64" s="10"/>
      <c r="M64" s="7"/>
    </row>
    <row r="65" spans="1:13" s="31" customFormat="1" ht="16.5" customHeight="1">
      <c r="A65" s="55" t="s">
        <v>23</v>
      </c>
      <c r="B65" s="55">
        <v>2</v>
      </c>
      <c r="C65" s="55" t="s">
        <v>71</v>
      </c>
      <c r="D65" s="55">
        <v>244</v>
      </c>
      <c r="E65" s="11">
        <v>224</v>
      </c>
      <c r="F65" s="8" t="s">
        <v>151</v>
      </c>
      <c r="G65" s="116">
        <v>1011869.58</v>
      </c>
      <c r="H65" s="10"/>
      <c r="I65" s="235">
        <f>1027600.51+0.02</f>
        <v>1027600.53</v>
      </c>
      <c r="J65" s="10"/>
      <c r="K65" s="116">
        <v>1065056.03</v>
      </c>
      <c r="L65" s="10"/>
      <c r="M65" s="7"/>
    </row>
    <row r="66" spans="1:13" s="31" customFormat="1" ht="15.75">
      <c r="A66" s="55" t="s">
        <v>23</v>
      </c>
      <c r="B66" s="55">
        <v>2</v>
      </c>
      <c r="C66" s="55" t="s">
        <v>71</v>
      </c>
      <c r="D66" s="55">
        <v>244</v>
      </c>
      <c r="E66" s="11">
        <v>225</v>
      </c>
      <c r="F66" s="8" t="s">
        <v>14</v>
      </c>
      <c r="G66" s="10"/>
      <c r="H66" s="10"/>
      <c r="I66" s="10"/>
      <c r="J66" s="10"/>
      <c r="K66" s="10"/>
      <c r="L66" s="10"/>
      <c r="M66" s="7"/>
    </row>
    <row r="67" spans="1:13" s="31" customFormat="1" ht="31.5">
      <c r="A67" s="55" t="s">
        <v>23</v>
      </c>
      <c r="B67" s="55">
        <v>2</v>
      </c>
      <c r="C67" s="55" t="s">
        <v>71</v>
      </c>
      <c r="D67" s="55">
        <v>244</v>
      </c>
      <c r="E67" s="11">
        <v>225</v>
      </c>
      <c r="F67" s="8" t="s">
        <v>148</v>
      </c>
      <c r="G67" s="116">
        <v>92466.04</v>
      </c>
      <c r="H67" s="10"/>
      <c r="I67" s="116">
        <v>88868.2</v>
      </c>
      <c r="J67" s="10"/>
      <c r="K67" s="116">
        <v>88868.21</v>
      </c>
      <c r="L67" s="10"/>
      <c r="M67" s="7"/>
    </row>
    <row r="68" spans="1:13" s="31" customFormat="1" ht="15.75">
      <c r="A68" s="55" t="s">
        <v>23</v>
      </c>
      <c r="B68" s="55">
        <v>2</v>
      </c>
      <c r="C68" s="55" t="s">
        <v>71</v>
      </c>
      <c r="D68" s="55">
        <v>244</v>
      </c>
      <c r="E68" s="11">
        <v>226</v>
      </c>
      <c r="F68" s="8" t="s">
        <v>150</v>
      </c>
      <c r="G68" s="116">
        <v>94002.92</v>
      </c>
      <c r="H68" s="10"/>
      <c r="I68" s="116">
        <v>90345.29</v>
      </c>
      <c r="J68" s="10"/>
      <c r="K68" s="116">
        <v>90345.3</v>
      </c>
      <c r="L68" s="10"/>
      <c r="M68" s="7"/>
    </row>
    <row r="69" spans="1:13" s="31" customFormat="1" ht="15.75">
      <c r="A69" s="55" t="s">
        <v>23</v>
      </c>
      <c r="B69" s="55">
        <v>2</v>
      </c>
      <c r="C69" s="55" t="s">
        <v>71</v>
      </c>
      <c r="D69" s="55">
        <v>244</v>
      </c>
      <c r="E69" s="11">
        <v>226</v>
      </c>
      <c r="F69" s="8" t="s">
        <v>152</v>
      </c>
      <c r="G69" s="116">
        <v>15351.8</v>
      </c>
      <c r="H69" s="10"/>
      <c r="I69" s="116">
        <v>15934.8</v>
      </c>
      <c r="J69" s="10"/>
      <c r="K69" s="116">
        <v>17209.61</v>
      </c>
      <c r="L69" s="10"/>
      <c r="M69" s="7"/>
    </row>
    <row r="70" spans="1:13" s="31" customFormat="1" ht="15.75">
      <c r="A70" s="55" t="s">
        <v>23</v>
      </c>
      <c r="B70" s="55">
        <v>2</v>
      </c>
      <c r="C70" s="55" t="s">
        <v>71</v>
      </c>
      <c r="D70" s="55">
        <v>244</v>
      </c>
      <c r="E70" s="11">
        <v>226</v>
      </c>
      <c r="F70" s="8" t="s">
        <v>153</v>
      </c>
      <c r="G70" s="116">
        <v>7366.7</v>
      </c>
      <c r="H70" s="10"/>
      <c r="I70" s="116">
        <v>7433.77</v>
      </c>
      <c r="J70" s="10"/>
      <c r="K70" s="116">
        <v>7805.08</v>
      </c>
      <c r="L70" s="10"/>
      <c r="M70" s="7"/>
    </row>
    <row r="71" spans="1:13" s="31" customFormat="1" ht="15.75">
      <c r="A71" s="55" t="s">
        <v>23</v>
      </c>
      <c r="B71" s="55">
        <v>2</v>
      </c>
      <c r="C71" s="55" t="s">
        <v>71</v>
      </c>
      <c r="D71" s="55">
        <v>244</v>
      </c>
      <c r="E71" s="11">
        <v>226</v>
      </c>
      <c r="F71" s="8" t="s">
        <v>154</v>
      </c>
      <c r="G71" s="116">
        <v>3076.8</v>
      </c>
      <c r="H71" s="10"/>
      <c r="I71" s="116">
        <v>2957.08</v>
      </c>
      <c r="J71" s="10"/>
      <c r="K71" s="116">
        <v>2957.08</v>
      </c>
      <c r="L71" s="10"/>
      <c r="M71" s="7"/>
    </row>
    <row r="72" spans="1:13" s="31" customFormat="1" ht="31.5">
      <c r="A72" s="55" t="s">
        <v>23</v>
      </c>
      <c r="B72" s="55">
        <v>2</v>
      </c>
      <c r="C72" s="55" t="s">
        <v>71</v>
      </c>
      <c r="D72" s="55">
        <v>244</v>
      </c>
      <c r="E72" s="11">
        <v>226</v>
      </c>
      <c r="F72" s="8" t="s">
        <v>155</v>
      </c>
      <c r="G72" s="116">
        <v>22027.61</v>
      </c>
      <c r="H72" s="10"/>
      <c r="I72" s="116">
        <v>21170.53</v>
      </c>
      <c r="J72" s="10"/>
      <c r="K72" s="116">
        <v>21170.52</v>
      </c>
      <c r="L72" s="10"/>
      <c r="M72" s="7"/>
    </row>
    <row r="73" spans="1:13" s="31" customFormat="1" ht="31.5">
      <c r="A73" s="55" t="s">
        <v>23</v>
      </c>
      <c r="B73" s="55">
        <v>2</v>
      </c>
      <c r="C73" s="55" t="s">
        <v>71</v>
      </c>
      <c r="D73" s="55">
        <v>244</v>
      </c>
      <c r="E73" s="11">
        <v>226</v>
      </c>
      <c r="F73" s="8" t="s">
        <v>156</v>
      </c>
      <c r="G73" s="116">
        <v>1280338.8400000001</v>
      </c>
      <c r="H73" s="10"/>
      <c r="I73" s="116">
        <v>1280338.8400000001</v>
      </c>
      <c r="J73" s="10"/>
      <c r="K73" s="116">
        <v>1280338.8400000001</v>
      </c>
      <c r="L73" s="10"/>
      <c r="M73" s="7"/>
    </row>
    <row r="74" spans="1:13" s="31" customFormat="1" ht="15.75">
      <c r="A74" s="55" t="s">
        <v>23</v>
      </c>
      <c r="B74" s="55">
        <v>2</v>
      </c>
      <c r="C74" s="55" t="s">
        <v>71</v>
      </c>
      <c r="D74" s="55">
        <v>244</v>
      </c>
      <c r="E74" s="11">
        <v>226</v>
      </c>
      <c r="F74" s="8" t="s">
        <v>157</v>
      </c>
      <c r="G74" s="116">
        <v>28240.51</v>
      </c>
      <c r="H74" s="10"/>
      <c r="I74" s="116">
        <v>27141.68</v>
      </c>
      <c r="J74" s="10"/>
      <c r="K74" s="116">
        <v>27141.68</v>
      </c>
      <c r="L74" s="10"/>
      <c r="M74" s="7"/>
    </row>
    <row r="75" spans="1:13" s="31" customFormat="1" ht="15.75">
      <c r="A75" s="55" t="s">
        <v>23</v>
      </c>
      <c r="B75" s="55">
        <v>2</v>
      </c>
      <c r="C75" s="55" t="s">
        <v>71</v>
      </c>
      <c r="D75" s="55">
        <v>244</v>
      </c>
      <c r="E75" s="11">
        <v>226</v>
      </c>
      <c r="F75" s="8" t="s">
        <v>159</v>
      </c>
      <c r="G75" s="116">
        <v>76788.2</v>
      </c>
      <c r="H75" s="10"/>
      <c r="I75" s="116">
        <v>76788.2</v>
      </c>
      <c r="J75" s="10"/>
      <c r="K75" s="116">
        <v>76788.2</v>
      </c>
      <c r="L75" s="10"/>
      <c r="M75" s="7"/>
    </row>
    <row r="76" spans="1:13" s="31" customFormat="1" ht="15.75">
      <c r="A76" s="55" t="s">
        <v>23</v>
      </c>
      <c r="B76" s="55">
        <v>2</v>
      </c>
      <c r="C76" s="55" t="s">
        <v>71</v>
      </c>
      <c r="D76" s="55">
        <v>244</v>
      </c>
      <c r="E76" s="11">
        <v>226</v>
      </c>
      <c r="F76" s="8" t="s">
        <v>158</v>
      </c>
      <c r="G76" s="116">
        <v>1402.61</v>
      </c>
      <c r="H76" s="10"/>
      <c r="I76" s="116">
        <v>1348.04</v>
      </c>
      <c r="J76" s="10"/>
      <c r="K76" s="116">
        <v>1348.04</v>
      </c>
      <c r="L76" s="10"/>
      <c r="M76" s="7"/>
    </row>
    <row r="77" spans="1:13" s="31" customFormat="1" ht="31.5">
      <c r="A77" s="55" t="s">
        <v>23</v>
      </c>
      <c r="B77" s="55">
        <v>2</v>
      </c>
      <c r="C77" s="55" t="s">
        <v>71</v>
      </c>
      <c r="D77" s="55">
        <v>244</v>
      </c>
      <c r="E77" s="11">
        <v>226</v>
      </c>
      <c r="F77" s="8" t="s">
        <v>160</v>
      </c>
      <c r="G77" s="116">
        <v>622720</v>
      </c>
      <c r="H77" s="10"/>
      <c r="I77" s="116">
        <v>622720</v>
      </c>
      <c r="J77" s="10"/>
      <c r="K77" s="116">
        <v>622720</v>
      </c>
      <c r="L77" s="10"/>
      <c r="M77" s="7"/>
    </row>
    <row r="78" spans="1:13" s="31" customFormat="1" ht="35.25" customHeight="1">
      <c r="A78" s="55" t="s">
        <v>23</v>
      </c>
      <c r="B78" s="55">
        <v>2</v>
      </c>
      <c r="C78" s="55" t="s">
        <v>71</v>
      </c>
      <c r="D78" s="55">
        <v>244</v>
      </c>
      <c r="E78" s="11">
        <v>226</v>
      </c>
      <c r="F78" s="8" t="s">
        <v>161</v>
      </c>
      <c r="G78" s="116">
        <v>296304.75</v>
      </c>
      <c r="H78" s="10"/>
      <c r="I78" s="116">
        <v>274665.34999999998</v>
      </c>
      <c r="J78" s="10"/>
      <c r="K78" s="116">
        <v>296931.55</v>
      </c>
      <c r="L78" s="10"/>
      <c r="M78" s="7"/>
    </row>
    <row r="79" spans="1:13" s="31" customFormat="1" ht="15.75">
      <c r="A79" s="55" t="s">
        <v>23</v>
      </c>
      <c r="B79" s="55">
        <v>2</v>
      </c>
      <c r="C79" s="55" t="s">
        <v>71</v>
      </c>
      <c r="D79" s="55">
        <v>244</v>
      </c>
      <c r="E79" s="11">
        <v>226</v>
      </c>
      <c r="F79" s="8" t="s">
        <v>162</v>
      </c>
      <c r="G79" s="116">
        <v>16821.16</v>
      </c>
      <c r="H79" s="10"/>
      <c r="I79" s="116">
        <v>16821.16</v>
      </c>
      <c r="J79" s="10"/>
      <c r="K79" s="116">
        <v>16821.16</v>
      </c>
      <c r="L79" s="10"/>
      <c r="M79" s="7"/>
    </row>
    <row r="80" spans="1:13" s="31" customFormat="1" ht="31.5">
      <c r="A80" s="55" t="s">
        <v>23</v>
      </c>
      <c r="B80" s="55">
        <v>2</v>
      </c>
      <c r="C80" s="55" t="s">
        <v>71</v>
      </c>
      <c r="D80" s="55">
        <v>244</v>
      </c>
      <c r="E80" s="11">
        <v>226</v>
      </c>
      <c r="F80" s="8" t="s">
        <v>169</v>
      </c>
      <c r="G80" s="116">
        <v>138200</v>
      </c>
      <c r="H80" s="10"/>
      <c r="I80" s="116">
        <v>138200</v>
      </c>
      <c r="J80" s="10"/>
      <c r="K80" s="116">
        <v>138200</v>
      </c>
      <c r="L80" s="10"/>
      <c r="M80" s="7"/>
    </row>
    <row r="81" spans="1:13" s="31" customFormat="1" ht="15.75">
      <c r="A81" s="55" t="s">
        <v>23</v>
      </c>
      <c r="B81" s="55">
        <v>2</v>
      </c>
      <c r="C81" s="55" t="s">
        <v>71</v>
      </c>
      <c r="D81" s="55">
        <v>853</v>
      </c>
      <c r="E81" s="11">
        <v>297</v>
      </c>
      <c r="F81" s="8" t="s">
        <v>38</v>
      </c>
      <c r="G81" s="91">
        <v>6892.15</v>
      </c>
      <c r="H81" s="13"/>
      <c r="I81" s="91">
        <v>6892.15</v>
      </c>
      <c r="J81" s="13"/>
      <c r="K81" s="91">
        <v>6892.15</v>
      </c>
      <c r="L81" s="13"/>
      <c r="M81" s="7"/>
    </row>
    <row r="82" spans="1:13" s="31" customFormat="1" ht="31.5">
      <c r="A82" s="55" t="s">
        <v>23</v>
      </c>
      <c r="B82" s="55">
        <v>2</v>
      </c>
      <c r="C82" s="55" t="s">
        <v>71</v>
      </c>
      <c r="D82" s="55">
        <v>244</v>
      </c>
      <c r="E82" s="11">
        <v>346</v>
      </c>
      <c r="F82" s="8" t="s">
        <v>168</v>
      </c>
      <c r="G82" s="91">
        <v>76176.639999999999</v>
      </c>
      <c r="H82" s="13"/>
      <c r="I82" s="91">
        <v>76176.639999999999</v>
      </c>
      <c r="J82" s="13"/>
      <c r="K82" s="91">
        <v>76176.639999999999</v>
      </c>
      <c r="L82" s="13"/>
      <c r="M82" s="7"/>
    </row>
    <row r="83" spans="1:13" s="31" customFormat="1" ht="31.5">
      <c r="A83" s="55" t="s">
        <v>23</v>
      </c>
      <c r="B83" s="55">
        <v>2</v>
      </c>
      <c r="C83" s="55" t="s">
        <v>71</v>
      </c>
      <c r="D83" s="55">
        <v>244</v>
      </c>
      <c r="E83" s="11">
        <v>345</v>
      </c>
      <c r="F83" s="8" t="s">
        <v>166</v>
      </c>
      <c r="G83" s="91">
        <v>1765.31</v>
      </c>
      <c r="H83" s="13"/>
      <c r="I83" s="91">
        <v>1765.31</v>
      </c>
      <c r="J83" s="13"/>
      <c r="K83" s="91">
        <v>1771.37</v>
      </c>
      <c r="L83" s="13"/>
      <c r="M83" s="7"/>
    </row>
    <row r="84" spans="1:13" s="31" customFormat="1" ht="15.75">
      <c r="A84" s="55" t="s">
        <v>23</v>
      </c>
      <c r="B84" s="55">
        <v>2</v>
      </c>
      <c r="C84" s="55" t="s">
        <v>71</v>
      </c>
      <c r="D84" s="55">
        <v>244</v>
      </c>
      <c r="E84" s="11">
        <v>346</v>
      </c>
      <c r="F84" s="8" t="s">
        <v>165</v>
      </c>
      <c r="G84" s="91">
        <v>20595.240000000002</v>
      </c>
      <c r="H84" s="10"/>
      <c r="I84" s="116">
        <v>20595.240000000002</v>
      </c>
      <c r="J84" s="10"/>
      <c r="K84" s="91">
        <v>20595.240000000002</v>
      </c>
      <c r="L84" s="10"/>
      <c r="M84" s="7"/>
    </row>
    <row r="85" spans="1:13" s="31" customFormat="1" ht="31.5">
      <c r="A85" s="55" t="s">
        <v>23</v>
      </c>
      <c r="B85" s="55">
        <v>2</v>
      </c>
      <c r="C85" s="55" t="s">
        <v>71</v>
      </c>
      <c r="D85" s="55">
        <v>244</v>
      </c>
      <c r="E85" s="11">
        <v>346</v>
      </c>
      <c r="F85" s="8" t="s">
        <v>167</v>
      </c>
      <c r="G85" s="116">
        <v>80867.289999999994</v>
      </c>
      <c r="H85" s="10"/>
      <c r="I85" s="116">
        <v>80038.95</v>
      </c>
      <c r="J85" s="10"/>
      <c r="K85" s="116">
        <v>80867.289999999994</v>
      </c>
      <c r="L85" s="10"/>
      <c r="M85" s="7"/>
    </row>
    <row r="86" spans="1:13" s="31" customFormat="1" ht="15.75">
      <c r="A86" s="55" t="s">
        <v>23</v>
      </c>
      <c r="B86" s="55">
        <v>2</v>
      </c>
      <c r="C86" s="55" t="s">
        <v>71</v>
      </c>
      <c r="D86" s="55">
        <v>244</v>
      </c>
      <c r="E86" s="11">
        <v>349</v>
      </c>
      <c r="F86" s="8" t="s">
        <v>163</v>
      </c>
      <c r="G86" s="116">
        <v>117600</v>
      </c>
      <c r="H86" s="10"/>
      <c r="I86" s="116">
        <v>117600</v>
      </c>
      <c r="J86" s="10"/>
      <c r="K86" s="116">
        <v>117600</v>
      </c>
      <c r="L86" s="10"/>
      <c r="M86" s="7"/>
    </row>
    <row r="87" spans="1:13" s="31" customFormat="1" ht="31.5">
      <c r="A87" s="55" t="s">
        <v>23</v>
      </c>
      <c r="B87" s="55">
        <v>2</v>
      </c>
      <c r="C87" s="55" t="s">
        <v>71</v>
      </c>
      <c r="D87" s="55">
        <v>244</v>
      </c>
      <c r="E87" s="11">
        <v>349</v>
      </c>
      <c r="F87" s="8" t="s">
        <v>164</v>
      </c>
      <c r="G87" s="116">
        <v>893974.32</v>
      </c>
      <c r="H87" s="10"/>
      <c r="I87" s="116">
        <v>893974.32</v>
      </c>
      <c r="J87" s="10"/>
      <c r="K87" s="116">
        <v>893974.32</v>
      </c>
      <c r="L87" s="10"/>
      <c r="M87" s="7"/>
    </row>
    <row r="88" spans="1:13" s="31" customFormat="1" ht="15.75">
      <c r="A88" s="1482" t="s">
        <v>17</v>
      </c>
      <c r="B88" s="1482"/>
      <c r="C88" s="1482"/>
      <c r="D88" s="1482"/>
      <c r="E88" s="1482"/>
      <c r="F88" s="1482"/>
      <c r="G88" s="10">
        <f>SUM(G54:G87)</f>
        <v>11490000</v>
      </c>
      <c r="H88" s="10"/>
      <c r="I88" s="10">
        <f>SUM(I54:I87)</f>
        <v>11490000</v>
      </c>
      <c r="J88" s="10"/>
      <c r="K88" s="10">
        <f>SUM(K54:K87)</f>
        <v>11490000</v>
      </c>
      <c r="L88" s="10"/>
      <c r="M88" s="7"/>
    </row>
    <row r="89" spans="1:13" s="31" customFormat="1" ht="15.75">
      <c r="A89" s="1482" t="s">
        <v>24</v>
      </c>
      <c r="B89" s="1482"/>
      <c r="C89" s="1482"/>
      <c r="D89" s="1482"/>
      <c r="E89" s="1482"/>
      <c r="F89" s="1482"/>
      <c r="G89" s="10">
        <f>G51+G88</f>
        <v>58263762.780000001</v>
      </c>
      <c r="H89" s="10"/>
      <c r="I89" s="10">
        <f>I51+I88</f>
        <v>58829468.840000004</v>
      </c>
      <c r="J89" s="10"/>
      <c r="K89" s="10">
        <f>K51+K88</f>
        <v>58865023.479999997</v>
      </c>
      <c r="L89" s="10"/>
      <c r="M89" s="7"/>
    </row>
    <row r="90" spans="1:13" s="31" customFormat="1">
      <c r="A90" s="2"/>
      <c r="B90" s="2"/>
      <c r="C90" s="2"/>
      <c r="D90" s="2"/>
      <c r="E90" s="2"/>
      <c r="F90" s="2"/>
      <c r="G90" s="86"/>
      <c r="H90" s="86"/>
      <c r="I90" s="86"/>
      <c r="J90" s="86"/>
      <c r="K90" s="86"/>
      <c r="L90" s="86"/>
    </row>
    <row r="91" spans="1:13" s="32" customFormat="1" ht="33.75" customHeight="1">
      <c r="A91" s="1480" t="s">
        <v>25</v>
      </c>
      <c r="B91" s="1480"/>
      <c r="C91" s="229"/>
      <c r="D91" s="229"/>
      <c r="E91" s="1481" t="s">
        <v>32</v>
      </c>
      <c r="F91" s="1481"/>
      <c r="G91" s="104"/>
      <c r="H91" s="104"/>
      <c r="I91" s="104"/>
      <c r="J91" s="104"/>
      <c r="K91" s="104"/>
      <c r="L91" s="104"/>
    </row>
    <row r="92" spans="1:13" s="15" customFormat="1" ht="27" customHeight="1">
      <c r="A92" s="15" t="s">
        <v>27</v>
      </c>
      <c r="G92" s="106">
        <f>G88+G46+H45</f>
        <v>32700600.199999999</v>
      </c>
      <c r="H92" s="212"/>
      <c r="I92" s="106">
        <f>I88+I46+J45</f>
        <v>32448803.539999999</v>
      </c>
      <c r="J92" s="106"/>
      <c r="K92" s="106">
        <f>K88+K46+L45</f>
        <v>32386249.309999999</v>
      </c>
      <c r="L92" s="106"/>
    </row>
    <row r="93" spans="1:13" ht="29.25" customHeight="1">
      <c r="E93" s="2" t="s">
        <v>25</v>
      </c>
      <c r="G93" s="10">
        <v>11490000</v>
      </c>
      <c r="H93" s="10"/>
      <c r="I93" s="10">
        <v>11490000</v>
      </c>
      <c r="J93" s="10"/>
      <c r="K93" s="10">
        <v>11490000</v>
      </c>
      <c r="L93" s="10"/>
    </row>
    <row r="94" spans="1:13">
      <c r="G94" s="4">
        <f t="shared" ref="G94:L94" si="1">G93-G88</f>
        <v>0</v>
      </c>
      <c r="H94" s="4">
        <f t="shared" si="1"/>
        <v>0</v>
      </c>
      <c r="I94" s="4">
        <f t="shared" si="1"/>
        <v>0</v>
      </c>
      <c r="J94" s="4">
        <f t="shared" si="1"/>
        <v>0</v>
      </c>
      <c r="K94" s="4">
        <f t="shared" si="1"/>
        <v>0</v>
      </c>
      <c r="L94" s="4">
        <f t="shared" si="1"/>
        <v>0</v>
      </c>
    </row>
    <row r="95" spans="1:13">
      <c r="G95" s="4"/>
      <c r="H95" s="4"/>
      <c r="I95" s="4"/>
      <c r="J95" s="4"/>
      <c r="K95" s="4"/>
      <c r="L95" s="4"/>
    </row>
    <row r="321" ht="12.75" hidden="1" customHeight="1"/>
    <row r="337" ht="12.75" hidden="1" customHeight="1"/>
  </sheetData>
  <autoFilter ref="A9:F89"/>
  <mergeCells count="12">
    <mergeCell ref="A51:F51"/>
    <mergeCell ref="A53:F53"/>
    <mergeCell ref="A88:F88"/>
    <mergeCell ref="A89:F89"/>
    <mergeCell ref="A91:B91"/>
    <mergeCell ref="E91:F91"/>
    <mergeCell ref="A50:F50"/>
    <mergeCell ref="A5:I5"/>
    <mergeCell ref="A6:I6"/>
    <mergeCell ref="A10:I10"/>
    <mergeCell ref="A45:F45"/>
    <mergeCell ref="A47:F47"/>
  </mergeCells>
  <printOptions horizontalCentered="1"/>
  <pageMargins left="0" right="0" top="0" bottom="0" header="0.35433070866141736" footer="0.35433070866141736"/>
  <pageSetup paperSize="9" scale="42" fitToHeight="2" orientation="landscape" horizontalDpi="4294967295" verticalDpi="4294967295" r:id="rId1"/>
  <headerFooter alignWithMargins="0"/>
  <rowBreaks count="3" manualBreakCount="3">
    <brk id="45" max="11" man="1"/>
    <brk id="52" max="11" man="1"/>
    <brk id="93" max="8"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3"/>
  <dimension ref="A1:BS81"/>
  <sheetViews>
    <sheetView zoomScale="55" zoomScaleNormal="55" workbookViewId="0">
      <selection activeCell="M29" sqref="M29"/>
    </sheetView>
  </sheetViews>
  <sheetFormatPr defaultRowHeight="15" outlineLevelCol="2"/>
  <cols>
    <col min="1" max="1" width="6.140625" style="2" customWidth="1"/>
    <col min="2" max="2" width="9" style="2" customWidth="1"/>
    <col min="3" max="3" width="5.7109375" style="2" customWidth="1"/>
    <col min="4" max="4" width="8.7109375" style="2" customWidth="1"/>
    <col min="5" max="5" width="7.28515625" style="2" customWidth="1"/>
    <col min="6" max="6" width="17.7109375" style="2" customWidth="1"/>
    <col min="7" max="7" width="6.5703125" style="2" customWidth="1"/>
    <col min="8" max="8" width="8.28515625" style="2" customWidth="1"/>
    <col min="9" max="9" width="45.140625" style="2" customWidth="1"/>
    <col min="10" max="10" width="16.5703125" style="88" customWidth="1" collapsed="1"/>
    <col min="11" max="12" width="16.5703125" style="88" hidden="1" customWidth="1" outlineLevel="1"/>
    <col min="13" max="13" width="16.28515625" style="326" customWidth="1" outlineLevel="1"/>
    <col min="14" max="17" width="17.5703125" style="88" customWidth="1" outlineLevel="2"/>
    <col min="18" max="18" width="2.85546875" style="324" customWidth="1"/>
    <col min="19" max="19" width="16.5703125" style="2" customWidth="1" outlineLevel="1"/>
    <col min="20" max="20" width="11.85546875" style="2" customWidth="1" outlineLevel="1"/>
    <col min="21" max="21" width="11.5703125" style="2" customWidth="1" outlineLevel="1"/>
    <col min="22" max="22" width="2.85546875" style="2" customWidth="1"/>
    <col min="23" max="34" width="15.28515625" style="88" hidden="1" customWidth="1" outlineLevel="2"/>
    <col min="35" max="35" width="2.85546875" style="274" customWidth="1" collapsed="1"/>
    <col min="36" max="41" width="15.28515625" style="88" hidden="1" customWidth="1" outlineLevel="2"/>
    <col min="42" max="42" width="15.28515625" style="88" customWidth="1" collapsed="1"/>
    <col min="43" max="44" width="15.28515625" style="88" customWidth="1"/>
    <col min="45" max="45" width="2.85546875" style="274" customWidth="1"/>
    <col min="46" max="69" width="15.28515625" style="88" customWidth="1"/>
    <col min="70" max="70" width="18.28515625" style="2" customWidth="1"/>
    <col min="71" max="84" width="15.85546875" style="2" customWidth="1"/>
    <col min="85" max="244" width="9.140625" style="2"/>
    <col min="245" max="245" width="16.28515625" style="2" customWidth="1"/>
    <col min="246" max="246" width="9.5703125" style="2" customWidth="1"/>
    <col min="247" max="247" width="25.85546875" style="2" customWidth="1"/>
    <col min="248" max="248" width="10.7109375" style="2" customWidth="1"/>
    <col min="249" max="249" width="40.42578125" style="2" customWidth="1"/>
    <col min="250" max="250" width="30.5703125" style="2" customWidth="1"/>
    <col min="251" max="251" width="16.42578125" style="2" customWidth="1"/>
    <col min="252" max="252" width="13" style="2" bestFit="1" customWidth="1"/>
    <col min="253" max="500" width="9.140625" style="2"/>
    <col min="501" max="501" width="16.28515625" style="2" customWidth="1"/>
    <col min="502" max="502" width="9.5703125" style="2" customWidth="1"/>
    <col min="503" max="503" width="25.85546875" style="2" customWidth="1"/>
    <col min="504" max="504" width="10.7109375" style="2" customWidth="1"/>
    <col min="505" max="505" width="40.42578125" style="2" customWidth="1"/>
    <col min="506" max="506" width="30.5703125" style="2" customWidth="1"/>
    <col min="507" max="507" width="16.42578125" style="2" customWidth="1"/>
    <col min="508" max="508" width="13" style="2" bestFit="1" customWidth="1"/>
    <col min="509" max="756" width="9.140625" style="2"/>
    <col min="757" max="757" width="16.28515625" style="2" customWidth="1"/>
    <col min="758" max="758" width="9.5703125" style="2" customWidth="1"/>
    <col min="759" max="759" width="25.85546875" style="2" customWidth="1"/>
    <col min="760" max="760" width="10.7109375" style="2" customWidth="1"/>
    <col min="761" max="761" width="40.42578125" style="2" customWidth="1"/>
    <col min="762" max="762" width="30.5703125" style="2" customWidth="1"/>
    <col min="763" max="763" width="16.42578125" style="2" customWidth="1"/>
    <col min="764" max="764" width="13" style="2" bestFit="1" customWidth="1"/>
    <col min="765" max="1012" width="9.140625" style="2"/>
    <col min="1013" max="1013" width="16.28515625" style="2" customWidth="1"/>
    <col min="1014" max="1014" width="9.5703125" style="2" customWidth="1"/>
    <col min="1015" max="1015" width="25.85546875" style="2" customWidth="1"/>
    <col min="1016" max="1016" width="10.7109375" style="2" customWidth="1"/>
    <col min="1017" max="1017" width="40.42578125" style="2" customWidth="1"/>
    <col min="1018" max="1018" width="30.5703125" style="2" customWidth="1"/>
    <col min="1019" max="1019" width="16.42578125" style="2" customWidth="1"/>
    <col min="1020" max="1020" width="13" style="2" bestFit="1" customWidth="1"/>
    <col min="1021" max="1268" width="9.140625" style="2"/>
    <col min="1269" max="1269" width="16.28515625" style="2" customWidth="1"/>
    <col min="1270" max="1270" width="9.5703125" style="2" customWidth="1"/>
    <col min="1271" max="1271" width="25.85546875" style="2" customWidth="1"/>
    <col min="1272" max="1272" width="10.7109375" style="2" customWidth="1"/>
    <col min="1273" max="1273" width="40.42578125" style="2" customWidth="1"/>
    <col min="1274" max="1274" width="30.5703125" style="2" customWidth="1"/>
    <col min="1275" max="1275" width="16.42578125" style="2" customWidth="1"/>
    <col min="1276" max="1276" width="13" style="2" bestFit="1" customWidth="1"/>
    <col min="1277" max="1524" width="9.140625" style="2"/>
    <col min="1525" max="1525" width="16.28515625" style="2" customWidth="1"/>
    <col min="1526" max="1526" width="9.5703125" style="2" customWidth="1"/>
    <col min="1527" max="1527" width="25.85546875" style="2" customWidth="1"/>
    <col min="1528" max="1528" width="10.7109375" style="2" customWidth="1"/>
    <col min="1529" max="1529" width="40.42578125" style="2" customWidth="1"/>
    <col min="1530" max="1530" width="30.5703125" style="2" customWidth="1"/>
    <col min="1531" max="1531" width="16.42578125" style="2" customWidth="1"/>
    <col min="1532" max="1532" width="13" style="2" bestFit="1" customWidth="1"/>
    <col min="1533" max="1780" width="9.140625" style="2"/>
    <col min="1781" max="1781" width="16.28515625" style="2" customWidth="1"/>
    <col min="1782" max="1782" width="9.5703125" style="2" customWidth="1"/>
    <col min="1783" max="1783" width="25.85546875" style="2" customWidth="1"/>
    <col min="1784" max="1784" width="10.7109375" style="2" customWidth="1"/>
    <col min="1785" max="1785" width="40.42578125" style="2" customWidth="1"/>
    <col min="1786" max="1786" width="30.5703125" style="2" customWidth="1"/>
    <col min="1787" max="1787" width="16.42578125" style="2" customWidth="1"/>
    <col min="1788" max="1788" width="13" style="2" bestFit="1" customWidth="1"/>
    <col min="1789" max="2036" width="9.140625" style="2"/>
    <col min="2037" max="2037" width="16.28515625" style="2" customWidth="1"/>
    <col min="2038" max="2038" width="9.5703125" style="2" customWidth="1"/>
    <col min="2039" max="2039" width="25.85546875" style="2" customWidth="1"/>
    <col min="2040" max="2040" width="10.7109375" style="2" customWidth="1"/>
    <col min="2041" max="2041" width="40.42578125" style="2" customWidth="1"/>
    <col min="2042" max="2042" width="30.5703125" style="2" customWidth="1"/>
    <col min="2043" max="2043" width="16.42578125" style="2" customWidth="1"/>
    <col min="2044" max="2044" width="13" style="2" bestFit="1" customWidth="1"/>
    <col min="2045" max="2292" width="9.140625" style="2"/>
    <col min="2293" max="2293" width="16.28515625" style="2" customWidth="1"/>
    <col min="2294" max="2294" width="9.5703125" style="2" customWidth="1"/>
    <col min="2295" max="2295" width="25.85546875" style="2" customWidth="1"/>
    <col min="2296" max="2296" width="10.7109375" style="2" customWidth="1"/>
    <col min="2297" max="2297" width="40.42578125" style="2" customWidth="1"/>
    <col min="2298" max="2298" width="30.5703125" style="2" customWidth="1"/>
    <col min="2299" max="2299" width="16.42578125" style="2" customWidth="1"/>
    <col min="2300" max="2300" width="13" style="2" bestFit="1" customWidth="1"/>
    <col min="2301" max="2548" width="9.140625" style="2"/>
    <col min="2549" max="2549" width="16.28515625" style="2" customWidth="1"/>
    <col min="2550" max="2550" width="9.5703125" style="2" customWidth="1"/>
    <col min="2551" max="2551" width="25.85546875" style="2" customWidth="1"/>
    <col min="2552" max="2552" width="10.7109375" style="2" customWidth="1"/>
    <col min="2553" max="2553" width="40.42578125" style="2" customWidth="1"/>
    <col min="2554" max="2554" width="30.5703125" style="2" customWidth="1"/>
    <col min="2555" max="2555" width="16.42578125" style="2" customWidth="1"/>
    <col min="2556" max="2556" width="13" style="2" bestFit="1" customWidth="1"/>
    <col min="2557" max="2804" width="9.140625" style="2"/>
    <col min="2805" max="2805" width="16.28515625" style="2" customWidth="1"/>
    <col min="2806" max="2806" width="9.5703125" style="2" customWidth="1"/>
    <col min="2807" max="2807" width="25.85546875" style="2" customWidth="1"/>
    <col min="2808" max="2808" width="10.7109375" style="2" customWidth="1"/>
    <col min="2809" max="2809" width="40.42578125" style="2" customWidth="1"/>
    <col min="2810" max="2810" width="30.5703125" style="2" customWidth="1"/>
    <col min="2811" max="2811" width="16.42578125" style="2" customWidth="1"/>
    <col min="2812" max="2812" width="13" style="2" bestFit="1" customWidth="1"/>
    <col min="2813" max="3060" width="9.140625" style="2"/>
    <col min="3061" max="3061" width="16.28515625" style="2" customWidth="1"/>
    <col min="3062" max="3062" width="9.5703125" style="2" customWidth="1"/>
    <col min="3063" max="3063" width="25.85546875" style="2" customWidth="1"/>
    <col min="3064" max="3064" width="10.7109375" style="2" customWidth="1"/>
    <col min="3065" max="3065" width="40.42578125" style="2" customWidth="1"/>
    <col min="3066" max="3066" width="30.5703125" style="2" customWidth="1"/>
    <col min="3067" max="3067" width="16.42578125" style="2" customWidth="1"/>
    <col min="3068" max="3068" width="13" style="2" bestFit="1" customWidth="1"/>
    <col min="3069" max="3316" width="9.140625" style="2"/>
    <col min="3317" max="3317" width="16.28515625" style="2" customWidth="1"/>
    <col min="3318" max="3318" width="9.5703125" style="2" customWidth="1"/>
    <col min="3319" max="3319" width="25.85546875" style="2" customWidth="1"/>
    <col min="3320" max="3320" width="10.7109375" style="2" customWidth="1"/>
    <col min="3321" max="3321" width="40.42578125" style="2" customWidth="1"/>
    <col min="3322" max="3322" width="30.5703125" style="2" customWidth="1"/>
    <col min="3323" max="3323" width="16.42578125" style="2" customWidth="1"/>
    <col min="3324" max="3324" width="13" style="2" bestFit="1" customWidth="1"/>
    <col min="3325" max="3572" width="9.140625" style="2"/>
    <col min="3573" max="3573" width="16.28515625" style="2" customWidth="1"/>
    <col min="3574" max="3574" width="9.5703125" style="2" customWidth="1"/>
    <col min="3575" max="3575" width="25.85546875" style="2" customWidth="1"/>
    <col min="3576" max="3576" width="10.7109375" style="2" customWidth="1"/>
    <col min="3577" max="3577" width="40.42578125" style="2" customWidth="1"/>
    <col min="3578" max="3578" width="30.5703125" style="2" customWidth="1"/>
    <col min="3579" max="3579" width="16.42578125" style="2" customWidth="1"/>
    <col min="3580" max="3580" width="13" style="2" bestFit="1" customWidth="1"/>
    <col min="3581" max="3828" width="9.140625" style="2"/>
    <col min="3829" max="3829" width="16.28515625" style="2" customWidth="1"/>
    <col min="3830" max="3830" width="9.5703125" style="2" customWidth="1"/>
    <col min="3831" max="3831" width="25.85546875" style="2" customWidth="1"/>
    <col min="3832" max="3832" width="10.7109375" style="2" customWidth="1"/>
    <col min="3833" max="3833" width="40.42578125" style="2" customWidth="1"/>
    <col min="3834" max="3834" width="30.5703125" style="2" customWidth="1"/>
    <col min="3835" max="3835" width="16.42578125" style="2" customWidth="1"/>
    <col min="3836" max="3836" width="13" style="2" bestFit="1" customWidth="1"/>
    <col min="3837" max="4084" width="9.140625" style="2"/>
    <col min="4085" max="4085" width="16.28515625" style="2" customWidth="1"/>
    <col min="4086" max="4086" width="9.5703125" style="2" customWidth="1"/>
    <col min="4087" max="4087" width="25.85546875" style="2" customWidth="1"/>
    <col min="4088" max="4088" width="10.7109375" style="2" customWidth="1"/>
    <col min="4089" max="4089" width="40.42578125" style="2" customWidth="1"/>
    <col min="4090" max="4090" width="30.5703125" style="2" customWidth="1"/>
    <col min="4091" max="4091" width="16.42578125" style="2" customWidth="1"/>
    <col min="4092" max="4092" width="13" style="2" bestFit="1" customWidth="1"/>
    <col min="4093" max="4340" width="9.140625" style="2"/>
    <col min="4341" max="4341" width="16.28515625" style="2" customWidth="1"/>
    <col min="4342" max="4342" width="9.5703125" style="2" customWidth="1"/>
    <col min="4343" max="4343" width="25.85546875" style="2" customWidth="1"/>
    <col min="4344" max="4344" width="10.7109375" style="2" customWidth="1"/>
    <col min="4345" max="4345" width="40.42578125" style="2" customWidth="1"/>
    <col min="4346" max="4346" width="30.5703125" style="2" customWidth="1"/>
    <col min="4347" max="4347" width="16.42578125" style="2" customWidth="1"/>
    <col min="4348" max="4348" width="13" style="2" bestFit="1" customWidth="1"/>
    <col min="4349" max="4596" width="9.140625" style="2"/>
    <col min="4597" max="4597" width="16.28515625" style="2" customWidth="1"/>
    <col min="4598" max="4598" width="9.5703125" style="2" customWidth="1"/>
    <col min="4599" max="4599" width="25.85546875" style="2" customWidth="1"/>
    <col min="4600" max="4600" width="10.7109375" style="2" customWidth="1"/>
    <col min="4601" max="4601" width="40.42578125" style="2" customWidth="1"/>
    <col min="4602" max="4602" width="30.5703125" style="2" customWidth="1"/>
    <col min="4603" max="4603" width="16.42578125" style="2" customWidth="1"/>
    <col min="4604" max="4604" width="13" style="2" bestFit="1" customWidth="1"/>
    <col min="4605" max="4852" width="9.140625" style="2"/>
    <col min="4853" max="4853" width="16.28515625" style="2" customWidth="1"/>
    <col min="4854" max="4854" width="9.5703125" style="2" customWidth="1"/>
    <col min="4855" max="4855" width="25.85546875" style="2" customWidth="1"/>
    <col min="4856" max="4856" width="10.7109375" style="2" customWidth="1"/>
    <col min="4857" max="4857" width="40.42578125" style="2" customWidth="1"/>
    <col min="4858" max="4858" width="30.5703125" style="2" customWidth="1"/>
    <col min="4859" max="4859" width="16.42578125" style="2" customWidth="1"/>
    <col min="4860" max="4860" width="13" style="2" bestFit="1" customWidth="1"/>
    <col min="4861" max="5108" width="9.140625" style="2"/>
    <col min="5109" max="5109" width="16.28515625" style="2" customWidth="1"/>
    <col min="5110" max="5110" width="9.5703125" style="2" customWidth="1"/>
    <col min="5111" max="5111" width="25.85546875" style="2" customWidth="1"/>
    <col min="5112" max="5112" width="10.7109375" style="2" customWidth="1"/>
    <col min="5113" max="5113" width="40.42578125" style="2" customWidth="1"/>
    <col min="5114" max="5114" width="30.5703125" style="2" customWidth="1"/>
    <col min="5115" max="5115" width="16.42578125" style="2" customWidth="1"/>
    <col min="5116" max="5116" width="13" style="2" bestFit="1" customWidth="1"/>
    <col min="5117" max="5364" width="9.140625" style="2"/>
    <col min="5365" max="5365" width="16.28515625" style="2" customWidth="1"/>
    <col min="5366" max="5366" width="9.5703125" style="2" customWidth="1"/>
    <col min="5367" max="5367" width="25.85546875" style="2" customWidth="1"/>
    <col min="5368" max="5368" width="10.7109375" style="2" customWidth="1"/>
    <col min="5369" max="5369" width="40.42578125" style="2" customWidth="1"/>
    <col min="5370" max="5370" width="30.5703125" style="2" customWidth="1"/>
    <col min="5371" max="5371" width="16.42578125" style="2" customWidth="1"/>
    <col min="5372" max="5372" width="13" style="2" bestFit="1" customWidth="1"/>
    <col min="5373" max="5620" width="9.140625" style="2"/>
    <col min="5621" max="5621" width="16.28515625" style="2" customWidth="1"/>
    <col min="5622" max="5622" width="9.5703125" style="2" customWidth="1"/>
    <col min="5623" max="5623" width="25.85546875" style="2" customWidth="1"/>
    <col min="5624" max="5624" width="10.7109375" style="2" customWidth="1"/>
    <col min="5625" max="5625" width="40.42578125" style="2" customWidth="1"/>
    <col min="5626" max="5626" width="30.5703125" style="2" customWidth="1"/>
    <col min="5627" max="5627" width="16.42578125" style="2" customWidth="1"/>
    <col min="5628" max="5628" width="13" style="2" bestFit="1" customWidth="1"/>
    <col min="5629" max="5876" width="9.140625" style="2"/>
    <col min="5877" max="5877" width="16.28515625" style="2" customWidth="1"/>
    <col min="5878" max="5878" width="9.5703125" style="2" customWidth="1"/>
    <col min="5879" max="5879" width="25.85546875" style="2" customWidth="1"/>
    <col min="5880" max="5880" width="10.7109375" style="2" customWidth="1"/>
    <col min="5881" max="5881" width="40.42578125" style="2" customWidth="1"/>
    <col min="5882" max="5882" width="30.5703125" style="2" customWidth="1"/>
    <col min="5883" max="5883" width="16.42578125" style="2" customWidth="1"/>
    <col min="5884" max="5884" width="13" style="2" bestFit="1" customWidth="1"/>
    <col min="5885" max="6132" width="9.140625" style="2"/>
    <col min="6133" max="6133" width="16.28515625" style="2" customWidth="1"/>
    <col min="6134" max="6134" width="9.5703125" style="2" customWidth="1"/>
    <col min="6135" max="6135" width="25.85546875" style="2" customWidth="1"/>
    <col min="6136" max="6136" width="10.7109375" style="2" customWidth="1"/>
    <col min="6137" max="6137" width="40.42578125" style="2" customWidth="1"/>
    <col min="6138" max="6138" width="30.5703125" style="2" customWidth="1"/>
    <col min="6139" max="6139" width="16.42578125" style="2" customWidth="1"/>
    <col min="6140" max="6140" width="13" style="2" bestFit="1" customWidth="1"/>
    <col min="6141" max="6388" width="9.140625" style="2"/>
    <col min="6389" max="6389" width="16.28515625" style="2" customWidth="1"/>
    <col min="6390" max="6390" width="9.5703125" style="2" customWidth="1"/>
    <col min="6391" max="6391" width="25.85546875" style="2" customWidth="1"/>
    <col min="6392" max="6392" width="10.7109375" style="2" customWidth="1"/>
    <col min="6393" max="6393" width="40.42578125" style="2" customWidth="1"/>
    <col min="6394" max="6394" width="30.5703125" style="2" customWidth="1"/>
    <col min="6395" max="6395" width="16.42578125" style="2" customWidth="1"/>
    <col min="6396" max="6396" width="13" style="2" bestFit="1" customWidth="1"/>
    <col min="6397" max="6644" width="9.140625" style="2"/>
    <col min="6645" max="6645" width="16.28515625" style="2" customWidth="1"/>
    <col min="6646" max="6646" width="9.5703125" style="2" customWidth="1"/>
    <col min="6647" max="6647" width="25.85546875" style="2" customWidth="1"/>
    <col min="6648" max="6648" width="10.7109375" style="2" customWidth="1"/>
    <col min="6649" max="6649" width="40.42578125" style="2" customWidth="1"/>
    <col min="6650" max="6650" width="30.5703125" style="2" customWidth="1"/>
    <col min="6651" max="6651" width="16.42578125" style="2" customWidth="1"/>
    <col min="6652" max="6652" width="13" style="2" bestFit="1" customWidth="1"/>
    <col min="6653" max="6900" width="9.140625" style="2"/>
    <col min="6901" max="6901" width="16.28515625" style="2" customWidth="1"/>
    <col min="6902" max="6902" width="9.5703125" style="2" customWidth="1"/>
    <col min="6903" max="6903" width="25.85546875" style="2" customWidth="1"/>
    <col min="6904" max="6904" width="10.7109375" style="2" customWidth="1"/>
    <col min="6905" max="6905" width="40.42578125" style="2" customWidth="1"/>
    <col min="6906" max="6906" width="30.5703125" style="2" customWidth="1"/>
    <col min="6907" max="6907" width="16.42578125" style="2" customWidth="1"/>
    <col min="6908" max="6908" width="13" style="2" bestFit="1" customWidth="1"/>
    <col min="6909" max="7156" width="9.140625" style="2"/>
    <col min="7157" max="7157" width="16.28515625" style="2" customWidth="1"/>
    <col min="7158" max="7158" width="9.5703125" style="2" customWidth="1"/>
    <col min="7159" max="7159" width="25.85546875" style="2" customWidth="1"/>
    <col min="7160" max="7160" width="10.7109375" style="2" customWidth="1"/>
    <col min="7161" max="7161" width="40.42578125" style="2" customWidth="1"/>
    <col min="7162" max="7162" width="30.5703125" style="2" customWidth="1"/>
    <col min="7163" max="7163" width="16.42578125" style="2" customWidth="1"/>
    <col min="7164" max="7164" width="13" style="2" bestFit="1" customWidth="1"/>
    <col min="7165" max="7412" width="9.140625" style="2"/>
    <col min="7413" max="7413" width="16.28515625" style="2" customWidth="1"/>
    <col min="7414" max="7414" width="9.5703125" style="2" customWidth="1"/>
    <col min="7415" max="7415" width="25.85546875" style="2" customWidth="1"/>
    <col min="7416" max="7416" width="10.7109375" style="2" customWidth="1"/>
    <col min="7417" max="7417" width="40.42578125" style="2" customWidth="1"/>
    <col min="7418" max="7418" width="30.5703125" style="2" customWidth="1"/>
    <col min="7419" max="7419" width="16.42578125" style="2" customWidth="1"/>
    <col min="7420" max="7420" width="13" style="2" bestFit="1" customWidth="1"/>
    <col min="7421" max="7668" width="9.140625" style="2"/>
    <col min="7669" max="7669" width="16.28515625" style="2" customWidth="1"/>
    <col min="7670" max="7670" width="9.5703125" style="2" customWidth="1"/>
    <col min="7671" max="7671" width="25.85546875" style="2" customWidth="1"/>
    <col min="7672" max="7672" width="10.7109375" style="2" customWidth="1"/>
    <col min="7673" max="7673" width="40.42578125" style="2" customWidth="1"/>
    <col min="7674" max="7674" width="30.5703125" style="2" customWidth="1"/>
    <col min="7675" max="7675" width="16.42578125" style="2" customWidth="1"/>
    <col min="7676" max="7676" width="13" style="2" bestFit="1" customWidth="1"/>
    <col min="7677" max="7924" width="9.140625" style="2"/>
    <col min="7925" max="7925" width="16.28515625" style="2" customWidth="1"/>
    <col min="7926" max="7926" width="9.5703125" style="2" customWidth="1"/>
    <col min="7927" max="7927" width="25.85546875" style="2" customWidth="1"/>
    <col min="7928" max="7928" width="10.7109375" style="2" customWidth="1"/>
    <col min="7929" max="7929" width="40.42578125" style="2" customWidth="1"/>
    <col min="7930" max="7930" width="30.5703125" style="2" customWidth="1"/>
    <col min="7931" max="7931" width="16.42578125" style="2" customWidth="1"/>
    <col min="7932" max="7932" width="13" style="2" bestFit="1" customWidth="1"/>
    <col min="7933" max="8180" width="9.140625" style="2"/>
    <col min="8181" max="8181" width="16.28515625" style="2" customWidth="1"/>
    <col min="8182" max="8182" width="9.5703125" style="2" customWidth="1"/>
    <col min="8183" max="8183" width="25.85546875" style="2" customWidth="1"/>
    <col min="8184" max="8184" width="10.7109375" style="2" customWidth="1"/>
    <col min="8185" max="8185" width="40.42578125" style="2" customWidth="1"/>
    <col min="8186" max="8186" width="30.5703125" style="2" customWidth="1"/>
    <col min="8187" max="8187" width="16.42578125" style="2" customWidth="1"/>
    <col min="8188" max="8188" width="13" style="2" bestFit="1" customWidth="1"/>
    <col min="8189" max="8436" width="9.140625" style="2"/>
    <col min="8437" max="8437" width="16.28515625" style="2" customWidth="1"/>
    <col min="8438" max="8438" width="9.5703125" style="2" customWidth="1"/>
    <col min="8439" max="8439" width="25.85546875" style="2" customWidth="1"/>
    <col min="8440" max="8440" width="10.7109375" style="2" customWidth="1"/>
    <col min="8441" max="8441" width="40.42578125" style="2" customWidth="1"/>
    <col min="8442" max="8442" width="30.5703125" style="2" customWidth="1"/>
    <col min="8443" max="8443" width="16.42578125" style="2" customWidth="1"/>
    <col min="8444" max="8444" width="13" style="2" bestFit="1" customWidth="1"/>
    <col min="8445" max="8692" width="9.140625" style="2"/>
    <col min="8693" max="8693" width="16.28515625" style="2" customWidth="1"/>
    <col min="8694" max="8694" width="9.5703125" style="2" customWidth="1"/>
    <col min="8695" max="8695" width="25.85546875" style="2" customWidth="1"/>
    <col min="8696" max="8696" width="10.7109375" style="2" customWidth="1"/>
    <col min="8697" max="8697" width="40.42578125" style="2" customWidth="1"/>
    <col min="8698" max="8698" width="30.5703125" style="2" customWidth="1"/>
    <col min="8699" max="8699" width="16.42578125" style="2" customWidth="1"/>
    <col min="8700" max="8700" width="13" style="2" bestFit="1" customWidth="1"/>
    <col min="8701" max="8948" width="9.140625" style="2"/>
    <col min="8949" max="8949" width="16.28515625" style="2" customWidth="1"/>
    <col min="8950" max="8950" width="9.5703125" style="2" customWidth="1"/>
    <col min="8951" max="8951" width="25.85546875" style="2" customWidth="1"/>
    <col min="8952" max="8952" width="10.7109375" style="2" customWidth="1"/>
    <col min="8953" max="8953" width="40.42578125" style="2" customWidth="1"/>
    <col min="8954" max="8954" width="30.5703125" style="2" customWidth="1"/>
    <col min="8955" max="8955" width="16.42578125" style="2" customWidth="1"/>
    <col min="8956" max="8956" width="13" style="2" bestFit="1" customWidth="1"/>
    <col min="8957" max="9204" width="9.140625" style="2"/>
    <col min="9205" max="9205" width="16.28515625" style="2" customWidth="1"/>
    <col min="9206" max="9206" width="9.5703125" style="2" customWidth="1"/>
    <col min="9207" max="9207" width="25.85546875" style="2" customWidth="1"/>
    <col min="9208" max="9208" width="10.7109375" style="2" customWidth="1"/>
    <col min="9209" max="9209" width="40.42578125" style="2" customWidth="1"/>
    <col min="9210" max="9210" width="30.5703125" style="2" customWidth="1"/>
    <col min="9211" max="9211" width="16.42578125" style="2" customWidth="1"/>
    <col min="9212" max="9212" width="13" style="2" bestFit="1" customWidth="1"/>
    <col min="9213" max="9460" width="9.140625" style="2"/>
    <col min="9461" max="9461" width="16.28515625" style="2" customWidth="1"/>
    <col min="9462" max="9462" width="9.5703125" style="2" customWidth="1"/>
    <col min="9463" max="9463" width="25.85546875" style="2" customWidth="1"/>
    <col min="9464" max="9464" width="10.7109375" style="2" customWidth="1"/>
    <col min="9465" max="9465" width="40.42578125" style="2" customWidth="1"/>
    <col min="9466" max="9466" width="30.5703125" style="2" customWidth="1"/>
    <col min="9467" max="9467" width="16.42578125" style="2" customWidth="1"/>
    <col min="9468" max="9468" width="13" style="2" bestFit="1" customWidth="1"/>
    <col min="9469" max="9716" width="9.140625" style="2"/>
    <col min="9717" max="9717" width="16.28515625" style="2" customWidth="1"/>
    <col min="9718" max="9718" width="9.5703125" style="2" customWidth="1"/>
    <col min="9719" max="9719" width="25.85546875" style="2" customWidth="1"/>
    <col min="9720" max="9720" width="10.7109375" style="2" customWidth="1"/>
    <col min="9721" max="9721" width="40.42578125" style="2" customWidth="1"/>
    <col min="9722" max="9722" width="30.5703125" style="2" customWidth="1"/>
    <col min="9723" max="9723" width="16.42578125" style="2" customWidth="1"/>
    <col min="9724" max="9724" width="13" style="2" bestFit="1" customWidth="1"/>
    <col min="9725" max="9972" width="9.140625" style="2"/>
    <col min="9973" max="9973" width="16.28515625" style="2" customWidth="1"/>
    <col min="9974" max="9974" width="9.5703125" style="2" customWidth="1"/>
    <col min="9975" max="9975" width="25.85546875" style="2" customWidth="1"/>
    <col min="9976" max="9976" width="10.7109375" style="2" customWidth="1"/>
    <col min="9977" max="9977" width="40.42578125" style="2" customWidth="1"/>
    <col min="9978" max="9978" width="30.5703125" style="2" customWidth="1"/>
    <col min="9979" max="9979" width="16.42578125" style="2" customWidth="1"/>
    <col min="9980" max="9980" width="13" style="2" bestFit="1" customWidth="1"/>
    <col min="9981" max="10228" width="9.140625" style="2"/>
    <col min="10229" max="10229" width="16.28515625" style="2" customWidth="1"/>
    <col min="10230" max="10230" width="9.5703125" style="2" customWidth="1"/>
    <col min="10231" max="10231" width="25.85546875" style="2" customWidth="1"/>
    <col min="10232" max="10232" width="10.7109375" style="2" customWidth="1"/>
    <col min="10233" max="10233" width="40.42578125" style="2" customWidth="1"/>
    <col min="10234" max="10234" width="30.5703125" style="2" customWidth="1"/>
    <col min="10235" max="10235" width="16.42578125" style="2" customWidth="1"/>
    <col min="10236" max="10236" width="13" style="2" bestFit="1" customWidth="1"/>
    <col min="10237" max="10484" width="9.140625" style="2"/>
    <col min="10485" max="10485" width="16.28515625" style="2" customWidth="1"/>
    <col min="10486" max="10486" width="9.5703125" style="2" customWidth="1"/>
    <col min="10487" max="10487" width="25.85546875" style="2" customWidth="1"/>
    <col min="10488" max="10488" width="10.7109375" style="2" customWidth="1"/>
    <col min="10489" max="10489" width="40.42578125" style="2" customWidth="1"/>
    <col min="10490" max="10490" width="30.5703125" style="2" customWidth="1"/>
    <col min="10491" max="10491" width="16.42578125" style="2" customWidth="1"/>
    <col min="10492" max="10492" width="13" style="2" bestFit="1" customWidth="1"/>
    <col min="10493" max="10740" width="9.140625" style="2"/>
    <col min="10741" max="10741" width="16.28515625" style="2" customWidth="1"/>
    <col min="10742" max="10742" width="9.5703125" style="2" customWidth="1"/>
    <col min="10743" max="10743" width="25.85546875" style="2" customWidth="1"/>
    <col min="10744" max="10744" width="10.7109375" style="2" customWidth="1"/>
    <col min="10745" max="10745" width="40.42578125" style="2" customWidth="1"/>
    <col min="10746" max="10746" width="30.5703125" style="2" customWidth="1"/>
    <col min="10747" max="10747" width="16.42578125" style="2" customWidth="1"/>
    <col min="10748" max="10748" width="13" style="2" bestFit="1" customWidth="1"/>
    <col min="10749" max="10996" width="9.140625" style="2"/>
    <col min="10997" max="10997" width="16.28515625" style="2" customWidth="1"/>
    <col min="10998" max="10998" width="9.5703125" style="2" customWidth="1"/>
    <col min="10999" max="10999" width="25.85546875" style="2" customWidth="1"/>
    <col min="11000" max="11000" width="10.7109375" style="2" customWidth="1"/>
    <col min="11001" max="11001" width="40.42578125" style="2" customWidth="1"/>
    <col min="11002" max="11002" width="30.5703125" style="2" customWidth="1"/>
    <col min="11003" max="11003" width="16.42578125" style="2" customWidth="1"/>
    <col min="11004" max="11004" width="13" style="2" bestFit="1" customWidth="1"/>
    <col min="11005" max="11252" width="9.140625" style="2"/>
    <col min="11253" max="11253" width="16.28515625" style="2" customWidth="1"/>
    <col min="11254" max="11254" width="9.5703125" style="2" customWidth="1"/>
    <col min="11255" max="11255" width="25.85546875" style="2" customWidth="1"/>
    <col min="11256" max="11256" width="10.7109375" style="2" customWidth="1"/>
    <col min="11257" max="11257" width="40.42578125" style="2" customWidth="1"/>
    <col min="11258" max="11258" width="30.5703125" style="2" customWidth="1"/>
    <col min="11259" max="11259" width="16.42578125" style="2" customWidth="1"/>
    <col min="11260" max="11260" width="13" style="2" bestFit="1" customWidth="1"/>
    <col min="11261" max="11508" width="9.140625" style="2"/>
    <col min="11509" max="11509" width="16.28515625" style="2" customWidth="1"/>
    <col min="11510" max="11510" width="9.5703125" style="2" customWidth="1"/>
    <col min="11511" max="11511" width="25.85546875" style="2" customWidth="1"/>
    <col min="11512" max="11512" width="10.7109375" style="2" customWidth="1"/>
    <col min="11513" max="11513" width="40.42578125" style="2" customWidth="1"/>
    <col min="11514" max="11514" width="30.5703125" style="2" customWidth="1"/>
    <col min="11515" max="11515" width="16.42578125" style="2" customWidth="1"/>
    <col min="11516" max="11516" width="13" style="2" bestFit="1" customWidth="1"/>
    <col min="11517" max="11764" width="9.140625" style="2"/>
    <col min="11765" max="11765" width="16.28515625" style="2" customWidth="1"/>
    <col min="11766" max="11766" width="9.5703125" style="2" customWidth="1"/>
    <col min="11767" max="11767" width="25.85546875" style="2" customWidth="1"/>
    <col min="11768" max="11768" width="10.7109375" style="2" customWidth="1"/>
    <col min="11769" max="11769" width="40.42578125" style="2" customWidth="1"/>
    <col min="11770" max="11770" width="30.5703125" style="2" customWidth="1"/>
    <col min="11771" max="11771" width="16.42578125" style="2" customWidth="1"/>
    <col min="11772" max="11772" width="13" style="2" bestFit="1" customWidth="1"/>
    <col min="11773" max="12020" width="9.140625" style="2"/>
    <col min="12021" max="12021" width="16.28515625" style="2" customWidth="1"/>
    <col min="12022" max="12022" width="9.5703125" style="2" customWidth="1"/>
    <col min="12023" max="12023" width="25.85546875" style="2" customWidth="1"/>
    <col min="12024" max="12024" width="10.7109375" style="2" customWidth="1"/>
    <col min="12025" max="12025" width="40.42578125" style="2" customWidth="1"/>
    <col min="12026" max="12026" width="30.5703125" style="2" customWidth="1"/>
    <col min="12027" max="12027" width="16.42578125" style="2" customWidth="1"/>
    <col min="12028" max="12028" width="13" style="2" bestFit="1" customWidth="1"/>
    <col min="12029" max="12276" width="9.140625" style="2"/>
    <col min="12277" max="12277" width="16.28515625" style="2" customWidth="1"/>
    <col min="12278" max="12278" width="9.5703125" style="2" customWidth="1"/>
    <col min="12279" max="12279" width="25.85546875" style="2" customWidth="1"/>
    <col min="12280" max="12280" width="10.7109375" style="2" customWidth="1"/>
    <col min="12281" max="12281" width="40.42578125" style="2" customWidth="1"/>
    <col min="12282" max="12282" width="30.5703125" style="2" customWidth="1"/>
    <col min="12283" max="12283" width="16.42578125" style="2" customWidth="1"/>
    <col min="12284" max="12284" width="13" style="2" bestFit="1" customWidth="1"/>
    <col min="12285" max="12532" width="9.140625" style="2"/>
    <col min="12533" max="12533" width="16.28515625" style="2" customWidth="1"/>
    <col min="12534" max="12534" width="9.5703125" style="2" customWidth="1"/>
    <col min="12535" max="12535" width="25.85546875" style="2" customWidth="1"/>
    <col min="12536" max="12536" width="10.7109375" style="2" customWidth="1"/>
    <col min="12537" max="12537" width="40.42578125" style="2" customWidth="1"/>
    <col min="12538" max="12538" width="30.5703125" style="2" customWidth="1"/>
    <col min="12539" max="12539" width="16.42578125" style="2" customWidth="1"/>
    <col min="12540" max="12540" width="13" style="2" bestFit="1" customWidth="1"/>
    <col min="12541" max="12788" width="9.140625" style="2"/>
    <col min="12789" max="12789" width="16.28515625" style="2" customWidth="1"/>
    <col min="12790" max="12790" width="9.5703125" style="2" customWidth="1"/>
    <col min="12791" max="12791" width="25.85546875" style="2" customWidth="1"/>
    <col min="12792" max="12792" width="10.7109375" style="2" customWidth="1"/>
    <col min="12793" max="12793" width="40.42578125" style="2" customWidth="1"/>
    <col min="12794" max="12794" width="30.5703125" style="2" customWidth="1"/>
    <col min="12795" max="12795" width="16.42578125" style="2" customWidth="1"/>
    <col min="12796" max="12796" width="13" style="2" bestFit="1" customWidth="1"/>
    <col min="12797" max="13044" width="9.140625" style="2"/>
    <col min="13045" max="13045" width="16.28515625" style="2" customWidth="1"/>
    <col min="13046" max="13046" width="9.5703125" style="2" customWidth="1"/>
    <col min="13047" max="13047" width="25.85546875" style="2" customWidth="1"/>
    <col min="13048" max="13048" width="10.7109375" style="2" customWidth="1"/>
    <col min="13049" max="13049" width="40.42578125" style="2" customWidth="1"/>
    <col min="13050" max="13050" width="30.5703125" style="2" customWidth="1"/>
    <col min="13051" max="13051" width="16.42578125" style="2" customWidth="1"/>
    <col min="13052" max="13052" width="13" style="2" bestFit="1" customWidth="1"/>
    <col min="13053" max="13300" width="9.140625" style="2"/>
    <col min="13301" max="13301" width="16.28515625" style="2" customWidth="1"/>
    <col min="13302" max="13302" width="9.5703125" style="2" customWidth="1"/>
    <col min="13303" max="13303" width="25.85546875" style="2" customWidth="1"/>
    <col min="13304" max="13304" width="10.7109375" style="2" customWidth="1"/>
    <col min="13305" max="13305" width="40.42578125" style="2" customWidth="1"/>
    <col min="13306" max="13306" width="30.5703125" style="2" customWidth="1"/>
    <col min="13307" max="13307" width="16.42578125" style="2" customWidth="1"/>
    <col min="13308" max="13308" width="13" style="2" bestFit="1" customWidth="1"/>
    <col min="13309" max="13556" width="9.140625" style="2"/>
    <col min="13557" max="13557" width="16.28515625" style="2" customWidth="1"/>
    <col min="13558" max="13558" width="9.5703125" style="2" customWidth="1"/>
    <col min="13559" max="13559" width="25.85546875" style="2" customWidth="1"/>
    <col min="13560" max="13560" width="10.7109375" style="2" customWidth="1"/>
    <col min="13561" max="13561" width="40.42578125" style="2" customWidth="1"/>
    <col min="13562" max="13562" width="30.5703125" style="2" customWidth="1"/>
    <col min="13563" max="13563" width="16.42578125" style="2" customWidth="1"/>
    <col min="13564" max="13564" width="13" style="2" bestFit="1" customWidth="1"/>
    <col min="13565" max="13812" width="9.140625" style="2"/>
    <col min="13813" max="13813" width="16.28515625" style="2" customWidth="1"/>
    <col min="13814" max="13814" width="9.5703125" style="2" customWidth="1"/>
    <col min="13815" max="13815" width="25.85546875" style="2" customWidth="1"/>
    <col min="13816" max="13816" width="10.7109375" style="2" customWidth="1"/>
    <col min="13817" max="13817" width="40.42578125" style="2" customWidth="1"/>
    <col min="13818" max="13818" width="30.5703125" style="2" customWidth="1"/>
    <col min="13819" max="13819" width="16.42578125" style="2" customWidth="1"/>
    <col min="13820" max="13820" width="13" style="2" bestFit="1" customWidth="1"/>
    <col min="13821" max="14068" width="9.140625" style="2"/>
    <col min="14069" max="14069" width="16.28515625" style="2" customWidth="1"/>
    <col min="14070" max="14070" width="9.5703125" style="2" customWidth="1"/>
    <col min="14071" max="14071" width="25.85546875" style="2" customWidth="1"/>
    <col min="14072" max="14072" width="10.7109375" style="2" customWidth="1"/>
    <col min="14073" max="14073" width="40.42578125" style="2" customWidth="1"/>
    <col min="14074" max="14074" width="30.5703125" style="2" customWidth="1"/>
    <col min="14075" max="14075" width="16.42578125" style="2" customWidth="1"/>
    <col min="14076" max="14076" width="13" style="2" bestFit="1" customWidth="1"/>
    <col min="14077" max="14324" width="9.140625" style="2"/>
    <col min="14325" max="14325" width="16.28515625" style="2" customWidth="1"/>
    <col min="14326" max="14326" width="9.5703125" style="2" customWidth="1"/>
    <col min="14327" max="14327" width="25.85546875" style="2" customWidth="1"/>
    <col min="14328" max="14328" width="10.7109375" style="2" customWidth="1"/>
    <col min="14329" max="14329" width="40.42578125" style="2" customWidth="1"/>
    <col min="14330" max="14330" width="30.5703125" style="2" customWidth="1"/>
    <col min="14331" max="14331" width="16.42578125" style="2" customWidth="1"/>
    <col min="14332" max="14332" width="13" style="2" bestFit="1" customWidth="1"/>
    <col min="14333" max="14580" width="9.140625" style="2"/>
    <col min="14581" max="14581" width="16.28515625" style="2" customWidth="1"/>
    <col min="14582" max="14582" width="9.5703125" style="2" customWidth="1"/>
    <col min="14583" max="14583" width="25.85546875" style="2" customWidth="1"/>
    <col min="14584" max="14584" width="10.7109375" style="2" customWidth="1"/>
    <col min="14585" max="14585" width="40.42578125" style="2" customWidth="1"/>
    <col min="14586" max="14586" width="30.5703125" style="2" customWidth="1"/>
    <col min="14587" max="14587" width="16.42578125" style="2" customWidth="1"/>
    <col min="14588" max="14588" width="13" style="2" bestFit="1" customWidth="1"/>
    <col min="14589" max="14836" width="9.140625" style="2"/>
    <col min="14837" max="14837" width="16.28515625" style="2" customWidth="1"/>
    <col min="14838" max="14838" width="9.5703125" style="2" customWidth="1"/>
    <col min="14839" max="14839" width="25.85546875" style="2" customWidth="1"/>
    <col min="14840" max="14840" width="10.7109375" style="2" customWidth="1"/>
    <col min="14841" max="14841" width="40.42578125" style="2" customWidth="1"/>
    <col min="14842" max="14842" width="30.5703125" style="2" customWidth="1"/>
    <col min="14843" max="14843" width="16.42578125" style="2" customWidth="1"/>
    <col min="14844" max="14844" width="13" style="2" bestFit="1" customWidth="1"/>
    <col min="14845" max="15092" width="9.140625" style="2"/>
    <col min="15093" max="15093" width="16.28515625" style="2" customWidth="1"/>
    <col min="15094" max="15094" width="9.5703125" style="2" customWidth="1"/>
    <col min="15095" max="15095" width="25.85546875" style="2" customWidth="1"/>
    <col min="15096" max="15096" width="10.7109375" style="2" customWidth="1"/>
    <col min="15097" max="15097" width="40.42578125" style="2" customWidth="1"/>
    <col min="15098" max="15098" width="30.5703125" style="2" customWidth="1"/>
    <col min="15099" max="15099" width="16.42578125" style="2" customWidth="1"/>
    <col min="15100" max="15100" width="13" style="2" bestFit="1" customWidth="1"/>
    <col min="15101" max="15348" width="9.140625" style="2"/>
    <col min="15349" max="15349" width="16.28515625" style="2" customWidth="1"/>
    <col min="15350" max="15350" width="9.5703125" style="2" customWidth="1"/>
    <col min="15351" max="15351" width="25.85546875" style="2" customWidth="1"/>
    <col min="15352" max="15352" width="10.7109375" style="2" customWidth="1"/>
    <col min="15353" max="15353" width="40.42578125" style="2" customWidth="1"/>
    <col min="15354" max="15354" width="30.5703125" style="2" customWidth="1"/>
    <col min="15355" max="15355" width="16.42578125" style="2" customWidth="1"/>
    <col min="15356" max="15356" width="13" style="2" bestFit="1" customWidth="1"/>
    <col min="15357" max="15604" width="9.140625" style="2"/>
    <col min="15605" max="15605" width="16.28515625" style="2" customWidth="1"/>
    <col min="15606" max="15606" width="9.5703125" style="2" customWidth="1"/>
    <col min="15607" max="15607" width="25.85546875" style="2" customWidth="1"/>
    <col min="15608" max="15608" width="10.7109375" style="2" customWidth="1"/>
    <col min="15609" max="15609" width="40.42578125" style="2" customWidth="1"/>
    <col min="15610" max="15610" width="30.5703125" style="2" customWidth="1"/>
    <col min="15611" max="15611" width="16.42578125" style="2" customWidth="1"/>
    <col min="15612" max="15612" width="13" style="2" bestFit="1" customWidth="1"/>
    <col min="15613" max="15860" width="9.140625" style="2"/>
    <col min="15861" max="15861" width="16.28515625" style="2" customWidth="1"/>
    <col min="15862" max="15862" width="9.5703125" style="2" customWidth="1"/>
    <col min="15863" max="15863" width="25.85546875" style="2" customWidth="1"/>
    <col min="15864" max="15864" width="10.7109375" style="2" customWidth="1"/>
    <col min="15865" max="15865" width="40.42578125" style="2" customWidth="1"/>
    <col min="15866" max="15866" width="30.5703125" style="2" customWidth="1"/>
    <col min="15867" max="15867" width="16.42578125" style="2" customWidth="1"/>
    <col min="15868" max="15868" width="13" style="2" bestFit="1" customWidth="1"/>
    <col min="15869" max="16116" width="9.140625" style="2"/>
    <col min="16117" max="16117" width="16.28515625" style="2" customWidth="1"/>
    <col min="16118" max="16118" width="9.5703125" style="2" customWidth="1"/>
    <col min="16119" max="16119" width="25.85546875" style="2" customWidth="1"/>
    <col min="16120" max="16120" width="10.7109375" style="2" customWidth="1"/>
    <col min="16121" max="16121" width="40.42578125" style="2" customWidth="1"/>
    <col min="16122" max="16122" width="30.5703125" style="2" customWidth="1"/>
    <col min="16123" max="16123" width="16.42578125" style="2" customWidth="1"/>
    <col min="16124" max="16124" width="13" style="2" bestFit="1" customWidth="1"/>
    <col min="16125" max="16384" width="9.140625" style="2"/>
  </cols>
  <sheetData>
    <row r="1" spans="1:71" s="358" customFormat="1" ht="15.75">
      <c r="B1" s="359"/>
      <c r="C1" s="358" t="s">
        <v>201</v>
      </c>
      <c r="D1" s="374"/>
      <c r="E1" s="360"/>
      <c r="F1" s="360"/>
      <c r="G1" s="360"/>
      <c r="H1" s="361"/>
      <c r="I1" s="362" t="s">
        <v>215</v>
      </c>
      <c r="J1" s="363">
        <f t="shared" ref="J1:Q1" si="0">J2</f>
        <v>0</v>
      </c>
      <c r="K1" s="363">
        <f t="shared" si="0"/>
        <v>0</v>
      </c>
      <c r="L1" s="363">
        <f t="shared" si="0"/>
        <v>0</v>
      </c>
      <c r="M1" s="364">
        <f t="shared" si="0"/>
        <v>0</v>
      </c>
      <c r="N1" s="363">
        <f t="shared" si="0"/>
        <v>0</v>
      </c>
      <c r="O1" s="363">
        <f t="shared" si="0"/>
        <v>0</v>
      </c>
      <c r="P1" s="363">
        <f t="shared" si="0"/>
        <v>0</v>
      </c>
      <c r="Q1" s="363">
        <f t="shared" si="0"/>
        <v>0</v>
      </c>
      <c r="R1" s="365"/>
      <c r="S1" s="366"/>
      <c r="T1" s="366"/>
      <c r="U1" s="366"/>
      <c r="W1" s="367">
        <f>AT1+AV1+AX1</f>
        <v>0</v>
      </c>
      <c r="X1" s="363">
        <f>AU1+AW1+AY1</f>
        <v>0</v>
      </c>
      <c r="Y1" s="280">
        <f>W1-X1</f>
        <v>0</v>
      </c>
      <c r="Z1" s="367">
        <f>AZ1+BB1+BD1</f>
        <v>0</v>
      </c>
      <c r="AA1" s="363">
        <f>BA1+BC1+BE1</f>
        <v>0</v>
      </c>
      <c r="AB1" s="280">
        <f>Z1-AA1</f>
        <v>0</v>
      </c>
      <c r="AC1" s="367">
        <f>BF1+BH1+BJ1</f>
        <v>0</v>
      </c>
      <c r="AD1" s="363">
        <f>BG1+BI1+BK1</f>
        <v>0</v>
      </c>
      <c r="AE1" s="280">
        <f>AC1-AD1</f>
        <v>0</v>
      </c>
      <c r="AF1" s="367">
        <f>BL1+BN1+BP1</f>
        <v>0</v>
      </c>
      <c r="AG1" s="363">
        <f>BM1+BO1+BQ1</f>
        <v>0</v>
      </c>
      <c r="AH1" s="280">
        <f>AF1-AG1</f>
        <v>0</v>
      </c>
      <c r="AI1" s="368"/>
      <c r="AJ1" s="367">
        <f>W1+Z1</f>
        <v>0</v>
      </c>
      <c r="AK1" s="363">
        <f>X1+AA1</f>
        <v>0</v>
      </c>
      <c r="AL1" s="280">
        <f>AJ1-AK1</f>
        <v>0</v>
      </c>
      <c r="AM1" s="367">
        <f>W1+Z1+AC1</f>
        <v>0</v>
      </c>
      <c r="AN1" s="363">
        <f>X1+AA1+AD1</f>
        <v>0</v>
      </c>
      <c r="AO1" s="280">
        <f>AM1-AN1</f>
        <v>0</v>
      </c>
      <c r="AP1" s="367">
        <f>W1+Z1+AC1+AF1</f>
        <v>0</v>
      </c>
      <c r="AQ1" s="363">
        <f>X1+AA1+AD1+AG1</f>
        <v>0</v>
      </c>
      <c r="AR1" s="280">
        <f>AP1-AQ1</f>
        <v>0</v>
      </c>
      <c r="AS1" s="368"/>
      <c r="AT1" s="367">
        <f t="shared" ref="AT1:BQ1" si="1">AT2</f>
        <v>0</v>
      </c>
      <c r="AU1" s="363">
        <f t="shared" si="1"/>
        <v>0</v>
      </c>
      <c r="AV1" s="363">
        <f t="shared" si="1"/>
        <v>0</v>
      </c>
      <c r="AW1" s="363">
        <f t="shared" si="1"/>
        <v>0</v>
      </c>
      <c r="AX1" s="363">
        <f t="shared" si="1"/>
        <v>0</v>
      </c>
      <c r="AY1" s="369">
        <f t="shared" si="1"/>
        <v>0</v>
      </c>
      <c r="AZ1" s="367">
        <f t="shared" si="1"/>
        <v>0</v>
      </c>
      <c r="BA1" s="363">
        <f t="shared" si="1"/>
        <v>0</v>
      </c>
      <c r="BB1" s="363">
        <f t="shared" si="1"/>
        <v>0</v>
      </c>
      <c r="BC1" s="363">
        <f t="shared" si="1"/>
        <v>0</v>
      </c>
      <c r="BD1" s="363">
        <f t="shared" si="1"/>
        <v>0</v>
      </c>
      <c r="BE1" s="369">
        <f t="shared" si="1"/>
        <v>0</v>
      </c>
      <c r="BF1" s="367">
        <f t="shared" si="1"/>
        <v>0</v>
      </c>
      <c r="BG1" s="363">
        <f t="shared" si="1"/>
        <v>0</v>
      </c>
      <c r="BH1" s="363">
        <f t="shared" si="1"/>
        <v>0</v>
      </c>
      <c r="BI1" s="363">
        <f t="shared" si="1"/>
        <v>0</v>
      </c>
      <c r="BJ1" s="363">
        <f t="shared" si="1"/>
        <v>0</v>
      </c>
      <c r="BK1" s="369">
        <f t="shared" si="1"/>
        <v>0</v>
      </c>
      <c r="BL1" s="367">
        <f t="shared" si="1"/>
        <v>0</v>
      </c>
      <c r="BM1" s="363">
        <f t="shared" si="1"/>
        <v>0</v>
      </c>
      <c r="BN1" s="363">
        <f t="shared" si="1"/>
        <v>0</v>
      </c>
      <c r="BO1" s="363">
        <f t="shared" si="1"/>
        <v>0</v>
      </c>
      <c r="BP1" s="363">
        <f t="shared" si="1"/>
        <v>0</v>
      </c>
      <c r="BQ1" s="280">
        <f t="shared" si="1"/>
        <v>0</v>
      </c>
    </row>
    <row r="2" spans="1:71" s="313" customFormat="1">
      <c r="D2" s="373"/>
      <c r="E2" s="315"/>
      <c r="F2" s="314"/>
      <c r="G2" s="314"/>
      <c r="H2" s="316"/>
      <c r="I2" s="317" t="s">
        <v>214</v>
      </c>
      <c r="J2" s="318"/>
      <c r="K2" s="318"/>
      <c r="L2" s="318"/>
      <c r="M2" s="329"/>
      <c r="N2" s="319"/>
      <c r="O2" s="319"/>
      <c r="P2" s="319"/>
      <c r="Q2" s="319"/>
      <c r="R2" s="335"/>
      <c r="S2" s="320"/>
      <c r="T2" s="320"/>
      <c r="U2" s="320"/>
      <c r="W2" s="336">
        <f>AT2+AV2+AX2</f>
        <v>0</v>
      </c>
      <c r="X2" s="337">
        <f>AU2+AW2+AY2</f>
        <v>0</v>
      </c>
      <c r="Y2" s="338">
        <f>W2-X2</f>
        <v>0</v>
      </c>
      <c r="Z2" s="336">
        <f>AZ2+BB2+BD2</f>
        <v>0</v>
      </c>
      <c r="AA2" s="337">
        <f>BA2+BC2+BE2</f>
        <v>0</v>
      </c>
      <c r="AB2" s="338">
        <f>Z2-AA2</f>
        <v>0</v>
      </c>
      <c r="AC2" s="336">
        <f>BF2+BH2+BJ2</f>
        <v>0</v>
      </c>
      <c r="AD2" s="337">
        <f>BG2+BI2+BK2</f>
        <v>0</v>
      </c>
      <c r="AE2" s="338">
        <f>AC2-AD2</f>
        <v>0</v>
      </c>
      <c r="AF2" s="336">
        <f>BL2+BN2+BP2</f>
        <v>0</v>
      </c>
      <c r="AG2" s="337">
        <f>BM2+BO2+BQ2</f>
        <v>0</v>
      </c>
      <c r="AH2" s="338">
        <f>AF2-AG2</f>
        <v>0</v>
      </c>
      <c r="AI2" s="342"/>
      <c r="AJ2" s="336">
        <f>W2+Z2</f>
        <v>0</v>
      </c>
      <c r="AK2" s="339">
        <f>X2+AA2</f>
        <v>0</v>
      </c>
      <c r="AL2" s="340">
        <f>AJ2-AK2</f>
        <v>0</v>
      </c>
      <c r="AM2" s="336">
        <f>W2+Z2+AC2</f>
        <v>0</v>
      </c>
      <c r="AN2" s="339">
        <f>X2+AA2+AD2</f>
        <v>0</v>
      </c>
      <c r="AO2" s="340">
        <f>AM2-AN2</f>
        <v>0</v>
      </c>
      <c r="AP2" s="341">
        <f>W2+Z2+AC2+AF2</f>
        <v>0</v>
      </c>
      <c r="AQ2" s="339">
        <f>X2+AA2+AD2+AG2</f>
        <v>0</v>
      </c>
      <c r="AR2" s="340">
        <f>AP2-AQ2</f>
        <v>0</v>
      </c>
      <c r="AS2" s="342"/>
      <c r="AT2" s="343"/>
      <c r="AU2" s="344"/>
      <c r="AV2" s="345"/>
      <c r="AW2" s="344"/>
      <c r="AX2" s="345"/>
      <c r="AY2" s="346"/>
      <c r="AZ2" s="347"/>
      <c r="BA2" s="348"/>
      <c r="BB2" s="349"/>
      <c r="BC2" s="348"/>
      <c r="BD2" s="349"/>
      <c r="BE2" s="350"/>
      <c r="BF2" s="351"/>
      <c r="BG2" s="352"/>
      <c r="BH2" s="337"/>
      <c r="BI2" s="352"/>
      <c r="BJ2" s="337"/>
      <c r="BK2" s="353"/>
      <c r="BL2" s="354"/>
      <c r="BM2" s="355"/>
      <c r="BN2" s="356"/>
      <c r="BO2" s="355"/>
      <c r="BP2" s="356"/>
      <c r="BQ2" s="357"/>
    </row>
    <row r="3" spans="1:71" ht="18.75">
      <c r="D3" s="322" t="s">
        <v>137</v>
      </c>
      <c r="E3" s="322"/>
      <c r="F3" s="322"/>
      <c r="G3" s="322"/>
      <c r="H3" s="322"/>
      <c r="I3" s="322"/>
      <c r="J3" s="322"/>
      <c r="K3" s="322"/>
      <c r="L3" s="322"/>
      <c r="M3" s="327"/>
      <c r="N3" s="322"/>
      <c r="O3" s="238"/>
      <c r="P3" s="2"/>
      <c r="Q3" s="238"/>
      <c r="W3" s="2"/>
      <c r="X3" s="2"/>
      <c r="Y3" s="2"/>
      <c r="Z3" s="2"/>
      <c r="AA3" s="2"/>
      <c r="AB3" s="2"/>
      <c r="AC3" s="2"/>
      <c r="AD3" s="2"/>
      <c r="AE3" s="2"/>
      <c r="AF3" s="2"/>
      <c r="AG3" s="2"/>
      <c r="AH3" s="2"/>
      <c r="AI3" s="273"/>
      <c r="AJ3" s="2"/>
      <c r="AK3" s="2"/>
      <c r="AL3" s="2"/>
      <c r="AM3" s="2"/>
      <c r="AN3" s="2"/>
      <c r="AO3" s="2"/>
      <c r="AP3" s="2"/>
      <c r="AQ3" s="2"/>
      <c r="AR3" s="2"/>
      <c r="AS3" s="273"/>
      <c r="AT3" s="2"/>
      <c r="AU3" s="2"/>
      <c r="AV3" s="2"/>
      <c r="AW3" s="2"/>
      <c r="AX3" s="2"/>
      <c r="AY3" s="2"/>
      <c r="AZ3" s="2"/>
      <c r="BA3" s="2"/>
      <c r="BB3" s="2"/>
      <c r="BC3" s="2"/>
      <c r="BD3" s="2"/>
      <c r="BE3" s="2"/>
      <c r="BF3" s="2"/>
      <c r="BG3" s="2"/>
      <c r="BH3" s="2"/>
      <c r="BI3" s="2"/>
      <c r="BJ3" s="2"/>
      <c r="BK3" s="2"/>
      <c r="BL3" s="2"/>
      <c r="BM3" s="2"/>
      <c r="BN3" s="2"/>
      <c r="BO3" s="2"/>
      <c r="BP3" s="2"/>
      <c r="BQ3" s="2"/>
    </row>
    <row r="4" spans="1:71" ht="18.75">
      <c r="D4" s="323" t="s">
        <v>29</v>
      </c>
      <c r="E4" s="321"/>
      <c r="F4" s="321"/>
      <c r="G4" s="321"/>
      <c r="H4" s="321"/>
      <c r="I4" s="321"/>
      <c r="J4" s="321"/>
      <c r="K4" s="321"/>
      <c r="L4" s="321"/>
      <c r="N4" s="321"/>
      <c r="O4" s="238"/>
      <c r="P4" s="2"/>
      <c r="Q4" s="238"/>
      <c r="W4" s="2"/>
      <c r="X4" s="2"/>
      <c r="Y4" s="2"/>
      <c r="Z4" s="2"/>
      <c r="AA4" s="2"/>
      <c r="AB4" s="2"/>
      <c r="AC4" s="2"/>
      <c r="AD4" s="2"/>
      <c r="AE4" s="2"/>
      <c r="AF4" s="2"/>
      <c r="AG4" s="2"/>
      <c r="AH4" s="2"/>
      <c r="AI4" s="273"/>
      <c r="AJ4" s="2"/>
      <c r="AK4" s="2"/>
      <c r="AL4" s="2"/>
      <c r="AM4" s="2"/>
      <c r="AN4" s="2"/>
      <c r="AO4" s="2"/>
      <c r="AP4" s="2"/>
      <c r="AQ4" s="2"/>
      <c r="AR4" s="2"/>
      <c r="AS4" s="273"/>
      <c r="AT4" s="2"/>
      <c r="AU4" s="2"/>
      <c r="AV4" s="2"/>
      <c r="AW4" s="2"/>
      <c r="AX4" s="2"/>
      <c r="AY4" s="2"/>
      <c r="AZ4" s="2"/>
      <c r="BA4" s="2"/>
      <c r="BB4" s="2"/>
      <c r="BC4" s="2"/>
      <c r="BD4" s="2"/>
      <c r="BE4" s="2"/>
      <c r="BF4" s="2"/>
      <c r="BG4" s="2"/>
      <c r="BH4" s="2"/>
      <c r="BI4" s="2"/>
      <c r="BJ4" s="2"/>
      <c r="BK4" s="2"/>
      <c r="BL4" s="2"/>
      <c r="BM4" s="2"/>
      <c r="BN4" s="2"/>
      <c r="BO4" s="2"/>
      <c r="BP4" s="2"/>
      <c r="BQ4" s="2"/>
    </row>
    <row r="5" spans="1:71" ht="15.75" thickBot="1">
      <c r="AX5" s="386" t="e">
        <f>AY5-#REF!-#REF!-#REF!</f>
        <v>#REF!</v>
      </c>
      <c r="AY5" s="385">
        <v>9724242</v>
      </c>
      <c r="BD5" s="387" t="e">
        <f>BE5-#REF!-#REF!-#REF!</f>
        <v>#REF!</v>
      </c>
      <c r="BE5" s="385">
        <v>9724242</v>
      </c>
      <c r="BJ5" s="386" t="e">
        <f>BK5-#REF!-#REF!-#REF!</f>
        <v>#REF!</v>
      </c>
      <c r="BK5" s="385">
        <v>9724242</v>
      </c>
      <c r="BP5" s="386" t="e">
        <f>BQ5-#REF!-#REF!-#REF!</f>
        <v>#REF!</v>
      </c>
      <c r="BQ5" s="385" t="e">
        <f>ROUND(#REF!*25%,2)</f>
        <v>#REF!</v>
      </c>
    </row>
    <row r="6" spans="1:71" ht="27" customHeight="1">
      <c r="F6" s="4"/>
      <c r="G6" s="4"/>
      <c r="N6" s="5" t="s">
        <v>0</v>
      </c>
      <c r="O6" s="5"/>
      <c r="P6" s="5" t="s">
        <v>0</v>
      </c>
      <c r="Q6" s="5"/>
      <c r="W6" s="1489" t="s">
        <v>182</v>
      </c>
      <c r="X6" s="1490"/>
      <c r="Y6" s="1491"/>
      <c r="Z6" s="1489" t="s">
        <v>181</v>
      </c>
      <c r="AA6" s="1490"/>
      <c r="AB6" s="1491"/>
      <c r="AC6" s="1489" t="s">
        <v>186</v>
      </c>
      <c r="AD6" s="1490"/>
      <c r="AE6" s="1491"/>
      <c r="AF6" s="1489" t="s">
        <v>189</v>
      </c>
      <c r="AG6" s="1490"/>
      <c r="AH6" s="1491"/>
      <c r="AI6" s="275"/>
      <c r="AJ6" s="1492" t="s">
        <v>188</v>
      </c>
      <c r="AK6" s="1493"/>
      <c r="AL6" s="1494"/>
      <c r="AM6" s="1492" t="s">
        <v>187</v>
      </c>
      <c r="AN6" s="1493"/>
      <c r="AO6" s="1494"/>
      <c r="AP6" s="1492" t="s">
        <v>213</v>
      </c>
      <c r="AQ6" s="1493"/>
      <c r="AR6" s="1494"/>
      <c r="AS6" s="275"/>
      <c r="AT6" s="1495" t="s">
        <v>179</v>
      </c>
      <c r="AU6" s="1496"/>
      <c r="AV6" s="1496" t="s">
        <v>178</v>
      </c>
      <c r="AW6" s="1496"/>
      <c r="AX6" s="1496" t="s">
        <v>180</v>
      </c>
      <c r="AY6" s="1497"/>
      <c r="AZ6" s="1498" t="s">
        <v>183</v>
      </c>
      <c r="BA6" s="1488"/>
      <c r="BB6" s="1488" t="s">
        <v>184</v>
      </c>
      <c r="BC6" s="1488"/>
      <c r="BD6" s="1488" t="s">
        <v>185</v>
      </c>
      <c r="BE6" s="1501"/>
      <c r="BF6" s="1502" t="s">
        <v>190</v>
      </c>
      <c r="BG6" s="1503"/>
      <c r="BH6" s="1503" t="s">
        <v>191</v>
      </c>
      <c r="BI6" s="1503"/>
      <c r="BJ6" s="1503" t="s">
        <v>192</v>
      </c>
      <c r="BK6" s="1504"/>
      <c r="BL6" s="1505" t="s">
        <v>193</v>
      </c>
      <c r="BM6" s="1499"/>
      <c r="BN6" s="1499" t="s">
        <v>194</v>
      </c>
      <c r="BO6" s="1499"/>
      <c r="BP6" s="1499" t="s">
        <v>195</v>
      </c>
      <c r="BQ6" s="1500"/>
      <c r="BR6" s="307" t="s">
        <v>198</v>
      </c>
      <c r="BS6" s="307" t="s">
        <v>199</v>
      </c>
    </row>
    <row r="7" spans="1:71" s="31" customFormat="1" ht="73.5" customHeight="1">
      <c r="A7" s="308" t="s">
        <v>275</v>
      </c>
      <c r="B7" s="312" t="s">
        <v>205</v>
      </c>
      <c r="C7" s="308" t="s">
        <v>200</v>
      </c>
      <c r="D7" s="12" t="s">
        <v>1</v>
      </c>
      <c r="E7" s="12" t="s">
        <v>2</v>
      </c>
      <c r="F7" s="12" t="s">
        <v>68</v>
      </c>
      <c r="G7" s="12" t="s">
        <v>4</v>
      </c>
      <c r="H7" s="12" t="s">
        <v>5</v>
      </c>
      <c r="I7" s="12" t="s">
        <v>6</v>
      </c>
      <c r="J7" s="89" t="s">
        <v>202</v>
      </c>
      <c r="K7" s="90" t="s">
        <v>73</v>
      </c>
      <c r="L7" s="90" t="s">
        <v>203</v>
      </c>
      <c r="M7" s="328" t="s">
        <v>62</v>
      </c>
      <c r="N7" s="90" t="s">
        <v>50</v>
      </c>
      <c r="O7" s="90" t="s">
        <v>62</v>
      </c>
      <c r="P7" s="90" t="s">
        <v>138</v>
      </c>
      <c r="Q7" s="89" t="s">
        <v>62</v>
      </c>
      <c r="R7" s="325"/>
      <c r="S7" s="12" t="s">
        <v>210</v>
      </c>
      <c r="T7" s="12" t="s">
        <v>211</v>
      </c>
      <c r="U7" s="12" t="s">
        <v>212</v>
      </c>
      <c r="W7" s="261" t="s">
        <v>82</v>
      </c>
      <c r="X7" s="252" t="s">
        <v>177</v>
      </c>
      <c r="Y7" s="268" t="s">
        <v>196</v>
      </c>
      <c r="Z7" s="261" t="s">
        <v>82</v>
      </c>
      <c r="AA7" s="252" t="s">
        <v>177</v>
      </c>
      <c r="AB7" s="268" t="s">
        <v>196</v>
      </c>
      <c r="AC7" s="261" t="s">
        <v>82</v>
      </c>
      <c r="AD7" s="252" t="s">
        <v>177</v>
      </c>
      <c r="AE7" s="268" t="s">
        <v>196</v>
      </c>
      <c r="AF7" s="261" t="s">
        <v>82</v>
      </c>
      <c r="AG7" s="252" t="s">
        <v>177</v>
      </c>
      <c r="AH7" s="268" t="s">
        <v>196</v>
      </c>
      <c r="AI7" s="276"/>
      <c r="AJ7" s="261" t="s">
        <v>82</v>
      </c>
      <c r="AK7" s="246" t="s">
        <v>177</v>
      </c>
      <c r="AL7" s="279" t="s">
        <v>196</v>
      </c>
      <c r="AM7" s="261" t="s">
        <v>82</v>
      </c>
      <c r="AN7" s="246" t="s">
        <v>177</v>
      </c>
      <c r="AO7" s="279" t="s">
        <v>196</v>
      </c>
      <c r="AP7" s="261" t="s">
        <v>82</v>
      </c>
      <c r="AQ7" s="246" t="s">
        <v>177</v>
      </c>
      <c r="AR7" s="279" t="s">
        <v>196</v>
      </c>
      <c r="AS7" s="276"/>
      <c r="AT7" s="288" t="s">
        <v>82</v>
      </c>
      <c r="AU7" s="286" t="s">
        <v>177</v>
      </c>
      <c r="AV7" s="285" t="s">
        <v>82</v>
      </c>
      <c r="AW7" s="286" t="s">
        <v>177</v>
      </c>
      <c r="AX7" s="285" t="s">
        <v>82</v>
      </c>
      <c r="AY7" s="291" t="s">
        <v>177</v>
      </c>
      <c r="AZ7" s="295" t="s">
        <v>82</v>
      </c>
      <c r="BA7" s="294" t="s">
        <v>177</v>
      </c>
      <c r="BB7" s="293" t="s">
        <v>82</v>
      </c>
      <c r="BC7" s="294" t="s">
        <v>177</v>
      </c>
      <c r="BD7" s="293" t="s">
        <v>82</v>
      </c>
      <c r="BE7" s="296" t="s">
        <v>177</v>
      </c>
      <c r="BF7" s="299" t="s">
        <v>82</v>
      </c>
      <c r="BG7" s="298" t="s">
        <v>177</v>
      </c>
      <c r="BH7" s="297" t="s">
        <v>82</v>
      </c>
      <c r="BI7" s="298" t="s">
        <v>177</v>
      </c>
      <c r="BJ7" s="297" t="s">
        <v>82</v>
      </c>
      <c r="BK7" s="300" t="s">
        <v>177</v>
      </c>
      <c r="BL7" s="304" t="s">
        <v>82</v>
      </c>
      <c r="BM7" s="303" t="s">
        <v>177</v>
      </c>
      <c r="BN7" s="302" t="s">
        <v>82</v>
      </c>
      <c r="BO7" s="303" t="s">
        <v>177</v>
      </c>
      <c r="BP7" s="302" t="s">
        <v>82</v>
      </c>
      <c r="BQ7" s="284" t="s">
        <v>177</v>
      </c>
    </row>
    <row r="8" spans="1:71" s="358" customFormat="1" ht="47.25">
      <c r="B8" s="359"/>
      <c r="C8" s="358" t="s">
        <v>201</v>
      </c>
      <c r="D8" s="506" t="s">
        <v>30</v>
      </c>
      <c r="E8" s="360">
        <v>4</v>
      </c>
      <c r="F8" s="506" t="s">
        <v>47</v>
      </c>
      <c r="G8" s="360">
        <v>244</v>
      </c>
      <c r="H8" s="361">
        <v>310</v>
      </c>
      <c r="I8" s="362" t="s">
        <v>302</v>
      </c>
      <c r="J8" s="363">
        <v>306810</v>
      </c>
      <c r="K8" s="363"/>
      <c r="L8" s="363"/>
      <c r="M8" s="364"/>
      <c r="N8" s="363">
        <v>306810</v>
      </c>
      <c r="O8" s="363"/>
      <c r="P8" s="363">
        <v>306810</v>
      </c>
      <c r="Q8" s="363"/>
      <c r="R8" s="365"/>
      <c r="S8" s="366"/>
      <c r="T8" s="366"/>
      <c r="U8" s="366"/>
      <c r="W8" s="367">
        <f t="shared" ref="W8:X13" si="2">AT8+AV8+AX8</f>
        <v>0</v>
      </c>
      <c r="X8" s="363">
        <f t="shared" si="2"/>
        <v>0</v>
      </c>
      <c r="Y8" s="280">
        <f t="shared" ref="Y8:Y13" si="3">W8-X8</f>
        <v>0</v>
      </c>
      <c r="Z8" s="367">
        <f t="shared" ref="Z8:AA13" si="4">AZ8+BB8+BD8</f>
        <v>0</v>
      </c>
      <c r="AA8" s="363">
        <f t="shared" si="4"/>
        <v>0</v>
      </c>
      <c r="AB8" s="280">
        <f t="shared" ref="AB8:AB13" si="5">Z8-AA8</f>
        <v>0</v>
      </c>
      <c r="AC8" s="367">
        <f t="shared" ref="AC8:AD13" si="6">BF8+BH8+BJ8</f>
        <v>0</v>
      </c>
      <c r="AD8" s="363">
        <f t="shared" si="6"/>
        <v>0</v>
      </c>
      <c r="AE8" s="280">
        <f t="shared" ref="AE8:AE13" si="7">AC8-AD8</f>
        <v>0</v>
      </c>
      <c r="AF8" s="367">
        <f t="shared" ref="AF8:AG13" si="8">BL8+BN8+BP8</f>
        <v>0</v>
      </c>
      <c r="AG8" s="363">
        <f t="shared" si="8"/>
        <v>0</v>
      </c>
      <c r="AH8" s="280">
        <f t="shared" ref="AH8:AH13" si="9">AF8-AG8</f>
        <v>0</v>
      </c>
      <c r="AI8" s="368"/>
      <c r="AJ8" s="367">
        <f t="shared" ref="AJ8:AK13" si="10">W8+Z8</f>
        <v>0</v>
      </c>
      <c r="AK8" s="363">
        <f t="shared" si="10"/>
        <v>0</v>
      </c>
      <c r="AL8" s="280">
        <f t="shared" ref="AL8:AL13" si="11">AJ8-AK8</f>
        <v>0</v>
      </c>
      <c r="AM8" s="367">
        <f t="shared" ref="AM8:AN13" si="12">W8+Z8+AC8</f>
        <v>0</v>
      </c>
      <c r="AN8" s="363">
        <f t="shared" si="12"/>
        <v>0</v>
      </c>
      <c r="AO8" s="280">
        <f t="shared" ref="AO8:AO13" si="13">AM8-AN8</f>
        <v>0</v>
      </c>
      <c r="AP8" s="367">
        <f t="shared" ref="AP8:AQ13" si="14">W8+Z8+AC8+AF8</f>
        <v>0</v>
      </c>
      <c r="AQ8" s="363">
        <f t="shared" si="14"/>
        <v>0</v>
      </c>
      <c r="AR8" s="280">
        <f t="shared" ref="AR8:AR13" si="15">AP8-AQ8</f>
        <v>0</v>
      </c>
      <c r="AS8" s="368"/>
      <c r="AT8" s="367"/>
      <c r="AU8" s="363"/>
      <c r="AV8" s="363"/>
      <c r="AW8" s="363"/>
      <c r="AX8" s="363"/>
      <c r="AY8" s="369"/>
      <c r="AZ8" s="367"/>
      <c r="BA8" s="363"/>
      <c r="BB8" s="363"/>
      <c r="BC8" s="363"/>
      <c r="BD8" s="363"/>
      <c r="BE8" s="369"/>
      <c r="BF8" s="367"/>
      <c r="BG8" s="363"/>
      <c r="BH8" s="363"/>
      <c r="BI8" s="363"/>
      <c r="BJ8" s="363"/>
      <c r="BK8" s="369"/>
      <c r="BL8" s="367"/>
      <c r="BM8" s="363"/>
      <c r="BN8" s="363"/>
      <c r="BO8" s="363"/>
      <c r="BP8" s="363"/>
      <c r="BQ8" s="280"/>
    </row>
    <row r="9" spans="1:71" s="313" customFormat="1" ht="25.5">
      <c r="D9" s="373" t="s">
        <v>30</v>
      </c>
      <c r="E9" s="315">
        <v>4</v>
      </c>
      <c r="F9" s="314" t="s">
        <v>47</v>
      </c>
      <c r="G9" s="314">
        <v>244</v>
      </c>
      <c r="H9" s="316">
        <v>310</v>
      </c>
      <c r="I9" s="317" t="s">
        <v>303</v>
      </c>
      <c r="J9" s="318">
        <v>306810</v>
      </c>
      <c r="K9" s="318"/>
      <c r="L9" s="318"/>
      <c r="M9" s="329"/>
      <c r="N9" s="319">
        <v>306810</v>
      </c>
      <c r="O9" s="319"/>
      <c r="P9" s="319">
        <v>306810</v>
      </c>
      <c r="Q9" s="319"/>
      <c r="R9" s="335"/>
      <c r="S9" s="320"/>
      <c r="T9" s="320"/>
      <c r="U9" s="320"/>
      <c r="W9" s="336">
        <f t="shared" si="2"/>
        <v>0</v>
      </c>
      <c r="X9" s="337">
        <f t="shared" si="2"/>
        <v>0</v>
      </c>
      <c r="Y9" s="338">
        <f t="shared" si="3"/>
        <v>0</v>
      </c>
      <c r="Z9" s="336">
        <f t="shared" si="4"/>
        <v>0</v>
      </c>
      <c r="AA9" s="337">
        <f t="shared" si="4"/>
        <v>0</v>
      </c>
      <c r="AB9" s="338">
        <f t="shared" si="5"/>
        <v>0</v>
      </c>
      <c r="AC9" s="336">
        <f t="shared" si="6"/>
        <v>0</v>
      </c>
      <c r="AD9" s="337">
        <f t="shared" si="6"/>
        <v>0</v>
      </c>
      <c r="AE9" s="338">
        <f t="shared" si="7"/>
        <v>0</v>
      </c>
      <c r="AF9" s="336">
        <f t="shared" si="8"/>
        <v>0</v>
      </c>
      <c r="AG9" s="337">
        <f t="shared" si="8"/>
        <v>0</v>
      </c>
      <c r="AH9" s="338">
        <f t="shared" si="9"/>
        <v>0</v>
      </c>
      <c r="AI9" s="342"/>
      <c r="AJ9" s="336">
        <f t="shared" si="10"/>
        <v>0</v>
      </c>
      <c r="AK9" s="339">
        <f t="shared" si="10"/>
        <v>0</v>
      </c>
      <c r="AL9" s="340">
        <f t="shared" si="11"/>
        <v>0</v>
      </c>
      <c r="AM9" s="336">
        <f t="shared" si="12"/>
        <v>0</v>
      </c>
      <c r="AN9" s="339">
        <f t="shared" si="12"/>
        <v>0</v>
      </c>
      <c r="AO9" s="340">
        <f t="shared" si="13"/>
        <v>0</v>
      </c>
      <c r="AP9" s="341">
        <f t="shared" si="14"/>
        <v>0</v>
      </c>
      <c r="AQ9" s="339">
        <f t="shared" si="14"/>
        <v>0</v>
      </c>
      <c r="AR9" s="340">
        <f t="shared" si="15"/>
        <v>0</v>
      </c>
      <c r="AS9" s="342"/>
      <c r="AT9" s="343"/>
      <c r="AU9" s="344"/>
      <c r="AV9" s="345"/>
      <c r="AW9" s="344"/>
      <c r="AX9" s="345"/>
      <c r="AY9" s="346"/>
      <c r="AZ9" s="347"/>
      <c r="BA9" s="348"/>
      <c r="BB9" s="349"/>
      <c r="BC9" s="348"/>
      <c r="BD9" s="349"/>
      <c r="BE9" s="350"/>
      <c r="BF9" s="351"/>
      <c r="BG9" s="352"/>
      <c r="BH9" s="337"/>
      <c r="BI9" s="352"/>
      <c r="BJ9" s="337"/>
      <c r="BK9" s="353"/>
      <c r="BL9" s="354"/>
      <c r="BM9" s="355"/>
      <c r="BN9" s="356"/>
      <c r="BO9" s="355"/>
      <c r="BP9" s="356"/>
      <c r="BQ9" s="357"/>
    </row>
    <row r="10" spans="1:71" s="358" customFormat="1" ht="47.25">
      <c r="B10" s="359"/>
      <c r="C10" s="358" t="s">
        <v>201</v>
      </c>
      <c r="D10" s="506" t="s">
        <v>31</v>
      </c>
      <c r="E10" s="360">
        <v>4</v>
      </c>
      <c r="F10" s="506" t="s">
        <v>47</v>
      </c>
      <c r="G10" s="360">
        <v>244</v>
      </c>
      <c r="H10" s="361">
        <v>310</v>
      </c>
      <c r="I10" s="362" t="s">
        <v>302</v>
      </c>
      <c r="J10" s="363">
        <v>715890</v>
      </c>
      <c r="K10" s="363"/>
      <c r="L10" s="363"/>
      <c r="M10" s="364"/>
      <c r="N10" s="363">
        <v>715890</v>
      </c>
      <c r="O10" s="363"/>
      <c r="P10" s="363">
        <v>715890</v>
      </c>
      <c r="Q10" s="363"/>
      <c r="R10" s="365"/>
      <c r="S10" s="366"/>
      <c r="T10" s="366"/>
      <c r="U10" s="366"/>
      <c r="W10" s="367">
        <f t="shared" si="2"/>
        <v>0</v>
      </c>
      <c r="X10" s="363">
        <f t="shared" si="2"/>
        <v>0</v>
      </c>
      <c r="Y10" s="280">
        <f t="shared" si="3"/>
        <v>0</v>
      </c>
      <c r="Z10" s="367">
        <f t="shared" si="4"/>
        <v>0</v>
      </c>
      <c r="AA10" s="363">
        <f t="shared" si="4"/>
        <v>0</v>
      </c>
      <c r="AB10" s="280">
        <f t="shared" si="5"/>
        <v>0</v>
      </c>
      <c r="AC10" s="367">
        <f t="shared" si="6"/>
        <v>0</v>
      </c>
      <c r="AD10" s="363">
        <f t="shared" si="6"/>
        <v>0</v>
      </c>
      <c r="AE10" s="280">
        <f t="shared" si="7"/>
        <v>0</v>
      </c>
      <c r="AF10" s="367">
        <f t="shared" si="8"/>
        <v>0</v>
      </c>
      <c r="AG10" s="363">
        <f t="shared" si="8"/>
        <v>0</v>
      </c>
      <c r="AH10" s="280">
        <f t="shared" si="9"/>
        <v>0</v>
      </c>
      <c r="AI10" s="368"/>
      <c r="AJ10" s="367">
        <f t="shared" si="10"/>
        <v>0</v>
      </c>
      <c r="AK10" s="363">
        <f t="shared" si="10"/>
        <v>0</v>
      </c>
      <c r="AL10" s="280">
        <f t="shared" si="11"/>
        <v>0</v>
      </c>
      <c r="AM10" s="367">
        <f t="shared" si="12"/>
        <v>0</v>
      </c>
      <c r="AN10" s="363">
        <f t="shared" si="12"/>
        <v>0</v>
      </c>
      <c r="AO10" s="280">
        <f t="shared" si="13"/>
        <v>0</v>
      </c>
      <c r="AP10" s="367">
        <f t="shared" si="14"/>
        <v>0</v>
      </c>
      <c r="AQ10" s="363">
        <f t="shared" si="14"/>
        <v>0</v>
      </c>
      <c r="AR10" s="280">
        <f t="shared" si="15"/>
        <v>0</v>
      </c>
      <c r="AS10" s="368"/>
      <c r="AT10" s="367"/>
      <c r="AU10" s="363"/>
      <c r="AV10" s="363"/>
      <c r="AW10" s="363"/>
      <c r="AX10" s="363"/>
      <c r="AY10" s="369"/>
      <c r="AZ10" s="367"/>
      <c r="BA10" s="363"/>
      <c r="BB10" s="363"/>
      <c r="BC10" s="363"/>
      <c r="BD10" s="363"/>
      <c r="BE10" s="369"/>
      <c r="BF10" s="367"/>
      <c r="BG10" s="363"/>
      <c r="BH10" s="363"/>
      <c r="BI10" s="363"/>
      <c r="BJ10" s="363"/>
      <c r="BK10" s="369"/>
      <c r="BL10" s="367"/>
      <c r="BM10" s="363"/>
      <c r="BN10" s="363"/>
      <c r="BO10" s="363"/>
      <c r="BP10" s="363"/>
      <c r="BQ10" s="280"/>
    </row>
    <row r="11" spans="1:71" s="313" customFormat="1" ht="25.5">
      <c r="D11" s="373" t="s">
        <v>31</v>
      </c>
      <c r="E11" s="315">
        <v>4</v>
      </c>
      <c r="F11" s="314" t="s">
        <v>47</v>
      </c>
      <c r="G11" s="314">
        <v>244</v>
      </c>
      <c r="H11" s="316">
        <v>310</v>
      </c>
      <c r="I11" s="317" t="s">
        <v>303</v>
      </c>
      <c r="J11" s="319">
        <v>715890</v>
      </c>
      <c r="K11" s="318"/>
      <c r="L11" s="318"/>
      <c r="M11" s="329"/>
      <c r="N11" s="319">
        <v>715890</v>
      </c>
      <c r="O11" s="319"/>
      <c r="P11" s="319">
        <v>715890</v>
      </c>
      <c r="Q11" s="319"/>
      <c r="R11" s="335"/>
      <c r="S11" s="320"/>
      <c r="T11" s="320"/>
      <c r="U11" s="320"/>
      <c r="W11" s="336">
        <f t="shared" si="2"/>
        <v>0</v>
      </c>
      <c r="X11" s="337">
        <f t="shared" si="2"/>
        <v>0</v>
      </c>
      <c r="Y11" s="338">
        <f t="shared" si="3"/>
        <v>0</v>
      </c>
      <c r="Z11" s="336">
        <f t="shared" si="4"/>
        <v>0</v>
      </c>
      <c r="AA11" s="337">
        <f t="shared" si="4"/>
        <v>0</v>
      </c>
      <c r="AB11" s="338">
        <f t="shared" si="5"/>
        <v>0</v>
      </c>
      <c r="AC11" s="336">
        <f t="shared" si="6"/>
        <v>0</v>
      </c>
      <c r="AD11" s="337">
        <f t="shared" si="6"/>
        <v>0</v>
      </c>
      <c r="AE11" s="338">
        <f t="shared" si="7"/>
        <v>0</v>
      </c>
      <c r="AF11" s="336">
        <f t="shared" si="8"/>
        <v>0</v>
      </c>
      <c r="AG11" s="337">
        <f t="shared" si="8"/>
        <v>0</v>
      </c>
      <c r="AH11" s="338">
        <f t="shared" si="9"/>
        <v>0</v>
      </c>
      <c r="AI11" s="342"/>
      <c r="AJ11" s="336">
        <f t="shared" si="10"/>
        <v>0</v>
      </c>
      <c r="AK11" s="339">
        <f t="shared" si="10"/>
        <v>0</v>
      </c>
      <c r="AL11" s="340">
        <f t="shared" si="11"/>
        <v>0</v>
      </c>
      <c r="AM11" s="336">
        <f t="shared" si="12"/>
        <v>0</v>
      </c>
      <c r="AN11" s="339">
        <f t="shared" si="12"/>
        <v>0</v>
      </c>
      <c r="AO11" s="340">
        <f t="shared" si="13"/>
        <v>0</v>
      </c>
      <c r="AP11" s="341">
        <f t="shared" si="14"/>
        <v>0</v>
      </c>
      <c r="AQ11" s="339">
        <f t="shared" si="14"/>
        <v>0</v>
      </c>
      <c r="AR11" s="340">
        <f t="shared" si="15"/>
        <v>0</v>
      </c>
      <c r="AS11" s="342"/>
      <c r="AT11" s="343"/>
      <c r="AU11" s="344"/>
      <c r="AV11" s="345"/>
      <c r="AW11" s="344"/>
      <c r="AX11" s="345"/>
      <c r="AY11" s="346"/>
      <c r="AZ11" s="347"/>
      <c r="BA11" s="348"/>
      <c r="BB11" s="349"/>
      <c r="BC11" s="348"/>
      <c r="BD11" s="349"/>
      <c r="BE11" s="350"/>
      <c r="BF11" s="351"/>
      <c r="BG11" s="352"/>
      <c r="BH11" s="337"/>
      <c r="BI11" s="352"/>
      <c r="BJ11" s="337"/>
      <c r="BK11" s="353"/>
      <c r="BL11" s="354"/>
      <c r="BM11" s="355"/>
      <c r="BN11" s="356"/>
      <c r="BO11" s="355"/>
      <c r="BP11" s="356"/>
      <c r="BQ11" s="357"/>
    </row>
    <row r="12" spans="1:71" s="358" customFormat="1" ht="47.25">
      <c r="B12" s="359"/>
      <c r="C12" s="358" t="s">
        <v>201</v>
      </c>
      <c r="D12" s="506" t="s">
        <v>7</v>
      </c>
      <c r="E12" s="360">
        <v>4</v>
      </c>
      <c r="F12" s="506" t="s">
        <v>47</v>
      </c>
      <c r="G12" s="360">
        <v>244</v>
      </c>
      <c r="H12" s="361">
        <v>310</v>
      </c>
      <c r="I12" s="362" t="s">
        <v>302</v>
      </c>
      <c r="J12" s="363">
        <v>53826.32</v>
      </c>
      <c r="K12" s="363"/>
      <c r="L12" s="363"/>
      <c r="M12" s="364"/>
      <c r="N12" s="363">
        <v>53826.32</v>
      </c>
      <c r="O12" s="363"/>
      <c r="P12" s="363">
        <v>53826.32</v>
      </c>
      <c r="Q12" s="363"/>
      <c r="R12" s="365"/>
      <c r="S12" s="366"/>
      <c r="T12" s="366"/>
      <c r="U12" s="366"/>
      <c r="W12" s="367">
        <f t="shared" si="2"/>
        <v>0</v>
      </c>
      <c r="X12" s="363">
        <f t="shared" si="2"/>
        <v>0</v>
      </c>
      <c r="Y12" s="280">
        <f t="shared" si="3"/>
        <v>0</v>
      </c>
      <c r="Z12" s="367">
        <f t="shared" si="4"/>
        <v>0</v>
      </c>
      <c r="AA12" s="363">
        <f t="shared" si="4"/>
        <v>0</v>
      </c>
      <c r="AB12" s="280">
        <f t="shared" si="5"/>
        <v>0</v>
      </c>
      <c r="AC12" s="367">
        <f t="shared" si="6"/>
        <v>0</v>
      </c>
      <c r="AD12" s="363">
        <f t="shared" si="6"/>
        <v>0</v>
      </c>
      <c r="AE12" s="280">
        <f t="shared" si="7"/>
        <v>0</v>
      </c>
      <c r="AF12" s="367">
        <f t="shared" si="8"/>
        <v>0</v>
      </c>
      <c r="AG12" s="363">
        <f t="shared" si="8"/>
        <v>0</v>
      </c>
      <c r="AH12" s="280">
        <f t="shared" si="9"/>
        <v>0</v>
      </c>
      <c r="AI12" s="368"/>
      <c r="AJ12" s="367">
        <f t="shared" si="10"/>
        <v>0</v>
      </c>
      <c r="AK12" s="363">
        <f t="shared" si="10"/>
        <v>0</v>
      </c>
      <c r="AL12" s="280">
        <f t="shared" si="11"/>
        <v>0</v>
      </c>
      <c r="AM12" s="367">
        <f t="shared" si="12"/>
        <v>0</v>
      </c>
      <c r="AN12" s="363">
        <f t="shared" si="12"/>
        <v>0</v>
      </c>
      <c r="AO12" s="280">
        <f t="shared" si="13"/>
        <v>0</v>
      </c>
      <c r="AP12" s="367">
        <f t="shared" si="14"/>
        <v>0</v>
      </c>
      <c r="AQ12" s="363">
        <f t="shared" si="14"/>
        <v>0</v>
      </c>
      <c r="AR12" s="280">
        <f t="shared" si="15"/>
        <v>0</v>
      </c>
      <c r="AS12" s="368"/>
      <c r="AT12" s="367"/>
      <c r="AU12" s="363"/>
      <c r="AV12" s="363"/>
      <c r="AW12" s="363"/>
      <c r="AX12" s="363"/>
      <c r="AY12" s="369"/>
      <c r="AZ12" s="367"/>
      <c r="BA12" s="363"/>
      <c r="BB12" s="363"/>
      <c r="BC12" s="363"/>
      <c r="BD12" s="363"/>
      <c r="BE12" s="369"/>
      <c r="BF12" s="367"/>
      <c r="BG12" s="363"/>
      <c r="BH12" s="363"/>
      <c r="BI12" s="363"/>
      <c r="BJ12" s="363"/>
      <c r="BK12" s="369"/>
      <c r="BL12" s="367"/>
      <c r="BM12" s="363"/>
      <c r="BN12" s="363"/>
      <c r="BO12" s="363"/>
      <c r="BP12" s="363"/>
      <c r="BQ12" s="280"/>
    </row>
    <row r="13" spans="1:71" s="313" customFormat="1" ht="25.5">
      <c r="D13" s="373" t="s">
        <v>7</v>
      </c>
      <c r="E13" s="315">
        <v>4</v>
      </c>
      <c r="F13" s="314" t="s">
        <v>47</v>
      </c>
      <c r="G13" s="314">
        <v>244</v>
      </c>
      <c r="H13" s="316">
        <v>310</v>
      </c>
      <c r="I13" s="317" t="s">
        <v>303</v>
      </c>
      <c r="J13" s="318">
        <v>53826.32</v>
      </c>
      <c r="K13" s="318"/>
      <c r="L13" s="318"/>
      <c r="M13" s="329"/>
      <c r="N13" s="319">
        <v>53826.32</v>
      </c>
      <c r="O13" s="319"/>
      <c r="P13" s="319">
        <v>53826.32</v>
      </c>
      <c r="Q13" s="319"/>
      <c r="R13" s="335"/>
      <c r="S13" s="320"/>
      <c r="T13" s="320"/>
      <c r="U13" s="320"/>
      <c r="W13" s="336">
        <f t="shared" si="2"/>
        <v>0</v>
      </c>
      <c r="X13" s="337">
        <f t="shared" si="2"/>
        <v>0</v>
      </c>
      <c r="Y13" s="338">
        <f t="shared" si="3"/>
        <v>0</v>
      </c>
      <c r="Z13" s="336">
        <f t="shared" si="4"/>
        <v>0</v>
      </c>
      <c r="AA13" s="337">
        <f t="shared" si="4"/>
        <v>0</v>
      </c>
      <c r="AB13" s="338">
        <f t="shared" si="5"/>
        <v>0</v>
      </c>
      <c r="AC13" s="336">
        <f t="shared" si="6"/>
        <v>0</v>
      </c>
      <c r="AD13" s="337">
        <f t="shared" si="6"/>
        <v>0</v>
      </c>
      <c r="AE13" s="338">
        <f t="shared" si="7"/>
        <v>0</v>
      </c>
      <c r="AF13" s="336">
        <f t="shared" si="8"/>
        <v>0</v>
      </c>
      <c r="AG13" s="337">
        <f t="shared" si="8"/>
        <v>0</v>
      </c>
      <c r="AH13" s="338">
        <f t="shared" si="9"/>
        <v>0</v>
      </c>
      <c r="AI13" s="342"/>
      <c r="AJ13" s="336">
        <f t="shared" si="10"/>
        <v>0</v>
      </c>
      <c r="AK13" s="339">
        <f t="shared" si="10"/>
        <v>0</v>
      </c>
      <c r="AL13" s="340">
        <f t="shared" si="11"/>
        <v>0</v>
      </c>
      <c r="AM13" s="336">
        <f t="shared" si="12"/>
        <v>0</v>
      </c>
      <c r="AN13" s="339">
        <f t="shared" si="12"/>
        <v>0</v>
      </c>
      <c r="AO13" s="340">
        <f t="shared" si="13"/>
        <v>0</v>
      </c>
      <c r="AP13" s="341">
        <f t="shared" si="14"/>
        <v>0</v>
      </c>
      <c r="AQ13" s="339">
        <f t="shared" si="14"/>
        <v>0</v>
      </c>
      <c r="AR13" s="340">
        <f t="shared" si="15"/>
        <v>0</v>
      </c>
      <c r="AS13" s="342"/>
      <c r="AT13" s="343"/>
      <c r="AU13" s="344"/>
      <c r="AV13" s="345"/>
      <c r="AW13" s="344"/>
      <c r="AX13" s="345"/>
      <c r="AY13" s="346"/>
      <c r="AZ13" s="347"/>
      <c r="BA13" s="348"/>
      <c r="BB13" s="349"/>
      <c r="BC13" s="348"/>
      <c r="BD13" s="349"/>
      <c r="BE13" s="350"/>
      <c r="BF13" s="351"/>
      <c r="BG13" s="352"/>
      <c r="BH13" s="337"/>
      <c r="BI13" s="352"/>
      <c r="BJ13" s="337"/>
      <c r="BK13" s="353"/>
      <c r="BL13" s="354"/>
      <c r="BM13" s="355"/>
      <c r="BN13" s="356"/>
      <c r="BO13" s="355"/>
      <c r="BP13" s="356"/>
      <c r="BQ13" s="357"/>
    </row>
    <row r="17" spans="3:69" ht="35.25">
      <c r="D17" s="507" t="s">
        <v>313</v>
      </c>
      <c r="E17" s="508"/>
      <c r="F17" s="508"/>
      <c r="G17" s="508"/>
      <c r="H17" s="508"/>
      <c r="I17" s="508"/>
    </row>
    <row r="19" spans="3:69" s="475" customFormat="1" ht="47.25">
      <c r="C19" s="475" t="s">
        <v>201</v>
      </c>
      <c r="D19" s="476" t="s">
        <v>314</v>
      </c>
      <c r="E19" s="476">
        <v>4</v>
      </c>
      <c r="F19" s="476" t="s">
        <v>47</v>
      </c>
      <c r="G19" s="476">
        <v>244</v>
      </c>
      <c r="H19" s="477">
        <v>226</v>
      </c>
      <c r="I19" s="478" t="s">
        <v>175</v>
      </c>
      <c r="J19" s="479">
        <v>26625.3</v>
      </c>
      <c r="K19" s="479"/>
      <c r="L19" s="479"/>
      <c r="M19" s="429"/>
      <c r="N19" s="480">
        <v>44052.53</v>
      </c>
      <c r="O19" s="480"/>
      <c r="P19" s="480">
        <v>27043.14</v>
      </c>
      <c r="Q19" s="480"/>
      <c r="R19" s="481"/>
      <c r="S19" s="482"/>
      <c r="T19" s="482"/>
      <c r="U19" s="482"/>
      <c r="W19" s="483">
        <f>AT19+AV19+AX19</f>
        <v>0</v>
      </c>
      <c r="X19" s="480">
        <f>AU19+AW19+AY19</f>
        <v>0</v>
      </c>
      <c r="Y19" s="484">
        <f>W19-X19</f>
        <v>0</v>
      </c>
      <c r="Z19" s="483">
        <f>AZ19+BB19+BD19</f>
        <v>0</v>
      </c>
      <c r="AA19" s="480">
        <f>BA19+BC19+BE19</f>
        <v>0</v>
      </c>
      <c r="AB19" s="484">
        <f>Z19-AA19</f>
        <v>0</v>
      </c>
      <c r="AC19" s="483">
        <f>BF19+BH19+BJ19</f>
        <v>0</v>
      </c>
      <c r="AD19" s="480">
        <f>BG19+BI19+BK19</f>
        <v>0</v>
      </c>
      <c r="AE19" s="484">
        <f>AC19-AD19</f>
        <v>0</v>
      </c>
      <c r="AF19" s="483">
        <f>BL19+BN19+BP19</f>
        <v>0</v>
      </c>
      <c r="AG19" s="480">
        <f>BM19+BO19+BQ19</f>
        <v>0</v>
      </c>
      <c r="AH19" s="484">
        <f>AF19-AG19</f>
        <v>0</v>
      </c>
      <c r="AI19" s="485"/>
      <c r="AJ19" s="483">
        <f>W19+Z19</f>
        <v>0</v>
      </c>
      <c r="AK19" s="480">
        <f>X19+AA19</f>
        <v>0</v>
      </c>
      <c r="AL19" s="484">
        <f>AJ19-AK19</f>
        <v>0</v>
      </c>
      <c r="AM19" s="483">
        <f>W19+Z19+AC19</f>
        <v>0</v>
      </c>
      <c r="AN19" s="480">
        <f>X19+AA19+AD19</f>
        <v>0</v>
      </c>
      <c r="AO19" s="484">
        <f>AM19-AN19</f>
        <v>0</v>
      </c>
      <c r="AP19" s="486">
        <f>W19+Z19+AC19+AF19</f>
        <v>0</v>
      </c>
      <c r="AQ19" s="480">
        <f>X19+AA19+AD19+AG19</f>
        <v>0</v>
      </c>
      <c r="AR19" s="484">
        <f>AP19-AQ19</f>
        <v>0</v>
      </c>
      <c r="AS19" s="485"/>
      <c r="AT19" s="483"/>
      <c r="AU19" s="480"/>
      <c r="AV19" s="480"/>
      <c r="AW19" s="480"/>
      <c r="AX19" s="480"/>
      <c r="AY19" s="487"/>
      <c r="AZ19" s="483"/>
      <c r="BA19" s="480"/>
      <c r="BB19" s="480"/>
      <c r="BC19" s="480"/>
      <c r="BD19" s="480"/>
      <c r="BE19" s="487"/>
      <c r="BF19" s="483"/>
      <c r="BG19" s="480"/>
      <c r="BH19" s="480"/>
      <c r="BI19" s="480"/>
      <c r="BJ19" s="480"/>
      <c r="BK19" s="487"/>
      <c r="BL19" s="483"/>
      <c r="BM19" s="480"/>
      <c r="BN19" s="480"/>
      <c r="BO19" s="480"/>
      <c r="BP19" s="480"/>
      <c r="BQ19" s="484"/>
    </row>
    <row r="20" spans="3:69" s="475" customFormat="1" ht="47.25">
      <c r="C20" s="488" t="s">
        <v>201</v>
      </c>
      <c r="D20" s="476" t="s">
        <v>314</v>
      </c>
      <c r="E20" s="476">
        <v>4</v>
      </c>
      <c r="F20" s="476" t="s">
        <v>47</v>
      </c>
      <c r="G20" s="476">
        <v>244</v>
      </c>
      <c r="H20" s="477">
        <v>346</v>
      </c>
      <c r="I20" s="478" t="s">
        <v>175</v>
      </c>
      <c r="J20" s="479">
        <v>90481.68</v>
      </c>
      <c r="K20" s="479"/>
      <c r="L20" s="479"/>
      <c r="M20" s="429"/>
      <c r="N20" s="480">
        <v>73054.45</v>
      </c>
      <c r="O20" s="480"/>
      <c r="P20" s="480">
        <v>90063.84</v>
      </c>
      <c r="Q20" s="480"/>
      <c r="R20" s="481"/>
      <c r="S20" s="482"/>
      <c r="T20" s="482"/>
      <c r="U20" s="482"/>
      <c r="W20" s="483">
        <f>AT20+AV20+AX20</f>
        <v>0</v>
      </c>
      <c r="X20" s="480">
        <f>AU20+AW20+AY20</f>
        <v>0</v>
      </c>
      <c r="Y20" s="484">
        <f>W20-X20</f>
        <v>0</v>
      </c>
      <c r="Z20" s="483">
        <f>AZ20+BB20+BD20</f>
        <v>0</v>
      </c>
      <c r="AA20" s="480">
        <f>BA20+BC20+BE20</f>
        <v>0</v>
      </c>
      <c r="AB20" s="484">
        <f>Z20-AA20</f>
        <v>0</v>
      </c>
      <c r="AC20" s="483">
        <f>BF20+BH20+BJ20</f>
        <v>0</v>
      </c>
      <c r="AD20" s="480">
        <f>BG20+BI20+BK20</f>
        <v>0</v>
      </c>
      <c r="AE20" s="484">
        <f>AC20-AD20</f>
        <v>0</v>
      </c>
      <c r="AF20" s="483">
        <f>BL20+BN20+BP20</f>
        <v>0</v>
      </c>
      <c r="AG20" s="480">
        <f>BM20+BO20+BQ20</f>
        <v>0</v>
      </c>
      <c r="AH20" s="484">
        <f>AF20-AG20</f>
        <v>0</v>
      </c>
      <c r="AI20" s="485"/>
      <c r="AJ20" s="483">
        <f>W20+Z20</f>
        <v>0</v>
      </c>
      <c r="AK20" s="480">
        <f>X20+AA20</f>
        <v>0</v>
      </c>
      <c r="AL20" s="484">
        <f>AJ20-AK20</f>
        <v>0</v>
      </c>
      <c r="AM20" s="483">
        <f>W20+Z20+AC20</f>
        <v>0</v>
      </c>
      <c r="AN20" s="480">
        <f>X20+AA20+AD20</f>
        <v>0</v>
      </c>
      <c r="AO20" s="484">
        <f>AM20-AN20</f>
        <v>0</v>
      </c>
      <c r="AP20" s="486">
        <f>W20+Z20+AC20+AF20</f>
        <v>0</v>
      </c>
      <c r="AQ20" s="480">
        <f>X20+AA20+AD20+AG20</f>
        <v>0</v>
      </c>
      <c r="AR20" s="484">
        <f>AP20-AQ20</f>
        <v>0</v>
      </c>
      <c r="AS20" s="485"/>
      <c r="AT20" s="483"/>
      <c r="AU20" s="480"/>
      <c r="AV20" s="480"/>
      <c r="AW20" s="480"/>
      <c r="AX20" s="480"/>
      <c r="AY20" s="487"/>
      <c r="AZ20" s="483"/>
      <c r="BA20" s="480"/>
      <c r="BB20" s="480"/>
      <c r="BC20" s="480"/>
      <c r="BD20" s="480"/>
      <c r="BE20" s="487"/>
      <c r="BF20" s="483"/>
      <c r="BG20" s="480"/>
      <c r="BH20" s="480"/>
      <c r="BI20" s="480"/>
      <c r="BJ20" s="480"/>
      <c r="BK20" s="487"/>
      <c r="BL20" s="483"/>
      <c r="BM20" s="480"/>
      <c r="BN20" s="480"/>
      <c r="BO20" s="480"/>
      <c r="BP20" s="480"/>
      <c r="BQ20" s="484"/>
    </row>
    <row r="24" spans="3:69" s="490" customFormat="1" ht="31.5">
      <c r="D24" s="491" t="s">
        <v>7</v>
      </c>
      <c r="E24" s="491">
        <v>4</v>
      </c>
      <c r="F24" s="491" t="s">
        <v>71</v>
      </c>
      <c r="G24" s="491">
        <v>244</v>
      </c>
      <c r="H24" s="492">
        <v>226</v>
      </c>
      <c r="I24" s="493" t="s">
        <v>172</v>
      </c>
      <c r="J24" s="479">
        <v>0</v>
      </c>
      <c r="K24" s="479"/>
      <c r="L24" s="479"/>
      <c r="M24" s="494"/>
      <c r="N24" s="495">
        <v>834.1</v>
      </c>
      <c r="O24" s="495"/>
      <c r="P24" s="495">
        <v>834.1</v>
      </c>
      <c r="Q24" s="495"/>
      <c r="R24" s="496"/>
      <c r="S24" s="497"/>
      <c r="T24" s="497"/>
      <c r="U24" s="497"/>
      <c r="W24" s="498">
        <f>AT24+AV24+AX24</f>
        <v>0</v>
      </c>
      <c r="X24" s="495">
        <f>AU24+AW24+AY24</f>
        <v>0</v>
      </c>
      <c r="Y24" s="499">
        <f>W24-X24</f>
        <v>0</v>
      </c>
      <c r="Z24" s="498">
        <f>AZ24+BB24+BD24</f>
        <v>0</v>
      </c>
      <c r="AA24" s="495">
        <f>BA24+BC24+BE24</f>
        <v>0</v>
      </c>
      <c r="AB24" s="499">
        <f>Z24-AA24</f>
        <v>0</v>
      </c>
      <c r="AC24" s="498">
        <f>BF24+BH24+BJ24</f>
        <v>0</v>
      </c>
      <c r="AD24" s="495">
        <f>BG24+BI24+BK24</f>
        <v>0</v>
      </c>
      <c r="AE24" s="499">
        <f>AC24-AD24</f>
        <v>0</v>
      </c>
      <c r="AF24" s="498">
        <f>BL24+BN24+BP24</f>
        <v>0</v>
      </c>
      <c r="AG24" s="495">
        <f>BM24+BO24+BQ24</f>
        <v>0</v>
      </c>
      <c r="AH24" s="499">
        <f>AF24-AG24</f>
        <v>0</v>
      </c>
      <c r="AI24" s="500"/>
      <c r="AJ24" s="498">
        <f>W24+Z24</f>
        <v>0</v>
      </c>
      <c r="AK24" s="495">
        <f>X24+AA24</f>
        <v>0</v>
      </c>
      <c r="AL24" s="499">
        <f>AJ24-AK24</f>
        <v>0</v>
      </c>
      <c r="AM24" s="498">
        <f>W24+Z24+AC24</f>
        <v>0</v>
      </c>
      <c r="AN24" s="495">
        <f>X24+AA24+AD24</f>
        <v>0</v>
      </c>
      <c r="AO24" s="499">
        <f>AM24-AN24</f>
        <v>0</v>
      </c>
      <c r="AP24" s="501">
        <f>W24+Z24+AC24+AF24</f>
        <v>0</v>
      </c>
      <c r="AQ24" s="495">
        <f>X24+AA24+AD24+AG24</f>
        <v>0</v>
      </c>
      <c r="AR24" s="499">
        <f>AP24-AQ24</f>
        <v>0</v>
      </c>
      <c r="AS24" s="500"/>
      <c r="AT24" s="498"/>
      <c r="AU24" s="495"/>
      <c r="AV24" s="495"/>
      <c r="AW24" s="495"/>
      <c r="AX24" s="495"/>
      <c r="AY24" s="502"/>
      <c r="AZ24" s="498"/>
      <c r="BA24" s="495"/>
      <c r="BB24" s="495"/>
      <c r="BC24" s="495"/>
      <c r="BD24" s="495"/>
      <c r="BE24" s="502"/>
      <c r="BF24" s="498"/>
      <c r="BG24" s="495"/>
      <c r="BH24" s="495"/>
      <c r="BI24" s="495"/>
      <c r="BJ24" s="495"/>
      <c r="BK24" s="502"/>
      <c r="BL24" s="498"/>
      <c r="BM24" s="495"/>
      <c r="BN24" s="495"/>
      <c r="BO24" s="495"/>
      <c r="BP24" s="495"/>
      <c r="BQ24" s="499"/>
    </row>
    <row r="25" spans="3:69" s="490" customFormat="1" ht="31.5">
      <c r="D25" s="491" t="s">
        <v>7</v>
      </c>
      <c r="E25" s="491">
        <v>4</v>
      </c>
      <c r="F25" s="491" t="s">
        <v>71</v>
      </c>
      <c r="G25" s="491">
        <v>244</v>
      </c>
      <c r="H25" s="492">
        <v>226</v>
      </c>
      <c r="I25" s="493" t="s">
        <v>171</v>
      </c>
      <c r="J25" s="479">
        <v>0</v>
      </c>
      <c r="K25" s="479"/>
      <c r="L25" s="479"/>
      <c r="M25" s="494"/>
      <c r="N25" s="479">
        <v>19775.91</v>
      </c>
      <c r="O25" s="479"/>
      <c r="P25" s="479">
        <v>19775.91</v>
      </c>
      <c r="Q25" s="479"/>
      <c r="R25" s="496"/>
      <c r="S25" s="497"/>
      <c r="T25" s="497"/>
      <c r="U25" s="497"/>
      <c r="W25" s="501">
        <f>AT25+AV25+AX25</f>
        <v>0</v>
      </c>
      <c r="X25" s="479">
        <f>AU25+AW25+AY25</f>
        <v>0</v>
      </c>
      <c r="Y25" s="503">
        <f>W25-X25</f>
        <v>0</v>
      </c>
      <c r="Z25" s="501">
        <f>AZ25+BB25+BD25</f>
        <v>0</v>
      </c>
      <c r="AA25" s="479">
        <f>BA25+BC25+BE25</f>
        <v>0</v>
      </c>
      <c r="AB25" s="503">
        <f>Z25-AA25</f>
        <v>0</v>
      </c>
      <c r="AC25" s="501">
        <f>BF25+BH25+BJ25</f>
        <v>0</v>
      </c>
      <c r="AD25" s="479">
        <f>BG25+BI25+BK25</f>
        <v>0</v>
      </c>
      <c r="AE25" s="503">
        <f>AC25-AD25</f>
        <v>0</v>
      </c>
      <c r="AF25" s="501">
        <f>BL25+BN25+BP25</f>
        <v>0</v>
      </c>
      <c r="AG25" s="479">
        <f>BM25+BO25+BQ25</f>
        <v>0</v>
      </c>
      <c r="AH25" s="503">
        <f>AF25-AG25</f>
        <v>0</v>
      </c>
      <c r="AI25" s="504"/>
      <c r="AJ25" s="501">
        <f>W25+Z25</f>
        <v>0</v>
      </c>
      <c r="AK25" s="479">
        <f>X25+AA25</f>
        <v>0</v>
      </c>
      <c r="AL25" s="503">
        <f>AJ25-AK25</f>
        <v>0</v>
      </c>
      <c r="AM25" s="501">
        <f>W25+Z25+AC25</f>
        <v>0</v>
      </c>
      <c r="AN25" s="479">
        <f>X25+AA25+AD25</f>
        <v>0</v>
      </c>
      <c r="AO25" s="503">
        <f>AM25-AN25</f>
        <v>0</v>
      </c>
      <c r="AP25" s="501">
        <f>W25+Z25+AC25+AF25</f>
        <v>0</v>
      </c>
      <c r="AQ25" s="479">
        <f>X25+AA25+AD25+AG25</f>
        <v>0</v>
      </c>
      <c r="AR25" s="503">
        <f>AP25-AQ25</f>
        <v>0</v>
      </c>
      <c r="AS25" s="504"/>
      <c r="AT25" s="501"/>
      <c r="AU25" s="479"/>
      <c r="AV25" s="479"/>
      <c r="AW25" s="479"/>
      <c r="AX25" s="479"/>
      <c r="AY25" s="505"/>
      <c r="AZ25" s="501"/>
      <c r="BA25" s="479"/>
      <c r="BB25" s="479"/>
      <c r="BC25" s="479"/>
      <c r="BD25" s="479"/>
      <c r="BE25" s="505"/>
      <c r="BF25" s="501"/>
      <c r="BG25" s="479"/>
      <c r="BH25" s="479"/>
      <c r="BI25" s="479"/>
      <c r="BJ25" s="479"/>
      <c r="BK25" s="505"/>
      <c r="BL25" s="501"/>
      <c r="BM25" s="479"/>
      <c r="BN25" s="479"/>
      <c r="BO25" s="479"/>
      <c r="BP25" s="479"/>
      <c r="BQ25" s="503"/>
    </row>
    <row r="65" spans="10:69" ht="12.75">
      <c r="J65" s="2"/>
      <c r="K65" s="2"/>
      <c r="L65" s="2"/>
      <c r="M65" s="2"/>
      <c r="N65" s="2"/>
      <c r="O65" s="2"/>
      <c r="P65" s="2"/>
      <c r="Q65" s="2"/>
      <c r="R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row>
    <row r="81" spans="10:69" ht="12.75">
      <c r="J81" s="2"/>
      <c r="K81" s="2"/>
      <c r="L81" s="2"/>
      <c r="M81" s="2"/>
      <c r="N81" s="2"/>
      <c r="O81" s="2"/>
      <c r="P81" s="2"/>
      <c r="Q81" s="2"/>
      <c r="R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row>
  </sheetData>
  <mergeCells count="19">
    <mergeCell ref="BP6:BQ6"/>
    <mergeCell ref="BD6:BE6"/>
    <mergeCell ref="BF6:BG6"/>
    <mergeCell ref="BH6:BI6"/>
    <mergeCell ref="BJ6:BK6"/>
    <mergeCell ref="BL6:BM6"/>
    <mergeCell ref="BN6:BO6"/>
    <mergeCell ref="BB6:BC6"/>
    <mergeCell ref="W6:Y6"/>
    <mergeCell ref="Z6:AB6"/>
    <mergeCell ref="AC6:AE6"/>
    <mergeCell ref="AF6:AH6"/>
    <mergeCell ref="AJ6:AL6"/>
    <mergeCell ref="AM6:AO6"/>
    <mergeCell ref="AP6:AR6"/>
    <mergeCell ref="AT6:AU6"/>
    <mergeCell ref="AV6:AW6"/>
    <mergeCell ref="AX6:AY6"/>
    <mergeCell ref="AZ6:BA6"/>
  </mergeCells>
  <conditionalFormatting sqref="AP2">
    <cfRule type="expression" dxfId="6681" priority="36">
      <formula>IF(J2=AP2,1,0)</formula>
    </cfRule>
  </conditionalFormatting>
  <conditionalFormatting sqref="D2">
    <cfRule type="cellIs" dxfId="6680" priority="33" operator="equal">
      <formula>"3-001-2214"</formula>
    </cfRule>
    <cfRule type="cellIs" dxfId="6679" priority="34" operator="equal">
      <formula>"3-001-5204"</formula>
    </cfRule>
    <cfRule type="cellIs" dxfId="6678" priority="35" operator="equal">
      <formula>"3-001-0002"</formula>
    </cfRule>
  </conditionalFormatting>
  <conditionalFormatting sqref="AP1">
    <cfRule type="expression" dxfId="6677" priority="32">
      <formula>IF(J1=AP1,1,0)</formula>
    </cfRule>
  </conditionalFormatting>
  <conditionalFormatting sqref="D1">
    <cfRule type="cellIs" dxfId="6676" priority="29" operator="equal">
      <formula>"3-001-2214"</formula>
    </cfRule>
    <cfRule type="cellIs" dxfId="6675" priority="30" operator="equal">
      <formula>"3-001-5204"</formula>
    </cfRule>
    <cfRule type="cellIs" dxfId="6674" priority="31" operator="equal">
      <formula>"3-001-0002"</formula>
    </cfRule>
  </conditionalFormatting>
  <conditionalFormatting sqref="D8">
    <cfRule type="cellIs" dxfId="6673" priority="25" operator="equal">
      <formula>"3-001-2214"</formula>
    </cfRule>
    <cfRule type="cellIs" dxfId="6672" priority="26" operator="equal">
      <formula>"3-001-5204"</formula>
    </cfRule>
    <cfRule type="cellIs" dxfId="6671" priority="27" operator="equal">
      <formula>"3-001-0002"</formula>
    </cfRule>
  </conditionalFormatting>
  <conditionalFormatting sqref="AP8">
    <cfRule type="expression" dxfId="6670" priority="28">
      <formula>IF(J8=AP8,1,0)</formula>
    </cfRule>
  </conditionalFormatting>
  <conditionalFormatting sqref="D9">
    <cfRule type="cellIs" dxfId="6669" priority="21" operator="equal">
      <formula>"3-001-2214"</formula>
    </cfRule>
    <cfRule type="cellIs" dxfId="6668" priority="22" operator="equal">
      <formula>"3-001-5204"</formula>
    </cfRule>
    <cfRule type="cellIs" dxfId="6667" priority="23" operator="equal">
      <formula>"3-001-0002"</formula>
    </cfRule>
  </conditionalFormatting>
  <conditionalFormatting sqref="AP9">
    <cfRule type="expression" dxfId="6666" priority="24">
      <formula>IF(J9=AP9,1,0)</formula>
    </cfRule>
  </conditionalFormatting>
  <conditionalFormatting sqref="D10">
    <cfRule type="cellIs" dxfId="6665" priority="17" operator="equal">
      <formula>"3-001-2214"</formula>
    </cfRule>
    <cfRule type="cellIs" dxfId="6664" priority="18" operator="equal">
      <formula>"3-001-5204"</formula>
    </cfRule>
    <cfRule type="cellIs" dxfId="6663" priority="19" operator="equal">
      <formula>"3-001-0002"</formula>
    </cfRule>
  </conditionalFormatting>
  <conditionalFormatting sqref="D11">
    <cfRule type="cellIs" dxfId="6662" priority="13" operator="equal">
      <formula>"3-001-2214"</formula>
    </cfRule>
    <cfRule type="cellIs" dxfId="6661" priority="14" operator="equal">
      <formula>"3-001-5204"</formula>
    </cfRule>
    <cfRule type="cellIs" dxfId="6660" priority="15" operator="equal">
      <formula>"3-001-0002"</formula>
    </cfRule>
  </conditionalFormatting>
  <conditionalFormatting sqref="AP10">
    <cfRule type="expression" dxfId="6659" priority="20">
      <formula>IF(J10=AP10,1,0)</formula>
    </cfRule>
  </conditionalFormatting>
  <conditionalFormatting sqref="AP11">
    <cfRule type="expression" dxfId="6658" priority="16">
      <formula>IF(J11=AP11,1,0)</formula>
    </cfRule>
  </conditionalFormatting>
  <conditionalFormatting sqref="AP12">
    <cfRule type="expression" dxfId="6657" priority="12">
      <formula>IF(J12=AP12,1,0)</formula>
    </cfRule>
  </conditionalFormatting>
  <conditionalFormatting sqref="D12">
    <cfRule type="cellIs" dxfId="6656" priority="9" operator="equal">
      <formula>"3-001-2214"</formula>
    </cfRule>
    <cfRule type="cellIs" dxfId="6655" priority="10" operator="equal">
      <formula>"3-001-5204"</formula>
    </cfRule>
    <cfRule type="cellIs" dxfId="6654" priority="11" operator="equal">
      <formula>"3-001-0002"</formula>
    </cfRule>
  </conditionalFormatting>
  <conditionalFormatting sqref="AP13">
    <cfRule type="expression" dxfId="6653" priority="8">
      <formula>IF(J13=AP13,1,0)</formula>
    </cfRule>
  </conditionalFormatting>
  <conditionalFormatting sqref="D13">
    <cfRule type="cellIs" dxfId="6652" priority="5" operator="equal">
      <formula>"3-001-2214"</formula>
    </cfRule>
    <cfRule type="cellIs" dxfId="6651" priority="6" operator="equal">
      <formula>"3-001-5204"</formula>
    </cfRule>
    <cfRule type="cellIs" dxfId="6650" priority="7" operator="equal">
      <formula>"3-001-0002"</formula>
    </cfRule>
  </conditionalFormatting>
  <conditionalFormatting sqref="AP20">
    <cfRule type="expression" dxfId="6649" priority="1">
      <formula>IF(J20=AP20,1,0)</formula>
    </cfRule>
  </conditionalFormatting>
  <conditionalFormatting sqref="AP24">
    <cfRule type="expression" dxfId="6648" priority="4">
      <formula>IF(J24=AP24,1,0)</formula>
    </cfRule>
  </conditionalFormatting>
  <conditionalFormatting sqref="AP25">
    <cfRule type="expression" dxfId="6647" priority="3">
      <formula>IF(J25=AP25,1,0)</formula>
    </cfRule>
  </conditionalFormatting>
  <conditionalFormatting sqref="AP19">
    <cfRule type="expression" dxfId="6646" priority="2">
      <formula>IF(J19=AP19,1,0)</formula>
    </cfRule>
  </conditionalFormatting>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4">
    <tabColor rgb="FF00FF00"/>
    <outlinePr summaryBelow="0" summaryRight="0"/>
  </sheetPr>
  <dimension ref="A1:BV442"/>
  <sheetViews>
    <sheetView view="pageBreakPreview" topLeftCell="A3" zoomScale="70" zoomScaleNormal="85" zoomScaleSheetLayoutView="70" workbookViewId="0">
      <pane xSplit="48" ySplit="8" topLeftCell="AW69" activePane="bottomRight" state="frozen"/>
      <selection activeCell="D3" sqref="D3"/>
      <selection pane="topRight" activeCell="AT3" sqref="AT3"/>
      <selection pane="bottomLeft" activeCell="D11" sqref="D11"/>
      <selection pane="bottomRight" activeCell="L71" sqref="L71:L75"/>
    </sheetView>
  </sheetViews>
  <sheetFormatPr defaultRowHeight="15" outlineLevelRow="2" outlineLevelCol="2"/>
  <cols>
    <col min="1" max="1" width="9.140625" style="833"/>
    <col min="2" max="2" width="11" style="813" customWidth="1"/>
    <col min="3" max="3" width="5.140625" style="834" customWidth="1"/>
    <col min="4" max="4" width="6.7109375" style="835" customWidth="1"/>
    <col min="5" max="5" width="3.140625" style="833" customWidth="1"/>
    <col min="6" max="6" width="8.7109375" style="2" customWidth="1"/>
    <col min="7" max="7" width="6.5703125" style="2" customWidth="1"/>
    <col min="8" max="8" width="17.85546875" style="2" customWidth="1"/>
    <col min="9" max="9" width="6.5703125" style="2" customWidth="1"/>
    <col min="10" max="10" width="8.28515625" style="2" customWidth="1"/>
    <col min="11" max="11" width="45.140625" style="2" customWidth="1"/>
    <col min="12" max="12" width="16.5703125" style="88" customWidth="1"/>
    <col min="13" max="13" width="12.140625" style="88" customWidth="1" outlineLevel="1"/>
    <col min="14" max="14" width="15.28515625" style="88" customWidth="1" outlineLevel="1"/>
    <col min="15" max="15" width="15.28515625" style="88" customWidth="1" outlineLevel="1" collapsed="1"/>
    <col min="16" max="16" width="16.42578125" style="326" hidden="1" customWidth="1" outlineLevel="2"/>
    <col min="17" max="17" width="17.5703125" style="88" customWidth="1" outlineLevel="1" collapsed="1"/>
    <col min="18" max="18" width="15.85546875" style="326" hidden="1" customWidth="1" outlineLevel="2"/>
    <col min="19" max="19" width="17.5703125" style="88" customWidth="1" outlineLevel="1" collapsed="1"/>
    <col min="20" max="20" width="13.7109375" style="326" hidden="1" customWidth="1" outlineLevel="2"/>
    <col min="21" max="21" width="2.85546875" style="324" customWidth="1"/>
    <col min="22" max="22" width="16.5703125" style="2" customWidth="1" outlineLevel="1"/>
    <col min="23" max="23" width="11.85546875" style="2" customWidth="1" outlineLevel="1"/>
    <col min="24" max="24" width="11.5703125" style="2" customWidth="1" outlineLevel="1"/>
    <col min="25" max="25" width="2.85546875" style="2" customWidth="1" collapsed="1"/>
    <col min="26" max="28" width="15.28515625" style="88" hidden="1" customWidth="1" outlineLevel="2"/>
    <col min="29" max="29" width="16.140625" style="88" hidden="1" customWidth="1" outlineLevel="2"/>
    <col min="30" max="30" width="15.28515625" style="88" hidden="1" customWidth="1" outlineLevel="2"/>
    <col min="31" max="31" width="15.85546875" style="88" hidden="1" customWidth="1" outlineLevel="2"/>
    <col min="32" max="37" width="15.28515625" style="88" hidden="1" customWidth="1" outlineLevel="2"/>
    <col min="38" max="38" width="2.85546875" style="274" customWidth="1" collapsed="1"/>
    <col min="39" max="39" width="15.85546875" style="88" hidden="1" customWidth="1" outlineLevel="2"/>
    <col min="40" max="40" width="15.28515625" style="88" hidden="1" customWidth="1" outlineLevel="2"/>
    <col min="41" max="42" width="15.85546875" style="88" hidden="1" customWidth="1" outlineLevel="2"/>
    <col min="43" max="43" width="15.28515625" style="88" hidden="1" customWidth="1" outlineLevel="2"/>
    <col min="44" max="44" width="16" style="88" hidden="1" customWidth="1" outlineLevel="2"/>
    <col min="45" max="45" width="15.85546875" style="88" customWidth="1"/>
    <col min="46" max="46" width="15.28515625" style="88" customWidth="1" outlineLevel="1"/>
    <col min="47" max="47" width="16" style="88" customWidth="1" outlineLevel="1"/>
    <col min="48" max="48" width="9.7109375" style="751" customWidth="1"/>
    <col min="49" max="49" width="15.28515625" style="88" customWidth="1"/>
    <col min="50" max="50" width="15.28515625" style="88" hidden="1" customWidth="1"/>
    <col min="51" max="52" width="15.28515625" style="88" customWidth="1"/>
    <col min="53" max="53" width="16" style="88" customWidth="1"/>
    <col min="54" max="54" width="15.28515625" style="88" hidden="1" customWidth="1"/>
    <col min="55" max="55" width="15.28515625" style="88" customWidth="1"/>
    <col min="56" max="56" width="15.28515625" style="88" hidden="1" customWidth="1"/>
    <col min="57" max="57" width="15.28515625" style="88" customWidth="1"/>
    <col min="58" max="58" width="15.28515625" style="88" hidden="1" customWidth="1"/>
    <col min="59" max="59" width="15.28515625" style="88" customWidth="1"/>
    <col min="60" max="60" width="15.28515625" style="88" hidden="1" customWidth="1"/>
    <col min="61" max="61" width="15.28515625" style="88" customWidth="1"/>
    <col min="62" max="62" width="15.28515625" style="88" hidden="1" customWidth="1"/>
    <col min="63" max="63" width="15.28515625" style="88" customWidth="1"/>
    <col min="64" max="64" width="15.28515625" style="88" hidden="1" customWidth="1"/>
    <col min="65" max="65" width="15.28515625" style="88" customWidth="1"/>
    <col min="66" max="66" width="15.28515625" style="88" hidden="1" customWidth="1"/>
    <col min="67" max="67" width="15.28515625" style="88" customWidth="1"/>
    <col min="68" max="68" width="15.28515625" style="88" hidden="1" customWidth="1"/>
    <col min="69" max="69" width="15.28515625" style="88" customWidth="1"/>
    <col min="70" max="70" width="15.28515625" style="88" hidden="1" customWidth="1"/>
    <col min="71" max="71" width="15.85546875" style="88" customWidth="1"/>
    <col min="72" max="72" width="15.28515625" style="88" hidden="1" customWidth="1"/>
    <col min="73" max="73" width="18.28515625" style="2" customWidth="1"/>
    <col min="74" max="87" width="15.85546875" style="2" customWidth="1"/>
    <col min="88" max="247" width="9.140625" style="2"/>
    <col min="248" max="248" width="16.28515625" style="2" customWidth="1"/>
    <col min="249" max="249" width="9.5703125" style="2" customWidth="1"/>
    <col min="250" max="250" width="25.85546875" style="2" customWidth="1"/>
    <col min="251" max="251" width="10.7109375" style="2" customWidth="1"/>
    <col min="252" max="252" width="40.42578125" style="2" customWidth="1"/>
    <col min="253" max="253" width="30.5703125" style="2" customWidth="1"/>
    <col min="254" max="254" width="16.42578125" style="2" customWidth="1"/>
    <col min="255" max="255" width="13" style="2" bestFit="1" customWidth="1"/>
    <col min="256" max="503" width="9.140625" style="2"/>
    <col min="504" max="504" width="16.28515625" style="2" customWidth="1"/>
    <col min="505" max="505" width="9.5703125" style="2" customWidth="1"/>
    <col min="506" max="506" width="25.85546875" style="2" customWidth="1"/>
    <col min="507" max="507" width="10.7109375" style="2" customWidth="1"/>
    <col min="508" max="508" width="40.42578125" style="2" customWidth="1"/>
    <col min="509" max="509" width="30.5703125" style="2" customWidth="1"/>
    <col min="510" max="510" width="16.42578125" style="2" customWidth="1"/>
    <col min="511" max="511" width="13" style="2" bestFit="1" customWidth="1"/>
    <col min="512" max="759" width="9.140625" style="2"/>
    <col min="760" max="760" width="16.28515625" style="2" customWidth="1"/>
    <col min="761" max="761" width="9.5703125" style="2" customWidth="1"/>
    <col min="762" max="762" width="25.85546875" style="2" customWidth="1"/>
    <col min="763" max="763" width="10.7109375" style="2" customWidth="1"/>
    <col min="764" max="764" width="40.42578125" style="2" customWidth="1"/>
    <col min="765" max="765" width="30.5703125" style="2" customWidth="1"/>
    <col min="766" max="766" width="16.42578125" style="2" customWidth="1"/>
    <col min="767" max="767" width="13" style="2" bestFit="1" customWidth="1"/>
    <col min="768" max="1015" width="9.140625" style="2"/>
    <col min="1016" max="1016" width="16.28515625" style="2" customWidth="1"/>
    <col min="1017" max="1017" width="9.5703125" style="2" customWidth="1"/>
    <col min="1018" max="1018" width="25.85546875" style="2" customWidth="1"/>
    <col min="1019" max="1019" width="10.7109375" style="2" customWidth="1"/>
    <col min="1020" max="1020" width="40.42578125" style="2" customWidth="1"/>
    <col min="1021" max="1021" width="30.5703125" style="2" customWidth="1"/>
    <col min="1022" max="1022" width="16.42578125" style="2" customWidth="1"/>
    <col min="1023" max="1023" width="13" style="2" bestFit="1" customWidth="1"/>
    <col min="1024" max="1271" width="9.140625" style="2"/>
    <col min="1272" max="1272" width="16.28515625" style="2" customWidth="1"/>
    <col min="1273" max="1273" width="9.5703125" style="2" customWidth="1"/>
    <col min="1274" max="1274" width="25.85546875" style="2" customWidth="1"/>
    <col min="1275" max="1275" width="10.7109375" style="2" customWidth="1"/>
    <col min="1276" max="1276" width="40.42578125" style="2" customWidth="1"/>
    <col min="1277" max="1277" width="30.5703125" style="2" customWidth="1"/>
    <col min="1278" max="1278" width="16.42578125" style="2" customWidth="1"/>
    <col min="1279" max="1279" width="13" style="2" bestFit="1" customWidth="1"/>
    <col min="1280" max="1527" width="9.140625" style="2"/>
    <col min="1528" max="1528" width="16.28515625" style="2" customWidth="1"/>
    <col min="1529" max="1529" width="9.5703125" style="2" customWidth="1"/>
    <col min="1530" max="1530" width="25.85546875" style="2" customWidth="1"/>
    <col min="1531" max="1531" width="10.7109375" style="2" customWidth="1"/>
    <col min="1532" max="1532" width="40.42578125" style="2" customWidth="1"/>
    <col min="1533" max="1533" width="30.5703125" style="2" customWidth="1"/>
    <col min="1534" max="1534" width="16.42578125" style="2" customWidth="1"/>
    <col min="1535" max="1535" width="13" style="2" bestFit="1" customWidth="1"/>
    <col min="1536" max="1783" width="9.140625" style="2"/>
    <col min="1784" max="1784" width="16.28515625" style="2" customWidth="1"/>
    <col min="1785" max="1785" width="9.5703125" style="2" customWidth="1"/>
    <col min="1786" max="1786" width="25.85546875" style="2" customWidth="1"/>
    <col min="1787" max="1787" width="10.7109375" style="2" customWidth="1"/>
    <col min="1788" max="1788" width="40.42578125" style="2" customWidth="1"/>
    <col min="1789" max="1789" width="30.5703125" style="2" customWidth="1"/>
    <col min="1790" max="1790" width="16.42578125" style="2" customWidth="1"/>
    <col min="1791" max="1791" width="13" style="2" bestFit="1" customWidth="1"/>
    <col min="1792" max="2039" width="9.140625" style="2"/>
    <col min="2040" max="2040" width="16.28515625" style="2" customWidth="1"/>
    <col min="2041" max="2041" width="9.5703125" style="2" customWidth="1"/>
    <col min="2042" max="2042" width="25.85546875" style="2" customWidth="1"/>
    <col min="2043" max="2043" width="10.7109375" style="2" customWidth="1"/>
    <col min="2044" max="2044" width="40.42578125" style="2" customWidth="1"/>
    <col min="2045" max="2045" width="30.5703125" style="2" customWidth="1"/>
    <col min="2046" max="2046" width="16.42578125" style="2" customWidth="1"/>
    <col min="2047" max="2047" width="13" style="2" bestFit="1" customWidth="1"/>
    <col min="2048" max="2295" width="9.140625" style="2"/>
    <col min="2296" max="2296" width="16.28515625" style="2" customWidth="1"/>
    <col min="2297" max="2297" width="9.5703125" style="2" customWidth="1"/>
    <col min="2298" max="2298" width="25.85546875" style="2" customWidth="1"/>
    <col min="2299" max="2299" width="10.7109375" style="2" customWidth="1"/>
    <col min="2300" max="2300" width="40.42578125" style="2" customWidth="1"/>
    <col min="2301" max="2301" width="30.5703125" style="2" customWidth="1"/>
    <col min="2302" max="2302" width="16.42578125" style="2" customWidth="1"/>
    <col min="2303" max="2303" width="13" style="2" bestFit="1" customWidth="1"/>
    <col min="2304" max="2551" width="9.140625" style="2"/>
    <col min="2552" max="2552" width="16.28515625" style="2" customWidth="1"/>
    <col min="2553" max="2553" width="9.5703125" style="2" customWidth="1"/>
    <col min="2554" max="2554" width="25.85546875" style="2" customWidth="1"/>
    <col min="2555" max="2555" width="10.7109375" style="2" customWidth="1"/>
    <col min="2556" max="2556" width="40.42578125" style="2" customWidth="1"/>
    <col min="2557" max="2557" width="30.5703125" style="2" customWidth="1"/>
    <col min="2558" max="2558" width="16.42578125" style="2" customWidth="1"/>
    <col min="2559" max="2559" width="13" style="2" bestFit="1" customWidth="1"/>
    <col min="2560" max="2807" width="9.140625" style="2"/>
    <col min="2808" max="2808" width="16.28515625" style="2" customWidth="1"/>
    <col min="2809" max="2809" width="9.5703125" style="2" customWidth="1"/>
    <col min="2810" max="2810" width="25.85546875" style="2" customWidth="1"/>
    <col min="2811" max="2811" width="10.7109375" style="2" customWidth="1"/>
    <col min="2812" max="2812" width="40.42578125" style="2" customWidth="1"/>
    <col min="2813" max="2813" width="30.5703125" style="2" customWidth="1"/>
    <col min="2814" max="2814" width="16.42578125" style="2" customWidth="1"/>
    <col min="2815" max="2815" width="13" style="2" bestFit="1" customWidth="1"/>
    <col min="2816" max="3063" width="9.140625" style="2"/>
    <col min="3064" max="3064" width="16.28515625" style="2" customWidth="1"/>
    <col min="3065" max="3065" width="9.5703125" style="2" customWidth="1"/>
    <col min="3066" max="3066" width="25.85546875" style="2" customWidth="1"/>
    <col min="3067" max="3067" width="10.7109375" style="2" customWidth="1"/>
    <col min="3068" max="3068" width="40.42578125" style="2" customWidth="1"/>
    <col min="3069" max="3069" width="30.5703125" style="2" customWidth="1"/>
    <col min="3070" max="3070" width="16.42578125" style="2" customWidth="1"/>
    <col min="3071" max="3071" width="13" style="2" bestFit="1" customWidth="1"/>
    <col min="3072" max="3319" width="9.140625" style="2"/>
    <col min="3320" max="3320" width="16.28515625" style="2" customWidth="1"/>
    <col min="3321" max="3321" width="9.5703125" style="2" customWidth="1"/>
    <col min="3322" max="3322" width="25.85546875" style="2" customWidth="1"/>
    <col min="3323" max="3323" width="10.7109375" style="2" customWidth="1"/>
    <col min="3324" max="3324" width="40.42578125" style="2" customWidth="1"/>
    <col min="3325" max="3325" width="30.5703125" style="2" customWidth="1"/>
    <col min="3326" max="3326" width="16.42578125" style="2" customWidth="1"/>
    <col min="3327" max="3327" width="13" style="2" bestFit="1" customWidth="1"/>
    <col min="3328" max="3575" width="9.140625" style="2"/>
    <col min="3576" max="3576" width="16.28515625" style="2" customWidth="1"/>
    <col min="3577" max="3577" width="9.5703125" style="2" customWidth="1"/>
    <col min="3578" max="3578" width="25.85546875" style="2" customWidth="1"/>
    <col min="3579" max="3579" width="10.7109375" style="2" customWidth="1"/>
    <col min="3580" max="3580" width="40.42578125" style="2" customWidth="1"/>
    <col min="3581" max="3581" width="30.5703125" style="2" customWidth="1"/>
    <col min="3582" max="3582" width="16.42578125" style="2" customWidth="1"/>
    <col min="3583" max="3583" width="13" style="2" bestFit="1" customWidth="1"/>
    <col min="3584" max="3831" width="9.140625" style="2"/>
    <col min="3832" max="3832" width="16.28515625" style="2" customWidth="1"/>
    <col min="3833" max="3833" width="9.5703125" style="2" customWidth="1"/>
    <col min="3834" max="3834" width="25.85546875" style="2" customWidth="1"/>
    <col min="3835" max="3835" width="10.7109375" style="2" customWidth="1"/>
    <col min="3836" max="3836" width="40.42578125" style="2" customWidth="1"/>
    <col min="3837" max="3837" width="30.5703125" style="2" customWidth="1"/>
    <col min="3838" max="3838" width="16.42578125" style="2" customWidth="1"/>
    <col min="3839" max="3839" width="13" style="2" bestFit="1" customWidth="1"/>
    <col min="3840" max="4087" width="9.140625" style="2"/>
    <col min="4088" max="4088" width="16.28515625" style="2" customWidth="1"/>
    <col min="4089" max="4089" width="9.5703125" style="2" customWidth="1"/>
    <col min="4090" max="4090" width="25.85546875" style="2" customWidth="1"/>
    <col min="4091" max="4091" width="10.7109375" style="2" customWidth="1"/>
    <col min="4092" max="4092" width="40.42578125" style="2" customWidth="1"/>
    <col min="4093" max="4093" width="30.5703125" style="2" customWidth="1"/>
    <col min="4094" max="4094" width="16.42578125" style="2" customWidth="1"/>
    <col min="4095" max="4095" width="13" style="2" bestFit="1" customWidth="1"/>
    <col min="4096" max="4343" width="9.140625" style="2"/>
    <col min="4344" max="4344" width="16.28515625" style="2" customWidth="1"/>
    <col min="4345" max="4345" width="9.5703125" style="2" customWidth="1"/>
    <col min="4346" max="4346" width="25.85546875" style="2" customWidth="1"/>
    <col min="4347" max="4347" width="10.7109375" style="2" customWidth="1"/>
    <col min="4348" max="4348" width="40.42578125" style="2" customWidth="1"/>
    <col min="4349" max="4349" width="30.5703125" style="2" customWidth="1"/>
    <col min="4350" max="4350" width="16.42578125" style="2" customWidth="1"/>
    <col min="4351" max="4351" width="13" style="2" bestFit="1" customWidth="1"/>
    <col min="4352" max="4599" width="9.140625" style="2"/>
    <col min="4600" max="4600" width="16.28515625" style="2" customWidth="1"/>
    <col min="4601" max="4601" width="9.5703125" style="2" customWidth="1"/>
    <col min="4602" max="4602" width="25.85546875" style="2" customWidth="1"/>
    <col min="4603" max="4603" width="10.7109375" style="2" customWidth="1"/>
    <col min="4604" max="4604" width="40.42578125" style="2" customWidth="1"/>
    <col min="4605" max="4605" width="30.5703125" style="2" customWidth="1"/>
    <col min="4606" max="4606" width="16.42578125" style="2" customWidth="1"/>
    <col min="4607" max="4607" width="13" style="2" bestFit="1" customWidth="1"/>
    <col min="4608" max="4855" width="9.140625" style="2"/>
    <col min="4856" max="4856" width="16.28515625" style="2" customWidth="1"/>
    <col min="4857" max="4857" width="9.5703125" style="2" customWidth="1"/>
    <col min="4858" max="4858" width="25.85546875" style="2" customWidth="1"/>
    <col min="4859" max="4859" width="10.7109375" style="2" customWidth="1"/>
    <col min="4860" max="4860" width="40.42578125" style="2" customWidth="1"/>
    <col min="4861" max="4861" width="30.5703125" style="2" customWidth="1"/>
    <col min="4862" max="4862" width="16.42578125" style="2" customWidth="1"/>
    <col min="4863" max="4863" width="13" style="2" bestFit="1" customWidth="1"/>
    <col min="4864" max="5111" width="9.140625" style="2"/>
    <col min="5112" max="5112" width="16.28515625" style="2" customWidth="1"/>
    <col min="5113" max="5113" width="9.5703125" style="2" customWidth="1"/>
    <col min="5114" max="5114" width="25.85546875" style="2" customWidth="1"/>
    <col min="5115" max="5115" width="10.7109375" style="2" customWidth="1"/>
    <col min="5116" max="5116" width="40.42578125" style="2" customWidth="1"/>
    <col min="5117" max="5117" width="30.5703125" style="2" customWidth="1"/>
    <col min="5118" max="5118" width="16.42578125" style="2" customWidth="1"/>
    <col min="5119" max="5119" width="13" style="2" bestFit="1" customWidth="1"/>
    <col min="5120" max="5367" width="9.140625" style="2"/>
    <col min="5368" max="5368" width="16.28515625" style="2" customWidth="1"/>
    <col min="5369" max="5369" width="9.5703125" style="2" customWidth="1"/>
    <col min="5370" max="5370" width="25.85546875" style="2" customWidth="1"/>
    <col min="5371" max="5371" width="10.7109375" style="2" customWidth="1"/>
    <col min="5372" max="5372" width="40.42578125" style="2" customWidth="1"/>
    <col min="5373" max="5373" width="30.5703125" style="2" customWidth="1"/>
    <col min="5374" max="5374" width="16.42578125" style="2" customWidth="1"/>
    <col min="5375" max="5375" width="13" style="2" bestFit="1" customWidth="1"/>
    <col min="5376" max="5623" width="9.140625" style="2"/>
    <col min="5624" max="5624" width="16.28515625" style="2" customWidth="1"/>
    <col min="5625" max="5625" width="9.5703125" style="2" customWidth="1"/>
    <col min="5626" max="5626" width="25.85546875" style="2" customWidth="1"/>
    <col min="5627" max="5627" width="10.7109375" style="2" customWidth="1"/>
    <col min="5628" max="5628" width="40.42578125" style="2" customWidth="1"/>
    <col min="5629" max="5629" width="30.5703125" style="2" customWidth="1"/>
    <col min="5630" max="5630" width="16.42578125" style="2" customWidth="1"/>
    <col min="5631" max="5631" width="13" style="2" bestFit="1" customWidth="1"/>
    <col min="5632" max="5879" width="9.140625" style="2"/>
    <col min="5880" max="5880" width="16.28515625" style="2" customWidth="1"/>
    <col min="5881" max="5881" width="9.5703125" style="2" customWidth="1"/>
    <col min="5882" max="5882" width="25.85546875" style="2" customWidth="1"/>
    <col min="5883" max="5883" width="10.7109375" style="2" customWidth="1"/>
    <col min="5884" max="5884" width="40.42578125" style="2" customWidth="1"/>
    <col min="5885" max="5885" width="30.5703125" style="2" customWidth="1"/>
    <col min="5886" max="5886" width="16.42578125" style="2" customWidth="1"/>
    <col min="5887" max="5887" width="13" style="2" bestFit="1" customWidth="1"/>
    <col min="5888" max="6135" width="9.140625" style="2"/>
    <col min="6136" max="6136" width="16.28515625" style="2" customWidth="1"/>
    <col min="6137" max="6137" width="9.5703125" style="2" customWidth="1"/>
    <col min="6138" max="6138" width="25.85546875" style="2" customWidth="1"/>
    <col min="6139" max="6139" width="10.7109375" style="2" customWidth="1"/>
    <col min="6140" max="6140" width="40.42578125" style="2" customWidth="1"/>
    <col min="6141" max="6141" width="30.5703125" style="2" customWidth="1"/>
    <col min="6142" max="6142" width="16.42578125" style="2" customWidth="1"/>
    <col min="6143" max="6143" width="13" style="2" bestFit="1" customWidth="1"/>
    <col min="6144" max="6391" width="9.140625" style="2"/>
    <col min="6392" max="6392" width="16.28515625" style="2" customWidth="1"/>
    <col min="6393" max="6393" width="9.5703125" style="2" customWidth="1"/>
    <col min="6394" max="6394" width="25.85546875" style="2" customWidth="1"/>
    <col min="6395" max="6395" width="10.7109375" style="2" customWidth="1"/>
    <col min="6396" max="6396" width="40.42578125" style="2" customWidth="1"/>
    <col min="6397" max="6397" width="30.5703125" style="2" customWidth="1"/>
    <col min="6398" max="6398" width="16.42578125" style="2" customWidth="1"/>
    <col min="6399" max="6399" width="13" style="2" bestFit="1" customWidth="1"/>
    <col min="6400" max="6647" width="9.140625" style="2"/>
    <col min="6648" max="6648" width="16.28515625" style="2" customWidth="1"/>
    <col min="6649" max="6649" width="9.5703125" style="2" customWidth="1"/>
    <col min="6650" max="6650" width="25.85546875" style="2" customWidth="1"/>
    <col min="6651" max="6651" width="10.7109375" style="2" customWidth="1"/>
    <col min="6652" max="6652" width="40.42578125" style="2" customWidth="1"/>
    <col min="6653" max="6653" width="30.5703125" style="2" customWidth="1"/>
    <col min="6654" max="6654" width="16.42578125" style="2" customWidth="1"/>
    <col min="6655" max="6655" width="13" style="2" bestFit="1" customWidth="1"/>
    <col min="6656" max="6903" width="9.140625" style="2"/>
    <col min="6904" max="6904" width="16.28515625" style="2" customWidth="1"/>
    <col min="6905" max="6905" width="9.5703125" style="2" customWidth="1"/>
    <col min="6906" max="6906" width="25.85546875" style="2" customWidth="1"/>
    <col min="6907" max="6907" width="10.7109375" style="2" customWidth="1"/>
    <col min="6908" max="6908" width="40.42578125" style="2" customWidth="1"/>
    <col min="6909" max="6909" width="30.5703125" style="2" customWidth="1"/>
    <col min="6910" max="6910" width="16.42578125" style="2" customWidth="1"/>
    <col min="6911" max="6911" width="13" style="2" bestFit="1" customWidth="1"/>
    <col min="6912" max="7159" width="9.140625" style="2"/>
    <col min="7160" max="7160" width="16.28515625" style="2" customWidth="1"/>
    <col min="7161" max="7161" width="9.5703125" style="2" customWidth="1"/>
    <col min="7162" max="7162" width="25.85546875" style="2" customWidth="1"/>
    <col min="7163" max="7163" width="10.7109375" style="2" customWidth="1"/>
    <col min="7164" max="7164" width="40.42578125" style="2" customWidth="1"/>
    <col min="7165" max="7165" width="30.5703125" style="2" customWidth="1"/>
    <col min="7166" max="7166" width="16.42578125" style="2" customWidth="1"/>
    <col min="7167" max="7167" width="13" style="2" bestFit="1" customWidth="1"/>
    <col min="7168" max="7415" width="9.140625" style="2"/>
    <col min="7416" max="7416" width="16.28515625" style="2" customWidth="1"/>
    <col min="7417" max="7417" width="9.5703125" style="2" customWidth="1"/>
    <col min="7418" max="7418" width="25.85546875" style="2" customWidth="1"/>
    <col min="7419" max="7419" width="10.7109375" style="2" customWidth="1"/>
    <col min="7420" max="7420" width="40.42578125" style="2" customWidth="1"/>
    <col min="7421" max="7421" width="30.5703125" style="2" customWidth="1"/>
    <col min="7422" max="7422" width="16.42578125" style="2" customWidth="1"/>
    <col min="7423" max="7423" width="13" style="2" bestFit="1" customWidth="1"/>
    <col min="7424" max="7671" width="9.140625" style="2"/>
    <col min="7672" max="7672" width="16.28515625" style="2" customWidth="1"/>
    <col min="7673" max="7673" width="9.5703125" style="2" customWidth="1"/>
    <col min="7674" max="7674" width="25.85546875" style="2" customWidth="1"/>
    <col min="7675" max="7675" width="10.7109375" style="2" customWidth="1"/>
    <col min="7676" max="7676" width="40.42578125" style="2" customWidth="1"/>
    <col min="7677" max="7677" width="30.5703125" style="2" customWidth="1"/>
    <col min="7678" max="7678" width="16.42578125" style="2" customWidth="1"/>
    <col min="7679" max="7679" width="13" style="2" bestFit="1" customWidth="1"/>
    <col min="7680" max="7927" width="9.140625" style="2"/>
    <col min="7928" max="7928" width="16.28515625" style="2" customWidth="1"/>
    <col min="7929" max="7929" width="9.5703125" style="2" customWidth="1"/>
    <col min="7930" max="7930" width="25.85546875" style="2" customWidth="1"/>
    <col min="7931" max="7931" width="10.7109375" style="2" customWidth="1"/>
    <col min="7932" max="7932" width="40.42578125" style="2" customWidth="1"/>
    <col min="7933" max="7933" width="30.5703125" style="2" customWidth="1"/>
    <col min="7934" max="7934" width="16.42578125" style="2" customWidth="1"/>
    <col min="7935" max="7935" width="13" style="2" bestFit="1" customWidth="1"/>
    <col min="7936" max="8183" width="9.140625" style="2"/>
    <col min="8184" max="8184" width="16.28515625" style="2" customWidth="1"/>
    <col min="8185" max="8185" width="9.5703125" style="2" customWidth="1"/>
    <col min="8186" max="8186" width="25.85546875" style="2" customWidth="1"/>
    <col min="8187" max="8187" width="10.7109375" style="2" customWidth="1"/>
    <col min="8188" max="8188" width="40.42578125" style="2" customWidth="1"/>
    <col min="8189" max="8189" width="30.5703125" style="2" customWidth="1"/>
    <col min="8190" max="8190" width="16.42578125" style="2" customWidth="1"/>
    <col min="8191" max="8191" width="13" style="2" bestFit="1" customWidth="1"/>
    <col min="8192" max="8439" width="9.140625" style="2"/>
    <col min="8440" max="8440" width="16.28515625" style="2" customWidth="1"/>
    <col min="8441" max="8441" width="9.5703125" style="2" customWidth="1"/>
    <col min="8442" max="8442" width="25.85546875" style="2" customWidth="1"/>
    <col min="8443" max="8443" width="10.7109375" style="2" customWidth="1"/>
    <col min="8444" max="8444" width="40.42578125" style="2" customWidth="1"/>
    <col min="8445" max="8445" width="30.5703125" style="2" customWidth="1"/>
    <col min="8446" max="8446" width="16.42578125" style="2" customWidth="1"/>
    <col min="8447" max="8447" width="13" style="2" bestFit="1" customWidth="1"/>
    <col min="8448" max="8695" width="9.140625" style="2"/>
    <col min="8696" max="8696" width="16.28515625" style="2" customWidth="1"/>
    <col min="8697" max="8697" width="9.5703125" style="2" customWidth="1"/>
    <col min="8698" max="8698" width="25.85546875" style="2" customWidth="1"/>
    <col min="8699" max="8699" width="10.7109375" style="2" customWidth="1"/>
    <col min="8700" max="8700" width="40.42578125" style="2" customWidth="1"/>
    <col min="8701" max="8701" width="30.5703125" style="2" customWidth="1"/>
    <col min="8702" max="8702" width="16.42578125" style="2" customWidth="1"/>
    <col min="8703" max="8703" width="13" style="2" bestFit="1" customWidth="1"/>
    <col min="8704" max="8951" width="9.140625" style="2"/>
    <col min="8952" max="8952" width="16.28515625" style="2" customWidth="1"/>
    <col min="8953" max="8953" width="9.5703125" style="2" customWidth="1"/>
    <col min="8954" max="8954" width="25.85546875" style="2" customWidth="1"/>
    <col min="8955" max="8955" width="10.7109375" style="2" customWidth="1"/>
    <col min="8956" max="8956" width="40.42578125" style="2" customWidth="1"/>
    <col min="8957" max="8957" width="30.5703125" style="2" customWidth="1"/>
    <col min="8958" max="8958" width="16.42578125" style="2" customWidth="1"/>
    <col min="8959" max="8959" width="13" style="2" bestFit="1" customWidth="1"/>
    <col min="8960" max="9207" width="9.140625" style="2"/>
    <col min="9208" max="9208" width="16.28515625" style="2" customWidth="1"/>
    <col min="9209" max="9209" width="9.5703125" style="2" customWidth="1"/>
    <col min="9210" max="9210" width="25.85546875" style="2" customWidth="1"/>
    <col min="9211" max="9211" width="10.7109375" style="2" customWidth="1"/>
    <col min="9212" max="9212" width="40.42578125" style="2" customWidth="1"/>
    <col min="9213" max="9213" width="30.5703125" style="2" customWidth="1"/>
    <col min="9214" max="9214" width="16.42578125" style="2" customWidth="1"/>
    <col min="9215" max="9215" width="13" style="2" bestFit="1" customWidth="1"/>
    <col min="9216" max="9463" width="9.140625" style="2"/>
    <col min="9464" max="9464" width="16.28515625" style="2" customWidth="1"/>
    <col min="9465" max="9465" width="9.5703125" style="2" customWidth="1"/>
    <col min="9466" max="9466" width="25.85546875" style="2" customWidth="1"/>
    <col min="9467" max="9467" width="10.7109375" style="2" customWidth="1"/>
    <col min="9468" max="9468" width="40.42578125" style="2" customWidth="1"/>
    <col min="9469" max="9469" width="30.5703125" style="2" customWidth="1"/>
    <col min="9470" max="9470" width="16.42578125" style="2" customWidth="1"/>
    <col min="9471" max="9471" width="13" style="2" bestFit="1" customWidth="1"/>
    <col min="9472" max="9719" width="9.140625" style="2"/>
    <col min="9720" max="9720" width="16.28515625" style="2" customWidth="1"/>
    <col min="9721" max="9721" width="9.5703125" style="2" customWidth="1"/>
    <col min="9722" max="9722" width="25.85546875" style="2" customWidth="1"/>
    <col min="9723" max="9723" width="10.7109375" style="2" customWidth="1"/>
    <col min="9724" max="9724" width="40.42578125" style="2" customWidth="1"/>
    <col min="9725" max="9725" width="30.5703125" style="2" customWidth="1"/>
    <col min="9726" max="9726" width="16.42578125" style="2" customWidth="1"/>
    <col min="9727" max="9727" width="13" style="2" bestFit="1" customWidth="1"/>
    <col min="9728" max="9975" width="9.140625" style="2"/>
    <col min="9976" max="9976" width="16.28515625" style="2" customWidth="1"/>
    <col min="9977" max="9977" width="9.5703125" style="2" customWidth="1"/>
    <col min="9978" max="9978" width="25.85546875" style="2" customWidth="1"/>
    <col min="9979" max="9979" width="10.7109375" style="2" customWidth="1"/>
    <col min="9980" max="9980" width="40.42578125" style="2" customWidth="1"/>
    <col min="9981" max="9981" width="30.5703125" style="2" customWidth="1"/>
    <col min="9982" max="9982" width="16.42578125" style="2" customWidth="1"/>
    <col min="9983" max="9983" width="13" style="2" bestFit="1" customWidth="1"/>
    <col min="9984" max="10231" width="9.140625" style="2"/>
    <col min="10232" max="10232" width="16.28515625" style="2" customWidth="1"/>
    <col min="10233" max="10233" width="9.5703125" style="2" customWidth="1"/>
    <col min="10234" max="10234" width="25.85546875" style="2" customWidth="1"/>
    <col min="10235" max="10235" width="10.7109375" style="2" customWidth="1"/>
    <col min="10236" max="10236" width="40.42578125" style="2" customWidth="1"/>
    <col min="10237" max="10237" width="30.5703125" style="2" customWidth="1"/>
    <col min="10238" max="10238" width="16.42578125" style="2" customWidth="1"/>
    <col min="10239" max="10239" width="13" style="2" bestFit="1" customWidth="1"/>
    <col min="10240" max="10487" width="9.140625" style="2"/>
    <col min="10488" max="10488" width="16.28515625" style="2" customWidth="1"/>
    <col min="10489" max="10489" width="9.5703125" style="2" customWidth="1"/>
    <col min="10490" max="10490" width="25.85546875" style="2" customWidth="1"/>
    <col min="10491" max="10491" width="10.7109375" style="2" customWidth="1"/>
    <col min="10492" max="10492" width="40.42578125" style="2" customWidth="1"/>
    <col min="10493" max="10493" width="30.5703125" style="2" customWidth="1"/>
    <col min="10494" max="10494" width="16.42578125" style="2" customWidth="1"/>
    <col min="10495" max="10495" width="13" style="2" bestFit="1" customWidth="1"/>
    <col min="10496" max="10743" width="9.140625" style="2"/>
    <col min="10744" max="10744" width="16.28515625" style="2" customWidth="1"/>
    <col min="10745" max="10745" width="9.5703125" style="2" customWidth="1"/>
    <col min="10746" max="10746" width="25.85546875" style="2" customWidth="1"/>
    <col min="10747" max="10747" width="10.7109375" style="2" customWidth="1"/>
    <col min="10748" max="10748" width="40.42578125" style="2" customWidth="1"/>
    <col min="10749" max="10749" width="30.5703125" style="2" customWidth="1"/>
    <col min="10750" max="10750" width="16.42578125" style="2" customWidth="1"/>
    <col min="10751" max="10751" width="13" style="2" bestFit="1" customWidth="1"/>
    <col min="10752" max="10999" width="9.140625" style="2"/>
    <col min="11000" max="11000" width="16.28515625" style="2" customWidth="1"/>
    <col min="11001" max="11001" width="9.5703125" style="2" customWidth="1"/>
    <col min="11002" max="11002" width="25.85546875" style="2" customWidth="1"/>
    <col min="11003" max="11003" width="10.7109375" style="2" customWidth="1"/>
    <col min="11004" max="11004" width="40.42578125" style="2" customWidth="1"/>
    <col min="11005" max="11005" width="30.5703125" style="2" customWidth="1"/>
    <col min="11006" max="11006" width="16.42578125" style="2" customWidth="1"/>
    <col min="11007" max="11007" width="13" style="2" bestFit="1" customWidth="1"/>
    <col min="11008" max="11255" width="9.140625" style="2"/>
    <col min="11256" max="11256" width="16.28515625" style="2" customWidth="1"/>
    <col min="11257" max="11257" width="9.5703125" style="2" customWidth="1"/>
    <col min="11258" max="11258" width="25.85546875" style="2" customWidth="1"/>
    <col min="11259" max="11259" width="10.7109375" style="2" customWidth="1"/>
    <col min="11260" max="11260" width="40.42578125" style="2" customWidth="1"/>
    <col min="11261" max="11261" width="30.5703125" style="2" customWidth="1"/>
    <col min="11262" max="11262" width="16.42578125" style="2" customWidth="1"/>
    <col min="11263" max="11263" width="13" style="2" bestFit="1" customWidth="1"/>
    <col min="11264" max="11511" width="9.140625" style="2"/>
    <col min="11512" max="11512" width="16.28515625" style="2" customWidth="1"/>
    <col min="11513" max="11513" width="9.5703125" style="2" customWidth="1"/>
    <col min="11514" max="11514" width="25.85546875" style="2" customWidth="1"/>
    <col min="11515" max="11515" width="10.7109375" style="2" customWidth="1"/>
    <col min="11516" max="11516" width="40.42578125" style="2" customWidth="1"/>
    <col min="11517" max="11517" width="30.5703125" style="2" customWidth="1"/>
    <col min="11518" max="11518" width="16.42578125" style="2" customWidth="1"/>
    <col min="11519" max="11519" width="13" style="2" bestFit="1" customWidth="1"/>
    <col min="11520" max="11767" width="9.140625" style="2"/>
    <col min="11768" max="11768" width="16.28515625" style="2" customWidth="1"/>
    <col min="11769" max="11769" width="9.5703125" style="2" customWidth="1"/>
    <col min="11770" max="11770" width="25.85546875" style="2" customWidth="1"/>
    <col min="11771" max="11771" width="10.7109375" style="2" customWidth="1"/>
    <col min="11772" max="11772" width="40.42578125" style="2" customWidth="1"/>
    <col min="11773" max="11773" width="30.5703125" style="2" customWidth="1"/>
    <col min="11774" max="11774" width="16.42578125" style="2" customWidth="1"/>
    <col min="11775" max="11775" width="13" style="2" bestFit="1" customWidth="1"/>
    <col min="11776" max="12023" width="9.140625" style="2"/>
    <col min="12024" max="12024" width="16.28515625" style="2" customWidth="1"/>
    <col min="12025" max="12025" width="9.5703125" style="2" customWidth="1"/>
    <col min="12026" max="12026" width="25.85546875" style="2" customWidth="1"/>
    <col min="12027" max="12027" width="10.7109375" style="2" customWidth="1"/>
    <col min="12028" max="12028" width="40.42578125" style="2" customWidth="1"/>
    <col min="12029" max="12029" width="30.5703125" style="2" customWidth="1"/>
    <col min="12030" max="12030" width="16.42578125" style="2" customWidth="1"/>
    <col min="12031" max="12031" width="13" style="2" bestFit="1" customWidth="1"/>
    <col min="12032" max="12279" width="9.140625" style="2"/>
    <col min="12280" max="12280" width="16.28515625" style="2" customWidth="1"/>
    <col min="12281" max="12281" width="9.5703125" style="2" customWidth="1"/>
    <col min="12282" max="12282" width="25.85546875" style="2" customWidth="1"/>
    <col min="12283" max="12283" width="10.7109375" style="2" customWidth="1"/>
    <col min="12284" max="12284" width="40.42578125" style="2" customWidth="1"/>
    <col min="12285" max="12285" width="30.5703125" style="2" customWidth="1"/>
    <col min="12286" max="12286" width="16.42578125" style="2" customWidth="1"/>
    <col min="12287" max="12287" width="13" style="2" bestFit="1" customWidth="1"/>
    <col min="12288" max="12535" width="9.140625" style="2"/>
    <col min="12536" max="12536" width="16.28515625" style="2" customWidth="1"/>
    <col min="12537" max="12537" width="9.5703125" style="2" customWidth="1"/>
    <col min="12538" max="12538" width="25.85546875" style="2" customWidth="1"/>
    <col min="12539" max="12539" width="10.7109375" style="2" customWidth="1"/>
    <col min="12540" max="12540" width="40.42578125" style="2" customWidth="1"/>
    <col min="12541" max="12541" width="30.5703125" style="2" customWidth="1"/>
    <col min="12542" max="12542" width="16.42578125" style="2" customWidth="1"/>
    <col min="12543" max="12543" width="13" style="2" bestFit="1" customWidth="1"/>
    <col min="12544" max="12791" width="9.140625" style="2"/>
    <col min="12792" max="12792" width="16.28515625" style="2" customWidth="1"/>
    <col min="12793" max="12793" width="9.5703125" style="2" customWidth="1"/>
    <col min="12794" max="12794" width="25.85546875" style="2" customWidth="1"/>
    <col min="12795" max="12795" width="10.7109375" style="2" customWidth="1"/>
    <col min="12796" max="12796" width="40.42578125" style="2" customWidth="1"/>
    <col min="12797" max="12797" width="30.5703125" style="2" customWidth="1"/>
    <col min="12798" max="12798" width="16.42578125" style="2" customWidth="1"/>
    <col min="12799" max="12799" width="13" style="2" bestFit="1" customWidth="1"/>
    <col min="12800" max="13047" width="9.140625" style="2"/>
    <col min="13048" max="13048" width="16.28515625" style="2" customWidth="1"/>
    <col min="13049" max="13049" width="9.5703125" style="2" customWidth="1"/>
    <col min="13050" max="13050" width="25.85546875" style="2" customWidth="1"/>
    <col min="13051" max="13051" width="10.7109375" style="2" customWidth="1"/>
    <col min="13052" max="13052" width="40.42578125" style="2" customWidth="1"/>
    <col min="13053" max="13053" width="30.5703125" style="2" customWidth="1"/>
    <col min="13054" max="13054" width="16.42578125" style="2" customWidth="1"/>
    <col min="13055" max="13055" width="13" style="2" bestFit="1" customWidth="1"/>
    <col min="13056" max="13303" width="9.140625" style="2"/>
    <col min="13304" max="13304" width="16.28515625" style="2" customWidth="1"/>
    <col min="13305" max="13305" width="9.5703125" style="2" customWidth="1"/>
    <col min="13306" max="13306" width="25.85546875" style="2" customWidth="1"/>
    <col min="13307" max="13307" width="10.7109375" style="2" customWidth="1"/>
    <col min="13308" max="13308" width="40.42578125" style="2" customWidth="1"/>
    <col min="13309" max="13309" width="30.5703125" style="2" customWidth="1"/>
    <col min="13310" max="13310" width="16.42578125" style="2" customWidth="1"/>
    <col min="13311" max="13311" width="13" style="2" bestFit="1" customWidth="1"/>
    <col min="13312" max="13559" width="9.140625" style="2"/>
    <col min="13560" max="13560" width="16.28515625" style="2" customWidth="1"/>
    <col min="13561" max="13561" width="9.5703125" style="2" customWidth="1"/>
    <col min="13562" max="13562" width="25.85546875" style="2" customWidth="1"/>
    <col min="13563" max="13563" width="10.7109375" style="2" customWidth="1"/>
    <col min="13564" max="13564" width="40.42578125" style="2" customWidth="1"/>
    <col min="13565" max="13565" width="30.5703125" style="2" customWidth="1"/>
    <col min="13566" max="13566" width="16.42578125" style="2" customWidth="1"/>
    <col min="13567" max="13567" width="13" style="2" bestFit="1" customWidth="1"/>
    <col min="13568" max="13815" width="9.140625" style="2"/>
    <col min="13816" max="13816" width="16.28515625" style="2" customWidth="1"/>
    <col min="13817" max="13817" width="9.5703125" style="2" customWidth="1"/>
    <col min="13818" max="13818" width="25.85546875" style="2" customWidth="1"/>
    <col min="13819" max="13819" width="10.7109375" style="2" customWidth="1"/>
    <col min="13820" max="13820" width="40.42578125" style="2" customWidth="1"/>
    <col min="13821" max="13821" width="30.5703125" style="2" customWidth="1"/>
    <col min="13822" max="13822" width="16.42578125" style="2" customWidth="1"/>
    <col min="13823" max="13823" width="13" style="2" bestFit="1" customWidth="1"/>
    <col min="13824" max="14071" width="9.140625" style="2"/>
    <col min="14072" max="14072" width="16.28515625" style="2" customWidth="1"/>
    <col min="14073" max="14073" width="9.5703125" style="2" customWidth="1"/>
    <col min="14074" max="14074" width="25.85546875" style="2" customWidth="1"/>
    <col min="14075" max="14075" width="10.7109375" style="2" customWidth="1"/>
    <col min="14076" max="14076" width="40.42578125" style="2" customWidth="1"/>
    <col min="14077" max="14077" width="30.5703125" style="2" customWidth="1"/>
    <col min="14078" max="14078" width="16.42578125" style="2" customWidth="1"/>
    <col min="14079" max="14079" width="13" style="2" bestFit="1" customWidth="1"/>
    <col min="14080" max="14327" width="9.140625" style="2"/>
    <col min="14328" max="14328" width="16.28515625" style="2" customWidth="1"/>
    <col min="14329" max="14329" width="9.5703125" style="2" customWidth="1"/>
    <col min="14330" max="14330" width="25.85546875" style="2" customWidth="1"/>
    <col min="14331" max="14331" width="10.7109375" style="2" customWidth="1"/>
    <col min="14332" max="14332" width="40.42578125" style="2" customWidth="1"/>
    <col min="14333" max="14333" width="30.5703125" style="2" customWidth="1"/>
    <col min="14334" max="14334" width="16.42578125" style="2" customWidth="1"/>
    <col min="14335" max="14335" width="13" style="2" bestFit="1" customWidth="1"/>
    <col min="14336" max="14583" width="9.140625" style="2"/>
    <col min="14584" max="14584" width="16.28515625" style="2" customWidth="1"/>
    <col min="14585" max="14585" width="9.5703125" style="2" customWidth="1"/>
    <col min="14586" max="14586" width="25.85546875" style="2" customWidth="1"/>
    <col min="14587" max="14587" width="10.7109375" style="2" customWidth="1"/>
    <col min="14588" max="14588" width="40.42578125" style="2" customWidth="1"/>
    <col min="14589" max="14589" width="30.5703125" style="2" customWidth="1"/>
    <col min="14590" max="14590" width="16.42578125" style="2" customWidth="1"/>
    <col min="14591" max="14591" width="13" style="2" bestFit="1" customWidth="1"/>
    <col min="14592" max="14839" width="9.140625" style="2"/>
    <col min="14840" max="14840" width="16.28515625" style="2" customWidth="1"/>
    <col min="14841" max="14841" width="9.5703125" style="2" customWidth="1"/>
    <col min="14842" max="14842" width="25.85546875" style="2" customWidth="1"/>
    <col min="14843" max="14843" width="10.7109375" style="2" customWidth="1"/>
    <col min="14844" max="14844" width="40.42578125" style="2" customWidth="1"/>
    <col min="14845" max="14845" width="30.5703125" style="2" customWidth="1"/>
    <col min="14846" max="14846" width="16.42578125" style="2" customWidth="1"/>
    <col min="14847" max="14847" width="13" style="2" bestFit="1" customWidth="1"/>
    <col min="14848" max="15095" width="9.140625" style="2"/>
    <col min="15096" max="15096" width="16.28515625" style="2" customWidth="1"/>
    <col min="15097" max="15097" width="9.5703125" style="2" customWidth="1"/>
    <col min="15098" max="15098" width="25.85546875" style="2" customWidth="1"/>
    <col min="15099" max="15099" width="10.7109375" style="2" customWidth="1"/>
    <col min="15100" max="15100" width="40.42578125" style="2" customWidth="1"/>
    <col min="15101" max="15101" width="30.5703125" style="2" customWidth="1"/>
    <col min="15102" max="15102" width="16.42578125" style="2" customWidth="1"/>
    <col min="15103" max="15103" width="13" style="2" bestFit="1" customWidth="1"/>
    <col min="15104" max="15351" width="9.140625" style="2"/>
    <col min="15352" max="15352" width="16.28515625" style="2" customWidth="1"/>
    <col min="15353" max="15353" width="9.5703125" style="2" customWidth="1"/>
    <col min="15354" max="15354" width="25.85546875" style="2" customWidth="1"/>
    <col min="15355" max="15355" width="10.7109375" style="2" customWidth="1"/>
    <col min="15356" max="15356" width="40.42578125" style="2" customWidth="1"/>
    <col min="15357" max="15357" width="30.5703125" style="2" customWidth="1"/>
    <col min="15358" max="15358" width="16.42578125" style="2" customWidth="1"/>
    <col min="15359" max="15359" width="13" style="2" bestFit="1" customWidth="1"/>
    <col min="15360" max="15607" width="9.140625" style="2"/>
    <col min="15608" max="15608" width="16.28515625" style="2" customWidth="1"/>
    <col min="15609" max="15609" width="9.5703125" style="2" customWidth="1"/>
    <col min="15610" max="15610" width="25.85546875" style="2" customWidth="1"/>
    <col min="15611" max="15611" width="10.7109375" style="2" customWidth="1"/>
    <col min="15612" max="15612" width="40.42578125" style="2" customWidth="1"/>
    <col min="15613" max="15613" width="30.5703125" style="2" customWidth="1"/>
    <col min="15614" max="15614" width="16.42578125" style="2" customWidth="1"/>
    <col min="15615" max="15615" width="13" style="2" bestFit="1" customWidth="1"/>
    <col min="15616" max="15863" width="9.140625" style="2"/>
    <col min="15864" max="15864" width="16.28515625" style="2" customWidth="1"/>
    <col min="15865" max="15865" width="9.5703125" style="2" customWidth="1"/>
    <col min="15866" max="15866" width="25.85546875" style="2" customWidth="1"/>
    <col min="15867" max="15867" width="10.7109375" style="2" customWidth="1"/>
    <col min="15868" max="15868" width="40.42578125" style="2" customWidth="1"/>
    <col min="15869" max="15869" width="30.5703125" style="2" customWidth="1"/>
    <col min="15870" max="15870" width="16.42578125" style="2" customWidth="1"/>
    <col min="15871" max="15871" width="13" style="2" bestFit="1" customWidth="1"/>
    <col min="15872" max="16119" width="9.140625" style="2"/>
    <col min="16120" max="16120" width="16.28515625" style="2" customWidth="1"/>
    <col min="16121" max="16121" width="9.5703125" style="2" customWidth="1"/>
    <col min="16122" max="16122" width="25.85546875" style="2" customWidth="1"/>
    <col min="16123" max="16123" width="10.7109375" style="2" customWidth="1"/>
    <col min="16124" max="16124" width="40.42578125" style="2" customWidth="1"/>
    <col min="16125" max="16125" width="30.5703125" style="2" customWidth="1"/>
    <col min="16126" max="16126" width="16.42578125" style="2" customWidth="1"/>
    <col min="16127" max="16127" width="13" style="2" bestFit="1" customWidth="1"/>
    <col min="16128" max="16384" width="9.140625" style="2"/>
  </cols>
  <sheetData>
    <row r="1" spans="1:74" ht="15" hidden="1" customHeight="1"/>
    <row r="2" spans="1:74" ht="15" hidden="1" customHeight="1"/>
    <row r="3" spans="1:74" s="358" customFormat="1" ht="15.75">
      <c r="A3" s="836"/>
      <c r="B3" s="814"/>
      <c r="C3" s="837"/>
      <c r="D3" s="838"/>
      <c r="E3" s="836" t="s">
        <v>201</v>
      </c>
      <c r="F3" s="820"/>
      <c r="G3" s="360"/>
      <c r="H3" s="360"/>
      <c r="I3" s="360"/>
      <c r="J3" s="361"/>
      <c r="K3" s="362" t="s">
        <v>215</v>
      </c>
      <c r="L3" s="363">
        <f t="shared" ref="L3:T3" si="0">L4</f>
        <v>0</v>
      </c>
      <c r="M3" s="363">
        <f t="shared" si="0"/>
        <v>0</v>
      </c>
      <c r="N3" s="363">
        <f t="shared" si="0"/>
        <v>0</v>
      </c>
      <c r="O3" s="363">
        <f t="shared" si="0"/>
        <v>0</v>
      </c>
      <c r="P3" s="364">
        <f t="shared" si="0"/>
        <v>0</v>
      </c>
      <c r="Q3" s="363">
        <f t="shared" si="0"/>
        <v>0</v>
      </c>
      <c r="R3" s="364">
        <f t="shared" si="0"/>
        <v>0</v>
      </c>
      <c r="S3" s="363">
        <f t="shared" si="0"/>
        <v>0</v>
      </c>
      <c r="T3" s="364">
        <f t="shared" si="0"/>
        <v>0</v>
      </c>
      <c r="U3" s="365"/>
      <c r="V3" s="366"/>
      <c r="W3" s="366"/>
      <c r="X3" s="366"/>
      <c r="Z3" s="367">
        <f>AW3+AY3+BA3</f>
        <v>0</v>
      </c>
      <c r="AA3" s="363">
        <f>AX3+AZ3+BB3</f>
        <v>0</v>
      </c>
      <c r="AB3" s="280">
        <f>Z3-AA3</f>
        <v>0</v>
      </c>
      <c r="AC3" s="367">
        <f>BC3+BE3+BG3</f>
        <v>0</v>
      </c>
      <c r="AD3" s="363">
        <f>BD3+BF3+BH3</f>
        <v>0</v>
      </c>
      <c r="AE3" s="280">
        <f>AC3-AD3</f>
        <v>0</v>
      </c>
      <c r="AF3" s="367">
        <f>BI3+BK3+BM3</f>
        <v>0</v>
      </c>
      <c r="AG3" s="363">
        <f>BJ3+BL3+BN3</f>
        <v>0</v>
      </c>
      <c r="AH3" s="280">
        <f>AF3-AG3</f>
        <v>0</v>
      </c>
      <c r="AI3" s="367">
        <f>BO3+BQ3+BS3</f>
        <v>0</v>
      </c>
      <c r="AJ3" s="363">
        <f>BP3+BR3+BT3</f>
        <v>0</v>
      </c>
      <c r="AK3" s="280">
        <f>AI3-AJ3</f>
        <v>0</v>
      </c>
      <c r="AL3" s="368"/>
      <c r="AM3" s="367">
        <f>Z3+AC3</f>
        <v>0</v>
      </c>
      <c r="AN3" s="363">
        <f>AA3+AD3</f>
        <v>0</v>
      </c>
      <c r="AO3" s="280">
        <f>AM3-AN3</f>
        <v>0</v>
      </c>
      <c r="AP3" s="367">
        <f>Z3+AC3+AF3</f>
        <v>0</v>
      </c>
      <c r="AQ3" s="363">
        <f>AA3+AD3+AG3</f>
        <v>0</v>
      </c>
      <c r="AR3" s="280">
        <f>AP3-AQ3</f>
        <v>0</v>
      </c>
      <c r="AS3" s="367">
        <f>Z3+AC3+AF3+AI3</f>
        <v>0</v>
      </c>
      <c r="AT3" s="363">
        <f>AA3+AD3+AG3+AJ3</f>
        <v>0</v>
      </c>
      <c r="AU3" s="280">
        <f>AS3-AT3</f>
        <v>0</v>
      </c>
      <c r="AV3" s="588"/>
      <c r="AW3" s="367">
        <f t="shared" ref="AW3:BT3" si="1">AW4</f>
        <v>0</v>
      </c>
      <c r="AX3" s="363">
        <f t="shared" si="1"/>
        <v>0</v>
      </c>
      <c r="AY3" s="363">
        <f t="shared" si="1"/>
        <v>0</v>
      </c>
      <c r="AZ3" s="363">
        <f t="shared" si="1"/>
        <v>0</v>
      </c>
      <c r="BA3" s="363">
        <f t="shared" si="1"/>
        <v>0</v>
      </c>
      <c r="BB3" s="369">
        <f t="shared" si="1"/>
        <v>0</v>
      </c>
      <c r="BC3" s="367">
        <f t="shared" si="1"/>
        <v>0</v>
      </c>
      <c r="BD3" s="363">
        <f t="shared" si="1"/>
        <v>0</v>
      </c>
      <c r="BE3" s="363">
        <f t="shared" si="1"/>
        <v>0</v>
      </c>
      <c r="BF3" s="363">
        <f t="shared" si="1"/>
        <v>0</v>
      </c>
      <c r="BG3" s="363">
        <f t="shared" si="1"/>
        <v>0</v>
      </c>
      <c r="BH3" s="369">
        <f t="shared" si="1"/>
        <v>0</v>
      </c>
      <c r="BI3" s="367">
        <f t="shared" si="1"/>
        <v>0</v>
      </c>
      <c r="BJ3" s="363">
        <f t="shared" si="1"/>
        <v>0</v>
      </c>
      <c r="BK3" s="363">
        <f t="shared" si="1"/>
        <v>0</v>
      </c>
      <c r="BL3" s="363">
        <f t="shared" si="1"/>
        <v>0</v>
      </c>
      <c r="BM3" s="363">
        <f t="shared" si="1"/>
        <v>0</v>
      </c>
      <c r="BN3" s="369">
        <f t="shared" si="1"/>
        <v>0</v>
      </c>
      <c r="BO3" s="367">
        <f t="shared" si="1"/>
        <v>0</v>
      </c>
      <c r="BP3" s="363">
        <f t="shared" si="1"/>
        <v>0</v>
      </c>
      <c r="BQ3" s="363">
        <f t="shared" si="1"/>
        <v>0</v>
      </c>
      <c r="BR3" s="363">
        <f t="shared" si="1"/>
        <v>0</v>
      </c>
      <c r="BS3" s="363">
        <f t="shared" si="1"/>
        <v>0</v>
      </c>
      <c r="BT3" s="280">
        <f t="shared" si="1"/>
        <v>0</v>
      </c>
    </row>
    <row r="4" spans="1:74" s="313" customFormat="1">
      <c r="A4" s="839"/>
      <c r="B4" s="815"/>
      <c r="C4" s="840"/>
      <c r="D4" s="841"/>
      <c r="E4" s="839"/>
      <c r="F4" s="821"/>
      <c r="G4" s="314"/>
      <c r="H4" s="739"/>
      <c r="I4" s="739"/>
      <c r="J4" s="740"/>
      <c r="K4" s="317" t="s">
        <v>214</v>
      </c>
      <c r="L4" s="318"/>
      <c r="M4" s="318"/>
      <c r="N4" s="318"/>
      <c r="O4" s="318"/>
      <c r="P4" s="329"/>
      <c r="Q4" s="319"/>
      <c r="R4" s="329"/>
      <c r="S4" s="319"/>
      <c r="T4" s="329"/>
      <c r="U4" s="335"/>
      <c r="V4" s="320"/>
      <c r="W4" s="320"/>
      <c r="X4" s="320"/>
      <c r="Z4" s="336">
        <f>AW4+AY4+BA4</f>
        <v>0</v>
      </c>
      <c r="AA4" s="337">
        <f>AX4+AZ4+BB4</f>
        <v>0</v>
      </c>
      <c r="AB4" s="338">
        <f>Z4-AA4</f>
        <v>0</v>
      </c>
      <c r="AC4" s="336">
        <f>BC4+BE4+BG4</f>
        <v>0</v>
      </c>
      <c r="AD4" s="337">
        <f>BD4+BF4+BH4</f>
        <v>0</v>
      </c>
      <c r="AE4" s="338">
        <f>AC4-AD4</f>
        <v>0</v>
      </c>
      <c r="AF4" s="336">
        <f>BI4+BK4+BM4</f>
        <v>0</v>
      </c>
      <c r="AG4" s="337">
        <f>BJ4+BL4+BN4</f>
        <v>0</v>
      </c>
      <c r="AH4" s="338">
        <f>AF4-AG4</f>
        <v>0</v>
      </c>
      <c r="AI4" s="336">
        <f>BO4+BQ4+BS4</f>
        <v>0</v>
      </c>
      <c r="AJ4" s="337">
        <f>BP4+BR4+BT4</f>
        <v>0</v>
      </c>
      <c r="AK4" s="338">
        <f>AI4-AJ4</f>
        <v>0</v>
      </c>
      <c r="AL4" s="342"/>
      <c r="AM4" s="336">
        <f>Z4+AC4</f>
        <v>0</v>
      </c>
      <c r="AN4" s="339">
        <f>AA4+AD4</f>
        <v>0</v>
      </c>
      <c r="AO4" s="340">
        <f>AM4-AN4</f>
        <v>0</v>
      </c>
      <c r="AP4" s="336">
        <f>Z4+AC4+AF4</f>
        <v>0</v>
      </c>
      <c r="AQ4" s="339">
        <f>AA4+AD4+AG4</f>
        <v>0</v>
      </c>
      <c r="AR4" s="340">
        <f>AP4-AQ4</f>
        <v>0</v>
      </c>
      <c r="AS4" s="341">
        <f>Z4+AC4+AF4+AI4</f>
        <v>0</v>
      </c>
      <c r="AT4" s="339">
        <f>AA4+AD4+AG4+AJ4</f>
        <v>0</v>
      </c>
      <c r="AU4" s="340">
        <f>AS4-AT4</f>
        <v>0</v>
      </c>
      <c r="AV4" s="589"/>
      <c r="AW4" s="343"/>
      <c r="AX4" s="344"/>
      <c r="AY4" s="345"/>
      <c r="AZ4" s="344"/>
      <c r="BA4" s="345"/>
      <c r="BB4" s="346"/>
      <c r="BC4" s="347"/>
      <c r="BD4" s="348"/>
      <c r="BE4" s="349"/>
      <c r="BF4" s="348"/>
      <c r="BG4" s="349"/>
      <c r="BH4" s="350"/>
      <c r="BI4" s="351"/>
      <c r="BJ4" s="352"/>
      <c r="BK4" s="337"/>
      <c r="BL4" s="352"/>
      <c r="BM4" s="337"/>
      <c r="BN4" s="353"/>
      <c r="BO4" s="354"/>
      <c r="BP4" s="355"/>
      <c r="BQ4" s="356"/>
      <c r="BR4" s="355"/>
      <c r="BS4" s="356"/>
      <c r="BT4" s="357"/>
    </row>
    <row r="5" spans="1:74" s="523" customFormat="1" ht="39.75" customHeight="1" thickBot="1">
      <c r="A5" s="842"/>
      <c r="B5" s="816"/>
      <c r="C5" s="843"/>
      <c r="D5" s="844"/>
      <c r="E5" s="842"/>
      <c r="F5" s="822"/>
      <c r="G5" s="525"/>
      <c r="H5" s="525"/>
      <c r="I5" s="525"/>
      <c r="J5" s="526"/>
      <c r="K5" s="530" t="s">
        <v>376</v>
      </c>
      <c r="L5" s="685">
        <f t="shared" ref="L5:T5" si="2">SUBTOTAL(9,L12:L130,L136:L137,L144:L196)</f>
        <v>87666931.150000006</v>
      </c>
      <c r="M5" s="685">
        <f t="shared" si="2"/>
        <v>247442.91</v>
      </c>
      <c r="N5" s="685">
        <f t="shared" si="2"/>
        <v>-7285</v>
      </c>
      <c r="O5" s="685">
        <f t="shared" si="2"/>
        <v>87457911.569999993</v>
      </c>
      <c r="P5" s="685">
        <f t="shared" si="2"/>
        <v>19164590.579999998</v>
      </c>
      <c r="Q5" s="685">
        <f t="shared" si="2"/>
        <v>69239850.420000002</v>
      </c>
      <c r="R5" s="685">
        <f t="shared" si="2"/>
        <v>0</v>
      </c>
      <c r="S5" s="685">
        <f t="shared" si="2"/>
        <v>68810493.109999999</v>
      </c>
      <c r="T5" s="685">
        <f t="shared" si="2"/>
        <v>0</v>
      </c>
      <c r="U5" s="685"/>
      <c r="V5" s="685">
        <f>SUBTOTAL(9,V12:V130,V136:V137,V144:V196)</f>
        <v>453197.09</v>
      </c>
      <c r="W5" s="685">
        <f>SUBTOTAL(9,W12:W130,W136:W137,W144:W196)</f>
        <v>0</v>
      </c>
      <c r="X5" s="685">
        <f>SUBTOTAL(9,X12:X130,X136:X137,X144:X196)</f>
        <v>3.14</v>
      </c>
      <c r="Y5" s="685"/>
      <c r="Z5" s="685"/>
      <c r="AA5" s="685"/>
      <c r="AB5" s="685"/>
      <c r="AC5" s="685"/>
      <c r="AD5" s="685"/>
      <c r="AE5" s="685"/>
      <c r="AF5" s="685"/>
      <c r="AG5" s="685"/>
      <c r="AH5" s="685"/>
      <c r="AI5" s="685"/>
      <c r="AJ5" s="685"/>
      <c r="AK5" s="685"/>
      <c r="AL5" s="685"/>
      <c r="AM5" s="685">
        <f t="shared" ref="AM5:BS5" si="3">SUBTOTAL(9,AM12:AM130,AM136:AM137,AM144:AM196)</f>
        <v>55300960.170000002</v>
      </c>
      <c r="AN5" s="685">
        <f t="shared" si="3"/>
        <v>63280</v>
      </c>
      <c r="AO5" s="685">
        <f t="shared" si="3"/>
        <v>55237680.170000002</v>
      </c>
      <c r="AP5" s="685">
        <f t="shared" si="3"/>
        <v>68824548.989999995</v>
      </c>
      <c r="AQ5" s="685">
        <f t="shared" si="3"/>
        <v>63280</v>
      </c>
      <c r="AR5" s="685">
        <f t="shared" si="3"/>
        <v>68761268.989999995</v>
      </c>
      <c r="AS5" s="685">
        <f t="shared" si="3"/>
        <v>77578404.359999999</v>
      </c>
      <c r="AT5" s="685">
        <f t="shared" si="3"/>
        <v>63280</v>
      </c>
      <c r="AU5" s="685">
        <f t="shared" si="3"/>
        <v>77515124.359999999</v>
      </c>
      <c r="AV5" s="807">
        <f t="shared" si="3"/>
        <v>9990519.5</v>
      </c>
      <c r="AW5" s="685">
        <f t="shared" si="3"/>
        <v>7991265.5599999996</v>
      </c>
      <c r="AX5" s="685">
        <f t="shared" si="3"/>
        <v>0</v>
      </c>
      <c r="AY5" s="685">
        <f t="shared" si="3"/>
        <v>7664678.79</v>
      </c>
      <c r="AZ5" s="685">
        <f t="shared" si="3"/>
        <v>63280</v>
      </c>
      <c r="BA5" s="685">
        <f t="shared" si="3"/>
        <v>10088438.84</v>
      </c>
      <c r="BB5" s="685">
        <f t="shared" si="3"/>
        <v>0</v>
      </c>
      <c r="BC5" s="685">
        <f t="shared" si="3"/>
        <v>7903540.6799999997</v>
      </c>
      <c r="BD5" s="685">
        <f t="shared" si="3"/>
        <v>0</v>
      </c>
      <c r="BE5" s="685">
        <f t="shared" si="3"/>
        <v>6615929.1600000001</v>
      </c>
      <c r="BF5" s="685">
        <f t="shared" si="3"/>
        <v>0</v>
      </c>
      <c r="BG5" s="685">
        <f t="shared" si="3"/>
        <v>15037107.140000001</v>
      </c>
      <c r="BH5" s="685">
        <f t="shared" si="3"/>
        <v>0</v>
      </c>
      <c r="BI5" s="685">
        <f t="shared" si="3"/>
        <v>6939853.9199999999</v>
      </c>
      <c r="BJ5" s="685">
        <f t="shared" si="3"/>
        <v>0</v>
      </c>
      <c r="BK5" s="685">
        <f t="shared" si="3"/>
        <v>3425180.81</v>
      </c>
      <c r="BL5" s="685">
        <f t="shared" si="3"/>
        <v>0</v>
      </c>
      <c r="BM5" s="685">
        <f t="shared" si="3"/>
        <v>3158554.09</v>
      </c>
      <c r="BN5" s="685">
        <f t="shared" si="3"/>
        <v>0</v>
      </c>
      <c r="BO5" s="685">
        <f t="shared" si="3"/>
        <v>1555557.98</v>
      </c>
      <c r="BP5" s="685">
        <f t="shared" si="3"/>
        <v>0</v>
      </c>
      <c r="BQ5" s="685">
        <f t="shared" si="3"/>
        <v>2291174.59</v>
      </c>
      <c r="BR5" s="685">
        <f t="shared" si="3"/>
        <v>0</v>
      </c>
      <c r="BS5" s="685">
        <f t="shared" si="3"/>
        <v>4907122.8</v>
      </c>
      <c r="BT5" s="575">
        <f>SUBTOTAL(9,BT7:BT124,BT130:BT131,BT138:BT188)</f>
        <v>5820673.9400000004</v>
      </c>
    </row>
    <row r="6" spans="1:74" ht="18.75">
      <c r="F6" s="322" t="s">
        <v>137</v>
      </c>
      <c r="G6" s="322"/>
      <c r="H6" s="322"/>
      <c r="I6" s="322"/>
      <c r="J6" s="322"/>
      <c r="K6" s="322"/>
      <c r="L6" s="322"/>
      <c r="M6" s="322"/>
      <c r="N6" s="322"/>
      <c r="O6" s="322"/>
      <c r="P6" s="327"/>
      <c r="Q6" s="322"/>
      <c r="R6" s="327"/>
      <c r="S6" s="2"/>
      <c r="T6" s="327"/>
      <c r="Z6" s="2"/>
      <c r="AA6" s="2"/>
      <c r="AB6" s="2"/>
      <c r="AC6" s="2"/>
      <c r="AD6" s="2"/>
      <c r="AE6" s="2"/>
      <c r="AF6" s="2"/>
      <c r="AG6" s="2"/>
      <c r="AH6" s="2"/>
      <c r="AI6" s="2"/>
      <c r="AJ6" s="2"/>
      <c r="AK6" s="2"/>
      <c r="AL6" s="273"/>
      <c r="AM6" s="2"/>
      <c r="AN6" s="2"/>
      <c r="AO6" s="2"/>
      <c r="AP6" s="2"/>
      <c r="AQ6" s="2"/>
      <c r="AR6" s="2"/>
      <c r="AS6" s="2"/>
      <c r="AT6" s="2"/>
      <c r="AU6" s="644"/>
      <c r="AV6" s="804"/>
      <c r="AW6" s="643"/>
      <c r="AX6" s="643"/>
      <c r="AY6" s="643"/>
      <c r="AZ6" s="643"/>
      <c r="BA6" s="643"/>
      <c r="BB6" s="643"/>
      <c r="BC6" s="643"/>
      <c r="BD6" s="643"/>
      <c r="BE6" s="643"/>
      <c r="BF6" s="643"/>
      <c r="BG6" s="643"/>
      <c r="BH6" s="643"/>
      <c r="BI6" s="643"/>
      <c r="BJ6" s="643"/>
      <c r="BK6" s="643"/>
      <c r="BL6" s="643"/>
      <c r="BM6" s="643"/>
      <c r="BN6" s="643" t="e">
        <f t="shared" ref="BN6:BR6" si="4">ROUND(BN12/$AV$6,0)</f>
        <v>#DIV/0!</v>
      </c>
      <c r="BO6" s="643"/>
      <c r="BP6" s="643" t="e">
        <f t="shared" si="4"/>
        <v>#DIV/0!</v>
      </c>
      <c r="BQ6" s="643"/>
      <c r="BR6" s="643" t="e">
        <f t="shared" si="4"/>
        <v>#DIV/0!</v>
      </c>
      <c r="BS6" s="643"/>
      <c r="BT6" s="2"/>
    </row>
    <row r="7" spans="1:74" ht="18.75">
      <c r="F7" s="323" t="s">
        <v>29</v>
      </c>
      <c r="G7" s="321"/>
      <c r="H7" s="321"/>
      <c r="I7" s="321"/>
      <c r="J7" s="321"/>
      <c r="K7" s="321"/>
      <c r="L7" s="321"/>
      <c r="M7" s="321"/>
      <c r="N7" s="321"/>
      <c r="O7" s="321"/>
      <c r="Q7" s="321"/>
      <c r="S7" s="2"/>
      <c r="Z7" s="2"/>
      <c r="AA7" s="2"/>
      <c r="AB7" s="2"/>
      <c r="AC7" s="2"/>
      <c r="AD7" s="2"/>
      <c r="AE7" s="2"/>
      <c r="AF7" s="2"/>
      <c r="AG7" s="2"/>
      <c r="AH7" s="2"/>
      <c r="AI7" s="2"/>
      <c r="AJ7" s="2"/>
      <c r="AK7" s="2"/>
      <c r="AL7" s="273"/>
      <c r="AM7" s="2"/>
      <c r="AN7" s="2"/>
      <c r="AO7" s="2"/>
      <c r="AP7" s="2"/>
      <c r="AQ7" s="2"/>
      <c r="AR7" s="2"/>
      <c r="AS7" s="2"/>
      <c r="AT7" s="2"/>
      <c r="AU7" s="2"/>
      <c r="AW7" s="2"/>
      <c r="AX7" s="2"/>
      <c r="AY7" s="2"/>
      <c r="AZ7" s="2"/>
      <c r="BA7" s="2"/>
      <c r="BB7" s="2"/>
      <c r="BC7" s="2"/>
      <c r="BD7" s="2"/>
      <c r="BE7" s="2"/>
      <c r="BF7" s="2"/>
      <c r="BG7" s="2"/>
      <c r="BH7" s="2"/>
      <c r="BI7" s="2"/>
      <c r="BJ7" s="2"/>
      <c r="BK7" s="2"/>
      <c r="BL7" s="2"/>
      <c r="BM7" s="2"/>
      <c r="BN7" s="2"/>
      <c r="BO7" s="2"/>
      <c r="BP7" s="2"/>
      <c r="BQ7" s="2"/>
      <c r="BR7" s="2"/>
      <c r="BS7" s="2"/>
      <c r="BT7" s="2"/>
    </row>
    <row r="8" spans="1:74" ht="26.25" thickBot="1">
      <c r="AV8" s="802" t="s">
        <v>449</v>
      </c>
      <c r="BA8" s="386">
        <f>BB8-AW12-AY12-BA12</f>
        <v>704242</v>
      </c>
      <c r="BB8" s="385">
        <v>9724242</v>
      </c>
      <c r="BG8" s="387">
        <f>BH8-BC12-BE12-BG12</f>
        <v>-3915758</v>
      </c>
      <c r="BH8" s="385">
        <v>9724242</v>
      </c>
      <c r="BM8" s="386">
        <f>BN8-BI12-BK12-BM12</f>
        <v>9101546.2599999998</v>
      </c>
      <c r="BN8" s="385">
        <v>9724242</v>
      </c>
      <c r="BS8" s="386">
        <f>BT8-BO12-BQ12-BS12</f>
        <v>5820673.9400000004</v>
      </c>
      <c r="BT8" s="385">
        <f>ROUND($L$12*25%,2)</f>
        <v>5820673.9400000004</v>
      </c>
    </row>
    <row r="9" spans="1:74" ht="27" customHeight="1" thickBot="1">
      <c r="H9" s="4"/>
      <c r="I9" s="4"/>
      <c r="L9" s="101"/>
      <c r="Q9" s="5"/>
      <c r="S9" s="5" t="s">
        <v>0</v>
      </c>
      <c r="V9" s="737" t="s">
        <v>382</v>
      </c>
      <c r="W9" s="736" t="s">
        <v>391</v>
      </c>
      <c r="X9" s="738" t="s">
        <v>383</v>
      </c>
      <c r="Z9" s="1489" t="s">
        <v>182</v>
      </c>
      <c r="AA9" s="1490"/>
      <c r="AB9" s="1491"/>
      <c r="AC9" s="1489" t="s">
        <v>181</v>
      </c>
      <c r="AD9" s="1490"/>
      <c r="AE9" s="1491"/>
      <c r="AF9" s="1489" t="s">
        <v>186</v>
      </c>
      <c r="AG9" s="1490"/>
      <c r="AH9" s="1491"/>
      <c r="AI9" s="1489" t="s">
        <v>189</v>
      </c>
      <c r="AJ9" s="1490"/>
      <c r="AK9" s="1491"/>
      <c r="AL9" s="275"/>
      <c r="AM9" s="1492" t="s">
        <v>188</v>
      </c>
      <c r="AN9" s="1493"/>
      <c r="AO9" s="1494"/>
      <c r="AP9" s="1492" t="s">
        <v>187</v>
      </c>
      <c r="AQ9" s="1493"/>
      <c r="AR9" s="1494"/>
      <c r="AS9" s="1492" t="s">
        <v>213</v>
      </c>
      <c r="AT9" s="1493"/>
      <c r="AU9" s="1494"/>
      <c r="AV9" s="752"/>
      <c r="AW9" s="1495" t="s">
        <v>179</v>
      </c>
      <c r="AX9" s="1496"/>
      <c r="AY9" s="1496" t="s">
        <v>178</v>
      </c>
      <c r="AZ9" s="1496"/>
      <c r="BA9" s="1496" t="s">
        <v>180</v>
      </c>
      <c r="BB9" s="1497"/>
      <c r="BC9" s="1498" t="s">
        <v>183</v>
      </c>
      <c r="BD9" s="1488"/>
      <c r="BE9" s="1488" t="s">
        <v>184</v>
      </c>
      <c r="BF9" s="1488"/>
      <c r="BG9" s="1488" t="s">
        <v>185</v>
      </c>
      <c r="BH9" s="1501"/>
      <c r="BI9" s="1502" t="s">
        <v>190</v>
      </c>
      <c r="BJ9" s="1503"/>
      <c r="BK9" s="1503" t="s">
        <v>191</v>
      </c>
      <c r="BL9" s="1503"/>
      <c r="BM9" s="1503" t="s">
        <v>192</v>
      </c>
      <c r="BN9" s="1504"/>
      <c r="BO9" s="1505" t="s">
        <v>193</v>
      </c>
      <c r="BP9" s="1499"/>
      <c r="BQ9" s="1499" t="s">
        <v>194</v>
      </c>
      <c r="BR9" s="1499"/>
      <c r="BS9" s="1499" t="s">
        <v>195</v>
      </c>
      <c r="BT9" s="1500"/>
      <c r="BU9" s="307" t="s">
        <v>198</v>
      </c>
      <c r="BV9" s="307" t="s">
        <v>199</v>
      </c>
    </row>
    <row r="10" spans="1:74" s="31" customFormat="1" ht="73.5" customHeight="1" thickBot="1">
      <c r="A10" s="845" t="s">
        <v>450</v>
      </c>
      <c r="B10" s="817" t="s">
        <v>451</v>
      </c>
      <c r="C10" s="846" t="s">
        <v>377</v>
      </c>
      <c r="D10" s="847" t="s">
        <v>380</v>
      </c>
      <c r="E10" s="848" t="s">
        <v>200</v>
      </c>
      <c r="F10" s="823" t="s">
        <v>1</v>
      </c>
      <c r="G10" s="12" t="s">
        <v>2</v>
      </c>
      <c r="H10" s="12" t="s">
        <v>68</v>
      </c>
      <c r="I10" s="12" t="s">
        <v>4</v>
      </c>
      <c r="J10" s="12" t="s">
        <v>5</v>
      </c>
      <c r="K10" s="522" t="s">
        <v>6</v>
      </c>
      <c r="L10" s="731" t="s">
        <v>202</v>
      </c>
      <c r="M10" s="732" t="s">
        <v>73</v>
      </c>
      <c r="N10" s="732" t="s">
        <v>203</v>
      </c>
      <c r="O10" s="732" t="s">
        <v>33</v>
      </c>
      <c r="P10" s="733" t="s">
        <v>62</v>
      </c>
      <c r="Q10" s="732" t="s">
        <v>50</v>
      </c>
      <c r="R10" s="734" t="s">
        <v>62</v>
      </c>
      <c r="S10" s="735" t="s">
        <v>138</v>
      </c>
      <c r="T10" s="659" t="s">
        <v>62</v>
      </c>
      <c r="U10" s="325"/>
      <c r="V10" s="12" t="s">
        <v>210</v>
      </c>
      <c r="W10" s="12" t="s">
        <v>211</v>
      </c>
      <c r="X10" s="12" t="s">
        <v>212</v>
      </c>
      <c r="Z10" s="261" t="s">
        <v>82</v>
      </c>
      <c r="AA10" s="252" t="s">
        <v>177</v>
      </c>
      <c r="AB10" s="268" t="s">
        <v>196</v>
      </c>
      <c r="AC10" s="261" t="s">
        <v>82</v>
      </c>
      <c r="AD10" s="252" t="s">
        <v>177</v>
      </c>
      <c r="AE10" s="268" t="s">
        <v>196</v>
      </c>
      <c r="AF10" s="261" t="s">
        <v>82</v>
      </c>
      <c r="AG10" s="252" t="s">
        <v>177</v>
      </c>
      <c r="AH10" s="268" t="s">
        <v>196</v>
      </c>
      <c r="AI10" s="261" t="s">
        <v>82</v>
      </c>
      <c r="AJ10" s="252" t="s">
        <v>177</v>
      </c>
      <c r="AK10" s="268" t="s">
        <v>196</v>
      </c>
      <c r="AL10" s="276"/>
      <c r="AM10" s="261" t="s">
        <v>82</v>
      </c>
      <c r="AN10" s="246" t="s">
        <v>177</v>
      </c>
      <c r="AO10" s="279" t="s">
        <v>196</v>
      </c>
      <c r="AP10" s="261" t="s">
        <v>82</v>
      </c>
      <c r="AQ10" s="246" t="s">
        <v>177</v>
      </c>
      <c r="AR10" s="279" t="s">
        <v>196</v>
      </c>
      <c r="AS10" s="261" t="s">
        <v>82</v>
      </c>
      <c r="AT10" s="246" t="s">
        <v>177</v>
      </c>
      <c r="AU10" s="279" t="s">
        <v>196</v>
      </c>
      <c r="AV10" s="593"/>
      <c r="AW10" s="288" t="s">
        <v>82</v>
      </c>
      <c r="AX10" s="286" t="s">
        <v>177</v>
      </c>
      <c r="AY10" s="285" t="s">
        <v>82</v>
      </c>
      <c r="AZ10" s="286" t="s">
        <v>177</v>
      </c>
      <c r="BA10" s="285" t="s">
        <v>82</v>
      </c>
      <c r="BB10" s="291" t="s">
        <v>177</v>
      </c>
      <c r="BC10" s="295" t="s">
        <v>82</v>
      </c>
      <c r="BD10" s="294" t="s">
        <v>177</v>
      </c>
      <c r="BE10" s="293" t="s">
        <v>82</v>
      </c>
      <c r="BF10" s="294" t="s">
        <v>177</v>
      </c>
      <c r="BG10" s="293" t="s">
        <v>82</v>
      </c>
      <c r="BH10" s="296" t="s">
        <v>177</v>
      </c>
      <c r="BI10" s="299" t="s">
        <v>82</v>
      </c>
      <c r="BJ10" s="298" t="s">
        <v>177</v>
      </c>
      <c r="BK10" s="297" t="s">
        <v>82</v>
      </c>
      <c r="BL10" s="298" t="s">
        <v>177</v>
      </c>
      <c r="BM10" s="297" t="s">
        <v>82</v>
      </c>
      <c r="BN10" s="300" t="s">
        <v>177</v>
      </c>
      <c r="BO10" s="304" t="s">
        <v>82</v>
      </c>
      <c r="BP10" s="303" t="s">
        <v>177</v>
      </c>
      <c r="BQ10" s="302" t="s">
        <v>82</v>
      </c>
      <c r="BR10" s="303" t="s">
        <v>177</v>
      </c>
      <c r="BS10" s="302" t="s">
        <v>82</v>
      </c>
      <c r="BT10" s="284" t="s">
        <v>177</v>
      </c>
    </row>
    <row r="11" spans="1:74" s="31" customFormat="1" ht="42" customHeight="1" thickBot="1">
      <c r="A11" s="287">
        <v>1</v>
      </c>
      <c r="B11" s="818"/>
      <c r="C11" s="845"/>
      <c r="D11" s="849"/>
      <c r="E11" s="287" t="s">
        <v>201</v>
      </c>
      <c r="F11" s="306" t="s">
        <v>219</v>
      </c>
      <c r="G11" s="306"/>
      <c r="H11" s="306"/>
      <c r="I11" s="306"/>
      <c r="J11" s="306"/>
      <c r="K11" s="306"/>
      <c r="L11" s="311"/>
      <c r="M11" s="311"/>
      <c r="N11" s="311"/>
      <c r="O11" s="311"/>
      <c r="P11" s="333"/>
      <c r="Q11" s="311"/>
      <c r="R11" s="333"/>
      <c r="T11" s="333"/>
      <c r="U11" s="325"/>
      <c r="V11" s="308"/>
      <c r="W11" s="308"/>
      <c r="X11" s="308"/>
      <c r="Z11" s="262"/>
      <c r="AA11" s="3"/>
      <c r="AB11" s="257"/>
      <c r="AC11" s="262"/>
      <c r="AD11" s="3"/>
      <c r="AE11" s="257"/>
      <c r="AF11" s="262"/>
      <c r="AG11" s="3"/>
      <c r="AH11" s="257"/>
      <c r="AI11" s="262"/>
      <c r="AJ11" s="3"/>
      <c r="AK11" s="257"/>
      <c r="AL11" s="3"/>
      <c r="AM11" s="262"/>
      <c r="AN11" s="3"/>
      <c r="AO11" s="257"/>
      <c r="AP11" s="262"/>
      <c r="AQ11" s="3"/>
      <c r="AR11" s="257"/>
      <c r="AS11" s="262"/>
      <c r="AT11" s="3"/>
      <c r="AU11" s="257"/>
      <c r="AV11" s="593"/>
      <c r="AW11" s="289"/>
      <c r="AX11" s="287"/>
      <c r="AY11" s="287"/>
      <c r="AZ11" s="287"/>
      <c r="BA11" s="287"/>
      <c r="BB11" s="292"/>
      <c r="BC11" s="289"/>
      <c r="BD11" s="287"/>
      <c r="BE11" s="287"/>
      <c r="BF11" s="287"/>
      <c r="BG11" s="287"/>
      <c r="BH11" s="292"/>
      <c r="BI11" s="289"/>
      <c r="BJ11" s="287"/>
      <c r="BK11" s="287"/>
      <c r="BL11" s="287"/>
      <c r="BM11" s="287"/>
      <c r="BN11" s="292"/>
      <c r="BO11" s="289"/>
      <c r="BP11" s="287"/>
      <c r="BQ11" s="287"/>
      <c r="BR11" s="287"/>
      <c r="BS11" s="287"/>
      <c r="BT11" s="290"/>
    </row>
    <row r="12" spans="1:74" s="378" customFormat="1" ht="31.5">
      <c r="A12" s="287">
        <v>2</v>
      </c>
      <c r="B12" s="818"/>
      <c r="C12" s="850"/>
      <c r="D12" s="851"/>
      <c r="E12" s="852" t="s">
        <v>201</v>
      </c>
      <c r="F12" s="824" t="s">
        <v>7</v>
      </c>
      <c r="G12" s="376">
        <v>4</v>
      </c>
      <c r="H12" s="376" t="s">
        <v>226</v>
      </c>
      <c r="I12" s="376">
        <v>111</v>
      </c>
      <c r="J12" s="377">
        <v>211</v>
      </c>
      <c r="K12" s="531" t="s">
        <v>8</v>
      </c>
      <c r="L12" s="547">
        <v>23282695.739999998</v>
      </c>
      <c r="M12" s="548"/>
      <c r="N12" s="548"/>
      <c r="O12" s="548">
        <f>L12+N12</f>
        <v>23282695.739999998</v>
      </c>
      <c r="P12" s="556">
        <f>41959190-L12-L144</f>
        <v>13613383.390000001</v>
      </c>
      <c r="Q12" s="547">
        <v>24496803.949999999</v>
      </c>
      <c r="R12" s="556"/>
      <c r="S12" s="547">
        <v>24191233.949999999</v>
      </c>
      <c r="T12" s="556"/>
      <c r="U12" s="380"/>
      <c r="V12" s="381"/>
      <c r="W12" s="381"/>
      <c r="X12" s="381"/>
      <c r="Z12" s="382">
        <f t="shared" ref="Z12:Z45" si="5">AW12+AY12+BA12</f>
        <v>9020000</v>
      </c>
      <c r="AA12" s="247">
        <f t="shared" ref="AA12:AA45" si="6">AX12+AZ12+BB12</f>
        <v>0</v>
      </c>
      <c r="AB12" s="383">
        <f t="shared" ref="AB12:AB45" si="7">Z12-AA12</f>
        <v>9020000</v>
      </c>
      <c r="AC12" s="382">
        <f t="shared" ref="AC12:AC45" si="8">BC12+BE12+BG12</f>
        <v>13640000</v>
      </c>
      <c r="AD12" s="247">
        <f t="shared" ref="AD12:AD45" si="9">BD12+BF12+BH12</f>
        <v>0</v>
      </c>
      <c r="AE12" s="383">
        <f t="shared" ref="AE12:AE45" si="10">AC12-AD12</f>
        <v>13640000</v>
      </c>
      <c r="AF12" s="382">
        <f t="shared" ref="AF12:AF45" si="11">BI12+BK12+BM12</f>
        <v>622695.74</v>
      </c>
      <c r="AG12" s="247">
        <f t="shared" ref="AG12:AG45" si="12">BJ12+BL12+BN12</f>
        <v>0</v>
      </c>
      <c r="AH12" s="383">
        <f t="shared" ref="AH12:AH45" si="13">AF12-AG12</f>
        <v>622695.74</v>
      </c>
      <c r="AI12" s="382">
        <f t="shared" ref="AI12:AI45" si="14">BO12+BQ12+BS12</f>
        <v>0</v>
      </c>
      <c r="AJ12" s="247">
        <f t="shared" ref="AJ12:AJ45" si="15">BP12+BR12+BT12</f>
        <v>0</v>
      </c>
      <c r="AK12" s="383">
        <f t="shared" ref="AK12:AK45" si="16">AI12-AJ12</f>
        <v>0</v>
      </c>
      <c r="AL12" s="250"/>
      <c r="AM12" s="382">
        <f t="shared" ref="AM12:AM45" si="17">Z12+AC12</f>
        <v>22660000</v>
      </c>
      <c r="AN12" s="247">
        <f t="shared" ref="AN12:AN45" si="18">AA12+AD12</f>
        <v>0</v>
      </c>
      <c r="AO12" s="383">
        <f t="shared" ref="AO12:AO45" si="19">AM12-AN12</f>
        <v>22660000</v>
      </c>
      <c r="AP12" s="382">
        <f t="shared" ref="AP12:AP45" si="20">Z12+AC12+AF12</f>
        <v>23282695.739999998</v>
      </c>
      <c r="AQ12" s="247">
        <f t="shared" ref="AQ12:AQ45" si="21">AA12+AD12+AG12</f>
        <v>0</v>
      </c>
      <c r="AR12" s="383">
        <f t="shared" ref="AR12:AR45" si="22">AP12-AQ12</f>
        <v>23282695.739999998</v>
      </c>
      <c r="AS12" s="382">
        <f>Z12+AC12+AF12+AI12</f>
        <v>23282695.739999998</v>
      </c>
      <c r="AT12" s="247">
        <f t="shared" ref="AT12:AT45" si="23">AA12+AD12+AG12+AJ12</f>
        <v>0</v>
      </c>
      <c r="AU12" s="383">
        <f t="shared" ref="AU12:AU45" si="24">AS12-AT12</f>
        <v>23282695.739999998</v>
      </c>
      <c r="AV12" s="599">
        <f t="shared" ref="AV12:AV44" si="25">L12-AS12</f>
        <v>0</v>
      </c>
      <c r="AW12" s="382">
        <v>1390000</v>
      </c>
      <c r="AX12" s="247"/>
      <c r="AY12" s="247">
        <v>2420000</v>
      </c>
      <c r="AZ12" s="247"/>
      <c r="BA12" s="247">
        <v>5210000</v>
      </c>
      <c r="BB12" s="384"/>
      <c r="BC12" s="382">
        <v>2420000</v>
      </c>
      <c r="BD12" s="247"/>
      <c r="BE12" s="247">
        <v>2420000</v>
      </c>
      <c r="BF12" s="247"/>
      <c r="BG12" s="247">
        <v>8800000</v>
      </c>
      <c r="BH12" s="384"/>
      <c r="BI12" s="382">
        <v>622695.74</v>
      </c>
      <c r="BJ12" s="247"/>
      <c r="BK12" s="247"/>
      <c r="BL12" s="247"/>
      <c r="BM12" s="247"/>
      <c r="BN12" s="384"/>
      <c r="BO12" s="382"/>
      <c r="BP12" s="247"/>
      <c r="BQ12" s="247"/>
      <c r="BR12" s="247"/>
      <c r="BS12" s="247"/>
      <c r="BT12" s="383"/>
      <c r="BU12" s="378">
        <v>0.01</v>
      </c>
      <c r="BV12" s="378" t="s">
        <v>197</v>
      </c>
    </row>
    <row r="13" spans="1:74" s="358" customFormat="1" ht="31.5">
      <c r="A13" s="287">
        <v>3</v>
      </c>
      <c r="B13" s="818"/>
      <c r="C13" s="837"/>
      <c r="D13" s="838"/>
      <c r="E13" s="836" t="s">
        <v>201</v>
      </c>
      <c r="F13" s="820" t="s">
        <v>7</v>
      </c>
      <c r="G13" s="360">
        <v>4</v>
      </c>
      <c r="H13" s="360" t="s">
        <v>226</v>
      </c>
      <c r="I13" s="360">
        <v>119</v>
      </c>
      <c r="J13" s="361">
        <v>213</v>
      </c>
      <c r="K13" s="532" t="s">
        <v>10</v>
      </c>
      <c r="L13" s="544">
        <v>6926770.5700000003</v>
      </c>
      <c r="M13" s="363"/>
      <c r="N13" s="363"/>
      <c r="O13" s="363">
        <f t="shared" ref="O13:O76" si="26">L13+N13</f>
        <v>6926770.5700000003</v>
      </c>
      <c r="P13" s="557">
        <f>12475243.59-L13-L147</f>
        <v>4060238.43</v>
      </c>
      <c r="Q13" s="544">
        <v>7276356.8899999997</v>
      </c>
      <c r="R13" s="557"/>
      <c r="S13" s="544">
        <v>7185672.04</v>
      </c>
      <c r="T13" s="557"/>
      <c r="U13" s="365"/>
      <c r="V13" s="366"/>
      <c r="W13" s="366"/>
      <c r="X13" s="366"/>
      <c r="Z13" s="367">
        <f t="shared" si="5"/>
        <v>1150620</v>
      </c>
      <c r="AA13" s="363">
        <f t="shared" si="6"/>
        <v>0</v>
      </c>
      <c r="AB13" s="280">
        <f t="shared" si="7"/>
        <v>1150620</v>
      </c>
      <c r="AC13" s="367">
        <f t="shared" si="8"/>
        <v>3035100</v>
      </c>
      <c r="AD13" s="363">
        <f t="shared" si="9"/>
        <v>0</v>
      </c>
      <c r="AE13" s="280">
        <f t="shared" si="10"/>
        <v>3035100</v>
      </c>
      <c r="AF13" s="367">
        <f t="shared" si="11"/>
        <v>2741050.57</v>
      </c>
      <c r="AG13" s="363">
        <f t="shared" si="12"/>
        <v>0</v>
      </c>
      <c r="AH13" s="280">
        <f t="shared" si="13"/>
        <v>2741050.57</v>
      </c>
      <c r="AI13" s="367">
        <f t="shared" si="14"/>
        <v>0</v>
      </c>
      <c r="AJ13" s="363">
        <f t="shared" si="15"/>
        <v>0</v>
      </c>
      <c r="AK13" s="280">
        <f t="shared" si="16"/>
        <v>0</v>
      </c>
      <c r="AL13" s="368"/>
      <c r="AM13" s="367">
        <f t="shared" si="17"/>
        <v>4185720</v>
      </c>
      <c r="AN13" s="363">
        <f t="shared" si="18"/>
        <v>0</v>
      </c>
      <c r="AO13" s="280">
        <f t="shared" si="19"/>
        <v>4185720</v>
      </c>
      <c r="AP13" s="367">
        <f t="shared" si="20"/>
        <v>6926770.5700000003</v>
      </c>
      <c r="AQ13" s="363">
        <f t="shared" si="21"/>
        <v>0</v>
      </c>
      <c r="AR13" s="280">
        <f t="shared" si="22"/>
        <v>6926770.5700000003</v>
      </c>
      <c r="AS13" s="367">
        <f t="shared" ref="AS13:AS45" si="27">Z13+AC13+AF13+AI13</f>
        <v>6926770.5700000003</v>
      </c>
      <c r="AT13" s="363">
        <f t="shared" si="23"/>
        <v>0</v>
      </c>
      <c r="AU13" s="280">
        <f t="shared" si="24"/>
        <v>6926770.5700000003</v>
      </c>
      <c r="AV13" s="588">
        <f t="shared" si="25"/>
        <v>0</v>
      </c>
      <c r="AW13" s="367">
        <v>0</v>
      </c>
      <c r="AX13" s="363"/>
      <c r="AY13" s="363">
        <f>AW12*30.2%</f>
        <v>419780</v>
      </c>
      <c r="AZ13" s="363"/>
      <c r="BA13" s="363">
        <f>AY12*30.2%</f>
        <v>730840</v>
      </c>
      <c r="BB13" s="369"/>
      <c r="BC13" s="367">
        <f>BA12*30.2%</f>
        <v>1573420</v>
      </c>
      <c r="BD13" s="363"/>
      <c r="BE13" s="363">
        <f>BC12*30.2%</f>
        <v>730840</v>
      </c>
      <c r="BF13" s="363"/>
      <c r="BG13" s="363">
        <f>BE12*30.2%</f>
        <v>730840</v>
      </c>
      <c r="BH13" s="369"/>
      <c r="BI13" s="367">
        <f>BG12*30.2%</f>
        <v>2657600</v>
      </c>
      <c r="BJ13" s="363"/>
      <c r="BK13" s="363">
        <f>BI12*30.2%</f>
        <v>188054.11</v>
      </c>
      <c r="BL13" s="363"/>
      <c r="BM13" s="363">
        <f>BK12*30.2%-68794.05-35809.49</f>
        <v>-104603.54</v>
      </c>
      <c r="BN13" s="369"/>
      <c r="BO13" s="367"/>
      <c r="BP13" s="363"/>
      <c r="BQ13" s="363">
        <f>BO12*30.2%</f>
        <v>0</v>
      </c>
      <c r="BR13" s="363"/>
      <c r="BS13" s="363">
        <f>BQ12*30.2%</f>
        <v>0</v>
      </c>
      <c r="BT13" s="280"/>
      <c r="BV13" s="358" t="s">
        <v>197</v>
      </c>
    </row>
    <row r="14" spans="1:74" s="358" customFormat="1" ht="31.5">
      <c r="A14" s="287">
        <v>4</v>
      </c>
      <c r="B14" s="818"/>
      <c r="C14" s="837"/>
      <c r="D14" s="838"/>
      <c r="E14" s="836" t="s">
        <v>201</v>
      </c>
      <c r="F14" s="820" t="s">
        <v>135</v>
      </c>
      <c r="G14" s="360">
        <v>4</v>
      </c>
      <c r="H14" s="360" t="s">
        <v>226</v>
      </c>
      <c r="I14" s="360">
        <v>119</v>
      </c>
      <c r="J14" s="361">
        <v>213</v>
      </c>
      <c r="K14" s="532" t="s">
        <v>221</v>
      </c>
      <c r="L14" s="367"/>
      <c r="M14" s="363"/>
      <c r="N14" s="363"/>
      <c r="O14" s="363">
        <f t="shared" si="26"/>
        <v>0</v>
      </c>
      <c r="P14" s="557"/>
      <c r="Q14" s="367"/>
      <c r="R14" s="557"/>
      <c r="S14" s="367"/>
      <c r="T14" s="557"/>
      <c r="U14" s="365"/>
      <c r="V14" s="366"/>
      <c r="W14" s="366"/>
      <c r="X14" s="366"/>
      <c r="Z14" s="367">
        <f t="shared" si="5"/>
        <v>0</v>
      </c>
      <c r="AA14" s="363">
        <f t="shared" si="6"/>
        <v>0</v>
      </c>
      <c r="AB14" s="280">
        <f t="shared" si="7"/>
        <v>0</v>
      </c>
      <c r="AC14" s="367">
        <f t="shared" si="8"/>
        <v>0</v>
      </c>
      <c r="AD14" s="363">
        <f t="shared" si="9"/>
        <v>0</v>
      </c>
      <c r="AE14" s="280">
        <f t="shared" si="10"/>
        <v>0</v>
      </c>
      <c r="AF14" s="367">
        <f t="shared" si="11"/>
        <v>0</v>
      </c>
      <c r="AG14" s="363">
        <f t="shared" si="12"/>
        <v>0</v>
      </c>
      <c r="AH14" s="280">
        <f t="shared" si="13"/>
        <v>0</v>
      </c>
      <c r="AI14" s="367">
        <f t="shared" si="14"/>
        <v>0</v>
      </c>
      <c r="AJ14" s="363">
        <f t="shared" si="15"/>
        <v>0</v>
      </c>
      <c r="AK14" s="280">
        <f t="shared" si="16"/>
        <v>0</v>
      </c>
      <c r="AL14" s="368"/>
      <c r="AM14" s="367">
        <f t="shared" si="17"/>
        <v>0</v>
      </c>
      <c r="AN14" s="363">
        <f t="shared" si="18"/>
        <v>0</v>
      </c>
      <c r="AO14" s="280">
        <f t="shared" si="19"/>
        <v>0</v>
      </c>
      <c r="AP14" s="367">
        <f t="shared" si="20"/>
        <v>0</v>
      </c>
      <c r="AQ14" s="363">
        <f t="shared" si="21"/>
        <v>0</v>
      </c>
      <c r="AR14" s="280">
        <f t="shared" si="22"/>
        <v>0</v>
      </c>
      <c r="AS14" s="367">
        <f t="shared" si="27"/>
        <v>0</v>
      </c>
      <c r="AT14" s="363">
        <f t="shared" si="23"/>
        <v>0</v>
      </c>
      <c r="AU14" s="280">
        <f t="shared" si="24"/>
        <v>0</v>
      </c>
      <c r="AV14" s="588">
        <f t="shared" si="25"/>
        <v>0</v>
      </c>
      <c r="AW14" s="367"/>
      <c r="AX14" s="363"/>
      <c r="AY14" s="363"/>
      <c r="AZ14" s="363"/>
      <c r="BA14" s="363"/>
      <c r="BB14" s="369"/>
      <c r="BC14" s="367"/>
      <c r="BD14" s="363"/>
      <c r="BE14" s="363"/>
      <c r="BF14" s="363"/>
      <c r="BG14" s="363"/>
      <c r="BH14" s="369"/>
      <c r="BI14" s="367"/>
      <c r="BJ14" s="363"/>
      <c r="BK14" s="363"/>
      <c r="BL14" s="363"/>
      <c r="BM14" s="363"/>
      <c r="BN14" s="369"/>
      <c r="BO14" s="367"/>
      <c r="BP14" s="363"/>
      <c r="BQ14" s="363"/>
      <c r="BR14" s="363"/>
      <c r="BS14" s="363"/>
      <c r="BT14" s="280"/>
    </row>
    <row r="15" spans="1:74" s="378" customFormat="1" ht="111" customHeight="1">
      <c r="A15" s="287">
        <v>5</v>
      </c>
      <c r="B15" s="818"/>
      <c r="C15" s="850" t="s">
        <v>377</v>
      </c>
      <c r="D15" s="851"/>
      <c r="E15" s="852" t="s">
        <v>201</v>
      </c>
      <c r="F15" s="824" t="s">
        <v>7</v>
      </c>
      <c r="G15" s="376">
        <v>4</v>
      </c>
      <c r="H15" s="376" t="s">
        <v>71</v>
      </c>
      <c r="I15" s="376">
        <v>111</v>
      </c>
      <c r="J15" s="377">
        <v>211</v>
      </c>
      <c r="K15" s="531" t="s">
        <v>323</v>
      </c>
      <c r="L15" s="382">
        <f>SUM(L16:L19)</f>
        <v>101000</v>
      </c>
      <c r="M15" s="247"/>
      <c r="N15" s="247"/>
      <c r="O15" s="247">
        <f t="shared" si="26"/>
        <v>101000</v>
      </c>
      <c r="P15" s="558"/>
      <c r="Q15" s="382">
        <f>SUM(Q16:Q19)</f>
        <v>115000</v>
      </c>
      <c r="R15" s="558"/>
      <c r="S15" s="382">
        <f t="shared" ref="S15" si="28">SUM(S16:S19)</f>
        <v>87000</v>
      </c>
      <c r="T15" s="558"/>
      <c r="U15" s="380"/>
      <c r="V15" s="381"/>
      <c r="W15" s="381"/>
      <c r="X15" s="381"/>
      <c r="Z15" s="382">
        <f t="shared" si="5"/>
        <v>19000</v>
      </c>
      <c r="AA15" s="247">
        <f t="shared" si="6"/>
        <v>0</v>
      </c>
      <c r="AB15" s="383">
        <f t="shared" si="7"/>
        <v>19000</v>
      </c>
      <c r="AC15" s="382">
        <f t="shared" si="8"/>
        <v>29000</v>
      </c>
      <c r="AD15" s="247">
        <f t="shared" si="9"/>
        <v>0</v>
      </c>
      <c r="AE15" s="383">
        <f t="shared" si="10"/>
        <v>29000</v>
      </c>
      <c r="AF15" s="382">
        <f t="shared" si="11"/>
        <v>14000</v>
      </c>
      <c r="AG15" s="247">
        <f t="shared" si="12"/>
        <v>0</v>
      </c>
      <c r="AH15" s="383">
        <f t="shared" si="13"/>
        <v>14000</v>
      </c>
      <c r="AI15" s="382">
        <f t="shared" si="14"/>
        <v>39000</v>
      </c>
      <c r="AJ15" s="247">
        <f t="shared" si="15"/>
        <v>0</v>
      </c>
      <c r="AK15" s="383">
        <f t="shared" si="16"/>
        <v>39000</v>
      </c>
      <c r="AL15" s="250"/>
      <c r="AM15" s="382">
        <f t="shared" si="17"/>
        <v>48000</v>
      </c>
      <c r="AN15" s="247">
        <f t="shared" si="18"/>
        <v>0</v>
      </c>
      <c r="AO15" s="383">
        <f t="shared" si="19"/>
        <v>48000</v>
      </c>
      <c r="AP15" s="382">
        <f t="shared" si="20"/>
        <v>62000</v>
      </c>
      <c r="AQ15" s="247">
        <f t="shared" si="21"/>
        <v>0</v>
      </c>
      <c r="AR15" s="383">
        <f t="shared" si="22"/>
        <v>62000</v>
      </c>
      <c r="AS15" s="382">
        <f t="shared" si="27"/>
        <v>101000</v>
      </c>
      <c r="AT15" s="247">
        <f t="shared" si="23"/>
        <v>0</v>
      </c>
      <c r="AU15" s="383">
        <f t="shared" si="24"/>
        <v>101000</v>
      </c>
      <c r="AV15" s="599">
        <f t="shared" si="25"/>
        <v>0</v>
      </c>
      <c r="AW15" s="382">
        <f t="shared" ref="AW15:BT15" si="29">SUM(AW16:AW19)</f>
        <v>9000</v>
      </c>
      <c r="AX15" s="247">
        <f t="shared" si="29"/>
        <v>0</v>
      </c>
      <c r="AY15" s="247">
        <f t="shared" si="29"/>
        <v>0</v>
      </c>
      <c r="AZ15" s="247">
        <f t="shared" si="29"/>
        <v>0</v>
      </c>
      <c r="BA15" s="247">
        <f t="shared" si="29"/>
        <v>10000</v>
      </c>
      <c r="BB15" s="384">
        <f t="shared" si="29"/>
        <v>0</v>
      </c>
      <c r="BC15" s="382">
        <f t="shared" si="29"/>
        <v>9000</v>
      </c>
      <c r="BD15" s="247">
        <f t="shared" si="29"/>
        <v>0</v>
      </c>
      <c r="BE15" s="247">
        <f t="shared" si="29"/>
        <v>20000</v>
      </c>
      <c r="BF15" s="247">
        <f t="shared" si="29"/>
        <v>0</v>
      </c>
      <c r="BG15" s="247">
        <f t="shared" si="29"/>
        <v>0</v>
      </c>
      <c r="BH15" s="384">
        <f t="shared" si="29"/>
        <v>0</v>
      </c>
      <c r="BI15" s="382">
        <f t="shared" si="29"/>
        <v>9000</v>
      </c>
      <c r="BJ15" s="247">
        <f t="shared" si="29"/>
        <v>0</v>
      </c>
      <c r="BK15" s="247">
        <f t="shared" si="29"/>
        <v>5000</v>
      </c>
      <c r="BL15" s="247">
        <f t="shared" si="29"/>
        <v>0</v>
      </c>
      <c r="BM15" s="247">
        <f t="shared" si="29"/>
        <v>0</v>
      </c>
      <c r="BN15" s="384">
        <f t="shared" si="29"/>
        <v>0</v>
      </c>
      <c r="BO15" s="382">
        <f t="shared" si="29"/>
        <v>19000</v>
      </c>
      <c r="BP15" s="247">
        <f t="shared" si="29"/>
        <v>0</v>
      </c>
      <c r="BQ15" s="247">
        <f t="shared" si="29"/>
        <v>20000</v>
      </c>
      <c r="BR15" s="247">
        <f t="shared" si="29"/>
        <v>0</v>
      </c>
      <c r="BS15" s="247">
        <f t="shared" si="29"/>
        <v>0</v>
      </c>
      <c r="BT15" s="383">
        <f t="shared" si="29"/>
        <v>0</v>
      </c>
    </row>
    <row r="16" spans="1:74" s="313" customFormat="1" ht="25.5" outlineLevel="1">
      <c r="A16" s="287">
        <v>6</v>
      </c>
      <c r="B16" s="818"/>
      <c r="C16" s="840"/>
      <c r="D16" s="841"/>
      <c r="E16" s="839"/>
      <c r="F16" s="821" t="s">
        <v>7</v>
      </c>
      <c r="G16" s="314">
        <v>4</v>
      </c>
      <c r="H16" s="739" t="s">
        <v>71</v>
      </c>
      <c r="I16" s="739">
        <v>111</v>
      </c>
      <c r="J16" s="740">
        <v>211</v>
      </c>
      <c r="K16" s="533" t="s">
        <v>316</v>
      </c>
      <c r="L16" s="341">
        <v>10000</v>
      </c>
      <c r="M16" s="318"/>
      <c r="N16" s="318"/>
      <c r="O16" s="318">
        <f t="shared" si="26"/>
        <v>10000</v>
      </c>
      <c r="P16" s="559"/>
      <c r="Q16" s="341">
        <f>10000*3</f>
        <v>30000</v>
      </c>
      <c r="R16" s="559"/>
      <c r="S16" s="341">
        <v>10000</v>
      </c>
      <c r="T16" s="559"/>
      <c r="U16" s="335"/>
      <c r="V16" s="320"/>
      <c r="W16" s="320"/>
      <c r="X16" s="320"/>
      <c r="Z16" s="336">
        <f t="shared" si="5"/>
        <v>10000</v>
      </c>
      <c r="AA16" s="337">
        <f t="shared" si="6"/>
        <v>0</v>
      </c>
      <c r="AB16" s="338">
        <f t="shared" si="7"/>
        <v>10000</v>
      </c>
      <c r="AC16" s="336">
        <f t="shared" si="8"/>
        <v>0</v>
      </c>
      <c r="AD16" s="337">
        <f t="shared" si="9"/>
        <v>0</v>
      </c>
      <c r="AE16" s="338">
        <f t="shared" si="10"/>
        <v>0</v>
      </c>
      <c r="AF16" s="336">
        <f t="shared" si="11"/>
        <v>0</v>
      </c>
      <c r="AG16" s="337">
        <f t="shared" si="12"/>
        <v>0</v>
      </c>
      <c r="AH16" s="338">
        <f t="shared" si="13"/>
        <v>0</v>
      </c>
      <c r="AI16" s="336">
        <f t="shared" si="14"/>
        <v>0</v>
      </c>
      <c r="AJ16" s="337">
        <f t="shared" si="15"/>
        <v>0</v>
      </c>
      <c r="AK16" s="338">
        <f t="shared" si="16"/>
        <v>0</v>
      </c>
      <c r="AL16" s="342"/>
      <c r="AM16" s="336">
        <f t="shared" si="17"/>
        <v>10000</v>
      </c>
      <c r="AN16" s="339">
        <f t="shared" si="18"/>
        <v>0</v>
      </c>
      <c r="AO16" s="340">
        <f t="shared" si="19"/>
        <v>10000</v>
      </c>
      <c r="AP16" s="336">
        <f t="shared" si="20"/>
        <v>10000</v>
      </c>
      <c r="AQ16" s="339">
        <f t="shared" si="21"/>
        <v>0</v>
      </c>
      <c r="AR16" s="340">
        <f t="shared" si="22"/>
        <v>10000</v>
      </c>
      <c r="AS16" s="341">
        <f t="shared" si="27"/>
        <v>10000</v>
      </c>
      <c r="AT16" s="339">
        <f t="shared" si="23"/>
        <v>0</v>
      </c>
      <c r="AU16" s="340">
        <f t="shared" si="24"/>
        <v>10000</v>
      </c>
      <c r="AV16" s="589">
        <f t="shared" si="25"/>
        <v>0</v>
      </c>
      <c r="AW16" s="343"/>
      <c r="AX16" s="344"/>
      <c r="AY16" s="345"/>
      <c r="AZ16" s="344"/>
      <c r="BA16" s="345">
        <v>10000</v>
      </c>
      <c r="BB16" s="346"/>
      <c r="BC16" s="347"/>
      <c r="BD16" s="348"/>
      <c r="BE16" s="349"/>
      <c r="BF16" s="348"/>
      <c r="BG16" s="349"/>
      <c r="BH16" s="350"/>
      <c r="BI16" s="351"/>
      <c r="BJ16" s="352"/>
      <c r="BK16" s="337"/>
      <c r="BL16" s="352"/>
      <c r="BM16" s="337"/>
      <c r="BN16" s="353"/>
      <c r="BO16" s="354"/>
      <c r="BP16" s="355"/>
      <c r="BQ16" s="356"/>
      <c r="BR16" s="355"/>
      <c r="BS16" s="356"/>
      <c r="BT16" s="357"/>
    </row>
    <row r="17" spans="1:74" s="313" customFormat="1" ht="25.5" outlineLevel="1">
      <c r="A17" s="287">
        <v>7</v>
      </c>
      <c r="B17" s="818"/>
      <c r="C17" s="840"/>
      <c r="D17" s="841"/>
      <c r="E17" s="839"/>
      <c r="F17" s="821" t="s">
        <v>7</v>
      </c>
      <c r="G17" s="314">
        <v>4</v>
      </c>
      <c r="H17" s="739" t="s">
        <v>71</v>
      </c>
      <c r="I17" s="739">
        <v>111</v>
      </c>
      <c r="J17" s="740">
        <v>211</v>
      </c>
      <c r="K17" s="533" t="s">
        <v>317</v>
      </c>
      <c r="L17" s="341">
        <f>20000*2</f>
        <v>40000</v>
      </c>
      <c r="M17" s="318"/>
      <c r="N17" s="318"/>
      <c r="O17" s="318">
        <f t="shared" si="26"/>
        <v>40000</v>
      </c>
      <c r="P17" s="559"/>
      <c r="Q17" s="341">
        <f>20000*2</f>
        <v>40000</v>
      </c>
      <c r="R17" s="559"/>
      <c r="S17" s="341">
        <f>20000*2</f>
        <v>40000</v>
      </c>
      <c r="T17" s="559"/>
      <c r="U17" s="335"/>
      <c r="V17" s="320"/>
      <c r="W17" s="320"/>
      <c r="X17" s="320"/>
      <c r="Z17" s="336">
        <f t="shared" si="5"/>
        <v>0</v>
      </c>
      <c r="AA17" s="337">
        <f t="shared" si="6"/>
        <v>0</v>
      </c>
      <c r="AB17" s="338">
        <f t="shared" si="7"/>
        <v>0</v>
      </c>
      <c r="AC17" s="336">
        <f t="shared" si="8"/>
        <v>20000</v>
      </c>
      <c r="AD17" s="337">
        <f t="shared" si="9"/>
        <v>0</v>
      </c>
      <c r="AE17" s="338">
        <f t="shared" si="10"/>
        <v>20000</v>
      </c>
      <c r="AF17" s="336">
        <f t="shared" si="11"/>
        <v>0</v>
      </c>
      <c r="AG17" s="337">
        <f t="shared" si="12"/>
        <v>0</v>
      </c>
      <c r="AH17" s="338">
        <f t="shared" si="13"/>
        <v>0</v>
      </c>
      <c r="AI17" s="336">
        <f t="shared" si="14"/>
        <v>20000</v>
      </c>
      <c r="AJ17" s="337">
        <f t="shared" si="15"/>
        <v>0</v>
      </c>
      <c r="AK17" s="338">
        <f t="shared" si="16"/>
        <v>20000</v>
      </c>
      <c r="AL17" s="342"/>
      <c r="AM17" s="336">
        <f t="shared" si="17"/>
        <v>20000</v>
      </c>
      <c r="AN17" s="339">
        <f t="shared" si="18"/>
        <v>0</v>
      </c>
      <c r="AO17" s="340">
        <f t="shared" si="19"/>
        <v>20000</v>
      </c>
      <c r="AP17" s="336">
        <f t="shared" si="20"/>
        <v>20000</v>
      </c>
      <c r="AQ17" s="339">
        <f t="shared" si="21"/>
        <v>0</v>
      </c>
      <c r="AR17" s="340">
        <f t="shared" si="22"/>
        <v>20000</v>
      </c>
      <c r="AS17" s="341">
        <f t="shared" si="27"/>
        <v>40000</v>
      </c>
      <c r="AT17" s="339">
        <f t="shared" si="23"/>
        <v>0</v>
      </c>
      <c r="AU17" s="340">
        <f t="shared" si="24"/>
        <v>40000</v>
      </c>
      <c r="AV17" s="589">
        <f t="shared" si="25"/>
        <v>0</v>
      </c>
      <c r="AW17" s="343"/>
      <c r="AX17" s="344"/>
      <c r="AY17" s="345"/>
      <c r="AZ17" s="344"/>
      <c r="BA17" s="345"/>
      <c r="BB17" s="346"/>
      <c r="BC17" s="347"/>
      <c r="BD17" s="348"/>
      <c r="BE17" s="349">
        <v>20000</v>
      </c>
      <c r="BF17" s="348"/>
      <c r="BG17" s="349"/>
      <c r="BH17" s="350"/>
      <c r="BI17" s="351"/>
      <c r="BJ17" s="352"/>
      <c r="BK17" s="337"/>
      <c r="BL17" s="352"/>
      <c r="BM17" s="337"/>
      <c r="BN17" s="353"/>
      <c r="BO17" s="354"/>
      <c r="BP17" s="355"/>
      <c r="BQ17" s="356">
        <v>20000</v>
      </c>
      <c r="BR17" s="355"/>
      <c r="BS17" s="356"/>
      <c r="BT17" s="357"/>
    </row>
    <row r="18" spans="1:74" s="313" customFormat="1" ht="25.5" outlineLevel="1">
      <c r="A18" s="287">
        <v>8</v>
      </c>
      <c r="B18" s="818"/>
      <c r="C18" s="840"/>
      <c r="D18" s="841"/>
      <c r="E18" s="839"/>
      <c r="F18" s="821" t="s">
        <v>7</v>
      </c>
      <c r="G18" s="314">
        <v>4</v>
      </c>
      <c r="H18" s="739" t="s">
        <v>71</v>
      </c>
      <c r="I18" s="739">
        <v>111</v>
      </c>
      <c r="J18" s="740">
        <v>211</v>
      </c>
      <c r="K18" s="533" t="s">
        <v>318</v>
      </c>
      <c r="L18" s="341">
        <f>5000*3</f>
        <v>15000</v>
      </c>
      <c r="M18" s="318"/>
      <c r="N18" s="318"/>
      <c r="O18" s="318">
        <f t="shared" si="26"/>
        <v>15000</v>
      </c>
      <c r="P18" s="559"/>
      <c r="Q18" s="341">
        <f>5000*3</f>
        <v>15000</v>
      </c>
      <c r="R18" s="559"/>
      <c r="S18" s="341">
        <f>5000*3</f>
        <v>15000</v>
      </c>
      <c r="T18" s="559"/>
      <c r="U18" s="335"/>
      <c r="V18" s="320"/>
      <c r="W18" s="320"/>
      <c r="X18" s="320"/>
      <c r="Z18" s="336">
        <f t="shared" si="5"/>
        <v>0</v>
      </c>
      <c r="AA18" s="337">
        <f t="shared" si="6"/>
        <v>0</v>
      </c>
      <c r="AB18" s="338">
        <f t="shared" si="7"/>
        <v>0</v>
      </c>
      <c r="AC18" s="336">
        <f t="shared" si="8"/>
        <v>0</v>
      </c>
      <c r="AD18" s="337">
        <f t="shared" si="9"/>
        <v>0</v>
      </c>
      <c r="AE18" s="338">
        <f t="shared" si="10"/>
        <v>0</v>
      </c>
      <c r="AF18" s="336">
        <f t="shared" si="11"/>
        <v>5000</v>
      </c>
      <c r="AG18" s="337">
        <f t="shared" si="12"/>
        <v>0</v>
      </c>
      <c r="AH18" s="338">
        <f t="shared" si="13"/>
        <v>5000</v>
      </c>
      <c r="AI18" s="336">
        <f t="shared" si="14"/>
        <v>10000</v>
      </c>
      <c r="AJ18" s="337">
        <f t="shared" si="15"/>
        <v>0</v>
      </c>
      <c r="AK18" s="338">
        <f t="shared" si="16"/>
        <v>10000</v>
      </c>
      <c r="AL18" s="342"/>
      <c r="AM18" s="336">
        <f t="shared" si="17"/>
        <v>0</v>
      </c>
      <c r="AN18" s="339">
        <f t="shared" si="18"/>
        <v>0</v>
      </c>
      <c r="AO18" s="340">
        <f t="shared" si="19"/>
        <v>0</v>
      </c>
      <c r="AP18" s="336">
        <f t="shared" si="20"/>
        <v>5000</v>
      </c>
      <c r="AQ18" s="339">
        <f t="shared" si="21"/>
        <v>0</v>
      </c>
      <c r="AR18" s="340">
        <f t="shared" si="22"/>
        <v>5000</v>
      </c>
      <c r="AS18" s="341">
        <f t="shared" si="27"/>
        <v>15000</v>
      </c>
      <c r="AT18" s="339">
        <f t="shared" si="23"/>
        <v>0</v>
      </c>
      <c r="AU18" s="340">
        <f t="shared" si="24"/>
        <v>15000</v>
      </c>
      <c r="AV18" s="589">
        <f t="shared" si="25"/>
        <v>0</v>
      </c>
      <c r="AW18" s="343"/>
      <c r="AX18" s="344"/>
      <c r="AY18" s="345"/>
      <c r="AZ18" s="344"/>
      <c r="BA18" s="345"/>
      <c r="BB18" s="346"/>
      <c r="BC18" s="347"/>
      <c r="BD18" s="348"/>
      <c r="BE18" s="349"/>
      <c r="BF18" s="348"/>
      <c r="BG18" s="349"/>
      <c r="BH18" s="350"/>
      <c r="BI18" s="351"/>
      <c r="BJ18" s="352"/>
      <c r="BK18" s="337">
        <v>5000</v>
      </c>
      <c r="BL18" s="352"/>
      <c r="BM18" s="337"/>
      <c r="BN18" s="353"/>
      <c r="BO18" s="354">
        <v>10000</v>
      </c>
      <c r="BP18" s="355"/>
      <c r="BQ18" s="356"/>
      <c r="BR18" s="355"/>
      <c r="BS18" s="356"/>
      <c r="BT18" s="357"/>
    </row>
    <row r="19" spans="1:74" s="313" customFormat="1" ht="51" outlineLevel="1">
      <c r="A19" s="287">
        <v>9</v>
      </c>
      <c r="B19" s="817" t="s">
        <v>473</v>
      </c>
      <c r="C19" s="840"/>
      <c r="D19" s="841"/>
      <c r="E19" s="839"/>
      <c r="F19" s="821" t="s">
        <v>7</v>
      </c>
      <c r="G19" s="314">
        <v>4</v>
      </c>
      <c r="H19" s="739" t="s">
        <v>71</v>
      </c>
      <c r="I19" s="739">
        <v>111</v>
      </c>
      <c r="J19" s="740">
        <v>211</v>
      </c>
      <c r="K19" s="533" t="s">
        <v>322</v>
      </c>
      <c r="L19" s="341">
        <f>1000*9*4</f>
        <v>36000</v>
      </c>
      <c r="M19" s="318"/>
      <c r="N19" s="318"/>
      <c r="O19" s="318">
        <f t="shared" si="26"/>
        <v>36000</v>
      </c>
      <c r="P19" s="559"/>
      <c r="Q19" s="341">
        <f>1000*7*4+1000*1*2</f>
        <v>30000</v>
      </c>
      <c r="R19" s="559"/>
      <c r="S19" s="341">
        <f>1000*4*4+1000*2*3</f>
        <v>22000</v>
      </c>
      <c r="T19" s="559"/>
      <c r="U19" s="335"/>
      <c r="V19" s="320"/>
      <c r="W19" s="320"/>
      <c r="X19" s="320"/>
      <c r="Z19" s="336">
        <f t="shared" si="5"/>
        <v>9000</v>
      </c>
      <c r="AA19" s="337">
        <f t="shared" si="6"/>
        <v>0</v>
      </c>
      <c r="AB19" s="338">
        <f t="shared" si="7"/>
        <v>9000</v>
      </c>
      <c r="AC19" s="336">
        <f t="shared" si="8"/>
        <v>9000</v>
      </c>
      <c r="AD19" s="337">
        <f t="shared" si="9"/>
        <v>0</v>
      </c>
      <c r="AE19" s="338">
        <f t="shared" si="10"/>
        <v>9000</v>
      </c>
      <c r="AF19" s="336">
        <f t="shared" si="11"/>
        <v>9000</v>
      </c>
      <c r="AG19" s="337">
        <f t="shared" si="12"/>
        <v>0</v>
      </c>
      <c r="AH19" s="338">
        <f t="shared" si="13"/>
        <v>9000</v>
      </c>
      <c r="AI19" s="336">
        <f t="shared" si="14"/>
        <v>9000</v>
      </c>
      <c r="AJ19" s="337">
        <f t="shared" si="15"/>
        <v>0</v>
      </c>
      <c r="AK19" s="338">
        <f t="shared" si="16"/>
        <v>9000</v>
      </c>
      <c r="AL19" s="342"/>
      <c r="AM19" s="336">
        <f t="shared" si="17"/>
        <v>18000</v>
      </c>
      <c r="AN19" s="339">
        <f t="shared" si="18"/>
        <v>0</v>
      </c>
      <c r="AO19" s="340">
        <f t="shared" si="19"/>
        <v>18000</v>
      </c>
      <c r="AP19" s="336">
        <f t="shared" si="20"/>
        <v>27000</v>
      </c>
      <c r="AQ19" s="339">
        <f t="shared" si="21"/>
        <v>0</v>
      </c>
      <c r="AR19" s="340">
        <f t="shared" si="22"/>
        <v>27000</v>
      </c>
      <c r="AS19" s="341">
        <f t="shared" si="27"/>
        <v>36000</v>
      </c>
      <c r="AT19" s="339">
        <f t="shared" si="23"/>
        <v>0</v>
      </c>
      <c r="AU19" s="340">
        <f t="shared" si="24"/>
        <v>36000</v>
      </c>
      <c r="AV19" s="589">
        <f t="shared" si="25"/>
        <v>0</v>
      </c>
      <c r="AW19" s="343">
        <v>9000</v>
      </c>
      <c r="AX19" s="344"/>
      <c r="AY19" s="345"/>
      <c r="AZ19" s="344"/>
      <c r="BA19" s="345"/>
      <c r="BB19" s="346"/>
      <c r="BC19" s="347">
        <v>9000</v>
      </c>
      <c r="BD19" s="348"/>
      <c r="BE19" s="349"/>
      <c r="BF19" s="348"/>
      <c r="BG19" s="349"/>
      <c r="BH19" s="350"/>
      <c r="BI19" s="351">
        <v>9000</v>
      </c>
      <c r="BJ19" s="352"/>
      <c r="BK19" s="337"/>
      <c r="BL19" s="352"/>
      <c r="BM19" s="337"/>
      <c r="BN19" s="353"/>
      <c r="BO19" s="354">
        <v>9000</v>
      </c>
      <c r="BP19" s="355"/>
      <c r="BQ19" s="356"/>
      <c r="BR19" s="355"/>
      <c r="BS19" s="356"/>
      <c r="BT19" s="357"/>
    </row>
    <row r="20" spans="1:74" s="358" customFormat="1" ht="63.75">
      <c r="A20" s="287">
        <v>10</v>
      </c>
      <c r="B20" s="817" t="s">
        <v>462</v>
      </c>
      <c r="C20" s="837"/>
      <c r="D20" s="838"/>
      <c r="E20" s="836" t="s">
        <v>201</v>
      </c>
      <c r="F20" s="820" t="s">
        <v>7</v>
      </c>
      <c r="G20" s="360">
        <v>4</v>
      </c>
      <c r="H20" s="360" t="s">
        <v>71</v>
      </c>
      <c r="I20" s="812">
        <v>112</v>
      </c>
      <c r="J20" s="361">
        <v>266</v>
      </c>
      <c r="K20" s="532" t="s">
        <v>365</v>
      </c>
      <c r="L20" s="367">
        <f>122483.46+80287.02-46200</f>
        <v>156570.48000000001</v>
      </c>
      <c r="M20" s="363"/>
      <c r="N20" s="363"/>
      <c r="O20" s="363">
        <f t="shared" si="26"/>
        <v>156570.48000000001</v>
      </c>
      <c r="P20" s="557"/>
      <c r="Q20" s="367">
        <f>174498.02-46200</f>
        <v>128298.02</v>
      </c>
      <c r="R20" s="557"/>
      <c r="S20" s="367">
        <f>146516.96-46200</f>
        <v>100316.96</v>
      </c>
      <c r="T20" s="557"/>
      <c r="U20" s="365"/>
      <c r="V20" s="366"/>
      <c r="W20" s="366"/>
      <c r="X20" s="366"/>
      <c r="Z20" s="367">
        <f t="shared" si="5"/>
        <v>0</v>
      </c>
      <c r="AA20" s="363">
        <f t="shared" si="6"/>
        <v>0</v>
      </c>
      <c r="AB20" s="280">
        <f t="shared" si="7"/>
        <v>0</v>
      </c>
      <c r="AC20" s="367">
        <f t="shared" si="8"/>
        <v>0</v>
      </c>
      <c r="AD20" s="363">
        <f t="shared" si="9"/>
        <v>0</v>
      </c>
      <c r="AE20" s="280">
        <f t="shared" si="10"/>
        <v>0</v>
      </c>
      <c r="AF20" s="367">
        <f t="shared" si="11"/>
        <v>156570.48000000001</v>
      </c>
      <c r="AG20" s="363">
        <f t="shared" si="12"/>
        <v>0</v>
      </c>
      <c r="AH20" s="280">
        <f t="shared" si="13"/>
        <v>156570.48000000001</v>
      </c>
      <c r="AI20" s="367">
        <f t="shared" si="14"/>
        <v>0</v>
      </c>
      <c r="AJ20" s="363">
        <f t="shared" si="15"/>
        <v>0</v>
      </c>
      <c r="AK20" s="280">
        <f t="shared" si="16"/>
        <v>0</v>
      </c>
      <c r="AL20" s="368"/>
      <c r="AM20" s="367">
        <f t="shared" si="17"/>
        <v>0</v>
      </c>
      <c r="AN20" s="363">
        <f t="shared" si="18"/>
        <v>0</v>
      </c>
      <c r="AO20" s="280">
        <f t="shared" si="19"/>
        <v>0</v>
      </c>
      <c r="AP20" s="367">
        <f t="shared" si="20"/>
        <v>156570.48000000001</v>
      </c>
      <c r="AQ20" s="363">
        <f t="shared" si="21"/>
        <v>0</v>
      </c>
      <c r="AR20" s="280">
        <f t="shared" si="22"/>
        <v>156570.48000000001</v>
      </c>
      <c r="AS20" s="367">
        <f t="shared" si="27"/>
        <v>156570.48000000001</v>
      </c>
      <c r="AT20" s="363">
        <f t="shared" si="23"/>
        <v>0</v>
      </c>
      <c r="AU20" s="280">
        <f t="shared" si="24"/>
        <v>156570.48000000001</v>
      </c>
      <c r="AV20" s="588">
        <f t="shared" si="25"/>
        <v>0</v>
      </c>
      <c r="AW20" s="367"/>
      <c r="AX20" s="363"/>
      <c r="AY20" s="363"/>
      <c r="AZ20" s="363"/>
      <c r="BA20" s="363"/>
      <c r="BB20" s="369"/>
      <c r="BC20" s="367"/>
      <c r="BD20" s="363"/>
      <c r="BE20" s="363"/>
      <c r="BF20" s="363"/>
      <c r="BG20" s="363"/>
      <c r="BH20" s="369"/>
      <c r="BI20" s="367"/>
      <c r="BJ20" s="363"/>
      <c r="BK20" s="363">
        <v>122483.46</v>
      </c>
      <c r="BL20" s="363"/>
      <c r="BM20" s="363">
        <f>80287.02-46200</f>
        <v>34087.019999999997</v>
      </c>
      <c r="BN20" s="369"/>
      <c r="BO20" s="367"/>
      <c r="BP20" s="363"/>
      <c r="BQ20" s="363"/>
      <c r="BR20" s="363"/>
      <c r="BS20" s="363"/>
      <c r="BT20" s="280"/>
    </row>
    <row r="21" spans="1:74" s="358" customFormat="1" ht="47.25" customHeight="1">
      <c r="A21" s="287">
        <v>11</v>
      </c>
      <c r="B21" s="818"/>
      <c r="C21" s="850" t="s">
        <v>377</v>
      </c>
      <c r="D21" s="838"/>
      <c r="E21" s="836" t="s">
        <v>201</v>
      </c>
      <c r="F21" s="820" t="s">
        <v>7</v>
      </c>
      <c r="G21" s="360">
        <v>4</v>
      </c>
      <c r="H21" s="360" t="s">
        <v>71</v>
      </c>
      <c r="I21" s="360">
        <v>119</v>
      </c>
      <c r="J21" s="361">
        <v>213</v>
      </c>
      <c r="K21" s="532" t="s">
        <v>366</v>
      </c>
      <c r="L21" s="367">
        <f>SUM(L22:L25)</f>
        <v>80866.679999999993</v>
      </c>
      <c r="M21" s="363"/>
      <c r="N21" s="363"/>
      <c r="O21" s="363">
        <f t="shared" si="26"/>
        <v>80866.679999999993</v>
      </c>
      <c r="P21" s="557"/>
      <c r="Q21" s="367">
        <f>SUM(Q22:Q25)</f>
        <v>78368.399999999994</v>
      </c>
      <c r="R21" s="557"/>
      <c r="S21" s="367">
        <f>SUM(S22:S25)</f>
        <v>63878.12</v>
      </c>
      <c r="T21" s="557"/>
      <c r="U21" s="365"/>
      <c r="V21" s="366"/>
      <c r="W21" s="366"/>
      <c r="X21" s="366"/>
      <c r="Z21" s="367">
        <f t="shared" si="5"/>
        <v>0</v>
      </c>
      <c r="AA21" s="363">
        <f t="shared" si="6"/>
        <v>0</v>
      </c>
      <c r="AB21" s="280">
        <f t="shared" si="7"/>
        <v>0</v>
      </c>
      <c r="AC21" s="367">
        <f t="shared" si="8"/>
        <v>33306.68</v>
      </c>
      <c r="AD21" s="363">
        <f t="shared" si="9"/>
        <v>0</v>
      </c>
      <c r="AE21" s="280">
        <f t="shared" si="10"/>
        <v>33306.68</v>
      </c>
      <c r="AF21" s="367">
        <f t="shared" si="11"/>
        <v>38500</v>
      </c>
      <c r="AG21" s="363">
        <f t="shared" si="12"/>
        <v>0</v>
      </c>
      <c r="AH21" s="280">
        <f t="shared" si="13"/>
        <v>38500</v>
      </c>
      <c r="AI21" s="367">
        <f t="shared" si="14"/>
        <v>9060</v>
      </c>
      <c r="AJ21" s="363">
        <f t="shared" si="15"/>
        <v>0</v>
      </c>
      <c r="AK21" s="280">
        <f t="shared" si="16"/>
        <v>9060</v>
      </c>
      <c r="AL21" s="368"/>
      <c r="AM21" s="367">
        <f t="shared" si="17"/>
        <v>33306.68</v>
      </c>
      <c r="AN21" s="363">
        <f t="shared" si="18"/>
        <v>0</v>
      </c>
      <c r="AO21" s="280">
        <f t="shared" si="19"/>
        <v>33306.68</v>
      </c>
      <c r="AP21" s="367">
        <f t="shared" si="20"/>
        <v>71806.679999999993</v>
      </c>
      <c r="AQ21" s="363">
        <f t="shared" si="21"/>
        <v>0</v>
      </c>
      <c r="AR21" s="280">
        <f t="shared" si="22"/>
        <v>71806.679999999993</v>
      </c>
      <c r="AS21" s="367">
        <f t="shared" si="27"/>
        <v>80866.679999999993</v>
      </c>
      <c r="AT21" s="363">
        <f t="shared" si="23"/>
        <v>0</v>
      </c>
      <c r="AU21" s="280">
        <f t="shared" si="24"/>
        <v>80866.679999999993</v>
      </c>
      <c r="AV21" s="588">
        <f t="shared" si="25"/>
        <v>0</v>
      </c>
      <c r="AW21" s="367">
        <f t="shared" ref="AW21:BT21" si="30">SUM(AW22:AW25)</f>
        <v>0</v>
      </c>
      <c r="AX21" s="363">
        <f t="shared" si="30"/>
        <v>0</v>
      </c>
      <c r="AY21" s="363">
        <f t="shared" si="30"/>
        <v>0</v>
      </c>
      <c r="AZ21" s="363">
        <f t="shared" si="30"/>
        <v>0</v>
      </c>
      <c r="BA21" s="363">
        <f t="shared" si="30"/>
        <v>0</v>
      </c>
      <c r="BB21" s="369">
        <f t="shared" si="30"/>
        <v>0</v>
      </c>
      <c r="BC21" s="367">
        <f t="shared" si="30"/>
        <v>3020</v>
      </c>
      <c r="BD21" s="363">
        <f t="shared" si="30"/>
        <v>0</v>
      </c>
      <c r="BE21" s="363">
        <f t="shared" si="30"/>
        <v>0</v>
      </c>
      <c r="BF21" s="363">
        <f t="shared" si="30"/>
        <v>0</v>
      </c>
      <c r="BG21" s="363">
        <f t="shared" si="30"/>
        <v>30286.68</v>
      </c>
      <c r="BH21" s="369">
        <f t="shared" si="30"/>
        <v>0</v>
      </c>
      <c r="BI21" s="367">
        <f t="shared" si="30"/>
        <v>0</v>
      </c>
      <c r="BJ21" s="363">
        <f t="shared" si="30"/>
        <v>0</v>
      </c>
      <c r="BK21" s="363">
        <f t="shared" si="30"/>
        <v>36990</v>
      </c>
      <c r="BL21" s="363">
        <f t="shared" si="30"/>
        <v>0</v>
      </c>
      <c r="BM21" s="363">
        <f t="shared" si="30"/>
        <v>1510</v>
      </c>
      <c r="BN21" s="369">
        <f t="shared" si="30"/>
        <v>0</v>
      </c>
      <c r="BO21" s="367">
        <f t="shared" si="30"/>
        <v>0</v>
      </c>
      <c r="BP21" s="363">
        <f t="shared" si="30"/>
        <v>0</v>
      </c>
      <c r="BQ21" s="363">
        <f t="shared" si="30"/>
        <v>3020</v>
      </c>
      <c r="BR21" s="363">
        <f t="shared" si="30"/>
        <v>0</v>
      </c>
      <c r="BS21" s="363">
        <f t="shared" si="30"/>
        <v>6040</v>
      </c>
      <c r="BT21" s="280">
        <f t="shared" si="30"/>
        <v>0</v>
      </c>
    </row>
    <row r="22" spans="1:74" s="313" customFormat="1" ht="51" outlineLevel="1">
      <c r="A22" s="287">
        <v>12</v>
      </c>
      <c r="B22" s="818"/>
      <c r="C22" s="840"/>
      <c r="D22" s="841"/>
      <c r="E22" s="839"/>
      <c r="F22" s="825" t="s">
        <v>7</v>
      </c>
      <c r="G22" s="314">
        <v>4</v>
      </c>
      <c r="H22" s="739" t="s">
        <v>71</v>
      </c>
      <c r="I22" s="739">
        <v>119</v>
      </c>
      <c r="J22" s="740">
        <v>213</v>
      </c>
      <c r="K22" s="533" t="s">
        <v>315</v>
      </c>
      <c r="L22" s="341">
        <v>3020</v>
      </c>
      <c r="M22" s="318"/>
      <c r="N22" s="318"/>
      <c r="O22" s="318">
        <f t="shared" si="26"/>
        <v>3020</v>
      </c>
      <c r="P22" s="559"/>
      <c r="Q22" s="336">
        <f>3020*3</f>
        <v>9060</v>
      </c>
      <c r="R22" s="559"/>
      <c r="S22" s="336">
        <v>3020</v>
      </c>
      <c r="T22" s="559"/>
      <c r="U22" s="335"/>
      <c r="V22" s="320"/>
      <c r="W22" s="320"/>
      <c r="X22" s="320"/>
      <c r="Z22" s="336">
        <f t="shared" si="5"/>
        <v>0</v>
      </c>
      <c r="AA22" s="337">
        <f t="shared" si="6"/>
        <v>0</v>
      </c>
      <c r="AB22" s="338">
        <f t="shared" si="7"/>
        <v>0</v>
      </c>
      <c r="AC22" s="336">
        <f t="shared" si="8"/>
        <v>3020</v>
      </c>
      <c r="AD22" s="337">
        <f t="shared" si="9"/>
        <v>0</v>
      </c>
      <c r="AE22" s="338">
        <f t="shared" si="10"/>
        <v>3020</v>
      </c>
      <c r="AF22" s="336">
        <f t="shared" si="11"/>
        <v>0</v>
      </c>
      <c r="AG22" s="337">
        <f t="shared" si="12"/>
        <v>0</v>
      </c>
      <c r="AH22" s="338">
        <f t="shared" si="13"/>
        <v>0</v>
      </c>
      <c r="AI22" s="336">
        <f t="shared" si="14"/>
        <v>0</v>
      </c>
      <c r="AJ22" s="337">
        <f t="shared" si="15"/>
        <v>0</v>
      </c>
      <c r="AK22" s="338">
        <f t="shared" si="16"/>
        <v>0</v>
      </c>
      <c r="AL22" s="342"/>
      <c r="AM22" s="336">
        <f t="shared" si="17"/>
        <v>3020</v>
      </c>
      <c r="AN22" s="339">
        <f t="shared" si="18"/>
        <v>0</v>
      </c>
      <c r="AO22" s="340">
        <f t="shared" si="19"/>
        <v>3020</v>
      </c>
      <c r="AP22" s="336">
        <f t="shared" si="20"/>
        <v>3020</v>
      </c>
      <c r="AQ22" s="339">
        <f t="shared" si="21"/>
        <v>0</v>
      </c>
      <c r="AR22" s="340">
        <f t="shared" si="22"/>
        <v>3020</v>
      </c>
      <c r="AS22" s="341">
        <f t="shared" si="27"/>
        <v>3020</v>
      </c>
      <c r="AT22" s="339">
        <f t="shared" si="23"/>
        <v>0</v>
      </c>
      <c r="AU22" s="340">
        <f t="shared" si="24"/>
        <v>3020</v>
      </c>
      <c r="AV22" s="589">
        <f t="shared" si="25"/>
        <v>0</v>
      </c>
      <c r="AW22" s="343"/>
      <c r="AX22" s="344"/>
      <c r="AY22" s="345"/>
      <c r="AZ22" s="344"/>
      <c r="BA22" s="345"/>
      <c r="BB22" s="346"/>
      <c r="BC22" s="347">
        <v>3020</v>
      </c>
      <c r="BD22" s="348"/>
      <c r="BE22" s="349"/>
      <c r="BF22" s="348"/>
      <c r="BG22" s="349"/>
      <c r="BH22" s="350"/>
      <c r="BI22" s="351"/>
      <c r="BJ22" s="352"/>
      <c r="BK22" s="337"/>
      <c r="BL22" s="352"/>
      <c r="BM22" s="337"/>
      <c r="BN22" s="353"/>
      <c r="BO22" s="354"/>
      <c r="BP22" s="355"/>
      <c r="BQ22" s="356"/>
      <c r="BR22" s="355"/>
      <c r="BS22" s="356"/>
      <c r="BT22" s="357"/>
    </row>
    <row r="23" spans="1:74" s="313" customFormat="1" ht="38.25" outlineLevel="1">
      <c r="A23" s="287">
        <v>13</v>
      </c>
      <c r="B23" s="818"/>
      <c r="C23" s="840"/>
      <c r="D23" s="841"/>
      <c r="E23" s="839"/>
      <c r="F23" s="825" t="s">
        <v>7</v>
      </c>
      <c r="G23" s="314">
        <v>4</v>
      </c>
      <c r="H23" s="739" t="s">
        <v>71</v>
      </c>
      <c r="I23" s="739">
        <v>119</v>
      </c>
      <c r="J23" s="740">
        <v>213</v>
      </c>
      <c r="K23" s="533" t="s">
        <v>319</v>
      </c>
      <c r="L23" s="341">
        <f>6040*2</f>
        <v>12080</v>
      </c>
      <c r="M23" s="318"/>
      <c r="N23" s="318"/>
      <c r="O23" s="318">
        <f t="shared" si="26"/>
        <v>12080</v>
      </c>
      <c r="P23" s="559"/>
      <c r="Q23" s="341">
        <f>6040*2</f>
        <v>12080</v>
      </c>
      <c r="R23" s="559"/>
      <c r="S23" s="341">
        <f>6040*2</f>
        <v>12080</v>
      </c>
      <c r="T23" s="559"/>
      <c r="U23" s="335"/>
      <c r="V23" s="320"/>
      <c r="W23" s="320"/>
      <c r="X23" s="320"/>
      <c r="Z23" s="336">
        <f t="shared" si="5"/>
        <v>0</v>
      </c>
      <c r="AA23" s="337">
        <f t="shared" si="6"/>
        <v>0</v>
      </c>
      <c r="AB23" s="338">
        <f t="shared" si="7"/>
        <v>0</v>
      </c>
      <c r="AC23" s="336">
        <f t="shared" si="8"/>
        <v>6040</v>
      </c>
      <c r="AD23" s="337">
        <f t="shared" si="9"/>
        <v>0</v>
      </c>
      <c r="AE23" s="338">
        <f t="shared" si="10"/>
        <v>6040</v>
      </c>
      <c r="AF23" s="336">
        <f t="shared" si="11"/>
        <v>0</v>
      </c>
      <c r="AG23" s="337">
        <f t="shared" si="12"/>
        <v>0</v>
      </c>
      <c r="AH23" s="338">
        <f t="shared" si="13"/>
        <v>0</v>
      </c>
      <c r="AI23" s="336">
        <f t="shared" si="14"/>
        <v>6040</v>
      </c>
      <c r="AJ23" s="337">
        <f t="shared" si="15"/>
        <v>0</v>
      </c>
      <c r="AK23" s="338">
        <f t="shared" si="16"/>
        <v>6040</v>
      </c>
      <c r="AL23" s="342"/>
      <c r="AM23" s="336">
        <f t="shared" si="17"/>
        <v>6040</v>
      </c>
      <c r="AN23" s="339">
        <f t="shared" si="18"/>
        <v>0</v>
      </c>
      <c r="AO23" s="340">
        <f t="shared" si="19"/>
        <v>6040</v>
      </c>
      <c r="AP23" s="336">
        <f t="shared" si="20"/>
        <v>6040</v>
      </c>
      <c r="AQ23" s="339">
        <f t="shared" si="21"/>
        <v>0</v>
      </c>
      <c r="AR23" s="340">
        <f t="shared" si="22"/>
        <v>6040</v>
      </c>
      <c r="AS23" s="341">
        <f t="shared" si="27"/>
        <v>12080</v>
      </c>
      <c r="AT23" s="339">
        <f t="shared" si="23"/>
        <v>0</v>
      </c>
      <c r="AU23" s="340">
        <f t="shared" si="24"/>
        <v>12080</v>
      </c>
      <c r="AV23" s="589">
        <f t="shared" si="25"/>
        <v>0</v>
      </c>
      <c r="AW23" s="343"/>
      <c r="AX23" s="344"/>
      <c r="AY23" s="345"/>
      <c r="AZ23" s="344"/>
      <c r="BA23" s="345"/>
      <c r="BB23" s="346"/>
      <c r="BC23" s="347"/>
      <c r="BD23" s="348"/>
      <c r="BE23" s="349"/>
      <c r="BF23" s="348"/>
      <c r="BG23" s="349">
        <v>6040</v>
      </c>
      <c r="BH23" s="350"/>
      <c r="BI23" s="351"/>
      <c r="BJ23" s="352"/>
      <c r="BK23" s="337"/>
      <c r="BL23" s="352"/>
      <c r="BM23" s="337"/>
      <c r="BN23" s="353"/>
      <c r="BO23" s="354"/>
      <c r="BP23" s="355"/>
      <c r="BQ23" s="356"/>
      <c r="BR23" s="355"/>
      <c r="BS23" s="356">
        <v>6040</v>
      </c>
      <c r="BT23" s="357"/>
    </row>
    <row r="24" spans="1:74" s="313" customFormat="1" ht="38.25" outlineLevel="1">
      <c r="A24" s="287">
        <v>14</v>
      </c>
      <c r="B24" s="818"/>
      <c r="C24" s="840"/>
      <c r="D24" s="841"/>
      <c r="E24" s="839"/>
      <c r="F24" s="825" t="s">
        <v>7</v>
      </c>
      <c r="G24" s="314">
        <v>4</v>
      </c>
      <c r="H24" s="739" t="s">
        <v>71</v>
      </c>
      <c r="I24" s="739">
        <v>119</v>
      </c>
      <c r="J24" s="740">
        <v>213</v>
      </c>
      <c r="K24" s="533" t="s">
        <v>321</v>
      </c>
      <c r="L24" s="341">
        <f>1510*3</f>
        <v>4530</v>
      </c>
      <c r="M24" s="318"/>
      <c r="N24" s="318"/>
      <c r="O24" s="318">
        <f t="shared" si="26"/>
        <v>4530</v>
      </c>
      <c r="P24" s="559"/>
      <c r="Q24" s="341">
        <f>1510*3</f>
        <v>4530</v>
      </c>
      <c r="R24" s="559"/>
      <c r="S24" s="341">
        <f>1510*3</f>
        <v>4530</v>
      </c>
      <c r="T24" s="559"/>
      <c r="U24" s="335"/>
      <c r="V24" s="320"/>
      <c r="W24" s="320"/>
      <c r="X24" s="320"/>
      <c r="Z24" s="336">
        <f t="shared" si="5"/>
        <v>0</v>
      </c>
      <c r="AA24" s="337">
        <f t="shared" si="6"/>
        <v>0</v>
      </c>
      <c r="AB24" s="338">
        <f t="shared" si="7"/>
        <v>0</v>
      </c>
      <c r="AC24" s="336">
        <f t="shared" si="8"/>
        <v>0</v>
      </c>
      <c r="AD24" s="337">
        <f t="shared" si="9"/>
        <v>0</v>
      </c>
      <c r="AE24" s="338">
        <f t="shared" si="10"/>
        <v>0</v>
      </c>
      <c r="AF24" s="336">
        <f t="shared" si="11"/>
        <v>1510</v>
      </c>
      <c r="AG24" s="337">
        <f t="shared" si="12"/>
        <v>0</v>
      </c>
      <c r="AH24" s="338">
        <f t="shared" si="13"/>
        <v>1510</v>
      </c>
      <c r="AI24" s="336">
        <f t="shared" si="14"/>
        <v>3020</v>
      </c>
      <c r="AJ24" s="337">
        <f t="shared" si="15"/>
        <v>0</v>
      </c>
      <c r="AK24" s="338">
        <f t="shared" si="16"/>
        <v>3020</v>
      </c>
      <c r="AL24" s="342"/>
      <c r="AM24" s="336">
        <f t="shared" si="17"/>
        <v>0</v>
      </c>
      <c r="AN24" s="339">
        <f t="shared" si="18"/>
        <v>0</v>
      </c>
      <c r="AO24" s="340">
        <f t="shared" si="19"/>
        <v>0</v>
      </c>
      <c r="AP24" s="336">
        <f t="shared" si="20"/>
        <v>1510</v>
      </c>
      <c r="AQ24" s="339">
        <f t="shared" si="21"/>
        <v>0</v>
      </c>
      <c r="AR24" s="340">
        <f t="shared" si="22"/>
        <v>1510</v>
      </c>
      <c r="AS24" s="341">
        <f t="shared" si="27"/>
        <v>4530</v>
      </c>
      <c r="AT24" s="339">
        <f t="shared" si="23"/>
        <v>0</v>
      </c>
      <c r="AU24" s="340">
        <f t="shared" si="24"/>
        <v>4530</v>
      </c>
      <c r="AV24" s="589">
        <f t="shared" si="25"/>
        <v>0</v>
      </c>
      <c r="AW24" s="343"/>
      <c r="AX24" s="344"/>
      <c r="AY24" s="345"/>
      <c r="AZ24" s="344"/>
      <c r="BA24" s="345"/>
      <c r="BB24" s="346"/>
      <c r="BC24" s="347"/>
      <c r="BD24" s="348"/>
      <c r="BE24" s="349"/>
      <c r="BF24" s="348"/>
      <c r="BG24" s="349"/>
      <c r="BH24" s="350"/>
      <c r="BI24" s="351"/>
      <c r="BJ24" s="352"/>
      <c r="BK24" s="337"/>
      <c r="BL24" s="352"/>
      <c r="BM24" s="337">
        <v>1510</v>
      </c>
      <c r="BN24" s="353"/>
      <c r="BO24" s="354"/>
      <c r="BP24" s="355"/>
      <c r="BQ24" s="356">
        <v>3020</v>
      </c>
      <c r="BR24" s="355"/>
      <c r="BS24" s="356"/>
      <c r="BT24" s="357"/>
    </row>
    <row r="25" spans="1:74" s="313" customFormat="1" ht="63.75" outlineLevel="1">
      <c r="A25" s="287">
        <v>15</v>
      </c>
      <c r="B25" s="818"/>
      <c r="C25" s="840"/>
      <c r="D25" s="841"/>
      <c r="E25" s="839"/>
      <c r="F25" s="825" t="s">
        <v>7</v>
      </c>
      <c r="G25" s="314">
        <v>4</v>
      </c>
      <c r="H25" s="739" t="s">
        <v>71</v>
      </c>
      <c r="I25" s="739">
        <v>119</v>
      </c>
      <c r="J25" s="740">
        <v>213</v>
      </c>
      <c r="K25" s="533" t="s">
        <v>320</v>
      </c>
      <c r="L25" s="341">
        <v>61236.68</v>
      </c>
      <c r="M25" s="318"/>
      <c r="N25" s="318"/>
      <c r="O25" s="318">
        <f t="shared" si="26"/>
        <v>61236.68</v>
      </c>
      <c r="P25" s="559"/>
      <c r="Q25" s="336">
        <v>52698.400000000001</v>
      </c>
      <c r="R25" s="559"/>
      <c r="S25" s="336">
        <v>44248.12</v>
      </c>
      <c r="T25" s="559"/>
      <c r="U25" s="335"/>
      <c r="V25" s="320"/>
      <c r="W25" s="320"/>
      <c r="X25" s="320"/>
      <c r="Z25" s="336">
        <f t="shared" si="5"/>
        <v>0</v>
      </c>
      <c r="AA25" s="337">
        <f t="shared" si="6"/>
        <v>0</v>
      </c>
      <c r="AB25" s="338">
        <f t="shared" si="7"/>
        <v>0</v>
      </c>
      <c r="AC25" s="336">
        <f t="shared" si="8"/>
        <v>24246.68</v>
      </c>
      <c r="AD25" s="337">
        <f t="shared" si="9"/>
        <v>0</v>
      </c>
      <c r="AE25" s="338">
        <f t="shared" si="10"/>
        <v>24246.68</v>
      </c>
      <c r="AF25" s="336">
        <f t="shared" si="11"/>
        <v>36990</v>
      </c>
      <c r="AG25" s="337">
        <f t="shared" si="12"/>
        <v>0</v>
      </c>
      <c r="AH25" s="338">
        <f t="shared" si="13"/>
        <v>36990</v>
      </c>
      <c r="AI25" s="336">
        <f t="shared" si="14"/>
        <v>0</v>
      </c>
      <c r="AJ25" s="337">
        <f t="shared" si="15"/>
        <v>0</v>
      </c>
      <c r="AK25" s="338">
        <f t="shared" si="16"/>
        <v>0</v>
      </c>
      <c r="AL25" s="342"/>
      <c r="AM25" s="336">
        <f t="shared" si="17"/>
        <v>24246.68</v>
      </c>
      <c r="AN25" s="339">
        <f t="shared" si="18"/>
        <v>0</v>
      </c>
      <c r="AO25" s="340">
        <f t="shared" si="19"/>
        <v>24246.68</v>
      </c>
      <c r="AP25" s="336">
        <f t="shared" si="20"/>
        <v>61236.68</v>
      </c>
      <c r="AQ25" s="339">
        <f t="shared" si="21"/>
        <v>0</v>
      </c>
      <c r="AR25" s="340">
        <f t="shared" si="22"/>
        <v>61236.68</v>
      </c>
      <c r="AS25" s="341">
        <f t="shared" si="27"/>
        <v>61236.68</v>
      </c>
      <c r="AT25" s="339">
        <f t="shared" si="23"/>
        <v>0</v>
      </c>
      <c r="AU25" s="340">
        <f t="shared" si="24"/>
        <v>61236.68</v>
      </c>
      <c r="AV25" s="589">
        <f t="shared" si="25"/>
        <v>0</v>
      </c>
      <c r="AW25" s="343"/>
      <c r="AX25" s="344"/>
      <c r="AY25" s="345"/>
      <c r="AZ25" s="344"/>
      <c r="BA25" s="345"/>
      <c r="BB25" s="346"/>
      <c r="BC25" s="347"/>
      <c r="BD25" s="348"/>
      <c r="BE25" s="349"/>
      <c r="BF25" s="348"/>
      <c r="BG25" s="349">
        <v>24246.68</v>
      </c>
      <c r="BH25" s="350"/>
      <c r="BI25" s="351"/>
      <c r="BJ25" s="352"/>
      <c r="BK25" s="337">
        <v>36990</v>
      </c>
      <c r="BL25" s="352"/>
      <c r="BM25" s="337"/>
      <c r="BN25" s="353"/>
      <c r="BO25" s="354"/>
      <c r="BP25" s="355"/>
      <c r="BQ25" s="356"/>
      <c r="BR25" s="355"/>
      <c r="BS25" s="356"/>
      <c r="BT25" s="357"/>
    </row>
    <row r="26" spans="1:74" s="378" customFormat="1" ht="31.5">
      <c r="A26" s="287">
        <v>16</v>
      </c>
      <c r="B26" s="818"/>
      <c r="C26" s="850"/>
      <c r="D26" s="851" t="s">
        <v>227</v>
      </c>
      <c r="E26" s="852" t="s">
        <v>201</v>
      </c>
      <c r="F26" s="824" t="s">
        <v>7</v>
      </c>
      <c r="G26" s="376">
        <v>4</v>
      </c>
      <c r="H26" s="375" t="s">
        <v>225</v>
      </c>
      <c r="I26" s="376">
        <v>111</v>
      </c>
      <c r="J26" s="377">
        <v>211</v>
      </c>
      <c r="K26" s="531" t="s">
        <v>222</v>
      </c>
      <c r="L26" s="382">
        <v>0</v>
      </c>
      <c r="M26" s="247"/>
      <c r="N26" s="247"/>
      <c r="O26" s="247">
        <f t="shared" si="26"/>
        <v>0</v>
      </c>
      <c r="P26" s="558"/>
      <c r="Q26" s="382"/>
      <c r="R26" s="558"/>
      <c r="S26" s="382"/>
      <c r="T26" s="558"/>
      <c r="U26" s="380"/>
      <c r="V26" s="381"/>
      <c r="W26" s="381"/>
      <c r="X26" s="381"/>
      <c r="Z26" s="382">
        <f t="shared" si="5"/>
        <v>0</v>
      </c>
      <c r="AA26" s="247">
        <f t="shared" si="6"/>
        <v>0</v>
      </c>
      <c r="AB26" s="383">
        <f t="shared" si="7"/>
        <v>0</v>
      </c>
      <c r="AC26" s="382">
        <f t="shared" si="8"/>
        <v>0</v>
      </c>
      <c r="AD26" s="247">
        <f t="shared" si="9"/>
        <v>0</v>
      </c>
      <c r="AE26" s="383">
        <f t="shared" si="10"/>
        <v>0</v>
      </c>
      <c r="AF26" s="382">
        <f t="shared" si="11"/>
        <v>0</v>
      </c>
      <c r="AG26" s="247">
        <f t="shared" si="12"/>
        <v>0</v>
      </c>
      <c r="AH26" s="383">
        <f t="shared" si="13"/>
        <v>0</v>
      </c>
      <c r="AI26" s="382">
        <f t="shared" si="14"/>
        <v>0</v>
      </c>
      <c r="AJ26" s="247">
        <f t="shared" si="15"/>
        <v>0</v>
      </c>
      <c r="AK26" s="383">
        <f t="shared" si="16"/>
        <v>0</v>
      </c>
      <c r="AL26" s="250"/>
      <c r="AM26" s="382">
        <f t="shared" si="17"/>
        <v>0</v>
      </c>
      <c r="AN26" s="247">
        <f t="shared" si="18"/>
        <v>0</v>
      </c>
      <c r="AO26" s="383">
        <f t="shared" si="19"/>
        <v>0</v>
      </c>
      <c r="AP26" s="382">
        <f t="shared" si="20"/>
        <v>0</v>
      </c>
      <c r="AQ26" s="247">
        <f t="shared" si="21"/>
        <v>0</v>
      </c>
      <c r="AR26" s="383">
        <f t="shared" si="22"/>
        <v>0</v>
      </c>
      <c r="AS26" s="382">
        <f t="shared" si="27"/>
        <v>0</v>
      </c>
      <c r="AT26" s="247">
        <f t="shared" si="23"/>
        <v>0</v>
      </c>
      <c r="AU26" s="383">
        <f t="shared" si="24"/>
        <v>0</v>
      </c>
      <c r="AV26" s="599">
        <f t="shared" si="25"/>
        <v>0</v>
      </c>
      <c r="AW26" s="382"/>
      <c r="AX26" s="247"/>
      <c r="AY26" s="247"/>
      <c r="AZ26" s="247"/>
      <c r="BA26" s="247"/>
      <c r="BB26" s="384"/>
      <c r="BC26" s="382"/>
      <c r="BD26" s="247"/>
      <c r="BE26" s="247"/>
      <c r="BF26" s="247"/>
      <c r="BG26" s="247"/>
      <c r="BH26" s="384"/>
      <c r="BI26" s="382"/>
      <c r="BJ26" s="247"/>
      <c r="BK26" s="247"/>
      <c r="BL26" s="247"/>
      <c r="BM26" s="247"/>
      <c r="BN26" s="384"/>
      <c r="BO26" s="382"/>
      <c r="BP26" s="247"/>
      <c r="BQ26" s="247"/>
      <c r="BR26" s="247"/>
      <c r="BS26" s="247"/>
      <c r="BT26" s="383"/>
      <c r="BV26" s="378" t="s">
        <v>197</v>
      </c>
    </row>
    <row r="27" spans="1:74" s="358" customFormat="1" ht="31.5">
      <c r="A27" s="287">
        <v>17</v>
      </c>
      <c r="B27" s="818"/>
      <c r="C27" s="837"/>
      <c r="D27" s="838" t="s">
        <v>227</v>
      </c>
      <c r="E27" s="836" t="s">
        <v>201</v>
      </c>
      <c r="F27" s="820" t="s">
        <v>7</v>
      </c>
      <c r="G27" s="360">
        <v>4</v>
      </c>
      <c r="H27" s="360" t="s">
        <v>224</v>
      </c>
      <c r="I27" s="360">
        <v>119</v>
      </c>
      <c r="J27" s="361">
        <v>213</v>
      </c>
      <c r="K27" s="532" t="s">
        <v>223</v>
      </c>
      <c r="L27" s="367">
        <v>0</v>
      </c>
      <c r="M27" s="363"/>
      <c r="N27" s="363"/>
      <c r="O27" s="363">
        <f t="shared" si="26"/>
        <v>0</v>
      </c>
      <c r="P27" s="557"/>
      <c r="Q27" s="367"/>
      <c r="R27" s="557"/>
      <c r="S27" s="367"/>
      <c r="T27" s="557"/>
      <c r="U27" s="365"/>
      <c r="V27" s="366"/>
      <c r="W27" s="366"/>
      <c r="X27" s="366"/>
      <c r="Z27" s="367">
        <f t="shared" si="5"/>
        <v>0</v>
      </c>
      <c r="AA27" s="363">
        <f t="shared" si="6"/>
        <v>0</v>
      </c>
      <c r="AB27" s="280">
        <f t="shared" si="7"/>
        <v>0</v>
      </c>
      <c r="AC27" s="367">
        <f t="shared" si="8"/>
        <v>0</v>
      </c>
      <c r="AD27" s="363">
        <f t="shared" si="9"/>
        <v>0</v>
      </c>
      <c r="AE27" s="280">
        <f t="shared" si="10"/>
        <v>0</v>
      </c>
      <c r="AF27" s="367">
        <f t="shared" si="11"/>
        <v>0</v>
      </c>
      <c r="AG27" s="363">
        <f t="shared" si="12"/>
        <v>0</v>
      </c>
      <c r="AH27" s="280">
        <f t="shared" si="13"/>
        <v>0</v>
      </c>
      <c r="AI27" s="367">
        <f t="shared" si="14"/>
        <v>0</v>
      </c>
      <c r="AJ27" s="363">
        <f t="shared" si="15"/>
        <v>0</v>
      </c>
      <c r="AK27" s="280">
        <f t="shared" si="16"/>
        <v>0</v>
      </c>
      <c r="AL27" s="368"/>
      <c r="AM27" s="367">
        <f t="shared" si="17"/>
        <v>0</v>
      </c>
      <c r="AN27" s="363">
        <f t="shared" si="18"/>
        <v>0</v>
      </c>
      <c r="AO27" s="280">
        <f t="shared" si="19"/>
        <v>0</v>
      </c>
      <c r="AP27" s="367">
        <f t="shared" si="20"/>
        <v>0</v>
      </c>
      <c r="AQ27" s="363">
        <f t="shared" si="21"/>
        <v>0</v>
      </c>
      <c r="AR27" s="280">
        <f t="shared" si="22"/>
        <v>0</v>
      </c>
      <c r="AS27" s="367">
        <f t="shared" si="27"/>
        <v>0</v>
      </c>
      <c r="AT27" s="363">
        <f t="shared" si="23"/>
        <v>0</v>
      </c>
      <c r="AU27" s="280">
        <f t="shared" si="24"/>
        <v>0</v>
      </c>
      <c r="AV27" s="588">
        <f t="shared" si="25"/>
        <v>0</v>
      </c>
      <c r="AW27" s="367"/>
      <c r="AX27" s="363"/>
      <c r="AY27" s="363"/>
      <c r="AZ27" s="363"/>
      <c r="BA27" s="363"/>
      <c r="BB27" s="369"/>
      <c r="BC27" s="367"/>
      <c r="BD27" s="363"/>
      <c r="BE27" s="363"/>
      <c r="BF27" s="363"/>
      <c r="BG27" s="363"/>
      <c r="BH27" s="369"/>
      <c r="BI27" s="367"/>
      <c r="BJ27" s="363"/>
      <c r="BK27" s="363"/>
      <c r="BL27" s="363"/>
      <c r="BM27" s="363"/>
      <c r="BN27" s="369"/>
      <c r="BO27" s="367"/>
      <c r="BP27" s="363"/>
      <c r="BQ27" s="363"/>
      <c r="BR27" s="363"/>
      <c r="BS27" s="363"/>
      <c r="BT27" s="280"/>
      <c r="BV27" s="358" t="s">
        <v>197</v>
      </c>
    </row>
    <row r="28" spans="1:74" s="358" customFormat="1" ht="31.5">
      <c r="A28" s="287">
        <v>18</v>
      </c>
      <c r="B28" s="818"/>
      <c r="C28" s="837"/>
      <c r="D28" s="838"/>
      <c r="E28" s="836" t="s">
        <v>201</v>
      </c>
      <c r="F28" s="820" t="s">
        <v>7</v>
      </c>
      <c r="G28" s="360">
        <v>4</v>
      </c>
      <c r="H28" s="360" t="s">
        <v>71</v>
      </c>
      <c r="I28" s="360">
        <v>112</v>
      </c>
      <c r="J28" s="361">
        <v>214</v>
      </c>
      <c r="K28" s="532" t="s">
        <v>35</v>
      </c>
      <c r="L28" s="367">
        <v>1000000</v>
      </c>
      <c r="M28" s="363"/>
      <c r="N28" s="363"/>
      <c r="O28" s="363">
        <f t="shared" si="26"/>
        <v>1000000</v>
      </c>
      <c r="P28" s="557"/>
      <c r="Q28" s="367">
        <v>900000</v>
      </c>
      <c r="R28" s="557"/>
      <c r="S28" s="367">
        <v>1000000</v>
      </c>
      <c r="T28" s="557"/>
      <c r="U28" s="365"/>
      <c r="V28" s="366"/>
      <c r="W28" s="366"/>
      <c r="X28" s="366"/>
      <c r="Z28" s="367">
        <f t="shared" si="5"/>
        <v>0</v>
      </c>
      <c r="AA28" s="363">
        <f t="shared" si="6"/>
        <v>0</v>
      </c>
      <c r="AB28" s="280">
        <f t="shared" si="7"/>
        <v>0</v>
      </c>
      <c r="AC28" s="367">
        <f t="shared" si="8"/>
        <v>800000</v>
      </c>
      <c r="AD28" s="363">
        <f t="shared" si="9"/>
        <v>0</v>
      </c>
      <c r="AE28" s="280">
        <f t="shared" si="10"/>
        <v>800000</v>
      </c>
      <c r="AF28" s="367">
        <f t="shared" si="11"/>
        <v>200000</v>
      </c>
      <c r="AG28" s="363">
        <f t="shared" si="12"/>
        <v>0</v>
      </c>
      <c r="AH28" s="280">
        <f t="shared" si="13"/>
        <v>200000</v>
      </c>
      <c r="AI28" s="367">
        <f t="shared" si="14"/>
        <v>0</v>
      </c>
      <c r="AJ28" s="363">
        <f t="shared" si="15"/>
        <v>0</v>
      </c>
      <c r="AK28" s="280">
        <f t="shared" si="16"/>
        <v>0</v>
      </c>
      <c r="AL28" s="368"/>
      <c r="AM28" s="367">
        <f t="shared" si="17"/>
        <v>800000</v>
      </c>
      <c r="AN28" s="363">
        <f t="shared" si="18"/>
        <v>0</v>
      </c>
      <c r="AO28" s="280">
        <f t="shared" si="19"/>
        <v>800000</v>
      </c>
      <c r="AP28" s="367">
        <f t="shared" si="20"/>
        <v>1000000</v>
      </c>
      <c r="AQ28" s="363">
        <f t="shared" si="21"/>
        <v>0</v>
      </c>
      <c r="AR28" s="280">
        <f t="shared" si="22"/>
        <v>1000000</v>
      </c>
      <c r="AS28" s="367">
        <f t="shared" si="27"/>
        <v>1000000</v>
      </c>
      <c r="AT28" s="363">
        <f t="shared" si="23"/>
        <v>0</v>
      </c>
      <c r="AU28" s="280">
        <f t="shared" si="24"/>
        <v>1000000</v>
      </c>
      <c r="AV28" s="588">
        <f t="shared" si="25"/>
        <v>0</v>
      </c>
      <c r="AW28" s="367"/>
      <c r="AX28" s="363"/>
      <c r="AY28" s="363"/>
      <c r="AZ28" s="363"/>
      <c r="BA28" s="363"/>
      <c r="BB28" s="369"/>
      <c r="BC28" s="367"/>
      <c r="BD28" s="363"/>
      <c r="BE28" s="363"/>
      <c r="BF28" s="363"/>
      <c r="BG28" s="363">
        <v>800000</v>
      </c>
      <c r="BH28" s="369"/>
      <c r="BI28" s="367"/>
      <c r="BJ28" s="363"/>
      <c r="BK28" s="363">
        <v>200000</v>
      </c>
      <c r="BL28" s="363"/>
      <c r="BM28" s="363"/>
      <c r="BN28" s="369"/>
      <c r="BO28" s="367"/>
      <c r="BP28" s="363"/>
      <c r="BQ28" s="363"/>
      <c r="BR28" s="363"/>
      <c r="BS28" s="363"/>
      <c r="BT28" s="280"/>
    </row>
    <row r="29" spans="1:74" s="358" customFormat="1" ht="63">
      <c r="A29" s="287">
        <v>19</v>
      </c>
      <c r="B29" s="818"/>
      <c r="C29" s="837"/>
      <c r="D29" s="838"/>
      <c r="E29" s="836" t="s">
        <v>201</v>
      </c>
      <c r="F29" s="820" t="s">
        <v>7</v>
      </c>
      <c r="G29" s="360">
        <v>4</v>
      </c>
      <c r="H29" s="360" t="s">
        <v>71</v>
      </c>
      <c r="I29" s="360">
        <v>111</v>
      </c>
      <c r="J29" s="361">
        <v>266</v>
      </c>
      <c r="K29" s="532" t="s">
        <v>43</v>
      </c>
      <c r="L29" s="367">
        <v>46200</v>
      </c>
      <c r="M29" s="363"/>
      <c r="N29" s="363"/>
      <c r="O29" s="363">
        <f t="shared" si="26"/>
        <v>46200</v>
      </c>
      <c r="P29" s="557"/>
      <c r="Q29" s="367">
        <v>46200</v>
      </c>
      <c r="R29" s="557"/>
      <c r="S29" s="367">
        <v>46200</v>
      </c>
      <c r="T29" s="557"/>
      <c r="U29" s="365"/>
      <c r="V29" s="366"/>
      <c r="W29" s="366"/>
      <c r="X29" s="366"/>
      <c r="Z29" s="367">
        <f t="shared" si="5"/>
        <v>20000</v>
      </c>
      <c r="AA29" s="363">
        <f t="shared" si="6"/>
        <v>0</v>
      </c>
      <c r="AB29" s="280">
        <f t="shared" si="7"/>
        <v>20000</v>
      </c>
      <c r="AC29" s="367">
        <f t="shared" si="8"/>
        <v>10000</v>
      </c>
      <c r="AD29" s="363">
        <f t="shared" si="9"/>
        <v>0</v>
      </c>
      <c r="AE29" s="280">
        <f t="shared" si="10"/>
        <v>10000</v>
      </c>
      <c r="AF29" s="367">
        <f t="shared" si="11"/>
        <v>10000</v>
      </c>
      <c r="AG29" s="363">
        <f t="shared" si="12"/>
        <v>0</v>
      </c>
      <c r="AH29" s="280">
        <f t="shared" si="13"/>
        <v>10000</v>
      </c>
      <c r="AI29" s="367">
        <f t="shared" si="14"/>
        <v>6200</v>
      </c>
      <c r="AJ29" s="363">
        <f t="shared" si="15"/>
        <v>0</v>
      </c>
      <c r="AK29" s="280">
        <f t="shared" si="16"/>
        <v>6200</v>
      </c>
      <c r="AL29" s="368"/>
      <c r="AM29" s="367">
        <f t="shared" si="17"/>
        <v>30000</v>
      </c>
      <c r="AN29" s="363">
        <f t="shared" si="18"/>
        <v>0</v>
      </c>
      <c r="AO29" s="280">
        <f t="shared" si="19"/>
        <v>30000</v>
      </c>
      <c r="AP29" s="367">
        <f t="shared" si="20"/>
        <v>40000</v>
      </c>
      <c r="AQ29" s="363">
        <f t="shared" si="21"/>
        <v>0</v>
      </c>
      <c r="AR29" s="280">
        <f t="shared" si="22"/>
        <v>40000</v>
      </c>
      <c r="AS29" s="367">
        <f t="shared" si="27"/>
        <v>46200</v>
      </c>
      <c r="AT29" s="363">
        <f t="shared" si="23"/>
        <v>0</v>
      </c>
      <c r="AU29" s="280">
        <f t="shared" si="24"/>
        <v>46200</v>
      </c>
      <c r="AV29" s="588">
        <f t="shared" si="25"/>
        <v>0</v>
      </c>
      <c r="AW29" s="367"/>
      <c r="AX29" s="363"/>
      <c r="AY29" s="363">
        <v>20000</v>
      </c>
      <c r="AZ29" s="363"/>
      <c r="BA29" s="363"/>
      <c r="BB29" s="369"/>
      <c r="BC29" s="367"/>
      <c r="BD29" s="363"/>
      <c r="BE29" s="363">
        <v>10000</v>
      </c>
      <c r="BF29" s="363"/>
      <c r="BG29" s="363"/>
      <c r="BH29" s="369"/>
      <c r="BI29" s="367"/>
      <c r="BJ29" s="363"/>
      <c r="BK29" s="363">
        <v>10000</v>
      </c>
      <c r="BL29" s="363"/>
      <c r="BM29" s="363"/>
      <c r="BN29" s="369"/>
      <c r="BO29" s="367"/>
      <c r="BP29" s="363"/>
      <c r="BQ29" s="363">
        <v>6200</v>
      </c>
      <c r="BR29" s="363"/>
      <c r="BS29" s="363"/>
      <c r="BT29" s="280"/>
    </row>
    <row r="30" spans="1:74" s="358" customFormat="1" ht="47.25">
      <c r="A30" s="287">
        <v>20</v>
      </c>
      <c r="B30" s="818"/>
      <c r="C30" s="837"/>
      <c r="D30" s="838"/>
      <c r="E30" s="836" t="s">
        <v>201</v>
      </c>
      <c r="F30" s="820" t="s">
        <v>7</v>
      </c>
      <c r="G30" s="360">
        <v>4</v>
      </c>
      <c r="H30" s="360" t="s">
        <v>71</v>
      </c>
      <c r="I30" s="360">
        <v>112</v>
      </c>
      <c r="J30" s="361">
        <v>266</v>
      </c>
      <c r="K30" s="532" t="s">
        <v>220</v>
      </c>
      <c r="L30" s="367">
        <f>3060</f>
        <v>3060</v>
      </c>
      <c r="M30" s="363"/>
      <c r="N30" s="363"/>
      <c r="O30" s="363">
        <f t="shared" si="26"/>
        <v>3060</v>
      </c>
      <c r="P30" s="557"/>
      <c r="Q30" s="367">
        <v>1105</v>
      </c>
      <c r="R30" s="557"/>
      <c r="S30" s="367">
        <v>0</v>
      </c>
      <c r="T30" s="557"/>
      <c r="U30" s="365"/>
      <c r="V30" s="366"/>
      <c r="W30" s="366"/>
      <c r="X30" s="366"/>
      <c r="Z30" s="367">
        <f t="shared" si="5"/>
        <v>510</v>
      </c>
      <c r="AA30" s="363">
        <f t="shared" si="6"/>
        <v>0</v>
      </c>
      <c r="AB30" s="280">
        <f t="shared" si="7"/>
        <v>510</v>
      </c>
      <c r="AC30" s="367">
        <f t="shared" si="8"/>
        <v>765</v>
      </c>
      <c r="AD30" s="363">
        <f t="shared" si="9"/>
        <v>0</v>
      </c>
      <c r="AE30" s="280">
        <f t="shared" si="10"/>
        <v>765</v>
      </c>
      <c r="AF30" s="367">
        <f t="shared" si="11"/>
        <v>765</v>
      </c>
      <c r="AG30" s="363">
        <f t="shared" si="12"/>
        <v>0</v>
      </c>
      <c r="AH30" s="280">
        <f t="shared" si="13"/>
        <v>765</v>
      </c>
      <c r="AI30" s="367">
        <f t="shared" si="14"/>
        <v>1020</v>
      </c>
      <c r="AJ30" s="363">
        <f t="shared" si="15"/>
        <v>0</v>
      </c>
      <c r="AK30" s="280">
        <f t="shared" si="16"/>
        <v>1020</v>
      </c>
      <c r="AL30" s="368"/>
      <c r="AM30" s="367">
        <f t="shared" si="17"/>
        <v>1275</v>
      </c>
      <c r="AN30" s="363">
        <f t="shared" si="18"/>
        <v>0</v>
      </c>
      <c r="AO30" s="280">
        <f t="shared" si="19"/>
        <v>1275</v>
      </c>
      <c r="AP30" s="367">
        <f t="shared" si="20"/>
        <v>2040</v>
      </c>
      <c r="AQ30" s="363">
        <f t="shared" si="21"/>
        <v>0</v>
      </c>
      <c r="AR30" s="280">
        <f t="shared" si="22"/>
        <v>2040</v>
      </c>
      <c r="AS30" s="367">
        <f t="shared" si="27"/>
        <v>3060</v>
      </c>
      <c r="AT30" s="363">
        <f t="shared" si="23"/>
        <v>0</v>
      </c>
      <c r="AU30" s="280">
        <f t="shared" si="24"/>
        <v>3060</v>
      </c>
      <c r="AV30" s="588">
        <f t="shared" si="25"/>
        <v>0</v>
      </c>
      <c r="AW30" s="367"/>
      <c r="AX30" s="363"/>
      <c r="AY30" s="363">
        <f>3*85</f>
        <v>255</v>
      </c>
      <c r="AZ30" s="363"/>
      <c r="BA30" s="363">
        <f>3*85</f>
        <v>255</v>
      </c>
      <c r="BB30" s="369"/>
      <c r="BC30" s="367">
        <f>3*85</f>
        <v>255</v>
      </c>
      <c r="BD30" s="363"/>
      <c r="BE30" s="363">
        <f>3*85</f>
        <v>255</v>
      </c>
      <c r="BF30" s="363"/>
      <c r="BG30" s="363">
        <f>3*85</f>
        <v>255</v>
      </c>
      <c r="BH30" s="369"/>
      <c r="BI30" s="367">
        <f>3*85</f>
        <v>255</v>
      </c>
      <c r="BJ30" s="363"/>
      <c r="BK30" s="363">
        <f>3*85</f>
        <v>255</v>
      </c>
      <c r="BL30" s="363"/>
      <c r="BM30" s="363">
        <f>3*85</f>
        <v>255</v>
      </c>
      <c r="BN30" s="369"/>
      <c r="BO30" s="367">
        <f>3*85</f>
        <v>255</v>
      </c>
      <c r="BP30" s="363"/>
      <c r="BQ30" s="363">
        <f>3*85</f>
        <v>255</v>
      </c>
      <c r="BR30" s="363"/>
      <c r="BS30" s="363">
        <f>3*85*2</f>
        <v>510</v>
      </c>
      <c r="BT30" s="280"/>
    </row>
    <row r="31" spans="1:74" s="358" customFormat="1" ht="31.5" customHeight="1">
      <c r="A31" s="287">
        <v>21</v>
      </c>
      <c r="B31" s="818"/>
      <c r="C31" s="850" t="s">
        <v>377</v>
      </c>
      <c r="D31" s="838"/>
      <c r="E31" s="836" t="s">
        <v>201</v>
      </c>
      <c r="F31" s="820" t="s">
        <v>7</v>
      </c>
      <c r="G31" s="360">
        <v>4</v>
      </c>
      <c r="H31" s="360" t="s">
        <v>71</v>
      </c>
      <c r="I31" s="360">
        <v>244</v>
      </c>
      <c r="J31" s="361">
        <v>221</v>
      </c>
      <c r="K31" s="532" t="s">
        <v>11</v>
      </c>
      <c r="L31" s="367">
        <f>SUM(L32:L36)</f>
        <v>196510.7</v>
      </c>
      <c r="M31" s="363"/>
      <c r="N31" s="363"/>
      <c r="O31" s="363">
        <f t="shared" si="26"/>
        <v>196510.7</v>
      </c>
      <c r="P31" s="557"/>
      <c r="Q31" s="367">
        <f>SUM(Q32:Q36)</f>
        <v>196510.72</v>
      </c>
      <c r="R31" s="557"/>
      <c r="S31" s="367">
        <f t="shared" ref="S31" si="31">SUM(S32:S36)</f>
        <v>197767.89</v>
      </c>
      <c r="T31" s="557"/>
      <c r="U31" s="365"/>
      <c r="V31" s="366"/>
      <c r="W31" s="366"/>
      <c r="X31" s="366"/>
      <c r="Z31" s="367">
        <f t="shared" si="5"/>
        <v>35780</v>
      </c>
      <c r="AA31" s="363">
        <f t="shared" si="6"/>
        <v>0</v>
      </c>
      <c r="AB31" s="280">
        <f t="shared" si="7"/>
        <v>35780</v>
      </c>
      <c r="AC31" s="367">
        <f t="shared" si="8"/>
        <v>52820</v>
      </c>
      <c r="AD31" s="363">
        <f t="shared" si="9"/>
        <v>0</v>
      </c>
      <c r="AE31" s="280">
        <f t="shared" si="10"/>
        <v>52820</v>
      </c>
      <c r="AF31" s="367">
        <f t="shared" si="11"/>
        <v>52550.7</v>
      </c>
      <c r="AG31" s="363">
        <f t="shared" si="12"/>
        <v>0</v>
      </c>
      <c r="AH31" s="280">
        <f t="shared" si="13"/>
        <v>52550.7</v>
      </c>
      <c r="AI31" s="367">
        <f t="shared" si="14"/>
        <v>55360</v>
      </c>
      <c r="AJ31" s="363">
        <f t="shared" si="15"/>
        <v>0</v>
      </c>
      <c r="AK31" s="280">
        <f t="shared" si="16"/>
        <v>55360</v>
      </c>
      <c r="AL31" s="368"/>
      <c r="AM31" s="367">
        <f t="shared" si="17"/>
        <v>88600</v>
      </c>
      <c r="AN31" s="363">
        <f t="shared" si="18"/>
        <v>0</v>
      </c>
      <c r="AO31" s="280">
        <f t="shared" si="19"/>
        <v>88600</v>
      </c>
      <c r="AP31" s="367">
        <f t="shared" si="20"/>
        <v>141150.70000000001</v>
      </c>
      <c r="AQ31" s="363">
        <f t="shared" si="21"/>
        <v>0</v>
      </c>
      <c r="AR31" s="280">
        <f t="shared" si="22"/>
        <v>141150.70000000001</v>
      </c>
      <c r="AS31" s="367">
        <f t="shared" si="27"/>
        <v>196510.7</v>
      </c>
      <c r="AT31" s="363">
        <f t="shared" si="23"/>
        <v>0</v>
      </c>
      <c r="AU31" s="280">
        <f t="shared" si="24"/>
        <v>196510.7</v>
      </c>
      <c r="AV31" s="588">
        <f t="shared" si="25"/>
        <v>0</v>
      </c>
      <c r="AW31" s="367">
        <f t="shared" ref="AW31:BT31" si="32">SUM(AW32:AW36)</f>
        <v>0</v>
      </c>
      <c r="AX31" s="363">
        <f t="shared" si="32"/>
        <v>0</v>
      </c>
      <c r="AY31" s="363">
        <f t="shared" si="32"/>
        <v>17840</v>
      </c>
      <c r="AZ31" s="363">
        <f t="shared" si="32"/>
        <v>0</v>
      </c>
      <c r="BA31" s="363">
        <f t="shared" si="32"/>
        <v>17940</v>
      </c>
      <c r="BB31" s="369">
        <f t="shared" si="32"/>
        <v>0</v>
      </c>
      <c r="BC31" s="367">
        <f t="shared" si="32"/>
        <v>17440</v>
      </c>
      <c r="BD31" s="363">
        <f t="shared" si="32"/>
        <v>0</v>
      </c>
      <c r="BE31" s="363">
        <f t="shared" si="32"/>
        <v>17940</v>
      </c>
      <c r="BF31" s="363">
        <f t="shared" si="32"/>
        <v>0</v>
      </c>
      <c r="BG31" s="363">
        <f t="shared" si="32"/>
        <v>17440</v>
      </c>
      <c r="BH31" s="369">
        <f t="shared" si="32"/>
        <v>0</v>
      </c>
      <c r="BI31" s="367">
        <f t="shared" si="32"/>
        <v>17670.7</v>
      </c>
      <c r="BJ31" s="363">
        <f t="shared" si="32"/>
        <v>0</v>
      </c>
      <c r="BK31" s="363">
        <f t="shared" si="32"/>
        <v>17440</v>
      </c>
      <c r="BL31" s="363">
        <f t="shared" si="32"/>
        <v>0</v>
      </c>
      <c r="BM31" s="363">
        <f t="shared" si="32"/>
        <v>17440</v>
      </c>
      <c r="BN31" s="369">
        <f t="shared" si="32"/>
        <v>0</v>
      </c>
      <c r="BO31" s="367">
        <f t="shared" si="32"/>
        <v>17440</v>
      </c>
      <c r="BP31" s="363">
        <f t="shared" si="32"/>
        <v>0</v>
      </c>
      <c r="BQ31" s="363">
        <f t="shared" si="32"/>
        <v>12640</v>
      </c>
      <c r="BR31" s="363">
        <f t="shared" si="32"/>
        <v>0</v>
      </c>
      <c r="BS31" s="363">
        <f t="shared" si="32"/>
        <v>25280</v>
      </c>
      <c r="BT31" s="280">
        <f t="shared" si="32"/>
        <v>0</v>
      </c>
    </row>
    <row r="32" spans="1:74" s="313" customFormat="1" ht="25.5" outlineLevel="1">
      <c r="A32" s="287">
        <v>22</v>
      </c>
      <c r="B32" s="818"/>
      <c r="C32" s="840"/>
      <c r="D32" s="841"/>
      <c r="E32" s="839"/>
      <c r="F32" s="821" t="s">
        <v>7</v>
      </c>
      <c r="G32" s="314">
        <v>4</v>
      </c>
      <c r="H32" s="739" t="s">
        <v>71</v>
      </c>
      <c r="I32" s="739">
        <v>244</v>
      </c>
      <c r="J32" s="740">
        <v>221</v>
      </c>
      <c r="K32" s="533" t="s">
        <v>236</v>
      </c>
      <c r="L32" s="341">
        <f>2230.7-600</f>
        <v>1630.7</v>
      </c>
      <c r="M32" s="318"/>
      <c r="N32" s="318"/>
      <c r="O32" s="318">
        <f t="shared" si="26"/>
        <v>1630.7</v>
      </c>
      <c r="P32" s="559"/>
      <c r="Q32" s="336">
        <v>2230.7199999999998</v>
      </c>
      <c r="R32" s="559"/>
      <c r="S32" s="336">
        <v>3487.89</v>
      </c>
      <c r="T32" s="559"/>
      <c r="U32" s="335"/>
      <c r="V32" s="320"/>
      <c r="W32" s="320"/>
      <c r="X32" s="320"/>
      <c r="Z32" s="336">
        <f t="shared" si="5"/>
        <v>900</v>
      </c>
      <c r="AA32" s="337">
        <f t="shared" si="6"/>
        <v>0</v>
      </c>
      <c r="AB32" s="338">
        <f t="shared" si="7"/>
        <v>900</v>
      </c>
      <c r="AC32" s="336">
        <f t="shared" si="8"/>
        <v>500</v>
      </c>
      <c r="AD32" s="337">
        <f t="shared" si="9"/>
        <v>0</v>
      </c>
      <c r="AE32" s="338">
        <f t="shared" si="10"/>
        <v>500</v>
      </c>
      <c r="AF32" s="336">
        <f t="shared" si="11"/>
        <v>230.7</v>
      </c>
      <c r="AG32" s="337">
        <f t="shared" si="12"/>
        <v>0</v>
      </c>
      <c r="AH32" s="338">
        <f t="shared" si="13"/>
        <v>230.7</v>
      </c>
      <c r="AI32" s="336">
        <f t="shared" si="14"/>
        <v>0</v>
      </c>
      <c r="AJ32" s="337">
        <f t="shared" si="15"/>
        <v>0</v>
      </c>
      <c r="AK32" s="338">
        <f t="shared" si="16"/>
        <v>0</v>
      </c>
      <c r="AL32" s="342"/>
      <c r="AM32" s="336">
        <f t="shared" si="17"/>
        <v>1400</v>
      </c>
      <c r="AN32" s="339">
        <f t="shared" si="18"/>
        <v>0</v>
      </c>
      <c r="AO32" s="340">
        <f t="shared" si="19"/>
        <v>1400</v>
      </c>
      <c r="AP32" s="336">
        <f t="shared" si="20"/>
        <v>1630.7</v>
      </c>
      <c r="AQ32" s="339">
        <f t="shared" si="21"/>
        <v>0</v>
      </c>
      <c r="AR32" s="340">
        <f t="shared" si="22"/>
        <v>1630.7</v>
      </c>
      <c r="AS32" s="341">
        <f t="shared" si="27"/>
        <v>1630.7</v>
      </c>
      <c r="AT32" s="339">
        <f t="shared" si="23"/>
        <v>0</v>
      </c>
      <c r="AU32" s="340">
        <f t="shared" si="24"/>
        <v>1630.7</v>
      </c>
      <c r="AV32" s="589">
        <f t="shared" si="25"/>
        <v>0</v>
      </c>
      <c r="AW32" s="343"/>
      <c r="AX32" s="344"/>
      <c r="AY32" s="345">
        <v>400</v>
      </c>
      <c r="AZ32" s="344"/>
      <c r="BA32" s="345">
        <v>500</v>
      </c>
      <c r="BB32" s="346"/>
      <c r="BC32" s="347"/>
      <c r="BD32" s="348"/>
      <c r="BE32" s="349">
        <v>500</v>
      </c>
      <c r="BF32" s="348"/>
      <c r="BG32" s="349"/>
      <c r="BH32" s="350"/>
      <c r="BI32" s="351">
        <v>230.7</v>
      </c>
      <c r="BJ32" s="352"/>
      <c r="BK32" s="337"/>
      <c r="BL32" s="352"/>
      <c r="BM32" s="337"/>
      <c r="BN32" s="353"/>
      <c r="BO32" s="354"/>
      <c r="BP32" s="355"/>
      <c r="BQ32" s="356"/>
      <c r="BR32" s="355"/>
      <c r="BS32" s="356"/>
      <c r="BT32" s="357"/>
    </row>
    <row r="33" spans="1:72" s="313" customFormat="1" ht="38.25" outlineLevel="1">
      <c r="A33" s="287">
        <v>23</v>
      </c>
      <c r="B33" s="818"/>
      <c r="C33" s="840"/>
      <c r="D33" s="841"/>
      <c r="E33" s="839"/>
      <c r="F33" s="821" t="s">
        <v>7</v>
      </c>
      <c r="G33" s="314">
        <v>4</v>
      </c>
      <c r="H33" s="739" t="s">
        <v>71</v>
      </c>
      <c r="I33" s="739">
        <v>244</v>
      </c>
      <c r="J33" s="740">
        <v>221</v>
      </c>
      <c r="K33" s="533" t="s">
        <v>422</v>
      </c>
      <c r="L33" s="341">
        <v>63480</v>
      </c>
      <c r="M33" s="318"/>
      <c r="N33" s="318"/>
      <c r="O33" s="318">
        <f t="shared" si="26"/>
        <v>63480</v>
      </c>
      <c r="P33" s="559"/>
      <c r="Q33" s="336">
        <v>63480</v>
      </c>
      <c r="R33" s="559"/>
      <c r="S33" s="336">
        <v>63480</v>
      </c>
      <c r="T33" s="559"/>
      <c r="U33" s="335"/>
      <c r="V33" s="596" t="s">
        <v>231</v>
      </c>
      <c r="W33" s="597" t="s">
        <v>423</v>
      </c>
      <c r="X33" s="597" t="s">
        <v>381</v>
      </c>
      <c r="Z33" s="336">
        <f t="shared" si="5"/>
        <v>10580</v>
      </c>
      <c r="AA33" s="337">
        <f t="shared" si="6"/>
        <v>0</v>
      </c>
      <c r="AB33" s="338">
        <f t="shared" si="7"/>
        <v>10580</v>
      </c>
      <c r="AC33" s="336">
        <f t="shared" si="8"/>
        <v>15870</v>
      </c>
      <c r="AD33" s="337">
        <f t="shared" si="9"/>
        <v>0</v>
      </c>
      <c r="AE33" s="338">
        <f t="shared" si="10"/>
        <v>15870</v>
      </c>
      <c r="AF33" s="336">
        <f t="shared" si="11"/>
        <v>15870</v>
      </c>
      <c r="AG33" s="337">
        <f t="shared" si="12"/>
        <v>0</v>
      </c>
      <c r="AH33" s="338">
        <f t="shared" si="13"/>
        <v>15870</v>
      </c>
      <c r="AI33" s="336">
        <f t="shared" si="14"/>
        <v>21160</v>
      </c>
      <c r="AJ33" s="337">
        <f t="shared" si="15"/>
        <v>0</v>
      </c>
      <c r="AK33" s="338">
        <f t="shared" si="16"/>
        <v>21160</v>
      </c>
      <c r="AL33" s="342"/>
      <c r="AM33" s="336">
        <f t="shared" si="17"/>
        <v>26450</v>
      </c>
      <c r="AN33" s="339">
        <f t="shared" si="18"/>
        <v>0</v>
      </c>
      <c r="AO33" s="340">
        <f t="shared" si="19"/>
        <v>26450</v>
      </c>
      <c r="AP33" s="336">
        <f t="shared" si="20"/>
        <v>42320</v>
      </c>
      <c r="AQ33" s="339">
        <f t="shared" si="21"/>
        <v>0</v>
      </c>
      <c r="AR33" s="340">
        <f t="shared" si="22"/>
        <v>42320</v>
      </c>
      <c r="AS33" s="341">
        <f t="shared" si="27"/>
        <v>63480</v>
      </c>
      <c r="AT33" s="339">
        <f t="shared" si="23"/>
        <v>0</v>
      </c>
      <c r="AU33" s="340">
        <f t="shared" si="24"/>
        <v>63480</v>
      </c>
      <c r="AV33" s="589">
        <f t="shared" si="25"/>
        <v>0</v>
      </c>
      <c r="AW33" s="343"/>
      <c r="AX33" s="344"/>
      <c r="AY33" s="345">
        <v>5290</v>
      </c>
      <c r="AZ33" s="344"/>
      <c r="BA33" s="345">
        <v>5290</v>
      </c>
      <c r="BB33" s="346"/>
      <c r="BC33" s="347">
        <v>5290</v>
      </c>
      <c r="BD33" s="348"/>
      <c r="BE33" s="349">
        <v>5290</v>
      </c>
      <c r="BF33" s="348"/>
      <c r="BG33" s="349">
        <v>5290</v>
      </c>
      <c r="BH33" s="350"/>
      <c r="BI33" s="351">
        <v>5290</v>
      </c>
      <c r="BJ33" s="352"/>
      <c r="BK33" s="337">
        <v>5290</v>
      </c>
      <c r="BL33" s="352"/>
      <c r="BM33" s="337">
        <v>5290</v>
      </c>
      <c r="BN33" s="353"/>
      <c r="BO33" s="354">
        <v>5290</v>
      </c>
      <c r="BP33" s="355"/>
      <c r="BQ33" s="356">
        <v>5290</v>
      </c>
      <c r="BR33" s="355"/>
      <c r="BS33" s="356">
        <f>5290*2</f>
        <v>10580</v>
      </c>
      <c r="BT33" s="357"/>
    </row>
    <row r="34" spans="1:72" s="313" customFormat="1" ht="38.25" outlineLevel="1">
      <c r="A34" s="287">
        <v>24</v>
      </c>
      <c r="B34" s="818"/>
      <c r="C34" s="840"/>
      <c r="D34" s="841"/>
      <c r="E34" s="839"/>
      <c r="F34" s="821" t="s">
        <v>7</v>
      </c>
      <c r="G34" s="314">
        <v>4</v>
      </c>
      <c r="H34" s="739" t="s">
        <v>71</v>
      </c>
      <c r="I34" s="739">
        <v>244</v>
      </c>
      <c r="J34" s="740">
        <v>221</v>
      </c>
      <c r="K34" s="533" t="s">
        <v>421</v>
      </c>
      <c r="L34" s="341">
        <v>87600</v>
      </c>
      <c r="M34" s="318"/>
      <c r="N34" s="318"/>
      <c r="O34" s="318">
        <f t="shared" si="26"/>
        <v>87600</v>
      </c>
      <c r="P34" s="559"/>
      <c r="Q34" s="336">
        <v>87600</v>
      </c>
      <c r="R34" s="559"/>
      <c r="S34" s="336">
        <v>87600</v>
      </c>
      <c r="T34" s="559"/>
      <c r="U34" s="335"/>
      <c r="V34" s="596" t="s">
        <v>231</v>
      </c>
      <c r="W34" s="597" t="s">
        <v>424</v>
      </c>
      <c r="X34" s="597" t="s">
        <v>381</v>
      </c>
      <c r="Z34" s="336">
        <f t="shared" si="5"/>
        <v>14600</v>
      </c>
      <c r="AA34" s="337">
        <f t="shared" si="6"/>
        <v>0</v>
      </c>
      <c r="AB34" s="338">
        <f t="shared" si="7"/>
        <v>14600</v>
      </c>
      <c r="AC34" s="336">
        <f t="shared" si="8"/>
        <v>21900</v>
      </c>
      <c r="AD34" s="337">
        <f t="shared" si="9"/>
        <v>0</v>
      </c>
      <c r="AE34" s="338">
        <f t="shared" si="10"/>
        <v>21900</v>
      </c>
      <c r="AF34" s="336">
        <f t="shared" si="11"/>
        <v>21900</v>
      </c>
      <c r="AG34" s="337">
        <f t="shared" si="12"/>
        <v>0</v>
      </c>
      <c r="AH34" s="338">
        <f t="shared" si="13"/>
        <v>21900</v>
      </c>
      <c r="AI34" s="336">
        <f t="shared" si="14"/>
        <v>29200</v>
      </c>
      <c r="AJ34" s="337">
        <f t="shared" si="15"/>
        <v>0</v>
      </c>
      <c r="AK34" s="338">
        <f t="shared" si="16"/>
        <v>29200</v>
      </c>
      <c r="AL34" s="342"/>
      <c r="AM34" s="336">
        <f t="shared" si="17"/>
        <v>36500</v>
      </c>
      <c r="AN34" s="339">
        <f t="shared" si="18"/>
        <v>0</v>
      </c>
      <c r="AO34" s="340">
        <f t="shared" si="19"/>
        <v>36500</v>
      </c>
      <c r="AP34" s="336">
        <f t="shared" si="20"/>
        <v>58400</v>
      </c>
      <c r="AQ34" s="339">
        <f t="shared" si="21"/>
        <v>0</v>
      </c>
      <c r="AR34" s="340">
        <f t="shared" si="22"/>
        <v>58400</v>
      </c>
      <c r="AS34" s="341">
        <f t="shared" si="27"/>
        <v>87600</v>
      </c>
      <c r="AT34" s="339">
        <f t="shared" si="23"/>
        <v>0</v>
      </c>
      <c r="AU34" s="340">
        <f t="shared" si="24"/>
        <v>87600</v>
      </c>
      <c r="AV34" s="589">
        <f t="shared" si="25"/>
        <v>0</v>
      </c>
      <c r="AW34" s="343"/>
      <c r="AX34" s="344"/>
      <c r="AY34" s="345">
        <v>7300</v>
      </c>
      <c r="AZ34" s="344"/>
      <c r="BA34" s="345">
        <v>7300</v>
      </c>
      <c r="BB34" s="346"/>
      <c r="BC34" s="347">
        <v>7300</v>
      </c>
      <c r="BD34" s="348"/>
      <c r="BE34" s="349">
        <v>7300</v>
      </c>
      <c r="BF34" s="348"/>
      <c r="BG34" s="349">
        <v>7300</v>
      </c>
      <c r="BH34" s="350"/>
      <c r="BI34" s="351">
        <v>7300</v>
      </c>
      <c r="BJ34" s="352"/>
      <c r="BK34" s="337">
        <v>7300</v>
      </c>
      <c r="BL34" s="352"/>
      <c r="BM34" s="337">
        <v>7300</v>
      </c>
      <c r="BN34" s="353"/>
      <c r="BO34" s="354">
        <v>7300</v>
      </c>
      <c r="BP34" s="355"/>
      <c r="BQ34" s="356">
        <v>7300</v>
      </c>
      <c r="BR34" s="355"/>
      <c r="BS34" s="356">
        <f>7300*2</f>
        <v>14600</v>
      </c>
      <c r="BT34" s="357"/>
    </row>
    <row r="35" spans="1:72" s="313" customFormat="1" ht="38.25" outlineLevel="1">
      <c r="A35" s="287">
        <v>25</v>
      </c>
      <c r="B35" s="818"/>
      <c r="C35" s="840"/>
      <c r="D35" s="841"/>
      <c r="E35" s="839"/>
      <c r="F35" s="821" t="s">
        <v>7</v>
      </c>
      <c r="G35" s="314">
        <v>4</v>
      </c>
      <c r="H35" s="739" t="s">
        <v>71</v>
      </c>
      <c r="I35" s="739">
        <v>244</v>
      </c>
      <c r="J35" s="740">
        <v>221</v>
      </c>
      <c r="K35" s="533" t="s">
        <v>418</v>
      </c>
      <c r="L35" s="341">
        <v>600</v>
      </c>
      <c r="M35" s="318"/>
      <c r="N35" s="318"/>
      <c r="O35" s="318">
        <f t="shared" si="26"/>
        <v>600</v>
      </c>
      <c r="P35" s="559"/>
      <c r="Q35" s="336">
        <v>0</v>
      </c>
      <c r="R35" s="559"/>
      <c r="S35" s="336">
        <v>0</v>
      </c>
      <c r="T35" s="559"/>
      <c r="U35" s="335"/>
      <c r="V35" s="596" t="s">
        <v>419</v>
      </c>
      <c r="W35" s="597" t="s">
        <v>420</v>
      </c>
      <c r="X35" s="597" t="s">
        <v>381</v>
      </c>
      <c r="Z35" s="336">
        <f t="shared" ref="Z35" si="33">AW35+AY35+BA35</f>
        <v>100</v>
      </c>
      <c r="AA35" s="337">
        <f t="shared" ref="AA35" si="34">AX35+AZ35+BB35</f>
        <v>0</v>
      </c>
      <c r="AB35" s="338">
        <f t="shared" ref="AB35" si="35">Z35-AA35</f>
        <v>100</v>
      </c>
      <c r="AC35" s="336">
        <f t="shared" ref="AC35" si="36">BC35+BE35+BG35</f>
        <v>150</v>
      </c>
      <c r="AD35" s="337">
        <f t="shared" ref="AD35" si="37">BD35+BF35+BH35</f>
        <v>0</v>
      </c>
      <c r="AE35" s="338">
        <f t="shared" ref="AE35" si="38">AC35-AD35</f>
        <v>150</v>
      </c>
      <c r="AF35" s="336">
        <f t="shared" ref="AF35" si="39">BI35+BK35+BM35</f>
        <v>150</v>
      </c>
      <c r="AG35" s="337">
        <f t="shared" ref="AG35" si="40">BJ35+BL35+BN35</f>
        <v>0</v>
      </c>
      <c r="AH35" s="338">
        <f t="shared" ref="AH35" si="41">AF35-AG35</f>
        <v>150</v>
      </c>
      <c r="AI35" s="336">
        <f t="shared" ref="AI35" si="42">BO35+BQ35+BS35</f>
        <v>200</v>
      </c>
      <c r="AJ35" s="337">
        <f t="shared" ref="AJ35" si="43">BP35+BR35+BT35</f>
        <v>0</v>
      </c>
      <c r="AK35" s="338">
        <f t="shared" ref="AK35" si="44">AI35-AJ35</f>
        <v>200</v>
      </c>
      <c r="AL35" s="342"/>
      <c r="AM35" s="336">
        <f t="shared" ref="AM35" si="45">Z35+AC35</f>
        <v>250</v>
      </c>
      <c r="AN35" s="339">
        <f t="shared" ref="AN35" si="46">AA35+AD35</f>
        <v>0</v>
      </c>
      <c r="AO35" s="340">
        <f t="shared" ref="AO35" si="47">AM35-AN35</f>
        <v>250</v>
      </c>
      <c r="AP35" s="336">
        <f t="shared" ref="AP35" si="48">Z35+AC35+AF35</f>
        <v>400</v>
      </c>
      <c r="AQ35" s="339">
        <f t="shared" ref="AQ35" si="49">AA35+AD35+AG35</f>
        <v>0</v>
      </c>
      <c r="AR35" s="340">
        <f t="shared" ref="AR35" si="50">AP35-AQ35</f>
        <v>400</v>
      </c>
      <c r="AS35" s="341">
        <f t="shared" ref="AS35" si="51">Z35+AC35+AF35+AI35</f>
        <v>600</v>
      </c>
      <c r="AT35" s="339">
        <f t="shared" ref="AT35" si="52">AA35+AD35+AG35+AJ35</f>
        <v>0</v>
      </c>
      <c r="AU35" s="340">
        <f t="shared" ref="AU35" si="53">AS35-AT35</f>
        <v>600</v>
      </c>
      <c r="AV35" s="589">
        <f t="shared" ref="AV35" si="54">L35-AS35</f>
        <v>0</v>
      </c>
      <c r="AW35" s="343"/>
      <c r="AX35" s="344"/>
      <c r="AY35" s="345">
        <v>50</v>
      </c>
      <c r="AZ35" s="344"/>
      <c r="BA35" s="345">
        <v>50</v>
      </c>
      <c r="BB35" s="346"/>
      <c r="BC35" s="347">
        <v>50</v>
      </c>
      <c r="BD35" s="348"/>
      <c r="BE35" s="349">
        <v>50</v>
      </c>
      <c r="BF35" s="348"/>
      <c r="BG35" s="349">
        <v>50</v>
      </c>
      <c r="BH35" s="350"/>
      <c r="BI35" s="351">
        <v>50</v>
      </c>
      <c r="BJ35" s="352"/>
      <c r="BK35" s="337">
        <v>50</v>
      </c>
      <c r="BL35" s="352"/>
      <c r="BM35" s="337">
        <v>50</v>
      </c>
      <c r="BN35" s="353"/>
      <c r="BO35" s="354">
        <v>50</v>
      </c>
      <c r="BP35" s="355"/>
      <c r="BQ35" s="356">
        <v>50</v>
      </c>
      <c r="BR35" s="355"/>
      <c r="BS35" s="356">
        <f>50*2</f>
        <v>100</v>
      </c>
      <c r="BT35" s="357"/>
    </row>
    <row r="36" spans="1:72" s="313" customFormat="1" ht="25.5" outlineLevel="1">
      <c r="A36" s="287">
        <v>26</v>
      </c>
      <c r="B36" s="818"/>
      <c r="C36" s="840"/>
      <c r="D36" s="841"/>
      <c r="E36" s="839"/>
      <c r="F36" s="821" t="s">
        <v>7</v>
      </c>
      <c r="G36" s="314">
        <v>4</v>
      </c>
      <c r="H36" s="739" t="s">
        <v>71</v>
      </c>
      <c r="I36" s="739">
        <v>244</v>
      </c>
      <c r="J36" s="740">
        <v>221</v>
      </c>
      <c r="K36" s="533" t="s">
        <v>428</v>
      </c>
      <c r="L36" s="341">
        <v>43200</v>
      </c>
      <c r="M36" s="318"/>
      <c r="N36" s="318"/>
      <c r="O36" s="318">
        <f t="shared" si="26"/>
        <v>43200</v>
      </c>
      <c r="P36" s="559"/>
      <c r="Q36" s="336">
        <v>43200</v>
      </c>
      <c r="R36" s="559"/>
      <c r="S36" s="336">
        <v>43200</v>
      </c>
      <c r="T36" s="559"/>
      <c r="U36" s="335"/>
      <c r="V36" s="596" t="s">
        <v>234</v>
      </c>
      <c r="W36" s="597" t="s">
        <v>427</v>
      </c>
      <c r="X36" s="597" t="s">
        <v>381</v>
      </c>
      <c r="Z36" s="336">
        <f t="shared" si="5"/>
        <v>9600</v>
      </c>
      <c r="AA36" s="337">
        <f t="shared" si="6"/>
        <v>0</v>
      </c>
      <c r="AB36" s="338">
        <f t="shared" si="7"/>
        <v>9600</v>
      </c>
      <c r="AC36" s="336">
        <f t="shared" si="8"/>
        <v>14400</v>
      </c>
      <c r="AD36" s="337">
        <f t="shared" si="9"/>
        <v>0</v>
      </c>
      <c r="AE36" s="338">
        <f t="shared" si="10"/>
        <v>14400</v>
      </c>
      <c r="AF36" s="336">
        <f t="shared" si="11"/>
        <v>14400</v>
      </c>
      <c r="AG36" s="337">
        <f t="shared" si="12"/>
        <v>0</v>
      </c>
      <c r="AH36" s="338">
        <f t="shared" si="13"/>
        <v>14400</v>
      </c>
      <c r="AI36" s="336">
        <f t="shared" si="14"/>
        <v>4800</v>
      </c>
      <c r="AJ36" s="337">
        <f t="shared" si="15"/>
        <v>0</v>
      </c>
      <c r="AK36" s="338">
        <f t="shared" si="16"/>
        <v>4800</v>
      </c>
      <c r="AL36" s="342"/>
      <c r="AM36" s="336">
        <f t="shared" si="17"/>
        <v>24000</v>
      </c>
      <c r="AN36" s="339">
        <f t="shared" si="18"/>
        <v>0</v>
      </c>
      <c r="AO36" s="340">
        <f t="shared" si="19"/>
        <v>24000</v>
      </c>
      <c r="AP36" s="336">
        <f t="shared" si="20"/>
        <v>38400</v>
      </c>
      <c r="AQ36" s="339">
        <f t="shared" si="21"/>
        <v>0</v>
      </c>
      <c r="AR36" s="340">
        <f t="shared" si="22"/>
        <v>38400</v>
      </c>
      <c r="AS36" s="341">
        <f t="shared" si="27"/>
        <v>43200</v>
      </c>
      <c r="AT36" s="339">
        <f t="shared" si="23"/>
        <v>0</v>
      </c>
      <c r="AU36" s="340">
        <f t="shared" si="24"/>
        <v>43200</v>
      </c>
      <c r="AV36" s="589">
        <f t="shared" si="25"/>
        <v>0</v>
      </c>
      <c r="AW36" s="343"/>
      <c r="AX36" s="344"/>
      <c r="AY36" s="345">
        <v>4800</v>
      </c>
      <c r="AZ36" s="344"/>
      <c r="BA36" s="345">
        <v>4800</v>
      </c>
      <c r="BB36" s="346"/>
      <c r="BC36" s="347">
        <v>4800</v>
      </c>
      <c r="BD36" s="348"/>
      <c r="BE36" s="349">
        <v>4800</v>
      </c>
      <c r="BF36" s="348"/>
      <c r="BG36" s="349">
        <v>4800</v>
      </c>
      <c r="BH36" s="350"/>
      <c r="BI36" s="351">
        <v>4800</v>
      </c>
      <c r="BJ36" s="352"/>
      <c r="BK36" s="337">
        <v>4800</v>
      </c>
      <c r="BL36" s="352"/>
      <c r="BM36" s="337">
        <v>4800</v>
      </c>
      <c r="BN36" s="353"/>
      <c r="BO36" s="354">
        <v>4800</v>
      </c>
      <c r="BP36" s="355"/>
      <c r="BQ36" s="356"/>
      <c r="BR36" s="355"/>
      <c r="BS36" s="356"/>
      <c r="BT36" s="357"/>
    </row>
    <row r="37" spans="1:72" s="358" customFormat="1" ht="31.5" customHeight="1">
      <c r="A37" s="287">
        <v>27</v>
      </c>
      <c r="B37" s="818"/>
      <c r="C37" s="850" t="s">
        <v>377</v>
      </c>
      <c r="D37" s="838"/>
      <c r="E37" s="836" t="s">
        <v>201</v>
      </c>
      <c r="F37" s="820" t="s">
        <v>7</v>
      </c>
      <c r="G37" s="360">
        <v>4</v>
      </c>
      <c r="H37" s="360" t="s">
        <v>71</v>
      </c>
      <c r="I37" s="360">
        <v>244</v>
      </c>
      <c r="J37" s="361">
        <v>222</v>
      </c>
      <c r="K37" s="532" t="s">
        <v>12</v>
      </c>
      <c r="L37" s="367">
        <f>SUM(L38:L39)</f>
        <v>137727.94</v>
      </c>
      <c r="M37" s="363"/>
      <c r="N37" s="363"/>
      <c r="O37" s="363">
        <f t="shared" si="26"/>
        <v>137727.94</v>
      </c>
      <c r="P37" s="557"/>
      <c r="Q37" s="367">
        <f>SUM(Q38:Q39)</f>
        <v>137727.94</v>
      </c>
      <c r="R37" s="557"/>
      <c r="S37" s="367">
        <f>SUM(S38:S39)</f>
        <v>138609.04999999999</v>
      </c>
      <c r="T37" s="557"/>
      <c r="U37" s="365"/>
      <c r="V37" s="366"/>
      <c r="W37" s="366"/>
      <c r="X37" s="366"/>
      <c r="Z37" s="367">
        <f t="shared" si="5"/>
        <v>10000</v>
      </c>
      <c r="AA37" s="363">
        <f t="shared" si="6"/>
        <v>0</v>
      </c>
      <c r="AB37" s="280">
        <f t="shared" si="7"/>
        <v>10000</v>
      </c>
      <c r="AC37" s="367">
        <f t="shared" si="8"/>
        <v>55000</v>
      </c>
      <c r="AD37" s="363">
        <f t="shared" si="9"/>
        <v>0</v>
      </c>
      <c r="AE37" s="280">
        <f t="shared" si="10"/>
        <v>55000</v>
      </c>
      <c r="AF37" s="367">
        <f t="shared" si="11"/>
        <v>30000</v>
      </c>
      <c r="AG37" s="363">
        <f t="shared" si="12"/>
        <v>0</v>
      </c>
      <c r="AH37" s="280">
        <f t="shared" si="13"/>
        <v>30000</v>
      </c>
      <c r="AI37" s="367">
        <f t="shared" si="14"/>
        <v>42727.94</v>
      </c>
      <c r="AJ37" s="363">
        <f t="shared" si="15"/>
        <v>0</v>
      </c>
      <c r="AK37" s="280">
        <f t="shared" si="16"/>
        <v>42727.94</v>
      </c>
      <c r="AL37" s="368"/>
      <c r="AM37" s="367">
        <f t="shared" si="17"/>
        <v>65000</v>
      </c>
      <c r="AN37" s="363">
        <f t="shared" si="18"/>
        <v>0</v>
      </c>
      <c r="AO37" s="280">
        <f t="shared" si="19"/>
        <v>65000</v>
      </c>
      <c r="AP37" s="367">
        <f t="shared" si="20"/>
        <v>95000</v>
      </c>
      <c r="AQ37" s="363">
        <f t="shared" si="21"/>
        <v>0</v>
      </c>
      <c r="AR37" s="280">
        <f t="shared" si="22"/>
        <v>95000</v>
      </c>
      <c r="AS37" s="367">
        <f t="shared" si="27"/>
        <v>137727.94</v>
      </c>
      <c r="AT37" s="363">
        <f t="shared" si="23"/>
        <v>0</v>
      </c>
      <c r="AU37" s="280">
        <f t="shared" si="24"/>
        <v>137727.94</v>
      </c>
      <c r="AV37" s="588">
        <f t="shared" si="25"/>
        <v>0</v>
      </c>
      <c r="AW37" s="367">
        <f t="shared" ref="AW37:BT37" si="55">SUM(AW38:AW39)</f>
        <v>0</v>
      </c>
      <c r="AX37" s="363">
        <f t="shared" si="55"/>
        <v>0</v>
      </c>
      <c r="AY37" s="363">
        <f t="shared" si="55"/>
        <v>5000</v>
      </c>
      <c r="AZ37" s="363">
        <f t="shared" si="55"/>
        <v>0</v>
      </c>
      <c r="BA37" s="363">
        <f t="shared" si="55"/>
        <v>5000</v>
      </c>
      <c r="BB37" s="369">
        <f t="shared" si="55"/>
        <v>0</v>
      </c>
      <c r="BC37" s="367">
        <f t="shared" si="55"/>
        <v>30000</v>
      </c>
      <c r="BD37" s="363">
        <f t="shared" si="55"/>
        <v>0</v>
      </c>
      <c r="BE37" s="363">
        <f t="shared" si="55"/>
        <v>20000</v>
      </c>
      <c r="BF37" s="363">
        <f t="shared" si="55"/>
        <v>0</v>
      </c>
      <c r="BG37" s="363">
        <f t="shared" si="55"/>
        <v>5000</v>
      </c>
      <c r="BH37" s="369">
        <f t="shared" si="55"/>
        <v>0</v>
      </c>
      <c r="BI37" s="367">
        <f t="shared" si="55"/>
        <v>5000</v>
      </c>
      <c r="BJ37" s="363">
        <f t="shared" si="55"/>
        <v>0</v>
      </c>
      <c r="BK37" s="363">
        <f t="shared" si="55"/>
        <v>20000</v>
      </c>
      <c r="BL37" s="363">
        <f t="shared" si="55"/>
        <v>0</v>
      </c>
      <c r="BM37" s="363">
        <f t="shared" si="55"/>
        <v>5000</v>
      </c>
      <c r="BN37" s="369">
        <f t="shared" si="55"/>
        <v>0</v>
      </c>
      <c r="BO37" s="367">
        <f t="shared" si="55"/>
        <v>5000</v>
      </c>
      <c r="BP37" s="363">
        <f t="shared" si="55"/>
        <v>0</v>
      </c>
      <c r="BQ37" s="363">
        <f t="shared" si="55"/>
        <v>5000</v>
      </c>
      <c r="BR37" s="363">
        <f t="shared" si="55"/>
        <v>0</v>
      </c>
      <c r="BS37" s="363">
        <f t="shared" si="55"/>
        <v>32727.94</v>
      </c>
      <c r="BT37" s="280">
        <f t="shared" si="55"/>
        <v>0</v>
      </c>
    </row>
    <row r="38" spans="1:72" s="313" customFormat="1" ht="25.5" outlineLevel="1">
      <c r="A38" s="287">
        <v>28</v>
      </c>
      <c r="B38" s="818"/>
      <c r="C38" s="840"/>
      <c r="D38" s="841"/>
      <c r="E38" s="839"/>
      <c r="F38" s="821" t="s">
        <v>7</v>
      </c>
      <c r="G38" s="314">
        <v>4</v>
      </c>
      <c r="H38" s="739" t="s">
        <v>71</v>
      </c>
      <c r="I38" s="739">
        <v>244</v>
      </c>
      <c r="J38" s="740">
        <v>222</v>
      </c>
      <c r="K38" s="533" t="s">
        <v>245</v>
      </c>
      <c r="L38" s="341">
        <f>137727.94-77727.94</f>
        <v>60000</v>
      </c>
      <c r="M38" s="318"/>
      <c r="N38" s="318"/>
      <c r="O38" s="318">
        <f t="shared" si="26"/>
        <v>60000</v>
      </c>
      <c r="P38" s="559"/>
      <c r="Q38" s="336">
        <v>137727.94</v>
      </c>
      <c r="R38" s="559"/>
      <c r="S38" s="336">
        <v>138609.04999999999</v>
      </c>
      <c r="T38" s="559"/>
      <c r="U38" s="335"/>
      <c r="V38" s="597" t="s">
        <v>240</v>
      </c>
      <c r="W38" s="597" t="s">
        <v>429</v>
      </c>
      <c r="X38" s="597" t="s">
        <v>381</v>
      </c>
      <c r="Z38" s="336">
        <f t="shared" ref="Z38:Z39" si="56">AW38+AY38+BA38</f>
        <v>10000</v>
      </c>
      <c r="AA38" s="337">
        <f t="shared" ref="AA38:AA39" si="57">AX38+AZ38+BB38</f>
        <v>0</v>
      </c>
      <c r="AB38" s="338">
        <f t="shared" ref="AB38:AB39" si="58">Z38-AA38</f>
        <v>10000</v>
      </c>
      <c r="AC38" s="336">
        <f t="shared" ref="AC38:AC39" si="59">BC38+BE38+BG38</f>
        <v>15000</v>
      </c>
      <c r="AD38" s="337">
        <f t="shared" ref="AD38:AD39" si="60">BD38+BF38+BH38</f>
        <v>0</v>
      </c>
      <c r="AE38" s="338">
        <f t="shared" ref="AE38:AE39" si="61">AC38-AD38</f>
        <v>15000</v>
      </c>
      <c r="AF38" s="336">
        <f t="shared" ref="AF38:AF39" si="62">BI38+BK38+BM38</f>
        <v>15000</v>
      </c>
      <c r="AG38" s="337">
        <f t="shared" ref="AG38:AG39" si="63">BJ38+BL38+BN38</f>
        <v>0</v>
      </c>
      <c r="AH38" s="338">
        <f t="shared" ref="AH38:AH39" si="64">AF38-AG38</f>
        <v>15000</v>
      </c>
      <c r="AI38" s="336">
        <f t="shared" ref="AI38:AI39" si="65">BO38+BQ38+BS38</f>
        <v>20000</v>
      </c>
      <c r="AJ38" s="337">
        <f t="shared" ref="AJ38:AJ39" si="66">BP38+BR38+BT38</f>
        <v>0</v>
      </c>
      <c r="AK38" s="338">
        <f t="shared" ref="AK38:AK39" si="67">AI38-AJ38</f>
        <v>20000</v>
      </c>
      <c r="AL38" s="342"/>
      <c r="AM38" s="336">
        <f t="shared" ref="AM38:AM39" si="68">Z38+AC38</f>
        <v>25000</v>
      </c>
      <c r="AN38" s="339">
        <f t="shared" ref="AN38:AN39" si="69">AA38+AD38</f>
        <v>0</v>
      </c>
      <c r="AO38" s="340">
        <f t="shared" ref="AO38:AO39" si="70">AM38-AN38</f>
        <v>25000</v>
      </c>
      <c r="AP38" s="336">
        <f t="shared" ref="AP38:AP39" si="71">Z38+AC38+AF38</f>
        <v>40000</v>
      </c>
      <c r="AQ38" s="339">
        <f t="shared" ref="AQ38:AQ39" si="72">AA38+AD38+AG38</f>
        <v>0</v>
      </c>
      <c r="AR38" s="340">
        <f t="shared" ref="AR38:AR39" si="73">AP38-AQ38</f>
        <v>40000</v>
      </c>
      <c r="AS38" s="341">
        <f t="shared" ref="AS38:AS39" si="74">Z38+AC38+AF38+AI38</f>
        <v>60000</v>
      </c>
      <c r="AT38" s="339">
        <f t="shared" ref="AT38:AT39" si="75">AA38+AD38+AG38+AJ38</f>
        <v>0</v>
      </c>
      <c r="AU38" s="340">
        <f t="shared" ref="AU38:AU39" si="76">AS38-AT38</f>
        <v>60000</v>
      </c>
      <c r="AV38" s="589">
        <f t="shared" si="25"/>
        <v>0</v>
      </c>
      <c r="AW38" s="343"/>
      <c r="AX38" s="344"/>
      <c r="AY38" s="345">
        <v>5000</v>
      </c>
      <c r="AZ38" s="344"/>
      <c r="BA38" s="345">
        <v>5000</v>
      </c>
      <c r="BB38" s="346"/>
      <c r="BC38" s="347">
        <v>5000</v>
      </c>
      <c r="BD38" s="348"/>
      <c r="BE38" s="349">
        <v>5000</v>
      </c>
      <c r="BF38" s="348"/>
      <c r="BG38" s="349">
        <v>5000</v>
      </c>
      <c r="BH38" s="350"/>
      <c r="BI38" s="351">
        <v>5000</v>
      </c>
      <c r="BJ38" s="352"/>
      <c r="BK38" s="337">
        <v>5000</v>
      </c>
      <c r="BL38" s="352"/>
      <c r="BM38" s="337">
        <v>5000</v>
      </c>
      <c r="BN38" s="353"/>
      <c r="BO38" s="354">
        <v>5000</v>
      </c>
      <c r="BP38" s="355"/>
      <c r="BQ38" s="356">
        <v>5000</v>
      </c>
      <c r="BR38" s="355"/>
      <c r="BS38" s="356">
        <f>5000*2</f>
        <v>10000</v>
      </c>
      <c r="BT38" s="357"/>
    </row>
    <row r="39" spans="1:72" s="313" customFormat="1" ht="38.25" outlineLevel="1">
      <c r="A39" s="287">
        <v>29</v>
      </c>
      <c r="B39" s="818"/>
      <c r="C39" s="840"/>
      <c r="D39" s="841"/>
      <c r="E39" s="839"/>
      <c r="F39" s="821" t="s">
        <v>7</v>
      </c>
      <c r="G39" s="314">
        <v>4</v>
      </c>
      <c r="H39" s="739" t="s">
        <v>71</v>
      </c>
      <c r="I39" s="739">
        <v>244</v>
      </c>
      <c r="J39" s="740">
        <v>222</v>
      </c>
      <c r="K39" s="533" t="s">
        <v>244</v>
      </c>
      <c r="L39" s="341">
        <v>77727.94</v>
      </c>
      <c r="M39" s="318"/>
      <c r="N39" s="318"/>
      <c r="O39" s="318">
        <f t="shared" si="26"/>
        <v>77727.94</v>
      </c>
      <c r="P39" s="559"/>
      <c r="Q39" s="336">
        <v>0</v>
      </c>
      <c r="R39" s="559"/>
      <c r="S39" s="336">
        <v>0</v>
      </c>
      <c r="T39" s="559"/>
      <c r="U39" s="335"/>
      <c r="V39" s="597" t="s">
        <v>459</v>
      </c>
      <c r="W39" s="597" t="s">
        <v>460</v>
      </c>
      <c r="X39" s="597" t="s">
        <v>461</v>
      </c>
      <c r="Z39" s="336">
        <f t="shared" si="56"/>
        <v>0</v>
      </c>
      <c r="AA39" s="337">
        <f t="shared" si="57"/>
        <v>0</v>
      </c>
      <c r="AB39" s="338">
        <f t="shared" si="58"/>
        <v>0</v>
      </c>
      <c r="AC39" s="336">
        <f t="shared" si="59"/>
        <v>40000</v>
      </c>
      <c r="AD39" s="337">
        <f t="shared" si="60"/>
        <v>0</v>
      </c>
      <c r="AE39" s="338">
        <f t="shared" si="61"/>
        <v>40000</v>
      </c>
      <c r="AF39" s="336">
        <f t="shared" si="62"/>
        <v>15000</v>
      </c>
      <c r="AG39" s="337">
        <f t="shared" si="63"/>
        <v>0</v>
      </c>
      <c r="AH39" s="338">
        <f t="shared" si="64"/>
        <v>15000</v>
      </c>
      <c r="AI39" s="336">
        <f t="shared" si="65"/>
        <v>22727.94</v>
      </c>
      <c r="AJ39" s="337">
        <f t="shared" si="66"/>
        <v>0</v>
      </c>
      <c r="AK39" s="338">
        <f t="shared" si="67"/>
        <v>22727.94</v>
      </c>
      <c r="AL39" s="342"/>
      <c r="AM39" s="336">
        <f t="shared" si="68"/>
        <v>40000</v>
      </c>
      <c r="AN39" s="339">
        <f t="shared" si="69"/>
        <v>0</v>
      </c>
      <c r="AO39" s="340">
        <f t="shared" si="70"/>
        <v>40000</v>
      </c>
      <c r="AP39" s="336">
        <f t="shared" si="71"/>
        <v>55000</v>
      </c>
      <c r="AQ39" s="339">
        <f t="shared" si="72"/>
        <v>0</v>
      </c>
      <c r="AR39" s="340">
        <f t="shared" si="73"/>
        <v>55000</v>
      </c>
      <c r="AS39" s="341">
        <f t="shared" si="74"/>
        <v>77727.94</v>
      </c>
      <c r="AT39" s="339">
        <f t="shared" si="75"/>
        <v>0</v>
      </c>
      <c r="AU39" s="340">
        <f t="shared" si="76"/>
        <v>77727.94</v>
      </c>
      <c r="AV39" s="589">
        <f t="shared" si="25"/>
        <v>0</v>
      </c>
      <c r="AW39" s="343"/>
      <c r="AX39" s="344"/>
      <c r="AY39" s="345"/>
      <c r="AZ39" s="344"/>
      <c r="BA39" s="345"/>
      <c r="BB39" s="346"/>
      <c r="BC39" s="347">
        <v>25000</v>
      </c>
      <c r="BD39" s="348"/>
      <c r="BE39" s="349">
        <v>15000</v>
      </c>
      <c r="BF39" s="348"/>
      <c r="BG39" s="349"/>
      <c r="BH39" s="350"/>
      <c r="BI39" s="351"/>
      <c r="BJ39" s="352"/>
      <c r="BK39" s="337">
        <v>15000</v>
      </c>
      <c r="BL39" s="352"/>
      <c r="BM39" s="337"/>
      <c r="BN39" s="353"/>
      <c r="BO39" s="354"/>
      <c r="BP39" s="355"/>
      <c r="BQ39" s="356"/>
      <c r="BR39" s="355"/>
      <c r="BS39" s="356">
        <v>22727.94</v>
      </c>
      <c r="BT39" s="357"/>
    </row>
    <row r="40" spans="1:72" s="358" customFormat="1" ht="31.5" customHeight="1">
      <c r="A40" s="287">
        <v>30</v>
      </c>
      <c r="B40" s="818"/>
      <c r="C40" s="850" t="s">
        <v>377</v>
      </c>
      <c r="D40" s="838"/>
      <c r="E40" s="836" t="s">
        <v>201</v>
      </c>
      <c r="F40" s="820" t="s">
        <v>7</v>
      </c>
      <c r="G40" s="360">
        <v>4</v>
      </c>
      <c r="H40" s="360" t="s">
        <v>71</v>
      </c>
      <c r="I40" s="360">
        <v>244</v>
      </c>
      <c r="J40" s="361">
        <v>223</v>
      </c>
      <c r="K40" s="532" t="s">
        <v>13</v>
      </c>
      <c r="L40" s="367">
        <f>SUM(L41:L42)</f>
        <v>1044506.81</v>
      </c>
      <c r="M40" s="363"/>
      <c r="N40" s="363"/>
      <c r="O40" s="363">
        <f t="shared" si="26"/>
        <v>1044506.81</v>
      </c>
      <c r="P40" s="557"/>
      <c r="Q40" s="367">
        <f>SUM(Q41:Q42)</f>
        <v>1121133.8700000001</v>
      </c>
      <c r="R40" s="557"/>
      <c r="S40" s="367">
        <f>SUM(S41:S42)</f>
        <v>1129802.1399999999</v>
      </c>
      <c r="T40" s="557"/>
      <c r="U40" s="365"/>
      <c r="V40" s="366"/>
      <c r="W40" s="366"/>
      <c r="X40" s="366"/>
      <c r="Z40" s="367">
        <f t="shared" si="5"/>
        <v>255340</v>
      </c>
      <c r="AA40" s="363">
        <f t="shared" si="6"/>
        <v>0</v>
      </c>
      <c r="AB40" s="280">
        <f t="shared" si="7"/>
        <v>255340</v>
      </c>
      <c r="AC40" s="367">
        <f t="shared" si="8"/>
        <v>278010</v>
      </c>
      <c r="AD40" s="363">
        <f t="shared" si="9"/>
        <v>0</v>
      </c>
      <c r="AE40" s="280">
        <f t="shared" si="10"/>
        <v>278010</v>
      </c>
      <c r="AF40" s="367">
        <f t="shared" si="11"/>
        <v>168010</v>
      </c>
      <c r="AG40" s="363">
        <f t="shared" si="12"/>
        <v>0</v>
      </c>
      <c r="AH40" s="280">
        <f t="shared" si="13"/>
        <v>168010</v>
      </c>
      <c r="AI40" s="367">
        <f t="shared" si="14"/>
        <v>343146.81</v>
      </c>
      <c r="AJ40" s="363">
        <f t="shared" si="15"/>
        <v>0</v>
      </c>
      <c r="AK40" s="280">
        <f t="shared" si="16"/>
        <v>343146.81</v>
      </c>
      <c r="AL40" s="368"/>
      <c r="AM40" s="367">
        <f t="shared" si="17"/>
        <v>533350</v>
      </c>
      <c r="AN40" s="363">
        <f t="shared" si="18"/>
        <v>0</v>
      </c>
      <c r="AO40" s="280">
        <f t="shared" si="19"/>
        <v>533350</v>
      </c>
      <c r="AP40" s="367">
        <f t="shared" si="20"/>
        <v>701360</v>
      </c>
      <c r="AQ40" s="363">
        <f t="shared" si="21"/>
        <v>0</v>
      </c>
      <c r="AR40" s="280">
        <f t="shared" si="22"/>
        <v>701360</v>
      </c>
      <c r="AS40" s="367">
        <f t="shared" si="27"/>
        <v>1044506.81</v>
      </c>
      <c r="AT40" s="363">
        <f t="shared" si="23"/>
        <v>0</v>
      </c>
      <c r="AU40" s="280">
        <f t="shared" si="24"/>
        <v>1044506.81</v>
      </c>
      <c r="AV40" s="588">
        <f t="shared" si="25"/>
        <v>0</v>
      </c>
      <c r="AW40" s="367">
        <f t="shared" ref="AW40:BT40" si="77">SUM(AW41:AW42)</f>
        <v>0</v>
      </c>
      <c r="AX40" s="363">
        <f t="shared" si="77"/>
        <v>0</v>
      </c>
      <c r="AY40" s="363">
        <f t="shared" si="77"/>
        <v>132670</v>
      </c>
      <c r="AZ40" s="363">
        <f t="shared" si="77"/>
        <v>0</v>
      </c>
      <c r="BA40" s="363">
        <f t="shared" si="77"/>
        <v>122670</v>
      </c>
      <c r="BB40" s="369">
        <f t="shared" si="77"/>
        <v>0</v>
      </c>
      <c r="BC40" s="367">
        <f t="shared" si="77"/>
        <v>112670</v>
      </c>
      <c r="BD40" s="363">
        <f t="shared" si="77"/>
        <v>0</v>
      </c>
      <c r="BE40" s="363">
        <f t="shared" si="77"/>
        <v>102670</v>
      </c>
      <c r="BF40" s="363">
        <f t="shared" si="77"/>
        <v>0</v>
      </c>
      <c r="BG40" s="363">
        <f t="shared" si="77"/>
        <v>62670</v>
      </c>
      <c r="BH40" s="369">
        <f t="shared" si="77"/>
        <v>0</v>
      </c>
      <c r="BI40" s="367">
        <f t="shared" si="77"/>
        <v>62670</v>
      </c>
      <c r="BJ40" s="363">
        <f t="shared" si="77"/>
        <v>0</v>
      </c>
      <c r="BK40" s="363">
        <f t="shared" si="77"/>
        <v>52670</v>
      </c>
      <c r="BL40" s="363">
        <f t="shared" si="77"/>
        <v>0</v>
      </c>
      <c r="BM40" s="363">
        <f t="shared" si="77"/>
        <v>52670</v>
      </c>
      <c r="BN40" s="369">
        <f t="shared" si="77"/>
        <v>0</v>
      </c>
      <c r="BO40" s="367">
        <f t="shared" si="77"/>
        <v>82670</v>
      </c>
      <c r="BP40" s="363">
        <f t="shared" si="77"/>
        <v>0</v>
      </c>
      <c r="BQ40" s="363">
        <f t="shared" si="77"/>
        <v>122670</v>
      </c>
      <c r="BR40" s="363">
        <f t="shared" si="77"/>
        <v>0</v>
      </c>
      <c r="BS40" s="363">
        <f t="shared" si="77"/>
        <v>137806.81</v>
      </c>
      <c r="BT40" s="280">
        <f t="shared" si="77"/>
        <v>0</v>
      </c>
    </row>
    <row r="41" spans="1:72" s="313" customFormat="1" ht="25.5" outlineLevel="1">
      <c r="A41" s="287">
        <v>31</v>
      </c>
      <c r="B41" s="818"/>
      <c r="C41" s="840"/>
      <c r="D41" s="841"/>
      <c r="E41" s="839"/>
      <c r="F41" s="821" t="s">
        <v>7</v>
      </c>
      <c r="G41" s="314">
        <v>4</v>
      </c>
      <c r="H41" s="739" t="s">
        <v>71</v>
      </c>
      <c r="I41" s="806">
        <v>244</v>
      </c>
      <c r="J41" s="740">
        <v>223</v>
      </c>
      <c r="K41" s="533" t="s">
        <v>246</v>
      </c>
      <c r="L41" s="341">
        <v>1016987.56</v>
      </c>
      <c r="M41" s="318"/>
      <c r="N41" s="318"/>
      <c r="O41" s="318">
        <f t="shared" si="26"/>
        <v>1016987.56</v>
      </c>
      <c r="P41" s="559"/>
      <c r="Q41" s="336">
        <v>1092480.0900000001</v>
      </c>
      <c r="R41" s="559"/>
      <c r="S41" s="336">
        <v>1100951.1299999999</v>
      </c>
      <c r="T41" s="559"/>
      <c r="U41" s="335"/>
      <c r="V41" s="596" t="s">
        <v>444</v>
      </c>
      <c r="W41" s="610" t="s">
        <v>443</v>
      </c>
      <c r="X41" s="597" t="s">
        <v>381</v>
      </c>
      <c r="Z41" s="336">
        <f t="shared" si="5"/>
        <v>250000</v>
      </c>
      <c r="AA41" s="337">
        <f t="shared" si="6"/>
        <v>0</v>
      </c>
      <c r="AB41" s="338">
        <f t="shared" si="7"/>
        <v>250000</v>
      </c>
      <c r="AC41" s="336">
        <f t="shared" si="8"/>
        <v>270000</v>
      </c>
      <c r="AD41" s="337">
        <f t="shared" si="9"/>
        <v>0</v>
      </c>
      <c r="AE41" s="338">
        <f t="shared" si="10"/>
        <v>270000</v>
      </c>
      <c r="AF41" s="336">
        <f t="shared" si="11"/>
        <v>160000</v>
      </c>
      <c r="AG41" s="337">
        <f t="shared" si="12"/>
        <v>0</v>
      </c>
      <c r="AH41" s="338">
        <f t="shared" si="13"/>
        <v>160000</v>
      </c>
      <c r="AI41" s="336">
        <f t="shared" si="14"/>
        <v>336987.56</v>
      </c>
      <c r="AJ41" s="337">
        <f t="shared" si="15"/>
        <v>0</v>
      </c>
      <c r="AK41" s="338">
        <f t="shared" si="16"/>
        <v>336987.56</v>
      </c>
      <c r="AL41" s="342"/>
      <c r="AM41" s="336">
        <f t="shared" si="17"/>
        <v>520000</v>
      </c>
      <c r="AN41" s="339">
        <f t="shared" si="18"/>
        <v>0</v>
      </c>
      <c r="AO41" s="340">
        <f t="shared" si="19"/>
        <v>520000</v>
      </c>
      <c r="AP41" s="336">
        <f t="shared" si="20"/>
        <v>680000</v>
      </c>
      <c r="AQ41" s="339">
        <f t="shared" si="21"/>
        <v>0</v>
      </c>
      <c r="AR41" s="340">
        <f t="shared" si="22"/>
        <v>680000</v>
      </c>
      <c r="AS41" s="341">
        <f t="shared" si="27"/>
        <v>1016987.56</v>
      </c>
      <c r="AT41" s="339">
        <f t="shared" si="23"/>
        <v>0</v>
      </c>
      <c r="AU41" s="340">
        <f t="shared" si="24"/>
        <v>1016987.56</v>
      </c>
      <c r="AV41" s="589">
        <f t="shared" si="25"/>
        <v>0</v>
      </c>
      <c r="AW41" s="343"/>
      <c r="AX41" s="344"/>
      <c r="AY41" s="345">
        <v>130000</v>
      </c>
      <c r="AZ41" s="344"/>
      <c r="BA41" s="345">
        <v>120000</v>
      </c>
      <c r="BB41" s="346"/>
      <c r="BC41" s="347">
        <v>110000</v>
      </c>
      <c r="BD41" s="348"/>
      <c r="BE41" s="349">
        <v>100000</v>
      </c>
      <c r="BF41" s="348"/>
      <c r="BG41" s="349">
        <v>60000</v>
      </c>
      <c r="BH41" s="350"/>
      <c r="BI41" s="351">
        <v>60000</v>
      </c>
      <c r="BJ41" s="352"/>
      <c r="BK41" s="337">
        <v>50000</v>
      </c>
      <c r="BL41" s="352"/>
      <c r="BM41" s="337">
        <v>50000</v>
      </c>
      <c r="BN41" s="353"/>
      <c r="BO41" s="354">
        <v>80000</v>
      </c>
      <c r="BP41" s="355"/>
      <c r="BQ41" s="356">
        <v>120000</v>
      </c>
      <c r="BR41" s="355"/>
      <c r="BS41" s="356">
        <f>130000+6987.56</f>
        <v>136987.56</v>
      </c>
      <c r="BT41" s="357"/>
    </row>
    <row r="42" spans="1:72" s="313" customFormat="1" ht="25.5" outlineLevel="1">
      <c r="A42" s="287">
        <v>32</v>
      </c>
      <c r="B42" s="818"/>
      <c r="C42" s="840"/>
      <c r="D42" s="841"/>
      <c r="E42" s="839"/>
      <c r="F42" s="821" t="s">
        <v>7</v>
      </c>
      <c r="G42" s="314">
        <v>4</v>
      </c>
      <c r="H42" s="739" t="s">
        <v>71</v>
      </c>
      <c r="I42" s="739">
        <v>244</v>
      </c>
      <c r="J42" s="740">
        <v>223</v>
      </c>
      <c r="K42" s="533" t="s">
        <v>252</v>
      </c>
      <c r="L42" s="341">
        <v>27519.25</v>
      </c>
      <c r="M42" s="318"/>
      <c r="N42" s="318"/>
      <c r="O42" s="318">
        <f t="shared" si="26"/>
        <v>27519.25</v>
      </c>
      <c r="P42" s="559"/>
      <c r="Q42" s="336">
        <v>28653.78</v>
      </c>
      <c r="R42" s="559"/>
      <c r="S42" s="336">
        <v>28851.01</v>
      </c>
      <c r="T42" s="559"/>
      <c r="U42" s="335"/>
      <c r="V42" s="596" t="s">
        <v>444</v>
      </c>
      <c r="W42" s="610" t="s">
        <v>443</v>
      </c>
      <c r="X42" s="597" t="s">
        <v>381</v>
      </c>
      <c r="Z42" s="336">
        <f t="shared" si="5"/>
        <v>5340</v>
      </c>
      <c r="AA42" s="337">
        <f t="shared" si="6"/>
        <v>0</v>
      </c>
      <c r="AB42" s="338">
        <f t="shared" si="7"/>
        <v>5340</v>
      </c>
      <c r="AC42" s="336">
        <f t="shared" si="8"/>
        <v>8010</v>
      </c>
      <c r="AD42" s="337">
        <f t="shared" si="9"/>
        <v>0</v>
      </c>
      <c r="AE42" s="338">
        <f t="shared" si="10"/>
        <v>8010</v>
      </c>
      <c r="AF42" s="336">
        <f t="shared" si="11"/>
        <v>8010</v>
      </c>
      <c r="AG42" s="337">
        <f t="shared" si="12"/>
        <v>0</v>
      </c>
      <c r="AH42" s="338">
        <f t="shared" si="13"/>
        <v>8010</v>
      </c>
      <c r="AI42" s="336">
        <f t="shared" si="14"/>
        <v>6159.25</v>
      </c>
      <c r="AJ42" s="337">
        <f t="shared" si="15"/>
        <v>0</v>
      </c>
      <c r="AK42" s="338">
        <f t="shared" si="16"/>
        <v>6159.25</v>
      </c>
      <c r="AL42" s="342"/>
      <c r="AM42" s="336">
        <f t="shared" si="17"/>
        <v>13350</v>
      </c>
      <c r="AN42" s="339">
        <f t="shared" si="18"/>
        <v>0</v>
      </c>
      <c r="AO42" s="340">
        <f t="shared" si="19"/>
        <v>13350</v>
      </c>
      <c r="AP42" s="336">
        <f t="shared" si="20"/>
        <v>21360</v>
      </c>
      <c r="AQ42" s="339">
        <f t="shared" si="21"/>
        <v>0</v>
      </c>
      <c r="AR42" s="340">
        <f t="shared" si="22"/>
        <v>21360</v>
      </c>
      <c r="AS42" s="341">
        <f t="shared" si="27"/>
        <v>27519.25</v>
      </c>
      <c r="AT42" s="339">
        <f t="shared" si="23"/>
        <v>0</v>
      </c>
      <c r="AU42" s="340">
        <f t="shared" si="24"/>
        <v>27519.25</v>
      </c>
      <c r="AV42" s="589">
        <f t="shared" si="25"/>
        <v>0</v>
      </c>
      <c r="AW42" s="343"/>
      <c r="AX42" s="344"/>
      <c r="AY42" s="345">
        <v>2670</v>
      </c>
      <c r="AZ42" s="344"/>
      <c r="BA42" s="345">
        <v>2670</v>
      </c>
      <c r="BB42" s="346"/>
      <c r="BC42" s="347">
        <v>2670</v>
      </c>
      <c r="BD42" s="348"/>
      <c r="BE42" s="349">
        <v>2670</v>
      </c>
      <c r="BF42" s="348"/>
      <c r="BG42" s="349">
        <v>2670</v>
      </c>
      <c r="BH42" s="350"/>
      <c r="BI42" s="351">
        <v>2670</v>
      </c>
      <c r="BJ42" s="352"/>
      <c r="BK42" s="337">
        <v>2670</v>
      </c>
      <c r="BL42" s="352"/>
      <c r="BM42" s="337">
        <v>2670</v>
      </c>
      <c r="BN42" s="353"/>
      <c r="BO42" s="354">
        <v>2670</v>
      </c>
      <c r="BP42" s="355"/>
      <c r="BQ42" s="356">
        <v>2670</v>
      </c>
      <c r="BR42" s="355"/>
      <c r="BS42" s="356">
        <v>819.25</v>
      </c>
      <c r="BT42" s="357"/>
    </row>
    <row r="43" spans="1:72" s="358" customFormat="1" ht="31.5" customHeight="1">
      <c r="A43" s="287">
        <v>33</v>
      </c>
      <c r="B43" s="818"/>
      <c r="C43" s="850" t="s">
        <v>377</v>
      </c>
      <c r="D43" s="838"/>
      <c r="E43" s="836" t="s">
        <v>201</v>
      </c>
      <c r="F43" s="820" t="s">
        <v>7</v>
      </c>
      <c r="G43" s="360">
        <v>4</v>
      </c>
      <c r="H43" s="360" t="s">
        <v>71</v>
      </c>
      <c r="I43" s="360">
        <v>244</v>
      </c>
      <c r="J43" s="361">
        <v>224</v>
      </c>
      <c r="K43" s="532" t="s">
        <v>151</v>
      </c>
      <c r="L43" s="544">
        <f>L44</f>
        <v>12428476.800000001</v>
      </c>
      <c r="M43" s="363"/>
      <c r="N43" s="363"/>
      <c r="O43" s="363">
        <f t="shared" si="26"/>
        <v>12428476.800000001</v>
      </c>
      <c r="P43" s="557">
        <f>12428476.8-L43</f>
        <v>0</v>
      </c>
      <c r="Q43" s="544">
        <f>Q44</f>
        <v>3668142.76</v>
      </c>
      <c r="R43" s="557"/>
      <c r="S43" s="544">
        <f t="shared" ref="S43" si="78">S44</f>
        <v>3648174.72</v>
      </c>
      <c r="T43" s="557"/>
      <c r="U43" s="365"/>
      <c r="V43" s="366"/>
      <c r="W43" s="366"/>
      <c r="X43" s="366"/>
      <c r="Z43" s="367">
        <f>AW43+AY43+BA43</f>
        <v>2071412.8</v>
      </c>
      <c r="AA43" s="363">
        <f>AX43+AZ43+BB43</f>
        <v>0</v>
      </c>
      <c r="AB43" s="280">
        <f>Z43-AA43</f>
        <v>2071412.8</v>
      </c>
      <c r="AC43" s="367">
        <f>BC43+BE43+BG43</f>
        <v>3107119.2</v>
      </c>
      <c r="AD43" s="363">
        <f>BD43+BF43+BH43</f>
        <v>0</v>
      </c>
      <c r="AE43" s="280">
        <f>AC43-AD43</f>
        <v>3107119.2</v>
      </c>
      <c r="AF43" s="367">
        <f>BI43+BK43+BM43</f>
        <v>3107119.2</v>
      </c>
      <c r="AG43" s="363">
        <f>BJ43+BL43+BN43</f>
        <v>0</v>
      </c>
      <c r="AH43" s="280">
        <f>AF43-AG43</f>
        <v>3107119.2</v>
      </c>
      <c r="AI43" s="367">
        <f>BO43+BQ43+BS43</f>
        <v>0</v>
      </c>
      <c r="AJ43" s="363">
        <f>BP43+BR43+BT43</f>
        <v>0</v>
      </c>
      <c r="AK43" s="280">
        <f>AI43-AJ43</f>
        <v>0</v>
      </c>
      <c r="AL43" s="368"/>
      <c r="AM43" s="367">
        <f>Z43+AC43</f>
        <v>5178532</v>
      </c>
      <c r="AN43" s="363">
        <f>AA43+AD43</f>
        <v>0</v>
      </c>
      <c r="AO43" s="280">
        <f>AM43-AN43</f>
        <v>5178532</v>
      </c>
      <c r="AP43" s="367">
        <f>Z43+AC43+AF43</f>
        <v>8285651.2000000002</v>
      </c>
      <c r="AQ43" s="363">
        <f>AA43+AD43+AG43</f>
        <v>0</v>
      </c>
      <c r="AR43" s="280">
        <f>AP43-AQ43</f>
        <v>8285651.2000000002</v>
      </c>
      <c r="AS43" s="367">
        <f>Z43+AC43+AF43+AI43</f>
        <v>8285651.2000000002</v>
      </c>
      <c r="AT43" s="363">
        <f>AA43+AD43+AG43+AJ43</f>
        <v>0</v>
      </c>
      <c r="AU43" s="280">
        <f>AS43-AT43</f>
        <v>8285651.2000000002</v>
      </c>
      <c r="AV43" s="588">
        <f t="shared" si="25"/>
        <v>4142825.6</v>
      </c>
      <c r="AW43" s="367">
        <f t="shared" ref="AW43:BT43" si="79">AW44</f>
        <v>0</v>
      </c>
      <c r="AX43" s="363">
        <f t="shared" si="79"/>
        <v>0</v>
      </c>
      <c r="AY43" s="363">
        <f t="shared" si="79"/>
        <v>1035706.4</v>
      </c>
      <c r="AZ43" s="363">
        <f t="shared" si="79"/>
        <v>0</v>
      </c>
      <c r="BA43" s="363">
        <f t="shared" si="79"/>
        <v>1035706.4</v>
      </c>
      <c r="BB43" s="369">
        <f t="shared" si="79"/>
        <v>0</v>
      </c>
      <c r="BC43" s="367">
        <f t="shared" si="79"/>
        <v>1035706.4</v>
      </c>
      <c r="BD43" s="363">
        <f t="shared" si="79"/>
        <v>0</v>
      </c>
      <c r="BE43" s="363">
        <f t="shared" si="79"/>
        <v>1035706.4</v>
      </c>
      <c r="BF43" s="363">
        <f t="shared" si="79"/>
        <v>0</v>
      </c>
      <c r="BG43" s="363">
        <f t="shared" si="79"/>
        <v>1035706.4</v>
      </c>
      <c r="BH43" s="369">
        <f t="shared" si="79"/>
        <v>0</v>
      </c>
      <c r="BI43" s="367">
        <f t="shared" si="79"/>
        <v>1035706.4</v>
      </c>
      <c r="BJ43" s="363">
        <f t="shared" si="79"/>
        <v>0</v>
      </c>
      <c r="BK43" s="363">
        <f t="shared" si="79"/>
        <v>1035706.4</v>
      </c>
      <c r="BL43" s="363">
        <f t="shared" si="79"/>
        <v>0</v>
      </c>
      <c r="BM43" s="363">
        <f t="shared" si="79"/>
        <v>1035706.4</v>
      </c>
      <c r="BN43" s="369">
        <f t="shared" si="79"/>
        <v>0</v>
      </c>
      <c r="BO43" s="367">
        <f t="shared" si="79"/>
        <v>0</v>
      </c>
      <c r="BP43" s="363">
        <f t="shared" si="79"/>
        <v>0</v>
      </c>
      <c r="BQ43" s="363">
        <f t="shared" si="79"/>
        <v>0</v>
      </c>
      <c r="BR43" s="363">
        <f t="shared" si="79"/>
        <v>0</v>
      </c>
      <c r="BS43" s="363">
        <f t="shared" si="79"/>
        <v>0</v>
      </c>
      <c r="BT43" s="280">
        <f t="shared" si="79"/>
        <v>0</v>
      </c>
    </row>
    <row r="44" spans="1:72" s="313" customFormat="1" ht="38.25" outlineLevel="1">
      <c r="A44" s="287">
        <v>34</v>
      </c>
      <c r="B44" s="818"/>
      <c r="C44" s="840"/>
      <c r="D44" s="841"/>
      <c r="E44" s="839"/>
      <c r="F44" s="821" t="s">
        <v>7</v>
      </c>
      <c r="G44" s="314">
        <v>4</v>
      </c>
      <c r="H44" s="739" t="s">
        <v>71</v>
      </c>
      <c r="I44" s="739">
        <v>244</v>
      </c>
      <c r="J44" s="740">
        <v>224</v>
      </c>
      <c r="K44" s="533" t="s">
        <v>264</v>
      </c>
      <c r="L44" s="509">
        <v>12428476.800000001</v>
      </c>
      <c r="M44" s="318"/>
      <c r="N44" s="318"/>
      <c r="O44" s="318">
        <f t="shared" si="26"/>
        <v>12428476.800000001</v>
      </c>
      <c r="P44" s="559"/>
      <c r="Q44" s="509">
        <v>3668142.76</v>
      </c>
      <c r="R44" s="560"/>
      <c r="S44" s="509">
        <v>3648174.72</v>
      </c>
      <c r="T44" s="559"/>
      <c r="U44" s="335"/>
      <c r="V44" s="597" t="s">
        <v>265</v>
      </c>
      <c r="W44" s="597" t="s">
        <v>414</v>
      </c>
      <c r="X44" s="597" t="s">
        <v>417</v>
      </c>
      <c r="Z44" s="336">
        <f>AW44+AY44+BA44</f>
        <v>2071412.8</v>
      </c>
      <c r="AA44" s="337">
        <f>AX44+AZ44+BB44</f>
        <v>0</v>
      </c>
      <c r="AB44" s="338">
        <f>Z44-AA44</f>
        <v>2071412.8</v>
      </c>
      <c r="AC44" s="336">
        <f>BC44+BE44+BG44</f>
        <v>3107119.2</v>
      </c>
      <c r="AD44" s="337">
        <f>BD44+BF44+BH44</f>
        <v>0</v>
      </c>
      <c r="AE44" s="338">
        <f>AC44-AD44</f>
        <v>3107119.2</v>
      </c>
      <c r="AF44" s="336">
        <f>BI44+BK44+BM44</f>
        <v>3107119.2</v>
      </c>
      <c r="AG44" s="337">
        <f>BJ44+BL44+BN44</f>
        <v>0</v>
      </c>
      <c r="AH44" s="338">
        <f>AF44-AG44</f>
        <v>3107119.2</v>
      </c>
      <c r="AI44" s="336">
        <f>BO44+BQ44+BS44</f>
        <v>0</v>
      </c>
      <c r="AJ44" s="337">
        <f>BP44+BR44+BT44</f>
        <v>0</v>
      </c>
      <c r="AK44" s="338">
        <f>AI44-AJ44</f>
        <v>0</v>
      </c>
      <c r="AL44" s="342"/>
      <c r="AM44" s="336">
        <f>Z44+AC44</f>
        <v>5178532</v>
      </c>
      <c r="AN44" s="339">
        <f>AA44+AD44</f>
        <v>0</v>
      </c>
      <c r="AO44" s="340">
        <f>AM44-AN44</f>
        <v>5178532</v>
      </c>
      <c r="AP44" s="336">
        <f>Z44+AC44+AF44</f>
        <v>8285651.2000000002</v>
      </c>
      <c r="AQ44" s="339">
        <f>AA44+AD44+AG44</f>
        <v>0</v>
      </c>
      <c r="AR44" s="340">
        <f>AP44-AQ44</f>
        <v>8285651.2000000002</v>
      </c>
      <c r="AS44" s="341">
        <f>Z44+AC44+AF44+AI44</f>
        <v>8285651.2000000002</v>
      </c>
      <c r="AT44" s="339">
        <f>AA44+AD44+AG44+AJ44</f>
        <v>0</v>
      </c>
      <c r="AU44" s="340">
        <f>AS44-AT44</f>
        <v>8285651.2000000002</v>
      </c>
      <c r="AV44" s="589">
        <f t="shared" si="25"/>
        <v>4142825.6</v>
      </c>
      <c r="AW44" s="343"/>
      <c r="AX44" s="344"/>
      <c r="AY44" s="345">
        <v>1035706.4</v>
      </c>
      <c r="AZ44" s="344"/>
      <c r="BA44" s="345">
        <v>1035706.4</v>
      </c>
      <c r="BB44" s="346"/>
      <c r="BC44" s="347">
        <v>1035706.4</v>
      </c>
      <c r="BD44" s="348"/>
      <c r="BE44" s="349">
        <v>1035706.4</v>
      </c>
      <c r="BF44" s="348"/>
      <c r="BG44" s="349">
        <v>1035706.4</v>
      </c>
      <c r="BH44" s="350"/>
      <c r="BI44" s="351">
        <v>1035706.4</v>
      </c>
      <c r="BJ44" s="352"/>
      <c r="BK44" s="337">
        <v>1035706.4</v>
      </c>
      <c r="BL44" s="352"/>
      <c r="BM44" s="337">
        <v>1035706.4</v>
      </c>
      <c r="BN44" s="353"/>
      <c r="BO44" s="354"/>
      <c r="BP44" s="355"/>
      <c r="BQ44" s="356"/>
      <c r="BR44" s="355"/>
      <c r="BS44" s="356"/>
      <c r="BT44" s="357"/>
    </row>
    <row r="45" spans="1:72" s="358" customFormat="1" ht="31.5" customHeight="1">
      <c r="A45" s="287">
        <v>35</v>
      </c>
      <c r="B45" s="818"/>
      <c r="C45" s="850" t="s">
        <v>377</v>
      </c>
      <c r="D45" s="838" t="s">
        <v>206</v>
      </c>
      <c r="E45" s="836" t="s">
        <v>201</v>
      </c>
      <c r="F45" s="820" t="s">
        <v>7</v>
      </c>
      <c r="G45" s="360">
        <v>4</v>
      </c>
      <c r="H45" s="360" t="s">
        <v>71</v>
      </c>
      <c r="I45" s="360">
        <v>244</v>
      </c>
      <c r="J45" s="361">
        <v>225</v>
      </c>
      <c r="K45" s="532" t="s">
        <v>149</v>
      </c>
      <c r="L45" s="367">
        <f>SUM(L46:L48)</f>
        <v>77583.179999999993</v>
      </c>
      <c r="M45" s="363"/>
      <c r="N45" s="363"/>
      <c r="O45" s="363">
        <f t="shared" si="26"/>
        <v>77583.179999999993</v>
      </c>
      <c r="P45" s="557"/>
      <c r="Q45" s="367">
        <f>SUM(Q46:Q48)</f>
        <v>81611.22</v>
      </c>
      <c r="R45" s="557"/>
      <c r="S45" s="367">
        <f>SUM(S46:S48)</f>
        <v>81611.22</v>
      </c>
      <c r="T45" s="557"/>
      <c r="U45" s="365"/>
      <c r="V45" s="366"/>
      <c r="W45" s="366"/>
      <c r="X45" s="366"/>
      <c r="Z45" s="367">
        <f t="shared" si="5"/>
        <v>16380.54</v>
      </c>
      <c r="AA45" s="363">
        <f t="shared" si="6"/>
        <v>0</v>
      </c>
      <c r="AB45" s="280">
        <f t="shared" si="7"/>
        <v>16380.54</v>
      </c>
      <c r="AC45" s="367">
        <f t="shared" si="8"/>
        <v>30570.81</v>
      </c>
      <c r="AD45" s="363">
        <f t="shared" si="9"/>
        <v>0</v>
      </c>
      <c r="AE45" s="280">
        <f t="shared" si="10"/>
        <v>30570.81</v>
      </c>
      <c r="AF45" s="367">
        <f t="shared" si="11"/>
        <v>7570.81</v>
      </c>
      <c r="AG45" s="363">
        <f t="shared" si="12"/>
        <v>0</v>
      </c>
      <c r="AH45" s="280">
        <f t="shared" si="13"/>
        <v>7570.81</v>
      </c>
      <c r="AI45" s="367">
        <f t="shared" si="14"/>
        <v>20761.080000000002</v>
      </c>
      <c r="AJ45" s="363">
        <f t="shared" si="15"/>
        <v>0</v>
      </c>
      <c r="AK45" s="280">
        <f t="shared" si="16"/>
        <v>20761.080000000002</v>
      </c>
      <c r="AL45" s="368"/>
      <c r="AM45" s="367">
        <f t="shared" si="17"/>
        <v>46951.35</v>
      </c>
      <c r="AN45" s="363">
        <f t="shared" si="18"/>
        <v>0</v>
      </c>
      <c r="AO45" s="280">
        <f t="shared" si="19"/>
        <v>46951.35</v>
      </c>
      <c r="AP45" s="367">
        <f t="shared" si="20"/>
        <v>54522.16</v>
      </c>
      <c r="AQ45" s="363">
        <f t="shared" si="21"/>
        <v>0</v>
      </c>
      <c r="AR45" s="280">
        <f t="shared" si="22"/>
        <v>54522.16</v>
      </c>
      <c r="AS45" s="367">
        <f t="shared" si="27"/>
        <v>75283.240000000005</v>
      </c>
      <c r="AT45" s="363">
        <f t="shared" si="23"/>
        <v>0</v>
      </c>
      <c r="AU45" s="280">
        <f t="shared" si="24"/>
        <v>75283.240000000005</v>
      </c>
      <c r="AV45" s="588">
        <f t="shared" ref="AV45:AV76" si="80">L45-AS45</f>
        <v>2299.94</v>
      </c>
      <c r="AW45" s="367">
        <f t="shared" ref="AW45:BT45" si="81">SUM(AW46:AW48)</f>
        <v>0</v>
      </c>
      <c r="AX45" s="363">
        <f t="shared" si="81"/>
        <v>0</v>
      </c>
      <c r="AY45" s="363">
        <f t="shared" si="81"/>
        <v>6190.27</v>
      </c>
      <c r="AZ45" s="363">
        <f t="shared" si="81"/>
        <v>0</v>
      </c>
      <c r="BA45" s="363">
        <f t="shared" si="81"/>
        <v>10190.27</v>
      </c>
      <c r="BB45" s="369">
        <f t="shared" si="81"/>
        <v>0</v>
      </c>
      <c r="BC45" s="367">
        <f t="shared" si="81"/>
        <v>10190.27</v>
      </c>
      <c r="BD45" s="363">
        <f t="shared" si="81"/>
        <v>0</v>
      </c>
      <c r="BE45" s="363">
        <f t="shared" si="81"/>
        <v>10190.27</v>
      </c>
      <c r="BF45" s="363">
        <f t="shared" si="81"/>
        <v>0</v>
      </c>
      <c r="BG45" s="363">
        <f t="shared" si="81"/>
        <v>10190.27</v>
      </c>
      <c r="BH45" s="369">
        <f t="shared" si="81"/>
        <v>0</v>
      </c>
      <c r="BI45" s="367">
        <f t="shared" si="81"/>
        <v>5190.2700000000004</v>
      </c>
      <c r="BJ45" s="363">
        <f t="shared" si="81"/>
        <v>0</v>
      </c>
      <c r="BK45" s="363">
        <f t="shared" si="81"/>
        <v>1190.27</v>
      </c>
      <c r="BL45" s="363">
        <f t="shared" si="81"/>
        <v>0</v>
      </c>
      <c r="BM45" s="363">
        <f t="shared" si="81"/>
        <v>1190.27</v>
      </c>
      <c r="BN45" s="369">
        <f t="shared" si="81"/>
        <v>0</v>
      </c>
      <c r="BO45" s="367">
        <f t="shared" si="81"/>
        <v>5190.2700000000004</v>
      </c>
      <c r="BP45" s="363">
        <f t="shared" si="81"/>
        <v>0</v>
      </c>
      <c r="BQ45" s="363">
        <f t="shared" si="81"/>
        <v>5190.2700000000004</v>
      </c>
      <c r="BR45" s="363">
        <f t="shared" si="81"/>
        <v>0</v>
      </c>
      <c r="BS45" s="363">
        <f t="shared" si="81"/>
        <v>10380.540000000001</v>
      </c>
      <c r="BT45" s="280">
        <f t="shared" si="81"/>
        <v>0</v>
      </c>
    </row>
    <row r="46" spans="1:72" s="313" customFormat="1" ht="63.75" outlineLevel="1">
      <c r="A46" s="287">
        <v>36</v>
      </c>
      <c r="B46" s="818"/>
      <c r="C46" s="840"/>
      <c r="D46" s="853" t="s">
        <v>259</v>
      </c>
      <c r="E46" s="839"/>
      <c r="F46" s="821" t="s">
        <v>7</v>
      </c>
      <c r="G46" s="314">
        <v>4</v>
      </c>
      <c r="H46" s="739" t="s">
        <v>71</v>
      </c>
      <c r="I46" s="739">
        <v>244</v>
      </c>
      <c r="J46" s="740">
        <v>225</v>
      </c>
      <c r="K46" s="533" t="s">
        <v>262</v>
      </c>
      <c r="L46" s="341">
        <f>18311.28-4028.04</f>
        <v>14283.24</v>
      </c>
      <c r="M46" s="318"/>
      <c r="N46" s="318"/>
      <c r="O46" s="318">
        <f t="shared" si="26"/>
        <v>14283.24</v>
      </c>
      <c r="P46" s="559"/>
      <c r="Q46" s="341">
        <v>18311.28</v>
      </c>
      <c r="R46" s="559"/>
      <c r="S46" s="341">
        <v>18311.28</v>
      </c>
      <c r="T46" s="559"/>
      <c r="U46" s="335"/>
      <c r="V46" s="596" t="s">
        <v>253</v>
      </c>
      <c r="W46" s="597" t="s">
        <v>394</v>
      </c>
      <c r="X46" s="597" t="s">
        <v>381</v>
      </c>
      <c r="Z46" s="336">
        <f t="shared" ref="Z46:Z81" si="82">AW46+AY46+BA46</f>
        <v>2380.54</v>
      </c>
      <c r="AA46" s="337">
        <f t="shared" ref="AA46:AA81" si="83">AX46+AZ46+BB46</f>
        <v>0</v>
      </c>
      <c r="AB46" s="338">
        <f t="shared" ref="AB46:AB81" si="84">Z46-AA46</f>
        <v>2380.54</v>
      </c>
      <c r="AC46" s="336">
        <f t="shared" ref="AC46:AC81" si="85">BC46+BE46+BG46</f>
        <v>3570.81</v>
      </c>
      <c r="AD46" s="337">
        <f t="shared" ref="AD46:AD81" si="86">BD46+BF46+BH46</f>
        <v>0</v>
      </c>
      <c r="AE46" s="338">
        <f t="shared" ref="AE46:AE81" si="87">AC46-AD46</f>
        <v>3570.81</v>
      </c>
      <c r="AF46" s="336">
        <f t="shared" ref="AF46:AF81" si="88">BI46+BK46+BM46</f>
        <v>3570.81</v>
      </c>
      <c r="AG46" s="337">
        <f t="shared" ref="AG46:AG81" si="89">BJ46+BL46+BN46</f>
        <v>0</v>
      </c>
      <c r="AH46" s="338">
        <f t="shared" ref="AH46:AH81" si="90">AF46-AG46</f>
        <v>3570.81</v>
      </c>
      <c r="AI46" s="336">
        <f t="shared" ref="AI46:AI81" si="91">BO46+BQ46+BS46</f>
        <v>4761.08</v>
      </c>
      <c r="AJ46" s="337">
        <f t="shared" ref="AJ46:AJ81" si="92">BP46+BR46+BT46</f>
        <v>0</v>
      </c>
      <c r="AK46" s="338">
        <f t="shared" ref="AK46:AK81" si="93">AI46-AJ46</f>
        <v>4761.08</v>
      </c>
      <c r="AL46" s="342"/>
      <c r="AM46" s="336">
        <f t="shared" ref="AM46:AM81" si="94">Z46+AC46</f>
        <v>5951.35</v>
      </c>
      <c r="AN46" s="339">
        <f t="shared" ref="AN46:AN81" si="95">AA46+AD46</f>
        <v>0</v>
      </c>
      <c r="AO46" s="340">
        <f t="shared" ref="AO46:AO81" si="96">AM46-AN46</f>
        <v>5951.35</v>
      </c>
      <c r="AP46" s="336">
        <f t="shared" ref="AP46:AP81" si="97">Z46+AC46+AF46</f>
        <v>9522.16</v>
      </c>
      <c r="AQ46" s="339">
        <f t="shared" ref="AQ46:AQ81" si="98">AA46+AD46+AG46</f>
        <v>0</v>
      </c>
      <c r="AR46" s="340">
        <f t="shared" ref="AR46:AR81" si="99">AP46-AQ46</f>
        <v>9522.16</v>
      </c>
      <c r="AS46" s="341">
        <f t="shared" ref="AS46:AS81" si="100">Z46+AC46+AF46+AI46</f>
        <v>14283.24</v>
      </c>
      <c r="AT46" s="339">
        <f t="shared" ref="AT46:AT81" si="101">AA46+AD46+AG46+AJ46</f>
        <v>0</v>
      </c>
      <c r="AU46" s="340">
        <f t="shared" ref="AU46:AU81" si="102">AS46-AT46</f>
        <v>14283.24</v>
      </c>
      <c r="AV46" s="589">
        <f t="shared" si="80"/>
        <v>0</v>
      </c>
      <c r="AW46" s="343"/>
      <c r="AX46" s="344"/>
      <c r="AY46" s="345">
        <v>1190.27</v>
      </c>
      <c r="AZ46" s="344"/>
      <c r="BA46" s="345">
        <v>1190.27</v>
      </c>
      <c r="BB46" s="346"/>
      <c r="BC46" s="347">
        <v>1190.27</v>
      </c>
      <c r="BD46" s="348"/>
      <c r="BE46" s="349">
        <v>1190.27</v>
      </c>
      <c r="BF46" s="348"/>
      <c r="BG46" s="349">
        <v>1190.27</v>
      </c>
      <c r="BH46" s="350"/>
      <c r="BI46" s="351">
        <v>1190.27</v>
      </c>
      <c r="BJ46" s="352"/>
      <c r="BK46" s="337">
        <v>1190.27</v>
      </c>
      <c r="BL46" s="352"/>
      <c r="BM46" s="337">
        <v>1190.27</v>
      </c>
      <c r="BN46" s="353"/>
      <c r="BO46" s="354">
        <v>1190.27</v>
      </c>
      <c r="BP46" s="355"/>
      <c r="BQ46" s="356">
        <v>1190.27</v>
      </c>
      <c r="BR46" s="355"/>
      <c r="BS46" s="356">
        <f>1190.27*2</f>
        <v>2380.54</v>
      </c>
      <c r="BT46" s="357"/>
    </row>
    <row r="47" spans="1:72" s="313" customFormat="1" ht="76.5" outlineLevel="1">
      <c r="A47" s="287">
        <v>37</v>
      </c>
      <c r="B47" s="818"/>
      <c r="C47" s="840"/>
      <c r="D47" s="853" t="s">
        <v>259</v>
      </c>
      <c r="E47" s="839"/>
      <c r="F47" s="821" t="s">
        <v>7</v>
      </c>
      <c r="G47" s="314">
        <v>4</v>
      </c>
      <c r="H47" s="739" t="s">
        <v>71</v>
      </c>
      <c r="I47" s="739">
        <v>244</v>
      </c>
      <c r="J47" s="740">
        <v>225</v>
      </c>
      <c r="K47" s="533" t="s">
        <v>263</v>
      </c>
      <c r="L47" s="341">
        <v>25199.88</v>
      </c>
      <c r="M47" s="318"/>
      <c r="N47" s="318"/>
      <c r="O47" s="318">
        <f t="shared" si="26"/>
        <v>25199.88</v>
      </c>
      <c r="P47" s="559"/>
      <c r="Q47" s="341">
        <v>25199.88</v>
      </c>
      <c r="R47" s="559"/>
      <c r="S47" s="341">
        <v>25199.88</v>
      </c>
      <c r="T47" s="559"/>
      <c r="U47" s="335"/>
      <c r="V47" s="597" t="s">
        <v>255</v>
      </c>
      <c r="W47" s="597" t="s">
        <v>452</v>
      </c>
      <c r="X47" s="597" t="s">
        <v>453</v>
      </c>
      <c r="Z47" s="336">
        <f t="shared" si="82"/>
        <v>10000</v>
      </c>
      <c r="AA47" s="337">
        <f t="shared" si="83"/>
        <v>0</v>
      </c>
      <c r="AB47" s="338">
        <f t="shared" si="84"/>
        <v>10000</v>
      </c>
      <c r="AC47" s="336">
        <f t="shared" si="85"/>
        <v>15000</v>
      </c>
      <c r="AD47" s="337">
        <f t="shared" si="86"/>
        <v>0</v>
      </c>
      <c r="AE47" s="338">
        <f t="shared" si="87"/>
        <v>15000</v>
      </c>
      <c r="AF47" s="336">
        <f t="shared" si="88"/>
        <v>0</v>
      </c>
      <c r="AG47" s="337">
        <f t="shared" si="89"/>
        <v>0</v>
      </c>
      <c r="AH47" s="338">
        <f t="shared" si="90"/>
        <v>0</v>
      </c>
      <c r="AI47" s="336">
        <f t="shared" si="91"/>
        <v>0</v>
      </c>
      <c r="AJ47" s="337">
        <f t="shared" si="92"/>
        <v>0</v>
      </c>
      <c r="AK47" s="338">
        <f t="shared" si="93"/>
        <v>0</v>
      </c>
      <c r="AL47" s="342"/>
      <c r="AM47" s="336">
        <f t="shared" si="94"/>
        <v>25000</v>
      </c>
      <c r="AN47" s="339">
        <f t="shared" si="95"/>
        <v>0</v>
      </c>
      <c r="AO47" s="340">
        <f t="shared" si="96"/>
        <v>25000</v>
      </c>
      <c r="AP47" s="336">
        <f t="shared" si="97"/>
        <v>25000</v>
      </c>
      <c r="AQ47" s="339">
        <f t="shared" si="98"/>
        <v>0</v>
      </c>
      <c r="AR47" s="340">
        <f t="shared" si="99"/>
        <v>25000</v>
      </c>
      <c r="AS47" s="341">
        <f t="shared" si="100"/>
        <v>25000</v>
      </c>
      <c r="AT47" s="339">
        <f t="shared" si="101"/>
        <v>0</v>
      </c>
      <c r="AU47" s="340">
        <f t="shared" si="102"/>
        <v>25000</v>
      </c>
      <c r="AV47" s="589">
        <f t="shared" si="80"/>
        <v>199.88</v>
      </c>
      <c r="AW47" s="343"/>
      <c r="AX47" s="344"/>
      <c r="AY47" s="345">
        <v>5000</v>
      </c>
      <c r="AZ47" s="344"/>
      <c r="BA47" s="345">
        <v>5000</v>
      </c>
      <c r="BB47" s="346"/>
      <c r="BC47" s="347">
        <v>5000</v>
      </c>
      <c r="BD47" s="348"/>
      <c r="BE47" s="349">
        <v>5000</v>
      </c>
      <c r="BF47" s="348"/>
      <c r="BG47" s="349">
        <v>5000</v>
      </c>
      <c r="BH47" s="350"/>
      <c r="BI47" s="351"/>
      <c r="BJ47" s="352"/>
      <c r="BK47" s="337"/>
      <c r="BL47" s="352"/>
      <c r="BM47" s="337"/>
      <c r="BN47" s="353"/>
      <c r="BO47" s="354"/>
      <c r="BP47" s="355"/>
      <c r="BQ47" s="356"/>
      <c r="BR47" s="355"/>
      <c r="BS47" s="356"/>
      <c r="BT47" s="357"/>
    </row>
    <row r="48" spans="1:72" s="313" customFormat="1" ht="63.75" outlineLevel="1">
      <c r="A48" s="287">
        <v>38</v>
      </c>
      <c r="B48" s="818"/>
      <c r="C48" s="840"/>
      <c r="D48" s="853" t="s">
        <v>216</v>
      </c>
      <c r="E48" s="839"/>
      <c r="F48" s="821" t="s">
        <v>7</v>
      </c>
      <c r="G48" s="314">
        <v>4</v>
      </c>
      <c r="H48" s="739" t="s">
        <v>71</v>
      </c>
      <c r="I48" s="739">
        <v>244</v>
      </c>
      <c r="J48" s="740">
        <v>225</v>
      </c>
      <c r="K48" s="533" t="s">
        <v>361</v>
      </c>
      <c r="L48" s="341">
        <v>38100.06</v>
      </c>
      <c r="M48" s="318"/>
      <c r="N48" s="318"/>
      <c r="O48" s="318">
        <f t="shared" si="26"/>
        <v>38100.06</v>
      </c>
      <c r="P48" s="559"/>
      <c r="Q48" s="341">
        <v>38100.06</v>
      </c>
      <c r="R48" s="559"/>
      <c r="S48" s="341">
        <v>38100.06</v>
      </c>
      <c r="T48" s="559"/>
      <c r="U48" s="335"/>
      <c r="V48" s="597" t="s">
        <v>258</v>
      </c>
      <c r="W48" s="597" t="s">
        <v>454</v>
      </c>
      <c r="X48" s="597" t="s">
        <v>455</v>
      </c>
      <c r="Z48" s="336">
        <f t="shared" si="82"/>
        <v>4000</v>
      </c>
      <c r="AA48" s="337">
        <f t="shared" si="83"/>
        <v>0</v>
      </c>
      <c r="AB48" s="338">
        <f t="shared" si="84"/>
        <v>4000</v>
      </c>
      <c r="AC48" s="336">
        <f t="shared" si="85"/>
        <v>12000</v>
      </c>
      <c r="AD48" s="337">
        <f t="shared" si="86"/>
        <v>0</v>
      </c>
      <c r="AE48" s="338">
        <f t="shared" si="87"/>
        <v>12000</v>
      </c>
      <c r="AF48" s="336">
        <f t="shared" si="88"/>
        <v>4000</v>
      </c>
      <c r="AG48" s="337">
        <f t="shared" si="89"/>
        <v>0</v>
      </c>
      <c r="AH48" s="338">
        <f t="shared" si="90"/>
        <v>4000</v>
      </c>
      <c r="AI48" s="336">
        <f t="shared" si="91"/>
        <v>16000</v>
      </c>
      <c r="AJ48" s="337">
        <f t="shared" si="92"/>
        <v>0</v>
      </c>
      <c r="AK48" s="338">
        <f t="shared" si="93"/>
        <v>16000</v>
      </c>
      <c r="AL48" s="342"/>
      <c r="AM48" s="336">
        <f t="shared" si="94"/>
        <v>16000</v>
      </c>
      <c r="AN48" s="339">
        <f t="shared" si="95"/>
        <v>0</v>
      </c>
      <c r="AO48" s="340">
        <f t="shared" si="96"/>
        <v>16000</v>
      </c>
      <c r="AP48" s="336">
        <f t="shared" si="97"/>
        <v>20000</v>
      </c>
      <c r="AQ48" s="339">
        <f t="shared" si="98"/>
        <v>0</v>
      </c>
      <c r="AR48" s="340">
        <f t="shared" si="99"/>
        <v>20000</v>
      </c>
      <c r="AS48" s="341">
        <f t="shared" si="100"/>
        <v>36000</v>
      </c>
      <c r="AT48" s="339">
        <f t="shared" si="101"/>
        <v>0</v>
      </c>
      <c r="AU48" s="340">
        <f t="shared" si="102"/>
        <v>36000</v>
      </c>
      <c r="AV48" s="589">
        <f t="shared" si="80"/>
        <v>2100.06</v>
      </c>
      <c r="AW48" s="343"/>
      <c r="AX48" s="344"/>
      <c r="AY48" s="345"/>
      <c r="AZ48" s="344"/>
      <c r="BA48" s="345">
        <v>4000</v>
      </c>
      <c r="BB48" s="346"/>
      <c r="BC48" s="347">
        <v>4000</v>
      </c>
      <c r="BD48" s="348"/>
      <c r="BE48" s="349">
        <v>4000</v>
      </c>
      <c r="BF48" s="348"/>
      <c r="BG48" s="349">
        <v>4000</v>
      </c>
      <c r="BH48" s="350"/>
      <c r="BI48" s="351">
        <v>4000</v>
      </c>
      <c r="BJ48" s="352"/>
      <c r="BK48" s="337"/>
      <c r="BL48" s="352"/>
      <c r="BM48" s="337"/>
      <c r="BN48" s="353"/>
      <c r="BO48" s="354">
        <v>4000</v>
      </c>
      <c r="BP48" s="355"/>
      <c r="BQ48" s="356">
        <v>4000</v>
      </c>
      <c r="BR48" s="355"/>
      <c r="BS48" s="356">
        <f>4000*2</f>
        <v>8000</v>
      </c>
      <c r="BT48" s="357"/>
    </row>
    <row r="49" spans="1:72" s="358" customFormat="1" ht="31.5" customHeight="1">
      <c r="A49" s="287">
        <v>39</v>
      </c>
      <c r="B49" s="818"/>
      <c r="C49" s="850" t="s">
        <v>377</v>
      </c>
      <c r="D49" s="838" t="s">
        <v>207</v>
      </c>
      <c r="E49" s="836" t="s">
        <v>201</v>
      </c>
      <c r="F49" s="820" t="s">
        <v>7</v>
      </c>
      <c r="G49" s="360">
        <v>4</v>
      </c>
      <c r="H49" s="360" t="s">
        <v>71</v>
      </c>
      <c r="I49" s="360">
        <v>244</v>
      </c>
      <c r="J49" s="361">
        <v>225</v>
      </c>
      <c r="K49" s="532" t="s">
        <v>148</v>
      </c>
      <c r="L49" s="367">
        <f>L50</f>
        <v>535089.69999999995</v>
      </c>
      <c r="M49" s="363"/>
      <c r="N49" s="363"/>
      <c r="O49" s="363">
        <f t="shared" si="26"/>
        <v>535089.69999999995</v>
      </c>
      <c r="P49" s="557"/>
      <c r="Q49" s="367">
        <f>Q50</f>
        <v>538687.53</v>
      </c>
      <c r="R49" s="557"/>
      <c r="S49" s="367">
        <f>S50</f>
        <v>538687.52</v>
      </c>
      <c r="T49" s="557"/>
      <c r="U49" s="365"/>
      <c r="V49" s="366">
        <f>L164</f>
        <v>95000</v>
      </c>
      <c r="W49" s="366"/>
      <c r="X49" s="391">
        <f>L49/(L49+V49)</f>
        <v>0.84919999999999995</v>
      </c>
      <c r="Z49" s="367">
        <f t="shared" si="82"/>
        <v>53494.18</v>
      </c>
      <c r="AA49" s="363">
        <f t="shared" si="83"/>
        <v>0</v>
      </c>
      <c r="AB49" s="280">
        <f t="shared" si="84"/>
        <v>53494.18</v>
      </c>
      <c r="AC49" s="367">
        <f t="shared" si="85"/>
        <v>101255.88</v>
      </c>
      <c r="AD49" s="363">
        <f t="shared" si="86"/>
        <v>0</v>
      </c>
      <c r="AE49" s="280">
        <f t="shared" si="87"/>
        <v>101255.88</v>
      </c>
      <c r="AF49" s="367">
        <f t="shared" si="88"/>
        <v>99092.04</v>
      </c>
      <c r="AG49" s="363">
        <f t="shared" si="89"/>
        <v>0</v>
      </c>
      <c r="AH49" s="280">
        <f t="shared" si="90"/>
        <v>99092.04</v>
      </c>
      <c r="AI49" s="367">
        <f t="shared" si="91"/>
        <v>0</v>
      </c>
      <c r="AJ49" s="363">
        <f t="shared" si="92"/>
        <v>0</v>
      </c>
      <c r="AK49" s="280">
        <f t="shared" si="93"/>
        <v>0</v>
      </c>
      <c r="AL49" s="368"/>
      <c r="AM49" s="367">
        <f t="shared" si="94"/>
        <v>154750.06</v>
      </c>
      <c r="AN49" s="363">
        <f t="shared" si="95"/>
        <v>0</v>
      </c>
      <c r="AO49" s="280">
        <f t="shared" si="96"/>
        <v>154750.06</v>
      </c>
      <c r="AP49" s="367">
        <f t="shared" si="97"/>
        <v>253842.1</v>
      </c>
      <c r="AQ49" s="363">
        <f t="shared" si="98"/>
        <v>0</v>
      </c>
      <c r="AR49" s="280">
        <f t="shared" si="99"/>
        <v>253842.1</v>
      </c>
      <c r="AS49" s="367">
        <f t="shared" si="100"/>
        <v>253842.1</v>
      </c>
      <c r="AT49" s="363">
        <f t="shared" si="101"/>
        <v>0</v>
      </c>
      <c r="AU49" s="280">
        <f t="shared" si="102"/>
        <v>253842.1</v>
      </c>
      <c r="AV49" s="588">
        <f t="shared" si="80"/>
        <v>281247.59999999998</v>
      </c>
      <c r="AW49" s="367">
        <f t="shared" ref="AW49:BT49" si="103">AW50</f>
        <v>0</v>
      </c>
      <c r="AX49" s="363">
        <f t="shared" si="103"/>
        <v>0</v>
      </c>
      <c r="AY49" s="363">
        <f t="shared" si="103"/>
        <v>22339.96</v>
      </c>
      <c r="AZ49" s="363">
        <f t="shared" si="103"/>
        <v>0</v>
      </c>
      <c r="BA49" s="363">
        <f t="shared" si="103"/>
        <v>31154.22</v>
      </c>
      <c r="BB49" s="369">
        <f t="shared" si="103"/>
        <v>0</v>
      </c>
      <c r="BC49" s="367">
        <f t="shared" si="103"/>
        <v>35050.83</v>
      </c>
      <c r="BD49" s="363">
        <f t="shared" si="103"/>
        <v>0</v>
      </c>
      <c r="BE49" s="363">
        <f t="shared" si="103"/>
        <v>35050.83</v>
      </c>
      <c r="BF49" s="363">
        <f t="shared" si="103"/>
        <v>0</v>
      </c>
      <c r="BG49" s="363">
        <f t="shared" si="103"/>
        <v>31154.22</v>
      </c>
      <c r="BH49" s="369">
        <f t="shared" si="103"/>
        <v>0</v>
      </c>
      <c r="BI49" s="367">
        <f t="shared" si="103"/>
        <v>33561.5</v>
      </c>
      <c r="BJ49" s="363">
        <f t="shared" si="103"/>
        <v>0</v>
      </c>
      <c r="BK49" s="363">
        <f t="shared" si="103"/>
        <v>32765.27</v>
      </c>
      <c r="BL49" s="363">
        <f t="shared" si="103"/>
        <v>0</v>
      </c>
      <c r="BM49" s="363">
        <f t="shared" si="103"/>
        <v>32765.27</v>
      </c>
      <c r="BN49" s="369">
        <f t="shared" si="103"/>
        <v>0</v>
      </c>
      <c r="BO49" s="367">
        <f t="shared" si="103"/>
        <v>0</v>
      </c>
      <c r="BP49" s="363">
        <f t="shared" si="103"/>
        <v>0</v>
      </c>
      <c r="BQ49" s="363">
        <f t="shared" si="103"/>
        <v>0</v>
      </c>
      <c r="BR49" s="363">
        <f t="shared" si="103"/>
        <v>0</v>
      </c>
      <c r="BS49" s="363">
        <f t="shared" si="103"/>
        <v>0</v>
      </c>
      <c r="BT49" s="280">
        <f t="shared" si="103"/>
        <v>0</v>
      </c>
    </row>
    <row r="50" spans="1:72" s="313" customFormat="1" ht="25.5" outlineLevel="1">
      <c r="A50" s="287">
        <v>40</v>
      </c>
      <c r="B50" s="818"/>
      <c r="C50" s="840"/>
      <c r="D50" s="853" t="s">
        <v>207</v>
      </c>
      <c r="E50" s="839"/>
      <c r="F50" s="821" t="s">
        <v>7</v>
      </c>
      <c r="G50" s="314">
        <v>4</v>
      </c>
      <c r="H50" s="739" t="s">
        <v>71</v>
      </c>
      <c r="I50" s="739">
        <v>244</v>
      </c>
      <c r="J50" s="740">
        <v>225</v>
      </c>
      <c r="K50" s="533" t="s">
        <v>209</v>
      </c>
      <c r="L50" s="341">
        <v>535089.69999999995</v>
      </c>
      <c r="M50" s="318"/>
      <c r="N50" s="318"/>
      <c r="O50" s="318">
        <f t="shared" si="26"/>
        <v>535089.69999999995</v>
      </c>
      <c r="P50" s="559"/>
      <c r="Q50" s="336">
        <v>538687.53</v>
      </c>
      <c r="R50" s="559"/>
      <c r="S50" s="336">
        <v>538687.52</v>
      </c>
      <c r="T50" s="559"/>
      <c r="U50" s="335"/>
      <c r="V50" s="596" t="s">
        <v>208</v>
      </c>
      <c r="W50" s="610" t="s">
        <v>398</v>
      </c>
      <c r="X50" s="597" t="s">
        <v>397</v>
      </c>
      <c r="Z50" s="336">
        <f t="shared" si="82"/>
        <v>53494.18</v>
      </c>
      <c r="AA50" s="337">
        <f t="shared" si="83"/>
        <v>0</v>
      </c>
      <c r="AB50" s="338">
        <f t="shared" si="84"/>
        <v>53494.18</v>
      </c>
      <c r="AC50" s="336">
        <f t="shared" si="85"/>
        <v>101255.88</v>
      </c>
      <c r="AD50" s="337">
        <f t="shared" si="86"/>
        <v>0</v>
      </c>
      <c r="AE50" s="338">
        <f t="shared" si="87"/>
        <v>101255.88</v>
      </c>
      <c r="AF50" s="336">
        <f t="shared" si="88"/>
        <v>99092.04</v>
      </c>
      <c r="AG50" s="337">
        <f t="shared" si="89"/>
        <v>0</v>
      </c>
      <c r="AH50" s="338">
        <f t="shared" si="90"/>
        <v>99092.04</v>
      </c>
      <c r="AI50" s="336">
        <f t="shared" si="91"/>
        <v>0</v>
      </c>
      <c r="AJ50" s="337">
        <f t="shared" si="92"/>
        <v>0</v>
      </c>
      <c r="AK50" s="338">
        <f t="shared" si="93"/>
        <v>0</v>
      </c>
      <c r="AL50" s="342"/>
      <c r="AM50" s="336">
        <f t="shared" si="94"/>
        <v>154750.06</v>
      </c>
      <c r="AN50" s="339">
        <f t="shared" si="95"/>
        <v>0</v>
      </c>
      <c r="AO50" s="340">
        <f t="shared" si="96"/>
        <v>154750.06</v>
      </c>
      <c r="AP50" s="336">
        <f t="shared" si="97"/>
        <v>253842.1</v>
      </c>
      <c r="AQ50" s="339">
        <f t="shared" si="98"/>
        <v>0</v>
      </c>
      <c r="AR50" s="340">
        <f t="shared" si="99"/>
        <v>253842.1</v>
      </c>
      <c r="AS50" s="809">
        <f t="shared" si="100"/>
        <v>253842.1</v>
      </c>
      <c r="AT50" s="339">
        <f t="shared" si="101"/>
        <v>0</v>
      </c>
      <c r="AU50" s="340">
        <f t="shared" si="102"/>
        <v>253842.1</v>
      </c>
      <c r="AV50" s="589">
        <f t="shared" si="80"/>
        <v>281247.59999999998</v>
      </c>
      <c r="AW50" s="343"/>
      <c r="AX50" s="344"/>
      <c r="AY50" s="345">
        <f>925.05*1.61*15</f>
        <v>22339.96</v>
      </c>
      <c r="AZ50" s="344"/>
      <c r="BA50" s="345">
        <f>925.05*1.61*19+354.9*1.61*5</f>
        <v>31154.22</v>
      </c>
      <c r="BB50" s="346"/>
      <c r="BC50" s="347">
        <f>925.05*1.61*22+354.9*1.61*4</f>
        <v>35050.83</v>
      </c>
      <c r="BD50" s="348"/>
      <c r="BE50" s="349">
        <f>925.05*1.61*22+354.9*1.61*4</f>
        <v>35050.83</v>
      </c>
      <c r="BF50" s="348"/>
      <c r="BG50" s="349">
        <f>925.05*1.61*19+354.9*1.61*5</f>
        <v>31154.22</v>
      </c>
      <c r="BH50" s="350"/>
      <c r="BI50" s="351">
        <f>925.05*1.61*21+354.9*1.61*4</f>
        <v>33561.5</v>
      </c>
      <c r="BJ50" s="352"/>
      <c r="BK50" s="337">
        <f>925.05*1.61*22</f>
        <v>32765.27</v>
      </c>
      <c r="BL50" s="352"/>
      <c r="BM50" s="337">
        <f>925.05*1.61*22</f>
        <v>32765.27</v>
      </c>
      <c r="BN50" s="353"/>
      <c r="BO50" s="354"/>
      <c r="BP50" s="355"/>
      <c r="BQ50" s="356"/>
      <c r="BR50" s="355"/>
      <c r="BS50" s="356"/>
      <c r="BT50" s="357"/>
    </row>
    <row r="51" spans="1:72" s="358" customFormat="1" ht="47.25" customHeight="1">
      <c r="A51" s="287">
        <v>41</v>
      </c>
      <c r="B51" s="818"/>
      <c r="C51" s="850" t="s">
        <v>377</v>
      </c>
      <c r="D51" s="838"/>
      <c r="E51" s="836" t="s">
        <v>201</v>
      </c>
      <c r="F51" s="820" t="s">
        <v>7</v>
      </c>
      <c r="G51" s="360">
        <v>4</v>
      </c>
      <c r="H51" s="360" t="s">
        <v>71</v>
      </c>
      <c r="I51" s="360">
        <v>244</v>
      </c>
      <c r="J51" s="361">
        <v>225</v>
      </c>
      <c r="K51" s="532" t="s">
        <v>364</v>
      </c>
      <c r="L51" s="367">
        <f>SUM(L52:L55)</f>
        <v>27290.76</v>
      </c>
      <c r="M51" s="363"/>
      <c r="N51" s="363"/>
      <c r="O51" s="363">
        <f t="shared" si="26"/>
        <v>27290.76</v>
      </c>
      <c r="P51" s="571"/>
      <c r="Q51" s="367">
        <f>SUM(Q52:Q55)</f>
        <v>27290.76</v>
      </c>
      <c r="R51" s="557"/>
      <c r="S51" s="367">
        <f>SUM(S52:S55)</f>
        <v>27290.76</v>
      </c>
      <c r="T51" s="557"/>
      <c r="U51" s="365"/>
      <c r="V51" s="366"/>
      <c r="W51" s="366"/>
      <c r="X51" s="391"/>
      <c r="Z51" s="367">
        <f>AW51+AY51+BA51</f>
        <v>6822.69</v>
      </c>
      <c r="AA51" s="363">
        <f>AX51+AZ51+BB51</f>
        <v>0</v>
      </c>
      <c r="AB51" s="280">
        <f>Z51-AA51</f>
        <v>6822.69</v>
      </c>
      <c r="AC51" s="367">
        <f>BC51+BE51+BG51</f>
        <v>6822.69</v>
      </c>
      <c r="AD51" s="363">
        <f>BD51+BF51+BH51</f>
        <v>0</v>
      </c>
      <c r="AE51" s="280">
        <f>AC51-AD51</f>
        <v>6822.69</v>
      </c>
      <c r="AF51" s="367">
        <f>BI51+BK51+BM51</f>
        <v>6822.69</v>
      </c>
      <c r="AG51" s="363">
        <f>BJ51+BL51+BN51</f>
        <v>0</v>
      </c>
      <c r="AH51" s="280">
        <f>AF51-AG51</f>
        <v>6822.69</v>
      </c>
      <c r="AI51" s="367">
        <f>BO51+BQ51+BS51</f>
        <v>6822.69</v>
      </c>
      <c r="AJ51" s="363">
        <f>BP51+BR51+BT51</f>
        <v>0</v>
      </c>
      <c r="AK51" s="280">
        <f>AI51-AJ51</f>
        <v>6822.69</v>
      </c>
      <c r="AL51" s="368"/>
      <c r="AM51" s="367">
        <f>Z51+AC51</f>
        <v>13645.38</v>
      </c>
      <c r="AN51" s="363">
        <f>AA51+AD51</f>
        <v>0</v>
      </c>
      <c r="AO51" s="280">
        <f>AM51-AN51</f>
        <v>13645.38</v>
      </c>
      <c r="AP51" s="367">
        <f>Z51+AC51+AF51</f>
        <v>20468.07</v>
      </c>
      <c r="AQ51" s="363">
        <f>AA51+AD51+AG51</f>
        <v>0</v>
      </c>
      <c r="AR51" s="280">
        <f>AP51-AQ51</f>
        <v>20468.07</v>
      </c>
      <c r="AS51" s="367">
        <f>Z51+AC51+AF51+AI51</f>
        <v>27290.76</v>
      </c>
      <c r="AT51" s="363">
        <f>AA51+AD51+AG51+AJ51</f>
        <v>0</v>
      </c>
      <c r="AU51" s="280">
        <f>AS51-AT51</f>
        <v>27290.76</v>
      </c>
      <c r="AV51" s="588">
        <f t="shared" si="80"/>
        <v>0</v>
      </c>
      <c r="AW51" s="367">
        <f>SUM(AW52:AW55)</f>
        <v>0</v>
      </c>
      <c r="AX51" s="367">
        <f t="shared" ref="AX51:BT51" si="104">SUM(AX52:AX55)</f>
        <v>0</v>
      </c>
      <c r="AY51" s="367">
        <f t="shared" si="104"/>
        <v>6822.69</v>
      </c>
      <c r="AZ51" s="367">
        <f t="shared" si="104"/>
        <v>0</v>
      </c>
      <c r="BA51" s="367">
        <f t="shared" si="104"/>
        <v>0</v>
      </c>
      <c r="BB51" s="367">
        <f t="shared" si="104"/>
        <v>0</v>
      </c>
      <c r="BC51" s="367">
        <f t="shared" si="104"/>
        <v>6822.69</v>
      </c>
      <c r="BD51" s="367">
        <f t="shared" si="104"/>
        <v>0</v>
      </c>
      <c r="BE51" s="367">
        <f t="shared" si="104"/>
        <v>0</v>
      </c>
      <c r="BF51" s="367">
        <f t="shared" si="104"/>
        <v>0</v>
      </c>
      <c r="BG51" s="367">
        <f t="shared" si="104"/>
        <v>0</v>
      </c>
      <c r="BH51" s="367">
        <f t="shared" si="104"/>
        <v>0</v>
      </c>
      <c r="BI51" s="367">
        <f t="shared" si="104"/>
        <v>0</v>
      </c>
      <c r="BJ51" s="367">
        <f t="shared" si="104"/>
        <v>0</v>
      </c>
      <c r="BK51" s="367">
        <f t="shared" si="104"/>
        <v>0</v>
      </c>
      <c r="BL51" s="367">
        <f t="shared" si="104"/>
        <v>0</v>
      </c>
      <c r="BM51" s="367">
        <f t="shared" si="104"/>
        <v>6822.69</v>
      </c>
      <c r="BN51" s="367">
        <f t="shared" si="104"/>
        <v>0</v>
      </c>
      <c r="BO51" s="367">
        <f t="shared" si="104"/>
        <v>0</v>
      </c>
      <c r="BP51" s="367">
        <f t="shared" si="104"/>
        <v>0</v>
      </c>
      <c r="BQ51" s="367">
        <f t="shared" si="104"/>
        <v>6822.69</v>
      </c>
      <c r="BR51" s="367">
        <f t="shared" si="104"/>
        <v>0</v>
      </c>
      <c r="BS51" s="367">
        <f t="shared" si="104"/>
        <v>0</v>
      </c>
      <c r="BT51" s="367">
        <f t="shared" si="104"/>
        <v>0</v>
      </c>
    </row>
    <row r="52" spans="1:72" s="313" customFormat="1" ht="51" outlineLevel="1">
      <c r="A52" s="287">
        <v>42</v>
      </c>
      <c r="B52" s="818"/>
      <c r="C52" s="840"/>
      <c r="D52" s="853" t="s">
        <v>216</v>
      </c>
      <c r="E52" s="839"/>
      <c r="F52" s="821" t="s">
        <v>7</v>
      </c>
      <c r="G52" s="314">
        <v>4</v>
      </c>
      <c r="H52" s="739" t="s">
        <v>71</v>
      </c>
      <c r="I52" s="739">
        <v>244</v>
      </c>
      <c r="J52" s="740">
        <v>225</v>
      </c>
      <c r="K52" s="533" t="s">
        <v>362</v>
      </c>
      <c r="L52" s="341">
        <v>6822.69</v>
      </c>
      <c r="M52" s="318"/>
      <c r="N52" s="318"/>
      <c r="O52" s="318">
        <f t="shared" si="26"/>
        <v>6822.69</v>
      </c>
      <c r="P52" s="570"/>
      <c r="Q52" s="509">
        <v>6822.69</v>
      </c>
      <c r="R52" s="559"/>
      <c r="S52" s="542">
        <v>6822.69</v>
      </c>
      <c r="T52" s="559"/>
      <c r="U52" s="335"/>
      <c r="V52" s="320" t="s">
        <v>254</v>
      </c>
      <c r="W52" s="388"/>
      <c r="X52" s="388"/>
      <c r="Z52" s="336">
        <f t="shared" ref="Z52:AA55" si="105">AW52+AY52+BA52</f>
        <v>6822.69</v>
      </c>
      <c r="AA52" s="337">
        <f t="shared" si="105"/>
        <v>0</v>
      </c>
      <c r="AB52" s="338">
        <f>Z52-AA52</f>
        <v>6822.69</v>
      </c>
      <c r="AC52" s="336">
        <f t="shared" ref="AC52:AD55" si="106">BC52+BE52+BG52</f>
        <v>0</v>
      </c>
      <c r="AD52" s="337">
        <f t="shared" si="106"/>
        <v>0</v>
      </c>
      <c r="AE52" s="338">
        <f>AC52-AD52</f>
        <v>0</v>
      </c>
      <c r="AF52" s="336">
        <f t="shared" ref="AF52:AG55" si="107">BI52+BK52+BM52</f>
        <v>0</v>
      </c>
      <c r="AG52" s="337">
        <f t="shared" si="107"/>
        <v>0</v>
      </c>
      <c r="AH52" s="338">
        <f>AF52-AG52</f>
        <v>0</v>
      </c>
      <c r="AI52" s="336">
        <f t="shared" ref="AI52:AJ55" si="108">BO52+BQ52+BS52</f>
        <v>0</v>
      </c>
      <c r="AJ52" s="337">
        <f t="shared" si="108"/>
        <v>0</v>
      </c>
      <c r="AK52" s="338">
        <f>AI52-AJ52</f>
        <v>0</v>
      </c>
      <c r="AL52" s="342"/>
      <c r="AM52" s="336">
        <f t="shared" ref="AM52:AN55" si="109">Z52+AC52</f>
        <v>6822.69</v>
      </c>
      <c r="AN52" s="339">
        <f t="shared" si="109"/>
        <v>0</v>
      </c>
      <c r="AO52" s="340">
        <f>AM52-AN52</f>
        <v>6822.69</v>
      </c>
      <c r="AP52" s="336">
        <f t="shared" ref="AP52:AQ55" si="110">Z52+AC52+AF52</f>
        <v>6822.69</v>
      </c>
      <c r="AQ52" s="339">
        <f t="shared" si="110"/>
        <v>0</v>
      </c>
      <c r="AR52" s="340">
        <f>AP52-AQ52</f>
        <v>6822.69</v>
      </c>
      <c r="AS52" s="341">
        <f t="shared" ref="AS52:AT55" si="111">Z52+AC52+AF52+AI52</f>
        <v>6822.69</v>
      </c>
      <c r="AT52" s="339">
        <f t="shared" si="111"/>
        <v>0</v>
      </c>
      <c r="AU52" s="340">
        <f>AS52-AT52</f>
        <v>6822.69</v>
      </c>
      <c r="AV52" s="589">
        <f t="shared" si="80"/>
        <v>0</v>
      </c>
      <c r="AW52" s="343"/>
      <c r="AX52" s="344"/>
      <c r="AY52" s="345">
        <f>35*170 + 7*124.67</f>
        <v>6822.69</v>
      </c>
      <c r="AZ52" s="344"/>
      <c r="BA52" s="345"/>
      <c r="BB52" s="346"/>
      <c r="BC52" s="347"/>
      <c r="BD52" s="348"/>
      <c r="BE52" s="349"/>
      <c r="BF52" s="348"/>
      <c r="BG52" s="349"/>
      <c r="BH52" s="350"/>
      <c r="BI52" s="351"/>
      <c r="BJ52" s="352"/>
      <c r="BK52" s="337"/>
      <c r="BL52" s="352"/>
      <c r="BM52" s="337"/>
      <c r="BN52" s="353"/>
      <c r="BO52" s="354"/>
      <c r="BP52" s="355"/>
      <c r="BQ52" s="356"/>
      <c r="BR52" s="355"/>
      <c r="BS52" s="356"/>
      <c r="BT52" s="357"/>
    </row>
    <row r="53" spans="1:72" s="313" customFormat="1" ht="51" outlineLevel="1">
      <c r="A53" s="287">
        <v>43</v>
      </c>
      <c r="B53" s="818"/>
      <c r="C53" s="840"/>
      <c r="D53" s="853" t="s">
        <v>216</v>
      </c>
      <c r="E53" s="839"/>
      <c r="F53" s="821" t="s">
        <v>7</v>
      </c>
      <c r="G53" s="314">
        <v>4</v>
      </c>
      <c r="H53" s="739" t="s">
        <v>71</v>
      </c>
      <c r="I53" s="739">
        <v>244</v>
      </c>
      <c r="J53" s="740">
        <v>225</v>
      </c>
      <c r="K53" s="533" t="s">
        <v>260</v>
      </c>
      <c r="L53" s="341">
        <v>6822.69</v>
      </c>
      <c r="M53" s="318"/>
      <c r="N53" s="318"/>
      <c r="O53" s="318">
        <f t="shared" si="26"/>
        <v>6822.69</v>
      </c>
      <c r="P53" s="570"/>
      <c r="Q53" s="509">
        <v>6822.69</v>
      </c>
      <c r="R53" s="559"/>
      <c r="S53" s="542">
        <v>6822.69</v>
      </c>
      <c r="T53" s="559"/>
      <c r="U53" s="335"/>
      <c r="V53" s="320" t="s">
        <v>254</v>
      </c>
      <c r="W53" s="388" t="s">
        <v>256</v>
      </c>
      <c r="X53" s="388" t="s">
        <v>257</v>
      </c>
      <c r="Z53" s="336">
        <f t="shared" ref="Z53" si="112">AW53+AY53+BA53</f>
        <v>0</v>
      </c>
      <c r="AA53" s="337">
        <f t="shared" ref="AA53" si="113">AX53+AZ53+BB53</f>
        <v>0</v>
      </c>
      <c r="AB53" s="338">
        <f t="shared" ref="AB53" si="114">Z53-AA53</f>
        <v>0</v>
      </c>
      <c r="AC53" s="336">
        <f t="shared" ref="AC53" si="115">BC53+BE53+BG53</f>
        <v>6822.69</v>
      </c>
      <c r="AD53" s="337">
        <f t="shared" ref="AD53" si="116">BD53+BF53+BH53</f>
        <v>0</v>
      </c>
      <c r="AE53" s="338">
        <f t="shared" ref="AE53" si="117">AC53-AD53</f>
        <v>6822.69</v>
      </c>
      <c r="AF53" s="336">
        <f t="shared" ref="AF53" si="118">BI53+BK53+BM53</f>
        <v>0</v>
      </c>
      <c r="AG53" s="337">
        <f t="shared" ref="AG53" si="119">BJ53+BL53+BN53</f>
        <v>0</v>
      </c>
      <c r="AH53" s="338">
        <f t="shared" ref="AH53" si="120">AF53-AG53</f>
        <v>0</v>
      </c>
      <c r="AI53" s="336">
        <f t="shared" ref="AI53" si="121">BO53+BQ53+BS53</f>
        <v>0</v>
      </c>
      <c r="AJ53" s="337">
        <f t="shared" ref="AJ53" si="122">BP53+BR53+BT53</f>
        <v>0</v>
      </c>
      <c r="AK53" s="338">
        <f t="shared" ref="AK53" si="123">AI53-AJ53</f>
        <v>0</v>
      </c>
      <c r="AL53" s="342"/>
      <c r="AM53" s="336">
        <f t="shared" ref="AM53" si="124">Z53+AC53</f>
        <v>6822.69</v>
      </c>
      <c r="AN53" s="339">
        <f t="shared" ref="AN53" si="125">AA53+AD53</f>
        <v>0</v>
      </c>
      <c r="AO53" s="340">
        <f t="shared" ref="AO53" si="126">AM53-AN53</f>
        <v>6822.69</v>
      </c>
      <c r="AP53" s="336">
        <f t="shared" ref="AP53" si="127">Z53+AC53+AF53</f>
        <v>6822.69</v>
      </c>
      <c r="AQ53" s="339">
        <f t="shared" ref="AQ53" si="128">AA53+AD53+AG53</f>
        <v>0</v>
      </c>
      <c r="AR53" s="340">
        <f t="shared" ref="AR53" si="129">AP53-AQ53</f>
        <v>6822.69</v>
      </c>
      <c r="AS53" s="341">
        <f t="shared" ref="AS53" si="130">Z53+AC53+AF53+AI53</f>
        <v>6822.69</v>
      </c>
      <c r="AT53" s="339">
        <f t="shared" ref="AT53" si="131">AA53+AD53+AG53+AJ53</f>
        <v>0</v>
      </c>
      <c r="AU53" s="340">
        <f t="shared" ref="AU53" si="132">AS53-AT53</f>
        <v>6822.69</v>
      </c>
      <c r="AV53" s="589">
        <f t="shared" si="80"/>
        <v>0</v>
      </c>
      <c r="AW53" s="343"/>
      <c r="AX53" s="344"/>
      <c r="AY53" s="345"/>
      <c r="AZ53" s="344"/>
      <c r="BA53" s="345"/>
      <c r="BB53" s="346"/>
      <c r="BC53" s="347">
        <f>35*170 + 7*124.67</f>
        <v>6822.69</v>
      </c>
      <c r="BD53" s="348"/>
      <c r="BE53" s="349"/>
      <c r="BF53" s="348"/>
      <c r="BG53" s="349"/>
      <c r="BH53" s="350"/>
      <c r="BI53" s="351"/>
      <c r="BJ53" s="352"/>
      <c r="BK53" s="337"/>
      <c r="BL53" s="352"/>
      <c r="BM53" s="337"/>
      <c r="BN53" s="353"/>
      <c r="BO53" s="354"/>
      <c r="BP53" s="355"/>
      <c r="BQ53" s="356"/>
      <c r="BR53" s="355"/>
      <c r="BS53" s="356"/>
      <c r="BT53" s="357"/>
    </row>
    <row r="54" spans="1:72" s="313" customFormat="1" ht="51" outlineLevel="1">
      <c r="A54" s="287">
        <v>44</v>
      </c>
      <c r="B54" s="818"/>
      <c r="C54" s="840"/>
      <c r="D54" s="853" t="s">
        <v>216</v>
      </c>
      <c r="E54" s="839"/>
      <c r="F54" s="821" t="s">
        <v>7</v>
      </c>
      <c r="G54" s="314">
        <v>4</v>
      </c>
      <c r="H54" s="739" t="s">
        <v>71</v>
      </c>
      <c r="I54" s="739">
        <v>244</v>
      </c>
      <c r="J54" s="740">
        <v>225</v>
      </c>
      <c r="K54" s="533" t="s">
        <v>363</v>
      </c>
      <c r="L54" s="341">
        <v>6822.69</v>
      </c>
      <c r="M54" s="318"/>
      <c r="N54" s="318"/>
      <c r="O54" s="318">
        <f t="shared" si="26"/>
        <v>6822.69</v>
      </c>
      <c r="P54" s="570"/>
      <c r="Q54" s="509">
        <v>6822.69</v>
      </c>
      <c r="R54" s="559"/>
      <c r="S54" s="542">
        <v>6822.69</v>
      </c>
      <c r="T54" s="559"/>
      <c r="U54" s="335"/>
      <c r="V54" s="320" t="s">
        <v>254</v>
      </c>
      <c r="W54" s="388"/>
      <c r="X54" s="388"/>
      <c r="Z54" s="336">
        <f t="shared" si="105"/>
        <v>0</v>
      </c>
      <c r="AA54" s="337">
        <f t="shared" si="105"/>
        <v>0</v>
      </c>
      <c r="AB54" s="338">
        <f>Z54-AA54</f>
        <v>0</v>
      </c>
      <c r="AC54" s="336">
        <f t="shared" si="106"/>
        <v>0</v>
      </c>
      <c r="AD54" s="337">
        <f t="shared" si="106"/>
        <v>0</v>
      </c>
      <c r="AE54" s="338">
        <f>AC54-AD54</f>
        <v>0</v>
      </c>
      <c r="AF54" s="336">
        <f t="shared" si="107"/>
        <v>6822.69</v>
      </c>
      <c r="AG54" s="337">
        <f t="shared" si="107"/>
        <v>0</v>
      </c>
      <c r="AH54" s="338">
        <f>AF54-AG54</f>
        <v>6822.69</v>
      </c>
      <c r="AI54" s="336">
        <f t="shared" si="108"/>
        <v>0</v>
      </c>
      <c r="AJ54" s="337">
        <f t="shared" si="108"/>
        <v>0</v>
      </c>
      <c r="AK54" s="338">
        <f>AI54-AJ54</f>
        <v>0</v>
      </c>
      <c r="AL54" s="342"/>
      <c r="AM54" s="336">
        <f t="shared" si="109"/>
        <v>0</v>
      </c>
      <c r="AN54" s="339">
        <f t="shared" si="109"/>
        <v>0</v>
      </c>
      <c r="AO54" s="340">
        <f>AM54-AN54</f>
        <v>0</v>
      </c>
      <c r="AP54" s="336">
        <f t="shared" si="110"/>
        <v>6822.69</v>
      </c>
      <c r="AQ54" s="339">
        <f t="shared" si="110"/>
        <v>0</v>
      </c>
      <c r="AR54" s="340">
        <f>AP54-AQ54</f>
        <v>6822.69</v>
      </c>
      <c r="AS54" s="341">
        <f t="shared" si="111"/>
        <v>6822.69</v>
      </c>
      <c r="AT54" s="339">
        <f t="shared" si="111"/>
        <v>0</v>
      </c>
      <c r="AU54" s="340">
        <f>AS54-AT54</f>
        <v>6822.69</v>
      </c>
      <c r="AV54" s="589">
        <f t="shared" si="80"/>
        <v>0</v>
      </c>
      <c r="AW54" s="343"/>
      <c r="AX54" s="344"/>
      <c r="AY54" s="345"/>
      <c r="AZ54" s="344"/>
      <c r="BA54" s="345"/>
      <c r="BB54" s="346"/>
      <c r="BC54" s="347"/>
      <c r="BD54" s="348"/>
      <c r="BE54" s="349"/>
      <c r="BF54" s="348"/>
      <c r="BG54" s="349"/>
      <c r="BH54" s="350"/>
      <c r="BI54" s="351"/>
      <c r="BJ54" s="352"/>
      <c r="BK54" s="337"/>
      <c r="BL54" s="352"/>
      <c r="BM54" s="337">
        <f>35*170 + 7*124.67</f>
        <v>6822.69</v>
      </c>
      <c r="BN54" s="353"/>
      <c r="BO54" s="354"/>
      <c r="BP54" s="355"/>
      <c r="BQ54" s="356"/>
      <c r="BR54" s="355"/>
      <c r="BS54" s="356"/>
      <c r="BT54" s="357"/>
    </row>
    <row r="55" spans="1:72" s="313" customFormat="1" ht="51" outlineLevel="1">
      <c r="A55" s="287">
        <v>45</v>
      </c>
      <c r="B55" s="818"/>
      <c r="C55" s="840"/>
      <c r="D55" s="853" t="s">
        <v>216</v>
      </c>
      <c r="E55" s="839"/>
      <c r="F55" s="821" t="s">
        <v>7</v>
      </c>
      <c r="G55" s="314">
        <v>4</v>
      </c>
      <c r="H55" s="739" t="s">
        <v>71</v>
      </c>
      <c r="I55" s="739">
        <v>244</v>
      </c>
      <c r="J55" s="740">
        <v>225</v>
      </c>
      <c r="K55" s="533" t="s">
        <v>261</v>
      </c>
      <c r="L55" s="341">
        <v>6822.69</v>
      </c>
      <c r="M55" s="318"/>
      <c r="N55" s="318"/>
      <c r="O55" s="318">
        <f t="shared" si="26"/>
        <v>6822.69</v>
      </c>
      <c r="P55" s="570"/>
      <c r="Q55" s="509">
        <v>6822.69</v>
      </c>
      <c r="R55" s="559"/>
      <c r="S55" s="542">
        <v>6822.69</v>
      </c>
      <c r="T55" s="559"/>
      <c r="U55" s="335"/>
      <c r="V55" s="320" t="s">
        <v>254</v>
      </c>
      <c r="W55" s="388"/>
      <c r="X55" s="388"/>
      <c r="Z55" s="336">
        <f t="shared" si="105"/>
        <v>0</v>
      </c>
      <c r="AA55" s="337">
        <f t="shared" si="105"/>
        <v>0</v>
      </c>
      <c r="AB55" s="338">
        <f>Z55-AA55</f>
        <v>0</v>
      </c>
      <c r="AC55" s="336">
        <f t="shared" si="106"/>
        <v>0</v>
      </c>
      <c r="AD55" s="337">
        <f t="shared" si="106"/>
        <v>0</v>
      </c>
      <c r="AE55" s="338">
        <f>AC55-AD55</f>
        <v>0</v>
      </c>
      <c r="AF55" s="336">
        <f t="shared" si="107"/>
        <v>0</v>
      </c>
      <c r="AG55" s="337">
        <f t="shared" si="107"/>
        <v>0</v>
      </c>
      <c r="AH55" s="338">
        <f>AF55-AG55</f>
        <v>0</v>
      </c>
      <c r="AI55" s="336">
        <f t="shared" si="108"/>
        <v>6822.69</v>
      </c>
      <c r="AJ55" s="337">
        <f t="shared" si="108"/>
        <v>0</v>
      </c>
      <c r="AK55" s="338">
        <f>AI55-AJ55</f>
        <v>6822.69</v>
      </c>
      <c r="AL55" s="342"/>
      <c r="AM55" s="336">
        <f t="shared" si="109"/>
        <v>0</v>
      </c>
      <c r="AN55" s="339">
        <f t="shared" si="109"/>
        <v>0</v>
      </c>
      <c r="AO55" s="340">
        <f>AM55-AN55</f>
        <v>0</v>
      </c>
      <c r="AP55" s="336">
        <f t="shared" si="110"/>
        <v>0</v>
      </c>
      <c r="AQ55" s="339">
        <f t="shared" si="110"/>
        <v>0</v>
      </c>
      <c r="AR55" s="340">
        <f>AP55-AQ55</f>
        <v>0</v>
      </c>
      <c r="AS55" s="341">
        <f t="shared" si="111"/>
        <v>6822.69</v>
      </c>
      <c r="AT55" s="339">
        <f t="shared" si="111"/>
        <v>0</v>
      </c>
      <c r="AU55" s="340">
        <f>AS55-AT55</f>
        <v>6822.69</v>
      </c>
      <c r="AV55" s="589">
        <f t="shared" si="80"/>
        <v>0</v>
      </c>
      <c r="AW55" s="343"/>
      <c r="AX55" s="344"/>
      <c r="AY55" s="345"/>
      <c r="AZ55" s="344"/>
      <c r="BA55" s="345"/>
      <c r="BB55" s="346"/>
      <c r="BC55" s="347"/>
      <c r="BD55" s="348"/>
      <c r="BE55" s="349"/>
      <c r="BF55" s="348"/>
      <c r="BG55" s="349"/>
      <c r="BH55" s="350"/>
      <c r="BI55" s="351"/>
      <c r="BJ55" s="352"/>
      <c r="BK55" s="337"/>
      <c r="BL55" s="352"/>
      <c r="BM55" s="337"/>
      <c r="BN55" s="353"/>
      <c r="BO55" s="354"/>
      <c r="BP55" s="355"/>
      <c r="BQ55" s="356">
        <f>35*170 + 7*124.67</f>
        <v>6822.69</v>
      </c>
      <c r="BR55" s="355"/>
      <c r="BS55" s="356"/>
      <c r="BT55" s="357"/>
    </row>
    <row r="56" spans="1:72" s="358" customFormat="1" ht="31.5" customHeight="1">
      <c r="A56" s="287">
        <v>46</v>
      </c>
      <c r="B56" s="818"/>
      <c r="C56" s="850" t="s">
        <v>377</v>
      </c>
      <c r="D56" s="838"/>
      <c r="E56" s="836" t="s">
        <v>201</v>
      </c>
      <c r="F56" s="820" t="s">
        <v>7</v>
      </c>
      <c r="G56" s="360">
        <v>4</v>
      </c>
      <c r="H56" s="360" t="s">
        <v>71</v>
      </c>
      <c r="I56" s="360">
        <v>244</v>
      </c>
      <c r="J56" s="361">
        <v>226</v>
      </c>
      <c r="K56" s="532" t="s">
        <v>150</v>
      </c>
      <c r="L56" s="367">
        <f>L57</f>
        <v>297533.71000000002</v>
      </c>
      <c r="M56" s="363"/>
      <c r="N56" s="363"/>
      <c r="O56" s="363">
        <f t="shared" si="26"/>
        <v>297533.71000000002</v>
      </c>
      <c r="P56" s="557"/>
      <c r="Q56" s="367">
        <f>Q57</f>
        <v>215351.84</v>
      </c>
      <c r="R56" s="557"/>
      <c r="S56" s="367">
        <f>S57</f>
        <v>185247.25</v>
      </c>
      <c r="T56" s="557"/>
      <c r="U56" s="365"/>
      <c r="V56" s="366">
        <f>L169</f>
        <v>358197.09</v>
      </c>
      <c r="W56" s="366"/>
      <c r="X56" s="391">
        <f>L56/(L56+V56)</f>
        <v>0.45369999999999999</v>
      </c>
      <c r="Z56" s="367">
        <f>AW56+AY56+BA56</f>
        <v>73200</v>
      </c>
      <c r="AA56" s="363">
        <f>AX56+AZ56+BB56</f>
        <v>0</v>
      </c>
      <c r="AB56" s="280">
        <f>Z56-AA56</f>
        <v>73200</v>
      </c>
      <c r="AC56" s="367">
        <f>BC56+BE56+BG56</f>
        <v>152400</v>
      </c>
      <c r="AD56" s="363">
        <f>BD56+BF56+BH56</f>
        <v>0</v>
      </c>
      <c r="AE56" s="280">
        <f>AC56-AD56</f>
        <v>152400</v>
      </c>
      <c r="AF56" s="367">
        <f>BI56+BK56+BM56</f>
        <v>71933.710000000006</v>
      </c>
      <c r="AG56" s="363">
        <f>BJ56+BL56+BN56</f>
        <v>0</v>
      </c>
      <c r="AH56" s="280">
        <f>AF56-AG56</f>
        <v>71933.710000000006</v>
      </c>
      <c r="AI56" s="367">
        <f>BO56+BQ56+BS56</f>
        <v>0</v>
      </c>
      <c r="AJ56" s="363">
        <f>BP56+BR56+BT56</f>
        <v>0</v>
      </c>
      <c r="AK56" s="280">
        <f>AI56-AJ56</f>
        <v>0</v>
      </c>
      <c r="AL56" s="368"/>
      <c r="AM56" s="367">
        <f>Z56+AC56</f>
        <v>225600</v>
      </c>
      <c r="AN56" s="363">
        <f>AA56+AD56</f>
        <v>0</v>
      </c>
      <c r="AO56" s="280">
        <f>AM56-AN56</f>
        <v>225600</v>
      </c>
      <c r="AP56" s="367">
        <f>Z56+AC56+AF56</f>
        <v>297533.71000000002</v>
      </c>
      <c r="AQ56" s="363">
        <f>AA56+AD56+AG56</f>
        <v>0</v>
      </c>
      <c r="AR56" s="280">
        <f>AP56-AQ56</f>
        <v>297533.71000000002</v>
      </c>
      <c r="AS56" s="367">
        <f>Z56+AC56+AF56+AI56</f>
        <v>297533.71000000002</v>
      </c>
      <c r="AT56" s="363">
        <f>AA56+AD56+AG56+AJ56</f>
        <v>0</v>
      </c>
      <c r="AU56" s="280">
        <f>AS56-AT56</f>
        <v>297533.71000000002</v>
      </c>
      <c r="AV56" s="588">
        <f t="shared" si="80"/>
        <v>0</v>
      </c>
      <c r="AW56" s="367">
        <f>SUM(AW57)</f>
        <v>0</v>
      </c>
      <c r="AX56" s="363">
        <f t="shared" ref="AX56:BT56" si="133">SUM(AX57)</f>
        <v>0</v>
      </c>
      <c r="AY56" s="363">
        <f t="shared" si="133"/>
        <v>27000</v>
      </c>
      <c r="AZ56" s="363">
        <f t="shared" si="133"/>
        <v>0</v>
      </c>
      <c r="BA56" s="363">
        <f t="shared" si="133"/>
        <v>46200</v>
      </c>
      <c r="BB56" s="369">
        <f t="shared" si="133"/>
        <v>0</v>
      </c>
      <c r="BC56" s="367">
        <f t="shared" si="133"/>
        <v>51600</v>
      </c>
      <c r="BD56" s="363">
        <f t="shared" si="133"/>
        <v>0</v>
      </c>
      <c r="BE56" s="363">
        <f t="shared" si="133"/>
        <v>51600</v>
      </c>
      <c r="BF56" s="363">
        <f t="shared" si="133"/>
        <v>0</v>
      </c>
      <c r="BG56" s="363">
        <f t="shared" si="133"/>
        <v>49200</v>
      </c>
      <c r="BH56" s="369">
        <f t="shared" si="133"/>
        <v>0</v>
      </c>
      <c r="BI56" s="367">
        <f t="shared" si="133"/>
        <v>49800</v>
      </c>
      <c r="BJ56" s="363">
        <f t="shared" si="133"/>
        <v>0</v>
      </c>
      <c r="BK56" s="363">
        <f t="shared" si="133"/>
        <v>22133.71</v>
      </c>
      <c r="BL56" s="363">
        <f t="shared" si="133"/>
        <v>0</v>
      </c>
      <c r="BM56" s="363">
        <f t="shared" si="133"/>
        <v>0</v>
      </c>
      <c r="BN56" s="369">
        <f t="shared" si="133"/>
        <v>0</v>
      </c>
      <c r="BO56" s="367">
        <f t="shared" si="133"/>
        <v>0</v>
      </c>
      <c r="BP56" s="363">
        <f t="shared" si="133"/>
        <v>0</v>
      </c>
      <c r="BQ56" s="363">
        <f t="shared" si="133"/>
        <v>0</v>
      </c>
      <c r="BR56" s="363">
        <f t="shared" si="133"/>
        <v>0</v>
      </c>
      <c r="BS56" s="363">
        <f t="shared" si="133"/>
        <v>0</v>
      </c>
      <c r="BT56" s="280">
        <f t="shared" si="133"/>
        <v>0</v>
      </c>
    </row>
    <row r="57" spans="1:72" s="313" customFormat="1" ht="51" outlineLevel="1">
      <c r="A57" s="287">
        <v>47</v>
      </c>
      <c r="B57" s="818"/>
      <c r="C57" s="840"/>
      <c r="D57" s="841"/>
      <c r="E57" s="839"/>
      <c r="F57" s="821" t="s">
        <v>7</v>
      </c>
      <c r="G57" s="314">
        <v>4</v>
      </c>
      <c r="H57" s="739" t="s">
        <v>71</v>
      </c>
      <c r="I57" s="739">
        <v>244</v>
      </c>
      <c r="J57" s="740">
        <v>226</v>
      </c>
      <c r="K57" s="533" t="s">
        <v>267</v>
      </c>
      <c r="L57" s="341">
        <v>297533.71000000002</v>
      </c>
      <c r="M57" s="318"/>
      <c r="N57" s="318"/>
      <c r="O57" s="318">
        <f t="shared" si="26"/>
        <v>297533.71000000002</v>
      </c>
      <c r="P57" s="559"/>
      <c r="Q57" s="336">
        <v>215351.84</v>
      </c>
      <c r="R57" s="559"/>
      <c r="S57" s="336">
        <v>185247.25</v>
      </c>
      <c r="T57" s="559"/>
      <c r="U57" s="335"/>
      <c r="V57" s="596" t="s">
        <v>268</v>
      </c>
      <c r="W57" s="597" t="s">
        <v>465</v>
      </c>
      <c r="X57" s="597" t="s">
        <v>416</v>
      </c>
      <c r="Z57" s="336">
        <f>AW57+AY57+BA57</f>
        <v>73200</v>
      </c>
      <c r="AA57" s="337">
        <f>AX57+AZ57+BB57</f>
        <v>0</v>
      </c>
      <c r="AB57" s="338">
        <f>Z57-AA57</f>
        <v>73200</v>
      </c>
      <c r="AC57" s="336">
        <f>BC57+BE57+BG57</f>
        <v>152400</v>
      </c>
      <c r="AD57" s="337">
        <f>BD57+BF57+BH57</f>
        <v>0</v>
      </c>
      <c r="AE57" s="338">
        <f>AC57-AD57</f>
        <v>152400</v>
      </c>
      <c r="AF57" s="336">
        <f>BI57+BK57+BM57</f>
        <v>71933.710000000006</v>
      </c>
      <c r="AG57" s="337">
        <f>BJ57+BL57+BN57</f>
        <v>0</v>
      </c>
      <c r="AH57" s="338">
        <f>AF57-AG57</f>
        <v>71933.710000000006</v>
      </c>
      <c r="AI57" s="336">
        <f>BO57+BQ57+BS57</f>
        <v>0</v>
      </c>
      <c r="AJ57" s="337">
        <f>BP57+BR57+BT57</f>
        <v>0</v>
      </c>
      <c r="AK57" s="338">
        <f>AI57-AJ57</f>
        <v>0</v>
      </c>
      <c r="AL57" s="342"/>
      <c r="AM57" s="336">
        <f>Z57+AC57</f>
        <v>225600</v>
      </c>
      <c r="AN57" s="339">
        <f>AA57+AD57</f>
        <v>0</v>
      </c>
      <c r="AO57" s="340">
        <f>AM57-AN57</f>
        <v>225600</v>
      </c>
      <c r="AP57" s="336">
        <f>Z57+AC57+AF57</f>
        <v>297533.71000000002</v>
      </c>
      <c r="AQ57" s="339">
        <f>AA57+AD57+AG57</f>
        <v>0</v>
      </c>
      <c r="AR57" s="340">
        <f>AP57-AQ57</f>
        <v>297533.71000000002</v>
      </c>
      <c r="AS57" s="341">
        <f>Z57+AC57+AF57+AI57</f>
        <v>297533.71000000002</v>
      </c>
      <c r="AT57" s="339">
        <f>AA57+AD57+AG57+AJ57</f>
        <v>0</v>
      </c>
      <c r="AU57" s="340">
        <f>AS57-AT57</f>
        <v>297533.71000000002</v>
      </c>
      <c r="AV57" s="589">
        <f t="shared" si="80"/>
        <v>0</v>
      </c>
      <c r="AW57" s="343"/>
      <c r="AX57" s="344"/>
      <c r="AY57" s="345">
        <f>150*12*15</f>
        <v>27000</v>
      </c>
      <c r="AZ57" s="344"/>
      <c r="BA57" s="345">
        <f>150*12*23+150*4*8</f>
        <v>46200</v>
      </c>
      <c r="BB57" s="346"/>
      <c r="BC57" s="347">
        <f>150*12*26+150*4*8</f>
        <v>51600</v>
      </c>
      <c r="BD57" s="348"/>
      <c r="BE57" s="349">
        <f>150*12*26+150*4*8</f>
        <v>51600</v>
      </c>
      <c r="BF57" s="348"/>
      <c r="BG57" s="349">
        <f>150*12*24+150*5*8</f>
        <v>49200</v>
      </c>
      <c r="BH57" s="350"/>
      <c r="BI57" s="351">
        <f>150*12*25+150*4*8</f>
        <v>49800</v>
      </c>
      <c r="BJ57" s="352"/>
      <c r="BK57" s="351">
        <f>(150*12*27+150*4*8)-31266.29</f>
        <v>22133.71</v>
      </c>
      <c r="BL57" s="352"/>
      <c r="BM57" s="337"/>
      <c r="BN57" s="353"/>
      <c r="BO57" s="354"/>
      <c r="BP57" s="355"/>
      <c r="BQ57" s="356"/>
      <c r="BR57" s="355"/>
      <c r="BS57" s="356"/>
      <c r="BT57" s="357"/>
    </row>
    <row r="58" spans="1:72" s="358" customFormat="1" ht="60" customHeight="1">
      <c r="A58" s="287">
        <v>48</v>
      </c>
      <c r="B58" s="818"/>
      <c r="C58" s="850" t="s">
        <v>377</v>
      </c>
      <c r="D58" s="838"/>
      <c r="E58" s="836" t="s">
        <v>201</v>
      </c>
      <c r="F58" s="820" t="s">
        <v>7</v>
      </c>
      <c r="G58" s="360">
        <v>4</v>
      </c>
      <c r="H58" s="360" t="s">
        <v>71</v>
      </c>
      <c r="I58" s="360">
        <v>244</v>
      </c>
      <c r="J58" s="361">
        <v>226</v>
      </c>
      <c r="K58" s="532" t="s">
        <v>170</v>
      </c>
      <c r="L58" s="367">
        <f>SUM(L59:L68)</f>
        <v>419234.9</v>
      </c>
      <c r="M58" s="363"/>
      <c r="N58" s="363"/>
      <c r="O58" s="363">
        <f t="shared" si="26"/>
        <v>419234.9</v>
      </c>
      <c r="P58" s="557"/>
      <c r="Q58" s="367">
        <f>SUM(Q59:Q68)</f>
        <v>515206.86</v>
      </c>
      <c r="R58" s="557"/>
      <c r="S58" s="367">
        <f>SUM(S59:S68)</f>
        <v>515206.86</v>
      </c>
      <c r="T58" s="557"/>
      <c r="U58" s="365"/>
      <c r="V58" s="366"/>
      <c r="W58" s="366"/>
      <c r="X58" s="366"/>
      <c r="Z58" s="367">
        <f t="shared" si="82"/>
        <v>75225.2</v>
      </c>
      <c r="AA58" s="363">
        <f t="shared" si="83"/>
        <v>0</v>
      </c>
      <c r="AB58" s="280">
        <f t="shared" si="84"/>
        <v>75225.2</v>
      </c>
      <c r="AC58" s="367">
        <f t="shared" si="85"/>
        <v>98896.44</v>
      </c>
      <c r="AD58" s="363">
        <f t="shared" si="86"/>
        <v>0</v>
      </c>
      <c r="AE58" s="280">
        <f t="shared" si="87"/>
        <v>98896.44</v>
      </c>
      <c r="AF58" s="367">
        <f t="shared" si="88"/>
        <v>68896.44</v>
      </c>
      <c r="AG58" s="363">
        <f t="shared" si="89"/>
        <v>0</v>
      </c>
      <c r="AH58" s="280">
        <f t="shared" si="90"/>
        <v>68896.44</v>
      </c>
      <c r="AI58" s="367">
        <f t="shared" si="91"/>
        <v>93603.520000000004</v>
      </c>
      <c r="AJ58" s="363">
        <f t="shared" si="92"/>
        <v>0</v>
      </c>
      <c r="AK58" s="280">
        <f t="shared" si="93"/>
        <v>93603.520000000004</v>
      </c>
      <c r="AL58" s="368"/>
      <c r="AM58" s="367">
        <f t="shared" si="94"/>
        <v>174121.64</v>
      </c>
      <c r="AN58" s="363">
        <f t="shared" si="95"/>
        <v>0</v>
      </c>
      <c r="AO58" s="280">
        <f t="shared" si="96"/>
        <v>174121.64</v>
      </c>
      <c r="AP58" s="367">
        <f t="shared" si="97"/>
        <v>243018.08</v>
      </c>
      <c r="AQ58" s="363">
        <f t="shared" si="98"/>
        <v>0</v>
      </c>
      <c r="AR58" s="280">
        <f t="shared" si="99"/>
        <v>243018.08</v>
      </c>
      <c r="AS58" s="367">
        <f t="shared" si="100"/>
        <v>336621.6</v>
      </c>
      <c r="AT58" s="363">
        <f t="shared" si="101"/>
        <v>0</v>
      </c>
      <c r="AU58" s="280">
        <f t="shared" si="102"/>
        <v>336621.6</v>
      </c>
      <c r="AV58" s="588">
        <f t="shared" si="80"/>
        <v>82613.3</v>
      </c>
      <c r="AW58" s="367">
        <f t="shared" ref="AW58:BT58" si="134">SUM(AW59:AW68)</f>
        <v>0</v>
      </c>
      <c r="AX58" s="363">
        <f t="shared" si="134"/>
        <v>0</v>
      </c>
      <c r="AY58" s="363">
        <f t="shared" si="134"/>
        <v>42453.32</v>
      </c>
      <c r="AZ58" s="363">
        <f t="shared" si="134"/>
        <v>0</v>
      </c>
      <c r="BA58" s="363">
        <f t="shared" si="134"/>
        <v>32771.879999999997</v>
      </c>
      <c r="BB58" s="369">
        <f t="shared" si="134"/>
        <v>0</v>
      </c>
      <c r="BC58" s="367">
        <f t="shared" si="134"/>
        <v>32989.68</v>
      </c>
      <c r="BD58" s="363">
        <f t="shared" si="134"/>
        <v>0</v>
      </c>
      <c r="BE58" s="363">
        <f t="shared" si="134"/>
        <v>32917.08</v>
      </c>
      <c r="BF58" s="363">
        <f t="shared" si="134"/>
        <v>0</v>
      </c>
      <c r="BG58" s="363">
        <f t="shared" si="134"/>
        <v>32989.68</v>
      </c>
      <c r="BH58" s="369">
        <f t="shared" si="134"/>
        <v>0</v>
      </c>
      <c r="BI58" s="367">
        <f t="shared" si="134"/>
        <v>32917.08</v>
      </c>
      <c r="BJ58" s="363">
        <f t="shared" si="134"/>
        <v>0</v>
      </c>
      <c r="BK58" s="363">
        <f t="shared" si="134"/>
        <v>17989.68</v>
      </c>
      <c r="BL58" s="363">
        <f t="shared" si="134"/>
        <v>0</v>
      </c>
      <c r="BM58" s="363">
        <f t="shared" si="134"/>
        <v>17989.68</v>
      </c>
      <c r="BN58" s="369">
        <f t="shared" si="134"/>
        <v>0</v>
      </c>
      <c r="BO58" s="367">
        <f t="shared" si="134"/>
        <v>39707.08</v>
      </c>
      <c r="BP58" s="363">
        <f t="shared" si="134"/>
        <v>0</v>
      </c>
      <c r="BQ58" s="363">
        <f t="shared" si="134"/>
        <v>17989.68</v>
      </c>
      <c r="BR58" s="363">
        <f t="shared" si="134"/>
        <v>0</v>
      </c>
      <c r="BS58" s="363">
        <f t="shared" si="134"/>
        <v>35906.76</v>
      </c>
      <c r="BT58" s="280">
        <f t="shared" si="134"/>
        <v>0</v>
      </c>
    </row>
    <row r="59" spans="1:72" s="313" customFormat="1" ht="63.75" outlineLevel="1">
      <c r="A59" s="287">
        <v>49</v>
      </c>
      <c r="B59" s="818" t="s">
        <v>469</v>
      </c>
      <c r="C59" s="840"/>
      <c r="D59" s="841"/>
      <c r="E59" s="839"/>
      <c r="F59" s="821" t="s">
        <v>7</v>
      </c>
      <c r="G59" s="314">
        <v>4</v>
      </c>
      <c r="H59" s="739" t="s">
        <v>71</v>
      </c>
      <c r="I59" s="739">
        <v>244</v>
      </c>
      <c r="J59" s="740">
        <v>226</v>
      </c>
      <c r="K59" s="533" t="s">
        <v>447</v>
      </c>
      <c r="L59" s="341">
        <f>17950.7+7386.7</f>
        <v>25337.4</v>
      </c>
      <c r="M59" s="318"/>
      <c r="N59" s="318"/>
      <c r="O59" s="318">
        <f t="shared" si="26"/>
        <v>25337.4</v>
      </c>
      <c r="P59" s="559"/>
      <c r="Q59" s="336">
        <v>17950.7</v>
      </c>
      <c r="R59" s="559"/>
      <c r="S59" s="336">
        <v>17950.7</v>
      </c>
      <c r="T59" s="559"/>
      <c r="U59" s="335"/>
      <c r="V59" s="801" t="s">
        <v>448</v>
      </c>
      <c r="W59" s="801" t="s">
        <v>474</v>
      </c>
      <c r="X59" s="801" t="s">
        <v>446</v>
      </c>
      <c r="Z59" s="336">
        <f t="shared" si="82"/>
        <v>3121.8</v>
      </c>
      <c r="AA59" s="337">
        <f t="shared" si="83"/>
        <v>0</v>
      </c>
      <c r="AB59" s="338">
        <f t="shared" si="84"/>
        <v>3121.8</v>
      </c>
      <c r="AC59" s="336">
        <f t="shared" si="85"/>
        <v>6679.2</v>
      </c>
      <c r="AD59" s="337">
        <f t="shared" si="86"/>
        <v>0</v>
      </c>
      <c r="AE59" s="338">
        <f t="shared" si="87"/>
        <v>6679.2</v>
      </c>
      <c r="AF59" s="336">
        <f t="shared" si="88"/>
        <v>6679.2</v>
      </c>
      <c r="AG59" s="337">
        <f t="shared" si="89"/>
        <v>0</v>
      </c>
      <c r="AH59" s="338">
        <f t="shared" si="90"/>
        <v>6679.2</v>
      </c>
      <c r="AI59" s="336">
        <f t="shared" si="91"/>
        <v>8857.2000000000007</v>
      </c>
      <c r="AJ59" s="337">
        <f t="shared" si="92"/>
        <v>0</v>
      </c>
      <c r="AK59" s="338">
        <f t="shared" si="93"/>
        <v>8857.2000000000007</v>
      </c>
      <c r="AL59" s="342"/>
      <c r="AM59" s="336">
        <f t="shared" si="94"/>
        <v>9801</v>
      </c>
      <c r="AN59" s="339">
        <f t="shared" si="95"/>
        <v>0</v>
      </c>
      <c r="AO59" s="340">
        <f t="shared" si="96"/>
        <v>9801</v>
      </c>
      <c r="AP59" s="336">
        <f t="shared" si="97"/>
        <v>16480.2</v>
      </c>
      <c r="AQ59" s="339">
        <f t="shared" si="98"/>
        <v>0</v>
      </c>
      <c r="AR59" s="340">
        <f t="shared" si="99"/>
        <v>16480.2</v>
      </c>
      <c r="AS59" s="341">
        <f t="shared" si="100"/>
        <v>25337.4</v>
      </c>
      <c r="AT59" s="339">
        <f t="shared" si="101"/>
        <v>0</v>
      </c>
      <c r="AU59" s="340">
        <f t="shared" si="102"/>
        <v>25337.4</v>
      </c>
      <c r="AV59" s="803">
        <f t="shared" si="80"/>
        <v>0</v>
      </c>
      <c r="AW59" s="343"/>
      <c r="AX59" s="344"/>
      <c r="AY59" s="345">
        <f>180*6.05</f>
        <v>1089</v>
      </c>
      <c r="AZ59" s="344"/>
      <c r="BA59" s="345">
        <f>336*6.05</f>
        <v>2032.8</v>
      </c>
      <c r="BB59" s="346"/>
      <c r="BC59" s="347">
        <f>372*6.05</f>
        <v>2250.6</v>
      </c>
      <c r="BD59" s="348"/>
      <c r="BE59" s="349">
        <f>360*6.05</f>
        <v>2178</v>
      </c>
      <c r="BF59" s="348"/>
      <c r="BG59" s="349">
        <f>372*6.05</f>
        <v>2250.6</v>
      </c>
      <c r="BH59" s="350"/>
      <c r="BI59" s="351">
        <f>360*6.05</f>
        <v>2178</v>
      </c>
      <c r="BJ59" s="352"/>
      <c r="BK59" s="337">
        <f>372*6.05</f>
        <v>2250.6</v>
      </c>
      <c r="BL59" s="352"/>
      <c r="BM59" s="337">
        <f>372*6.05</f>
        <v>2250.6</v>
      </c>
      <c r="BN59" s="353"/>
      <c r="BO59" s="354">
        <f>360*6.05</f>
        <v>2178</v>
      </c>
      <c r="BP59" s="355"/>
      <c r="BQ59" s="356">
        <f>372*6.05</f>
        <v>2250.6</v>
      </c>
      <c r="BR59" s="355"/>
      <c r="BS59" s="356">
        <f>360*6.05+372*6.05</f>
        <v>4428.6000000000004</v>
      </c>
      <c r="BT59" s="357"/>
    </row>
    <row r="60" spans="1:72" s="313" customFormat="1" ht="38.25" outlineLevel="1">
      <c r="A60" s="287">
        <v>50</v>
      </c>
      <c r="B60" s="818"/>
      <c r="C60" s="840"/>
      <c r="D60" s="841"/>
      <c r="E60" s="839"/>
      <c r="F60" s="821" t="s">
        <v>7</v>
      </c>
      <c r="G60" s="314">
        <v>4</v>
      </c>
      <c r="H60" s="739" t="s">
        <v>71</v>
      </c>
      <c r="I60" s="739">
        <v>244</v>
      </c>
      <c r="J60" s="740">
        <v>226</v>
      </c>
      <c r="K60" s="533" t="s">
        <v>343</v>
      </c>
      <c r="L60" s="341">
        <v>52171.199999999997</v>
      </c>
      <c r="M60" s="318"/>
      <c r="N60" s="318"/>
      <c r="O60" s="318">
        <f t="shared" si="26"/>
        <v>52171.199999999997</v>
      </c>
      <c r="P60" s="559"/>
      <c r="Q60" s="336">
        <v>52171.199999999997</v>
      </c>
      <c r="R60" s="559"/>
      <c r="S60" s="336">
        <v>52171.199999999997</v>
      </c>
      <c r="T60" s="559"/>
      <c r="U60" s="335"/>
      <c r="V60" s="596" t="s">
        <v>253</v>
      </c>
      <c r="W60" s="597" t="s">
        <v>395</v>
      </c>
      <c r="X60" s="597" t="s">
        <v>381</v>
      </c>
      <c r="Z60" s="336">
        <f>AW60+AY60+BA60</f>
        <v>8695.2000000000007</v>
      </c>
      <c r="AA60" s="337">
        <f>AX60+AZ60+BB60</f>
        <v>0</v>
      </c>
      <c r="AB60" s="338">
        <f>Z60-AA60</f>
        <v>8695.2000000000007</v>
      </c>
      <c r="AC60" s="336">
        <f>BC60+BE60+BG60</f>
        <v>13042.8</v>
      </c>
      <c r="AD60" s="337">
        <f>BD60+BF60+BH60</f>
        <v>0</v>
      </c>
      <c r="AE60" s="338">
        <f>AC60-AD60</f>
        <v>13042.8</v>
      </c>
      <c r="AF60" s="336">
        <f>BI60+BK60+BM60</f>
        <v>13042.8</v>
      </c>
      <c r="AG60" s="337">
        <f>BJ60+BL60+BN60</f>
        <v>0</v>
      </c>
      <c r="AH60" s="338">
        <f>AF60-AG60</f>
        <v>13042.8</v>
      </c>
      <c r="AI60" s="336">
        <f>BO60+BQ60+BS60</f>
        <v>17390.400000000001</v>
      </c>
      <c r="AJ60" s="337">
        <f>BP60+BR60+BT60</f>
        <v>0</v>
      </c>
      <c r="AK60" s="338">
        <f>AI60-AJ60</f>
        <v>17390.400000000001</v>
      </c>
      <c r="AL60" s="342"/>
      <c r="AM60" s="336">
        <f>Z60+AC60</f>
        <v>21738</v>
      </c>
      <c r="AN60" s="339">
        <f>AA60+AD60</f>
        <v>0</v>
      </c>
      <c r="AO60" s="340">
        <f>AM60-AN60</f>
        <v>21738</v>
      </c>
      <c r="AP60" s="336">
        <f>Z60+AC60+AF60</f>
        <v>34780.800000000003</v>
      </c>
      <c r="AQ60" s="339">
        <f>AA60+AD60+AG60</f>
        <v>0</v>
      </c>
      <c r="AR60" s="340">
        <f>AP60-AQ60</f>
        <v>34780.800000000003</v>
      </c>
      <c r="AS60" s="341">
        <f>Z60+AC60+AF60+AI60</f>
        <v>52171.199999999997</v>
      </c>
      <c r="AT60" s="339">
        <f>AA60+AD60+AG60+AJ60</f>
        <v>0</v>
      </c>
      <c r="AU60" s="340">
        <f>AS60-AT60</f>
        <v>52171.199999999997</v>
      </c>
      <c r="AV60" s="589">
        <f t="shared" si="80"/>
        <v>0</v>
      </c>
      <c r="AW60" s="343"/>
      <c r="AX60" s="344"/>
      <c r="AY60" s="345">
        <v>4347.6000000000004</v>
      </c>
      <c r="AZ60" s="344"/>
      <c r="BA60" s="345">
        <v>4347.6000000000004</v>
      </c>
      <c r="BB60" s="346"/>
      <c r="BC60" s="347">
        <v>4347.6000000000004</v>
      </c>
      <c r="BD60" s="348"/>
      <c r="BE60" s="349">
        <v>4347.6000000000004</v>
      </c>
      <c r="BF60" s="348"/>
      <c r="BG60" s="349">
        <v>4347.6000000000004</v>
      </c>
      <c r="BH60" s="350"/>
      <c r="BI60" s="351">
        <v>4347.6000000000004</v>
      </c>
      <c r="BJ60" s="352"/>
      <c r="BK60" s="337">
        <v>4347.6000000000004</v>
      </c>
      <c r="BL60" s="352"/>
      <c r="BM60" s="337">
        <v>4347.6000000000004</v>
      </c>
      <c r="BN60" s="353"/>
      <c r="BO60" s="354">
        <v>4347.6000000000004</v>
      </c>
      <c r="BP60" s="355"/>
      <c r="BQ60" s="356">
        <v>4347.6000000000004</v>
      </c>
      <c r="BR60" s="355"/>
      <c r="BS60" s="356">
        <f>4347.6*2</f>
        <v>8695.2000000000007</v>
      </c>
      <c r="BT60" s="357"/>
    </row>
    <row r="61" spans="1:72" s="313" customFormat="1" ht="25.5" outlineLevel="1">
      <c r="A61" s="287">
        <v>51</v>
      </c>
      <c r="B61" s="818" t="s">
        <v>469</v>
      </c>
      <c r="C61" s="840"/>
      <c r="D61" s="841"/>
      <c r="E61" s="839"/>
      <c r="F61" s="821" t="s">
        <v>7</v>
      </c>
      <c r="G61" s="314">
        <v>4</v>
      </c>
      <c r="H61" s="739" t="s">
        <v>71</v>
      </c>
      <c r="I61" s="739">
        <v>244</v>
      </c>
      <c r="J61" s="740">
        <v>226</v>
      </c>
      <c r="K61" s="533" t="s">
        <v>344</v>
      </c>
      <c r="L61" s="341">
        <f>21790-7386.7</f>
        <v>14403.3</v>
      </c>
      <c r="M61" s="318"/>
      <c r="N61" s="318"/>
      <c r="O61" s="318">
        <f t="shared" si="26"/>
        <v>14403.3</v>
      </c>
      <c r="P61" s="559"/>
      <c r="Q61" s="336">
        <v>21790</v>
      </c>
      <c r="R61" s="559"/>
      <c r="S61" s="336">
        <v>21790</v>
      </c>
      <c r="T61" s="559"/>
      <c r="U61" s="335"/>
      <c r="V61" s="320" t="s">
        <v>255</v>
      </c>
      <c r="W61" s="388" t="s">
        <v>333</v>
      </c>
      <c r="X61" s="388" t="s">
        <v>334</v>
      </c>
      <c r="Z61" s="336">
        <f>AW61+AY61+BA61</f>
        <v>0</v>
      </c>
      <c r="AA61" s="337">
        <f>AX61+AZ61+BB61</f>
        <v>0</v>
      </c>
      <c r="AB61" s="338">
        <f>Z61-AA61</f>
        <v>0</v>
      </c>
      <c r="AC61" s="336">
        <f>BC61+BE61+BG61</f>
        <v>0</v>
      </c>
      <c r="AD61" s="337">
        <f>BD61+BF61+BH61</f>
        <v>0</v>
      </c>
      <c r="AE61" s="338">
        <f>AC61-AD61</f>
        <v>0</v>
      </c>
      <c r="AF61" s="336">
        <f>BI61+BK61+BM61</f>
        <v>0</v>
      </c>
      <c r="AG61" s="337">
        <f>BJ61+BL61+BN61</f>
        <v>0</v>
      </c>
      <c r="AH61" s="338">
        <f>AF61-AG61</f>
        <v>0</v>
      </c>
      <c r="AI61" s="336">
        <f>BO61+BQ61+BS61</f>
        <v>21790</v>
      </c>
      <c r="AJ61" s="337">
        <f>BP61+BR61+BT61</f>
        <v>0</v>
      </c>
      <c r="AK61" s="338">
        <f>AI61-AJ61</f>
        <v>21790</v>
      </c>
      <c r="AL61" s="342"/>
      <c r="AM61" s="336">
        <f>Z61+AC61</f>
        <v>0</v>
      </c>
      <c r="AN61" s="339">
        <f>AA61+AD61</f>
        <v>0</v>
      </c>
      <c r="AO61" s="340">
        <f>AM61-AN61</f>
        <v>0</v>
      </c>
      <c r="AP61" s="336">
        <f>Z61+AC61+AF61</f>
        <v>0</v>
      </c>
      <c r="AQ61" s="339">
        <f>AA61+AD61+AG61</f>
        <v>0</v>
      </c>
      <c r="AR61" s="340">
        <f>AP61-AQ61</f>
        <v>0</v>
      </c>
      <c r="AS61" s="341">
        <f>Z61+AC61+AF61+AI61</f>
        <v>21790</v>
      </c>
      <c r="AT61" s="339">
        <f>AA61+AD61+AG61+AJ61</f>
        <v>0</v>
      </c>
      <c r="AU61" s="340">
        <f>AS61-AT61</f>
        <v>21790</v>
      </c>
      <c r="AV61" s="589">
        <f t="shared" si="80"/>
        <v>-7386.7</v>
      </c>
      <c r="AW61" s="343"/>
      <c r="AX61" s="344"/>
      <c r="AY61" s="345"/>
      <c r="AZ61" s="344"/>
      <c r="BA61" s="345"/>
      <c r="BB61" s="346"/>
      <c r="BC61" s="347"/>
      <c r="BD61" s="348"/>
      <c r="BE61" s="349"/>
      <c r="BF61" s="348"/>
      <c r="BG61" s="349"/>
      <c r="BH61" s="350"/>
      <c r="BI61" s="351"/>
      <c r="BJ61" s="352"/>
      <c r="BK61" s="337"/>
      <c r="BL61" s="352"/>
      <c r="BM61" s="337"/>
      <c r="BN61" s="353"/>
      <c r="BO61" s="354">
        <v>21790</v>
      </c>
      <c r="BP61" s="355"/>
      <c r="BQ61" s="356"/>
      <c r="BR61" s="355"/>
      <c r="BS61" s="356"/>
      <c r="BT61" s="357"/>
    </row>
    <row r="62" spans="1:72" s="313" customFormat="1" ht="25.5" outlineLevel="1">
      <c r="A62" s="287">
        <v>52</v>
      </c>
      <c r="B62" s="818"/>
      <c r="C62" s="840"/>
      <c r="D62" s="841"/>
      <c r="E62" s="839"/>
      <c r="F62" s="821" t="s">
        <v>7</v>
      </c>
      <c r="G62" s="314">
        <v>4</v>
      </c>
      <c r="H62" s="739" t="s">
        <v>71</v>
      </c>
      <c r="I62" s="739">
        <v>244</v>
      </c>
      <c r="J62" s="740">
        <v>226</v>
      </c>
      <c r="K62" s="533" t="s">
        <v>345</v>
      </c>
      <c r="L62" s="341">
        <v>0</v>
      </c>
      <c r="M62" s="318"/>
      <c r="N62" s="318"/>
      <c r="O62" s="318">
        <f t="shared" si="26"/>
        <v>0</v>
      </c>
      <c r="P62" s="559"/>
      <c r="Q62" s="336">
        <v>100000</v>
      </c>
      <c r="R62" s="559"/>
      <c r="S62" s="336">
        <v>100000</v>
      </c>
      <c r="T62" s="559"/>
      <c r="U62" s="335"/>
      <c r="V62" s="320" t="s">
        <v>327</v>
      </c>
      <c r="W62" s="388" t="s">
        <v>328</v>
      </c>
      <c r="X62" s="388" t="s">
        <v>329</v>
      </c>
      <c r="Z62" s="336">
        <f t="shared" si="82"/>
        <v>0</v>
      </c>
      <c r="AA62" s="337">
        <f t="shared" si="83"/>
        <v>0</v>
      </c>
      <c r="AB62" s="338">
        <f t="shared" si="84"/>
        <v>0</v>
      </c>
      <c r="AC62" s="336">
        <f t="shared" si="85"/>
        <v>0</v>
      </c>
      <c r="AD62" s="337">
        <f t="shared" si="86"/>
        <v>0</v>
      </c>
      <c r="AE62" s="338">
        <f t="shared" si="87"/>
        <v>0</v>
      </c>
      <c r="AF62" s="336">
        <f t="shared" si="88"/>
        <v>0</v>
      </c>
      <c r="AG62" s="337">
        <f t="shared" si="89"/>
        <v>0</v>
      </c>
      <c r="AH62" s="338">
        <f t="shared" si="90"/>
        <v>0</v>
      </c>
      <c r="AI62" s="336">
        <f t="shared" si="91"/>
        <v>0</v>
      </c>
      <c r="AJ62" s="337">
        <f t="shared" si="92"/>
        <v>0</v>
      </c>
      <c r="AK62" s="338">
        <f t="shared" si="93"/>
        <v>0</v>
      </c>
      <c r="AL62" s="342"/>
      <c r="AM62" s="336">
        <f t="shared" si="94"/>
        <v>0</v>
      </c>
      <c r="AN62" s="339">
        <f t="shared" si="95"/>
        <v>0</v>
      </c>
      <c r="AO62" s="340">
        <f t="shared" si="96"/>
        <v>0</v>
      </c>
      <c r="AP62" s="336">
        <f t="shared" si="97"/>
        <v>0</v>
      </c>
      <c r="AQ62" s="339">
        <f t="shared" si="98"/>
        <v>0</v>
      </c>
      <c r="AR62" s="340">
        <f t="shared" si="99"/>
        <v>0</v>
      </c>
      <c r="AS62" s="341">
        <f t="shared" si="100"/>
        <v>0</v>
      </c>
      <c r="AT62" s="339">
        <f t="shared" si="101"/>
        <v>0</v>
      </c>
      <c r="AU62" s="340">
        <f t="shared" si="102"/>
        <v>0</v>
      </c>
      <c r="AV62" s="589">
        <f t="shared" si="80"/>
        <v>0</v>
      </c>
      <c r="AW62" s="343"/>
      <c r="AX62" s="344"/>
      <c r="AY62" s="345"/>
      <c r="AZ62" s="344"/>
      <c r="BA62" s="345"/>
      <c r="BB62" s="346"/>
      <c r="BC62" s="347"/>
      <c r="BD62" s="348"/>
      <c r="BE62" s="349"/>
      <c r="BF62" s="348"/>
      <c r="BG62" s="349"/>
      <c r="BH62" s="350"/>
      <c r="BI62" s="351"/>
      <c r="BJ62" s="352"/>
      <c r="BK62" s="337"/>
      <c r="BL62" s="352"/>
      <c r="BM62" s="337"/>
      <c r="BN62" s="353"/>
      <c r="BO62" s="354"/>
      <c r="BP62" s="355"/>
      <c r="BQ62" s="356"/>
      <c r="BR62" s="355"/>
      <c r="BS62" s="356"/>
      <c r="BT62" s="357"/>
    </row>
    <row r="63" spans="1:72" s="313" customFormat="1" ht="25.5" outlineLevel="1">
      <c r="A63" s="287">
        <v>53</v>
      </c>
      <c r="B63" s="818"/>
      <c r="C63" s="840"/>
      <c r="D63" s="841"/>
      <c r="E63" s="839"/>
      <c r="F63" s="821" t="s">
        <v>7</v>
      </c>
      <c r="G63" s="314">
        <v>4</v>
      </c>
      <c r="H63" s="739" t="s">
        <v>71</v>
      </c>
      <c r="I63" s="739">
        <v>244</v>
      </c>
      <c r="J63" s="740">
        <v>226</v>
      </c>
      <c r="K63" s="533" t="s">
        <v>346</v>
      </c>
      <c r="L63" s="341">
        <f>15000*12</f>
        <v>180000</v>
      </c>
      <c r="M63" s="318"/>
      <c r="N63" s="318"/>
      <c r="O63" s="318">
        <f t="shared" si="26"/>
        <v>180000</v>
      </c>
      <c r="P63" s="559"/>
      <c r="Q63" s="336">
        <v>180000</v>
      </c>
      <c r="R63" s="559"/>
      <c r="S63" s="336">
        <v>180000</v>
      </c>
      <c r="T63" s="559"/>
      <c r="U63" s="335"/>
      <c r="V63" s="596" t="s">
        <v>341</v>
      </c>
      <c r="W63" s="597" t="s">
        <v>425</v>
      </c>
      <c r="X63" s="597" t="s">
        <v>426</v>
      </c>
      <c r="Z63" s="336">
        <f t="shared" ref="Z63:AA66" si="135">AW63+AY63+BA63</f>
        <v>30000</v>
      </c>
      <c r="AA63" s="337">
        <f t="shared" si="135"/>
        <v>0</v>
      </c>
      <c r="AB63" s="338">
        <f>Z63-AA63</f>
        <v>30000</v>
      </c>
      <c r="AC63" s="336">
        <f t="shared" ref="AC63:AD66" si="136">BC63+BE63+BG63</f>
        <v>45000</v>
      </c>
      <c r="AD63" s="337">
        <f t="shared" si="136"/>
        <v>0</v>
      </c>
      <c r="AE63" s="338">
        <f>AC63-AD63</f>
        <v>45000</v>
      </c>
      <c r="AF63" s="336">
        <f t="shared" ref="AF63:AG66" si="137">BI63+BK63+BM63</f>
        <v>15000</v>
      </c>
      <c r="AG63" s="337">
        <f t="shared" si="137"/>
        <v>0</v>
      </c>
      <c r="AH63" s="338">
        <f>AF63-AG63</f>
        <v>15000</v>
      </c>
      <c r="AI63" s="336">
        <f t="shared" ref="AI63:AJ66" si="138">BO63+BQ63+BS63</f>
        <v>0</v>
      </c>
      <c r="AJ63" s="337">
        <f t="shared" si="138"/>
        <v>0</v>
      </c>
      <c r="AK63" s="338">
        <f>AI63-AJ63</f>
        <v>0</v>
      </c>
      <c r="AL63" s="342"/>
      <c r="AM63" s="336">
        <f t="shared" ref="AM63:AN66" si="139">Z63+AC63</f>
        <v>75000</v>
      </c>
      <c r="AN63" s="339">
        <f t="shared" si="139"/>
        <v>0</v>
      </c>
      <c r="AO63" s="340">
        <f>AM63-AN63</f>
        <v>75000</v>
      </c>
      <c r="AP63" s="336">
        <f t="shared" ref="AP63:AQ66" si="140">Z63+AC63+AF63</f>
        <v>90000</v>
      </c>
      <c r="AQ63" s="339">
        <f t="shared" si="140"/>
        <v>0</v>
      </c>
      <c r="AR63" s="340">
        <f>AP63-AQ63</f>
        <v>90000</v>
      </c>
      <c r="AS63" s="341">
        <f t="shared" ref="AS63:AT66" si="141">Z63+AC63+AF63+AI63</f>
        <v>90000</v>
      </c>
      <c r="AT63" s="339">
        <f t="shared" si="141"/>
        <v>0</v>
      </c>
      <c r="AU63" s="340">
        <f>AS63-AT63</f>
        <v>90000</v>
      </c>
      <c r="AV63" s="589">
        <f t="shared" si="80"/>
        <v>90000</v>
      </c>
      <c r="AW63" s="343"/>
      <c r="AX63" s="344"/>
      <c r="AY63" s="345">
        <v>15000</v>
      </c>
      <c r="AZ63" s="344"/>
      <c r="BA63" s="345">
        <v>15000</v>
      </c>
      <c r="BB63" s="346"/>
      <c r="BC63" s="347">
        <v>15000</v>
      </c>
      <c r="BD63" s="348"/>
      <c r="BE63" s="349">
        <v>15000</v>
      </c>
      <c r="BF63" s="348"/>
      <c r="BG63" s="349">
        <v>15000</v>
      </c>
      <c r="BH63" s="350"/>
      <c r="BI63" s="351">
        <v>15000</v>
      </c>
      <c r="BJ63" s="352"/>
      <c r="BK63" s="337"/>
      <c r="BL63" s="352"/>
      <c r="BM63" s="337"/>
      <c r="BN63" s="353"/>
      <c r="BO63" s="354"/>
      <c r="BP63" s="355"/>
      <c r="BQ63" s="356"/>
      <c r="BR63" s="355"/>
      <c r="BS63" s="356"/>
      <c r="BT63" s="357"/>
    </row>
    <row r="64" spans="1:72" s="313" customFormat="1" ht="38.25" outlineLevel="1">
      <c r="A64" s="287">
        <v>54</v>
      </c>
      <c r="B64" s="818"/>
      <c r="C64" s="840"/>
      <c r="D64" s="841"/>
      <c r="E64" s="839"/>
      <c r="F64" s="821" t="s">
        <v>7</v>
      </c>
      <c r="G64" s="314">
        <v>4</v>
      </c>
      <c r="H64" s="739" t="s">
        <v>71</v>
      </c>
      <c r="I64" s="739">
        <v>244</v>
      </c>
      <c r="J64" s="740">
        <v>226</v>
      </c>
      <c r="K64" s="533" t="s">
        <v>371</v>
      </c>
      <c r="L64" s="341">
        <f>9933.32+691.92</f>
        <v>10625.24</v>
      </c>
      <c r="M64" s="318"/>
      <c r="N64" s="318"/>
      <c r="O64" s="318">
        <f t="shared" si="26"/>
        <v>10625.24</v>
      </c>
      <c r="P64" s="559"/>
      <c r="Q64" s="336">
        <v>9933.32</v>
      </c>
      <c r="R64" s="559"/>
      <c r="S64" s="336">
        <v>9933.32</v>
      </c>
      <c r="T64" s="559"/>
      <c r="U64" s="335"/>
      <c r="V64" s="388" t="s">
        <v>384</v>
      </c>
      <c r="W64" s="320"/>
      <c r="X64" s="320"/>
      <c r="Z64" s="336">
        <f t="shared" si="135"/>
        <v>10625.24</v>
      </c>
      <c r="AA64" s="337">
        <f t="shared" si="135"/>
        <v>0</v>
      </c>
      <c r="AB64" s="338">
        <f>Z64-AA64</f>
        <v>10625.24</v>
      </c>
      <c r="AC64" s="336">
        <f t="shared" si="136"/>
        <v>0</v>
      </c>
      <c r="AD64" s="337">
        <f t="shared" si="136"/>
        <v>0</v>
      </c>
      <c r="AE64" s="338">
        <f>AC64-AD64</f>
        <v>0</v>
      </c>
      <c r="AF64" s="336">
        <f t="shared" si="137"/>
        <v>0</v>
      </c>
      <c r="AG64" s="337">
        <f t="shared" si="137"/>
        <v>0</v>
      </c>
      <c r="AH64" s="338">
        <f>AF64-AG64</f>
        <v>0</v>
      </c>
      <c r="AI64" s="336">
        <f t="shared" si="138"/>
        <v>0</v>
      </c>
      <c r="AJ64" s="337">
        <f t="shared" si="138"/>
        <v>0</v>
      </c>
      <c r="AK64" s="338">
        <f>AI64-AJ64</f>
        <v>0</v>
      </c>
      <c r="AL64" s="342"/>
      <c r="AM64" s="336">
        <f t="shared" si="139"/>
        <v>10625.24</v>
      </c>
      <c r="AN64" s="339">
        <f t="shared" si="139"/>
        <v>0</v>
      </c>
      <c r="AO64" s="340">
        <f>AM64-AN64</f>
        <v>10625.24</v>
      </c>
      <c r="AP64" s="336">
        <f t="shared" si="140"/>
        <v>10625.24</v>
      </c>
      <c r="AQ64" s="339">
        <f t="shared" si="140"/>
        <v>0</v>
      </c>
      <c r="AR64" s="340">
        <f>AP64-AQ64</f>
        <v>10625.24</v>
      </c>
      <c r="AS64" s="341">
        <f t="shared" si="141"/>
        <v>10625.24</v>
      </c>
      <c r="AT64" s="339">
        <f t="shared" si="141"/>
        <v>0</v>
      </c>
      <c r="AU64" s="340">
        <f>AS64-AT64</f>
        <v>10625.24</v>
      </c>
      <c r="AV64" s="589">
        <f t="shared" si="80"/>
        <v>0</v>
      </c>
      <c r="AW64" s="343"/>
      <c r="AX64" s="344"/>
      <c r="AY64" s="345">
        <f>9933.32+691.92</f>
        <v>10625.24</v>
      </c>
      <c r="AZ64" s="344"/>
      <c r="BA64" s="345"/>
      <c r="BB64" s="346"/>
      <c r="BC64" s="347"/>
      <c r="BD64" s="348"/>
      <c r="BE64" s="349"/>
      <c r="BF64" s="348"/>
      <c r="BG64" s="349"/>
      <c r="BH64" s="350"/>
      <c r="BI64" s="351"/>
      <c r="BJ64" s="352"/>
      <c r="BK64" s="337"/>
      <c r="BL64" s="352"/>
      <c r="BM64" s="337"/>
      <c r="BN64" s="353"/>
      <c r="BO64" s="354"/>
      <c r="BP64" s="355"/>
      <c r="BQ64" s="356"/>
      <c r="BR64" s="355"/>
      <c r="BS64" s="356"/>
      <c r="BT64" s="357"/>
    </row>
    <row r="65" spans="1:72" s="313" customFormat="1" ht="38.25" outlineLevel="1">
      <c r="A65" s="287">
        <v>55</v>
      </c>
      <c r="B65" s="818"/>
      <c r="C65" s="840"/>
      <c r="D65" s="841"/>
      <c r="E65" s="839"/>
      <c r="F65" s="821" t="s">
        <v>7</v>
      </c>
      <c r="G65" s="314">
        <v>4</v>
      </c>
      <c r="H65" s="739" t="s">
        <v>71</v>
      </c>
      <c r="I65" s="739">
        <v>244</v>
      </c>
      <c r="J65" s="740">
        <v>226</v>
      </c>
      <c r="K65" s="533" t="s">
        <v>396</v>
      </c>
      <c r="L65" s="341">
        <f>8333.33*12</f>
        <v>99999.96</v>
      </c>
      <c r="M65" s="318"/>
      <c r="N65" s="318"/>
      <c r="O65" s="318">
        <f t="shared" si="26"/>
        <v>99999.96</v>
      </c>
      <c r="P65" s="559"/>
      <c r="Q65" s="336">
        <v>99999.96</v>
      </c>
      <c r="R65" s="559"/>
      <c r="S65" s="336">
        <v>99999.96</v>
      </c>
      <c r="T65" s="559"/>
      <c r="U65" s="335"/>
      <c r="V65" s="596" t="s">
        <v>331</v>
      </c>
      <c r="W65" s="597" t="s">
        <v>386</v>
      </c>
      <c r="X65" s="597" t="s">
        <v>381</v>
      </c>
      <c r="Z65" s="336">
        <f t="shared" si="135"/>
        <v>16666.66</v>
      </c>
      <c r="AA65" s="337">
        <f t="shared" si="135"/>
        <v>0</v>
      </c>
      <c r="AB65" s="338">
        <f>Z65-AA65</f>
        <v>16666.66</v>
      </c>
      <c r="AC65" s="336">
        <f t="shared" si="136"/>
        <v>24999.99</v>
      </c>
      <c r="AD65" s="337">
        <f t="shared" si="136"/>
        <v>0</v>
      </c>
      <c r="AE65" s="338">
        <f>AC65-AD65</f>
        <v>24999.99</v>
      </c>
      <c r="AF65" s="336">
        <f t="shared" si="137"/>
        <v>24999.99</v>
      </c>
      <c r="AG65" s="337">
        <f t="shared" si="137"/>
        <v>0</v>
      </c>
      <c r="AH65" s="338">
        <f>AF65-AG65</f>
        <v>24999.99</v>
      </c>
      <c r="AI65" s="336">
        <f t="shared" si="138"/>
        <v>33333.32</v>
      </c>
      <c r="AJ65" s="337">
        <f t="shared" si="138"/>
        <v>0</v>
      </c>
      <c r="AK65" s="338">
        <f>AI65-AJ65</f>
        <v>33333.32</v>
      </c>
      <c r="AL65" s="342"/>
      <c r="AM65" s="336">
        <f t="shared" si="139"/>
        <v>41666.65</v>
      </c>
      <c r="AN65" s="339">
        <f t="shared" si="139"/>
        <v>0</v>
      </c>
      <c r="AO65" s="340">
        <f>AM65-AN65</f>
        <v>41666.65</v>
      </c>
      <c r="AP65" s="336">
        <f t="shared" si="140"/>
        <v>66666.64</v>
      </c>
      <c r="AQ65" s="339">
        <f t="shared" si="140"/>
        <v>0</v>
      </c>
      <c r="AR65" s="340">
        <f>AP65-AQ65</f>
        <v>66666.64</v>
      </c>
      <c r="AS65" s="341">
        <f t="shared" si="141"/>
        <v>99999.96</v>
      </c>
      <c r="AT65" s="339">
        <f t="shared" si="141"/>
        <v>0</v>
      </c>
      <c r="AU65" s="340">
        <f>AS65-AT65</f>
        <v>99999.96</v>
      </c>
      <c r="AV65" s="589">
        <f t="shared" si="80"/>
        <v>0</v>
      </c>
      <c r="AW65" s="343"/>
      <c r="AX65" s="344"/>
      <c r="AY65" s="345">
        <v>8333.33</v>
      </c>
      <c r="AZ65" s="344"/>
      <c r="BA65" s="345">
        <v>8333.33</v>
      </c>
      <c r="BB65" s="346"/>
      <c r="BC65" s="347">
        <v>8333.33</v>
      </c>
      <c r="BD65" s="348"/>
      <c r="BE65" s="349">
        <v>8333.33</v>
      </c>
      <c r="BF65" s="348"/>
      <c r="BG65" s="349">
        <v>8333.33</v>
      </c>
      <c r="BH65" s="350"/>
      <c r="BI65" s="351">
        <v>8333.33</v>
      </c>
      <c r="BJ65" s="352"/>
      <c r="BK65" s="337">
        <v>8333.33</v>
      </c>
      <c r="BL65" s="352"/>
      <c r="BM65" s="337">
        <v>8333.33</v>
      </c>
      <c r="BN65" s="353"/>
      <c r="BO65" s="354">
        <v>8333.33</v>
      </c>
      <c r="BP65" s="355"/>
      <c r="BQ65" s="356">
        <v>8333.33</v>
      </c>
      <c r="BR65" s="355"/>
      <c r="BS65" s="356">
        <f>8333.33*2</f>
        <v>16666.66</v>
      </c>
      <c r="BT65" s="357"/>
    </row>
    <row r="66" spans="1:72" s="313" customFormat="1" ht="38.25" outlineLevel="1">
      <c r="A66" s="287">
        <v>56</v>
      </c>
      <c r="B66" s="818"/>
      <c r="C66" s="840"/>
      <c r="D66" s="841"/>
      <c r="E66" s="839"/>
      <c r="F66" s="821" t="s">
        <v>7</v>
      </c>
      <c r="G66" s="314">
        <v>4</v>
      </c>
      <c r="H66" s="739" t="s">
        <v>71</v>
      </c>
      <c r="I66" s="739">
        <v>244</v>
      </c>
      <c r="J66" s="740">
        <v>226</v>
      </c>
      <c r="K66" s="533" t="s">
        <v>347</v>
      </c>
      <c r="L66" s="341">
        <v>0</v>
      </c>
      <c r="M66" s="318"/>
      <c r="N66" s="318"/>
      <c r="O66" s="318">
        <f t="shared" si="26"/>
        <v>0</v>
      </c>
      <c r="P66" s="559"/>
      <c r="Q66" s="336">
        <v>0</v>
      </c>
      <c r="R66" s="559"/>
      <c r="S66" s="336">
        <v>0</v>
      </c>
      <c r="T66" s="559"/>
      <c r="U66" s="335"/>
      <c r="V66" s="320" t="s">
        <v>338</v>
      </c>
      <c r="W66" s="388" t="s">
        <v>339</v>
      </c>
      <c r="X66" s="388" t="s">
        <v>340</v>
      </c>
      <c r="Z66" s="336">
        <f t="shared" si="135"/>
        <v>0</v>
      </c>
      <c r="AA66" s="337">
        <f t="shared" si="135"/>
        <v>0</v>
      </c>
      <c r="AB66" s="338">
        <f>Z66-AA66</f>
        <v>0</v>
      </c>
      <c r="AC66" s="336">
        <f t="shared" si="136"/>
        <v>0</v>
      </c>
      <c r="AD66" s="337">
        <f t="shared" si="136"/>
        <v>0</v>
      </c>
      <c r="AE66" s="338">
        <f>AC66-AD66</f>
        <v>0</v>
      </c>
      <c r="AF66" s="336">
        <f t="shared" si="137"/>
        <v>0</v>
      </c>
      <c r="AG66" s="337">
        <f t="shared" si="137"/>
        <v>0</v>
      </c>
      <c r="AH66" s="338">
        <f>AF66-AG66</f>
        <v>0</v>
      </c>
      <c r="AI66" s="336">
        <f t="shared" si="138"/>
        <v>0</v>
      </c>
      <c r="AJ66" s="337">
        <f t="shared" si="138"/>
        <v>0</v>
      </c>
      <c r="AK66" s="338">
        <f>AI66-AJ66</f>
        <v>0</v>
      </c>
      <c r="AL66" s="342"/>
      <c r="AM66" s="336">
        <f t="shared" si="139"/>
        <v>0</v>
      </c>
      <c r="AN66" s="339">
        <f t="shared" si="139"/>
        <v>0</v>
      </c>
      <c r="AO66" s="340">
        <f>AM66-AN66</f>
        <v>0</v>
      </c>
      <c r="AP66" s="336">
        <f t="shared" si="140"/>
        <v>0</v>
      </c>
      <c r="AQ66" s="339">
        <f t="shared" si="140"/>
        <v>0</v>
      </c>
      <c r="AR66" s="340">
        <f>AP66-AQ66</f>
        <v>0</v>
      </c>
      <c r="AS66" s="341">
        <f t="shared" si="141"/>
        <v>0</v>
      </c>
      <c r="AT66" s="339">
        <f t="shared" si="141"/>
        <v>0</v>
      </c>
      <c r="AU66" s="340">
        <f>AS66-AT66</f>
        <v>0</v>
      </c>
      <c r="AV66" s="589">
        <f t="shared" si="80"/>
        <v>0</v>
      </c>
      <c r="AW66" s="343"/>
      <c r="AX66" s="344"/>
      <c r="AY66" s="345"/>
      <c r="AZ66" s="344"/>
      <c r="BA66" s="345"/>
      <c r="BB66" s="346"/>
      <c r="BC66" s="347"/>
      <c r="BD66" s="348"/>
      <c r="BE66" s="349"/>
      <c r="BF66" s="348"/>
      <c r="BG66" s="349"/>
      <c r="BH66" s="350"/>
      <c r="BI66" s="351"/>
      <c r="BJ66" s="352"/>
      <c r="BK66" s="337"/>
      <c r="BL66" s="352"/>
      <c r="BM66" s="337"/>
      <c r="BN66" s="353"/>
      <c r="BO66" s="354"/>
      <c r="BP66" s="355"/>
      <c r="BQ66" s="356"/>
      <c r="BR66" s="355"/>
      <c r="BS66" s="356"/>
      <c r="BT66" s="357"/>
    </row>
    <row r="67" spans="1:72" s="313" customFormat="1" ht="38.25" outlineLevel="1">
      <c r="A67" s="287">
        <v>57</v>
      </c>
      <c r="B67" s="818"/>
      <c r="C67" s="840"/>
      <c r="D67" s="841"/>
      <c r="E67" s="839"/>
      <c r="F67" s="821" t="s">
        <v>7</v>
      </c>
      <c r="G67" s="314">
        <v>4</v>
      </c>
      <c r="H67" s="739" t="s">
        <v>71</v>
      </c>
      <c r="I67" s="739">
        <v>244</v>
      </c>
      <c r="J67" s="740">
        <v>226</v>
      </c>
      <c r="K67" s="533" t="s">
        <v>352</v>
      </c>
      <c r="L67" s="341">
        <f>33361.68+4028.04-691.92</f>
        <v>36697.800000000003</v>
      </c>
      <c r="M67" s="318"/>
      <c r="N67" s="318"/>
      <c r="O67" s="318">
        <f t="shared" si="26"/>
        <v>36697.800000000003</v>
      </c>
      <c r="P67" s="559"/>
      <c r="Q67" s="336">
        <v>33361.68</v>
      </c>
      <c r="R67" s="559"/>
      <c r="S67" s="336">
        <v>33361.68</v>
      </c>
      <c r="T67" s="559"/>
      <c r="U67" s="335"/>
      <c r="V67" s="596" t="s">
        <v>253</v>
      </c>
      <c r="W67" s="597" t="s">
        <v>394</v>
      </c>
      <c r="X67" s="597" t="s">
        <v>381</v>
      </c>
      <c r="Z67" s="336">
        <f t="shared" si="82"/>
        <v>6116.3</v>
      </c>
      <c r="AA67" s="337">
        <f t="shared" si="83"/>
        <v>0</v>
      </c>
      <c r="AB67" s="338">
        <f t="shared" si="84"/>
        <v>6116.3</v>
      </c>
      <c r="AC67" s="336">
        <f t="shared" si="85"/>
        <v>9174.4500000000007</v>
      </c>
      <c r="AD67" s="337">
        <f t="shared" si="86"/>
        <v>0</v>
      </c>
      <c r="AE67" s="338">
        <f t="shared" si="87"/>
        <v>9174.4500000000007</v>
      </c>
      <c r="AF67" s="336">
        <f t="shared" si="88"/>
        <v>9174.4500000000007</v>
      </c>
      <c r="AG67" s="337">
        <f t="shared" si="89"/>
        <v>0</v>
      </c>
      <c r="AH67" s="338">
        <f t="shared" si="90"/>
        <v>9174.4500000000007</v>
      </c>
      <c r="AI67" s="336">
        <f t="shared" si="91"/>
        <v>12232.6</v>
      </c>
      <c r="AJ67" s="337">
        <f t="shared" si="92"/>
        <v>0</v>
      </c>
      <c r="AK67" s="338">
        <f t="shared" si="93"/>
        <v>12232.6</v>
      </c>
      <c r="AL67" s="342"/>
      <c r="AM67" s="336">
        <f t="shared" si="94"/>
        <v>15290.75</v>
      </c>
      <c r="AN67" s="339">
        <f t="shared" si="95"/>
        <v>0</v>
      </c>
      <c r="AO67" s="340">
        <f t="shared" si="96"/>
        <v>15290.75</v>
      </c>
      <c r="AP67" s="336">
        <f t="shared" si="97"/>
        <v>24465.200000000001</v>
      </c>
      <c r="AQ67" s="339">
        <f t="shared" si="98"/>
        <v>0</v>
      </c>
      <c r="AR67" s="340">
        <f t="shared" si="99"/>
        <v>24465.200000000001</v>
      </c>
      <c r="AS67" s="341">
        <f t="shared" si="100"/>
        <v>36697.800000000003</v>
      </c>
      <c r="AT67" s="339">
        <f t="shared" si="101"/>
        <v>0</v>
      </c>
      <c r="AU67" s="340">
        <f t="shared" si="102"/>
        <v>36697.800000000003</v>
      </c>
      <c r="AV67" s="589">
        <f t="shared" si="80"/>
        <v>0</v>
      </c>
      <c r="AW67" s="343"/>
      <c r="AX67" s="344"/>
      <c r="AY67" s="345">
        <f>104.24+2171.99+781.92</f>
        <v>3058.15</v>
      </c>
      <c r="AZ67" s="344"/>
      <c r="BA67" s="345">
        <f>104.24+2171.99+781.92</f>
        <v>3058.15</v>
      </c>
      <c r="BB67" s="346"/>
      <c r="BC67" s="347">
        <f>104.24+2171.99+781.92</f>
        <v>3058.15</v>
      </c>
      <c r="BD67" s="348"/>
      <c r="BE67" s="349">
        <f>104.24+2171.99+781.92</f>
        <v>3058.15</v>
      </c>
      <c r="BF67" s="348"/>
      <c r="BG67" s="349">
        <f>104.24+2171.99+781.92</f>
        <v>3058.15</v>
      </c>
      <c r="BH67" s="350"/>
      <c r="BI67" s="351">
        <f>104.24+2171.99+781.92</f>
        <v>3058.15</v>
      </c>
      <c r="BJ67" s="352"/>
      <c r="BK67" s="337">
        <f>104.24+2171.99+781.92</f>
        <v>3058.15</v>
      </c>
      <c r="BL67" s="352"/>
      <c r="BM67" s="337">
        <f>104.24+2171.99+781.92</f>
        <v>3058.15</v>
      </c>
      <c r="BN67" s="353"/>
      <c r="BO67" s="354">
        <f>104.24+2171.99+781.92</f>
        <v>3058.15</v>
      </c>
      <c r="BP67" s="355"/>
      <c r="BQ67" s="356">
        <f>104.24+2171.99+781.92</f>
        <v>3058.15</v>
      </c>
      <c r="BR67" s="355"/>
      <c r="BS67" s="356">
        <f>(104.24+2171.99+781.92)*2</f>
        <v>6116.3</v>
      </c>
      <c r="BT67" s="357"/>
    </row>
    <row r="68" spans="1:72" s="313" customFormat="1" ht="25.5" outlineLevel="1">
      <c r="A68" s="287">
        <v>58</v>
      </c>
      <c r="B68" s="818"/>
      <c r="C68" s="840"/>
      <c r="D68" s="841"/>
      <c r="E68" s="839"/>
      <c r="F68" s="821" t="s">
        <v>7</v>
      </c>
      <c r="G68" s="314">
        <v>4</v>
      </c>
      <c r="H68" s="739" t="s">
        <v>71</v>
      </c>
      <c r="I68" s="739">
        <v>244</v>
      </c>
      <c r="J68" s="740">
        <v>226</v>
      </c>
      <c r="K68" s="534" t="s">
        <v>353</v>
      </c>
      <c r="L68" s="341"/>
      <c r="M68" s="318"/>
      <c r="N68" s="318"/>
      <c r="O68" s="318">
        <f t="shared" si="26"/>
        <v>0</v>
      </c>
      <c r="P68" s="559"/>
      <c r="Q68" s="336"/>
      <c r="R68" s="559"/>
      <c r="S68" s="336"/>
      <c r="T68" s="559"/>
      <c r="U68" s="335"/>
      <c r="V68" s="320" t="s">
        <v>335</v>
      </c>
      <c r="W68" s="388" t="s">
        <v>336</v>
      </c>
      <c r="X68" s="388" t="s">
        <v>337</v>
      </c>
      <c r="Z68" s="336">
        <f>AW68+AY68+BA68</f>
        <v>0</v>
      </c>
      <c r="AA68" s="337">
        <f>AX68+AZ68+BB68</f>
        <v>0</v>
      </c>
      <c r="AB68" s="338">
        <f>Z68-AA68</f>
        <v>0</v>
      </c>
      <c r="AC68" s="336">
        <f>BC68+BE68+BG68</f>
        <v>0</v>
      </c>
      <c r="AD68" s="337">
        <f>BD68+BF68+BH68</f>
        <v>0</v>
      </c>
      <c r="AE68" s="338">
        <f>AC68-AD68</f>
        <v>0</v>
      </c>
      <c r="AF68" s="336">
        <f>BI68+BK68+BM68</f>
        <v>0</v>
      </c>
      <c r="AG68" s="337">
        <f>BJ68+BL68+BN68</f>
        <v>0</v>
      </c>
      <c r="AH68" s="338">
        <f>AF68-AG68</f>
        <v>0</v>
      </c>
      <c r="AI68" s="336">
        <f>BO68+BQ68+BS68</f>
        <v>0</v>
      </c>
      <c r="AJ68" s="337">
        <f>BP68+BR68+BT68</f>
        <v>0</v>
      </c>
      <c r="AK68" s="338">
        <f>AI68-AJ68</f>
        <v>0</v>
      </c>
      <c r="AL68" s="342"/>
      <c r="AM68" s="336">
        <f>Z68+AC68</f>
        <v>0</v>
      </c>
      <c r="AN68" s="339">
        <f>AA68+AD68</f>
        <v>0</v>
      </c>
      <c r="AO68" s="340">
        <f>AM68-AN68</f>
        <v>0</v>
      </c>
      <c r="AP68" s="336">
        <f>Z68+AC68+AF68</f>
        <v>0</v>
      </c>
      <c r="AQ68" s="339">
        <f>AA68+AD68+AG68</f>
        <v>0</v>
      </c>
      <c r="AR68" s="340">
        <f>AP68-AQ68</f>
        <v>0</v>
      </c>
      <c r="AS68" s="341">
        <f>Z68+AC68+AF68+AI68</f>
        <v>0</v>
      </c>
      <c r="AT68" s="339">
        <f>AA68+AD68+AG68+AJ68</f>
        <v>0</v>
      </c>
      <c r="AU68" s="340">
        <f>AS68-AT68</f>
        <v>0</v>
      </c>
      <c r="AV68" s="589">
        <f t="shared" si="80"/>
        <v>0</v>
      </c>
      <c r="AW68" s="343"/>
      <c r="AX68" s="344"/>
      <c r="AY68" s="345"/>
      <c r="AZ68" s="344"/>
      <c r="BA68" s="345"/>
      <c r="BB68" s="346"/>
      <c r="BC68" s="347"/>
      <c r="BD68" s="348"/>
      <c r="BE68" s="349"/>
      <c r="BF68" s="348"/>
      <c r="BG68" s="349"/>
      <c r="BH68" s="350"/>
      <c r="BI68" s="351"/>
      <c r="BJ68" s="352"/>
      <c r="BK68" s="337"/>
      <c r="BL68" s="352"/>
      <c r="BM68" s="337"/>
      <c r="BN68" s="353"/>
      <c r="BO68" s="354"/>
      <c r="BP68" s="355"/>
      <c r="BQ68" s="356"/>
      <c r="BR68" s="355"/>
      <c r="BS68" s="356"/>
      <c r="BT68" s="357"/>
    </row>
    <row r="69" spans="1:72" s="358" customFormat="1" ht="48.75" customHeight="1">
      <c r="A69" s="287">
        <v>59</v>
      </c>
      <c r="B69" s="818"/>
      <c r="C69" s="850" t="s">
        <v>377</v>
      </c>
      <c r="D69" s="838"/>
      <c r="E69" s="836" t="s">
        <v>201</v>
      </c>
      <c r="F69" s="820" t="s">
        <v>7</v>
      </c>
      <c r="G69" s="360">
        <v>4</v>
      </c>
      <c r="H69" s="360" t="s">
        <v>266</v>
      </c>
      <c r="I69" s="360">
        <v>244</v>
      </c>
      <c r="J69" s="361">
        <v>226</v>
      </c>
      <c r="K69" s="532" t="s">
        <v>307</v>
      </c>
      <c r="L69" s="367">
        <v>2100099.31</v>
      </c>
      <c r="M69" s="363"/>
      <c r="N69" s="363"/>
      <c r="O69" s="363">
        <f t="shared" si="26"/>
        <v>2100099.31</v>
      </c>
      <c r="P69" s="557"/>
      <c r="Q69" s="367">
        <f>Q71</f>
        <v>2256788.4500000002</v>
      </c>
      <c r="R69" s="557"/>
      <c r="S69" s="367">
        <f>S71</f>
        <v>2150208.7400000002</v>
      </c>
      <c r="T69" s="557"/>
      <c r="U69" s="365"/>
      <c r="V69" s="366"/>
      <c r="W69" s="366"/>
      <c r="X69" s="366"/>
      <c r="Z69" s="367">
        <f t="shared" si="82"/>
        <v>559569.35</v>
      </c>
      <c r="AA69" s="363">
        <f t="shared" si="83"/>
        <v>0</v>
      </c>
      <c r="AB69" s="280">
        <f t="shared" si="84"/>
        <v>559569.35</v>
      </c>
      <c r="AC69" s="367">
        <f t="shared" si="85"/>
        <v>340187.83</v>
      </c>
      <c r="AD69" s="363">
        <f t="shared" si="86"/>
        <v>0</v>
      </c>
      <c r="AE69" s="280">
        <f t="shared" si="87"/>
        <v>340187.83</v>
      </c>
      <c r="AF69" s="367">
        <f t="shared" si="88"/>
        <v>340187.83</v>
      </c>
      <c r="AG69" s="363">
        <f t="shared" si="89"/>
        <v>0</v>
      </c>
      <c r="AH69" s="280">
        <f t="shared" si="90"/>
        <v>340187.83</v>
      </c>
      <c r="AI69" s="367">
        <f t="shared" si="91"/>
        <v>860154.3</v>
      </c>
      <c r="AJ69" s="363">
        <f t="shared" si="92"/>
        <v>0</v>
      </c>
      <c r="AK69" s="280">
        <f t="shared" si="93"/>
        <v>860154.3</v>
      </c>
      <c r="AL69" s="368"/>
      <c r="AM69" s="367">
        <f t="shared" si="94"/>
        <v>899757.18</v>
      </c>
      <c r="AN69" s="363">
        <f t="shared" si="95"/>
        <v>0</v>
      </c>
      <c r="AO69" s="280">
        <f t="shared" si="96"/>
        <v>899757.18</v>
      </c>
      <c r="AP69" s="367">
        <f t="shared" si="97"/>
        <v>1239945.01</v>
      </c>
      <c r="AQ69" s="363">
        <f t="shared" si="98"/>
        <v>0</v>
      </c>
      <c r="AR69" s="280">
        <f t="shared" si="99"/>
        <v>1239945.01</v>
      </c>
      <c r="AS69" s="367">
        <f t="shared" si="100"/>
        <v>2100099.31</v>
      </c>
      <c r="AT69" s="363">
        <f t="shared" si="101"/>
        <v>0</v>
      </c>
      <c r="AU69" s="280">
        <f t="shared" si="102"/>
        <v>2100099.31</v>
      </c>
      <c r="AV69" s="588">
        <f t="shared" si="80"/>
        <v>0</v>
      </c>
      <c r="AW69" s="367">
        <f t="shared" ref="AW69:BT69" si="142">SUM(AW70,AW77,AW80,AW83,AW92,AW96)</f>
        <v>0</v>
      </c>
      <c r="AX69" s="363">
        <f t="shared" si="142"/>
        <v>0</v>
      </c>
      <c r="AY69" s="363">
        <f t="shared" si="142"/>
        <v>559569.35</v>
      </c>
      <c r="AZ69" s="363">
        <f t="shared" si="142"/>
        <v>0</v>
      </c>
      <c r="BA69" s="363">
        <f t="shared" si="142"/>
        <v>0</v>
      </c>
      <c r="BB69" s="369">
        <f t="shared" si="142"/>
        <v>0</v>
      </c>
      <c r="BC69" s="367">
        <f t="shared" si="142"/>
        <v>340187.83</v>
      </c>
      <c r="BD69" s="363">
        <f t="shared" si="142"/>
        <v>0</v>
      </c>
      <c r="BE69" s="363">
        <f t="shared" si="142"/>
        <v>0</v>
      </c>
      <c r="BF69" s="363">
        <f t="shared" si="142"/>
        <v>0</v>
      </c>
      <c r="BG69" s="363">
        <f t="shared" si="142"/>
        <v>0</v>
      </c>
      <c r="BH69" s="369">
        <f t="shared" si="142"/>
        <v>0</v>
      </c>
      <c r="BI69" s="367">
        <f t="shared" si="142"/>
        <v>0</v>
      </c>
      <c r="BJ69" s="363">
        <f t="shared" si="142"/>
        <v>0</v>
      </c>
      <c r="BK69" s="363">
        <f t="shared" si="142"/>
        <v>100000</v>
      </c>
      <c r="BL69" s="363">
        <f t="shared" si="142"/>
        <v>0</v>
      </c>
      <c r="BM69" s="363">
        <f t="shared" si="142"/>
        <v>240187.83</v>
      </c>
      <c r="BN69" s="369">
        <f t="shared" si="142"/>
        <v>0</v>
      </c>
      <c r="BO69" s="367">
        <f t="shared" si="142"/>
        <v>233059.9</v>
      </c>
      <c r="BP69" s="363">
        <f t="shared" si="142"/>
        <v>0</v>
      </c>
      <c r="BQ69" s="363">
        <f t="shared" si="142"/>
        <v>534034.63</v>
      </c>
      <c r="BR69" s="363">
        <f t="shared" si="142"/>
        <v>0</v>
      </c>
      <c r="BS69" s="363">
        <f t="shared" si="142"/>
        <v>93059.77</v>
      </c>
      <c r="BT69" s="280">
        <f t="shared" si="142"/>
        <v>0</v>
      </c>
    </row>
    <row r="70" spans="1:72" s="459" customFormat="1" ht="54" customHeight="1" outlineLevel="1">
      <c r="A70" s="287">
        <v>60</v>
      </c>
      <c r="B70" s="818"/>
      <c r="C70" s="850" t="s">
        <v>378</v>
      </c>
      <c r="D70" s="854" t="s">
        <v>271</v>
      </c>
      <c r="E70" s="855"/>
      <c r="F70" s="826" t="s">
        <v>7</v>
      </c>
      <c r="G70" s="462">
        <v>4</v>
      </c>
      <c r="H70" s="741" t="s">
        <v>70</v>
      </c>
      <c r="I70" s="741">
        <v>244</v>
      </c>
      <c r="J70" s="742">
        <v>226</v>
      </c>
      <c r="K70" s="535" t="s">
        <v>280</v>
      </c>
      <c r="L70" s="464">
        <v>559569.35</v>
      </c>
      <c r="M70" s="352"/>
      <c r="N70" s="352"/>
      <c r="O70" s="352">
        <f t="shared" si="26"/>
        <v>559569.35</v>
      </c>
      <c r="P70" s="561"/>
      <c r="Q70" s="464">
        <f>Q71</f>
        <v>2256788.4500000002</v>
      </c>
      <c r="R70" s="561"/>
      <c r="S70" s="464">
        <f>S71</f>
        <v>2150208.7400000002</v>
      </c>
      <c r="T70" s="561"/>
      <c r="U70" s="393"/>
      <c r="V70" s="394"/>
      <c r="W70" s="394"/>
      <c r="X70" s="394"/>
      <c r="Y70" s="392"/>
      <c r="Z70" s="395">
        <f t="shared" si="82"/>
        <v>559569.35</v>
      </c>
      <c r="AA70" s="396">
        <f t="shared" si="83"/>
        <v>0</v>
      </c>
      <c r="AB70" s="397">
        <f t="shared" si="84"/>
        <v>559569.35</v>
      </c>
      <c r="AC70" s="395">
        <f t="shared" si="85"/>
        <v>0</v>
      </c>
      <c r="AD70" s="396">
        <f t="shared" si="86"/>
        <v>0</v>
      </c>
      <c r="AE70" s="397">
        <f t="shared" si="87"/>
        <v>0</v>
      </c>
      <c r="AF70" s="395">
        <f t="shared" si="88"/>
        <v>0</v>
      </c>
      <c r="AG70" s="396">
        <f t="shared" si="89"/>
        <v>0</v>
      </c>
      <c r="AH70" s="397">
        <f t="shared" si="90"/>
        <v>0</v>
      </c>
      <c r="AI70" s="395">
        <f t="shared" si="91"/>
        <v>0</v>
      </c>
      <c r="AJ70" s="396">
        <f t="shared" si="92"/>
        <v>0</v>
      </c>
      <c r="AK70" s="397">
        <f t="shared" si="93"/>
        <v>0</v>
      </c>
      <c r="AL70" s="398"/>
      <c r="AM70" s="464">
        <f t="shared" si="94"/>
        <v>559569.35</v>
      </c>
      <c r="AN70" s="352">
        <f t="shared" si="95"/>
        <v>0</v>
      </c>
      <c r="AO70" s="465">
        <f t="shared" si="96"/>
        <v>559569.35</v>
      </c>
      <c r="AP70" s="464">
        <f t="shared" si="97"/>
        <v>559569.35</v>
      </c>
      <c r="AQ70" s="352">
        <f t="shared" si="98"/>
        <v>0</v>
      </c>
      <c r="AR70" s="465">
        <f t="shared" si="99"/>
        <v>559569.35</v>
      </c>
      <c r="AS70" s="464">
        <f t="shared" si="100"/>
        <v>559569.35</v>
      </c>
      <c r="AT70" s="352">
        <f t="shared" si="101"/>
        <v>0</v>
      </c>
      <c r="AU70" s="465">
        <f t="shared" si="102"/>
        <v>559569.35</v>
      </c>
      <c r="AV70" s="600">
        <f t="shared" si="80"/>
        <v>0</v>
      </c>
      <c r="AW70" s="464">
        <f t="shared" ref="AW70:BT70" si="143">SUM(AW71:AW76)</f>
        <v>0</v>
      </c>
      <c r="AX70" s="352">
        <f t="shared" si="143"/>
        <v>0</v>
      </c>
      <c r="AY70" s="352">
        <f t="shared" si="143"/>
        <v>559569.35</v>
      </c>
      <c r="AZ70" s="352">
        <f t="shared" si="143"/>
        <v>0</v>
      </c>
      <c r="BA70" s="352">
        <f t="shared" si="143"/>
        <v>0</v>
      </c>
      <c r="BB70" s="353">
        <f t="shared" si="143"/>
        <v>0</v>
      </c>
      <c r="BC70" s="464">
        <f t="shared" si="143"/>
        <v>0</v>
      </c>
      <c r="BD70" s="352">
        <f t="shared" si="143"/>
        <v>0</v>
      </c>
      <c r="BE70" s="352">
        <f t="shared" si="143"/>
        <v>0</v>
      </c>
      <c r="BF70" s="352">
        <f t="shared" si="143"/>
        <v>0</v>
      </c>
      <c r="BG70" s="352">
        <f t="shared" si="143"/>
        <v>0</v>
      </c>
      <c r="BH70" s="353">
        <f t="shared" si="143"/>
        <v>0</v>
      </c>
      <c r="BI70" s="464">
        <f t="shared" si="143"/>
        <v>0</v>
      </c>
      <c r="BJ70" s="352">
        <f t="shared" si="143"/>
        <v>0</v>
      </c>
      <c r="BK70" s="352">
        <f t="shared" si="143"/>
        <v>0</v>
      </c>
      <c r="BL70" s="352">
        <f t="shared" si="143"/>
        <v>0</v>
      </c>
      <c r="BM70" s="352">
        <f t="shared" si="143"/>
        <v>0</v>
      </c>
      <c r="BN70" s="353">
        <f t="shared" si="143"/>
        <v>0</v>
      </c>
      <c r="BO70" s="464">
        <f t="shared" si="143"/>
        <v>0</v>
      </c>
      <c r="BP70" s="352">
        <f t="shared" si="143"/>
        <v>0</v>
      </c>
      <c r="BQ70" s="352">
        <f t="shared" si="143"/>
        <v>0</v>
      </c>
      <c r="BR70" s="352">
        <f t="shared" si="143"/>
        <v>0</v>
      </c>
      <c r="BS70" s="352">
        <f t="shared" si="143"/>
        <v>0</v>
      </c>
      <c r="BT70" s="465">
        <f t="shared" si="143"/>
        <v>0</v>
      </c>
    </row>
    <row r="71" spans="1:72" s="313" customFormat="1" ht="38.25" customHeight="1" outlineLevel="2">
      <c r="A71" s="287">
        <v>61</v>
      </c>
      <c r="B71" s="818"/>
      <c r="C71" s="840"/>
      <c r="D71" s="841" t="s">
        <v>271</v>
      </c>
      <c r="E71" s="839"/>
      <c r="F71" s="821" t="s">
        <v>7</v>
      </c>
      <c r="G71" s="314">
        <v>4</v>
      </c>
      <c r="H71" s="739" t="s">
        <v>70</v>
      </c>
      <c r="I71" s="739">
        <v>244</v>
      </c>
      <c r="J71" s="740">
        <v>226</v>
      </c>
      <c r="K71" s="533" t="s">
        <v>285</v>
      </c>
      <c r="L71" s="341">
        <v>340187.83</v>
      </c>
      <c r="M71" s="318"/>
      <c r="N71" s="318"/>
      <c r="O71" s="318">
        <f t="shared" si="26"/>
        <v>340187.83</v>
      </c>
      <c r="P71" s="562"/>
      <c r="Q71" s="336">
        <v>2256788.4500000002</v>
      </c>
      <c r="R71" s="562"/>
      <c r="S71" s="336">
        <v>2150208.7400000002</v>
      </c>
      <c r="T71" s="562"/>
      <c r="U71" s="466"/>
      <c r="V71" s="320"/>
      <c r="W71" s="320"/>
      <c r="X71" s="320"/>
      <c r="Z71" s="336">
        <f t="shared" si="82"/>
        <v>340187.83</v>
      </c>
      <c r="AA71" s="337">
        <f t="shared" si="83"/>
        <v>0</v>
      </c>
      <c r="AB71" s="338">
        <f t="shared" si="84"/>
        <v>340187.83</v>
      </c>
      <c r="AC71" s="336">
        <f t="shared" si="85"/>
        <v>0</v>
      </c>
      <c r="AD71" s="337">
        <f t="shared" si="86"/>
        <v>0</v>
      </c>
      <c r="AE71" s="338">
        <f t="shared" si="87"/>
        <v>0</v>
      </c>
      <c r="AF71" s="336">
        <f t="shared" si="88"/>
        <v>0</v>
      </c>
      <c r="AG71" s="337">
        <f t="shared" si="89"/>
        <v>0</v>
      </c>
      <c r="AH71" s="338">
        <f t="shared" si="90"/>
        <v>0</v>
      </c>
      <c r="AI71" s="336">
        <f t="shared" si="91"/>
        <v>0</v>
      </c>
      <c r="AJ71" s="337">
        <f t="shared" si="92"/>
        <v>0</v>
      </c>
      <c r="AK71" s="338">
        <f t="shared" si="93"/>
        <v>0</v>
      </c>
      <c r="AL71" s="342"/>
      <c r="AM71" s="336">
        <f t="shared" si="94"/>
        <v>340187.83</v>
      </c>
      <c r="AN71" s="339">
        <f t="shared" si="95"/>
        <v>0</v>
      </c>
      <c r="AO71" s="340">
        <f t="shared" si="96"/>
        <v>340187.83</v>
      </c>
      <c r="AP71" s="336">
        <f t="shared" si="97"/>
        <v>340187.83</v>
      </c>
      <c r="AQ71" s="339">
        <f t="shared" si="98"/>
        <v>0</v>
      </c>
      <c r="AR71" s="340">
        <f t="shared" si="99"/>
        <v>340187.83</v>
      </c>
      <c r="AS71" s="341">
        <f t="shared" si="100"/>
        <v>340187.83</v>
      </c>
      <c r="AT71" s="339">
        <f t="shared" si="101"/>
        <v>0</v>
      </c>
      <c r="AU71" s="340">
        <f t="shared" si="102"/>
        <v>340187.83</v>
      </c>
      <c r="AV71" s="589">
        <f t="shared" si="80"/>
        <v>0</v>
      </c>
      <c r="AW71" s="343"/>
      <c r="AX71" s="344"/>
      <c r="AY71" s="345">
        <v>340187.83</v>
      </c>
      <c r="AZ71" s="344"/>
      <c r="BA71" s="345"/>
      <c r="BB71" s="346"/>
      <c r="BC71" s="347"/>
      <c r="BD71" s="348"/>
      <c r="BE71" s="349"/>
      <c r="BF71" s="348"/>
      <c r="BG71" s="349"/>
      <c r="BH71" s="350"/>
      <c r="BI71" s="351"/>
      <c r="BJ71" s="352"/>
      <c r="BK71" s="337"/>
      <c r="BL71" s="352"/>
      <c r="BM71" s="337"/>
      <c r="BN71" s="353"/>
      <c r="BO71" s="354"/>
      <c r="BP71" s="355"/>
      <c r="BQ71" s="356"/>
      <c r="BR71" s="355"/>
      <c r="BS71" s="356"/>
      <c r="BT71" s="357"/>
    </row>
    <row r="72" spans="1:72" s="313" customFormat="1" ht="25.5" customHeight="1" outlineLevel="2">
      <c r="A72" s="287">
        <v>62</v>
      </c>
      <c r="B72" s="818"/>
      <c r="C72" s="840"/>
      <c r="D72" s="841" t="s">
        <v>271</v>
      </c>
      <c r="E72" s="839"/>
      <c r="F72" s="821" t="s">
        <v>7</v>
      </c>
      <c r="G72" s="314">
        <v>4</v>
      </c>
      <c r="H72" s="739" t="s">
        <v>70</v>
      </c>
      <c r="I72" s="739">
        <v>244</v>
      </c>
      <c r="J72" s="740">
        <v>226</v>
      </c>
      <c r="K72" s="533" t="s">
        <v>286</v>
      </c>
      <c r="L72" s="341">
        <v>112266.67</v>
      </c>
      <c r="M72" s="318"/>
      <c r="N72" s="318"/>
      <c r="O72" s="318">
        <f t="shared" si="26"/>
        <v>112266.67</v>
      </c>
      <c r="P72" s="562"/>
      <c r="Q72" s="336"/>
      <c r="R72" s="562"/>
      <c r="S72" s="336"/>
      <c r="T72" s="562"/>
      <c r="U72" s="466"/>
      <c r="V72" s="320"/>
      <c r="W72" s="320"/>
      <c r="X72" s="320"/>
      <c r="Z72" s="336">
        <f t="shared" si="82"/>
        <v>112266.67</v>
      </c>
      <c r="AA72" s="337">
        <f t="shared" si="83"/>
        <v>0</v>
      </c>
      <c r="AB72" s="338">
        <f t="shared" si="84"/>
        <v>112266.67</v>
      </c>
      <c r="AC72" s="336">
        <f t="shared" si="85"/>
        <v>0</v>
      </c>
      <c r="AD72" s="337">
        <f t="shared" si="86"/>
        <v>0</v>
      </c>
      <c r="AE72" s="338">
        <f t="shared" si="87"/>
        <v>0</v>
      </c>
      <c r="AF72" s="336">
        <f t="shared" si="88"/>
        <v>0</v>
      </c>
      <c r="AG72" s="337">
        <f t="shared" si="89"/>
        <v>0</v>
      </c>
      <c r="AH72" s="338">
        <f t="shared" si="90"/>
        <v>0</v>
      </c>
      <c r="AI72" s="336">
        <f t="shared" si="91"/>
        <v>0</v>
      </c>
      <c r="AJ72" s="337">
        <f t="shared" si="92"/>
        <v>0</v>
      </c>
      <c r="AK72" s="338">
        <f t="shared" si="93"/>
        <v>0</v>
      </c>
      <c r="AL72" s="342"/>
      <c r="AM72" s="336">
        <f t="shared" si="94"/>
        <v>112266.67</v>
      </c>
      <c r="AN72" s="339">
        <f t="shared" si="95"/>
        <v>0</v>
      </c>
      <c r="AO72" s="340">
        <f t="shared" si="96"/>
        <v>112266.67</v>
      </c>
      <c r="AP72" s="336">
        <f t="shared" si="97"/>
        <v>112266.67</v>
      </c>
      <c r="AQ72" s="339">
        <f t="shared" si="98"/>
        <v>0</v>
      </c>
      <c r="AR72" s="340">
        <f t="shared" si="99"/>
        <v>112266.67</v>
      </c>
      <c r="AS72" s="341">
        <f t="shared" si="100"/>
        <v>112266.67</v>
      </c>
      <c r="AT72" s="339">
        <f t="shared" si="101"/>
        <v>0</v>
      </c>
      <c r="AU72" s="340">
        <f t="shared" si="102"/>
        <v>112266.67</v>
      </c>
      <c r="AV72" s="589">
        <f t="shared" si="80"/>
        <v>0</v>
      </c>
      <c r="AW72" s="343"/>
      <c r="AX72" s="344"/>
      <c r="AY72" s="345">
        <v>112266.67</v>
      </c>
      <c r="AZ72" s="344"/>
      <c r="BA72" s="345"/>
      <c r="BB72" s="346"/>
      <c r="BC72" s="347"/>
      <c r="BD72" s="348"/>
      <c r="BE72" s="349"/>
      <c r="BF72" s="348"/>
      <c r="BG72" s="349"/>
      <c r="BH72" s="350"/>
      <c r="BI72" s="351"/>
      <c r="BJ72" s="352"/>
      <c r="BK72" s="337"/>
      <c r="BL72" s="352"/>
      <c r="BM72" s="337"/>
      <c r="BN72" s="353"/>
      <c r="BO72" s="354"/>
      <c r="BP72" s="355"/>
      <c r="BQ72" s="356"/>
      <c r="BR72" s="355"/>
      <c r="BS72" s="356"/>
      <c r="BT72" s="357"/>
    </row>
    <row r="73" spans="1:72" s="313" customFormat="1" ht="25.5" customHeight="1" outlineLevel="2">
      <c r="A73" s="287">
        <v>63</v>
      </c>
      <c r="B73" s="818"/>
      <c r="C73" s="840"/>
      <c r="D73" s="841" t="s">
        <v>271</v>
      </c>
      <c r="E73" s="839"/>
      <c r="F73" s="821" t="s">
        <v>7</v>
      </c>
      <c r="G73" s="314">
        <v>4</v>
      </c>
      <c r="H73" s="739" t="s">
        <v>70</v>
      </c>
      <c r="I73" s="739">
        <v>244</v>
      </c>
      <c r="J73" s="740">
        <v>226</v>
      </c>
      <c r="K73" s="533" t="s">
        <v>287</v>
      </c>
      <c r="L73" s="341">
        <v>74054.95</v>
      </c>
      <c r="M73" s="318"/>
      <c r="N73" s="318"/>
      <c r="O73" s="318">
        <f t="shared" si="26"/>
        <v>74054.95</v>
      </c>
      <c r="P73" s="562"/>
      <c r="Q73" s="336"/>
      <c r="R73" s="562"/>
      <c r="S73" s="336"/>
      <c r="T73" s="562"/>
      <c r="U73" s="466"/>
      <c r="V73" s="320"/>
      <c r="W73" s="320"/>
      <c r="X73" s="320"/>
      <c r="Z73" s="336">
        <f t="shared" si="82"/>
        <v>74054.95</v>
      </c>
      <c r="AA73" s="337">
        <f t="shared" si="83"/>
        <v>0</v>
      </c>
      <c r="AB73" s="338">
        <f t="shared" si="84"/>
        <v>74054.95</v>
      </c>
      <c r="AC73" s="336">
        <f t="shared" si="85"/>
        <v>0</v>
      </c>
      <c r="AD73" s="337">
        <f t="shared" si="86"/>
        <v>0</v>
      </c>
      <c r="AE73" s="338">
        <f t="shared" si="87"/>
        <v>0</v>
      </c>
      <c r="AF73" s="336">
        <f t="shared" si="88"/>
        <v>0</v>
      </c>
      <c r="AG73" s="337">
        <f t="shared" si="89"/>
        <v>0</v>
      </c>
      <c r="AH73" s="338">
        <f t="shared" si="90"/>
        <v>0</v>
      </c>
      <c r="AI73" s="336">
        <f t="shared" si="91"/>
        <v>0</v>
      </c>
      <c r="AJ73" s="337">
        <f t="shared" si="92"/>
        <v>0</v>
      </c>
      <c r="AK73" s="338">
        <f t="shared" si="93"/>
        <v>0</v>
      </c>
      <c r="AL73" s="342"/>
      <c r="AM73" s="336">
        <f t="shared" si="94"/>
        <v>74054.95</v>
      </c>
      <c r="AN73" s="339">
        <f t="shared" si="95"/>
        <v>0</v>
      </c>
      <c r="AO73" s="340">
        <f t="shared" si="96"/>
        <v>74054.95</v>
      </c>
      <c r="AP73" s="336">
        <f t="shared" si="97"/>
        <v>74054.95</v>
      </c>
      <c r="AQ73" s="339">
        <f t="shared" si="98"/>
        <v>0</v>
      </c>
      <c r="AR73" s="340">
        <f t="shared" si="99"/>
        <v>74054.95</v>
      </c>
      <c r="AS73" s="341">
        <f t="shared" si="100"/>
        <v>74054.95</v>
      </c>
      <c r="AT73" s="339">
        <f t="shared" si="101"/>
        <v>0</v>
      </c>
      <c r="AU73" s="340">
        <f t="shared" si="102"/>
        <v>74054.95</v>
      </c>
      <c r="AV73" s="589">
        <f t="shared" si="80"/>
        <v>0</v>
      </c>
      <c r="AW73" s="343"/>
      <c r="AX73" s="344"/>
      <c r="AY73" s="345">
        <v>74054.95</v>
      </c>
      <c r="AZ73" s="344"/>
      <c r="BA73" s="345"/>
      <c r="BB73" s="346"/>
      <c r="BC73" s="347"/>
      <c r="BD73" s="348"/>
      <c r="BE73" s="349"/>
      <c r="BF73" s="348"/>
      <c r="BG73" s="349"/>
      <c r="BH73" s="350"/>
      <c r="BI73" s="351"/>
      <c r="BJ73" s="352"/>
      <c r="BK73" s="337"/>
      <c r="BL73" s="352"/>
      <c r="BM73" s="337"/>
      <c r="BN73" s="353"/>
      <c r="BO73" s="354"/>
      <c r="BP73" s="355"/>
      <c r="BQ73" s="356"/>
      <c r="BR73" s="355"/>
      <c r="BS73" s="356"/>
      <c r="BT73" s="357"/>
    </row>
    <row r="74" spans="1:72" s="313" customFormat="1" ht="25.5" customHeight="1" outlineLevel="2">
      <c r="A74" s="287">
        <v>64</v>
      </c>
      <c r="B74" s="818"/>
      <c r="C74" s="840"/>
      <c r="D74" s="841" t="s">
        <v>271</v>
      </c>
      <c r="E74" s="839"/>
      <c r="F74" s="821" t="s">
        <v>7</v>
      </c>
      <c r="G74" s="314">
        <v>4</v>
      </c>
      <c r="H74" s="739" t="s">
        <v>70</v>
      </c>
      <c r="I74" s="739">
        <v>244</v>
      </c>
      <c r="J74" s="740">
        <v>226</v>
      </c>
      <c r="K74" s="533" t="s">
        <v>288</v>
      </c>
      <c r="L74" s="341">
        <v>5000</v>
      </c>
      <c r="M74" s="318"/>
      <c r="N74" s="318"/>
      <c r="O74" s="318">
        <f t="shared" si="26"/>
        <v>5000</v>
      </c>
      <c r="P74" s="562"/>
      <c r="Q74" s="336"/>
      <c r="R74" s="562"/>
      <c r="S74" s="336"/>
      <c r="T74" s="562"/>
      <c r="U74" s="466"/>
      <c r="V74" s="320"/>
      <c r="W74" s="320"/>
      <c r="X74" s="320"/>
      <c r="Z74" s="336">
        <f t="shared" si="82"/>
        <v>5000</v>
      </c>
      <c r="AA74" s="337">
        <f t="shared" si="83"/>
        <v>0</v>
      </c>
      <c r="AB74" s="338">
        <f t="shared" si="84"/>
        <v>5000</v>
      </c>
      <c r="AC74" s="336">
        <f t="shared" si="85"/>
        <v>0</v>
      </c>
      <c r="AD74" s="337">
        <f t="shared" si="86"/>
        <v>0</v>
      </c>
      <c r="AE74" s="338">
        <f t="shared" si="87"/>
        <v>0</v>
      </c>
      <c r="AF74" s="336">
        <f t="shared" si="88"/>
        <v>0</v>
      </c>
      <c r="AG74" s="337">
        <f t="shared" si="89"/>
        <v>0</v>
      </c>
      <c r="AH74" s="338">
        <f t="shared" si="90"/>
        <v>0</v>
      </c>
      <c r="AI74" s="336">
        <f t="shared" si="91"/>
        <v>0</v>
      </c>
      <c r="AJ74" s="337">
        <f t="shared" si="92"/>
        <v>0</v>
      </c>
      <c r="AK74" s="338">
        <f t="shared" si="93"/>
        <v>0</v>
      </c>
      <c r="AL74" s="342"/>
      <c r="AM74" s="336">
        <f t="shared" si="94"/>
        <v>5000</v>
      </c>
      <c r="AN74" s="339">
        <f t="shared" si="95"/>
        <v>0</v>
      </c>
      <c r="AO74" s="340">
        <f t="shared" si="96"/>
        <v>5000</v>
      </c>
      <c r="AP74" s="336">
        <f t="shared" si="97"/>
        <v>5000</v>
      </c>
      <c r="AQ74" s="339">
        <f t="shared" si="98"/>
        <v>0</v>
      </c>
      <c r="AR74" s="340">
        <f t="shared" si="99"/>
        <v>5000</v>
      </c>
      <c r="AS74" s="341">
        <f t="shared" si="100"/>
        <v>5000</v>
      </c>
      <c r="AT74" s="339">
        <f t="shared" si="101"/>
        <v>0</v>
      </c>
      <c r="AU74" s="340">
        <f t="shared" si="102"/>
        <v>5000</v>
      </c>
      <c r="AV74" s="589">
        <f t="shared" si="80"/>
        <v>0</v>
      </c>
      <c r="AW74" s="343"/>
      <c r="AX74" s="344"/>
      <c r="AY74" s="345">
        <v>5000</v>
      </c>
      <c r="AZ74" s="344"/>
      <c r="BA74" s="345"/>
      <c r="BB74" s="346"/>
      <c r="BC74" s="347"/>
      <c r="BD74" s="348"/>
      <c r="BE74" s="349"/>
      <c r="BF74" s="348"/>
      <c r="BG74" s="349"/>
      <c r="BH74" s="350"/>
      <c r="BI74" s="351"/>
      <c r="BJ74" s="352"/>
      <c r="BK74" s="337"/>
      <c r="BL74" s="352"/>
      <c r="BM74" s="337"/>
      <c r="BN74" s="353"/>
      <c r="BO74" s="354"/>
      <c r="BP74" s="355"/>
      <c r="BQ74" s="356"/>
      <c r="BR74" s="355"/>
      <c r="BS74" s="356"/>
      <c r="BT74" s="357"/>
    </row>
    <row r="75" spans="1:72" s="313" customFormat="1" ht="25.5" customHeight="1" outlineLevel="2">
      <c r="A75" s="287">
        <v>65</v>
      </c>
      <c r="B75" s="818"/>
      <c r="C75" s="840"/>
      <c r="D75" s="841" t="s">
        <v>271</v>
      </c>
      <c r="E75" s="839"/>
      <c r="F75" s="821" t="s">
        <v>7</v>
      </c>
      <c r="G75" s="314">
        <v>4</v>
      </c>
      <c r="H75" s="739" t="s">
        <v>70</v>
      </c>
      <c r="I75" s="739">
        <v>244</v>
      </c>
      <c r="J75" s="740">
        <v>226</v>
      </c>
      <c r="K75" s="533" t="s">
        <v>289</v>
      </c>
      <c r="L75" s="341">
        <v>28059.9</v>
      </c>
      <c r="M75" s="318"/>
      <c r="N75" s="318"/>
      <c r="O75" s="318">
        <f t="shared" si="26"/>
        <v>28059.9</v>
      </c>
      <c r="P75" s="562"/>
      <c r="Q75" s="336"/>
      <c r="R75" s="562"/>
      <c r="S75" s="336"/>
      <c r="T75" s="562"/>
      <c r="U75" s="466"/>
      <c r="V75" s="320"/>
      <c r="W75" s="320"/>
      <c r="X75" s="320"/>
      <c r="Z75" s="336">
        <f t="shared" si="82"/>
        <v>28059.9</v>
      </c>
      <c r="AA75" s="337">
        <f t="shared" si="83"/>
        <v>0</v>
      </c>
      <c r="AB75" s="338">
        <f t="shared" si="84"/>
        <v>28059.9</v>
      </c>
      <c r="AC75" s="336">
        <f t="shared" si="85"/>
        <v>0</v>
      </c>
      <c r="AD75" s="337">
        <f t="shared" si="86"/>
        <v>0</v>
      </c>
      <c r="AE75" s="338">
        <f t="shared" si="87"/>
        <v>0</v>
      </c>
      <c r="AF75" s="336">
        <f t="shared" si="88"/>
        <v>0</v>
      </c>
      <c r="AG75" s="337">
        <f t="shared" si="89"/>
        <v>0</v>
      </c>
      <c r="AH75" s="338">
        <f t="shared" si="90"/>
        <v>0</v>
      </c>
      <c r="AI75" s="336">
        <f t="shared" si="91"/>
        <v>0</v>
      </c>
      <c r="AJ75" s="337">
        <f t="shared" si="92"/>
        <v>0</v>
      </c>
      <c r="AK75" s="338">
        <f t="shared" si="93"/>
        <v>0</v>
      </c>
      <c r="AL75" s="342"/>
      <c r="AM75" s="336">
        <f t="shared" si="94"/>
        <v>28059.9</v>
      </c>
      <c r="AN75" s="339">
        <f t="shared" si="95"/>
        <v>0</v>
      </c>
      <c r="AO75" s="340">
        <f t="shared" si="96"/>
        <v>28059.9</v>
      </c>
      <c r="AP75" s="336">
        <f t="shared" si="97"/>
        <v>28059.9</v>
      </c>
      <c r="AQ75" s="339">
        <f t="shared" si="98"/>
        <v>0</v>
      </c>
      <c r="AR75" s="340">
        <f t="shared" si="99"/>
        <v>28059.9</v>
      </c>
      <c r="AS75" s="341">
        <f t="shared" si="100"/>
        <v>28059.9</v>
      </c>
      <c r="AT75" s="339">
        <f t="shared" si="101"/>
        <v>0</v>
      </c>
      <c r="AU75" s="340">
        <f t="shared" si="102"/>
        <v>28059.9</v>
      </c>
      <c r="AV75" s="589">
        <f t="shared" si="80"/>
        <v>0</v>
      </c>
      <c r="AW75" s="343"/>
      <c r="AX75" s="344"/>
      <c r="AY75" s="345">
        <v>28059.9</v>
      </c>
      <c r="AZ75" s="344"/>
      <c r="BA75" s="345"/>
      <c r="BB75" s="346"/>
      <c r="BC75" s="347"/>
      <c r="BD75" s="348"/>
      <c r="BE75" s="349"/>
      <c r="BF75" s="348"/>
      <c r="BG75" s="349"/>
      <c r="BH75" s="350"/>
      <c r="BI75" s="351"/>
      <c r="BJ75" s="352"/>
      <c r="BK75" s="337"/>
      <c r="BL75" s="352"/>
      <c r="BM75" s="337"/>
      <c r="BN75" s="353"/>
      <c r="BO75" s="354"/>
      <c r="BP75" s="355"/>
      <c r="BQ75" s="356"/>
      <c r="BR75" s="355"/>
      <c r="BS75" s="356"/>
      <c r="BT75" s="357"/>
    </row>
    <row r="76" spans="1:72" s="430" customFormat="1" ht="25.5" customHeight="1" outlineLevel="2">
      <c r="A76" s="287">
        <v>66</v>
      </c>
      <c r="B76" s="818"/>
      <c r="C76" s="743"/>
      <c r="D76" s="856" t="s">
        <v>271</v>
      </c>
      <c r="E76" s="857"/>
      <c r="F76" s="827" t="s">
        <v>7</v>
      </c>
      <c r="G76" s="431">
        <v>4</v>
      </c>
      <c r="H76" s="474" t="s">
        <v>70</v>
      </c>
      <c r="I76" s="743">
        <v>244</v>
      </c>
      <c r="J76" s="744">
        <v>226</v>
      </c>
      <c r="K76" s="536" t="s">
        <v>284</v>
      </c>
      <c r="L76" s="443"/>
      <c r="M76" s="434"/>
      <c r="N76" s="434"/>
      <c r="O76" s="434">
        <f t="shared" si="26"/>
        <v>0</v>
      </c>
      <c r="P76" s="563"/>
      <c r="Q76" s="437"/>
      <c r="R76" s="563"/>
      <c r="S76" s="437"/>
      <c r="T76" s="563"/>
      <c r="U76" s="467"/>
      <c r="V76" s="436"/>
      <c r="W76" s="436"/>
      <c r="X76" s="436"/>
      <c r="Z76" s="437">
        <f t="shared" si="82"/>
        <v>0</v>
      </c>
      <c r="AA76" s="438">
        <f t="shared" si="83"/>
        <v>0</v>
      </c>
      <c r="AB76" s="439">
        <f t="shared" si="84"/>
        <v>0</v>
      </c>
      <c r="AC76" s="437">
        <f t="shared" si="85"/>
        <v>0</v>
      </c>
      <c r="AD76" s="438">
        <f t="shared" si="86"/>
        <v>0</v>
      </c>
      <c r="AE76" s="439">
        <f t="shared" si="87"/>
        <v>0</v>
      </c>
      <c r="AF76" s="437">
        <f t="shared" si="88"/>
        <v>0</v>
      </c>
      <c r="AG76" s="438">
        <f t="shared" si="89"/>
        <v>0</v>
      </c>
      <c r="AH76" s="439">
        <f t="shared" si="90"/>
        <v>0</v>
      </c>
      <c r="AI76" s="437">
        <f t="shared" si="91"/>
        <v>0</v>
      </c>
      <c r="AJ76" s="438">
        <f t="shared" si="92"/>
        <v>0</v>
      </c>
      <c r="AK76" s="439">
        <f t="shared" si="93"/>
        <v>0</v>
      </c>
      <c r="AL76" s="440"/>
      <c r="AM76" s="437">
        <f t="shared" si="94"/>
        <v>0</v>
      </c>
      <c r="AN76" s="441">
        <f t="shared" si="95"/>
        <v>0</v>
      </c>
      <c r="AO76" s="442">
        <f t="shared" si="96"/>
        <v>0</v>
      </c>
      <c r="AP76" s="437">
        <f t="shared" si="97"/>
        <v>0</v>
      </c>
      <c r="AQ76" s="441">
        <f t="shared" si="98"/>
        <v>0</v>
      </c>
      <c r="AR76" s="442">
        <f t="shared" si="99"/>
        <v>0</v>
      </c>
      <c r="AS76" s="443">
        <f t="shared" si="100"/>
        <v>0</v>
      </c>
      <c r="AT76" s="441">
        <f t="shared" si="101"/>
        <v>0</v>
      </c>
      <c r="AU76" s="442">
        <f t="shared" si="102"/>
        <v>0</v>
      </c>
      <c r="AV76" s="601">
        <f t="shared" si="80"/>
        <v>0</v>
      </c>
      <c r="AW76" s="444"/>
      <c r="AX76" s="445"/>
      <c r="AY76" s="446"/>
      <c r="AZ76" s="445"/>
      <c r="BA76" s="446"/>
      <c r="BB76" s="447"/>
      <c r="BC76" s="448"/>
      <c r="BD76" s="449"/>
      <c r="BE76" s="450"/>
      <c r="BF76" s="449"/>
      <c r="BG76" s="450"/>
      <c r="BH76" s="451"/>
      <c r="BI76" s="452"/>
      <c r="BJ76" s="453"/>
      <c r="BK76" s="438"/>
      <c r="BL76" s="453"/>
      <c r="BM76" s="438"/>
      <c r="BN76" s="454"/>
      <c r="BO76" s="455"/>
      <c r="BP76" s="456"/>
      <c r="BQ76" s="457"/>
      <c r="BR76" s="456"/>
      <c r="BS76" s="457"/>
      <c r="BT76" s="458"/>
    </row>
    <row r="77" spans="1:72" s="468" customFormat="1" ht="79.5" customHeight="1" outlineLevel="1">
      <c r="A77" s="287">
        <v>67</v>
      </c>
      <c r="B77" s="818"/>
      <c r="C77" s="850" t="s">
        <v>378</v>
      </c>
      <c r="D77" s="854" t="s">
        <v>273</v>
      </c>
      <c r="E77" s="858"/>
      <c r="F77" s="828" t="s">
        <v>7</v>
      </c>
      <c r="G77" s="469">
        <v>4</v>
      </c>
      <c r="H77" s="745" t="s">
        <v>70</v>
      </c>
      <c r="I77" s="745">
        <v>244</v>
      </c>
      <c r="J77" s="746">
        <v>226</v>
      </c>
      <c r="K77" s="537" t="s">
        <v>279</v>
      </c>
      <c r="L77" s="472">
        <v>340187.83</v>
      </c>
      <c r="M77" s="422"/>
      <c r="N77" s="422"/>
      <c r="O77" s="422">
        <f t="shared" ref="O77:O130" si="144">L77+N77</f>
        <v>340187.83</v>
      </c>
      <c r="P77" s="564"/>
      <c r="Q77" s="472"/>
      <c r="R77" s="564"/>
      <c r="S77" s="472"/>
      <c r="T77" s="564"/>
      <c r="U77" s="393"/>
      <c r="V77" s="394"/>
      <c r="W77" s="394"/>
      <c r="X77" s="394"/>
      <c r="Y77" s="392"/>
      <c r="Z77" s="395">
        <f t="shared" si="82"/>
        <v>0</v>
      </c>
      <c r="AA77" s="396">
        <f t="shared" si="83"/>
        <v>0</v>
      </c>
      <c r="AB77" s="397">
        <f t="shared" si="84"/>
        <v>0</v>
      </c>
      <c r="AC77" s="395">
        <f t="shared" si="85"/>
        <v>340187.83</v>
      </c>
      <c r="AD77" s="396">
        <f t="shared" si="86"/>
        <v>0</v>
      </c>
      <c r="AE77" s="397">
        <f t="shared" si="87"/>
        <v>340187.83</v>
      </c>
      <c r="AF77" s="395">
        <f t="shared" si="88"/>
        <v>0</v>
      </c>
      <c r="AG77" s="396">
        <f t="shared" si="89"/>
        <v>0</v>
      </c>
      <c r="AH77" s="397">
        <f t="shared" si="90"/>
        <v>0</v>
      </c>
      <c r="AI77" s="395">
        <f t="shared" si="91"/>
        <v>0</v>
      </c>
      <c r="AJ77" s="396">
        <f t="shared" si="92"/>
        <v>0</v>
      </c>
      <c r="AK77" s="397">
        <f t="shared" si="93"/>
        <v>0</v>
      </c>
      <c r="AL77" s="398"/>
      <c r="AM77" s="472">
        <f t="shared" si="94"/>
        <v>340187.83</v>
      </c>
      <c r="AN77" s="422">
        <f t="shared" si="95"/>
        <v>0</v>
      </c>
      <c r="AO77" s="473">
        <f t="shared" si="96"/>
        <v>340187.83</v>
      </c>
      <c r="AP77" s="472">
        <f t="shared" si="97"/>
        <v>340187.83</v>
      </c>
      <c r="AQ77" s="422">
        <f t="shared" si="98"/>
        <v>0</v>
      </c>
      <c r="AR77" s="473">
        <f t="shared" si="99"/>
        <v>340187.83</v>
      </c>
      <c r="AS77" s="472">
        <f t="shared" si="100"/>
        <v>340187.83</v>
      </c>
      <c r="AT77" s="422">
        <f t="shared" si="101"/>
        <v>0</v>
      </c>
      <c r="AU77" s="473">
        <f t="shared" si="102"/>
        <v>340187.83</v>
      </c>
      <c r="AV77" s="602">
        <f t="shared" ref="AV77:AV108" si="145">L77-AS77</f>
        <v>0</v>
      </c>
      <c r="AW77" s="472">
        <f t="shared" ref="AW77:BT77" si="146">SUM(AW78:AW79)</f>
        <v>0</v>
      </c>
      <c r="AX77" s="422">
        <f t="shared" si="146"/>
        <v>0</v>
      </c>
      <c r="AY77" s="422">
        <f t="shared" si="146"/>
        <v>0</v>
      </c>
      <c r="AZ77" s="422">
        <f t="shared" si="146"/>
        <v>0</v>
      </c>
      <c r="BA77" s="422">
        <f t="shared" si="146"/>
        <v>0</v>
      </c>
      <c r="BB77" s="423">
        <f t="shared" si="146"/>
        <v>0</v>
      </c>
      <c r="BC77" s="472">
        <f t="shared" si="146"/>
        <v>340187.83</v>
      </c>
      <c r="BD77" s="422">
        <f t="shared" si="146"/>
        <v>0</v>
      </c>
      <c r="BE77" s="422">
        <f t="shared" si="146"/>
        <v>0</v>
      </c>
      <c r="BF77" s="422">
        <f t="shared" si="146"/>
        <v>0</v>
      </c>
      <c r="BG77" s="422">
        <f t="shared" si="146"/>
        <v>0</v>
      </c>
      <c r="BH77" s="423">
        <f t="shared" si="146"/>
        <v>0</v>
      </c>
      <c r="BI77" s="472">
        <f t="shared" si="146"/>
        <v>0</v>
      </c>
      <c r="BJ77" s="422">
        <f t="shared" si="146"/>
        <v>0</v>
      </c>
      <c r="BK77" s="422">
        <f t="shared" si="146"/>
        <v>0</v>
      </c>
      <c r="BL77" s="422">
        <f t="shared" si="146"/>
        <v>0</v>
      </c>
      <c r="BM77" s="422">
        <f t="shared" si="146"/>
        <v>0</v>
      </c>
      <c r="BN77" s="423">
        <f t="shared" si="146"/>
        <v>0</v>
      </c>
      <c r="BO77" s="472">
        <f t="shared" si="146"/>
        <v>0</v>
      </c>
      <c r="BP77" s="422">
        <f t="shared" si="146"/>
        <v>0</v>
      </c>
      <c r="BQ77" s="422">
        <f t="shared" si="146"/>
        <v>0</v>
      </c>
      <c r="BR77" s="422">
        <f t="shared" si="146"/>
        <v>0</v>
      </c>
      <c r="BS77" s="422">
        <f t="shared" si="146"/>
        <v>0</v>
      </c>
      <c r="BT77" s="473">
        <f t="shared" si="146"/>
        <v>0</v>
      </c>
    </row>
    <row r="78" spans="1:72" s="399" customFormat="1" ht="38.25" customHeight="1" outlineLevel="2">
      <c r="A78" s="287">
        <v>68</v>
      </c>
      <c r="B78" s="818"/>
      <c r="C78" s="859"/>
      <c r="D78" s="841" t="s">
        <v>273</v>
      </c>
      <c r="E78" s="860"/>
      <c r="F78" s="829" t="s">
        <v>7</v>
      </c>
      <c r="G78" s="400">
        <v>4</v>
      </c>
      <c r="H78" s="747" t="s">
        <v>70</v>
      </c>
      <c r="I78" s="747">
        <v>244</v>
      </c>
      <c r="J78" s="748">
        <v>226</v>
      </c>
      <c r="K78" s="538" t="s">
        <v>290</v>
      </c>
      <c r="L78" s="412">
        <v>340187.83</v>
      </c>
      <c r="M78" s="403"/>
      <c r="N78" s="403"/>
      <c r="O78" s="403">
        <f t="shared" si="144"/>
        <v>340187.83</v>
      </c>
      <c r="P78" s="565"/>
      <c r="Q78" s="406"/>
      <c r="R78" s="565"/>
      <c r="S78" s="406"/>
      <c r="T78" s="565"/>
      <c r="U78" s="428"/>
      <c r="V78" s="405"/>
      <c r="W78" s="405"/>
      <c r="X78" s="405"/>
      <c r="Z78" s="406">
        <f t="shared" si="82"/>
        <v>0</v>
      </c>
      <c r="AA78" s="407">
        <f t="shared" si="83"/>
        <v>0</v>
      </c>
      <c r="AB78" s="408">
        <f t="shared" si="84"/>
        <v>0</v>
      </c>
      <c r="AC78" s="406">
        <f t="shared" si="85"/>
        <v>340187.83</v>
      </c>
      <c r="AD78" s="407">
        <f t="shared" si="86"/>
        <v>0</v>
      </c>
      <c r="AE78" s="408">
        <f t="shared" si="87"/>
        <v>340187.83</v>
      </c>
      <c r="AF78" s="406">
        <f t="shared" si="88"/>
        <v>0</v>
      </c>
      <c r="AG78" s="407">
        <f t="shared" si="89"/>
        <v>0</v>
      </c>
      <c r="AH78" s="408">
        <f t="shared" si="90"/>
        <v>0</v>
      </c>
      <c r="AI78" s="406">
        <f t="shared" si="91"/>
        <v>0</v>
      </c>
      <c r="AJ78" s="407">
        <f t="shared" si="92"/>
        <v>0</v>
      </c>
      <c r="AK78" s="408">
        <f t="shared" si="93"/>
        <v>0</v>
      </c>
      <c r="AL78" s="409"/>
      <c r="AM78" s="406">
        <f t="shared" si="94"/>
        <v>340187.83</v>
      </c>
      <c r="AN78" s="410">
        <f t="shared" si="95"/>
        <v>0</v>
      </c>
      <c r="AO78" s="411">
        <f t="shared" si="96"/>
        <v>340187.83</v>
      </c>
      <c r="AP78" s="406">
        <f t="shared" si="97"/>
        <v>340187.83</v>
      </c>
      <c r="AQ78" s="410">
        <f t="shared" si="98"/>
        <v>0</v>
      </c>
      <c r="AR78" s="411">
        <f t="shared" si="99"/>
        <v>340187.83</v>
      </c>
      <c r="AS78" s="412">
        <f t="shared" si="100"/>
        <v>340187.83</v>
      </c>
      <c r="AT78" s="410">
        <f t="shared" si="101"/>
        <v>0</v>
      </c>
      <c r="AU78" s="411">
        <f t="shared" si="102"/>
        <v>340187.83</v>
      </c>
      <c r="AV78" s="603">
        <f t="shared" si="145"/>
        <v>0</v>
      </c>
      <c r="AW78" s="413"/>
      <c r="AX78" s="414"/>
      <c r="AY78" s="415"/>
      <c r="AZ78" s="414"/>
      <c r="BA78" s="415"/>
      <c r="BB78" s="416"/>
      <c r="BC78" s="417">
        <v>340187.83</v>
      </c>
      <c r="BD78" s="418"/>
      <c r="BE78" s="419"/>
      <c r="BF78" s="418"/>
      <c r="BG78" s="419"/>
      <c r="BH78" s="420"/>
      <c r="BI78" s="421"/>
      <c r="BJ78" s="422"/>
      <c r="BK78" s="407"/>
      <c r="BL78" s="422"/>
      <c r="BM78" s="407"/>
      <c r="BN78" s="423"/>
      <c r="BO78" s="424"/>
      <c r="BP78" s="425"/>
      <c r="BQ78" s="426"/>
      <c r="BR78" s="425"/>
      <c r="BS78" s="426"/>
      <c r="BT78" s="427"/>
    </row>
    <row r="79" spans="1:72" s="430" customFormat="1" ht="25.5" customHeight="1" outlineLevel="2">
      <c r="A79" s="287">
        <v>69</v>
      </c>
      <c r="B79" s="818"/>
      <c r="C79" s="743"/>
      <c r="D79" s="856" t="s">
        <v>273</v>
      </c>
      <c r="E79" s="857"/>
      <c r="F79" s="827" t="s">
        <v>7</v>
      </c>
      <c r="G79" s="431">
        <v>4</v>
      </c>
      <c r="H79" s="474" t="s">
        <v>70</v>
      </c>
      <c r="I79" s="743">
        <v>244</v>
      </c>
      <c r="J79" s="744">
        <v>226</v>
      </c>
      <c r="K79" s="536" t="s">
        <v>284</v>
      </c>
      <c r="L79" s="443"/>
      <c r="M79" s="434"/>
      <c r="N79" s="434"/>
      <c r="O79" s="434">
        <f t="shared" si="144"/>
        <v>0</v>
      </c>
      <c r="P79" s="563"/>
      <c r="Q79" s="437"/>
      <c r="R79" s="563"/>
      <c r="S79" s="437"/>
      <c r="T79" s="563"/>
      <c r="U79" s="467"/>
      <c r="V79" s="436"/>
      <c r="W79" s="436"/>
      <c r="X79" s="436"/>
      <c r="Z79" s="437">
        <f t="shared" si="82"/>
        <v>0</v>
      </c>
      <c r="AA79" s="438">
        <f t="shared" si="83"/>
        <v>0</v>
      </c>
      <c r="AB79" s="439">
        <f t="shared" si="84"/>
        <v>0</v>
      </c>
      <c r="AC79" s="437">
        <f t="shared" si="85"/>
        <v>0</v>
      </c>
      <c r="AD79" s="438">
        <f t="shared" si="86"/>
        <v>0</v>
      </c>
      <c r="AE79" s="439">
        <f t="shared" si="87"/>
        <v>0</v>
      </c>
      <c r="AF79" s="437">
        <f t="shared" si="88"/>
        <v>0</v>
      </c>
      <c r="AG79" s="438">
        <f t="shared" si="89"/>
        <v>0</v>
      </c>
      <c r="AH79" s="439">
        <f t="shared" si="90"/>
        <v>0</v>
      </c>
      <c r="AI79" s="437">
        <f t="shared" si="91"/>
        <v>0</v>
      </c>
      <c r="AJ79" s="438">
        <f t="shared" si="92"/>
        <v>0</v>
      </c>
      <c r="AK79" s="439">
        <f t="shared" si="93"/>
        <v>0</v>
      </c>
      <c r="AL79" s="440"/>
      <c r="AM79" s="437">
        <f t="shared" si="94"/>
        <v>0</v>
      </c>
      <c r="AN79" s="441">
        <f t="shared" si="95"/>
        <v>0</v>
      </c>
      <c r="AO79" s="442">
        <f t="shared" si="96"/>
        <v>0</v>
      </c>
      <c r="AP79" s="437">
        <f t="shared" si="97"/>
        <v>0</v>
      </c>
      <c r="AQ79" s="441">
        <f t="shared" si="98"/>
        <v>0</v>
      </c>
      <c r="AR79" s="442">
        <f t="shared" si="99"/>
        <v>0</v>
      </c>
      <c r="AS79" s="443">
        <f t="shared" si="100"/>
        <v>0</v>
      </c>
      <c r="AT79" s="441">
        <f t="shared" si="101"/>
        <v>0</v>
      </c>
      <c r="AU79" s="442">
        <f t="shared" si="102"/>
        <v>0</v>
      </c>
      <c r="AV79" s="601">
        <f t="shared" si="145"/>
        <v>0</v>
      </c>
      <c r="AW79" s="444"/>
      <c r="AX79" s="445"/>
      <c r="AY79" s="446"/>
      <c r="AZ79" s="445"/>
      <c r="BA79" s="446"/>
      <c r="BB79" s="447"/>
      <c r="BC79" s="448"/>
      <c r="BD79" s="449"/>
      <c r="BE79" s="450"/>
      <c r="BF79" s="449"/>
      <c r="BG79" s="450"/>
      <c r="BH79" s="451"/>
      <c r="BI79" s="452"/>
      <c r="BJ79" s="453"/>
      <c r="BK79" s="438"/>
      <c r="BL79" s="453"/>
      <c r="BM79" s="438"/>
      <c r="BN79" s="454"/>
      <c r="BO79" s="455"/>
      <c r="BP79" s="456"/>
      <c r="BQ79" s="457"/>
      <c r="BR79" s="456"/>
      <c r="BS79" s="457"/>
      <c r="BT79" s="458"/>
    </row>
    <row r="80" spans="1:72" s="459" customFormat="1" ht="66.75" customHeight="1" outlineLevel="1">
      <c r="A80" s="287">
        <v>70</v>
      </c>
      <c r="B80" s="818"/>
      <c r="C80" s="850" t="s">
        <v>378</v>
      </c>
      <c r="D80" s="854" t="s">
        <v>272</v>
      </c>
      <c r="E80" s="855"/>
      <c r="F80" s="826" t="s">
        <v>7</v>
      </c>
      <c r="G80" s="462">
        <v>4</v>
      </c>
      <c r="H80" s="741" t="s">
        <v>70</v>
      </c>
      <c r="I80" s="741">
        <v>244</v>
      </c>
      <c r="J80" s="742">
        <v>226</v>
      </c>
      <c r="K80" s="535" t="s">
        <v>278</v>
      </c>
      <c r="L80" s="464">
        <v>340187.83</v>
      </c>
      <c r="M80" s="352"/>
      <c r="N80" s="352"/>
      <c r="O80" s="352">
        <f t="shared" si="144"/>
        <v>340187.83</v>
      </c>
      <c r="P80" s="561"/>
      <c r="Q80" s="464"/>
      <c r="R80" s="561"/>
      <c r="S80" s="464"/>
      <c r="T80" s="561"/>
      <c r="U80" s="393"/>
      <c r="V80" s="394"/>
      <c r="W80" s="394"/>
      <c r="X80" s="394"/>
      <c r="Y80" s="392"/>
      <c r="Z80" s="395">
        <f t="shared" si="82"/>
        <v>0</v>
      </c>
      <c r="AA80" s="396">
        <f t="shared" si="83"/>
        <v>0</v>
      </c>
      <c r="AB80" s="397">
        <f t="shared" si="84"/>
        <v>0</v>
      </c>
      <c r="AC80" s="395">
        <f t="shared" si="85"/>
        <v>0</v>
      </c>
      <c r="AD80" s="396">
        <f t="shared" si="86"/>
        <v>0</v>
      </c>
      <c r="AE80" s="397">
        <f t="shared" si="87"/>
        <v>0</v>
      </c>
      <c r="AF80" s="395">
        <f t="shared" si="88"/>
        <v>340187.83</v>
      </c>
      <c r="AG80" s="396">
        <f t="shared" si="89"/>
        <v>0</v>
      </c>
      <c r="AH80" s="397">
        <f t="shared" si="90"/>
        <v>340187.83</v>
      </c>
      <c r="AI80" s="395">
        <f t="shared" si="91"/>
        <v>0</v>
      </c>
      <c r="AJ80" s="396">
        <f t="shared" si="92"/>
        <v>0</v>
      </c>
      <c r="AK80" s="397">
        <f t="shared" si="93"/>
        <v>0</v>
      </c>
      <c r="AL80" s="398"/>
      <c r="AM80" s="464">
        <f t="shared" si="94"/>
        <v>0</v>
      </c>
      <c r="AN80" s="352">
        <f t="shared" si="95"/>
        <v>0</v>
      </c>
      <c r="AO80" s="465">
        <f t="shared" si="96"/>
        <v>0</v>
      </c>
      <c r="AP80" s="464">
        <f t="shared" si="97"/>
        <v>340187.83</v>
      </c>
      <c r="AQ80" s="352">
        <f t="shared" si="98"/>
        <v>0</v>
      </c>
      <c r="AR80" s="465">
        <f t="shared" si="99"/>
        <v>340187.83</v>
      </c>
      <c r="AS80" s="464">
        <f t="shared" si="100"/>
        <v>340187.83</v>
      </c>
      <c r="AT80" s="352">
        <f t="shared" si="101"/>
        <v>0</v>
      </c>
      <c r="AU80" s="465">
        <f t="shared" si="102"/>
        <v>340187.83</v>
      </c>
      <c r="AV80" s="600">
        <f t="shared" si="145"/>
        <v>0</v>
      </c>
      <c r="AW80" s="464">
        <f t="shared" ref="AW80:BT80" si="147">SUM(AW81:AW82)</f>
        <v>0</v>
      </c>
      <c r="AX80" s="352">
        <f t="shared" si="147"/>
        <v>0</v>
      </c>
      <c r="AY80" s="352">
        <f t="shared" si="147"/>
        <v>0</v>
      </c>
      <c r="AZ80" s="352">
        <f t="shared" si="147"/>
        <v>0</v>
      </c>
      <c r="BA80" s="352">
        <f t="shared" si="147"/>
        <v>0</v>
      </c>
      <c r="BB80" s="353">
        <f t="shared" si="147"/>
        <v>0</v>
      </c>
      <c r="BC80" s="464">
        <f t="shared" si="147"/>
        <v>0</v>
      </c>
      <c r="BD80" s="352">
        <f t="shared" si="147"/>
        <v>0</v>
      </c>
      <c r="BE80" s="352">
        <f t="shared" si="147"/>
        <v>0</v>
      </c>
      <c r="BF80" s="352">
        <f t="shared" si="147"/>
        <v>0</v>
      </c>
      <c r="BG80" s="352">
        <f t="shared" si="147"/>
        <v>0</v>
      </c>
      <c r="BH80" s="353">
        <f t="shared" si="147"/>
        <v>0</v>
      </c>
      <c r="BI80" s="464">
        <f t="shared" si="147"/>
        <v>0</v>
      </c>
      <c r="BJ80" s="352">
        <f t="shared" si="147"/>
        <v>0</v>
      </c>
      <c r="BK80" s="352">
        <f t="shared" si="147"/>
        <v>100000</v>
      </c>
      <c r="BL80" s="352">
        <f t="shared" si="147"/>
        <v>0</v>
      </c>
      <c r="BM80" s="352">
        <f t="shared" si="147"/>
        <v>240187.83</v>
      </c>
      <c r="BN80" s="353">
        <f t="shared" si="147"/>
        <v>0</v>
      </c>
      <c r="BO80" s="464">
        <f t="shared" si="147"/>
        <v>0</v>
      </c>
      <c r="BP80" s="352">
        <f t="shared" si="147"/>
        <v>0</v>
      </c>
      <c r="BQ80" s="352">
        <f t="shared" si="147"/>
        <v>0</v>
      </c>
      <c r="BR80" s="352">
        <f t="shared" si="147"/>
        <v>0</v>
      </c>
      <c r="BS80" s="352">
        <f t="shared" si="147"/>
        <v>0</v>
      </c>
      <c r="BT80" s="465">
        <f t="shared" si="147"/>
        <v>0</v>
      </c>
    </row>
    <row r="81" spans="1:72" s="313" customFormat="1" ht="38.25" customHeight="1" outlineLevel="2">
      <c r="A81" s="287">
        <v>71</v>
      </c>
      <c r="B81" s="818"/>
      <c r="C81" s="840"/>
      <c r="D81" s="841" t="s">
        <v>272</v>
      </c>
      <c r="E81" s="839"/>
      <c r="F81" s="821" t="s">
        <v>7</v>
      </c>
      <c r="G81" s="314">
        <v>4</v>
      </c>
      <c r="H81" s="739" t="s">
        <v>70</v>
      </c>
      <c r="I81" s="739">
        <v>244</v>
      </c>
      <c r="J81" s="740">
        <v>226</v>
      </c>
      <c r="K81" s="533" t="s">
        <v>291</v>
      </c>
      <c r="L81" s="341">
        <v>340187.83</v>
      </c>
      <c r="M81" s="318"/>
      <c r="N81" s="318"/>
      <c r="O81" s="318">
        <f t="shared" si="144"/>
        <v>340187.83</v>
      </c>
      <c r="P81" s="562"/>
      <c r="Q81" s="336"/>
      <c r="R81" s="562"/>
      <c r="S81" s="336"/>
      <c r="T81" s="562"/>
      <c r="U81" s="466"/>
      <c r="V81" s="320"/>
      <c r="W81" s="320"/>
      <c r="X81" s="320"/>
      <c r="Z81" s="336">
        <f t="shared" si="82"/>
        <v>0</v>
      </c>
      <c r="AA81" s="337">
        <f t="shared" si="83"/>
        <v>0</v>
      </c>
      <c r="AB81" s="338">
        <f t="shared" si="84"/>
        <v>0</v>
      </c>
      <c r="AC81" s="336">
        <f t="shared" si="85"/>
        <v>0</v>
      </c>
      <c r="AD81" s="337">
        <f t="shared" si="86"/>
        <v>0</v>
      </c>
      <c r="AE81" s="338">
        <f t="shared" si="87"/>
        <v>0</v>
      </c>
      <c r="AF81" s="336">
        <f t="shared" si="88"/>
        <v>340187.83</v>
      </c>
      <c r="AG81" s="337">
        <f t="shared" si="89"/>
        <v>0</v>
      </c>
      <c r="AH81" s="338">
        <f t="shared" si="90"/>
        <v>340187.83</v>
      </c>
      <c r="AI81" s="336">
        <f t="shared" si="91"/>
        <v>0</v>
      </c>
      <c r="AJ81" s="337">
        <f t="shared" si="92"/>
        <v>0</v>
      </c>
      <c r="AK81" s="338">
        <f t="shared" si="93"/>
        <v>0</v>
      </c>
      <c r="AL81" s="342"/>
      <c r="AM81" s="336">
        <f t="shared" si="94"/>
        <v>0</v>
      </c>
      <c r="AN81" s="339">
        <f t="shared" si="95"/>
        <v>0</v>
      </c>
      <c r="AO81" s="340">
        <f t="shared" si="96"/>
        <v>0</v>
      </c>
      <c r="AP81" s="336">
        <f t="shared" si="97"/>
        <v>340187.83</v>
      </c>
      <c r="AQ81" s="339">
        <f t="shared" si="98"/>
        <v>0</v>
      </c>
      <c r="AR81" s="340">
        <f t="shared" si="99"/>
        <v>340187.83</v>
      </c>
      <c r="AS81" s="341">
        <f t="shared" si="100"/>
        <v>340187.83</v>
      </c>
      <c r="AT81" s="339">
        <f t="shared" si="101"/>
        <v>0</v>
      </c>
      <c r="AU81" s="340">
        <f t="shared" si="102"/>
        <v>340187.83</v>
      </c>
      <c r="AV81" s="589">
        <f t="shared" si="145"/>
        <v>0</v>
      </c>
      <c r="AW81" s="343"/>
      <c r="AX81" s="344"/>
      <c r="AY81" s="345"/>
      <c r="AZ81" s="344"/>
      <c r="BA81" s="345"/>
      <c r="BB81" s="346"/>
      <c r="BC81" s="347"/>
      <c r="BD81" s="348"/>
      <c r="BE81" s="349"/>
      <c r="BF81" s="348"/>
      <c r="BG81" s="349"/>
      <c r="BH81" s="350"/>
      <c r="BI81" s="351"/>
      <c r="BJ81" s="352"/>
      <c r="BK81" s="337">
        <v>100000</v>
      </c>
      <c r="BL81" s="352"/>
      <c r="BM81" s="337">
        <v>240187.83</v>
      </c>
      <c r="BN81" s="353"/>
      <c r="BO81" s="354"/>
      <c r="BP81" s="355"/>
      <c r="BQ81" s="356"/>
      <c r="BR81" s="355"/>
      <c r="BS81" s="356"/>
      <c r="BT81" s="357"/>
    </row>
    <row r="82" spans="1:72" s="430" customFormat="1" ht="25.5" customHeight="1" outlineLevel="2">
      <c r="A82" s="287">
        <v>72</v>
      </c>
      <c r="B82" s="818"/>
      <c r="C82" s="743"/>
      <c r="D82" s="856" t="s">
        <v>272</v>
      </c>
      <c r="E82" s="857"/>
      <c r="F82" s="827" t="s">
        <v>7</v>
      </c>
      <c r="G82" s="431">
        <v>4</v>
      </c>
      <c r="H82" s="474" t="s">
        <v>70</v>
      </c>
      <c r="I82" s="743">
        <v>244</v>
      </c>
      <c r="J82" s="744">
        <v>226</v>
      </c>
      <c r="K82" s="536" t="s">
        <v>284</v>
      </c>
      <c r="L82" s="443"/>
      <c r="M82" s="434"/>
      <c r="N82" s="434"/>
      <c r="O82" s="434">
        <f t="shared" si="144"/>
        <v>0</v>
      </c>
      <c r="P82" s="563"/>
      <c r="Q82" s="437"/>
      <c r="R82" s="563"/>
      <c r="S82" s="437"/>
      <c r="T82" s="563"/>
      <c r="U82" s="467"/>
      <c r="V82" s="436"/>
      <c r="W82" s="436"/>
      <c r="X82" s="436"/>
      <c r="Z82" s="437">
        <f t="shared" ref="Z82:Z113" si="148">AW82+AY82+BA82</f>
        <v>0</v>
      </c>
      <c r="AA82" s="438">
        <f t="shared" ref="AA82:AA113" si="149">AX82+AZ82+BB82</f>
        <v>0</v>
      </c>
      <c r="AB82" s="439">
        <f t="shared" ref="AB82:AB113" si="150">Z82-AA82</f>
        <v>0</v>
      </c>
      <c r="AC82" s="437">
        <f t="shared" ref="AC82:AC113" si="151">BC82+BE82+BG82</f>
        <v>0</v>
      </c>
      <c r="AD82" s="438">
        <f t="shared" ref="AD82:AD113" si="152">BD82+BF82+BH82</f>
        <v>0</v>
      </c>
      <c r="AE82" s="439">
        <f t="shared" ref="AE82:AE113" si="153">AC82-AD82</f>
        <v>0</v>
      </c>
      <c r="AF82" s="437">
        <f t="shared" ref="AF82:AF113" si="154">BI82+BK82+BM82</f>
        <v>0</v>
      </c>
      <c r="AG82" s="438">
        <f t="shared" ref="AG82:AG113" si="155">BJ82+BL82+BN82</f>
        <v>0</v>
      </c>
      <c r="AH82" s="439">
        <f t="shared" ref="AH82:AH113" si="156">AF82-AG82</f>
        <v>0</v>
      </c>
      <c r="AI82" s="437">
        <f t="shared" ref="AI82:AI113" si="157">BO82+BQ82+BS82</f>
        <v>0</v>
      </c>
      <c r="AJ82" s="438">
        <f t="shared" ref="AJ82:AJ113" si="158">BP82+BR82+BT82</f>
        <v>0</v>
      </c>
      <c r="AK82" s="439">
        <f t="shared" ref="AK82:AK113" si="159">AI82-AJ82</f>
        <v>0</v>
      </c>
      <c r="AL82" s="440"/>
      <c r="AM82" s="437">
        <f t="shared" ref="AM82:AM113" si="160">Z82+AC82</f>
        <v>0</v>
      </c>
      <c r="AN82" s="441">
        <f t="shared" ref="AN82:AN113" si="161">AA82+AD82</f>
        <v>0</v>
      </c>
      <c r="AO82" s="442">
        <f t="shared" ref="AO82:AO113" si="162">AM82-AN82</f>
        <v>0</v>
      </c>
      <c r="AP82" s="437">
        <f t="shared" ref="AP82:AP113" si="163">Z82+AC82+AF82</f>
        <v>0</v>
      </c>
      <c r="AQ82" s="441">
        <f t="shared" ref="AQ82:AQ113" si="164">AA82+AD82+AG82</f>
        <v>0</v>
      </c>
      <c r="AR82" s="442">
        <f t="shared" ref="AR82:AR113" si="165">AP82-AQ82</f>
        <v>0</v>
      </c>
      <c r="AS82" s="443">
        <f t="shared" ref="AS82:AS113" si="166">Z82+AC82+AF82+AI82</f>
        <v>0</v>
      </c>
      <c r="AT82" s="441">
        <f t="shared" ref="AT82:AT113" si="167">AA82+AD82+AG82+AJ82</f>
        <v>0</v>
      </c>
      <c r="AU82" s="442">
        <f t="shared" ref="AU82:AU113" si="168">AS82-AT82</f>
        <v>0</v>
      </c>
      <c r="AV82" s="601">
        <f t="shared" si="145"/>
        <v>0</v>
      </c>
      <c r="AW82" s="444"/>
      <c r="AX82" s="445"/>
      <c r="AY82" s="446"/>
      <c r="AZ82" s="445"/>
      <c r="BA82" s="446"/>
      <c r="BB82" s="447"/>
      <c r="BC82" s="448"/>
      <c r="BD82" s="449"/>
      <c r="BE82" s="450"/>
      <c r="BF82" s="449"/>
      <c r="BG82" s="450"/>
      <c r="BH82" s="451"/>
      <c r="BI82" s="452"/>
      <c r="BJ82" s="453"/>
      <c r="BK82" s="438"/>
      <c r="BL82" s="453"/>
      <c r="BM82" s="438"/>
      <c r="BN82" s="454"/>
      <c r="BO82" s="455"/>
      <c r="BP82" s="456"/>
      <c r="BQ82" s="457"/>
      <c r="BR82" s="456"/>
      <c r="BS82" s="457"/>
      <c r="BT82" s="458"/>
    </row>
    <row r="83" spans="1:72" s="468" customFormat="1" ht="66.75" customHeight="1" outlineLevel="1">
      <c r="A83" s="287">
        <v>73</v>
      </c>
      <c r="B83" s="818"/>
      <c r="C83" s="850" t="s">
        <v>378</v>
      </c>
      <c r="D83" s="854" t="s">
        <v>276</v>
      </c>
      <c r="E83" s="858"/>
      <c r="F83" s="828" t="s">
        <v>7</v>
      </c>
      <c r="G83" s="469">
        <v>4</v>
      </c>
      <c r="H83" s="745" t="s">
        <v>70</v>
      </c>
      <c r="I83" s="745">
        <v>244</v>
      </c>
      <c r="J83" s="746">
        <v>226</v>
      </c>
      <c r="K83" s="537" t="s">
        <v>281</v>
      </c>
      <c r="L83" s="472">
        <v>421906.7</v>
      </c>
      <c r="M83" s="422"/>
      <c r="N83" s="422"/>
      <c r="O83" s="422">
        <f t="shared" si="144"/>
        <v>421906.7</v>
      </c>
      <c r="P83" s="564">
        <v>741617.76</v>
      </c>
      <c r="Q83" s="472"/>
      <c r="R83" s="564"/>
      <c r="S83" s="472"/>
      <c r="T83" s="564"/>
      <c r="U83" s="393"/>
      <c r="V83" s="394"/>
      <c r="W83" s="394"/>
      <c r="X83" s="394"/>
      <c r="Y83" s="392"/>
      <c r="Z83" s="395">
        <f t="shared" si="148"/>
        <v>0</v>
      </c>
      <c r="AA83" s="396">
        <f t="shared" si="149"/>
        <v>0</v>
      </c>
      <c r="AB83" s="397">
        <f t="shared" si="150"/>
        <v>0</v>
      </c>
      <c r="AC83" s="395">
        <f t="shared" si="151"/>
        <v>0</v>
      </c>
      <c r="AD83" s="396">
        <f t="shared" si="152"/>
        <v>0</v>
      </c>
      <c r="AE83" s="397">
        <f t="shared" si="153"/>
        <v>0</v>
      </c>
      <c r="AF83" s="395">
        <f t="shared" si="154"/>
        <v>0</v>
      </c>
      <c r="AG83" s="396">
        <f t="shared" si="155"/>
        <v>0</v>
      </c>
      <c r="AH83" s="397">
        <f t="shared" si="156"/>
        <v>0</v>
      </c>
      <c r="AI83" s="395">
        <f t="shared" si="157"/>
        <v>421906.7</v>
      </c>
      <c r="AJ83" s="396">
        <f t="shared" si="158"/>
        <v>0</v>
      </c>
      <c r="AK83" s="397">
        <f t="shared" si="159"/>
        <v>421906.7</v>
      </c>
      <c r="AL83" s="398"/>
      <c r="AM83" s="472">
        <f t="shared" si="160"/>
        <v>0</v>
      </c>
      <c r="AN83" s="422">
        <f t="shared" si="161"/>
        <v>0</v>
      </c>
      <c r="AO83" s="473">
        <f t="shared" si="162"/>
        <v>0</v>
      </c>
      <c r="AP83" s="472">
        <f t="shared" si="163"/>
        <v>0</v>
      </c>
      <c r="AQ83" s="422">
        <f t="shared" si="164"/>
        <v>0</v>
      </c>
      <c r="AR83" s="473">
        <f t="shared" si="165"/>
        <v>0</v>
      </c>
      <c r="AS83" s="472">
        <f t="shared" si="166"/>
        <v>421906.7</v>
      </c>
      <c r="AT83" s="422">
        <f t="shared" si="167"/>
        <v>0</v>
      </c>
      <c r="AU83" s="473">
        <f t="shared" si="168"/>
        <v>421906.7</v>
      </c>
      <c r="AV83" s="602">
        <f t="shared" si="145"/>
        <v>0</v>
      </c>
      <c r="AW83" s="472">
        <f t="shared" ref="AW83:BT83" si="169">SUM(AW84:AW91)</f>
        <v>0</v>
      </c>
      <c r="AX83" s="422">
        <f t="shared" si="169"/>
        <v>0</v>
      </c>
      <c r="AY83" s="422">
        <f t="shared" si="169"/>
        <v>0</v>
      </c>
      <c r="AZ83" s="422">
        <f t="shared" si="169"/>
        <v>0</v>
      </c>
      <c r="BA83" s="422">
        <f t="shared" si="169"/>
        <v>0</v>
      </c>
      <c r="BB83" s="423">
        <f t="shared" si="169"/>
        <v>0</v>
      </c>
      <c r="BC83" s="472">
        <f t="shared" si="169"/>
        <v>0</v>
      </c>
      <c r="BD83" s="422">
        <f t="shared" si="169"/>
        <v>0</v>
      </c>
      <c r="BE83" s="422">
        <f t="shared" si="169"/>
        <v>0</v>
      </c>
      <c r="BF83" s="422">
        <f t="shared" si="169"/>
        <v>0</v>
      </c>
      <c r="BG83" s="422">
        <f t="shared" si="169"/>
        <v>0</v>
      </c>
      <c r="BH83" s="423">
        <f t="shared" si="169"/>
        <v>0</v>
      </c>
      <c r="BI83" s="472">
        <f t="shared" si="169"/>
        <v>0</v>
      </c>
      <c r="BJ83" s="422">
        <f t="shared" si="169"/>
        <v>0</v>
      </c>
      <c r="BK83" s="422">
        <f t="shared" si="169"/>
        <v>0</v>
      </c>
      <c r="BL83" s="422">
        <f t="shared" si="169"/>
        <v>0</v>
      </c>
      <c r="BM83" s="422">
        <f t="shared" si="169"/>
        <v>0</v>
      </c>
      <c r="BN83" s="423">
        <f t="shared" si="169"/>
        <v>0</v>
      </c>
      <c r="BO83" s="472">
        <f t="shared" si="169"/>
        <v>233059.9</v>
      </c>
      <c r="BP83" s="422">
        <f t="shared" si="169"/>
        <v>0</v>
      </c>
      <c r="BQ83" s="422">
        <f t="shared" si="169"/>
        <v>188846.8</v>
      </c>
      <c r="BR83" s="422">
        <f t="shared" si="169"/>
        <v>0</v>
      </c>
      <c r="BS83" s="422">
        <f t="shared" si="169"/>
        <v>0</v>
      </c>
      <c r="BT83" s="473">
        <f t="shared" si="169"/>
        <v>0</v>
      </c>
    </row>
    <row r="84" spans="1:72" s="399" customFormat="1" ht="25.5" customHeight="1" outlineLevel="2">
      <c r="A84" s="287">
        <v>74</v>
      </c>
      <c r="B84" s="818"/>
      <c r="C84" s="859"/>
      <c r="D84" s="841" t="s">
        <v>276</v>
      </c>
      <c r="E84" s="860"/>
      <c r="F84" s="829" t="s">
        <v>7</v>
      </c>
      <c r="G84" s="400">
        <v>4</v>
      </c>
      <c r="H84" s="747" t="s">
        <v>70</v>
      </c>
      <c r="I84" s="747">
        <v>244</v>
      </c>
      <c r="J84" s="748">
        <v>226</v>
      </c>
      <c r="K84" s="538" t="s">
        <v>292</v>
      </c>
      <c r="L84" s="412">
        <v>388846.8</v>
      </c>
      <c r="M84" s="403"/>
      <c r="N84" s="403"/>
      <c r="O84" s="403">
        <f t="shared" si="144"/>
        <v>388846.8</v>
      </c>
      <c r="P84" s="565">
        <v>0</v>
      </c>
      <c r="Q84" s="406"/>
      <c r="R84" s="565"/>
      <c r="S84" s="406"/>
      <c r="T84" s="565"/>
      <c r="U84" s="428"/>
      <c r="V84" s="405"/>
      <c r="W84" s="405"/>
      <c r="X84" s="405"/>
      <c r="Z84" s="406">
        <f t="shared" si="148"/>
        <v>0</v>
      </c>
      <c r="AA84" s="407">
        <f t="shared" si="149"/>
        <v>0</v>
      </c>
      <c r="AB84" s="408">
        <f t="shared" si="150"/>
        <v>0</v>
      </c>
      <c r="AC84" s="406">
        <f t="shared" si="151"/>
        <v>0</v>
      </c>
      <c r="AD84" s="407">
        <f t="shared" si="152"/>
        <v>0</v>
      </c>
      <c r="AE84" s="408">
        <f t="shared" si="153"/>
        <v>0</v>
      </c>
      <c r="AF84" s="406">
        <f t="shared" si="154"/>
        <v>0</v>
      </c>
      <c r="AG84" s="407">
        <f t="shared" si="155"/>
        <v>0</v>
      </c>
      <c r="AH84" s="408">
        <f t="shared" si="156"/>
        <v>0</v>
      </c>
      <c r="AI84" s="406">
        <f t="shared" si="157"/>
        <v>388846.8</v>
      </c>
      <c r="AJ84" s="407">
        <f t="shared" si="158"/>
        <v>0</v>
      </c>
      <c r="AK84" s="408">
        <f t="shared" si="159"/>
        <v>388846.8</v>
      </c>
      <c r="AL84" s="409"/>
      <c r="AM84" s="406">
        <f t="shared" si="160"/>
        <v>0</v>
      </c>
      <c r="AN84" s="410">
        <f t="shared" si="161"/>
        <v>0</v>
      </c>
      <c r="AO84" s="411">
        <f t="shared" si="162"/>
        <v>0</v>
      </c>
      <c r="AP84" s="406">
        <f t="shared" si="163"/>
        <v>0</v>
      </c>
      <c r="AQ84" s="410">
        <f t="shared" si="164"/>
        <v>0</v>
      </c>
      <c r="AR84" s="411">
        <f t="shared" si="165"/>
        <v>0</v>
      </c>
      <c r="AS84" s="412">
        <f t="shared" si="166"/>
        <v>388846.8</v>
      </c>
      <c r="AT84" s="410">
        <f t="shared" si="167"/>
        <v>0</v>
      </c>
      <c r="AU84" s="411">
        <f t="shared" si="168"/>
        <v>388846.8</v>
      </c>
      <c r="AV84" s="603">
        <f t="shared" si="145"/>
        <v>0</v>
      </c>
      <c r="AW84" s="413"/>
      <c r="AX84" s="414"/>
      <c r="AY84" s="415"/>
      <c r="AZ84" s="414"/>
      <c r="BA84" s="415"/>
      <c r="BB84" s="416"/>
      <c r="BC84" s="417"/>
      <c r="BD84" s="418"/>
      <c r="BE84" s="419"/>
      <c r="BF84" s="418"/>
      <c r="BG84" s="419"/>
      <c r="BH84" s="420"/>
      <c r="BI84" s="421"/>
      <c r="BJ84" s="422"/>
      <c r="BK84" s="407"/>
      <c r="BL84" s="422"/>
      <c r="BM84" s="407"/>
      <c r="BN84" s="423"/>
      <c r="BO84" s="424">
        <v>200000</v>
      </c>
      <c r="BP84" s="425"/>
      <c r="BQ84" s="426">
        <v>188846.8</v>
      </c>
      <c r="BR84" s="425"/>
      <c r="BS84" s="426"/>
      <c r="BT84" s="427"/>
    </row>
    <row r="85" spans="1:72" s="399" customFormat="1" ht="25.5" customHeight="1" outlineLevel="2">
      <c r="A85" s="287">
        <v>75</v>
      </c>
      <c r="B85" s="818"/>
      <c r="C85" s="859"/>
      <c r="D85" s="841" t="s">
        <v>276</v>
      </c>
      <c r="E85" s="860"/>
      <c r="F85" s="829" t="s">
        <v>7</v>
      </c>
      <c r="G85" s="400">
        <v>4</v>
      </c>
      <c r="H85" s="747" t="s">
        <v>70</v>
      </c>
      <c r="I85" s="747">
        <v>244</v>
      </c>
      <c r="J85" s="748">
        <v>226</v>
      </c>
      <c r="K85" s="538" t="s">
        <v>293</v>
      </c>
      <c r="L85" s="412">
        <v>0</v>
      </c>
      <c r="M85" s="403"/>
      <c r="N85" s="403"/>
      <c r="O85" s="403">
        <f t="shared" si="144"/>
        <v>0</v>
      </c>
      <c r="P85" s="565">
        <v>165393.4</v>
      </c>
      <c r="Q85" s="406"/>
      <c r="R85" s="565"/>
      <c r="S85" s="406"/>
      <c r="T85" s="565"/>
      <c r="U85" s="428"/>
      <c r="V85" s="405"/>
      <c r="W85" s="405"/>
      <c r="X85" s="405"/>
      <c r="Z85" s="406">
        <f t="shared" si="148"/>
        <v>0</v>
      </c>
      <c r="AA85" s="407">
        <f t="shared" si="149"/>
        <v>0</v>
      </c>
      <c r="AB85" s="408">
        <f t="shared" si="150"/>
        <v>0</v>
      </c>
      <c r="AC85" s="406">
        <f t="shared" si="151"/>
        <v>0</v>
      </c>
      <c r="AD85" s="407">
        <f t="shared" si="152"/>
        <v>0</v>
      </c>
      <c r="AE85" s="408">
        <f t="shared" si="153"/>
        <v>0</v>
      </c>
      <c r="AF85" s="406">
        <f t="shared" si="154"/>
        <v>0</v>
      </c>
      <c r="AG85" s="407">
        <f t="shared" si="155"/>
        <v>0</v>
      </c>
      <c r="AH85" s="408">
        <f t="shared" si="156"/>
        <v>0</v>
      </c>
      <c r="AI85" s="406">
        <f t="shared" si="157"/>
        <v>0</v>
      </c>
      <c r="AJ85" s="407">
        <f t="shared" si="158"/>
        <v>0</v>
      </c>
      <c r="AK85" s="408">
        <f t="shared" si="159"/>
        <v>0</v>
      </c>
      <c r="AL85" s="409"/>
      <c r="AM85" s="406">
        <f t="shared" si="160"/>
        <v>0</v>
      </c>
      <c r="AN85" s="410">
        <f t="shared" si="161"/>
        <v>0</v>
      </c>
      <c r="AO85" s="411">
        <f t="shared" si="162"/>
        <v>0</v>
      </c>
      <c r="AP85" s="406">
        <f t="shared" si="163"/>
        <v>0</v>
      </c>
      <c r="AQ85" s="410">
        <f t="shared" si="164"/>
        <v>0</v>
      </c>
      <c r="AR85" s="411">
        <f t="shared" si="165"/>
        <v>0</v>
      </c>
      <c r="AS85" s="412">
        <f t="shared" si="166"/>
        <v>0</v>
      </c>
      <c r="AT85" s="410">
        <f t="shared" si="167"/>
        <v>0</v>
      </c>
      <c r="AU85" s="411">
        <f t="shared" si="168"/>
        <v>0</v>
      </c>
      <c r="AV85" s="603">
        <f t="shared" si="145"/>
        <v>0</v>
      </c>
      <c r="AW85" s="413"/>
      <c r="AX85" s="414"/>
      <c r="AY85" s="415"/>
      <c r="AZ85" s="414"/>
      <c r="BA85" s="415"/>
      <c r="BB85" s="416"/>
      <c r="BC85" s="417"/>
      <c r="BD85" s="418"/>
      <c r="BE85" s="419"/>
      <c r="BF85" s="418"/>
      <c r="BG85" s="419"/>
      <c r="BH85" s="420"/>
      <c r="BI85" s="421"/>
      <c r="BJ85" s="422"/>
      <c r="BK85" s="407"/>
      <c r="BL85" s="422"/>
      <c r="BM85" s="407"/>
      <c r="BN85" s="423"/>
      <c r="BO85" s="424"/>
      <c r="BP85" s="425"/>
      <c r="BQ85" s="426"/>
      <c r="BR85" s="425"/>
      <c r="BS85" s="426"/>
      <c r="BT85" s="427"/>
    </row>
    <row r="86" spans="1:72" s="399" customFormat="1" ht="25.5" customHeight="1" outlineLevel="2">
      <c r="A86" s="287">
        <v>76</v>
      </c>
      <c r="B86" s="818"/>
      <c r="C86" s="859"/>
      <c r="D86" s="841" t="s">
        <v>276</v>
      </c>
      <c r="E86" s="860"/>
      <c r="F86" s="829" t="s">
        <v>7</v>
      </c>
      <c r="G86" s="400">
        <v>4</v>
      </c>
      <c r="H86" s="747" t="s">
        <v>70</v>
      </c>
      <c r="I86" s="747">
        <v>244</v>
      </c>
      <c r="J86" s="748">
        <v>226</v>
      </c>
      <c r="K86" s="538" t="s">
        <v>294</v>
      </c>
      <c r="L86" s="412">
        <v>0</v>
      </c>
      <c r="M86" s="403"/>
      <c r="N86" s="403"/>
      <c r="O86" s="403">
        <f t="shared" si="144"/>
        <v>0</v>
      </c>
      <c r="P86" s="565">
        <v>246736.08</v>
      </c>
      <c r="Q86" s="406"/>
      <c r="R86" s="565"/>
      <c r="S86" s="406"/>
      <c r="T86" s="565"/>
      <c r="U86" s="428"/>
      <c r="V86" s="405"/>
      <c r="W86" s="405"/>
      <c r="X86" s="405"/>
      <c r="Z86" s="406">
        <f t="shared" si="148"/>
        <v>0</v>
      </c>
      <c r="AA86" s="407">
        <f t="shared" si="149"/>
        <v>0</v>
      </c>
      <c r="AB86" s="408">
        <f t="shared" si="150"/>
        <v>0</v>
      </c>
      <c r="AC86" s="406">
        <f t="shared" si="151"/>
        <v>0</v>
      </c>
      <c r="AD86" s="407">
        <f t="shared" si="152"/>
        <v>0</v>
      </c>
      <c r="AE86" s="408">
        <f t="shared" si="153"/>
        <v>0</v>
      </c>
      <c r="AF86" s="406">
        <f t="shared" si="154"/>
        <v>0</v>
      </c>
      <c r="AG86" s="407">
        <f t="shared" si="155"/>
        <v>0</v>
      </c>
      <c r="AH86" s="408">
        <f t="shared" si="156"/>
        <v>0</v>
      </c>
      <c r="AI86" s="406">
        <f t="shared" si="157"/>
        <v>0</v>
      </c>
      <c r="AJ86" s="407">
        <f t="shared" si="158"/>
        <v>0</v>
      </c>
      <c r="AK86" s="408">
        <f t="shared" si="159"/>
        <v>0</v>
      </c>
      <c r="AL86" s="409"/>
      <c r="AM86" s="406">
        <f t="shared" si="160"/>
        <v>0</v>
      </c>
      <c r="AN86" s="410">
        <f t="shared" si="161"/>
        <v>0</v>
      </c>
      <c r="AO86" s="411">
        <f t="shared" si="162"/>
        <v>0</v>
      </c>
      <c r="AP86" s="406">
        <f t="shared" si="163"/>
        <v>0</v>
      </c>
      <c r="AQ86" s="410">
        <f t="shared" si="164"/>
        <v>0</v>
      </c>
      <c r="AR86" s="411">
        <f t="shared" si="165"/>
        <v>0</v>
      </c>
      <c r="AS86" s="412">
        <f t="shared" si="166"/>
        <v>0</v>
      </c>
      <c r="AT86" s="410">
        <f t="shared" si="167"/>
        <v>0</v>
      </c>
      <c r="AU86" s="411">
        <f t="shared" si="168"/>
        <v>0</v>
      </c>
      <c r="AV86" s="603">
        <f t="shared" si="145"/>
        <v>0</v>
      </c>
      <c r="AW86" s="413"/>
      <c r="AX86" s="414"/>
      <c r="AY86" s="415"/>
      <c r="AZ86" s="414"/>
      <c r="BA86" s="415"/>
      <c r="BB86" s="416"/>
      <c r="BC86" s="417"/>
      <c r="BD86" s="418"/>
      <c r="BE86" s="419"/>
      <c r="BF86" s="418"/>
      <c r="BG86" s="419"/>
      <c r="BH86" s="420"/>
      <c r="BI86" s="421"/>
      <c r="BJ86" s="422"/>
      <c r="BK86" s="407"/>
      <c r="BL86" s="422"/>
      <c r="BM86" s="407"/>
      <c r="BN86" s="423"/>
      <c r="BO86" s="424"/>
      <c r="BP86" s="425"/>
      <c r="BQ86" s="426"/>
      <c r="BR86" s="425"/>
      <c r="BS86" s="426"/>
      <c r="BT86" s="427"/>
    </row>
    <row r="87" spans="1:72" s="399" customFormat="1" ht="25.5" customHeight="1" outlineLevel="2">
      <c r="A87" s="287">
        <v>77</v>
      </c>
      <c r="B87" s="818"/>
      <c r="C87" s="859"/>
      <c r="D87" s="841" t="s">
        <v>276</v>
      </c>
      <c r="E87" s="860"/>
      <c r="F87" s="829" t="s">
        <v>7</v>
      </c>
      <c r="G87" s="400">
        <v>4</v>
      </c>
      <c r="H87" s="747" t="s">
        <v>70</v>
      </c>
      <c r="I87" s="747">
        <v>244</v>
      </c>
      <c r="J87" s="748">
        <v>226</v>
      </c>
      <c r="K87" s="538" t="s">
        <v>295</v>
      </c>
      <c r="L87" s="412">
        <v>0</v>
      </c>
      <c r="M87" s="403"/>
      <c r="N87" s="403"/>
      <c r="O87" s="403">
        <f t="shared" si="144"/>
        <v>0</v>
      </c>
      <c r="P87" s="565">
        <v>299886.7</v>
      </c>
      <c r="Q87" s="406"/>
      <c r="R87" s="565"/>
      <c r="S87" s="406"/>
      <c r="T87" s="565"/>
      <c r="U87" s="428"/>
      <c r="V87" s="405"/>
      <c r="W87" s="405"/>
      <c r="X87" s="405"/>
      <c r="Z87" s="406">
        <f t="shared" si="148"/>
        <v>0</v>
      </c>
      <c r="AA87" s="407">
        <f t="shared" si="149"/>
        <v>0</v>
      </c>
      <c r="AB87" s="408">
        <f t="shared" si="150"/>
        <v>0</v>
      </c>
      <c r="AC87" s="406">
        <f t="shared" si="151"/>
        <v>0</v>
      </c>
      <c r="AD87" s="407">
        <f t="shared" si="152"/>
        <v>0</v>
      </c>
      <c r="AE87" s="408">
        <f t="shared" si="153"/>
        <v>0</v>
      </c>
      <c r="AF87" s="406">
        <f t="shared" si="154"/>
        <v>0</v>
      </c>
      <c r="AG87" s="407">
        <f t="shared" si="155"/>
        <v>0</v>
      </c>
      <c r="AH87" s="408">
        <f t="shared" si="156"/>
        <v>0</v>
      </c>
      <c r="AI87" s="406">
        <f t="shared" si="157"/>
        <v>0</v>
      </c>
      <c r="AJ87" s="407">
        <f t="shared" si="158"/>
        <v>0</v>
      </c>
      <c r="AK87" s="408">
        <f t="shared" si="159"/>
        <v>0</v>
      </c>
      <c r="AL87" s="409"/>
      <c r="AM87" s="406">
        <f t="shared" si="160"/>
        <v>0</v>
      </c>
      <c r="AN87" s="410">
        <f t="shared" si="161"/>
        <v>0</v>
      </c>
      <c r="AO87" s="411">
        <f t="shared" si="162"/>
        <v>0</v>
      </c>
      <c r="AP87" s="406">
        <f t="shared" si="163"/>
        <v>0</v>
      </c>
      <c r="AQ87" s="410">
        <f t="shared" si="164"/>
        <v>0</v>
      </c>
      <c r="AR87" s="411">
        <f t="shared" si="165"/>
        <v>0</v>
      </c>
      <c r="AS87" s="412">
        <f t="shared" si="166"/>
        <v>0</v>
      </c>
      <c r="AT87" s="410">
        <f t="shared" si="167"/>
        <v>0</v>
      </c>
      <c r="AU87" s="411">
        <f t="shared" si="168"/>
        <v>0</v>
      </c>
      <c r="AV87" s="603">
        <f t="shared" si="145"/>
        <v>0</v>
      </c>
      <c r="AW87" s="413"/>
      <c r="AX87" s="414"/>
      <c r="AY87" s="415"/>
      <c r="AZ87" s="414"/>
      <c r="BA87" s="415"/>
      <c r="BB87" s="416"/>
      <c r="BC87" s="417"/>
      <c r="BD87" s="418"/>
      <c r="BE87" s="419"/>
      <c r="BF87" s="418"/>
      <c r="BG87" s="419"/>
      <c r="BH87" s="420"/>
      <c r="BI87" s="421"/>
      <c r="BJ87" s="422"/>
      <c r="BK87" s="407"/>
      <c r="BL87" s="422"/>
      <c r="BM87" s="407"/>
      <c r="BN87" s="423"/>
      <c r="BO87" s="424"/>
      <c r="BP87" s="425"/>
      <c r="BQ87" s="426"/>
      <c r="BR87" s="425"/>
      <c r="BS87" s="426"/>
      <c r="BT87" s="427"/>
    </row>
    <row r="88" spans="1:72" s="399" customFormat="1" ht="25.5" customHeight="1" outlineLevel="2">
      <c r="A88" s="287">
        <v>78</v>
      </c>
      <c r="B88" s="818"/>
      <c r="C88" s="859"/>
      <c r="D88" s="841" t="s">
        <v>276</v>
      </c>
      <c r="E88" s="860"/>
      <c r="F88" s="829" t="s">
        <v>7</v>
      </c>
      <c r="G88" s="400">
        <v>4</v>
      </c>
      <c r="H88" s="747" t="s">
        <v>70</v>
      </c>
      <c r="I88" s="747">
        <v>244</v>
      </c>
      <c r="J88" s="748">
        <v>226</v>
      </c>
      <c r="K88" s="538" t="s">
        <v>296</v>
      </c>
      <c r="L88" s="412">
        <v>28059.9</v>
      </c>
      <c r="M88" s="403"/>
      <c r="N88" s="403"/>
      <c r="O88" s="403">
        <f t="shared" si="144"/>
        <v>28059.9</v>
      </c>
      <c r="P88" s="565">
        <v>27268.25</v>
      </c>
      <c r="Q88" s="406"/>
      <c r="R88" s="565"/>
      <c r="S88" s="406"/>
      <c r="T88" s="565"/>
      <c r="U88" s="428"/>
      <c r="V88" s="405"/>
      <c r="W88" s="405"/>
      <c r="X88" s="405"/>
      <c r="Z88" s="406">
        <f t="shared" si="148"/>
        <v>0</v>
      </c>
      <c r="AA88" s="407">
        <f t="shared" si="149"/>
        <v>0</v>
      </c>
      <c r="AB88" s="408">
        <f t="shared" si="150"/>
        <v>0</v>
      </c>
      <c r="AC88" s="406">
        <f t="shared" si="151"/>
        <v>0</v>
      </c>
      <c r="AD88" s="407">
        <f t="shared" si="152"/>
        <v>0</v>
      </c>
      <c r="AE88" s="408">
        <f t="shared" si="153"/>
        <v>0</v>
      </c>
      <c r="AF88" s="406">
        <f t="shared" si="154"/>
        <v>0</v>
      </c>
      <c r="AG88" s="407">
        <f t="shared" si="155"/>
        <v>0</v>
      </c>
      <c r="AH88" s="408">
        <f t="shared" si="156"/>
        <v>0</v>
      </c>
      <c r="AI88" s="406">
        <f t="shared" si="157"/>
        <v>28059.9</v>
      </c>
      <c r="AJ88" s="407">
        <f t="shared" si="158"/>
        <v>0</v>
      </c>
      <c r="AK88" s="408">
        <f t="shared" si="159"/>
        <v>28059.9</v>
      </c>
      <c r="AL88" s="409"/>
      <c r="AM88" s="406">
        <f t="shared" si="160"/>
        <v>0</v>
      </c>
      <c r="AN88" s="410">
        <f t="shared" si="161"/>
        <v>0</v>
      </c>
      <c r="AO88" s="411">
        <f t="shared" si="162"/>
        <v>0</v>
      </c>
      <c r="AP88" s="406">
        <f t="shared" si="163"/>
        <v>0</v>
      </c>
      <c r="AQ88" s="410">
        <f t="shared" si="164"/>
        <v>0</v>
      </c>
      <c r="AR88" s="411">
        <f t="shared" si="165"/>
        <v>0</v>
      </c>
      <c r="AS88" s="412">
        <f t="shared" si="166"/>
        <v>28059.9</v>
      </c>
      <c r="AT88" s="410">
        <f t="shared" si="167"/>
        <v>0</v>
      </c>
      <c r="AU88" s="411">
        <f t="shared" si="168"/>
        <v>28059.9</v>
      </c>
      <c r="AV88" s="603">
        <f t="shared" si="145"/>
        <v>0</v>
      </c>
      <c r="AW88" s="413"/>
      <c r="AX88" s="414"/>
      <c r="AY88" s="415"/>
      <c r="AZ88" s="414"/>
      <c r="BA88" s="415"/>
      <c r="BB88" s="416"/>
      <c r="BC88" s="417"/>
      <c r="BD88" s="418"/>
      <c r="BE88" s="419"/>
      <c r="BF88" s="418"/>
      <c r="BG88" s="419"/>
      <c r="BH88" s="420"/>
      <c r="BI88" s="421"/>
      <c r="BJ88" s="422"/>
      <c r="BK88" s="407"/>
      <c r="BL88" s="422"/>
      <c r="BM88" s="407"/>
      <c r="BN88" s="423"/>
      <c r="BO88" s="424">
        <v>28059.9</v>
      </c>
      <c r="BP88" s="425"/>
      <c r="BQ88" s="426"/>
      <c r="BR88" s="425"/>
      <c r="BS88" s="426"/>
      <c r="BT88" s="427"/>
    </row>
    <row r="89" spans="1:72" s="399" customFormat="1" ht="25.5" customHeight="1" outlineLevel="2">
      <c r="A89" s="287">
        <v>79</v>
      </c>
      <c r="B89" s="818"/>
      <c r="C89" s="859"/>
      <c r="D89" s="841" t="s">
        <v>276</v>
      </c>
      <c r="E89" s="860"/>
      <c r="F89" s="829" t="s">
        <v>7</v>
      </c>
      <c r="G89" s="400">
        <v>4</v>
      </c>
      <c r="H89" s="747" t="s">
        <v>70</v>
      </c>
      <c r="I89" s="747">
        <v>244</v>
      </c>
      <c r="J89" s="748">
        <v>226</v>
      </c>
      <c r="K89" s="538" t="s">
        <v>288</v>
      </c>
      <c r="L89" s="412">
        <v>5000</v>
      </c>
      <c r="M89" s="403"/>
      <c r="N89" s="403"/>
      <c r="O89" s="403">
        <f t="shared" si="144"/>
        <v>5000</v>
      </c>
      <c r="P89" s="565">
        <v>0</v>
      </c>
      <c r="Q89" s="406"/>
      <c r="R89" s="565"/>
      <c r="S89" s="406"/>
      <c r="T89" s="565"/>
      <c r="U89" s="428"/>
      <c r="V89" s="405"/>
      <c r="W89" s="405"/>
      <c r="X89" s="405"/>
      <c r="Z89" s="406">
        <f t="shared" si="148"/>
        <v>0</v>
      </c>
      <c r="AA89" s="407">
        <f t="shared" si="149"/>
        <v>0</v>
      </c>
      <c r="AB89" s="408">
        <f t="shared" si="150"/>
        <v>0</v>
      </c>
      <c r="AC89" s="406">
        <f t="shared" si="151"/>
        <v>0</v>
      </c>
      <c r="AD89" s="407">
        <f t="shared" si="152"/>
        <v>0</v>
      </c>
      <c r="AE89" s="408">
        <f t="shared" si="153"/>
        <v>0</v>
      </c>
      <c r="AF89" s="406">
        <f t="shared" si="154"/>
        <v>0</v>
      </c>
      <c r="AG89" s="407">
        <f t="shared" si="155"/>
        <v>0</v>
      </c>
      <c r="AH89" s="408">
        <f t="shared" si="156"/>
        <v>0</v>
      </c>
      <c r="AI89" s="406">
        <f t="shared" si="157"/>
        <v>5000</v>
      </c>
      <c r="AJ89" s="407">
        <f t="shared" si="158"/>
        <v>0</v>
      </c>
      <c r="AK89" s="408">
        <f t="shared" si="159"/>
        <v>5000</v>
      </c>
      <c r="AL89" s="409"/>
      <c r="AM89" s="406">
        <f t="shared" si="160"/>
        <v>0</v>
      </c>
      <c r="AN89" s="410">
        <f t="shared" si="161"/>
        <v>0</v>
      </c>
      <c r="AO89" s="411">
        <f t="shared" si="162"/>
        <v>0</v>
      </c>
      <c r="AP89" s="406">
        <f t="shared" si="163"/>
        <v>0</v>
      </c>
      <c r="AQ89" s="410">
        <f t="shared" si="164"/>
        <v>0</v>
      </c>
      <c r="AR89" s="411">
        <f t="shared" si="165"/>
        <v>0</v>
      </c>
      <c r="AS89" s="412">
        <f t="shared" si="166"/>
        <v>5000</v>
      </c>
      <c r="AT89" s="410">
        <f t="shared" si="167"/>
        <v>0</v>
      </c>
      <c r="AU89" s="411">
        <f t="shared" si="168"/>
        <v>5000</v>
      </c>
      <c r="AV89" s="603">
        <f t="shared" si="145"/>
        <v>0</v>
      </c>
      <c r="AW89" s="413"/>
      <c r="AX89" s="414"/>
      <c r="AY89" s="415"/>
      <c r="AZ89" s="414"/>
      <c r="BA89" s="415"/>
      <c r="BB89" s="416"/>
      <c r="BC89" s="417"/>
      <c r="BD89" s="418"/>
      <c r="BE89" s="419"/>
      <c r="BF89" s="418"/>
      <c r="BG89" s="419"/>
      <c r="BH89" s="420"/>
      <c r="BI89" s="421"/>
      <c r="BJ89" s="422"/>
      <c r="BK89" s="407"/>
      <c r="BL89" s="422"/>
      <c r="BM89" s="407"/>
      <c r="BN89" s="423"/>
      <c r="BO89" s="424">
        <v>5000</v>
      </c>
      <c r="BP89" s="425"/>
      <c r="BQ89" s="426"/>
      <c r="BR89" s="425"/>
      <c r="BS89" s="426"/>
      <c r="BT89" s="427"/>
    </row>
    <row r="90" spans="1:72" s="399" customFormat="1" ht="25.5" customHeight="1" outlineLevel="2">
      <c r="A90" s="287">
        <v>80</v>
      </c>
      <c r="B90" s="818"/>
      <c r="C90" s="859"/>
      <c r="D90" s="841" t="s">
        <v>276</v>
      </c>
      <c r="E90" s="860"/>
      <c r="F90" s="829" t="s">
        <v>7</v>
      </c>
      <c r="G90" s="400">
        <v>4</v>
      </c>
      <c r="H90" s="747" t="s">
        <v>70</v>
      </c>
      <c r="I90" s="747">
        <v>244</v>
      </c>
      <c r="J90" s="748">
        <v>226</v>
      </c>
      <c r="K90" s="538" t="s">
        <v>297</v>
      </c>
      <c r="L90" s="412">
        <v>0</v>
      </c>
      <c r="M90" s="403"/>
      <c r="N90" s="403"/>
      <c r="O90" s="403">
        <f t="shared" si="144"/>
        <v>0</v>
      </c>
      <c r="P90" s="565">
        <v>2333.33</v>
      </c>
      <c r="Q90" s="406"/>
      <c r="R90" s="565"/>
      <c r="S90" s="406"/>
      <c r="T90" s="565"/>
      <c r="U90" s="428"/>
      <c r="V90" s="405"/>
      <c r="W90" s="405"/>
      <c r="X90" s="405"/>
      <c r="Z90" s="406">
        <f t="shared" si="148"/>
        <v>0</v>
      </c>
      <c r="AA90" s="407">
        <f t="shared" si="149"/>
        <v>0</v>
      </c>
      <c r="AB90" s="408">
        <f t="shared" si="150"/>
        <v>0</v>
      </c>
      <c r="AC90" s="406">
        <f t="shared" si="151"/>
        <v>0</v>
      </c>
      <c r="AD90" s="407">
        <f t="shared" si="152"/>
        <v>0</v>
      </c>
      <c r="AE90" s="408">
        <f t="shared" si="153"/>
        <v>0</v>
      </c>
      <c r="AF90" s="406">
        <f t="shared" si="154"/>
        <v>0</v>
      </c>
      <c r="AG90" s="407">
        <f t="shared" si="155"/>
        <v>0</v>
      </c>
      <c r="AH90" s="408">
        <f t="shared" si="156"/>
        <v>0</v>
      </c>
      <c r="AI90" s="406">
        <f t="shared" si="157"/>
        <v>0</v>
      </c>
      <c r="AJ90" s="407">
        <f t="shared" si="158"/>
        <v>0</v>
      </c>
      <c r="AK90" s="408">
        <f t="shared" si="159"/>
        <v>0</v>
      </c>
      <c r="AL90" s="409"/>
      <c r="AM90" s="406">
        <f t="shared" si="160"/>
        <v>0</v>
      </c>
      <c r="AN90" s="410">
        <f t="shared" si="161"/>
        <v>0</v>
      </c>
      <c r="AO90" s="411">
        <f t="shared" si="162"/>
        <v>0</v>
      </c>
      <c r="AP90" s="406">
        <f t="shared" si="163"/>
        <v>0</v>
      </c>
      <c r="AQ90" s="410">
        <f t="shared" si="164"/>
        <v>0</v>
      </c>
      <c r="AR90" s="411">
        <f t="shared" si="165"/>
        <v>0</v>
      </c>
      <c r="AS90" s="412">
        <f t="shared" si="166"/>
        <v>0</v>
      </c>
      <c r="AT90" s="410">
        <f t="shared" si="167"/>
        <v>0</v>
      </c>
      <c r="AU90" s="411">
        <f t="shared" si="168"/>
        <v>0</v>
      </c>
      <c r="AV90" s="603">
        <f t="shared" si="145"/>
        <v>0</v>
      </c>
      <c r="AW90" s="413"/>
      <c r="AX90" s="414"/>
      <c r="AY90" s="415"/>
      <c r="AZ90" s="414"/>
      <c r="BA90" s="415"/>
      <c r="BB90" s="416"/>
      <c r="BC90" s="417"/>
      <c r="BD90" s="418"/>
      <c r="BE90" s="419"/>
      <c r="BF90" s="418"/>
      <c r="BG90" s="419"/>
      <c r="BH90" s="420"/>
      <c r="BI90" s="421"/>
      <c r="BJ90" s="422"/>
      <c r="BK90" s="407"/>
      <c r="BL90" s="422"/>
      <c r="BM90" s="407"/>
      <c r="BN90" s="423"/>
      <c r="BO90" s="424"/>
      <c r="BP90" s="425"/>
      <c r="BQ90" s="426"/>
      <c r="BR90" s="425"/>
      <c r="BS90" s="426"/>
      <c r="BT90" s="427"/>
    </row>
    <row r="91" spans="1:72" s="430" customFormat="1" ht="25.5" customHeight="1" outlineLevel="2">
      <c r="A91" s="287">
        <v>81</v>
      </c>
      <c r="B91" s="818"/>
      <c r="C91" s="743"/>
      <c r="D91" s="856" t="s">
        <v>276</v>
      </c>
      <c r="E91" s="857"/>
      <c r="F91" s="827" t="s">
        <v>7</v>
      </c>
      <c r="G91" s="431">
        <v>4</v>
      </c>
      <c r="H91" s="474" t="s">
        <v>70</v>
      </c>
      <c r="I91" s="743">
        <v>244</v>
      </c>
      <c r="J91" s="744">
        <v>226</v>
      </c>
      <c r="K91" s="536" t="s">
        <v>284</v>
      </c>
      <c r="L91" s="443"/>
      <c r="M91" s="434"/>
      <c r="N91" s="434"/>
      <c r="O91" s="434">
        <f t="shared" si="144"/>
        <v>0</v>
      </c>
      <c r="P91" s="563"/>
      <c r="Q91" s="437"/>
      <c r="R91" s="563"/>
      <c r="S91" s="437"/>
      <c r="T91" s="563"/>
      <c r="U91" s="467"/>
      <c r="V91" s="436"/>
      <c r="W91" s="436"/>
      <c r="X91" s="436"/>
      <c r="Z91" s="437">
        <f t="shared" si="148"/>
        <v>0</v>
      </c>
      <c r="AA91" s="438">
        <f t="shared" si="149"/>
        <v>0</v>
      </c>
      <c r="AB91" s="439">
        <f t="shared" si="150"/>
        <v>0</v>
      </c>
      <c r="AC91" s="437">
        <f t="shared" si="151"/>
        <v>0</v>
      </c>
      <c r="AD91" s="438">
        <f t="shared" si="152"/>
        <v>0</v>
      </c>
      <c r="AE91" s="439">
        <f t="shared" si="153"/>
        <v>0</v>
      </c>
      <c r="AF91" s="437">
        <f t="shared" si="154"/>
        <v>0</v>
      </c>
      <c r="AG91" s="438">
        <f t="shared" si="155"/>
        <v>0</v>
      </c>
      <c r="AH91" s="439">
        <f t="shared" si="156"/>
        <v>0</v>
      </c>
      <c r="AI91" s="437">
        <f t="shared" si="157"/>
        <v>0</v>
      </c>
      <c r="AJ91" s="438">
        <f t="shared" si="158"/>
        <v>0</v>
      </c>
      <c r="AK91" s="439">
        <f t="shared" si="159"/>
        <v>0</v>
      </c>
      <c r="AL91" s="440"/>
      <c r="AM91" s="437">
        <f t="shared" si="160"/>
        <v>0</v>
      </c>
      <c r="AN91" s="441">
        <f t="shared" si="161"/>
        <v>0</v>
      </c>
      <c r="AO91" s="442">
        <f t="shared" si="162"/>
        <v>0</v>
      </c>
      <c r="AP91" s="437">
        <f t="shared" si="163"/>
        <v>0</v>
      </c>
      <c r="AQ91" s="441">
        <f t="shared" si="164"/>
        <v>0</v>
      </c>
      <c r="AR91" s="442">
        <f t="shared" si="165"/>
        <v>0</v>
      </c>
      <c r="AS91" s="443">
        <f t="shared" si="166"/>
        <v>0</v>
      </c>
      <c r="AT91" s="441">
        <f t="shared" si="167"/>
        <v>0</v>
      </c>
      <c r="AU91" s="442">
        <f t="shared" si="168"/>
        <v>0</v>
      </c>
      <c r="AV91" s="601">
        <f t="shared" si="145"/>
        <v>0</v>
      </c>
      <c r="AW91" s="444"/>
      <c r="AX91" s="445"/>
      <c r="AY91" s="446"/>
      <c r="AZ91" s="445"/>
      <c r="BA91" s="446"/>
      <c r="BB91" s="447"/>
      <c r="BC91" s="448"/>
      <c r="BD91" s="449"/>
      <c r="BE91" s="450"/>
      <c r="BF91" s="449"/>
      <c r="BG91" s="450"/>
      <c r="BH91" s="451"/>
      <c r="BI91" s="452"/>
      <c r="BJ91" s="453"/>
      <c r="BK91" s="438"/>
      <c r="BL91" s="453"/>
      <c r="BM91" s="438"/>
      <c r="BN91" s="454"/>
      <c r="BO91" s="455"/>
      <c r="BP91" s="456"/>
      <c r="BQ91" s="457"/>
      <c r="BR91" s="456"/>
      <c r="BS91" s="457"/>
      <c r="BT91" s="458"/>
    </row>
    <row r="92" spans="1:72" s="459" customFormat="1" ht="66.75" customHeight="1" outlineLevel="1">
      <c r="A92" s="287">
        <v>82</v>
      </c>
      <c r="B92" s="818"/>
      <c r="C92" s="850" t="s">
        <v>378</v>
      </c>
      <c r="D92" s="854" t="s">
        <v>274</v>
      </c>
      <c r="E92" s="855"/>
      <c r="F92" s="826" t="s">
        <v>7</v>
      </c>
      <c r="G92" s="462">
        <v>4</v>
      </c>
      <c r="H92" s="741" t="s">
        <v>70</v>
      </c>
      <c r="I92" s="741">
        <v>244</v>
      </c>
      <c r="J92" s="742">
        <v>226</v>
      </c>
      <c r="K92" s="535" t="s">
        <v>283</v>
      </c>
      <c r="L92" s="464">
        <v>345187.83</v>
      </c>
      <c r="M92" s="352"/>
      <c r="N92" s="352"/>
      <c r="O92" s="352">
        <f t="shared" si="144"/>
        <v>345187.83</v>
      </c>
      <c r="P92" s="561"/>
      <c r="Q92" s="464"/>
      <c r="R92" s="561"/>
      <c r="S92" s="464"/>
      <c r="T92" s="561"/>
      <c r="U92" s="393"/>
      <c r="V92" s="394"/>
      <c r="W92" s="394"/>
      <c r="X92" s="394"/>
      <c r="Y92" s="392"/>
      <c r="Z92" s="395">
        <f t="shared" si="148"/>
        <v>0</v>
      </c>
      <c r="AA92" s="396">
        <f t="shared" si="149"/>
        <v>0</v>
      </c>
      <c r="AB92" s="397">
        <f t="shared" si="150"/>
        <v>0</v>
      </c>
      <c r="AC92" s="395">
        <f t="shared" si="151"/>
        <v>0</v>
      </c>
      <c r="AD92" s="396">
        <f t="shared" si="152"/>
        <v>0</v>
      </c>
      <c r="AE92" s="397">
        <f t="shared" si="153"/>
        <v>0</v>
      </c>
      <c r="AF92" s="395">
        <f t="shared" si="154"/>
        <v>0</v>
      </c>
      <c r="AG92" s="396">
        <f t="shared" si="155"/>
        <v>0</v>
      </c>
      <c r="AH92" s="397">
        <f t="shared" si="156"/>
        <v>0</v>
      </c>
      <c r="AI92" s="395">
        <f t="shared" si="157"/>
        <v>345187.83</v>
      </c>
      <c r="AJ92" s="396">
        <f t="shared" si="158"/>
        <v>0</v>
      </c>
      <c r="AK92" s="397">
        <f t="shared" si="159"/>
        <v>345187.83</v>
      </c>
      <c r="AL92" s="398"/>
      <c r="AM92" s="464">
        <f t="shared" si="160"/>
        <v>0</v>
      </c>
      <c r="AN92" s="352">
        <f t="shared" si="161"/>
        <v>0</v>
      </c>
      <c r="AO92" s="465">
        <f t="shared" si="162"/>
        <v>0</v>
      </c>
      <c r="AP92" s="464">
        <f t="shared" si="163"/>
        <v>0</v>
      </c>
      <c r="AQ92" s="352">
        <f t="shared" si="164"/>
        <v>0</v>
      </c>
      <c r="AR92" s="465">
        <f t="shared" si="165"/>
        <v>0</v>
      </c>
      <c r="AS92" s="464">
        <f t="shared" si="166"/>
        <v>345187.83</v>
      </c>
      <c r="AT92" s="352">
        <f t="shared" si="167"/>
        <v>0</v>
      </c>
      <c r="AU92" s="465">
        <f t="shared" si="168"/>
        <v>345187.83</v>
      </c>
      <c r="AV92" s="600">
        <f t="shared" si="145"/>
        <v>0</v>
      </c>
      <c r="AW92" s="464">
        <f t="shared" ref="AW92:BT92" si="170">SUM(AW93:AW95)</f>
        <v>0</v>
      </c>
      <c r="AX92" s="352">
        <f t="shared" si="170"/>
        <v>0</v>
      </c>
      <c r="AY92" s="352">
        <f t="shared" si="170"/>
        <v>0</v>
      </c>
      <c r="AZ92" s="352">
        <f t="shared" si="170"/>
        <v>0</v>
      </c>
      <c r="BA92" s="352">
        <f t="shared" si="170"/>
        <v>0</v>
      </c>
      <c r="BB92" s="353">
        <f t="shared" si="170"/>
        <v>0</v>
      </c>
      <c r="BC92" s="464">
        <f t="shared" si="170"/>
        <v>0</v>
      </c>
      <c r="BD92" s="352">
        <f t="shared" si="170"/>
        <v>0</v>
      </c>
      <c r="BE92" s="352">
        <f t="shared" si="170"/>
        <v>0</v>
      </c>
      <c r="BF92" s="352">
        <f t="shared" si="170"/>
        <v>0</v>
      </c>
      <c r="BG92" s="352">
        <f t="shared" si="170"/>
        <v>0</v>
      </c>
      <c r="BH92" s="353">
        <f t="shared" si="170"/>
        <v>0</v>
      </c>
      <c r="BI92" s="464">
        <f t="shared" si="170"/>
        <v>0</v>
      </c>
      <c r="BJ92" s="352">
        <f t="shared" si="170"/>
        <v>0</v>
      </c>
      <c r="BK92" s="352">
        <f t="shared" si="170"/>
        <v>0</v>
      </c>
      <c r="BL92" s="352">
        <f t="shared" si="170"/>
        <v>0</v>
      </c>
      <c r="BM92" s="352">
        <f t="shared" si="170"/>
        <v>0</v>
      </c>
      <c r="BN92" s="353">
        <f t="shared" si="170"/>
        <v>0</v>
      </c>
      <c r="BO92" s="464">
        <f t="shared" si="170"/>
        <v>0</v>
      </c>
      <c r="BP92" s="352">
        <f t="shared" si="170"/>
        <v>0</v>
      </c>
      <c r="BQ92" s="352">
        <f t="shared" si="170"/>
        <v>345187.83</v>
      </c>
      <c r="BR92" s="352">
        <f t="shared" si="170"/>
        <v>0</v>
      </c>
      <c r="BS92" s="352">
        <f t="shared" si="170"/>
        <v>0</v>
      </c>
      <c r="BT92" s="465">
        <f t="shared" si="170"/>
        <v>0</v>
      </c>
    </row>
    <row r="93" spans="1:72" s="313" customFormat="1" ht="38.25" customHeight="1" outlineLevel="2">
      <c r="A93" s="287">
        <v>83</v>
      </c>
      <c r="B93" s="818"/>
      <c r="C93" s="840"/>
      <c r="D93" s="841" t="s">
        <v>274</v>
      </c>
      <c r="E93" s="839"/>
      <c r="F93" s="821" t="s">
        <v>7</v>
      </c>
      <c r="G93" s="314">
        <v>4</v>
      </c>
      <c r="H93" s="739" t="s">
        <v>70</v>
      </c>
      <c r="I93" s="739">
        <v>244</v>
      </c>
      <c r="J93" s="740">
        <v>226</v>
      </c>
      <c r="K93" s="533" t="s">
        <v>290</v>
      </c>
      <c r="L93" s="341">
        <v>340187.83</v>
      </c>
      <c r="M93" s="318"/>
      <c r="N93" s="318"/>
      <c r="O93" s="318">
        <f t="shared" si="144"/>
        <v>340187.83</v>
      </c>
      <c r="P93" s="562"/>
      <c r="Q93" s="336"/>
      <c r="R93" s="562"/>
      <c r="S93" s="336"/>
      <c r="T93" s="562"/>
      <c r="U93" s="466"/>
      <c r="V93" s="320"/>
      <c r="W93" s="320"/>
      <c r="X93" s="320"/>
      <c r="Z93" s="336">
        <f t="shared" si="148"/>
        <v>0</v>
      </c>
      <c r="AA93" s="337">
        <f t="shared" si="149"/>
        <v>0</v>
      </c>
      <c r="AB93" s="338">
        <f t="shared" si="150"/>
        <v>0</v>
      </c>
      <c r="AC93" s="336">
        <f t="shared" si="151"/>
        <v>0</v>
      </c>
      <c r="AD93" s="337">
        <f t="shared" si="152"/>
        <v>0</v>
      </c>
      <c r="AE93" s="338">
        <f t="shared" si="153"/>
        <v>0</v>
      </c>
      <c r="AF93" s="336">
        <f t="shared" si="154"/>
        <v>0</v>
      </c>
      <c r="AG93" s="337">
        <f t="shared" si="155"/>
        <v>0</v>
      </c>
      <c r="AH93" s="338">
        <f t="shared" si="156"/>
        <v>0</v>
      </c>
      <c r="AI93" s="336">
        <f t="shared" si="157"/>
        <v>340187.83</v>
      </c>
      <c r="AJ93" s="337">
        <f t="shared" si="158"/>
        <v>0</v>
      </c>
      <c r="AK93" s="338">
        <f t="shared" si="159"/>
        <v>340187.83</v>
      </c>
      <c r="AL93" s="342"/>
      <c r="AM93" s="336">
        <f t="shared" si="160"/>
        <v>0</v>
      </c>
      <c r="AN93" s="339">
        <f t="shared" si="161"/>
        <v>0</v>
      </c>
      <c r="AO93" s="340">
        <f t="shared" si="162"/>
        <v>0</v>
      </c>
      <c r="AP93" s="336">
        <f t="shared" si="163"/>
        <v>0</v>
      </c>
      <c r="AQ93" s="339">
        <f t="shared" si="164"/>
        <v>0</v>
      </c>
      <c r="AR93" s="340">
        <f t="shared" si="165"/>
        <v>0</v>
      </c>
      <c r="AS93" s="341">
        <f t="shared" si="166"/>
        <v>340187.83</v>
      </c>
      <c r="AT93" s="339">
        <f t="shared" si="167"/>
        <v>0</v>
      </c>
      <c r="AU93" s="340">
        <f t="shared" si="168"/>
        <v>340187.83</v>
      </c>
      <c r="AV93" s="589">
        <f t="shared" si="145"/>
        <v>0</v>
      </c>
      <c r="AW93" s="343"/>
      <c r="AX93" s="344"/>
      <c r="AY93" s="345"/>
      <c r="AZ93" s="344"/>
      <c r="BA93" s="345"/>
      <c r="BB93" s="346"/>
      <c r="BC93" s="347"/>
      <c r="BD93" s="348"/>
      <c r="BE93" s="349"/>
      <c r="BF93" s="348"/>
      <c r="BG93" s="349"/>
      <c r="BH93" s="350"/>
      <c r="BI93" s="351"/>
      <c r="BJ93" s="352"/>
      <c r="BK93" s="337"/>
      <c r="BL93" s="352"/>
      <c r="BM93" s="337"/>
      <c r="BN93" s="353"/>
      <c r="BO93" s="354"/>
      <c r="BP93" s="355"/>
      <c r="BQ93" s="356">
        <v>340187.83</v>
      </c>
      <c r="BR93" s="355"/>
      <c r="BS93" s="356"/>
      <c r="BT93" s="357"/>
    </row>
    <row r="94" spans="1:72" s="313" customFormat="1" ht="25.5" customHeight="1" outlineLevel="2">
      <c r="A94" s="287">
        <v>84</v>
      </c>
      <c r="B94" s="818"/>
      <c r="C94" s="840"/>
      <c r="D94" s="841" t="s">
        <v>274</v>
      </c>
      <c r="E94" s="839"/>
      <c r="F94" s="821" t="s">
        <v>7</v>
      </c>
      <c r="G94" s="314">
        <v>4</v>
      </c>
      <c r="H94" s="739" t="s">
        <v>70</v>
      </c>
      <c r="I94" s="739">
        <v>244</v>
      </c>
      <c r="J94" s="740">
        <v>226</v>
      </c>
      <c r="K94" s="533" t="s">
        <v>288</v>
      </c>
      <c r="L94" s="341">
        <v>5000</v>
      </c>
      <c r="M94" s="318"/>
      <c r="N94" s="318"/>
      <c r="O94" s="318">
        <f t="shared" si="144"/>
        <v>5000</v>
      </c>
      <c r="P94" s="562"/>
      <c r="Q94" s="336"/>
      <c r="R94" s="562"/>
      <c r="S94" s="336"/>
      <c r="T94" s="562"/>
      <c r="U94" s="466"/>
      <c r="V94" s="320"/>
      <c r="W94" s="320"/>
      <c r="X94" s="320"/>
      <c r="Z94" s="336">
        <f t="shared" si="148"/>
        <v>0</v>
      </c>
      <c r="AA94" s="337">
        <f t="shared" si="149"/>
        <v>0</v>
      </c>
      <c r="AB94" s="338">
        <f t="shared" si="150"/>
        <v>0</v>
      </c>
      <c r="AC94" s="336">
        <f t="shared" si="151"/>
        <v>0</v>
      </c>
      <c r="AD94" s="337">
        <f t="shared" si="152"/>
        <v>0</v>
      </c>
      <c r="AE94" s="338">
        <f t="shared" si="153"/>
        <v>0</v>
      </c>
      <c r="AF94" s="336">
        <f t="shared" si="154"/>
        <v>0</v>
      </c>
      <c r="AG94" s="337">
        <f t="shared" si="155"/>
        <v>0</v>
      </c>
      <c r="AH94" s="338">
        <f t="shared" si="156"/>
        <v>0</v>
      </c>
      <c r="AI94" s="336">
        <f t="shared" si="157"/>
        <v>5000</v>
      </c>
      <c r="AJ94" s="337">
        <f t="shared" si="158"/>
        <v>0</v>
      </c>
      <c r="AK94" s="338">
        <f t="shared" si="159"/>
        <v>5000</v>
      </c>
      <c r="AL94" s="342"/>
      <c r="AM94" s="336">
        <f t="shared" si="160"/>
        <v>0</v>
      </c>
      <c r="AN94" s="339">
        <f t="shared" si="161"/>
        <v>0</v>
      </c>
      <c r="AO94" s="340">
        <f t="shared" si="162"/>
        <v>0</v>
      </c>
      <c r="AP94" s="336">
        <f t="shared" si="163"/>
        <v>0</v>
      </c>
      <c r="AQ94" s="339">
        <f t="shared" si="164"/>
        <v>0</v>
      </c>
      <c r="AR94" s="340">
        <f t="shared" si="165"/>
        <v>0</v>
      </c>
      <c r="AS94" s="341">
        <f t="shared" si="166"/>
        <v>5000</v>
      </c>
      <c r="AT94" s="339">
        <f t="shared" si="167"/>
        <v>0</v>
      </c>
      <c r="AU94" s="340">
        <f t="shared" si="168"/>
        <v>5000</v>
      </c>
      <c r="AV94" s="589">
        <f t="shared" si="145"/>
        <v>0</v>
      </c>
      <c r="AW94" s="343"/>
      <c r="AX94" s="344"/>
      <c r="AY94" s="345"/>
      <c r="AZ94" s="344"/>
      <c r="BA94" s="345"/>
      <c r="BB94" s="346"/>
      <c r="BC94" s="347"/>
      <c r="BD94" s="348"/>
      <c r="BE94" s="349"/>
      <c r="BF94" s="348"/>
      <c r="BG94" s="349"/>
      <c r="BH94" s="350"/>
      <c r="BI94" s="351"/>
      <c r="BJ94" s="352"/>
      <c r="BK94" s="337"/>
      <c r="BL94" s="352"/>
      <c r="BM94" s="337"/>
      <c r="BN94" s="353"/>
      <c r="BO94" s="354"/>
      <c r="BP94" s="355"/>
      <c r="BQ94" s="356">
        <v>5000</v>
      </c>
      <c r="BR94" s="355"/>
      <c r="BS94" s="356"/>
      <c r="BT94" s="357"/>
    </row>
    <row r="95" spans="1:72" s="430" customFormat="1" ht="25.5" customHeight="1" outlineLevel="2">
      <c r="A95" s="287">
        <v>85</v>
      </c>
      <c r="B95" s="818"/>
      <c r="C95" s="743"/>
      <c r="D95" s="856" t="s">
        <v>274</v>
      </c>
      <c r="E95" s="857"/>
      <c r="F95" s="827" t="s">
        <v>7</v>
      </c>
      <c r="G95" s="431">
        <v>4</v>
      </c>
      <c r="H95" s="474" t="s">
        <v>70</v>
      </c>
      <c r="I95" s="743">
        <v>244</v>
      </c>
      <c r="J95" s="744">
        <v>226</v>
      </c>
      <c r="K95" s="536" t="s">
        <v>284</v>
      </c>
      <c r="L95" s="443"/>
      <c r="M95" s="434"/>
      <c r="N95" s="434"/>
      <c r="O95" s="434">
        <f t="shared" si="144"/>
        <v>0</v>
      </c>
      <c r="P95" s="563"/>
      <c r="Q95" s="437"/>
      <c r="R95" s="563"/>
      <c r="S95" s="437"/>
      <c r="T95" s="563"/>
      <c r="U95" s="467"/>
      <c r="V95" s="436"/>
      <c r="W95" s="436"/>
      <c r="X95" s="436"/>
      <c r="Z95" s="437">
        <f t="shared" si="148"/>
        <v>0</v>
      </c>
      <c r="AA95" s="438">
        <f t="shared" si="149"/>
        <v>0</v>
      </c>
      <c r="AB95" s="439">
        <f t="shared" si="150"/>
        <v>0</v>
      </c>
      <c r="AC95" s="437">
        <f t="shared" si="151"/>
        <v>0</v>
      </c>
      <c r="AD95" s="438">
        <f t="shared" si="152"/>
        <v>0</v>
      </c>
      <c r="AE95" s="439">
        <f t="shared" si="153"/>
        <v>0</v>
      </c>
      <c r="AF95" s="437">
        <f t="shared" si="154"/>
        <v>0</v>
      </c>
      <c r="AG95" s="438">
        <f t="shared" si="155"/>
        <v>0</v>
      </c>
      <c r="AH95" s="439">
        <f t="shared" si="156"/>
        <v>0</v>
      </c>
      <c r="AI95" s="437">
        <f t="shared" si="157"/>
        <v>0</v>
      </c>
      <c r="AJ95" s="438">
        <f t="shared" si="158"/>
        <v>0</v>
      </c>
      <c r="AK95" s="439">
        <f t="shared" si="159"/>
        <v>0</v>
      </c>
      <c r="AL95" s="440"/>
      <c r="AM95" s="437">
        <f t="shared" si="160"/>
        <v>0</v>
      </c>
      <c r="AN95" s="441">
        <f t="shared" si="161"/>
        <v>0</v>
      </c>
      <c r="AO95" s="442">
        <f t="shared" si="162"/>
        <v>0</v>
      </c>
      <c r="AP95" s="437">
        <f t="shared" si="163"/>
        <v>0</v>
      </c>
      <c r="AQ95" s="441">
        <f t="shared" si="164"/>
        <v>0</v>
      </c>
      <c r="AR95" s="442">
        <f t="shared" si="165"/>
        <v>0</v>
      </c>
      <c r="AS95" s="443">
        <f t="shared" si="166"/>
        <v>0</v>
      </c>
      <c r="AT95" s="441">
        <f t="shared" si="167"/>
        <v>0</v>
      </c>
      <c r="AU95" s="442">
        <f t="shared" si="168"/>
        <v>0</v>
      </c>
      <c r="AV95" s="601">
        <f t="shared" si="145"/>
        <v>0</v>
      </c>
      <c r="AW95" s="444"/>
      <c r="AX95" s="445"/>
      <c r="AY95" s="446"/>
      <c r="AZ95" s="445"/>
      <c r="BA95" s="446"/>
      <c r="BB95" s="447"/>
      <c r="BC95" s="448"/>
      <c r="BD95" s="449"/>
      <c r="BE95" s="450"/>
      <c r="BF95" s="449"/>
      <c r="BG95" s="450"/>
      <c r="BH95" s="451"/>
      <c r="BI95" s="452"/>
      <c r="BJ95" s="453"/>
      <c r="BK95" s="438"/>
      <c r="BL95" s="453"/>
      <c r="BM95" s="438"/>
      <c r="BN95" s="454"/>
      <c r="BO95" s="455"/>
      <c r="BP95" s="456"/>
      <c r="BQ95" s="457"/>
      <c r="BR95" s="456"/>
      <c r="BS95" s="457"/>
      <c r="BT95" s="458"/>
    </row>
    <row r="96" spans="1:72" s="468" customFormat="1" ht="72.75" customHeight="1" outlineLevel="1">
      <c r="A96" s="287">
        <v>86</v>
      </c>
      <c r="B96" s="818"/>
      <c r="C96" s="850" t="s">
        <v>378</v>
      </c>
      <c r="D96" s="854" t="s">
        <v>277</v>
      </c>
      <c r="E96" s="858"/>
      <c r="F96" s="828" t="s">
        <v>7</v>
      </c>
      <c r="G96" s="469">
        <v>4</v>
      </c>
      <c r="H96" s="745" t="s">
        <v>70</v>
      </c>
      <c r="I96" s="745">
        <v>244</v>
      </c>
      <c r="J96" s="746">
        <v>226</v>
      </c>
      <c r="K96" s="537" t="s">
        <v>282</v>
      </c>
      <c r="L96" s="472">
        <v>93059.77</v>
      </c>
      <c r="M96" s="422"/>
      <c r="N96" s="422"/>
      <c r="O96" s="422">
        <f t="shared" si="144"/>
        <v>93059.77</v>
      </c>
      <c r="P96" s="564"/>
      <c r="Q96" s="472"/>
      <c r="R96" s="564"/>
      <c r="S96" s="472"/>
      <c r="T96" s="564"/>
      <c r="U96" s="393"/>
      <c r="V96" s="394"/>
      <c r="W96" s="394"/>
      <c r="X96" s="394"/>
      <c r="Y96" s="392"/>
      <c r="Z96" s="395">
        <f t="shared" si="148"/>
        <v>0</v>
      </c>
      <c r="AA96" s="396">
        <f t="shared" si="149"/>
        <v>0</v>
      </c>
      <c r="AB96" s="397">
        <f t="shared" si="150"/>
        <v>0</v>
      </c>
      <c r="AC96" s="395">
        <f t="shared" si="151"/>
        <v>0</v>
      </c>
      <c r="AD96" s="396">
        <f t="shared" si="152"/>
        <v>0</v>
      </c>
      <c r="AE96" s="397">
        <f t="shared" si="153"/>
        <v>0</v>
      </c>
      <c r="AF96" s="395">
        <f t="shared" si="154"/>
        <v>0</v>
      </c>
      <c r="AG96" s="396">
        <f t="shared" si="155"/>
        <v>0</v>
      </c>
      <c r="AH96" s="397">
        <f t="shared" si="156"/>
        <v>0</v>
      </c>
      <c r="AI96" s="395">
        <f t="shared" si="157"/>
        <v>93059.77</v>
      </c>
      <c r="AJ96" s="396">
        <f t="shared" si="158"/>
        <v>0</v>
      </c>
      <c r="AK96" s="397">
        <f t="shared" si="159"/>
        <v>93059.77</v>
      </c>
      <c r="AL96" s="398"/>
      <c r="AM96" s="472">
        <f t="shared" si="160"/>
        <v>0</v>
      </c>
      <c r="AN96" s="422">
        <f t="shared" si="161"/>
        <v>0</v>
      </c>
      <c r="AO96" s="473">
        <f t="shared" si="162"/>
        <v>0</v>
      </c>
      <c r="AP96" s="472">
        <f t="shared" si="163"/>
        <v>0</v>
      </c>
      <c r="AQ96" s="422">
        <f t="shared" si="164"/>
        <v>0</v>
      </c>
      <c r="AR96" s="473">
        <f t="shared" si="165"/>
        <v>0</v>
      </c>
      <c r="AS96" s="472">
        <f t="shared" si="166"/>
        <v>93059.77</v>
      </c>
      <c r="AT96" s="422">
        <f t="shared" si="167"/>
        <v>0</v>
      </c>
      <c r="AU96" s="473">
        <f t="shared" si="168"/>
        <v>93059.77</v>
      </c>
      <c r="AV96" s="602">
        <f t="shared" si="145"/>
        <v>0</v>
      </c>
      <c r="AW96" s="472">
        <f t="shared" ref="AW96:BT96" si="171">SUM(AW97:AW100)</f>
        <v>0</v>
      </c>
      <c r="AX96" s="422">
        <f t="shared" si="171"/>
        <v>0</v>
      </c>
      <c r="AY96" s="422">
        <f t="shared" si="171"/>
        <v>0</v>
      </c>
      <c r="AZ96" s="422">
        <f t="shared" si="171"/>
        <v>0</v>
      </c>
      <c r="BA96" s="422">
        <f t="shared" si="171"/>
        <v>0</v>
      </c>
      <c r="BB96" s="423">
        <f t="shared" si="171"/>
        <v>0</v>
      </c>
      <c r="BC96" s="472">
        <f t="shared" si="171"/>
        <v>0</v>
      </c>
      <c r="BD96" s="422">
        <f t="shared" si="171"/>
        <v>0</v>
      </c>
      <c r="BE96" s="422">
        <f t="shared" si="171"/>
        <v>0</v>
      </c>
      <c r="BF96" s="422">
        <f t="shared" si="171"/>
        <v>0</v>
      </c>
      <c r="BG96" s="422">
        <f t="shared" si="171"/>
        <v>0</v>
      </c>
      <c r="BH96" s="423">
        <f t="shared" si="171"/>
        <v>0</v>
      </c>
      <c r="BI96" s="472">
        <f t="shared" si="171"/>
        <v>0</v>
      </c>
      <c r="BJ96" s="422">
        <f t="shared" si="171"/>
        <v>0</v>
      </c>
      <c r="BK96" s="422">
        <f t="shared" si="171"/>
        <v>0</v>
      </c>
      <c r="BL96" s="422">
        <f t="shared" si="171"/>
        <v>0</v>
      </c>
      <c r="BM96" s="422">
        <f t="shared" si="171"/>
        <v>0</v>
      </c>
      <c r="BN96" s="423">
        <f t="shared" si="171"/>
        <v>0</v>
      </c>
      <c r="BO96" s="472">
        <f t="shared" si="171"/>
        <v>0</v>
      </c>
      <c r="BP96" s="422">
        <f t="shared" si="171"/>
        <v>0</v>
      </c>
      <c r="BQ96" s="422">
        <f t="shared" si="171"/>
        <v>0</v>
      </c>
      <c r="BR96" s="422">
        <f t="shared" si="171"/>
        <v>0</v>
      </c>
      <c r="BS96" s="422">
        <f t="shared" si="171"/>
        <v>93059.77</v>
      </c>
      <c r="BT96" s="473">
        <f t="shared" si="171"/>
        <v>0</v>
      </c>
    </row>
    <row r="97" spans="1:72" s="399" customFormat="1" ht="25.5" customHeight="1" outlineLevel="2">
      <c r="A97" s="287">
        <v>87</v>
      </c>
      <c r="B97" s="818"/>
      <c r="C97" s="859"/>
      <c r="D97" s="841" t="s">
        <v>277</v>
      </c>
      <c r="E97" s="860"/>
      <c r="F97" s="829" t="s">
        <v>7</v>
      </c>
      <c r="G97" s="400">
        <v>4</v>
      </c>
      <c r="H97" s="747" t="s">
        <v>70</v>
      </c>
      <c r="I97" s="747">
        <v>244</v>
      </c>
      <c r="J97" s="748">
        <v>226</v>
      </c>
      <c r="K97" s="538" t="s">
        <v>298</v>
      </c>
      <c r="L97" s="412">
        <v>5666.67</v>
      </c>
      <c r="M97" s="403"/>
      <c r="N97" s="403"/>
      <c r="O97" s="403">
        <f t="shared" si="144"/>
        <v>5666.67</v>
      </c>
      <c r="P97" s="566"/>
      <c r="Q97" s="406"/>
      <c r="R97" s="566"/>
      <c r="S97" s="406"/>
      <c r="T97" s="566"/>
      <c r="U97" s="404"/>
      <c r="V97" s="405"/>
      <c r="W97" s="405"/>
      <c r="X97" s="405"/>
      <c r="Z97" s="406">
        <f t="shared" si="148"/>
        <v>0</v>
      </c>
      <c r="AA97" s="407">
        <f t="shared" si="149"/>
        <v>0</v>
      </c>
      <c r="AB97" s="408">
        <f t="shared" si="150"/>
        <v>0</v>
      </c>
      <c r="AC97" s="406">
        <f t="shared" si="151"/>
        <v>0</v>
      </c>
      <c r="AD97" s="407">
        <f t="shared" si="152"/>
        <v>0</v>
      </c>
      <c r="AE97" s="408">
        <f t="shared" si="153"/>
        <v>0</v>
      </c>
      <c r="AF97" s="406">
        <f t="shared" si="154"/>
        <v>0</v>
      </c>
      <c r="AG97" s="407">
        <f t="shared" si="155"/>
        <v>0</v>
      </c>
      <c r="AH97" s="408">
        <f t="shared" si="156"/>
        <v>0</v>
      </c>
      <c r="AI97" s="406">
        <f t="shared" si="157"/>
        <v>5666.67</v>
      </c>
      <c r="AJ97" s="407">
        <f t="shared" si="158"/>
        <v>0</v>
      </c>
      <c r="AK97" s="408">
        <f t="shared" si="159"/>
        <v>5666.67</v>
      </c>
      <c r="AL97" s="409"/>
      <c r="AM97" s="406">
        <f t="shared" si="160"/>
        <v>0</v>
      </c>
      <c r="AN97" s="410">
        <f t="shared" si="161"/>
        <v>0</v>
      </c>
      <c r="AO97" s="411">
        <f t="shared" si="162"/>
        <v>0</v>
      </c>
      <c r="AP97" s="406">
        <f t="shared" si="163"/>
        <v>0</v>
      </c>
      <c r="AQ97" s="410">
        <f t="shared" si="164"/>
        <v>0</v>
      </c>
      <c r="AR97" s="411">
        <f t="shared" si="165"/>
        <v>0</v>
      </c>
      <c r="AS97" s="412">
        <f t="shared" si="166"/>
        <v>5666.67</v>
      </c>
      <c r="AT97" s="410">
        <f t="shared" si="167"/>
        <v>0</v>
      </c>
      <c r="AU97" s="411">
        <f t="shared" si="168"/>
        <v>5666.67</v>
      </c>
      <c r="AV97" s="603">
        <f t="shared" si="145"/>
        <v>0</v>
      </c>
      <c r="AW97" s="413"/>
      <c r="AX97" s="414"/>
      <c r="AY97" s="415"/>
      <c r="AZ97" s="414"/>
      <c r="BA97" s="415"/>
      <c r="BB97" s="416"/>
      <c r="BC97" s="417"/>
      <c r="BD97" s="418"/>
      <c r="BE97" s="419"/>
      <c r="BF97" s="418"/>
      <c r="BG97" s="419"/>
      <c r="BH97" s="420"/>
      <c r="BI97" s="421"/>
      <c r="BJ97" s="422"/>
      <c r="BK97" s="407"/>
      <c r="BL97" s="422"/>
      <c r="BM97" s="407"/>
      <c r="BN97" s="423"/>
      <c r="BO97" s="424"/>
      <c r="BP97" s="425"/>
      <c r="BQ97" s="426"/>
      <c r="BR97" s="425"/>
      <c r="BS97" s="426">
        <v>5666.67</v>
      </c>
      <c r="BT97" s="427"/>
    </row>
    <row r="98" spans="1:72" s="399" customFormat="1" ht="25.5" customHeight="1" outlineLevel="2">
      <c r="A98" s="287">
        <v>88</v>
      </c>
      <c r="B98" s="818"/>
      <c r="C98" s="859"/>
      <c r="D98" s="841" t="s">
        <v>277</v>
      </c>
      <c r="E98" s="860"/>
      <c r="F98" s="829" t="s">
        <v>7</v>
      </c>
      <c r="G98" s="400">
        <v>4</v>
      </c>
      <c r="H98" s="747" t="s">
        <v>70</v>
      </c>
      <c r="I98" s="747">
        <v>244</v>
      </c>
      <c r="J98" s="748">
        <v>226</v>
      </c>
      <c r="K98" s="538" t="s">
        <v>299</v>
      </c>
      <c r="L98" s="412">
        <v>28059.9</v>
      </c>
      <c r="M98" s="403"/>
      <c r="N98" s="403"/>
      <c r="O98" s="403">
        <f t="shared" si="144"/>
        <v>28059.9</v>
      </c>
      <c r="P98" s="566"/>
      <c r="Q98" s="406"/>
      <c r="R98" s="566"/>
      <c r="S98" s="406"/>
      <c r="T98" s="566"/>
      <c r="U98" s="404"/>
      <c r="V98" s="405"/>
      <c r="W98" s="405"/>
      <c r="X98" s="405"/>
      <c r="Z98" s="406">
        <f t="shared" si="148"/>
        <v>0</v>
      </c>
      <c r="AA98" s="407">
        <f t="shared" si="149"/>
        <v>0</v>
      </c>
      <c r="AB98" s="408">
        <f t="shared" si="150"/>
        <v>0</v>
      </c>
      <c r="AC98" s="406">
        <f t="shared" si="151"/>
        <v>0</v>
      </c>
      <c r="AD98" s="407">
        <f t="shared" si="152"/>
        <v>0</v>
      </c>
      <c r="AE98" s="408">
        <f t="shared" si="153"/>
        <v>0</v>
      </c>
      <c r="AF98" s="406">
        <f t="shared" si="154"/>
        <v>0</v>
      </c>
      <c r="AG98" s="407">
        <f t="shared" si="155"/>
        <v>0</v>
      </c>
      <c r="AH98" s="408">
        <f t="shared" si="156"/>
        <v>0</v>
      </c>
      <c r="AI98" s="406">
        <f t="shared" si="157"/>
        <v>28059.9</v>
      </c>
      <c r="AJ98" s="407">
        <f t="shared" si="158"/>
        <v>0</v>
      </c>
      <c r="AK98" s="408">
        <f t="shared" si="159"/>
        <v>28059.9</v>
      </c>
      <c r="AL98" s="409"/>
      <c r="AM98" s="406">
        <f t="shared" si="160"/>
        <v>0</v>
      </c>
      <c r="AN98" s="410">
        <f t="shared" si="161"/>
        <v>0</v>
      </c>
      <c r="AO98" s="411">
        <f t="shared" si="162"/>
        <v>0</v>
      </c>
      <c r="AP98" s="406">
        <f t="shared" si="163"/>
        <v>0</v>
      </c>
      <c r="AQ98" s="410">
        <f t="shared" si="164"/>
        <v>0</v>
      </c>
      <c r="AR98" s="411">
        <f t="shared" si="165"/>
        <v>0</v>
      </c>
      <c r="AS98" s="412">
        <f t="shared" si="166"/>
        <v>28059.9</v>
      </c>
      <c r="AT98" s="410">
        <f t="shared" si="167"/>
        <v>0</v>
      </c>
      <c r="AU98" s="411">
        <f t="shared" si="168"/>
        <v>28059.9</v>
      </c>
      <c r="AV98" s="603">
        <f t="shared" si="145"/>
        <v>0</v>
      </c>
      <c r="AW98" s="413"/>
      <c r="AX98" s="414"/>
      <c r="AY98" s="415"/>
      <c r="AZ98" s="414"/>
      <c r="BA98" s="415"/>
      <c r="BB98" s="416"/>
      <c r="BC98" s="417"/>
      <c r="BD98" s="418"/>
      <c r="BE98" s="419"/>
      <c r="BF98" s="418"/>
      <c r="BG98" s="419"/>
      <c r="BH98" s="420"/>
      <c r="BI98" s="421"/>
      <c r="BJ98" s="422"/>
      <c r="BK98" s="407"/>
      <c r="BL98" s="422"/>
      <c r="BM98" s="407"/>
      <c r="BN98" s="423"/>
      <c r="BO98" s="424"/>
      <c r="BP98" s="425"/>
      <c r="BQ98" s="426"/>
      <c r="BR98" s="425"/>
      <c r="BS98" s="426">
        <v>28059.9</v>
      </c>
      <c r="BT98" s="427"/>
    </row>
    <row r="99" spans="1:72" s="399" customFormat="1" ht="25.5" customHeight="1" outlineLevel="2">
      <c r="A99" s="287">
        <v>89</v>
      </c>
      <c r="B99" s="818"/>
      <c r="C99" s="859"/>
      <c r="D99" s="841" t="s">
        <v>277</v>
      </c>
      <c r="E99" s="860"/>
      <c r="F99" s="829" t="s">
        <v>7</v>
      </c>
      <c r="G99" s="400">
        <v>4</v>
      </c>
      <c r="H99" s="747" t="s">
        <v>70</v>
      </c>
      <c r="I99" s="747">
        <v>244</v>
      </c>
      <c r="J99" s="748">
        <v>226</v>
      </c>
      <c r="K99" s="538" t="s">
        <v>300</v>
      </c>
      <c r="L99" s="412">
        <v>59333.2</v>
      </c>
      <c r="M99" s="403"/>
      <c r="N99" s="403"/>
      <c r="O99" s="403">
        <f t="shared" si="144"/>
        <v>59333.2</v>
      </c>
      <c r="P99" s="566"/>
      <c r="Q99" s="406"/>
      <c r="R99" s="566"/>
      <c r="S99" s="406"/>
      <c r="T99" s="566"/>
      <c r="U99" s="404"/>
      <c r="V99" s="405"/>
      <c r="W99" s="405"/>
      <c r="X99" s="405"/>
      <c r="Z99" s="406">
        <f t="shared" si="148"/>
        <v>0</v>
      </c>
      <c r="AA99" s="407">
        <f t="shared" si="149"/>
        <v>0</v>
      </c>
      <c r="AB99" s="408">
        <f t="shared" si="150"/>
        <v>0</v>
      </c>
      <c r="AC99" s="406">
        <f t="shared" si="151"/>
        <v>0</v>
      </c>
      <c r="AD99" s="407">
        <f t="shared" si="152"/>
        <v>0</v>
      </c>
      <c r="AE99" s="408">
        <f t="shared" si="153"/>
        <v>0</v>
      </c>
      <c r="AF99" s="406">
        <f t="shared" si="154"/>
        <v>0</v>
      </c>
      <c r="AG99" s="407">
        <f t="shared" si="155"/>
        <v>0</v>
      </c>
      <c r="AH99" s="408">
        <f t="shared" si="156"/>
        <v>0</v>
      </c>
      <c r="AI99" s="406">
        <f t="shared" si="157"/>
        <v>59333.2</v>
      </c>
      <c r="AJ99" s="407">
        <f t="shared" si="158"/>
        <v>0</v>
      </c>
      <c r="AK99" s="408">
        <f t="shared" si="159"/>
        <v>59333.2</v>
      </c>
      <c r="AL99" s="409"/>
      <c r="AM99" s="406">
        <f t="shared" si="160"/>
        <v>0</v>
      </c>
      <c r="AN99" s="410">
        <f t="shared" si="161"/>
        <v>0</v>
      </c>
      <c r="AO99" s="411">
        <f t="shared" si="162"/>
        <v>0</v>
      </c>
      <c r="AP99" s="406">
        <f t="shared" si="163"/>
        <v>0</v>
      </c>
      <c r="AQ99" s="410">
        <f t="shared" si="164"/>
        <v>0</v>
      </c>
      <c r="AR99" s="411">
        <f t="shared" si="165"/>
        <v>0</v>
      </c>
      <c r="AS99" s="412">
        <f t="shared" si="166"/>
        <v>59333.2</v>
      </c>
      <c r="AT99" s="410">
        <f t="shared" si="167"/>
        <v>0</v>
      </c>
      <c r="AU99" s="411">
        <f t="shared" si="168"/>
        <v>59333.2</v>
      </c>
      <c r="AV99" s="603">
        <f t="shared" si="145"/>
        <v>0</v>
      </c>
      <c r="AW99" s="413"/>
      <c r="AX99" s="414"/>
      <c r="AY99" s="415"/>
      <c r="AZ99" s="414"/>
      <c r="BA99" s="415"/>
      <c r="BB99" s="416"/>
      <c r="BC99" s="417"/>
      <c r="BD99" s="418"/>
      <c r="BE99" s="419"/>
      <c r="BF99" s="418"/>
      <c r="BG99" s="419"/>
      <c r="BH99" s="420"/>
      <c r="BI99" s="421"/>
      <c r="BJ99" s="422"/>
      <c r="BK99" s="407"/>
      <c r="BL99" s="422"/>
      <c r="BM99" s="407"/>
      <c r="BN99" s="423"/>
      <c r="BO99" s="424"/>
      <c r="BP99" s="425"/>
      <c r="BQ99" s="426"/>
      <c r="BR99" s="425"/>
      <c r="BS99" s="426">
        <v>59333.2</v>
      </c>
      <c r="BT99" s="427"/>
    </row>
    <row r="100" spans="1:72" s="430" customFormat="1" ht="25.5" customHeight="1" outlineLevel="2">
      <c r="A100" s="287">
        <v>90</v>
      </c>
      <c r="B100" s="818"/>
      <c r="C100" s="743"/>
      <c r="D100" s="856" t="s">
        <v>277</v>
      </c>
      <c r="E100" s="857"/>
      <c r="F100" s="827" t="s">
        <v>7</v>
      </c>
      <c r="G100" s="431">
        <v>4</v>
      </c>
      <c r="H100" s="474" t="s">
        <v>70</v>
      </c>
      <c r="I100" s="743">
        <v>244</v>
      </c>
      <c r="J100" s="744">
        <v>226</v>
      </c>
      <c r="K100" s="536" t="s">
        <v>284</v>
      </c>
      <c r="L100" s="443"/>
      <c r="M100" s="434"/>
      <c r="N100" s="434"/>
      <c r="O100" s="434">
        <f t="shared" si="144"/>
        <v>0</v>
      </c>
      <c r="P100" s="567"/>
      <c r="Q100" s="437"/>
      <c r="R100" s="567"/>
      <c r="S100" s="437"/>
      <c r="T100" s="567"/>
      <c r="U100" s="435"/>
      <c r="V100" s="436"/>
      <c r="W100" s="436"/>
      <c r="X100" s="436"/>
      <c r="Z100" s="437">
        <f t="shared" si="148"/>
        <v>0</v>
      </c>
      <c r="AA100" s="438">
        <f t="shared" si="149"/>
        <v>0</v>
      </c>
      <c r="AB100" s="439">
        <f t="shared" si="150"/>
        <v>0</v>
      </c>
      <c r="AC100" s="437">
        <f t="shared" si="151"/>
        <v>0</v>
      </c>
      <c r="AD100" s="438">
        <f t="shared" si="152"/>
        <v>0</v>
      </c>
      <c r="AE100" s="439">
        <f t="shared" si="153"/>
        <v>0</v>
      </c>
      <c r="AF100" s="437">
        <f t="shared" si="154"/>
        <v>0</v>
      </c>
      <c r="AG100" s="438">
        <f t="shared" si="155"/>
        <v>0</v>
      </c>
      <c r="AH100" s="439">
        <f t="shared" si="156"/>
        <v>0</v>
      </c>
      <c r="AI100" s="437">
        <f t="shared" si="157"/>
        <v>0</v>
      </c>
      <c r="AJ100" s="438">
        <f t="shared" si="158"/>
        <v>0</v>
      </c>
      <c r="AK100" s="439">
        <f t="shared" si="159"/>
        <v>0</v>
      </c>
      <c r="AL100" s="440"/>
      <c r="AM100" s="437">
        <f t="shared" si="160"/>
        <v>0</v>
      </c>
      <c r="AN100" s="441">
        <f t="shared" si="161"/>
        <v>0</v>
      </c>
      <c r="AO100" s="442">
        <f t="shared" si="162"/>
        <v>0</v>
      </c>
      <c r="AP100" s="437">
        <f t="shared" si="163"/>
        <v>0</v>
      </c>
      <c r="AQ100" s="441">
        <f t="shared" si="164"/>
        <v>0</v>
      </c>
      <c r="AR100" s="442">
        <f t="shared" si="165"/>
        <v>0</v>
      </c>
      <c r="AS100" s="443">
        <f t="shared" si="166"/>
        <v>0</v>
      </c>
      <c r="AT100" s="441">
        <f t="shared" si="167"/>
        <v>0</v>
      </c>
      <c r="AU100" s="442">
        <f t="shared" si="168"/>
        <v>0</v>
      </c>
      <c r="AV100" s="601">
        <f t="shared" si="145"/>
        <v>0</v>
      </c>
      <c r="AW100" s="444"/>
      <c r="AX100" s="445"/>
      <c r="AY100" s="446"/>
      <c r="AZ100" s="445"/>
      <c r="BA100" s="446"/>
      <c r="BB100" s="447"/>
      <c r="BC100" s="448"/>
      <c r="BD100" s="449"/>
      <c r="BE100" s="450"/>
      <c r="BF100" s="449"/>
      <c r="BG100" s="450"/>
      <c r="BH100" s="451"/>
      <c r="BI100" s="452"/>
      <c r="BJ100" s="453"/>
      <c r="BK100" s="438"/>
      <c r="BL100" s="453"/>
      <c r="BM100" s="438"/>
      <c r="BN100" s="454"/>
      <c r="BO100" s="455"/>
      <c r="BP100" s="456"/>
      <c r="BQ100" s="457"/>
      <c r="BR100" s="456"/>
      <c r="BS100" s="457"/>
      <c r="BT100" s="458"/>
    </row>
    <row r="101" spans="1:72" s="358" customFormat="1" ht="51" customHeight="1">
      <c r="A101" s="287">
        <v>91</v>
      </c>
      <c r="B101" s="818"/>
      <c r="C101" s="850" t="s">
        <v>377</v>
      </c>
      <c r="D101" s="838"/>
      <c r="E101" s="836" t="s">
        <v>201</v>
      </c>
      <c r="F101" s="820" t="s">
        <v>7</v>
      </c>
      <c r="G101" s="360">
        <v>4</v>
      </c>
      <c r="H101" s="360" t="s">
        <v>266</v>
      </c>
      <c r="I101" s="360">
        <v>244</v>
      </c>
      <c r="J101" s="361">
        <v>346</v>
      </c>
      <c r="K101" s="532" t="s">
        <v>306</v>
      </c>
      <c r="L101" s="367">
        <v>359298.91</v>
      </c>
      <c r="M101" s="363"/>
      <c r="N101" s="363"/>
      <c r="O101" s="363">
        <f t="shared" si="144"/>
        <v>359298.91</v>
      </c>
      <c r="P101" s="557"/>
      <c r="Q101" s="367">
        <f>Q102</f>
        <v>379130.88</v>
      </c>
      <c r="R101" s="557">
        <f t="shared" ref="R101:S101" si="172">R102</f>
        <v>0</v>
      </c>
      <c r="S101" s="367">
        <f t="shared" si="172"/>
        <v>485710.59</v>
      </c>
      <c r="T101" s="557"/>
      <c r="U101" s="365"/>
      <c r="V101" s="366"/>
      <c r="W101" s="366"/>
      <c r="X101" s="366"/>
      <c r="Z101" s="367">
        <f t="shared" si="148"/>
        <v>134005.82</v>
      </c>
      <c r="AA101" s="363">
        <f t="shared" si="149"/>
        <v>0</v>
      </c>
      <c r="AB101" s="280">
        <f t="shared" si="150"/>
        <v>134005.82</v>
      </c>
      <c r="AC101" s="367">
        <f t="shared" si="151"/>
        <v>64879.15</v>
      </c>
      <c r="AD101" s="363">
        <f t="shared" si="152"/>
        <v>0</v>
      </c>
      <c r="AE101" s="280">
        <f t="shared" si="153"/>
        <v>64879.15</v>
      </c>
      <c r="AF101" s="367">
        <f t="shared" si="154"/>
        <v>27459.5</v>
      </c>
      <c r="AG101" s="363">
        <f t="shared" si="155"/>
        <v>0</v>
      </c>
      <c r="AH101" s="280">
        <f t="shared" si="156"/>
        <v>27459.5</v>
      </c>
      <c r="AI101" s="367">
        <f t="shared" si="157"/>
        <v>132954.44</v>
      </c>
      <c r="AJ101" s="363">
        <f t="shared" si="158"/>
        <v>0</v>
      </c>
      <c r="AK101" s="280">
        <f t="shared" si="159"/>
        <v>132954.44</v>
      </c>
      <c r="AL101" s="368"/>
      <c r="AM101" s="367">
        <f t="shared" si="160"/>
        <v>198884.97</v>
      </c>
      <c r="AN101" s="363">
        <f t="shared" si="161"/>
        <v>0</v>
      </c>
      <c r="AO101" s="280">
        <f t="shared" si="162"/>
        <v>198884.97</v>
      </c>
      <c r="AP101" s="367">
        <f t="shared" si="163"/>
        <v>226344.47</v>
      </c>
      <c r="AQ101" s="363">
        <f t="shared" si="164"/>
        <v>0</v>
      </c>
      <c r="AR101" s="280">
        <f t="shared" si="165"/>
        <v>226344.47</v>
      </c>
      <c r="AS101" s="367">
        <f t="shared" si="166"/>
        <v>359298.91</v>
      </c>
      <c r="AT101" s="363">
        <f t="shared" si="167"/>
        <v>0</v>
      </c>
      <c r="AU101" s="280">
        <f t="shared" si="168"/>
        <v>359298.91</v>
      </c>
      <c r="AV101" s="588">
        <f t="shared" si="145"/>
        <v>0</v>
      </c>
      <c r="AW101" s="367">
        <f t="shared" ref="AW101:BT101" si="173">SUM(AW102,AW105,AW108,AW111,AW114,AW117)</f>
        <v>0</v>
      </c>
      <c r="AX101" s="363">
        <f t="shared" si="173"/>
        <v>0</v>
      </c>
      <c r="AY101" s="363">
        <f t="shared" si="173"/>
        <v>134005.82</v>
      </c>
      <c r="AZ101" s="363">
        <f t="shared" si="173"/>
        <v>0</v>
      </c>
      <c r="BA101" s="363">
        <f t="shared" si="173"/>
        <v>0</v>
      </c>
      <c r="BB101" s="369">
        <f t="shared" si="173"/>
        <v>0</v>
      </c>
      <c r="BC101" s="367">
        <f t="shared" si="173"/>
        <v>64879.15</v>
      </c>
      <c r="BD101" s="363">
        <f t="shared" si="173"/>
        <v>0</v>
      </c>
      <c r="BE101" s="363">
        <f t="shared" si="173"/>
        <v>0</v>
      </c>
      <c r="BF101" s="363">
        <f t="shared" si="173"/>
        <v>0</v>
      </c>
      <c r="BG101" s="363">
        <f t="shared" si="173"/>
        <v>0</v>
      </c>
      <c r="BH101" s="369">
        <f t="shared" si="173"/>
        <v>0</v>
      </c>
      <c r="BI101" s="367">
        <f t="shared" si="173"/>
        <v>0</v>
      </c>
      <c r="BJ101" s="363">
        <f t="shared" si="173"/>
        <v>0</v>
      </c>
      <c r="BK101" s="363">
        <f t="shared" si="173"/>
        <v>10000</v>
      </c>
      <c r="BL101" s="363">
        <f t="shared" si="173"/>
        <v>0</v>
      </c>
      <c r="BM101" s="363">
        <f t="shared" si="173"/>
        <v>17459.5</v>
      </c>
      <c r="BN101" s="369">
        <f t="shared" si="173"/>
        <v>0</v>
      </c>
      <c r="BO101" s="367">
        <f t="shared" si="173"/>
        <v>20000</v>
      </c>
      <c r="BP101" s="363">
        <f t="shared" si="173"/>
        <v>0</v>
      </c>
      <c r="BQ101" s="363">
        <f t="shared" si="173"/>
        <v>78871.14</v>
      </c>
      <c r="BR101" s="363">
        <f t="shared" si="173"/>
        <v>0</v>
      </c>
      <c r="BS101" s="363">
        <f t="shared" si="173"/>
        <v>34083.300000000003</v>
      </c>
      <c r="BT101" s="280">
        <f t="shared" si="173"/>
        <v>0</v>
      </c>
    </row>
    <row r="102" spans="1:72" s="459" customFormat="1" ht="54" customHeight="1" outlineLevel="1">
      <c r="A102" s="287">
        <v>92</v>
      </c>
      <c r="B102" s="818"/>
      <c r="C102" s="850" t="s">
        <v>378</v>
      </c>
      <c r="D102" s="854" t="s">
        <v>271</v>
      </c>
      <c r="E102" s="855"/>
      <c r="F102" s="826" t="s">
        <v>7</v>
      </c>
      <c r="G102" s="462">
        <v>4</v>
      </c>
      <c r="H102" s="741" t="s">
        <v>70</v>
      </c>
      <c r="I102" s="741">
        <v>244</v>
      </c>
      <c r="J102" s="742">
        <v>346</v>
      </c>
      <c r="K102" s="535" t="s">
        <v>280</v>
      </c>
      <c r="L102" s="464">
        <v>134005.82</v>
      </c>
      <c r="M102" s="352"/>
      <c r="N102" s="352"/>
      <c r="O102" s="352">
        <f t="shared" si="144"/>
        <v>134005.82</v>
      </c>
      <c r="P102" s="561"/>
      <c r="Q102" s="464">
        <f>Q103</f>
        <v>379130.88</v>
      </c>
      <c r="R102" s="561"/>
      <c r="S102" s="464">
        <f>S103</f>
        <v>485710.59</v>
      </c>
      <c r="T102" s="561"/>
      <c r="U102" s="393"/>
      <c r="V102" s="394"/>
      <c r="W102" s="394"/>
      <c r="X102" s="394"/>
      <c r="Y102" s="392"/>
      <c r="Z102" s="395">
        <f t="shared" si="148"/>
        <v>134005.82</v>
      </c>
      <c r="AA102" s="396">
        <f t="shared" si="149"/>
        <v>0</v>
      </c>
      <c r="AB102" s="397">
        <f t="shared" si="150"/>
        <v>134005.82</v>
      </c>
      <c r="AC102" s="395">
        <f t="shared" si="151"/>
        <v>0</v>
      </c>
      <c r="AD102" s="396">
        <f t="shared" si="152"/>
        <v>0</v>
      </c>
      <c r="AE102" s="397">
        <f t="shared" si="153"/>
        <v>0</v>
      </c>
      <c r="AF102" s="395">
        <f t="shared" si="154"/>
        <v>0</v>
      </c>
      <c r="AG102" s="396">
        <f t="shared" si="155"/>
        <v>0</v>
      </c>
      <c r="AH102" s="397">
        <f t="shared" si="156"/>
        <v>0</v>
      </c>
      <c r="AI102" s="395">
        <f t="shared" si="157"/>
        <v>0</v>
      </c>
      <c r="AJ102" s="396">
        <f t="shared" si="158"/>
        <v>0</v>
      </c>
      <c r="AK102" s="397">
        <f t="shared" si="159"/>
        <v>0</v>
      </c>
      <c r="AL102" s="398"/>
      <c r="AM102" s="464">
        <f t="shared" si="160"/>
        <v>134005.82</v>
      </c>
      <c r="AN102" s="352">
        <f t="shared" si="161"/>
        <v>0</v>
      </c>
      <c r="AO102" s="465">
        <f t="shared" si="162"/>
        <v>134005.82</v>
      </c>
      <c r="AP102" s="464">
        <f t="shared" si="163"/>
        <v>134005.82</v>
      </c>
      <c r="AQ102" s="352">
        <f t="shared" si="164"/>
        <v>0</v>
      </c>
      <c r="AR102" s="465">
        <f t="shared" si="165"/>
        <v>134005.82</v>
      </c>
      <c r="AS102" s="464">
        <f t="shared" si="166"/>
        <v>134005.82</v>
      </c>
      <c r="AT102" s="352">
        <f t="shared" si="167"/>
        <v>0</v>
      </c>
      <c r="AU102" s="465">
        <f t="shared" si="168"/>
        <v>134005.82</v>
      </c>
      <c r="AV102" s="600">
        <f t="shared" si="145"/>
        <v>0</v>
      </c>
      <c r="AW102" s="464">
        <f t="shared" ref="AW102:BT102" si="174">SUM(AW103:AW104)</f>
        <v>0</v>
      </c>
      <c r="AX102" s="352">
        <f t="shared" si="174"/>
        <v>0</v>
      </c>
      <c r="AY102" s="352">
        <f t="shared" si="174"/>
        <v>134005.82</v>
      </c>
      <c r="AZ102" s="352">
        <f t="shared" si="174"/>
        <v>0</v>
      </c>
      <c r="BA102" s="352">
        <f t="shared" si="174"/>
        <v>0</v>
      </c>
      <c r="BB102" s="353">
        <f t="shared" si="174"/>
        <v>0</v>
      </c>
      <c r="BC102" s="464">
        <f t="shared" si="174"/>
        <v>0</v>
      </c>
      <c r="BD102" s="352">
        <f t="shared" si="174"/>
        <v>0</v>
      </c>
      <c r="BE102" s="352">
        <f t="shared" si="174"/>
        <v>0</v>
      </c>
      <c r="BF102" s="352">
        <f t="shared" si="174"/>
        <v>0</v>
      </c>
      <c r="BG102" s="352">
        <f t="shared" si="174"/>
        <v>0</v>
      </c>
      <c r="BH102" s="353">
        <f t="shared" si="174"/>
        <v>0</v>
      </c>
      <c r="BI102" s="464">
        <f t="shared" si="174"/>
        <v>0</v>
      </c>
      <c r="BJ102" s="352">
        <f t="shared" si="174"/>
        <v>0</v>
      </c>
      <c r="BK102" s="352">
        <f t="shared" si="174"/>
        <v>0</v>
      </c>
      <c r="BL102" s="352">
        <f t="shared" si="174"/>
        <v>0</v>
      </c>
      <c r="BM102" s="352">
        <f t="shared" si="174"/>
        <v>0</v>
      </c>
      <c r="BN102" s="353">
        <f t="shared" si="174"/>
        <v>0</v>
      </c>
      <c r="BO102" s="464">
        <f t="shared" si="174"/>
        <v>0</v>
      </c>
      <c r="BP102" s="352">
        <f t="shared" si="174"/>
        <v>0</v>
      </c>
      <c r="BQ102" s="352">
        <f t="shared" si="174"/>
        <v>0</v>
      </c>
      <c r="BR102" s="352">
        <f t="shared" si="174"/>
        <v>0</v>
      </c>
      <c r="BS102" s="352">
        <f t="shared" si="174"/>
        <v>0</v>
      </c>
      <c r="BT102" s="465">
        <f t="shared" si="174"/>
        <v>0</v>
      </c>
    </row>
    <row r="103" spans="1:72" s="313" customFormat="1" ht="25.5" customHeight="1" outlineLevel="2">
      <c r="A103" s="287">
        <v>93</v>
      </c>
      <c r="B103" s="818"/>
      <c r="C103" s="840"/>
      <c r="D103" s="841" t="s">
        <v>271</v>
      </c>
      <c r="E103" s="839"/>
      <c r="F103" s="821" t="s">
        <v>7</v>
      </c>
      <c r="G103" s="314">
        <v>4</v>
      </c>
      <c r="H103" s="739" t="s">
        <v>70</v>
      </c>
      <c r="I103" s="739">
        <v>244</v>
      </c>
      <c r="J103" s="740">
        <v>346</v>
      </c>
      <c r="K103" s="533" t="s">
        <v>301</v>
      </c>
      <c r="L103" s="341">
        <v>134005.82</v>
      </c>
      <c r="M103" s="318"/>
      <c r="N103" s="318"/>
      <c r="O103" s="318">
        <f t="shared" si="144"/>
        <v>134005.82</v>
      </c>
      <c r="P103" s="562"/>
      <c r="Q103" s="336">
        <v>379130.88</v>
      </c>
      <c r="R103" s="562">
        <v>0</v>
      </c>
      <c r="S103" s="336">
        <v>485710.59</v>
      </c>
      <c r="T103" s="562"/>
      <c r="U103" s="466"/>
      <c r="V103" s="320"/>
      <c r="W103" s="320"/>
      <c r="X103" s="320"/>
      <c r="Z103" s="336">
        <f t="shared" si="148"/>
        <v>134005.82</v>
      </c>
      <c r="AA103" s="337">
        <f t="shared" si="149"/>
        <v>0</v>
      </c>
      <c r="AB103" s="338">
        <f t="shared" si="150"/>
        <v>134005.82</v>
      </c>
      <c r="AC103" s="336">
        <f t="shared" si="151"/>
        <v>0</v>
      </c>
      <c r="AD103" s="337">
        <f t="shared" si="152"/>
        <v>0</v>
      </c>
      <c r="AE103" s="338">
        <f t="shared" si="153"/>
        <v>0</v>
      </c>
      <c r="AF103" s="336">
        <f t="shared" si="154"/>
        <v>0</v>
      </c>
      <c r="AG103" s="337">
        <f t="shared" si="155"/>
        <v>0</v>
      </c>
      <c r="AH103" s="338">
        <f t="shared" si="156"/>
        <v>0</v>
      </c>
      <c r="AI103" s="336">
        <f t="shared" si="157"/>
        <v>0</v>
      </c>
      <c r="AJ103" s="337">
        <f t="shared" si="158"/>
        <v>0</v>
      </c>
      <c r="AK103" s="338">
        <f t="shared" si="159"/>
        <v>0</v>
      </c>
      <c r="AL103" s="342"/>
      <c r="AM103" s="336">
        <f t="shared" si="160"/>
        <v>134005.82</v>
      </c>
      <c r="AN103" s="339">
        <f t="shared" si="161"/>
        <v>0</v>
      </c>
      <c r="AO103" s="340">
        <f t="shared" si="162"/>
        <v>134005.82</v>
      </c>
      <c r="AP103" s="336">
        <f t="shared" si="163"/>
        <v>134005.82</v>
      </c>
      <c r="AQ103" s="339">
        <f t="shared" si="164"/>
        <v>0</v>
      </c>
      <c r="AR103" s="340">
        <f t="shared" si="165"/>
        <v>134005.82</v>
      </c>
      <c r="AS103" s="341">
        <f t="shared" si="166"/>
        <v>134005.82</v>
      </c>
      <c r="AT103" s="339">
        <f t="shared" si="167"/>
        <v>0</v>
      </c>
      <c r="AU103" s="340">
        <f t="shared" si="168"/>
        <v>134005.82</v>
      </c>
      <c r="AV103" s="589">
        <f t="shared" si="145"/>
        <v>0</v>
      </c>
      <c r="AW103" s="343"/>
      <c r="AX103" s="344"/>
      <c r="AY103" s="345">
        <v>134005.82</v>
      </c>
      <c r="AZ103" s="344"/>
      <c r="BA103" s="345"/>
      <c r="BB103" s="346"/>
      <c r="BC103" s="347"/>
      <c r="BD103" s="348"/>
      <c r="BE103" s="349"/>
      <c r="BF103" s="348"/>
      <c r="BG103" s="349"/>
      <c r="BH103" s="350"/>
      <c r="BI103" s="351"/>
      <c r="BJ103" s="352"/>
      <c r="BK103" s="337"/>
      <c r="BL103" s="352"/>
      <c r="BM103" s="337"/>
      <c r="BN103" s="353"/>
      <c r="BO103" s="354"/>
      <c r="BP103" s="355"/>
      <c r="BQ103" s="356"/>
      <c r="BR103" s="355"/>
      <c r="BS103" s="356"/>
      <c r="BT103" s="357"/>
    </row>
    <row r="104" spans="1:72" s="430" customFormat="1" ht="25.5" customHeight="1" outlineLevel="2">
      <c r="A104" s="287">
        <v>94</v>
      </c>
      <c r="B104" s="818"/>
      <c r="C104" s="743"/>
      <c r="D104" s="856" t="s">
        <v>271</v>
      </c>
      <c r="E104" s="857"/>
      <c r="F104" s="827" t="s">
        <v>7</v>
      </c>
      <c r="G104" s="431">
        <v>4</v>
      </c>
      <c r="H104" s="474" t="s">
        <v>70</v>
      </c>
      <c r="I104" s="743">
        <v>244</v>
      </c>
      <c r="J104" s="744">
        <v>346</v>
      </c>
      <c r="K104" s="536" t="s">
        <v>284</v>
      </c>
      <c r="L104" s="443"/>
      <c r="M104" s="434"/>
      <c r="N104" s="434"/>
      <c r="O104" s="434">
        <f t="shared" si="144"/>
        <v>0</v>
      </c>
      <c r="P104" s="563"/>
      <c r="Q104" s="437"/>
      <c r="R104" s="563"/>
      <c r="S104" s="437"/>
      <c r="T104" s="563"/>
      <c r="U104" s="467"/>
      <c r="V104" s="436"/>
      <c r="W104" s="436"/>
      <c r="X104" s="436"/>
      <c r="Z104" s="437">
        <f t="shared" si="148"/>
        <v>0</v>
      </c>
      <c r="AA104" s="438">
        <f t="shared" si="149"/>
        <v>0</v>
      </c>
      <c r="AB104" s="439">
        <f t="shared" si="150"/>
        <v>0</v>
      </c>
      <c r="AC104" s="437">
        <f t="shared" si="151"/>
        <v>0</v>
      </c>
      <c r="AD104" s="438">
        <f t="shared" si="152"/>
        <v>0</v>
      </c>
      <c r="AE104" s="439">
        <f t="shared" si="153"/>
        <v>0</v>
      </c>
      <c r="AF104" s="437">
        <f t="shared" si="154"/>
        <v>0</v>
      </c>
      <c r="AG104" s="438">
        <f t="shared" si="155"/>
        <v>0</v>
      </c>
      <c r="AH104" s="439">
        <f t="shared" si="156"/>
        <v>0</v>
      </c>
      <c r="AI104" s="437">
        <f t="shared" si="157"/>
        <v>0</v>
      </c>
      <c r="AJ104" s="438">
        <f t="shared" si="158"/>
        <v>0</v>
      </c>
      <c r="AK104" s="439">
        <f t="shared" si="159"/>
        <v>0</v>
      </c>
      <c r="AL104" s="440"/>
      <c r="AM104" s="437">
        <f t="shared" si="160"/>
        <v>0</v>
      </c>
      <c r="AN104" s="441">
        <f t="shared" si="161"/>
        <v>0</v>
      </c>
      <c r="AO104" s="442">
        <f t="shared" si="162"/>
        <v>0</v>
      </c>
      <c r="AP104" s="437">
        <f t="shared" si="163"/>
        <v>0</v>
      </c>
      <c r="AQ104" s="441">
        <f t="shared" si="164"/>
        <v>0</v>
      </c>
      <c r="AR104" s="442">
        <f t="shared" si="165"/>
        <v>0</v>
      </c>
      <c r="AS104" s="443">
        <f t="shared" si="166"/>
        <v>0</v>
      </c>
      <c r="AT104" s="441">
        <f t="shared" si="167"/>
        <v>0</v>
      </c>
      <c r="AU104" s="442">
        <f t="shared" si="168"/>
        <v>0</v>
      </c>
      <c r="AV104" s="601">
        <f t="shared" si="145"/>
        <v>0</v>
      </c>
      <c r="AW104" s="444"/>
      <c r="AX104" s="445"/>
      <c r="AY104" s="446"/>
      <c r="AZ104" s="445"/>
      <c r="BA104" s="446"/>
      <c r="BB104" s="447"/>
      <c r="BC104" s="448"/>
      <c r="BD104" s="449"/>
      <c r="BE104" s="450"/>
      <c r="BF104" s="449"/>
      <c r="BG104" s="450"/>
      <c r="BH104" s="451"/>
      <c r="BI104" s="452"/>
      <c r="BJ104" s="453"/>
      <c r="BK104" s="438"/>
      <c r="BL104" s="453"/>
      <c r="BM104" s="438"/>
      <c r="BN104" s="454"/>
      <c r="BO104" s="455"/>
      <c r="BP104" s="456"/>
      <c r="BQ104" s="457"/>
      <c r="BR104" s="456"/>
      <c r="BS104" s="457"/>
      <c r="BT104" s="458"/>
    </row>
    <row r="105" spans="1:72" s="468" customFormat="1" ht="79.5" customHeight="1" outlineLevel="1">
      <c r="A105" s="287">
        <v>95</v>
      </c>
      <c r="B105" s="818"/>
      <c r="C105" s="850" t="s">
        <v>378</v>
      </c>
      <c r="D105" s="854" t="s">
        <v>273</v>
      </c>
      <c r="E105" s="858"/>
      <c r="F105" s="828" t="s">
        <v>7</v>
      </c>
      <c r="G105" s="469">
        <v>4</v>
      </c>
      <c r="H105" s="745" t="s">
        <v>70</v>
      </c>
      <c r="I105" s="745">
        <v>244</v>
      </c>
      <c r="J105" s="746">
        <v>346</v>
      </c>
      <c r="K105" s="537" t="s">
        <v>279</v>
      </c>
      <c r="L105" s="472">
        <v>64879.15</v>
      </c>
      <c r="M105" s="422"/>
      <c r="N105" s="422"/>
      <c r="O105" s="422">
        <f t="shared" si="144"/>
        <v>64879.15</v>
      </c>
      <c r="P105" s="564"/>
      <c r="Q105" s="472"/>
      <c r="R105" s="564"/>
      <c r="S105" s="472"/>
      <c r="T105" s="564"/>
      <c r="U105" s="393"/>
      <c r="V105" s="394"/>
      <c r="W105" s="394"/>
      <c r="X105" s="394"/>
      <c r="Y105" s="392"/>
      <c r="Z105" s="395">
        <f t="shared" si="148"/>
        <v>0</v>
      </c>
      <c r="AA105" s="396">
        <f t="shared" si="149"/>
        <v>0</v>
      </c>
      <c r="AB105" s="397">
        <f t="shared" si="150"/>
        <v>0</v>
      </c>
      <c r="AC105" s="395">
        <f t="shared" si="151"/>
        <v>64879.15</v>
      </c>
      <c r="AD105" s="396">
        <f t="shared" si="152"/>
        <v>0</v>
      </c>
      <c r="AE105" s="397">
        <f t="shared" si="153"/>
        <v>64879.15</v>
      </c>
      <c r="AF105" s="395">
        <f t="shared" si="154"/>
        <v>0</v>
      </c>
      <c r="AG105" s="396">
        <f t="shared" si="155"/>
        <v>0</v>
      </c>
      <c r="AH105" s="397">
        <f t="shared" si="156"/>
        <v>0</v>
      </c>
      <c r="AI105" s="395">
        <f t="shared" si="157"/>
        <v>0</v>
      </c>
      <c r="AJ105" s="396">
        <f t="shared" si="158"/>
        <v>0</v>
      </c>
      <c r="AK105" s="397">
        <f t="shared" si="159"/>
        <v>0</v>
      </c>
      <c r="AL105" s="398"/>
      <c r="AM105" s="472">
        <f t="shared" si="160"/>
        <v>64879.15</v>
      </c>
      <c r="AN105" s="422">
        <f t="shared" si="161"/>
        <v>0</v>
      </c>
      <c r="AO105" s="473">
        <f t="shared" si="162"/>
        <v>64879.15</v>
      </c>
      <c r="AP105" s="472">
        <f t="shared" si="163"/>
        <v>64879.15</v>
      </c>
      <c r="AQ105" s="422">
        <f t="shared" si="164"/>
        <v>0</v>
      </c>
      <c r="AR105" s="473">
        <f t="shared" si="165"/>
        <v>64879.15</v>
      </c>
      <c r="AS105" s="472">
        <f t="shared" si="166"/>
        <v>64879.15</v>
      </c>
      <c r="AT105" s="422">
        <f t="shared" si="167"/>
        <v>0</v>
      </c>
      <c r="AU105" s="473">
        <f t="shared" si="168"/>
        <v>64879.15</v>
      </c>
      <c r="AV105" s="602">
        <f t="shared" si="145"/>
        <v>0</v>
      </c>
      <c r="AW105" s="472">
        <f t="shared" ref="AW105:BT105" si="175">SUM(AW106:AW107)</f>
        <v>0</v>
      </c>
      <c r="AX105" s="422">
        <f t="shared" si="175"/>
        <v>0</v>
      </c>
      <c r="AY105" s="422">
        <f t="shared" si="175"/>
        <v>0</v>
      </c>
      <c r="AZ105" s="422">
        <f t="shared" si="175"/>
        <v>0</v>
      </c>
      <c r="BA105" s="422">
        <f t="shared" si="175"/>
        <v>0</v>
      </c>
      <c r="BB105" s="423">
        <f t="shared" si="175"/>
        <v>0</v>
      </c>
      <c r="BC105" s="472">
        <f t="shared" si="175"/>
        <v>64879.15</v>
      </c>
      <c r="BD105" s="422">
        <f t="shared" si="175"/>
        <v>0</v>
      </c>
      <c r="BE105" s="422">
        <f t="shared" si="175"/>
        <v>0</v>
      </c>
      <c r="BF105" s="422">
        <f t="shared" si="175"/>
        <v>0</v>
      </c>
      <c r="BG105" s="422">
        <f t="shared" si="175"/>
        <v>0</v>
      </c>
      <c r="BH105" s="423">
        <f t="shared" si="175"/>
        <v>0</v>
      </c>
      <c r="BI105" s="472">
        <f t="shared" si="175"/>
        <v>0</v>
      </c>
      <c r="BJ105" s="422">
        <f t="shared" si="175"/>
        <v>0</v>
      </c>
      <c r="BK105" s="422">
        <f t="shared" si="175"/>
        <v>0</v>
      </c>
      <c r="BL105" s="422">
        <f t="shared" si="175"/>
        <v>0</v>
      </c>
      <c r="BM105" s="422">
        <f t="shared" si="175"/>
        <v>0</v>
      </c>
      <c r="BN105" s="423">
        <f t="shared" si="175"/>
        <v>0</v>
      </c>
      <c r="BO105" s="472">
        <f t="shared" si="175"/>
        <v>0</v>
      </c>
      <c r="BP105" s="422">
        <f t="shared" si="175"/>
        <v>0</v>
      </c>
      <c r="BQ105" s="422">
        <f t="shared" si="175"/>
        <v>0</v>
      </c>
      <c r="BR105" s="422">
        <f t="shared" si="175"/>
        <v>0</v>
      </c>
      <c r="BS105" s="422">
        <f t="shared" si="175"/>
        <v>0</v>
      </c>
      <c r="BT105" s="473">
        <f t="shared" si="175"/>
        <v>0</v>
      </c>
    </row>
    <row r="106" spans="1:72" s="399" customFormat="1" ht="25.5" customHeight="1" outlineLevel="2">
      <c r="A106" s="287">
        <v>96</v>
      </c>
      <c r="B106" s="818"/>
      <c r="C106" s="859"/>
      <c r="D106" s="841" t="s">
        <v>273</v>
      </c>
      <c r="E106" s="860"/>
      <c r="F106" s="829" t="s">
        <v>7</v>
      </c>
      <c r="G106" s="400">
        <v>4</v>
      </c>
      <c r="H106" s="747" t="s">
        <v>70</v>
      </c>
      <c r="I106" s="747">
        <v>244</v>
      </c>
      <c r="J106" s="748">
        <v>346</v>
      </c>
      <c r="K106" s="538" t="s">
        <v>301</v>
      </c>
      <c r="L106" s="412">
        <v>64879.15</v>
      </c>
      <c r="M106" s="403"/>
      <c r="N106" s="403"/>
      <c r="O106" s="403">
        <f t="shared" si="144"/>
        <v>64879.15</v>
      </c>
      <c r="P106" s="565"/>
      <c r="Q106" s="406"/>
      <c r="R106" s="565"/>
      <c r="S106" s="406"/>
      <c r="T106" s="565"/>
      <c r="U106" s="428"/>
      <c r="V106" s="405"/>
      <c r="W106" s="405"/>
      <c r="X106" s="405"/>
      <c r="Z106" s="406">
        <f t="shared" si="148"/>
        <v>0</v>
      </c>
      <c r="AA106" s="407">
        <f t="shared" si="149"/>
        <v>0</v>
      </c>
      <c r="AB106" s="408">
        <f t="shared" si="150"/>
        <v>0</v>
      </c>
      <c r="AC106" s="406">
        <f t="shared" si="151"/>
        <v>64879.15</v>
      </c>
      <c r="AD106" s="407">
        <f t="shared" si="152"/>
        <v>0</v>
      </c>
      <c r="AE106" s="408">
        <f t="shared" si="153"/>
        <v>64879.15</v>
      </c>
      <c r="AF106" s="406">
        <f t="shared" si="154"/>
        <v>0</v>
      </c>
      <c r="AG106" s="407">
        <f t="shared" si="155"/>
        <v>0</v>
      </c>
      <c r="AH106" s="408">
        <f t="shared" si="156"/>
        <v>0</v>
      </c>
      <c r="AI106" s="406">
        <f t="shared" si="157"/>
        <v>0</v>
      </c>
      <c r="AJ106" s="407">
        <f t="shared" si="158"/>
        <v>0</v>
      </c>
      <c r="AK106" s="408">
        <f t="shared" si="159"/>
        <v>0</v>
      </c>
      <c r="AL106" s="409"/>
      <c r="AM106" s="406">
        <f t="shared" si="160"/>
        <v>64879.15</v>
      </c>
      <c r="AN106" s="410">
        <f t="shared" si="161"/>
        <v>0</v>
      </c>
      <c r="AO106" s="411">
        <f t="shared" si="162"/>
        <v>64879.15</v>
      </c>
      <c r="AP106" s="406">
        <f t="shared" si="163"/>
        <v>64879.15</v>
      </c>
      <c r="AQ106" s="410">
        <f t="shared" si="164"/>
        <v>0</v>
      </c>
      <c r="AR106" s="411">
        <f t="shared" si="165"/>
        <v>64879.15</v>
      </c>
      <c r="AS106" s="412">
        <f t="shared" si="166"/>
        <v>64879.15</v>
      </c>
      <c r="AT106" s="410">
        <f t="shared" si="167"/>
        <v>0</v>
      </c>
      <c r="AU106" s="411">
        <f t="shared" si="168"/>
        <v>64879.15</v>
      </c>
      <c r="AV106" s="603">
        <f t="shared" si="145"/>
        <v>0</v>
      </c>
      <c r="AW106" s="413"/>
      <c r="AX106" s="414"/>
      <c r="AY106" s="415"/>
      <c r="AZ106" s="414"/>
      <c r="BA106" s="415"/>
      <c r="BB106" s="416"/>
      <c r="BC106" s="417">
        <v>64879.15</v>
      </c>
      <c r="BD106" s="418"/>
      <c r="BE106" s="419"/>
      <c r="BF106" s="418"/>
      <c r="BG106" s="419"/>
      <c r="BH106" s="420"/>
      <c r="BI106" s="421"/>
      <c r="BJ106" s="422"/>
      <c r="BK106" s="407"/>
      <c r="BL106" s="422"/>
      <c r="BM106" s="407"/>
      <c r="BN106" s="423"/>
      <c r="BO106" s="424"/>
      <c r="BP106" s="425"/>
      <c r="BQ106" s="426"/>
      <c r="BR106" s="425"/>
      <c r="BS106" s="426"/>
      <c r="BT106" s="427"/>
    </row>
    <row r="107" spans="1:72" s="430" customFormat="1" ht="25.5" customHeight="1" outlineLevel="2">
      <c r="A107" s="287">
        <v>97</v>
      </c>
      <c r="B107" s="818"/>
      <c r="C107" s="743"/>
      <c r="D107" s="856" t="s">
        <v>273</v>
      </c>
      <c r="E107" s="857"/>
      <c r="F107" s="827" t="s">
        <v>7</v>
      </c>
      <c r="G107" s="431">
        <v>4</v>
      </c>
      <c r="H107" s="474" t="s">
        <v>70</v>
      </c>
      <c r="I107" s="743">
        <v>244</v>
      </c>
      <c r="J107" s="744">
        <v>346</v>
      </c>
      <c r="K107" s="536" t="s">
        <v>284</v>
      </c>
      <c r="L107" s="443"/>
      <c r="M107" s="434"/>
      <c r="N107" s="434"/>
      <c r="O107" s="434">
        <f t="shared" si="144"/>
        <v>0</v>
      </c>
      <c r="P107" s="563"/>
      <c r="Q107" s="437"/>
      <c r="R107" s="563"/>
      <c r="S107" s="437"/>
      <c r="T107" s="563"/>
      <c r="U107" s="467"/>
      <c r="V107" s="436"/>
      <c r="W107" s="436"/>
      <c r="X107" s="436"/>
      <c r="Z107" s="437">
        <f t="shared" si="148"/>
        <v>0</v>
      </c>
      <c r="AA107" s="438">
        <f t="shared" si="149"/>
        <v>0</v>
      </c>
      <c r="AB107" s="439">
        <f t="shared" si="150"/>
        <v>0</v>
      </c>
      <c r="AC107" s="437">
        <f t="shared" si="151"/>
        <v>0</v>
      </c>
      <c r="AD107" s="438">
        <f t="shared" si="152"/>
        <v>0</v>
      </c>
      <c r="AE107" s="439">
        <f t="shared" si="153"/>
        <v>0</v>
      </c>
      <c r="AF107" s="437">
        <f t="shared" si="154"/>
        <v>0</v>
      </c>
      <c r="AG107" s="438">
        <f t="shared" si="155"/>
        <v>0</v>
      </c>
      <c r="AH107" s="439">
        <f t="shared" si="156"/>
        <v>0</v>
      </c>
      <c r="AI107" s="437">
        <f t="shared" si="157"/>
        <v>0</v>
      </c>
      <c r="AJ107" s="438">
        <f t="shared" si="158"/>
        <v>0</v>
      </c>
      <c r="AK107" s="439">
        <f t="shared" si="159"/>
        <v>0</v>
      </c>
      <c r="AL107" s="440"/>
      <c r="AM107" s="437">
        <f t="shared" si="160"/>
        <v>0</v>
      </c>
      <c r="AN107" s="441">
        <f t="shared" si="161"/>
        <v>0</v>
      </c>
      <c r="AO107" s="442">
        <f t="shared" si="162"/>
        <v>0</v>
      </c>
      <c r="AP107" s="437">
        <f t="shared" si="163"/>
        <v>0</v>
      </c>
      <c r="AQ107" s="441">
        <f t="shared" si="164"/>
        <v>0</v>
      </c>
      <c r="AR107" s="442">
        <f t="shared" si="165"/>
        <v>0</v>
      </c>
      <c r="AS107" s="443">
        <f t="shared" si="166"/>
        <v>0</v>
      </c>
      <c r="AT107" s="441">
        <f t="shared" si="167"/>
        <v>0</v>
      </c>
      <c r="AU107" s="442">
        <f t="shared" si="168"/>
        <v>0</v>
      </c>
      <c r="AV107" s="601">
        <f t="shared" si="145"/>
        <v>0</v>
      </c>
      <c r="AW107" s="444"/>
      <c r="AX107" s="445"/>
      <c r="AY107" s="446"/>
      <c r="AZ107" s="445"/>
      <c r="BA107" s="446"/>
      <c r="BB107" s="447"/>
      <c r="BC107" s="448"/>
      <c r="BD107" s="449"/>
      <c r="BE107" s="450"/>
      <c r="BF107" s="449"/>
      <c r="BG107" s="450"/>
      <c r="BH107" s="451"/>
      <c r="BI107" s="452"/>
      <c r="BJ107" s="453"/>
      <c r="BK107" s="438"/>
      <c r="BL107" s="453"/>
      <c r="BM107" s="438"/>
      <c r="BN107" s="454"/>
      <c r="BO107" s="455"/>
      <c r="BP107" s="456"/>
      <c r="BQ107" s="457"/>
      <c r="BR107" s="456"/>
      <c r="BS107" s="457"/>
      <c r="BT107" s="458"/>
    </row>
    <row r="108" spans="1:72" s="459" customFormat="1" ht="66.75" customHeight="1" outlineLevel="1">
      <c r="A108" s="287">
        <v>98</v>
      </c>
      <c r="B108" s="818"/>
      <c r="C108" s="850" t="s">
        <v>378</v>
      </c>
      <c r="D108" s="854" t="s">
        <v>272</v>
      </c>
      <c r="E108" s="855"/>
      <c r="F108" s="826" t="s">
        <v>7</v>
      </c>
      <c r="G108" s="462">
        <v>4</v>
      </c>
      <c r="H108" s="741" t="s">
        <v>70</v>
      </c>
      <c r="I108" s="741">
        <v>244</v>
      </c>
      <c r="J108" s="742">
        <v>346</v>
      </c>
      <c r="K108" s="535" t="s">
        <v>278</v>
      </c>
      <c r="L108" s="464">
        <v>27459.5</v>
      </c>
      <c r="M108" s="352"/>
      <c r="N108" s="352"/>
      <c r="O108" s="352">
        <f t="shared" si="144"/>
        <v>27459.5</v>
      </c>
      <c r="P108" s="561"/>
      <c r="Q108" s="464"/>
      <c r="R108" s="561"/>
      <c r="S108" s="464"/>
      <c r="T108" s="561"/>
      <c r="U108" s="393"/>
      <c r="V108" s="394"/>
      <c r="W108" s="394"/>
      <c r="X108" s="394"/>
      <c r="Y108" s="392"/>
      <c r="Z108" s="395">
        <f t="shared" si="148"/>
        <v>0</v>
      </c>
      <c r="AA108" s="396">
        <f t="shared" si="149"/>
        <v>0</v>
      </c>
      <c r="AB108" s="397">
        <f t="shared" si="150"/>
        <v>0</v>
      </c>
      <c r="AC108" s="395">
        <f t="shared" si="151"/>
        <v>0</v>
      </c>
      <c r="AD108" s="396">
        <f t="shared" si="152"/>
        <v>0</v>
      </c>
      <c r="AE108" s="397">
        <f t="shared" si="153"/>
        <v>0</v>
      </c>
      <c r="AF108" s="395">
        <f t="shared" si="154"/>
        <v>27459.5</v>
      </c>
      <c r="AG108" s="396">
        <f t="shared" si="155"/>
        <v>0</v>
      </c>
      <c r="AH108" s="397">
        <f t="shared" si="156"/>
        <v>27459.5</v>
      </c>
      <c r="AI108" s="395">
        <f t="shared" si="157"/>
        <v>0</v>
      </c>
      <c r="AJ108" s="396">
        <f t="shared" si="158"/>
        <v>0</v>
      </c>
      <c r="AK108" s="397">
        <f t="shared" si="159"/>
        <v>0</v>
      </c>
      <c r="AL108" s="398"/>
      <c r="AM108" s="464">
        <f t="shared" si="160"/>
        <v>0</v>
      </c>
      <c r="AN108" s="352">
        <f t="shared" si="161"/>
        <v>0</v>
      </c>
      <c r="AO108" s="465">
        <f t="shared" si="162"/>
        <v>0</v>
      </c>
      <c r="AP108" s="464">
        <f t="shared" si="163"/>
        <v>27459.5</v>
      </c>
      <c r="AQ108" s="352">
        <f t="shared" si="164"/>
        <v>0</v>
      </c>
      <c r="AR108" s="465">
        <f t="shared" si="165"/>
        <v>27459.5</v>
      </c>
      <c r="AS108" s="464">
        <f t="shared" si="166"/>
        <v>27459.5</v>
      </c>
      <c r="AT108" s="352">
        <f t="shared" si="167"/>
        <v>0</v>
      </c>
      <c r="AU108" s="465">
        <f t="shared" si="168"/>
        <v>27459.5</v>
      </c>
      <c r="AV108" s="600">
        <f t="shared" si="145"/>
        <v>0</v>
      </c>
      <c r="AW108" s="464">
        <f t="shared" ref="AW108:BT108" si="176">SUM(AW109:AW110)</f>
        <v>0</v>
      </c>
      <c r="AX108" s="352">
        <f t="shared" si="176"/>
        <v>0</v>
      </c>
      <c r="AY108" s="352">
        <f t="shared" si="176"/>
        <v>0</v>
      </c>
      <c r="AZ108" s="352">
        <f t="shared" si="176"/>
        <v>0</v>
      </c>
      <c r="BA108" s="352">
        <f t="shared" si="176"/>
        <v>0</v>
      </c>
      <c r="BB108" s="353">
        <f t="shared" si="176"/>
        <v>0</v>
      </c>
      <c r="BC108" s="464">
        <f t="shared" si="176"/>
        <v>0</v>
      </c>
      <c r="BD108" s="352">
        <f t="shared" si="176"/>
        <v>0</v>
      </c>
      <c r="BE108" s="352">
        <f t="shared" si="176"/>
        <v>0</v>
      </c>
      <c r="BF108" s="352">
        <f t="shared" si="176"/>
        <v>0</v>
      </c>
      <c r="BG108" s="352">
        <f t="shared" si="176"/>
        <v>0</v>
      </c>
      <c r="BH108" s="353">
        <f t="shared" si="176"/>
        <v>0</v>
      </c>
      <c r="BI108" s="464">
        <f t="shared" si="176"/>
        <v>0</v>
      </c>
      <c r="BJ108" s="352">
        <f t="shared" si="176"/>
        <v>0</v>
      </c>
      <c r="BK108" s="352">
        <f t="shared" si="176"/>
        <v>10000</v>
      </c>
      <c r="BL108" s="352">
        <f t="shared" si="176"/>
        <v>0</v>
      </c>
      <c r="BM108" s="352">
        <f t="shared" si="176"/>
        <v>17459.5</v>
      </c>
      <c r="BN108" s="353">
        <f t="shared" si="176"/>
        <v>0</v>
      </c>
      <c r="BO108" s="464">
        <f t="shared" si="176"/>
        <v>0</v>
      </c>
      <c r="BP108" s="352">
        <f t="shared" si="176"/>
        <v>0</v>
      </c>
      <c r="BQ108" s="352">
        <f t="shared" si="176"/>
        <v>0</v>
      </c>
      <c r="BR108" s="352">
        <f t="shared" si="176"/>
        <v>0</v>
      </c>
      <c r="BS108" s="352">
        <f t="shared" si="176"/>
        <v>0</v>
      </c>
      <c r="BT108" s="465">
        <f t="shared" si="176"/>
        <v>0</v>
      </c>
    </row>
    <row r="109" spans="1:72" s="313" customFormat="1" ht="25.5" customHeight="1" outlineLevel="2">
      <c r="A109" s="287">
        <v>99</v>
      </c>
      <c r="B109" s="818"/>
      <c r="C109" s="840"/>
      <c r="D109" s="841" t="s">
        <v>272</v>
      </c>
      <c r="E109" s="839"/>
      <c r="F109" s="821" t="s">
        <v>7</v>
      </c>
      <c r="G109" s="314">
        <v>4</v>
      </c>
      <c r="H109" s="739" t="s">
        <v>70</v>
      </c>
      <c r="I109" s="739">
        <v>244</v>
      </c>
      <c r="J109" s="740">
        <v>346</v>
      </c>
      <c r="K109" s="533" t="s">
        <v>301</v>
      </c>
      <c r="L109" s="341">
        <v>27459.5</v>
      </c>
      <c r="M109" s="318"/>
      <c r="N109" s="318"/>
      <c r="O109" s="318">
        <f t="shared" si="144"/>
        <v>27459.5</v>
      </c>
      <c r="P109" s="562"/>
      <c r="Q109" s="336"/>
      <c r="R109" s="562"/>
      <c r="S109" s="336"/>
      <c r="T109" s="562"/>
      <c r="U109" s="466"/>
      <c r="V109" s="320"/>
      <c r="W109" s="320"/>
      <c r="X109" s="320"/>
      <c r="Z109" s="336">
        <f t="shared" si="148"/>
        <v>0</v>
      </c>
      <c r="AA109" s="337">
        <f t="shared" si="149"/>
        <v>0</v>
      </c>
      <c r="AB109" s="338">
        <f t="shared" si="150"/>
        <v>0</v>
      </c>
      <c r="AC109" s="336">
        <f t="shared" si="151"/>
        <v>0</v>
      </c>
      <c r="AD109" s="337">
        <f t="shared" si="152"/>
        <v>0</v>
      </c>
      <c r="AE109" s="338">
        <f t="shared" si="153"/>
        <v>0</v>
      </c>
      <c r="AF109" s="336">
        <f t="shared" si="154"/>
        <v>27459.5</v>
      </c>
      <c r="AG109" s="337">
        <f t="shared" si="155"/>
        <v>0</v>
      </c>
      <c r="AH109" s="338">
        <f t="shared" si="156"/>
        <v>27459.5</v>
      </c>
      <c r="AI109" s="336">
        <f t="shared" si="157"/>
        <v>0</v>
      </c>
      <c r="AJ109" s="337">
        <f t="shared" si="158"/>
        <v>0</v>
      </c>
      <c r="AK109" s="338">
        <f t="shared" si="159"/>
        <v>0</v>
      </c>
      <c r="AL109" s="342"/>
      <c r="AM109" s="336">
        <f t="shared" si="160"/>
        <v>0</v>
      </c>
      <c r="AN109" s="339">
        <f t="shared" si="161"/>
        <v>0</v>
      </c>
      <c r="AO109" s="340">
        <f t="shared" si="162"/>
        <v>0</v>
      </c>
      <c r="AP109" s="336">
        <f t="shared" si="163"/>
        <v>27459.5</v>
      </c>
      <c r="AQ109" s="339">
        <f t="shared" si="164"/>
        <v>0</v>
      </c>
      <c r="AR109" s="340">
        <f t="shared" si="165"/>
        <v>27459.5</v>
      </c>
      <c r="AS109" s="341">
        <f t="shared" si="166"/>
        <v>27459.5</v>
      </c>
      <c r="AT109" s="339">
        <f t="shared" si="167"/>
        <v>0</v>
      </c>
      <c r="AU109" s="340">
        <f t="shared" si="168"/>
        <v>27459.5</v>
      </c>
      <c r="AV109" s="589">
        <f t="shared" ref="AV109:AV139" si="177">L109-AS109</f>
        <v>0</v>
      </c>
      <c r="AW109" s="343"/>
      <c r="AX109" s="344"/>
      <c r="AY109" s="345"/>
      <c r="AZ109" s="344"/>
      <c r="BA109" s="345"/>
      <c r="BB109" s="346"/>
      <c r="BC109" s="347"/>
      <c r="BD109" s="348"/>
      <c r="BE109" s="349"/>
      <c r="BF109" s="348"/>
      <c r="BG109" s="349"/>
      <c r="BH109" s="350"/>
      <c r="BI109" s="351"/>
      <c r="BJ109" s="352"/>
      <c r="BK109" s="337">
        <v>10000</v>
      </c>
      <c r="BL109" s="352"/>
      <c r="BM109" s="337">
        <v>17459.5</v>
      </c>
      <c r="BN109" s="353"/>
      <c r="BO109" s="354"/>
      <c r="BP109" s="355"/>
      <c r="BQ109" s="356"/>
      <c r="BR109" s="355"/>
      <c r="BS109" s="356"/>
      <c r="BT109" s="357"/>
    </row>
    <row r="110" spans="1:72" s="430" customFormat="1" ht="25.5" customHeight="1" outlineLevel="2">
      <c r="A110" s="287">
        <v>100</v>
      </c>
      <c r="B110" s="818"/>
      <c r="C110" s="743"/>
      <c r="D110" s="856" t="s">
        <v>272</v>
      </c>
      <c r="E110" s="857"/>
      <c r="F110" s="827" t="s">
        <v>7</v>
      </c>
      <c r="G110" s="431">
        <v>4</v>
      </c>
      <c r="H110" s="474" t="s">
        <v>70</v>
      </c>
      <c r="I110" s="743">
        <v>244</v>
      </c>
      <c r="J110" s="744">
        <v>346</v>
      </c>
      <c r="K110" s="536" t="s">
        <v>284</v>
      </c>
      <c r="L110" s="443"/>
      <c r="M110" s="434"/>
      <c r="N110" s="434"/>
      <c r="O110" s="434">
        <f t="shared" si="144"/>
        <v>0</v>
      </c>
      <c r="P110" s="563"/>
      <c r="Q110" s="437"/>
      <c r="R110" s="563"/>
      <c r="S110" s="437"/>
      <c r="T110" s="563"/>
      <c r="U110" s="467"/>
      <c r="V110" s="436"/>
      <c r="W110" s="436"/>
      <c r="X110" s="436"/>
      <c r="Z110" s="437">
        <f t="shared" si="148"/>
        <v>0</v>
      </c>
      <c r="AA110" s="438">
        <f t="shared" si="149"/>
        <v>0</v>
      </c>
      <c r="AB110" s="439">
        <f t="shared" si="150"/>
        <v>0</v>
      </c>
      <c r="AC110" s="437">
        <f t="shared" si="151"/>
        <v>0</v>
      </c>
      <c r="AD110" s="438">
        <f t="shared" si="152"/>
        <v>0</v>
      </c>
      <c r="AE110" s="439">
        <f t="shared" si="153"/>
        <v>0</v>
      </c>
      <c r="AF110" s="437">
        <f t="shared" si="154"/>
        <v>0</v>
      </c>
      <c r="AG110" s="438">
        <f t="shared" si="155"/>
        <v>0</v>
      </c>
      <c r="AH110" s="439">
        <f t="shared" si="156"/>
        <v>0</v>
      </c>
      <c r="AI110" s="437">
        <f t="shared" si="157"/>
        <v>0</v>
      </c>
      <c r="AJ110" s="438">
        <f t="shared" si="158"/>
        <v>0</v>
      </c>
      <c r="AK110" s="439">
        <f t="shared" si="159"/>
        <v>0</v>
      </c>
      <c r="AL110" s="440"/>
      <c r="AM110" s="437">
        <f t="shared" si="160"/>
        <v>0</v>
      </c>
      <c r="AN110" s="441">
        <f t="shared" si="161"/>
        <v>0</v>
      </c>
      <c r="AO110" s="442">
        <f t="shared" si="162"/>
        <v>0</v>
      </c>
      <c r="AP110" s="437">
        <f t="shared" si="163"/>
        <v>0</v>
      </c>
      <c r="AQ110" s="441">
        <f t="shared" si="164"/>
        <v>0</v>
      </c>
      <c r="AR110" s="442">
        <f t="shared" si="165"/>
        <v>0</v>
      </c>
      <c r="AS110" s="443">
        <f t="shared" si="166"/>
        <v>0</v>
      </c>
      <c r="AT110" s="441">
        <f t="shared" si="167"/>
        <v>0</v>
      </c>
      <c r="AU110" s="442">
        <f t="shared" si="168"/>
        <v>0</v>
      </c>
      <c r="AV110" s="601">
        <f t="shared" si="177"/>
        <v>0</v>
      </c>
      <c r="AW110" s="444"/>
      <c r="AX110" s="445"/>
      <c r="AY110" s="446"/>
      <c r="AZ110" s="445"/>
      <c r="BA110" s="446"/>
      <c r="BB110" s="447"/>
      <c r="BC110" s="448"/>
      <c r="BD110" s="449"/>
      <c r="BE110" s="450"/>
      <c r="BF110" s="449"/>
      <c r="BG110" s="450"/>
      <c r="BH110" s="451"/>
      <c r="BI110" s="452"/>
      <c r="BJ110" s="453"/>
      <c r="BK110" s="438"/>
      <c r="BL110" s="453"/>
      <c r="BM110" s="438"/>
      <c r="BN110" s="454"/>
      <c r="BO110" s="455"/>
      <c r="BP110" s="456"/>
      <c r="BQ110" s="457"/>
      <c r="BR110" s="456"/>
      <c r="BS110" s="457"/>
      <c r="BT110" s="458"/>
    </row>
    <row r="111" spans="1:72" s="468" customFormat="1" ht="66.75" customHeight="1" outlineLevel="1">
      <c r="A111" s="287">
        <v>101</v>
      </c>
      <c r="B111" s="818"/>
      <c r="C111" s="850" t="s">
        <v>378</v>
      </c>
      <c r="D111" s="854" t="s">
        <v>276</v>
      </c>
      <c r="E111" s="858"/>
      <c r="F111" s="828" t="s">
        <v>7</v>
      </c>
      <c r="G111" s="469">
        <v>4</v>
      </c>
      <c r="H111" s="745" t="s">
        <v>70</v>
      </c>
      <c r="I111" s="745">
        <v>244</v>
      </c>
      <c r="J111" s="746">
        <v>346</v>
      </c>
      <c r="K111" s="537" t="s">
        <v>281</v>
      </c>
      <c r="L111" s="472">
        <v>40774.18</v>
      </c>
      <c r="M111" s="422"/>
      <c r="N111" s="422"/>
      <c r="O111" s="422">
        <f t="shared" si="144"/>
        <v>40774.18</v>
      </c>
      <c r="P111" s="564"/>
      <c r="Q111" s="472"/>
      <c r="R111" s="564"/>
      <c r="S111" s="472"/>
      <c r="T111" s="564"/>
      <c r="U111" s="393"/>
      <c r="V111" s="394"/>
      <c r="W111" s="394"/>
      <c r="X111" s="394"/>
      <c r="Y111" s="392"/>
      <c r="Z111" s="395">
        <f t="shared" si="148"/>
        <v>0</v>
      </c>
      <c r="AA111" s="396">
        <f t="shared" si="149"/>
        <v>0</v>
      </c>
      <c r="AB111" s="397">
        <f t="shared" si="150"/>
        <v>0</v>
      </c>
      <c r="AC111" s="395">
        <f t="shared" si="151"/>
        <v>0</v>
      </c>
      <c r="AD111" s="396">
        <f t="shared" si="152"/>
        <v>0</v>
      </c>
      <c r="AE111" s="397">
        <f t="shared" si="153"/>
        <v>0</v>
      </c>
      <c r="AF111" s="395">
        <f t="shared" si="154"/>
        <v>0</v>
      </c>
      <c r="AG111" s="396">
        <f t="shared" si="155"/>
        <v>0</v>
      </c>
      <c r="AH111" s="397">
        <f t="shared" si="156"/>
        <v>0</v>
      </c>
      <c r="AI111" s="395">
        <f t="shared" si="157"/>
        <v>40774.18</v>
      </c>
      <c r="AJ111" s="396">
        <f t="shared" si="158"/>
        <v>0</v>
      </c>
      <c r="AK111" s="397">
        <f t="shared" si="159"/>
        <v>40774.18</v>
      </c>
      <c r="AL111" s="398"/>
      <c r="AM111" s="472">
        <f t="shared" si="160"/>
        <v>0</v>
      </c>
      <c r="AN111" s="422">
        <f t="shared" si="161"/>
        <v>0</v>
      </c>
      <c r="AO111" s="473">
        <f t="shared" si="162"/>
        <v>0</v>
      </c>
      <c r="AP111" s="472">
        <f t="shared" si="163"/>
        <v>0</v>
      </c>
      <c r="AQ111" s="422">
        <f t="shared" si="164"/>
        <v>0</v>
      </c>
      <c r="AR111" s="473">
        <f t="shared" si="165"/>
        <v>0</v>
      </c>
      <c r="AS111" s="472">
        <f t="shared" si="166"/>
        <v>40774.18</v>
      </c>
      <c r="AT111" s="422">
        <f t="shared" si="167"/>
        <v>0</v>
      </c>
      <c r="AU111" s="473">
        <f t="shared" si="168"/>
        <v>40774.18</v>
      </c>
      <c r="AV111" s="602">
        <f t="shared" si="177"/>
        <v>0</v>
      </c>
      <c r="AW111" s="472">
        <f t="shared" ref="AW111:BT111" si="178">SUM(AW112:AW113)</f>
        <v>0</v>
      </c>
      <c r="AX111" s="422">
        <f t="shared" si="178"/>
        <v>0</v>
      </c>
      <c r="AY111" s="422">
        <f t="shared" si="178"/>
        <v>0</v>
      </c>
      <c r="AZ111" s="422">
        <f t="shared" si="178"/>
        <v>0</v>
      </c>
      <c r="BA111" s="422">
        <f t="shared" si="178"/>
        <v>0</v>
      </c>
      <c r="BB111" s="423">
        <f t="shared" si="178"/>
        <v>0</v>
      </c>
      <c r="BC111" s="472">
        <f t="shared" si="178"/>
        <v>0</v>
      </c>
      <c r="BD111" s="422">
        <f t="shared" si="178"/>
        <v>0</v>
      </c>
      <c r="BE111" s="422">
        <f t="shared" si="178"/>
        <v>0</v>
      </c>
      <c r="BF111" s="422">
        <f t="shared" si="178"/>
        <v>0</v>
      </c>
      <c r="BG111" s="422">
        <f t="shared" si="178"/>
        <v>0</v>
      </c>
      <c r="BH111" s="423">
        <f t="shared" si="178"/>
        <v>0</v>
      </c>
      <c r="BI111" s="472">
        <f t="shared" si="178"/>
        <v>0</v>
      </c>
      <c r="BJ111" s="422">
        <f t="shared" si="178"/>
        <v>0</v>
      </c>
      <c r="BK111" s="422">
        <f t="shared" si="178"/>
        <v>0</v>
      </c>
      <c r="BL111" s="422">
        <f t="shared" si="178"/>
        <v>0</v>
      </c>
      <c r="BM111" s="422">
        <f t="shared" si="178"/>
        <v>0</v>
      </c>
      <c r="BN111" s="423">
        <f t="shared" si="178"/>
        <v>0</v>
      </c>
      <c r="BO111" s="472">
        <f t="shared" si="178"/>
        <v>20000</v>
      </c>
      <c r="BP111" s="422">
        <f t="shared" si="178"/>
        <v>0</v>
      </c>
      <c r="BQ111" s="422">
        <f t="shared" si="178"/>
        <v>20774.18</v>
      </c>
      <c r="BR111" s="422">
        <f t="shared" si="178"/>
        <v>0</v>
      </c>
      <c r="BS111" s="422">
        <f t="shared" si="178"/>
        <v>0</v>
      </c>
      <c r="BT111" s="473">
        <f t="shared" si="178"/>
        <v>0</v>
      </c>
    </row>
    <row r="112" spans="1:72" s="399" customFormat="1" ht="25.5" customHeight="1" outlineLevel="2">
      <c r="A112" s="287">
        <v>102</v>
      </c>
      <c r="B112" s="818"/>
      <c r="C112" s="859"/>
      <c r="D112" s="841" t="s">
        <v>276</v>
      </c>
      <c r="E112" s="860"/>
      <c r="F112" s="829" t="s">
        <v>7</v>
      </c>
      <c r="G112" s="400">
        <v>4</v>
      </c>
      <c r="H112" s="747" t="s">
        <v>70</v>
      </c>
      <c r="I112" s="747">
        <v>244</v>
      </c>
      <c r="J112" s="748">
        <v>346</v>
      </c>
      <c r="K112" s="538" t="s">
        <v>301</v>
      </c>
      <c r="L112" s="412">
        <v>40774.18</v>
      </c>
      <c r="M112" s="403"/>
      <c r="N112" s="403"/>
      <c r="O112" s="403">
        <f t="shared" si="144"/>
        <v>40774.18</v>
      </c>
      <c r="P112" s="565"/>
      <c r="Q112" s="406"/>
      <c r="R112" s="565"/>
      <c r="S112" s="406"/>
      <c r="T112" s="565"/>
      <c r="U112" s="428"/>
      <c r="V112" s="405"/>
      <c r="W112" s="405"/>
      <c r="X112" s="405"/>
      <c r="Z112" s="406">
        <f t="shared" si="148"/>
        <v>0</v>
      </c>
      <c r="AA112" s="407">
        <f t="shared" si="149"/>
        <v>0</v>
      </c>
      <c r="AB112" s="408">
        <f t="shared" si="150"/>
        <v>0</v>
      </c>
      <c r="AC112" s="406">
        <f t="shared" si="151"/>
        <v>0</v>
      </c>
      <c r="AD112" s="407">
        <f t="shared" si="152"/>
        <v>0</v>
      </c>
      <c r="AE112" s="408">
        <f t="shared" si="153"/>
        <v>0</v>
      </c>
      <c r="AF112" s="406">
        <f t="shared" si="154"/>
        <v>0</v>
      </c>
      <c r="AG112" s="407">
        <f t="shared" si="155"/>
        <v>0</v>
      </c>
      <c r="AH112" s="408">
        <f t="shared" si="156"/>
        <v>0</v>
      </c>
      <c r="AI112" s="406">
        <f t="shared" si="157"/>
        <v>40774.18</v>
      </c>
      <c r="AJ112" s="407">
        <f t="shared" si="158"/>
        <v>0</v>
      </c>
      <c r="AK112" s="408">
        <f t="shared" si="159"/>
        <v>40774.18</v>
      </c>
      <c r="AL112" s="409"/>
      <c r="AM112" s="406">
        <f t="shared" si="160"/>
        <v>0</v>
      </c>
      <c r="AN112" s="410">
        <f t="shared" si="161"/>
        <v>0</v>
      </c>
      <c r="AO112" s="411">
        <f t="shared" si="162"/>
        <v>0</v>
      </c>
      <c r="AP112" s="406">
        <f t="shared" si="163"/>
        <v>0</v>
      </c>
      <c r="AQ112" s="410">
        <f t="shared" si="164"/>
        <v>0</v>
      </c>
      <c r="AR112" s="411">
        <f t="shared" si="165"/>
        <v>0</v>
      </c>
      <c r="AS112" s="412">
        <f t="shared" si="166"/>
        <v>40774.18</v>
      </c>
      <c r="AT112" s="410">
        <f t="shared" si="167"/>
        <v>0</v>
      </c>
      <c r="AU112" s="411">
        <f t="shared" si="168"/>
        <v>40774.18</v>
      </c>
      <c r="AV112" s="603">
        <f t="shared" si="177"/>
        <v>0</v>
      </c>
      <c r="AW112" s="413"/>
      <c r="AX112" s="414"/>
      <c r="AY112" s="415"/>
      <c r="AZ112" s="414"/>
      <c r="BA112" s="415"/>
      <c r="BB112" s="416"/>
      <c r="BC112" s="417"/>
      <c r="BD112" s="418"/>
      <c r="BE112" s="419"/>
      <c r="BF112" s="418"/>
      <c r="BG112" s="419"/>
      <c r="BH112" s="420"/>
      <c r="BI112" s="421"/>
      <c r="BJ112" s="422"/>
      <c r="BK112" s="407"/>
      <c r="BL112" s="422"/>
      <c r="BM112" s="407"/>
      <c r="BN112" s="423"/>
      <c r="BO112" s="424">
        <v>20000</v>
      </c>
      <c r="BP112" s="425"/>
      <c r="BQ112" s="426">
        <v>20774.18</v>
      </c>
      <c r="BR112" s="425"/>
      <c r="BS112" s="426"/>
      <c r="BT112" s="427"/>
    </row>
    <row r="113" spans="1:72" s="430" customFormat="1" ht="25.5" customHeight="1" outlineLevel="2">
      <c r="A113" s="287">
        <v>103</v>
      </c>
      <c r="B113" s="818"/>
      <c r="C113" s="743"/>
      <c r="D113" s="856" t="s">
        <v>276</v>
      </c>
      <c r="E113" s="857"/>
      <c r="F113" s="827" t="s">
        <v>7</v>
      </c>
      <c r="G113" s="431">
        <v>4</v>
      </c>
      <c r="H113" s="474" t="s">
        <v>70</v>
      </c>
      <c r="I113" s="743">
        <v>244</v>
      </c>
      <c r="J113" s="744">
        <v>346</v>
      </c>
      <c r="K113" s="536" t="s">
        <v>284</v>
      </c>
      <c r="L113" s="443"/>
      <c r="M113" s="434"/>
      <c r="N113" s="434"/>
      <c r="O113" s="434">
        <f t="shared" si="144"/>
        <v>0</v>
      </c>
      <c r="P113" s="563"/>
      <c r="Q113" s="437"/>
      <c r="R113" s="563"/>
      <c r="S113" s="437"/>
      <c r="T113" s="563"/>
      <c r="U113" s="467"/>
      <c r="V113" s="436"/>
      <c r="W113" s="436"/>
      <c r="X113" s="436"/>
      <c r="Z113" s="437">
        <f t="shared" si="148"/>
        <v>0</v>
      </c>
      <c r="AA113" s="438">
        <f t="shared" si="149"/>
        <v>0</v>
      </c>
      <c r="AB113" s="439">
        <f t="shared" si="150"/>
        <v>0</v>
      </c>
      <c r="AC113" s="437">
        <f t="shared" si="151"/>
        <v>0</v>
      </c>
      <c r="AD113" s="438">
        <f t="shared" si="152"/>
        <v>0</v>
      </c>
      <c r="AE113" s="439">
        <f t="shared" si="153"/>
        <v>0</v>
      </c>
      <c r="AF113" s="437">
        <f t="shared" si="154"/>
        <v>0</v>
      </c>
      <c r="AG113" s="438">
        <f t="shared" si="155"/>
        <v>0</v>
      </c>
      <c r="AH113" s="439">
        <f t="shared" si="156"/>
        <v>0</v>
      </c>
      <c r="AI113" s="437">
        <f t="shared" si="157"/>
        <v>0</v>
      </c>
      <c r="AJ113" s="438">
        <f t="shared" si="158"/>
        <v>0</v>
      </c>
      <c r="AK113" s="439">
        <f t="shared" si="159"/>
        <v>0</v>
      </c>
      <c r="AL113" s="440"/>
      <c r="AM113" s="437">
        <f t="shared" si="160"/>
        <v>0</v>
      </c>
      <c r="AN113" s="441">
        <f t="shared" si="161"/>
        <v>0</v>
      </c>
      <c r="AO113" s="442">
        <f t="shared" si="162"/>
        <v>0</v>
      </c>
      <c r="AP113" s="437">
        <f t="shared" si="163"/>
        <v>0</v>
      </c>
      <c r="AQ113" s="441">
        <f t="shared" si="164"/>
        <v>0</v>
      </c>
      <c r="AR113" s="442">
        <f t="shared" si="165"/>
        <v>0</v>
      </c>
      <c r="AS113" s="443">
        <f t="shared" si="166"/>
        <v>0</v>
      </c>
      <c r="AT113" s="441">
        <f t="shared" si="167"/>
        <v>0</v>
      </c>
      <c r="AU113" s="442">
        <f t="shared" si="168"/>
        <v>0</v>
      </c>
      <c r="AV113" s="601">
        <f t="shared" si="177"/>
        <v>0</v>
      </c>
      <c r="AW113" s="444"/>
      <c r="AX113" s="445"/>
      <c r="AY113" s="446"/>
      <c r="AZ113" s="445"/>
      <c r="BA113" s="446"/>
      <c r="BB113" s="447"/>
      <c r="BC113" s="448"/>
      <c r="BD113" s="449"/>
      <c r="BE113" s="450"/>
      <c r="BF113" s="449"/>
      <c r="BG113" s="450"/>
      <c r="BH113" s="451"/>
      <c r="BI113" s="452"/>
      <c r="BJ113" s="453"/>
      <c r="BK113" s="438"/>
      <c r="BL113" s="453"/>
      <c r="BM113" s="438"/>
      <c r="BN113" s="454"/>
      <c r="BO113" s="455"/>
      <c r="BP113" s="456"/>
      <c r="BQ113" s="457"/>
      <c r="BR113" s="456"/>
      <c r="BS113" s="457"/>
      <c r="BT113" s="458"/>
    </row>
    <row r="114" spans="1:72" s="459" customFormat="1" ht="66.75" customHeight="1" outlineLevel="1">
      <c r="A114" s="287">
        <v>104</v>
      </c>
      <c r="B114" s="818"/>
      <c r="C114" s="850" t="s">
        <v>378</v>
      </c>
      <c r="D114" s="854" t="s">
        <v>274</v>
      </c>
      <c r="E114" s="855"/>
      <c r="F114" s="826" t="s">
        <v>7</v>
      </c>
      <c r="G114" s="462">
        <v>4</v>
      </c>
      <c r="H114" s="741" t="s">
        <v>70</v>
      </c>
      <c r="I114" s="741">
        <v>244</v>
      </c>
      <c r="J114" s="742">
        <v>346</v>
      </c>
      <c r="K114" s="535" t="s">
        <v>283</v>
      </c>
      <c r="L114" s="464">
        <v>58096.959999999999</v>
      </c>
      <c r="M114" s="352"/>
      <c r="N114" s="352"/>
      <c r="O114" s="352">
        <f t="shared" si="144"/>
        <v>58096.959999999999</v>
      </c>
      <c r="P114" s="561"/>
      <c r="Q114" s="464"/>
      <c r="R114" s="561"/>
      <c r="S114" s="464"/>
      <c r="T114" s="561"/>
      <c r="U114" s="393"/>
      <c r="V114" s="394"/>
      <c r="W114" s="394"/>
      <c r="X114" s="394"/>
      <c r="Y114" s="392"/>
      <c r="Z114" s="395">
        <f t="shared" ref="Z114:AA129" si="179">AW114+AY114+BA114</f>
        <v>0</v>
      </c>
      <c r="AA114" s="396">
        <f t="shared" ref="AA114:AA124" si="180">AX114+AZ114+BB114</f>
        <v>0</v>
      </c>
      <c r="AB114" s="397">
        <f t="shared" ref="AB114:AB132" si="181">Z114-AA114</f>
        <v>0</v>
      </c>
      <c r="AC114" s="395">
        <f t="shared" ref="AC114:AD129" si="182">BC114+BE114+BG114</f>
        <v>0</v>
      </c>
      <c r="AD114" s="396">
        <f t="shared" ref="AD114:AD124" si="183">BD114+BF114+BH114</f>
        <v>0</v>
      </c>
      <c r="AE114" s="397">
        <f t="shared" ref="AE114:AE132" si="184">AC114-AD114</f>
        <v>0</v>
      </c>
      <c r="AF114" s="395">
        <f t="shared" ref="AF114:AG129" si="185">BI114+BK114+BM114</f>
        <v>0</v>
      </c>
      <c r="AG114" s="396">
        <f t="shared" ref="AG114:AG124" si="186">BJ114+BL114+BN114</f>
        <v>0</v>
      </c>
      <c r="AH114" s="397">
        <f t="shared" ref="AH114:AH132" si="187">AF114-AG114</f>
        <v>0</v>
      </c>
      <c r="AI114" s="395">
        <f t="shared" ref="AI114:AJ129" si="188">BO114+BQ114+BS114</f>
        <v>58096.959999999999</v>
      </c>
      <c r="AJ114" s="396">
        <f t="shared" ref="AJ114:AJ124" si="189">BP114+BR114+BT114</f>
        <v>0</v>
      </c>
      <c r="AK114" s="397">
        <f t="shared" ref="AK114:AK132" si="190">AI114-AJ114</f>
        <v>58096.959999999999</v>
      </c>
      <c r="AL114" s="398"/>
      <c r="AM114" s="464">
        <f t="shared" ref="AM114:AN129" si="191">Z114+AC114</f>
        <v>0</v>
      </c>
      <c r="AN114" s="352">
        <f t="shared" ref="AN114:AN124" si="192">AA114+AD114</f>
        <v>0</v>
      </c>
      <c r="AO114" s="465">
        <f t="shared" ref="AO114:AO132" si="193">AM114-AN114</f>
        <v>0</v>
      </c>
      <c r="AP114" s="464">
        <f t="shared" ref="AP114:AQ129" si="194">Z114+AC114+AF114</f>
        <v>0</v>
      </c>
      <c r="AQ114" s="352">
        <f t="shared" ref="AQ114:AQ124" si="195">AA114+AD114+AG114</f>
        <v>0</v>
      </c>
      <c r="AR114" s="465">
        <f t="shared" ref="AR114:AR132" si="196">AP114-AQ114</f>
        <v>0</v>
      </c>
      <c r="AS114" s="464">
        <f t="shared" ref="AS114:AT129" si="197">Z114+AC114+AF114+AI114</f>
        <v>58096.959999999999</v>
      </c>
      <c r="AT114" s="352">
        <f t="shared" ref="AT114:AT124" si="198">AA114+AD114+AG114+AJ114</f>
        <v>0</v>
      </c>
      <c r="AU114" s="465">
        <f t="shared" ref="AU114:AU132" si="199">AS114-AT114</f>
        <v>58096.959999999999</v>
      </c>
      <c r="AV114" s="600">
        <f t="shared" si="177"/>
        <v>0</v>
      </c>
      <c r="AW114" s="464">
        <f t="shared" ref="AW114:BT114" si="200">SUM(AW115:AW116)</f>
        <v>0</v>
      </c>
      <c r="AX114" s="352">
        <f t="shared" si="200"/>
        <v>0</v>
      </c>
      <c r="AY114" s="352">
        <f t="shared" si="200"/>
        <v>0</v>
      </c>
      <c r="AZ114" s="352">
        <f t="shared" si="200"/>
        <v>0</v>
      </c>
      <c r="BA114" s="352">
        <f t="shared" si="200"/>
        <v>0</v>
      </c>
      <c r="BB114" s="353">
        <f t="shared" si="200"/>
        <v>0</v>
      </c>
      <c r="BC114" s="464">
        <f t="shared" si="200"/>
        <v>0</v>
      </c>
      <c r="BD114" s="352">
        <f t="shared" si="200"/>
        <v>0</v>
      </c>
      <c r="BE114" s="352">
        <f t="shared" si="200"/>
        <v>0</v>
      </c>
      <c r="BF114" s="352">
        <f t="shared" si="200"/>
        <v>0</v>
      </c>
      <c r="BG114" s="352">
        <f t="shared" si="200"/>
        <v>0</v>
      </c>
      <c r="BH114" s="353">
        <f t="shared" si="200"/>
        <v>0</v>
      </c>
      <c r="BI114" s="464">
        <f t="shared" si="200"/>
        <v>0</v>
      </c>
      <c r="BJ114" s="352">
        <f t="shared" si="200"/>
        <v>0</v>
      </c>
      <c r="BK114" s="352">
        <f t="shared" si="200"/>
        <v>0</v>
      </c>
      <c r="BL114" s="352">
        <f t="shared" si="200"/>
        <v>0</v>
      </c>
      <c r="BM114" s="352">
        <f t="shared" si="200"/>
        <v>0</v>
      </c>
      <c r="BN114" s="353">
        <f t="shared" si="200"/>
        <v>0</v>
      </c>
      <c r="BO114" s="464">
        <f t="shared" si="200"/>
        <v>0</v>
      </c>
      <c r="BP114" s="352">
        <f t="shared" si="200"/>
        <v>0</v>
      </c>
      <c r="BQ114" s="352">
        <f t="shared" si="200"/>
        <v>58096.959999999999</v>
      </c>
      <c r="BR114" s="352">
        <f t="shared" si="200"/>
        <v>0</v>
      </c>
      <c r="BS114" s="352">
        <f t="shared" si="200"/>
        <v>0</v>
      </c>
      <c r="BT114" s="465">
        <f t="shared" si="200"/>
        <v>0</v>
      </c>
    </row>
    <row r="115" spans="1:72" s="313" customFormat="1" ht="25.5" customHeight="1" outlineLevel="2">
      <c r="A115" s="287">
        <v>105</v>
      </c>
      <c r="B115" s="818"/>
      <c r="C115" s="840"/>
      <c r="D115" s="841" t="s">
        <v>274</v>
      </c>
      <c r="E115" s="839"/>
      <c r="F115" s="821" t="s">
        <v>7</v>
      </c>
      <c r="G115" s="314">
        <v>4</v>
      </c>
      <c r="H115" s="739" t="s">
        <v>70</v>
      </c>
      <c r="I115" s="739">
        <v>244</v>
      </c>
      <c r="J115" s="740">
        <v>346</v>
      </c>
      <c r="K115" s="533" t="s">
        <v>301</v>
      </c>
      <c r="L115" s="341">
        <v>58096.959999999999</v>
      </c>
      <c r="M115" s="318"/>
      <c r="N115" s="318"/>
      <c r="O115" s="318">
        <f t="shared" si="144"/>
        <v>58096.959999999999</v>
      </c>
      <c r="P115" s="562"/>
      <c r="Q115" s="336"/>
      <c r="R115" s="562"/>
      <c r="S115" s="336"/>
      <c r="T115" s="562"/>
      <c r="U115" s="466"/>
      <c r="V115" s="320"/>
      <c r="W115" s="320"/>
      <c r="X115" s="320"/>
      <c r="Z115" s="336">
        <f t="shared" si="179"/>
        <v>0</v>
      </c>
      <c r="AA115" s="337">
        <f t="shared" si="180"/>
        <v>0</v>
      </c>
      <c r="AB115" s="338">
        <f t="shared" si="181"/>
        <v>0</v>
      </c>
      <c r="AC115" s="336">
        <f t="shared" si="182"/>
        <v>0</v>
      </c>
      <c r="AD115" s="337">
        <f t="shared" si="183"/>
        <v>0</v>
      </c>
      <c r="AE115" s="338">
        <f t="shared" si="184"/>
        <v>0</v>
      </c>
      <c r="AF115" s="336">
        <f t="shared" si="185"/>
        <v>0</v>
      </c>
      <c r="AG115" s="337">
        <f t="shared" si="186"/>
        <v>0</v>
      </c>
      <c r="AH115" s="338">
        <f t="shared" si="187"/>
        <v>0</v>
      </c>
      <c r="AI115" s="336">
        <f t="shared" si="188"/>
        <v>58096.959999999999</v>
      </c>
      <c r="AJ115" s="337">
        <f t="shared" si="189"/>
        <v>0</v>
      </c>
      <c r="AK115" s="338">
        <f t="shared" si="190"/>
        <v>58096.959999999999</v>
      </c>
      <c r="AL115" s="342"/>
      <c r="AM115" s="336">
        <f t="shared" si="191"/>
        <v>0</v>
      </c>
      <c r="AN115" s="339">
        <f t="shared" si="192"/>
        <v>0</v>
      </c>
      <c r="AO115" s="340">
        <f t="shared" si="193"/>
        <v>0</v>
      </c>
      <c r="AP115" s="336">
        <f t="shared" si="194"/>
        <v>0</v>
      </c>
      <c r="AQ115" s="339">
        <f t="shared" si="195"/>
        <v>0</v>
      </c>
      <c r="AR115" s="340">
        <f t="shared" si="196"/>
        <v>0</v>
      </c>
      <c r="AS115" s="341">
        <f t="shared" si="197"/>
        <v>58096.959999999999</v>
      </c>
      <c r="AT115" s="339">
        <f t="shared" si="198"/>
        <v>0</v>
      </c>
      <c r="AU115" s="340">
        <f t="shared" si="199"/>
        <v>58096.959999999999</v>
      </c>
      <c r="AV115" s="589">
        <f t="shared" si="177"/>
        <v>0</v>
      </c>
      <c r="AW115" s="343"/>
      <c r="AX115" s="344"/>
      <c r="AY115" s="345"/>
      <c r="AZ115" s="344"/>
      <c r="BA115" s="345"/>
      <c r="BB115" s="346"/>
      <c r="BC115" s="347"/>
      <c r="BD115" s="348"/>
      <c r="BE115" s="349"/>
      <c r="BF115" s="348"/>
      <c r="BG115" s="349"/>
      <c r="BH115" s="350"/>
      <c r="BI115" s="351"/>
      <c r="BJ115" s="352"/>
      <c r="BK115" s="337"/>
      <c r="BL115" s="352"/>
      <c r="BM115" s="337"/>
      <c r="BN115" s="353"/>
      <c r="BO115" s="354"/>
      <c r="BP115" s="355"/>
      <c r="BQ115" s="356">
        <v>58096.959999999999</v>
      </c>
      <c r="BR115" s="355"/>
      <c r="BS115" s="356"/>
      <c r="BT115" s="357"/>
    </row>
    <row r="116" spans="1:72" s="430" customFormat="1" ht="25.5" customHeight="1" outlineLevel="2">
      <c r="A116" s="287">
        <v>106</v>
      </c>
      <c r="B116" s="818"/>
      <c r="C116" s="743"/>
      <c r="D116" s="856" t="s">
        <v>274</v>
      </c>
      <c r="E116" s="857"/>
      <c r="F116" s="827" t="s">
        <v>7</v>
      </c>
      <c r="G116" s="431">
        <v>4</v>
      </c>
      <c r="H116" s="474" t="s">
        <v>70</v>
      </c>
      <c r="I116" s="743">
        <v>244</v>
      </c>
      <c r="J116" s="744">
        <v>346</v>
      </c>
      <c r="K116" s="536" t="s">
        <v>284</v>
      </c>
      <c r="L116" s="443"/>
      <c r="M116" s="434"/>
      <c r="N116" s="434"/>
      <c r="O116" s="434">
        <f t="shared" si="144"/>
        <v>0</v>
      </c>
      <c r="P116" s="563"/>
      <c r="Q116" s="437"/>
      <c r="R116" s="563"/>
      <c r="S116" s="437"/>
      <c r="T116" s="563"/>
      <c r="U116" s="467"/>
      <c r="V116" s="436"/>
      <c r="W116" s="436"/>
      <c r="X116" s="436"/>
      <c r="Z116" s="437">
        <f t="shared" si="179"/>
        <v>0</v>
      </c>
      <c r="AA116" s="438">
        <f t="shared" si="180"/>
        <v>0</v>
      </c>
      <c r="AB116" s="439">
        <f t="shared" si="181"/>
        <v>0</v>
      </c>
      <c r="AC116" s="437">
        <f t="shared" si="182"/>
        <v>0</v>
      </c>
      <c r="AD116" s="438">
        <f t="shared" si="183"/>
        <v>0</v>
      </c>
      <c r="AE116" s="439">
        <f t="shared" si="184"/>
        <v>0</v>
      </c>
      <c r="AF116" s="437">
        <f t="shared" si="185"/>
        <v>0</v>
      </c>
      <c r="AG116" s="438">
        <f t="shared" si="186"/>
        <v>0</v>
      </c>
      <c r="AH116" s="439">
        <f t="shared" si="187"/>
        <v>0</v>
      </c>
      <c r="AI116" s="437">
        <f t="shared" si="188"/>
        <v>0</v>
      </c>
      <c r="AJ116" s="438">
        <f t="shared" si="189"/>
        <v>0</v>
      </c>
      <c r="AK116" s="439">
        <f t="shared" si="190"/>
        <v>0</v>
      </c>
      <c r="AL116" s="440"/>
      <c r="AM116" s="437">
        <f t="shared" si="191"/>
        <v>0</v>
      </c>
      <c r="AN116" s="441">
        <f t="shared" si="192"/>
        <v>0</v>
      </c>
      <c r="AO116" s="442">
        <f t="shared" si="193"/>
        <v>0</v>
      </c>
      <c r="AP116" s="437">
        <f t="shared" si="194"/>
        <v>0</v>
      </c>
      <c r="AQ116" s="441">
        <f t="shared" si="195"/>
        <v>0</v>
      </c>
      <c r="AR116" s="442">
        <f t="shared" si="196"/>
        <v>0</v>
      </c>
      <c r="AS116" s="443">
        <f t="shared" si="197"/>
        <v>0</v>
      </c>
      <c r="AT116" s="441">
        <f t="shared" si="198"/>
        <v>0</v>
      </c>
      <c r="AU116" s="442">
        <f t="shared" si="199"/>
        <v>0</v>
      </c>
      <c r="AV116" s="601">
        <f t="shared" si="177"/>
        <v>0</v>
      </c>
      <c r="AW116" s="444"/>
      <c r="AX116" s="445"/>
      <c r="AY116" s="446"/>
      <c r="AZ116" s="445"/>
      <c r="BA116" s="446"/>
      <c r="BB116" s="447"/>
      <c r="BC116" s="448"/>
      <c r="BD116" s="449"/>
      <c r="BE116" s="450"/>
      <c r="BF116" s="449"/>
      <c r="BG116" s="450"/>
      <c r="BH116" s="451"/>
      <c r="BI116" s="452"/>
      <c r="BJ116" s="453"/>
      <c r="BK116" s="438"/>
      <c r="BL116" s="453"/>
      <c r="BM116" s="438"/>
      <c r="BN116" s="454"/>
      <c r="BO116" s="455"/>
      <c r="BP116" s="456"/>
      <c r="BQ116" s="457"/>
      <c r="BR116" s="456"/>
      <c r="BS116" s="457"/>
      <c r="BT116" s="458"/>
    </row>
    <row r="117" spans="1:72" s="468" customFormat="1" ht="72.75" customHeight="1" outlineLevel="1">
      <c r="A117" s="287">
        <v>107</v>
      </c>
      <c r="B117" s="818"/>
      <c r="C117" s="850" t="s">
        <v>378</v>
      </c>
      <c r="D117" s="854" t="s">
        <v>277</v>
      </c>
      <c r="E117" s="858"/>
      <c r="F117" s="828" t="s">
        <v>7</v>
      </c>
      <c r="G117" s="469">
        <v>4</v>
      </c>
      <c r="H117" s="745" t="s">
        <v>70</v>
      </c>
      <c r="I117" s="745">
        <v>244</v>
      </c>
      <c r="J117" s="746">
        <v>346</v>
      </c>
      <c r="K117" s="537" t="s">
        <v>282</v>
      </c>
      <c r="L117" s="472">
        <v>34083.300000000003</v>
      </c>
      <c r="M117" s="422"/>
      <c r="N117" s="422"/>
      <c r="O117" s="422">
        <f t="shared" si="144"/>
        <v>34083.300000000003</v>
      </c>
      <c r="P117" s="564"/>
      <c r="Q117" s="472"/>
      <c r="R117" s="564"/>
      <c r="S117" s="472"/>
      <c r="T117" s="564"/>
      <c r="U117" s="393"/>
      <c r="V117" s="394"/>
      <c r="W117" s="394"/>
      <c r="X117" s="394"/>
      <c r="Y117" s="392"/>
      <c r="Z117" s="395">
        <f t="shared" si="179"/>
        <v>0</v>
      </c>
      <c r="AA117" s="396">
        <f t="shared" si="180"/>
        <v>0</v>
      </c>
      <c r="AB117" s="397">
        <f t="shared" si="181"/>
        <v>0</v>
      </c>
      <c r="AC117" s="395">
        <f t="shared" si="182"/>
        <v>0</v>
      </c>
      <c r="AD117" s="396">
        <f t="shared" si="183"/>
        <v>0</v>
      </c>
      <c r="AE117" s="397">
        <f t="shared" si="184"/>
        <v>0</v>
      </c>
      <c r="AF117" s="395">
        <f t="shared" si="185"/>
        <v>0</v>
      </c>
      <c r="AG117" s="396">
        <f t="shared" si="186"/>
        <v>0</v>
      </c>
      <c r="AH117" s="397">
        <f t="shared" si="187"/>
        <v>0</v>
      </c>
      <c r="AI117" s="395">
        <f t="shared" si="188"/>
        <v>34083.300000000003</v>
      </c>
      <c r="AJ117" s="396">
        <f t="shared" si="189"/>
        <v>0</v>
      </c>
      <c r="AK117" s="397">
        <f t="shared" si="190"/>
        <v>34083.300000000003</v>
      </c>
      <c r="AL117" s="398"/>
      <c r="AM117" s="472">
        <f t="shared" si="191"/>
        <v>0</v>
      </c>
      <c r="AN117" s="422">
        <f t="shared" si="192"/>
        <v>0</v>
      </c>
      <c r="AO117" s="473">
        <f t="shared" si="193"/>
        <v>0</v>
      </c>
      <c r="AP117" s="472">
        <f t="shared" si="194"/>
        <v>0</v>
      </c>
      <c r="AQ117" s="422">
        <f t="shared" si="195"/>
        <v>0</v>
      </c>
      <c r="AR117" s="473">
        <f t="shared" si="196"/>
        <v>0</v>
      </c>
      <c r="AS117" s="472">
        <f t="shared" si="197"/>
        <v>34083.300000000003</v>
      </c>
      <c r="AT117" s="422">
        <f t="shared" si="198"/>
        <v>0</v>
      </c>
      <c r="AU117" s="473">
        <f t="shared" si="199"/>
        <v>34083.300000000003</v>
      </c>
      <c r="AV117" s="602">
        <f t="shared" si="177"/>
        <v>0</v>
      </c>
      <c r="AW117" s="472">
        <f t="shared" ref="AW117:BT117" si="201">SUM(AW118:AW119)</f>
        <v>0</v>
      </c>
      <c r="AX117" s="422">
        <f t="shared" si="201"/>
        <v>0</v>
      </c>
      <c r="AY117" s="422">
        <f t="shared" si="201"/>
        <v>0</v>
      </c>
      <c r="AZ117" s="422">
        <f t="shared" si="201"/>
        <v>0</v>
      </c>
      <c r="BA117" s="422">
        <f t="shared" si="201"/>
        <v>0</v>
      </c>
      <c r="BB117" s="423">
        <f t="shared" si="201"/>
        <v>0</v>
      </c>
      <c r="BC117" s="472">
        <f t="shared" si="201"/>
        <v>0</v>
      </c>
      <c r="BD117" s="422">
        <f t="shared" si="201"/>
        <v>0</v>
      </c>
      <c r="BE117" s="422">
        <f t="shared" si="201"/>
        <v>0</v>
      </c>
      <c r="BF117" s="422">
        <f t="shared" si="201"/>
        <v>0</v>
      </c>
      <c r="BG117" s="422">
        <f t="shared" si="201"/>
        <v>0</v>
      </c>
      <c r="BH117" s="423">
        <f t="shared" si="201"/>
        <v>0</v>
      </c>
      <c r="BI117" s="472">
        <f t="shared" si="201"/>
        <v>0</v>
      </c>
      <c r="BJ117" s="422">
        <f t="shared" si="201"/>
        <v>0</v>
      </c>
      <c r="BK117" s="422">
        <f t="shared" si="201"/>
        <v>0</v>
      </c>
      <c r="BL117" s="422">
        <f t="shared" si="201"/>
        <v>0</v>
      </c>
      <c r="BM117" s="422">
        <f t="shared" si="201"/>
        <v>0</v>
      </c>
      <c r="BN117" s="423">
        <f t="shared" si="201"/>
        <v>0</v>
      </c>
      <c r="BO117" s="472">
        <f t="shared" si="201"/>
        <v>0</v>
      </c>
      <c r="BP117" s="422">
        <f t="shared" si="201"/>
        <v>0</v>
      </c>
      <c r="BQ117" s="422">
        <f t="shared" si="201"/>
        <v>0</v>
      </c>
      <c r="BR117" s="422">
        <f t="shared" si="201"/>
        <v>0</v>
      </c>
      <c r="BS117" s="422">
        <f t="shared" si="201"/>
        <v>34083.300000000003</v>
      </c>
      <c r="BT117" s="473">
        <f t="shared" si="201"/>
        <v>0</v>
      </c>
    </row>
    <row r="118" spans="1:72" s="399" customFormat="1" ht="25.5" customHeight="1" outlineLevel="2">
      <c r="A118" s="287">
        <v>108</v>
      </c>
      <c r="B118" s="818"/>
      <c r="C118" s="859"/>
      <c r="D118" s="841" t="s">
        <v>277</v>
      </c>
      <c r="E118" s="860"/>
      <c r="F118" s="829" t="s">
        <v>7</v>
      </c>
      <c r="G118" s="400">
        <v>4</v>
      </c>
      <c r="H118" s="747" t="s">
        <v>70</v>
      </c>
      <c r="I118" s="747">
        <v>244</v>
      </c>
      <c r="J118" s="748">
        <v>346</v>
      </c>
      <c r="K118" s="538" t="s">
        <v>301</v>
      </c>
      <c r="L118" s="412">
        <v>34083.300000000003</v>
      </c>
      <c r="M118" s="403"/>
      <c r="N118" s="403"/>
      <c r="O118" s="403">
        <f t="shared" si="144"/>
        <v>34083.300000000003</v>
      </c>
      <c r="P118" s="566"/>
      <c r="Q118" s="406"/>
      <c r="R118" s="566"/>
      <c r="S118" s="406"/>
      <c r="T118" s="566"/>
      <c r="U118" s="404"/>
      <c r="V118" s="405"/>
      <c r="W118" s="405"/>
      <c r="X118" s="405"/>
      <c r="Z118" s="406">
        <f t="shared" si="179"/>
        <v>0</v>
      </c>
      <c r="AA118" s="407">
        <f t="shared" si="180"/>
        <v>0</v>
      </c>
      <c r="AB118" s="408">
        <f t="shared" si="181"/>
        <v>0</v>
      </c>
      <c r="AC118" s="406">
        <f t="shared" si="182"/>
        <v>0</v>
      </c>
      <c r="AD118" s="407">
        <f t="shared" si="183"/>
        <v>0</v>
      </c>
      <c r="AE118" s="408">
        <f t="shared" si="184"/>
        <v>0</v>
      </c>
      <c r="AF118" s="406">
        <f t="shared" si="185"/>
        <v>0</v>
      </c>
      <c r="AG118" s="407">
        <f t="shared" si="186"/>
        <v>0</v>
      </c>
      <c r="AH118" s="408">
        <f t="shared" si="187"/>
        <v>0</v>
      </c>
      <c r="AI118" s="406">
        <f t="shared" si="188"/>
        <v>34083.300000000003</v>
      </c>
      <c r="AJ118" s="407">
        <f t="shared" si="189"/>
        <v>0</v>
      </c>
      <c r="AK118" s="408">
        <f t="shared" si="190"/>
        <v>34083.300000000003</v>
      </c>
      <c r="AL118" s="409"/>
      <c r="AM118" s="406">
        <f t="shared" si="191"/>
        <v>0</v>
      </c>
      <c r="AN118" s="410">
        <f t="shared" si="192"/>
        <v>0</v>
      </c>
      <c r="AO118" s="411">
        <f t="shared" si="193"/>
        <v>0</v>
      </c>
      <c r="AP118" s="406">
        <f t="shared" si="194"/>
        <v>0</v>
      </c>
      <c r="AQ118" s="410">
        <f t="shared" si="195"/>
        <v>0</v>
      </c>
      <c r="AR118" s="411">
        <f t="shared" si="196"/>
        <v>0</v>
      </c>
      <c r="AS118" s="412">
        <f t="shared" si="197"/>
        <v>34083.300000000003</v>
      </c>
      <c r="AT118" s="410">
        <f t="shared" si="198"/>
        <v>0</v>
      </c>
      <c r="AU118" s="411">
        <f t="shared" si="199"/>
        <v>34083.300000000003</v>
      </c>
      <c r="AV118" s="603">
        <f t="shared" si="177"/>
        <v>0</v>
      </c>
      <c r="AW118" s="413"/>
      <c r="AX118" s="414"/>
      <c r="AY118" s="415"/>
      <c r="AZ118" s="414"/>
      <c r="BA118" s="415"/>
      <c r="BB118" s="416"/>
      <c r="BC118" s="417"/>
      <c r="BD118" s="418"/>
      <c r="BE118" s="419"/>
      <c r="BF118" s="418"/>
      <c r="BG118" s="419"/>
      <c r="BH118" s="420"/>
      <c r="BI118" s="421"/>
      <c r="BJ118" s="422"/>
      <c r="BK118" s="407"/>
      <c r="BL118" s="422"/>
      <c r="BM118" s="407"/>
      <c r="BN118" s="423"/>
      <c r="BO118" s="424"/>
      <c r="BP118" s="425"/>
      <c r="BQ118" s="426"/>
      <c r="BR118" s="425"/>
      <c r="BS118" s="426">
        <v>34083.300000000003</v>
      </c>
      <c r="BT118" s="427"/>
    </row>
    <row r="119" spans="1:72" s="430" customFormat="1" ht="25.5" customHeight="1" outlineLevel="2">
      <c r="A119" s="287">
        <v>109</v>
      </c>
      <c r="B119" s="818"/>
      <c r="C119" s="743"/>
      <c r="D119" s="856" t="s">
        <v>277</v>
      </c>
      <c r="E119" s="857"/>
      <c r="F119" s="827" t="s">
        <v>7</v>
      </c>
      <c r="G119" s="431">
        <v>4</v>
      </c>
      <c r="H119" s="474" t="s">
        <v>70</v>
      </c>
      <c r="I119" s="743">
        <v>244</v>
      </c>
      <c r="J119" s="744">
        <v>346</v>
      </c>
      <c r="K119" s="536" t="s">
        <v>284</v>
      </c>
      <c r="L119" s="443"/>
      <c r="M119" s="434"/>
      <c r="N119" s="434"/>
      <c r="O119" s="434">
        <f t="shared" si="144"/>
        <v>0</v>
      </c>
      <c r="P119" s="567"/>
      <c r="Q119" s="437"/>
      <c r="R119" s="567"/>
      <c r="S119" s="437"/>
      <c r="T119" s="567"/>
      <c r="U119" s="435"/>
      <c r="V119" s="436"/>
      <c r="W119" s="436"/>
      <c r="X119" s="436"/>
      <c r="Z119" s="437">
        <f t="shared" si="179"/>
        <v>0</v>
      </c>
      <c r="AA119" s="438">
        <f t="shared" si="180"/>
        <v>0</v>
      </c>
      <c r="AB119" s="439">
        <f t="shared" si="181"/>
        <v>0</v>
      </c>
      <c r="AC119" s="437">
        <f t="shared" si="182"/>
        <v>0</v>
      </c>
      <c r="AD119" s="438">
        <f t="shared" si="183"/>
        <v>0</v>
      </c>
      <c r="AE119" s="439">
        <f t="shared" si="184"/>
        <v>0</v>
      </c>
      <c r="AF119" s="437">
        <f t="shared" si="185"/>
        <v>0</v>
      </c>
      <c r="AG119" s="438">
        <f t="shared" si="186"/>
        <v>0</v>
      </c>
      <c r="AH119" s="439">
        <f t="shared" si="187"/>
        <v>0</v>
      </c>
      <c r="AI119" s="437">
        <f t="shared" si="188"/>
        <v>0</v>
      </c>
      <c r="AJ119" s="438">
        <f t="shared" si="189"/>
        <v>0</v>
      </c>
      <c r="AK119" s="439">
        <f t="shared" si="190"/>
        <v>0</v>
      </c>
      <c r="AL119" s="440"/>
      <c r="AM119" s="437">
        <f t="shared" si="191"/>
        <v>0</v>
      </c>
      <c r="AN119" s="441">
        <f t="shared" si="192"/>
        <v>0</v>
      </c>
      <c r="AO119" s="442">
        <f t="shared" si="193"/>
        <v>0</v>
      </c>
      <c r="AP119" s="437">
        <f t="shared" si="194"/>
        <v>0</v>
      </c>
      <c r="AQ119" s="441">
        <f t="shared" si="195"/>
        <v>0</v>
      </c>
      <c r="AR119" s="442">
        <f t="shared" si="196"/>
        <v>0</v>
      </c>
      <c r="AS119" s="443">
        <f t="shared" si="197"/>
        <v>0</v>
      </c>
      <c r="AT119" s="441">
        <f t="shared" si="198"/>
        <v>0</v>
      </c>
      <c r="AU119" s="442">
        <f t="shared" si="199"/>
        <v>0</v>
      </c>
      <c r="AV119" s="601">
        <f t="shared" si="177"/>
        <v>0</v>
      </c>
      <c r="AW119" s="444"/>
      <c r="AX119" s="445"/>
      <c r="AY119" s="446"/>
      <c r="AZ119" s="445"/>
      <c r="BA119" s="446"/>
      <c r="BB119" s="447"/>
      <c r="BC119" s="448"/>
      <c r="BD119" s="449"/>
      <c r="BE119" s="450"/>
      <c r="BF119" s="449"/>
      <c r="BG119" s="450"/>
      <c r="BH119" s="451"/>
      <c r="BI119" s="452"/>
      <c r="BJ119" s="453"/>
      <c r="BK119" s="438"/>
      <c r="BL119" s="453"/>
      <c r="BM119" s="438"/>
      <c r="BN119" s="454"/>
      <c r="BO119" s="455"/>
      <c r="BP119" s="456"/>
      <c r="BQ119" s="457"/>
      <c r="BR119" s="456"/>
      <c r="BS119" s="457"/>
      <c r="BT119" s="458"/>
    </row>
    <row r="120" spans="1:72" s="358" customFormat="1" ht="31.5" customHeight="1">
      <c r="A120" s="287">
        <v>110</v>
      </c>
      <c r="B120" s="818">
        <v>7285</v>
      </c>
      <c r="C120" s="850" t="s">
        <v>377</v>
      </c>
      <c r="D120" s="838"/>
      <c r="E120" s="836" t="s">
        <v>201</v>
      </c>
      <c r="F120" s="820" t="s">
        <v>7</v>
      </c>
      <c r="G120" s="360">
        <v>4</v>
      </c>
      <c r="H120" s="360" t="s">
        <v>71</v>
      </c>
      <c r="I120" s="360">
        <v>244</v>
      </c>
      <c r="J120" s="361">
        <v>346</v>
      </c>
      <c r="K120" s="532" t="s">
        <v>16</v>
      </c>
      <c r="L120" s="367">
        <f>L121</f>
        <v>65398.55</v>
      </c>
      <c r="M120" s="363"/>
      <c r="N120" s="810">
        <v>-7285</v>
      </c>
      <c r="O120" s="363">
        <f t="shared" si="144"/>
        <v>58113.55</v>
      </c>
      <c r="P120" s="557"/>
      <c r="Q120" s="367">
        <f>Q121</f>
        <v>0</v>
      </c>
      <c r="R120" s="557">
        <f t="shared" ref="R120:S120" si="202">R121</f>
        <v>0</v>
      </c>
      <c r="S120" s="367">
        <f t="shared" si="202"/>
        <v>0</v>
      </c>
      <c r="T120" s="557"/>
      <c r="U120" s="365"/>
      <c r="V120" s="366"/>
      <c r="W120" s="366"/>
      <c r="X120" s="366"/>
      <c r="Z120" s="367">
        <f t="shared" si="179"/>
        <v>25000</v>
      </c>
      <c r="AA120" s="363">
        <f t="shared" si="180"/>
        <v>31640</v>
      </c>
      <c r="AB120" s="280">
        <f t="shared" si="181"/>
        <v>-6640</v>
      </c>
      <c r="AC120" s="367">
        <f t="shared" si="182"/>
        <v>0</v>
      </c>
      <c r="AD120" s="363">
        <f t="shared" si="183"/>
        <v>0</v>
      </c>
      <c r="AE120" s="280">
        <f t="shared" si="184"/>
        <v>0</v>
      </c>
      <c r="AF120" s="367">
        <f t="shared" si="185"/>
        <v>0</v>
      </c>
      <c r="AG120" s="363">
        <f t="shared" si="186"/>
        <v>0</v>
      </c>
      <c r="AH120" s="280">
        <f t="shared" si="187"/>
        <v>0</v>
      </c>
      <c r="AI120" s="367">
        <f t="shared" si="188"/>
        <v>40398.550000000003</v>
      </c>
      <c r="AJ120" s="363">
        <f t="shared" si="189"/>
        <v>0</v>
      </c>
      <c r="AK120" s="280">
        <f t="shared" si="190"/>
        <v>40398.550000000003</v>
      </c>
      <c r="AL120" s="368"/>
      <c r="AM120" s="367">
        <f t="shared" si="191"/>
        <v>25000</v>
      </c>
      <c r="AN120" s="363">
        <f t="shared" si="192"/>
        <v>31640</v>
      </c>
      <c r="AO120" s="280">
        <f t="shared" si="193"/>
        <v>-6640</v>
      </c>
      <c r="AP120" s="367">
        <f t="shared" si="194"/>
        <v>25000</v>
      </c>
      <c r="AQ120" s="363">
        <f t="shared" si="195"/>
        <v>31640</v>
      </c>
      <c r="AR120" s="280">
        <f t="shared" si="196"/>
        <v>-6640</v>
      </c>
      <c r="AS120" s="367">
        <f t="shared" si="197"/>
        <v>65398.55</v>
      </c>
      <c r="AT120" s="363">
        <f t="shared" si="198"/>
        <v>31640</v>
      </c>
      <c r="AU120" s="280">
        <f t="shared" si="199"/>
        <v>33758.550000000003</v>
      </c>
      <c r="AV120" s="588">
        <f t="shared" si="177"/>
        <v>0</v>
      </c>
      <c r="AW120" s="367">
        <f t="shared" ref="AW120:BT120" si="203">SUM(AW121:AW121)</f>
        <v>0</v>
      </c>
      <c r="AX120" s="363">
        <f t="shared" si="203"/>
        <v>0</v>
      </c>
      <c r="AY120" s="363">
        <f t="shared" si="203"/>
        <v>25000</v>
      </c>
      <c r="AZ120" s="363">
        <f t="shared" si="203"/>
        <v>31640</v>
      </c>
      <c r="BA120" s="363">
        <f t="shared" si="203"/>
        <v>0</v>
      </c>
      <c r="BB120" s="369">
        <f t="shared" si="203"/>
        <v>0</v>
      </c>
      <c r="BC120" s="367">
        <f t="shared" si="203"/>
        <v>0</v>
      </c>
      <c r="BD120" s="363">
        <f t="shared" si="203"/>
        <v>0</v>
      </c>
      <c r="BE120" s="363">
        <f t="shared" si="203"/>
        <v>0</v>
      </c>
      <c r="BF120" s="363">
        <f t="shared" si="203"/>
        <v>0</v>
      </c>
      <c r="BG120" s="363">
        <f t="shared" si="203"/>
        <v>0</v>
      </c>
      <c r="BH120" s="369">
        <f t="shared" si="203"/>
        <v>0</v>
      </c>
      <c r="BI120" s="367">
        <f t="shared" si="203"/>
        <v>0</v>
      </c>
      <c r="BJ120" s="363">
        <f t="shared" si="203"/>
        <v>0</v>
      </c>
      <c r="BK120" s="363">
        <f t="shared" si="203"/>
        <v>0</v>
      </c>
      <c r="BL120" s="363">
        <f t="shared" si="203"/>
        <v>0</v>
      </c>
      <c r="BM120" s="363">
        <f t="shared" si="203"/>
        <v>0</v>
      </c>
      <c r="BN120" s="369">
        <f t="shared" si="203"/>
        <v>0</v>
      </c>
      <c r="BO120" s="367">
        <f t="shared" si="203"/>
        <v>40398.550000000003</v>
      </c>
      <c r="BP120" s="363">
        <f t="shared" si="203"/>
        <v>0</v>
      </c>
      <c r="BQ120" s="363">
        <f t="shared" si="203"/>
        <v>0</v>
      </c>
      <c r="BR120" s="363">
        <f t="shared" si="203"/>
        <v>0</v>
      </c>
      <c r="BS120" s="363">
        <f t="shared" si="203"/>
        <v>0</v>
      </c>
      <c r="BT120" s="280">
        <f t="shared" si="203"/>
        <v>0</v>
      </c>
    </row>
    <row r="121" spans="1:72" s="313" customFormat="1" ht="25.5" outlineLevel="1">
      <c r="A121" s="287">
        <v>111</v>
      </c>
      <c r="B121" s="818"/>
      <c r="C121" s="840"/>
      <c r="D121" s="841"/>
      <c r="E121" s="839"/>
      <c r="F121" s="821" t="s">
        <v>7</v>
      </c>
      <c r="G121" s="314">
        <v>4</v>
      </c>
      <c r="H121" s="739" t="s">
        <v>71</v>
      </c>
      <c r="I121" s="739">
        <v>244</v>
      </c>
      <c r="J121" s="740">
        <v>346</v>
      </c>
      <c r="K121" s="533" t="s">
        <v>312</v>
      </c>
      <c r="L121" s="341">
        <v>65398.55</v>
      </c>
      <c r="M121" s="318"/>
      <c r="N121" s="318"/>
      <c r="O121" s="318">
        <f t="shared" si="144"/>
        <v>65398.55</v>
      </c>
      <c r="P121" s="559"/>
      <c r="Q121" s="341">
        <v>0</v>
      </c>
      <c r="R121" s="559"/>
      <c r="S121" s="341">
        <v>0</v>
      </c>
      <c r="T121" s="559"/>
      <c r="U121" s="335"/>
      <c r="V121" s="597" t="s">
        <v>456</v>
      </c>
      <c r="W121" s="597" t="s">
        <v>457</v>
      </c>
      <c r="X121" s="597" t="s">
        <v>458</v>
      </c>
      <c r="Z121" s="336">
        <f t="shared" si="179"/>
        <v>25000</v>
      </c>
      <c r="AA121" s="337">
        <f t="shared" si="180"/>
        <v>31640</v>
      </c>
      <c r="AB121" s="338">
        <f t="shared" si="181"/>
        <v>-6640</v>
      </c>
      <c r="AC121" s="336">
        <f t="shared" si="182"/>
        <v>0</v>
      </c>
      <c r="AD121" s="337">
        <f t="shared" si="183"/>
        <v>0</v>
      </c>
      <c r="AE121" s="338">
        <f t="shared" si="184"/>
        <v>0</v>
      </c>
      <c r="AF121" s="336">
        <f t="shared" si="185"/>
        <v>0</v>
      </c>
      <c r="AG121" s="337">
        <f t="shared" si="186"/>
        <v>0</v>
      </c>
      <c r="AH121" s="338">
        <f t="shared" si="187"/>
        <v>0</v>
      </c>
      <c r="AI121" s="336">
        <f t="shared" si="188"/>
        <v>40398.550000000003</v>
      </c>
      <c r="AJ121" s="337">
        <f t="shared" si="189"/>
        <v>0</v>
      </c>
      <c r="AK121" s="338">
        <f t="shared" si="190"/>
        <v>40398.550000000003</v>
      </c>
      <c r="AL121" s="342"/>
      <c r="AM121" s="336">
        <f t="shared" si="191"/>
        <v>25000</v>
      </c>
      <c r="AN121" s="339">
        <f t="shared" si="192"/>
        <v>31640</v>
      </c>
      <c r="AO121" s="340">
        <f t="shared" si="193"/>
        <v>-6640</v>
      </c>
      <c r="AP121" s="336">
        <f t="shared" si="194"/>
        <v>25000</v>
      </c>
      <c r="AQ121" s="339">
        <f t="shared" si="195"/>
        <v>31640</v>
      </c>
      <c r="AR121" s="340">
        <f t="shared" si="196"/>
        <v>-6640</v>
      </c>
      <c r="AS121" s="341">
        <f t="shared" si="197"/>
        <v>65398.55</v>
      </c>
      <c r="AT121" s="339">
        <f t="shared" si="198"/>
        <v>31640</v>
      </c>
      <c r="AU121" s="340">
        <f t="shared" si="199"/>
        <v>33758.550000000003</v>
      </c>
      <c r="AV121" s="589">
        <f t="shared" si="177"/>
        <v>0</v>
      </c>
      <c r="AW121" s="343"/>
      <c r="AX121" s="344"/>
      <c r="AY121" s="345">
        <v>25000</v>
      </c>
      <c r="AZ121" s="629">
        <v>31640</v>
      </c>
      <c r="BA121" s="345"/>
      <c r="BB121" s="346"/>
      <c r="BC121" s="347"/>
      <c r="BD121" s="348"/>
      <c r="BE121" s="349"/>
      <c r="BF121" s="348"/>
      <c r="BG121" s="349"/>
      <c r="BH121" s="350"/>
      <c r="BI121" s="351"/>
      <c r="BJ121" s="352"/>
      <c r="BK121" s="337"/>
      <c r="BL121" s="352"/>
      <c r="BM121" s="337"/>
      <c r="BN121" s="353"/>
      <c r="BO121" s="354">
        <v>40398.550000000003</v>
      </c>
      <c r="BP121" s="355"/>
      <c r="BQ121" s="356"/>
      <c r="BR121" s="355"/>
      <c r="BS121" s="356"/>
      <c r="BT121" s="357"/>
    </row>
    <row r="122" spans="1:72" s="358" customFormat="1" ht="31.5">
      <c r="A122" s="287">
        <v>112</v>
      </c>
      <c r="B122" s="818"/>
      <c r="C122" s="837"/>
      <c r="D122" s="838"/>
      <c r="E122" s="836" t="s">
        <v>201</v>
      </c>
      <c r="F122" s="820" t="s">
        <v>7</v>
      </c>
      <c r="G122" s="360">
        <v>4</v>
      </c>
      <c r="H122" s="360" t="s">
        <v>71</v>
      </c>
      <c r="I122" s="360">
        <v>244</v>
      </c>
      <c r="J122" s="489">
        <v>345</v>
      </c>
      <c r="K122" s="532" t="s">
        <v>311</v>
      </c>
      <c r="L122" s="367">
        <v>12502</v>
      </c>
      <c r="M122" s="363"/>
      <c r="N122" s="363"/>
      <c r="O122" s="363">
        <f t="shared" si="144"/>
        <v>12502</v>
      </c>
      <c r="P122" s="557"/>
      <c r="Q122" s="367">
        <v>0</v>
      </c>
      <c r="R122" s="557"/>
      <c r="S122" s="367">
        <v>0</v>
      </c>
      <c r="T122" s="557"/>
      <c r="U122" s="365"/>
      <c r="V122" s="320"/>
      <c r="W122" s="320"/>
      <c r="X122" s="320"/>
      <c r="Z122" s="367">
        <f t="shared" si="179"/>
        <v>0</v>
      </c>
      <c r="AA122" s="363">
        <f t="shared" si="180"/>
        <v>0</v>
      </c>
      <c r="AB122" s="280">
        <f t="shared" si="181"/>
        <v>0</v>
      </c>
      <c r="AC122" s="367">
        <f t="shared" si="182"/>
        <v>0</v>
      </c>
      <c r="AD122" s="363">
        <f t="shared" si="183"/>
        <v>0</v>
      </c>
      <c r="AE122" s="280">
        <f t="shared" si="184"/>
        <v>0</v>
      </c>
      <c r="AF122" s="367">
        <f t="shared" si="185"/>
        <v>0</v>
      </c>
      <c r="AG122" s="363">
        <f t="shared" si="186"/>
        <v>0</v>
      </c>
      <c r="AH122" s="280">
        <f t="shared" si="187"/>
        <v>0</v>
      </c>
      <c r="AI122" s="367">
        <f t="shared" si="188"/>
        <v>12502</v>
      </c>
      <c r="AJ122" s="363">
        <f t="shared" si="189"/>
        <v>0</v>
      </c>
      <c r="AK122" s="280">
        <f t="shared" si="190"/>
        <v>12502</v>
      </c>
      <c r="AL122" s="368"/>
      <c r="AM122" s="367">
        <f t="shared" si="191"/>
        <v>0</v>
      </c>
      <c r="AN122" s="363">
        <f t="shared" si="192"/>
        <v>0</v>
      </c>
      <c r="AO122" s="280">
        <f t="shared" si="193"/>
        <v>0</v>
      </c>
      <c r="AP122" s="367">
        <f t="shared" si="194"/>
        <v>0</v>
      </c>
      <c r="AQ122" s="363">
        <f t="shared" si="195"/>
        <v>0</v>
      </c>
      <c r="AR122" s="280">
        <f t="shared" si="196"/>
        <v>0</v>
      </c>
      <c r="AS122" s="367">
        <f t="shared" si="197"/>
        <v>12502</v>
      </c>
      <c r="AT122" s="363">
        <f t="shared" si="198"/>
        <v>0</v>
      </c>
      <c r="AU122" s="280">
        <f t="shared" si="199"/>
        <v>12502</v>
      </c>
      <c r="AV122" s="588">
        <f t="shared" si="177"/>
        <v>0</v>
      </c>
      <c r="AW122" s="367"/>
      <c r="AX122" s="363"/>
      <c r="AY122" s="363"/>
      <c r="AZ122" s="363"/>
      <c r="BA122" s="363"/>
      <c r="BB122" s="369"/>
      <c r="BC122" s="367"/>
      <c r="BD122" s="363"/>
      <c r="BE122" s="363"/>
      <c r="BF122" s="363"/>
      <c r="BG122" s="363"/>
      <c r="BH122" s="369"/>
      <c r="BI122" s="367"/>
      <c r="BJ122" s="363"/>
      <c r="BK122" s="363"/>
      <c r="BL122" s="363"/>
      <c r="BM122" s="363"/>
      <c r="BN122" s="369"/>
      <c r="BO122" s="367"/>
      <c r="BP122" s="363"/>
      <c r="BQ122" s="363">
        <v>12502</v>
      </c>
      <c r="BR122" s="363"/>
      <c r="BS122" s="363"/>
      <c r="BT122" s="280"/>
    </row>
    <row r="123" spans="1:72" s="358" customFormat="1" ht="31.5">
      <c r="A123" s="287">
        <v>113</v>
      </c>
      <c r="B123" s="818"/>
      <c r="C123" s="837"/>
      <c r="D123" s="853" t="s">
        <v>216</v>
      </c>
      <c r="E123" s="836" t="s">
        <v>201</v>
      </c>
      <c r="F123" s="820" t="s">
        <v>7</v>
      </c>
      <c r="G123" s="360">
        <v>4</v>
      </c>
      <c r="H123" s="360" t="s">
        <v>71</v>
      </c>
      <c r="I123" s="360">
        <v>851</v>
      </c>
      <c r="J123" s="361">
        <v>291</v>
      </c>
      <c r="K123" s="532" t="s">
        <v>28</v>
      </c>
      <c r="L123" s="367">
        <f>119325-19888</f>
        <v>99437</v>
      </c>
      <c r="M123" s="363"/>
      <c r="N123" s="363"/>
      <c r="O123" s="363">
        <f t="shared" si="144"/>
        <v>99437</v>
      </c>
      <c r="P123" s="557"/>
      <c r="Q123" s="367">
        <v>0</v>
      </c>
      <c r="R123" s="557"/>
      <c r="S123" s="367">
        <v>0</v>
      </c>
      <c r="T123" s="557"/>
      <c r="U123" s="365"/>
      <c r="V123" s="366"/>
      <c r="W123" s="366"/>
      <c r="X123" s="366"/>
      <c r="Z123" s="367">
        <f t="shared" si="179"/>
        <v>99437</v>
      </c>
      <c r="AA123" s="363">
        <f t="shared" si="180"/>
        <v>0</v>
      </c>
      <c r="AB123" s="280">
        <f t="shared" si="181"/>
        <v>99437</v>
      </c>
      <c r="AC123" s="367">
        <f t="shared" si="182"/>
        <v>0</v>
      </c>
      <c r="AD123" s="363">
        <f t="shared" si="183"/>
        <v>0</v>
      </c>
      <c r="AE123" s="280">
        <f t="shared" si="184"/>
        <v>0</v>
      </c>
      <c r="AF123" s="367">
        <f t="shared" si="185"/>
        <v>0</v>
      </c>
      <c r="AG123" s="363">
        <f t="shared" si="186"/>
        <v>0</v>
      </c>
      <c r="AH123" s="280">
        <f t="shared" si="187"/>
        <v>0</v>
      </c>
      <c r="AI123" s="367">
        <f t="shared" si="188"/>
        <v>0</v>
      </c>
      <c r="AJ123" s="363">
        <f t="shared" si="189"/>
        <v>0</v>
      </c>
      <c r="AK123" s="280">
        <f t="shared" si="190"/>
        <v>0</v>
      </c>
      <c r="AL123" s="368"/>
      <c r="AM123" s="367">
        <f t="shared" si="191"/>
        <v>99437</v>
      </c>
      <c r="AN123" s="363">
        <f t="shared" si="192"/>
        <v>0</v>
      </c>
      <c r="AO123" s="280">
        <f t="shared" si="193"/>
        <v>99437</v>
      </c>
      <c r="AP123" s="367">
        <f t="shared" si="194"/>
        <v>99437</v>
      </c>
      <c r="AQ123" s="363">
        <f t="shared" si="195"/>
        <v>0</v>
      </c>
      <c r="AR123" s="280">
        <f t="shared" si="196"/>
        <v>99437</v>
      </c>
      <c r="AS123" s="367">
        <f t="shared" si="197"/>
        <v>99437</v>
      </c>
      <c r="AT123" s="363">
        <f t="shared" si="198"/>
        <v>0</v>
      </c>
      <c r="AU123" s="280">
        <f t="shared" si="199"/>
        <v>99437</v>
      </c>
      <c r="AV123" s="588">
        <f t="shared" si="177"/>
        <v>0</v>
      </c>
      <c r="AW123" s="367">
        <v>99437</v>
      </c>
      <c r="AX123" s="363"/>
      <c r="AY123" s="363"/>
      <c r="AZ123" s="363"/>
      <c r="BA123" s="363"/>
      <c r="BB123" s="369"/>
      <c r="BC123" s="367"/>
      <c r="BD123" s="363"/>
      <c r="BE123" s="363"/>
      <c r="BF123" s="363"/>
      <c r="BG123" s="363"/>
      <c r="BH123" s="369"/>
      <c r="BI123" s="367"/>
      <c r="BJ123" s="363"/>
      <c r="BK123" s="363"/>
      <c r="BL123" s="363"/>
      <c r="BM123" s="363"/>
      <c r="BN123" s="369"/>
      <c r="BO123" s="367"/>
      <c r="BP123" s="363"/>
      <c r="BQ123" s="363"/>
      <c r="BR123" s="363"/>
      <c r="BS123" s="363"/>
      <c r="BT123" s="280"/>
    </row>
    <row r="124" spans="1:72" s="358" customFormat="1" ht="31.5">
      <c r="A124" s="287">
        <v>114</v>
      </c>
      <c r="B124" s="818"/>
      <c r="C124" s="837"/>
      <c r="D124" s="838"/>
      <c r="E124" s="836" t="s">
        <v>201</v>
      </c>
      <c r="F124" s="820" t="s">
        <v>7</v>
      </c>
      <c r="G124" s="360">
        <v>4</v>
      </c>
      <c r="H124" s="360" t="s">
        <v>71</v>
      </c>
      <c r="I124" s="360">
        <v>853</v>
      </c>
      <c r="J124" s="361">
        <v>297</v>
      </c>
      <c r="K124" s="532" t="s">
        <v>38</v>
      </c>
      <c r="L124" s="544">
        <v>47779.58</v>
      </c>
      <c r="M124" s="363"/>
      <c r="N124" s="363"/>
      <c r="O124" s="363">
        <f t="shared" si="144"/>
        <v>47779.58</v>
      </c>
      <c r="P124" s="557">
        <f>62938.83-L124-L184</f>
        <v>7733.24</v>
      </c>
      <c r="Q124" s="544">
        <v>26356.95</v>
      </c>
      <c r="R124" s="544"/>
      <c r="S124" s="544">
        <v>26256.63</v>
      </c>
      <c r="T124" s="557"/>
      <c r="U124" s="365"/>
      <c r="V124" s="366"/>
      <c r="W124" s="366"/>
      <c r="X124" s="366"/>
      <c r="Z124" s="367">
        <f t="shared" si="179"/>
        <v>0</v>
      </c>
      <c r="AA124" s="363">
        <f t="shared" si="180"/>
        <v>0</v>
      </c>
      <c r="AB124" s="280">
        <f t="shared" si="181"/>
        <v>0</v>
      </c>
      <c r="AC124" s="367">
        <f t="shared" si="182"/>
        <v>0</v>
      </c>
      <c r="AD124" s="363">
        <f t="shared" si="183"/>
        <v>0</v>
      </c>
      <c r="AE124" s="280">
        <f t="shared" si="184"/>
        <v>0</v>
      </c>
      <c r="AF124" s="367">
        <f t="shared" si="185"/>
        <v>0</v>
      </c>
      <c r="AG124" s="363">
        <f t="shared" si="186"/>
        <v>0</v>
      </c>
      <c r="AH124" s="280">
        <f t="shared" si="187"/>
        <v>0</v>
      </c>
      <c r="AI124" s="367">
        <f t="shared" si="188"/>
        <v>47779.58</v>
      </c>
      <c r="AJ124" s="363">
        <f t="shared" si="189"/>
        <v>0</v>
      </c>
      <c r="AK124" s="280">
        <f t="shared" si="190"/>
        <v>47779.58</v>
      </c>
      <c r="AL124" s="368"/>
      <c r="AM124" s="367">
        <f t="shared" si="191"/>
        <v>0</v>
      </c>
      <c r="AN124" s="363">
        <f t="shared" si="192"/>
        <v>0</v>
      </c>
      <c r="AO124" s="280">
        <f t="shared" si="193"/>
        <v>0</v>
      </c>
      <c r="AP124" s="367">
        <f t="shared" si="194"/>
        <v>0</v>
      </c>
      <c r="AQ124" s="363">
        <f t="shared" si="195"/>
        <v>0</v>
      </c>
      <c r="AR124" s="280">
        <f t="shared" si="196"/>
        <v>0</v>
      </c>
      <c r="AS124" s="367">
        <f t="shared" si="197"/>
        <v>47779.58</v>
      </c>
      <c r="AT124" s="363">
        <f t="shared" si="198"/>
        <v>0</v>
      </c>
      <c r="AU124" s="280">
        <f t="shared" si="199"/>
        <v>47779.58</v>
      </c>
      <c r="AV124" s="588">
        <f t="shared" si="177"/>
        <v>0</v>
      </c>
      <c r="AW124" s="367"/>
      <c r="AX124" s="363"/>
      <c r="AY124" s="363"/>
      <c r="AZ124" s="363"/>
      <c r="BA124" s="363"/>
      <c r="BB124" s="369"/>
      <c r="BC124" s="367"/>
      <c r="BD124" s="363"/>
      <c r="BE124" s="363"/>
      <c r="BF124" s="363"/>
      <c r="BG124" s="363"/>
      <c r="BH124" s="369"/>
      <c r="BI124" s="367"/>
      <c r="BJ124" s="363"/>
      <c r="BK124" s="363"/>
      <c r="BL124" s="363"/>
      <c r="BM124" s="363"/>
      <c r="BN124" s="369"/>
      <c r="BO124" s="367"/>
      <c r="BP124" s="363"/>
      <c r="BQ124" s="363"/>
      <c r="BR124" s="363"/>
      <c r="BS124" s="363">
        <v>47779.58</v>
      </c>
      <c r="BT124" s="280"/>
    </row>
    <row r="125" spans="1:72" s="358" customFormat="1" ht="47.25">
      <c r="A125" s="287">
        <v>115</v>
      </c>
      <c r="B125" s="818"/>
      <c r="C125" s="837" t="s">
        <v>377</v>
      </c>
      <c r="D125" s="838"/>
      <c r="E125" s="836" t="s">
        <v>201</v>
      </c>
      <c r="F125" s="830" t="s">
        <v>30</v>
      </c>
      <c r="G125" s="360">
        <v>4</v>
      </c>
      <c r="H125" s="506" t="s">
        <v>47</v>
      </c>
      <c r="I125" s="360">
        <v>244</v>
      </c>
      <c r="J125" s="361">
        <v>310</v>
      </c>
      <c r="K125" s="362" t="s">
        <v>302</v>
      </c>
      <c r="L125" s="367">
        <f>L126</f>
        <v>306800</v>
      </c>
      <c r="M125" s="363"/>
      <c r="N125" s="363"/>
      <c r="O125" s="363">
        <f t="shared" si="144"/>
        <v>306800</v>
      </c>
      <c r="P125" s="557"/>
      <c r="Q125" s="367">
        <v>0</v>
      </c>
      <c r="R125" s="557"/>
      <c r="S125" s="367">
        <v>0</v>
      </c>
      <c r="T125" s="557"/>
      <c r="U125" s="365"/>
      <c r="V125" s="366"/>
      <c r="W125" s="366"/>
      <c r="X125" s="366"/>
      <c r="Z125" s="367">
        <f t="shared" si="179"/>
        <v>0</v>
      </c>
      <c r="AA125" s="363">
        <f t="shared" si="179"/>
        <v>0</v>
      </c>
      <c r="AB125" s="280">
        <f t="shared" si="181"/>
        <v>0</v>
      </c>
      <c r="AC125" s="367">
        <f t="shared" si="182"/>
        <v>306800</v>
      </c>
      <c r="AD125" s="363">
        <f t="shared" si="182"/>
        <v>0</v>
      </c>
      <c r="AE125" s="280">
        <f t="shared" si="184"/>
        <v>306800</v>
      </c>
      <c r="AF125" s="367">
        <f t="shared" si="185"/>
        <v>0</v>
      </c>
      <c r="AG125" s="363">
        <f t="shared" si="185"/>
        <v>0</v>
      </c>
      <c r="AH125" s="280">
        <f t="shared" si="187"/>
        <v>0</v>
      </c>
      <c r="AI125" s="367">
        <f t="shared" si="188"/>
        <v>0</v>
      </c>
      <c r="AJ125" s="363">
        <f t="shared" si="188"/>
        <v>0</v>
      </c>
      <c r="AK125" s="280">
        <f t="shared" si="190"/>
        <v>0</v>
      </c>
      <c r="AL125" s="368"/>
      <c r="AM125" s="367">
        <f t="shared" si="191"/>
        <v>306800</v>
      </c>
      <c r="AN125" s="363">
        <f t="shared" si="191"/>
        <v>0</v>
      </c>
      <c r="AO125" s="280">
        <f t="shared" si="193"/>
        <v>306800</v>
      </c>
      <c r="AP125" s="367">
        <f t="shared" si="194"/>
        <v>306800</v>
      </c>
      <c r="AQ125" s="363">
        <f t="shared" si="194"/>
        <v>0</v>
      </c>
      <c r="AR125" s="280">
        <f t="shared" si="196"/>
        <v>306800</v>
      </c>
      <c r="AS125" s="367">
        <f t="shared" si="197"/>
        <v>306800</v>
      </c>
      <c r="AT125" s="363">
        <f t="shared" si="197"/>
        <v>0</v>
      </c>
      <c r="AU125" s="280">
        <f t="shared" si="199"/>
        <v>306800</v>
      </c>
      <c r="AV125" s="588">
        <f t="shared" si="177"/>
        <v>0</v>
      </c>
      <c r="AW125" s="367">
        <f t="shared" ref="AW125:BT125" si="204">SUM(AW126:AW126)</f>
        <v>0</v>
      </c>
      <c r="AX125" s="363">
        <f t="shared" si="204"/>
        <v>0</v>
      </c>
      <c r="AY125" s="363">
        <f t="shared" si="204"/>
        <v>0</v>
      </c>
      <c r="AZ125" s="363">
        <f t="shared" si="204"/>
        <v>0</v>
      </c>
      <c r="BA125" s="363">
        <f t="shared" si="204"/>
        <v>0</v>
      </c>
      <c r="BB125" s="369">
        <f t="shared" si="204"/>
        <v>0</v>
      </c>
      <c r="BC125" s="367">
        <f t="shared" si="204"/>
        <v>0</v>
      </c>
      <c r="BD125" s="363">
        <f t="shared" si="204"/>
        <v>0</v>
      </c>
      <c r="BE125" s="363">
        <f t="shared" si="204"/>
        <v>0</v>
      </c>
      <c r="BF125" s="363">
        <f t="shared" si="204"/>
        <v>0</v>
      </c>
      <c r="BG125" s="363">
        <f t="shared" si="204"/>
        <v>306800</v>
      </c>
      <c r="BH125" s="369">
        <f t="shared" si="204"/>
        <v>0</v>
      </c>
      <c r="BI125" s="367">
        <f t="shared" si="204"/>
        <v>0</v>
      </c>
      <c r="BJ125" s="363">
        <f t="shared" si="204"/>
        <v>0</v>
      </c>
      <c r="BK125" s="363">
        <f t="shared" si="204"/>
        <v>0</v>
      </c>
      <c r="BL125" s="363">
        <f t="shared" si="204"/>
        <v>0</v>
      </c>
      <c r="BM125" s="363">
        <f t="shared" si="204"/>
        <v>0</v>
      </c>
      <c r="BN125" s="369">
        <f t="shared" si="204"/>
        <v>0</v>
      </c>
      <c r="BO125" s="367">
        <f t="shared" si="204"/>
        <v>0</v>
      </c>
      <c r="BP125" s="363">
        <f t="shared" si="204"/>
        <v>0</v>
      </c>
      <c r="BQ125" s="363">
        <f t="shared" si="204"/>
        <v>0</v>
      </c>
      <c r="BR125" s="363">
        <f t="shared" si="204"/>
        <v>0</v>
      </c>
      <c r="BS125" s="363">
        <f t="shared" si="204"/>
        <v>0</v>
      </c>
      <c r="BT125" s="280">
        <f t="shared" si="204"/>
        <v>0</v>
      </c>
    </row>
    <row r="126" spans="1:72" s="313" customFormat="1" ht="25.5" outlineLevel="1">
      <c r="A126" s="287">
        <v>116</v>
      </c>
      <c r="B126" s="819">
        <v>340900</v>
      </c>
      <c r="C126" s="840"/>
      <c r="D126" s="841"/>
      <c r="E126" s="839"/>
      <c r="F126" s="821" t="s">
        <v>30</v>
      </c>
      <c r="G126" s="314">
        <v>4</v>
      </c>
      <c r="H126" s="739" t="s">
        <v>47</v>
      </c>
      <c r="I126" s="739">
        <v>244</v>
      </c>
      <c r="J126" s="740">
        <v>310</v>
      </c>
      <c r="K126" s="317" t="s">
        <v>303</v>
      </c>
      <c r="L126" s="412">
        <v>306800</v>
      </c>
      <c r="M126" s="403"/>
      <c r="N126" s="403"/>
      <c r="O126" s="403">
        <f t="shared" si="144"/>
        <v>306800</v>
      </c>
      <c r="P126" s="566"/>
      <c r="Q126" s="406">
        <v>0</v>
      </c>
      <c r="R126" s="566"/>
      <c r="S126" s="406">
        <v>0</v>
      </c>
      <c r="T126" s="566"/>
      <c r="U126" s="335"/>
      <c r="V126" s="320"/>
      <c r="W126" s="320"/>
      <c r="X126" s="320"/>
      <c r="Z126" s="336">
        <f t="shared" si="179"/>
        <v>0</v>
      </c>
      <c r="AA126" s="337">
        <f t="shared" si="179"/>
        <v>0</v>
      </c>
      <c r="AB126" s="338">
        <f t="shared" si="181"/>
        <v>0</v>
      </c>
      <c r="AC126" s="336">
        <f t="shared" si="182"/>
        <v>306800</v>
      </c>
      <c r="AD126" s="337">
        <f t="shared" si="182"/>
        <v>0</v>
      </c>
      <c r="AE126" s="338">
        <f t="shared" si="184"/>
        <v>306800</v>
      </c>
      <c r="AF126" s="336">
        <f t="shared" si="185"/>
        <v>0</v>
      </c>
      <c r="AG126" s="337">
        <f t="shared" si="185"/>
        <v>0</v>
      </c>
      <c r="AH126" s="338">
        <f t="shared" si="187"/>
        <v>0</v>
      </c>
      <c r="AI126" s="336">
        <f t="shared" si="188"/>
        <v>0</v>
      </c>
      <c r="AJ126" s="337">
        <f t="shared" si="188"/>
        <v>0</v>
      </c>
      <c r="AK126" s="338">
        <f t="shared" si="190"/>
        <v>0</v>
      </c>
      <c r="AL126" s="342"/>
      <c r="AM126" s="336">
        <f t="shared" si="191"/>
        <v>306800</v>
      </c>
      <c r="AN126" s="339">
        <f t="shared" si="191"/>
        <v>0</v>
      </c>
      <c r="AO126" s="340">
        <f t="shared" si="193"/>
        <v>306800</v>
      </c>
      <c r="AP126" s="336">
        <f t="shared" si="194"/>
        <v>306800</v>
      </c>
      <c r="AQ126" s="339">
        <f t="shared" si="194"/>
        <v>0</v>
      </c>
      <c r="AR126" s="340">
        <f t="shared" si="196"/>
        <v>306800</v>
      </c>
      <c r="AS126" s="341">
        <f t="shared" si="197"/>
        <v>306800</v>
      </c>
      <c r="AT126" s="339">
        <f t="shared" si="197"/>
        <v>0</v>
      </c>
      <c r="AU126" s="340">
        <f t="shared" si="199"/>
        <v>306800</v>
      </c>
      <c r="AV126" s="589">
        <f t="shared" si="177"/>
        <v>0</v>
      </c>
      <c r="AW126" s="343"/>
      <c r="AX126" s="344"/>
      <c r="AY126" s="345"/>
      <c r="AZ126" s="344"/>
      <c r="BA126" s="345"/>
      <c r="BB126" s="346"/>
      <c r="BC126" s="347"/>
      <c r="BD126" s="348"/>
      <c r="BE126" s="349"/>
      <c r="BF126" s="348"/>
      <c r="BG126" s="349">
        <v>306800</v>
      </c>
      <c r="BH126" s="350"/>
      <c r="BI126" s="351"/>
      <c r="BJ126" s="352"/>
      <c r="BK126" s="337"/>
      <c r="BL126" s="352"/>
      <c r="BM126" s="337"/>
      <c r="BN126" s="353"/>
      <c r="BO126" s="354"/>
      <c r="BP126" s="355"/>
      <c r="BQ126" s="356"/>
      <c r="BR126" s="355"/>
      <c r="BS126" s="356"/>
      <c r="BT126" s="357"/>
    </row>
    <row r="127" spans="1:72" s="358" customFormat="1" ht="47.25">
      <c r="A127" s="287">
        <v>117</v>
      </c>
      <c r="B127" s="818"/>
      <c r="C127" s="837" t="s">
        <v>377</v>
      </c>
      <c r="D127" s="838"/>
      <c r="E127" s="836" t="s">
        <v>201</v>
      </c>
      <c r="F127" s="830" t="s">
        <v>31</v>
      </c>
      <c r="G127" s="360">
        <v>4</v>
      </c>
      <c r="H127" s="506" t="s">
        <v>47</v>
      </c>
      <c r="I127" s="360">
        <v>244</v>
      </c>
      <c r="J127" s="361">
        <v>310</v>
      </c>
      <c r="K127" s="362" t="s">
        <v>302</v>
      </c>
      <c r="L127" s="367">
        <f>L128</f>
        <v>715900</v>
      </c>
      <c r="M127" s="363"/>
      <c r="N127" s="363"/>
      <c r="O127" s="363">
        <f t="shared" si="144"/>
        <v>715900</v>
      </c>
      <c r="P127" s="557"/>
      <c r="Q127" s="367">
        <v>0</v>
      </c>
      <c r="R127" s="557"/>
      <c r="S127" s="367">
        <v>0</v>
      </c>
      <c r="T127" s="557"/>
      <c r="U127" s="365"/>
      <c r="V127" s="366"/>
      <c r="W127" s="366"/>
      <c r="X127" s="366"/>
      <c r="Z127" s="367">
        <f t="shared" si="179"/>
        <v>0</v>
      </c>
      <c r="AA127" s="363">
        <f t="shared" si="179"/>
        <v>0</v>
      </c>
      <c r="AB127" s="280">
        <f t="shared" si="181"/>
        <v>0</v>
      </c>
      <c r="AC127" s="367">
        <f t="shared" si="182"/>
        <v>715900</v>
      </c>
      <c r="AD127" s="363">
        <f t="shared" si="182"/>
        <v>0</v>
      </c>
      <c r="AE127" s="280">
        <f t="shared" si="184"/>
        <v>715900</v>
      </c>
      <c r="AF127" s="367">
        <f t="shared" si="185"/>
        <v>0</v>
      </c>
      <c r="AG127" s="363">
        <f t="shared" si="185"/>
        <v>0</v>
      </c>
      <c r="AH127" s="280">
        <f t="shared" si="187"/>
        <v>0</v>
      </c>
      <c r="AI127" s="367">
        <f t="shared" si="188"/>
        <v>0</v>
      </c>
      <c r="AJ127" s="363">
        <f t="shared" si="188"/>
        <v>0</v>
      </c>
      <c r="AK127" s="280">
        <f t="shared" si="190"/>
        <v>0</v>
      </c>
      <c r="AL127" s="368"/>
      <c r="AM127" s="367">
        <f t="shared" si="191"/>
        <v>715900</v>
      </c>
      <c r="AN127" s="363">
        <f t="shared" si="191"/>
        <v>0</v>
      </c>
      <c r="AO127" s="280">
        <f t="shared" si="193"/>
        <v>715900</v>
      </c>
      <c r="AP127" s="367">
        <f t="shared" si="194"/>
        <v>715900</v>
      </c>
      <c r="AQ127" s="363">
        <f t="shared" si="194"/>
        <v>0</v>
      </c>
      <c r="AR127" s="280">
        <f t="shared" si="196"/>
        <v>715900</v>
      </c>
      <c r="AS127" s="367">
        <f t="shared" si="197"/>
        <v>715900</v>
      </c>
      <c r="AT127" s="363">
        <f t="shared" si="197"/>
        <v>0</v>
      </c>
      <c r="AU127" s="280">
        <f t="shared" si="199"/>
        <v>715900</v>
      </c>
      <c r="AV127" s="588">
        <f t="shared" si="177"/>
        <v>0</v>
      </c>
      <c r="AW127" s="367">
        <f t="shared" ref="AW127:BT127" si="205">SUM(AW128:AW128)</f>
        <v>0</v>
      </c>
      <c r="AX127" s="363">
        <f t="shared" si="205"/>
        <v>0</v>
      </c>
      <c r="AY127" s="363">
        <f t="shared" si="205"/>
        <v>0</v>
      </c>
      <c r="AZ127" s="363">
        <f t="shared" si="205"/>
        <v>0</v>
      </c>
      <c r="BA127" s="363">
        <f t="shared" si="205"/>
        <v>0</v>
      </c>
      <c r="BB127" s="369">
        <f t="shared" si="205"/>
        <v>0</v>
      </c>
      <c r="BC127" s="367">
        <f t="shared" si="205"/>
        <v>0</v>
      </c>
      <c r="BD127" s="363">
        <f t="shared" si="205"/>
        <v>0</v>
      </c>
      <c r="BE127" s="363">
        <f t="shared" si="205"/>
        <v>0</v>
      </c>
      <c r="BF127" s="363">
        <f t="shared" si="205"/>
        <v>0</v>
      </c>
      <c r="BG127" s="363">
        <f t="shared" si="205"/>
        <v>715900</v>
      </c>
      <c r="BH127" s="369">
        <f t="shared" si="205"/>
        <v>0</v>
      </c>
      <c r="BI127" s="367">
        <f t="shared" si="205"/>
        <v>0</v>
      </c>
      <c r="BJ127" s="363">
        <f t="shared" si="205"/>
        <v>0</v>
      </c>
      <c r="BK127" s="363">
        <f t="shared" si="205"/>
        <v>0</v>
      </c>
      <c r="BL127" s="363">
        <f t="shared" si="205"/>
        <v>0</v>
      </c>
      <c r="BM127" s="363">
        <f t="shared" si="205"/>
        <v>0</v>
      </c>
      <c r="BN127" s="369">
        <f t="shared" si="205"/>
        <v>0</v>
      </c>
      <c r="BO127" s="367">
        <f t="shared" si="205"/>
        <v>0</v>
      </c>
      <c r="BP127" s="363">
        <f t="shared" si="205"/>
        <v>0</v>
      </c>
      <c r="BQ127" s="363">
        <f t="shared" si="205"/>
        <v>0</v>
      </c>
      <c r="BR127" s="363">
        <f t="shared" si="205"/>
        <v>0</v>
      </c>
      <c r="BS127" s="363">
        <f t="shared" si="205"/>
        <v>0</v>
      </c>
      <c r="BT127" s="280">
        <f t="shared" si="205"/>
        <v>0</v>
      </c>
    </row>
    <row r="128" spans="1:72" s="313" customFormat="1" ht="25.5" outlineLevel="1">
      <c r="A128" s="287">
        <v>118</v>
      </c>
      <c r="B128" s="819">
        <v>795400</v>
      </c>
      <c r="C128" s="840"/>
      <c r="D128" s="841"/>
      <c r="E128" s="839"/>
      <c r="F128" s="821" t="s">
        <v>31</v>
      </c>
      <c r="G128" s="314">
        <v>4</v>
      </c>
      <c r="H128" s="739" t="s">
        <v>47</v>
      </c>
      <c r="I128" s="739">
        <v>244</v>
      </c>
      <c r="J128" s="740">
        <v>310</v>
      </c>
      <c r="K128" s="317" t="s">
        <v>303</v>
      </c>
      <c r="L128" s="412">
        <v>715900</v>
      </c>
      <c r="M128" s="403"/>
      <c r="N128" s="403"/>
      <c r="O128" s="403">
        <f t="shared" si="144"/>
        <v>715900</v>
      </c>
      <c r="P128" s="566"/>
      <c r="Q128" s="406">
        <v>0</v>
      </c>
      <c r="R128" s="566"/>
      <c r="S128" s="406">
        <v>0</v>
      </c>
      <c r="T128" s="566"/>
      <c r="U128" s="335"/>
      <c r="V128" s="320"/>
      <c r="W128" s="320"/>
      <c r="X128" s="320"/>
      <c r="Z128" s="336">
        <f t="shared" si="179"/>
        <v>0</v>
      </c>
      <c r="AA128" s="337">
        <f t="shared" si="179"/>
        <v>0</v>
      </c>
      <c r="AB128" s="338">
        <f t="shared" si="181"/>
        <v>0</v>
      </c>
      <c r="AC128" s="336">
        <f t="shared" si="182"/>
        <v>715900</v>
      </c>
      <c r="AD128" s="337">
        <f t="shared" si="182"/>
        <v>0</v>
      </c>
      <c r="AE128" s="338">
        <f t="shared" si="184"/>
        <v>715900</v>
      </c>
      <c r="AF128" s="336">
        <f t="shared" si="185"/>
        <v>0</v>
      </c>
      <c r="AG128" s="337">
        <f t="shared" si="185"/>
        <v>0</v>
      </c>
      <c r="AH128" s="338">
        <f t="shared" si="187"/>
        <v>0</v>
      </c>
      <c r="AI128" s="336">
        <f t="shared" si="188"/>
        <v>0</v>
      </c>
      <c r="AJ128" s="337">
        <f t="shared" si="188"/>
        <v>0</v>
      </c>
      <c r="AK128" s="338">
        <f t="shared" si="190"/>
        <v>0</v>
      </c>
      <c r="AL128" s="342"/>
      <c r="AM128" s="336">
        <f t="shared" si="191"/>
        <v>715900</v>
      </c>
      <c r="AN128" s="339">
        <f t="shared" si="191"/>
        <v>0</v>
      </c>
      <c r="AO128" s="340">
        <f t="shared" si="193"/>
        <v>715900</v>
      </c>
      <c r="AP128" s="336">
        <f t="shared" si="194"/>
        <v>715900</v>
      </c>
      <c r="AQ128" s="339">
        <f t="shared" si="194"/>
        <v>0</v>
      </c>
      <c r="AR128" s="340">
        <f t="shared" si="196"/>
        <v>715900</v>
      </c>
      <c r="AS128" s="341">
        <f t="shared" si="197"/>
        <v>715900</v>
      </c>
      <c r="AT128" s="339">
        <f t="shared" si="197"/>
        <v>0</v>
      </c>
      <c r="AU128" s="340">
        <f t="shared" si="199"/>
        <v>715900</v>
      </c>
      <c r="AV128" s="589">
        <f t="shared" si="177"/>
        <v>0</v>
      </c>
      <c r="AW128" s="343"/>
      <c r="AX128" s="344"/>
      <c r="AY128" s="345"/>
      <c r="AZ128" s="344"/>
      <c r="BA128" s="345"/>
      <c r="BB128" s="346"/>
      <c r="BC128" s="347"/>
      <c r="BD128" s="348"/>
      <c r="BE128" s="349"/>
      <c r="BF128" s="348"/>
      <c r="BG128" s="349">
        <v>715900</v>
      </c>
      <c r="BH128" s="350"/>
      <c r="BI128" s="351"/>
      <c r="BJ128" s="352"/>
      <c r="BK128" s="337"/>
      <c r="BL128" s="352"/>
      <c r="BM128" s="337"/>
      <c r="BN128" s="353"/>
      <c r="BO128" s="354"/>
      <c r="BP128" s="355"/>
      <c r="BQ128" s="356"/>
      <c r="BR128" s="355"/>
      <c r="BS128" s="356"/>
      <c r="BT128" s="357"/>
    </row>
    <row r="129" spans="1:72" s="358" customFormat="1" ht="47.25">
      <c r="A129" s="287">
        <v>119</v>
      </c>
      <c r="B129" s="818"/>
      <c r="C129" s="837" t="s">
        <v>377</v>
      </c>
      <c r="D129" s="838"/>
      <c r="E129" s="836" t="s">
        <v>201</v>
      </c>
      <c r="F129" s="830" t="s">
        <v>7</v>
      </c>
      <c r="G129" s="360">
        <v>4</v>
      </c>
      <c r="H129" s="506" t="s">
        <v>47</v>
      </c>
      <c r="I129" s="360">
        <v>244</v>
      </c>
      <c r="J129" s="361">
        <v>310</v>
      </c>
      <c r="K129" s="362" t="s">
        <v>302</v>
      </c>
      <c r="L129" s="367">
        <f>L130</f>
        <v>53826.32</v>
      </c>
      <c r="M129" s="363"/>
      <c r="N129" s="363"/>
      <c r="O129" s="363">
        <f t="shared" si="144"/>
        <v>53826.32</v>
      </c>
      <c r="P129" s="557"/>
      <c r="Q129" s="367">
        <v>0</v>
      </c>
      <c r="R129" s="557"/>
      <c r="S129" s="367">
        <v>0</v>
      </c>
      <c r="T129" s="557"/>
      <c r="U129" s="365"/>
      <c r="V129" s="366"/>
      <c r="W129" s="366"/>
      <c r="X129" s="366"/>
      <c r="Z129" s="367">
        <f t="shared" si="179"/>
        <v>0</v>
      </c>
      <c r="AA129" s="363">
        <f t="shared" si="179"/>
        <v>0</v>
      </c>
      <c r="AB129" s="280">
        <f t="shared" si="181"/>
        <v>0</v>
      </c>
      <c r="AC129" s="367">
        <f t="shared" si="182"/>
        <v>53826.32</v>
      </c>
      <c r="AD129" s="363">
        <f t="shared" si="182"/>
        <v>0</v>
      </c>
      <c r="AE129" s="280">
        <f t="shared" si="184"/>
        <v>53826.32</v>
      </c>
      <c r="AF129" s="367">
        <f t="shared" si="185"/>
        <v>0</v>
      </c>
      <c r="AG129" s="363">
        <f t="shared" si="185"/>
        <v>0</v>
      </c>
      <c r="AH129" s="280">
        <f t="shared" si="187"/>
        <v>0</v>
      </c>
      <c r="AI129" s="367">
        <f t="shared" si="188"/>
        <v>0</v>
      </c>
      <c r="AJ129" s="363">
        <f t="shared" si="188"/>
        <v>0</v>
      </c>
      <c r="AK129" s="280">
        <f t="shared" si="190"/>
        <v>0</v>
      </c>
      <c r="AL129" s="368"/>
      <c r="AM129" s="367">
        <f t="shared" si="191"/>
        <v>53826.32</v>
      </c>
      <c r="AN129" s="363">
        <f t="shared" si="191"/>
        <v>0</v>
      </c>
      <c r="AO129" s="280">
        <f t="shared" si="193"/>
        <v>53826.32</v>
      </c>
      <c r="AP129" s="367">
        <f t="shared" si="194"/>
        <v>53826.32</v>
      </c>
      <c r="AQ129" s="363">
        <f t="shared" si="194"/>
        <v>0</v>
      </c>
      <c r="AR129" s="280">
        <f t="shared" si="196"/>
        <v>53826.32</v>
      </c>
      <c r="AS129" s="367">
        <f t="shared" si="197"/>
        <v>53826.32</v>
      </c>
      <c r="AT129" s="363">
        <f t="shared" si="197"/>
        <v>0</v>
      </c>
      <c r="AU129" s="280">
        <f t="shared" si="199"/>
        <v>53826.32</v>
      </c>
      <c r="AV129" s="588">
        <f t="shared" si="177"/>
        <v>0</v>
      </c>
      <c r="AW129" s="367">
        <f t="shared" ref="AW129:BT129" si="206">SUM(AW130:AW130)</f>
        <v>0</v>
      </c>
      <c r="AX129" s="363">
        <f t="shared" si="206"/>
        <v>0</v>
      </c>
      <c r="AY129" s="363">
        <f t="shared" si="206"/>
        <v>0</v>
      </c>
      <c r="AZ129" s="363">
        <f t="shared" si="206"/>
        <v>0</v>
      </c>
      <c r="BA129" s="363">
        <f t="shared" si="206"/>
        <v>0</v>
      </c>
      <c r="BB129" s="369">
        <f t="shared" si="206"/>
        <v>0</v>
      </c>
      <c r="BC129" s="367">
        <f t="shared" si="206"/>
        <v>0</v>
      </c>
      <c r="BD129" s="363">
        <f t="shared" si="206"/>
        <v>0</v>
      </c>
      <c r="BE129" s="363">
        <f t="shared" si="206"/>
        <v>0</v>
      </c>
      <c r="BF129" s="363">
        <f t="shared" si="206"/>
        <v>0</v>
      </c>
      <c r="BG129" s="363">
        <f t="shared" si="206"/>
        <v>53826.32</v>
      </c>
      <c r="BH129" s="369">
        <f t="shared" si="206"/>
        <v>0</v>
      </c>
      <c r="BI129" s="367">
        <f t="shared" si="206"/>
        <v>0</v>
      </c>
      <c r="BJ129" s="363">
        <f t="shared" si="206"/>
        <v>0</v>
      </c>
      <c r="BK129" s="363">
        <f t="shared" si="206"/>
        <v>0</v>
      </c>
      <c r="BL129" s="363">
        <f t="shared" si="206"/>
        <v>0</v>
      </c>
      <c r="BM129" s="363">
        <f t="shared" si="206"/>
        <v>0</v>
      </c>
      <c r="BN129" s="369">
        <f t="shared" si="206"/>
        <v>0</v>
      </c>
      <c r="BO129" s="367">
        <f t="shared" si="206"/>
        <v>0</v>
      </c>
      <c r="BP129" s="363">
        <f t="shared" si="206"/>
        <v>0</v>
      </c>
      <c r="BQ129" s="363">
        <f t="shared" si="206"/>
        <v>0</v>
      </c>
      <c r="BR129" s="363">
        <f t="shared" si="206"/>
        <v>0</v>
      </c>
      <c r="BS129" s="363">
        <f t="shared" si="206"/>
        <v>0</v>
      </c>
      <c r="BT129" s="280">
        <f t="shared" si="206"/>
        <v>0</v>
      </c>
    </row>
    <row r="130" spans="1:72" s="313" customFormat="1" ht="25.5" outlineLevel="1">
      <c r="A130" s="287">
        <v>120</v>
      </c>
      <c r="B130" s="819">
        <v>59805.26</v>
      </c>
      <c r="C130" s="840"/>
      <c r="D130" s="841"/>
      <c r="E130" s="839"/>
      <c r="F130" s="821" t="s">
        <v>7</v>
      </c>
      <c r="G130" s="314">
        <v>4</v>
      </c>
      <c r="H130" s="739" t="s">
        <v>47</v>
      </c>
      <c r="I130" s="739">
        <v>244</v>
      </c>
      <c r="J130" s="740">
        <v>310</v>
      </c>
      <c r="K130" s="317" t="s">
        <v>303</v>
      </c>
      <c r="L130" s="412">
        <v>53826.32</v>
      </c>
      <c r="M130" s="403"/>
      <c r="N130" s="403"/>
      <c r="O130" s="403">
        <f t="shared" si="144"/>
        <v>53826.32</v>
      </c>
      <c r="P130" s="566"/>
      <c r="Q130" s="406">
        <v>0</v>
      </c>
      <c r="R130" s="566"/>
      <c r="S130" s="406">
        <v>0</v>
      </c>
      <c r="T130" s="566"/>
      <c r="U130" s="335"/>
      <c r="V130" s="320"/>
      <c r="W130" s="320"/>
      <c r="X130" s="320"/>
      <c r="Z130" s="336">
        <f t="shared" ref="Z130:AA130" si="207">AW130+AY130+BA130</f>
        <v>0</v>
      </c>
      <c r="AA130" s="337">
        <f t="shared" si="207"/>
        <v>0</v>
      </c>
      <c r="AB130" s="338">
        <f t="shared" si="181"/>
        <v>0</v>
      </c>
      <c r="AC130" s="336">
        <f t="shared" ref="AC130:AD130" si="208">BC130+BE130+BG130</f>
        <v>53826.32</v>
      </c>
      <c r="AD130" s="337">
        <f t="shared" si="208"/>
        <v>0</v>
      </c>
      <c r="AE130" s="338">
        <f t="shared" si="184"/>
        <v>53826.32</v>
      </c>
      <c r="AF130" s="336">
        <f t="shared" ref="AF130:AG130" si="209">BI130+BK130+BM130</f>
        <v>0</v>
      </c>
      <c r="AG130" s="337">
        <f t="shared" si="209"/>
        <v>0</v>
      </c>
      <c r="AH130" s="338">
        <f t="shared" si="187"/>
        <v>0</v>
      </c>
      <c r="AI130" s="336">
        <f t="shared" ref="AI130:AJ130" si="210">BO130+BQ130+BS130</f>
        <v>0</v>
      </c>
      <c r="AJ130" s="337">
        <f t="shared" si="210"/>
        <v>0</v>
      </c>
      <c r="AK130" s="338">
        <f t="shared" si="190"/>
        <v>0</v>
      </c>
      <c r="AL130" s="342"/>
      <c r="AM130" s="336">
        <f t="shared" ref="AM130:AN130" si="211">Z130+AC130</f>
        <v>53826.32</v>
      </c>
      <c r="AN130" s="339">
        <f t="shared" si="211"/>
        <v>0</v>
      </c>
      <c r="AO130" s="340">
        <f t="shared" si="193"/>
        <v>53826.32</v>
      </c>
      <c r="AP130" s="336">
        <f t="shared" ref="AP130:AQ130" si="212">Z130+AC130+AF130</f>
        <v>53826.32</v>
      </c>
      <c r="AQ130" s="339">
        <f t="shared" si="212"/>
        <v>0</v>
      </c>
      <c r="AR130" s="340">
        <f t="shared" si="196"/>
        <v>53826.32</v>
      </c>
      <c r="AS130" s="341">
        <f t="shared" ref="AS130:AT130" si="213">Z130+AC130+AF130+AI130</f>
        <v>53826.32</v>
      </c>
      <c r="AT130" s="339">
        <f t="shared" si="213"/>
        <v>0</v>
      </c>
      <c r="AU130" s="340">
        <f t="shared" si="199"/>
        <v>53826.32</v>
      </c>
      <c r="AV130" s="589">
        <f t="shared" si="177"/>
        <v>0</v>
      </c>
      <c r="AW130" s="343"/>
      <c r="AX130" s="344"/>
      <c r="AY130" s="345"/>
      <c r="AZ130" s="344"/>
      <c r="BA130" s="345"/>
      <c r="BB130" s="346"/>
      <c r="BC130" s="347"/>
      <c r="BD130" s="348"/>
      <c r="BE130" s="349"/>
      <c r="BF130" s="348"/>
      <c r="BG130" s="349">
        <v>53826.32</v>
      </c>
      <c r="BH130" s="350"/>
      <c r="BI130" s="351"/>
      <c r="BJ130" s="352"/>
      <c r="BK130" s="337"/>
      <c r="BL130" s="352"/>
      <c r="BM130" s="337"/>
      <c r="BN130" s="353"/>
      <c r="BO130" s="354"/>
      <c r="BP130" s="355"/>
      <c r="BQ130" s="356"/>
      <c r="BR130" s="355"/>
      <c r="BS130" s="356"/>
      <c r="BT130" s="357"/>
    </row>
    <row r="131" spans="1:72" s="86" customFormat="1" ht="15.75" customHeight="1" thickBot="1">
      <c r="A131" s="287">
        <v>121</v>
      </c>
      <c r="B131" s="818"/>
      <c r="C131" s="861"/>
      <c r="D131" s="862"/>
      <c r="E131" s="287" t="s">
        <v>201</v>
      </c>
      <c r="F131" s="521" t="s">
        <v>17</v>
      </c>
      <c r="G131" s="521"/>
      <c r="H131" s="521"/>
      <c r="I131" s="521"/>
      <c r="J131" s="521"/>
      <c r="K131" s="511" t="s">
        <v>17</v>
      </c>
      <c r="L131" s="549">
        <f>SUM(L12,L13,L14,L15,L20,L21,L26,L27,L28,L29,L30,L31,L37,L40,L43,L45,L49,L51,L56,L58,L69,L101,L120,L122,L123,L124,L125,L127,L129)</f>
        <v>50522159.640000001</v>
      </c>
      <c r="M131" s="550">
        <f t="shared" ref="M131" si="214">SUM(M12,M13,M14,M15,M20,M21,M26,M27,M28,M29,M30,M31,M37,M40,M43,M45,M49,M51,M56,M58,M69,M101,M120,M122,M123,M124,M125,M127,M129)</f>
        <v>0</v>
      </c>
      <c r="N131" s="550">
        <f t="shared" ref="N131:S131" si="215">SUM(N12,N13,N14,N15,N20,N21,N26,N27,N28,N29,N30,N31,N37,N40,N43,N45,N49,N51,N56,N58,N69,N101,N120,N122,N123,N124,N125,N127,N129)</f>
        <v>-7285</v>
      </c>
      <c r="O131" s="550">
        <f t="shared" si="215"/>
        <v>50514874.640000001</v>
      </c>
      <c r="P131" s="568">
        <f t="shared" si="215"/>
        <v>17681355.059999999</v>
      </c>
      <c r="Q131" s="549">
        <f>SUM(Q12,Q13,Q14,Q15,Q20,Q21,Q26,Q27,Q28,Q29,Q30,Q31,Q37,Q40,Q43,Q45,Q49,Q51,Q56,Q58,Q69,Q101,Q120,Q122,Q123,Q124,Q125,Q127,Q129)</f>
        <v>42206072.039999999</v>
      </c>
      <c r="R131" s="568">
        <f t="shared" si="215"/>
        <v>0</v>
      </c>
      <c r="S131" s="549">
        <f t="shared" si="215"/>
        <v>41798874.439999998</v>
      </c>
      <c r="T131" s="568">
        <f t="shared" ref="T131" si="216">SUM(T12,T13,T14,T15,T20,T21,T26,T27,T28,T29,T30,T31,T37,T40,T43,T45,T49,T51,T56,T58,T69,T101,T120,T122,T123,T124,T125,T127,T129)</f>
        <v>0</v>
      </c>
      <c r="U131" s="334"/>
      <c r="V131" s="305"/>
      <c r="W131" s="305"/>
      <c r="X131" s="305"/>
      <c r="Z131" s="264">
        <f t="shared" ref="Z131:AK131" si="217">SUM(Z12,Z13,Z14,Z15,Z20,Z21,Z26,Z27,Z28,Z29,Z30,Z31,Z37,Z40,Z43,Z45,Z49,Z51,Z56,Z58,Z69,Z101,Z120,Z122,Z123,Z124,Z125,Z127,Z129)</f>
        <v>13625797.58</v>
      </c>
      <c r="AA131" s="13">
        <f t="shared" si="217"/>
        <v>31640</v>
      </c>
      <c r="AB131" s="258">
        <f t="shared" si="217"/>
        <v>13594157.58</v>
      </c>
      <c r="AC131" s="264">
        <f t="shared" si="217"/>
        <v>22912660</v>
      </c>
      <c r="AD131" s="13">
        <f t="shared" si="217"/>
        <v>0</v>
      </c>
      <c r="AE131" s="258">
        <f t="shared" si="217"/>
        <v>22912660</v>
      </c>
      <c r="AF131" s="264">
        <f t="shared" si="217"/>
        <v>7763224.71</v>
      </c>
      <c r="AG131" s="13">
        <f t="shared" si="217"/>
        <v>0</v>
      </c>
      <c r="AH131" s="258">
        <f t="shared" si="217"/>
        <v>7763224.71</v>
      </c>
      <c r="AI131" s="264">
        <f t="shared" si="217"/>
        <v>1711490.91</v>
      </c>
      <c r="AJ131" s="13">
        <f t="shared" si="217"/>
        <v>0</v>
      </c>
      <c r="AK131" s="258">
        <f t="shared" si="217"/>
        <v>1711490.91</v>
      </c>
      <c r="AL131" s="278"/>
      <c r="AM131" s="264">
        <f>Z131+AC131</f>
        <v>36538457.579999998</v>
      </c>
      <c r="AN131" s="13">
        <f>AA131+AD131</f>
        <v>31640</v>
      </c>
      <c r="AO131" s="258">
        <f t="shared" si="193"/>
        <v>36506817.579999998</v>
      </c>
      <c r="AP131" s="264">
        <f>Z131+AC131+AF131</f>
        <v>44301682.289999999</v>
      </c>
      <c r="AQ131" s="13">
        <f>AA131+AD131+AG131</f>
        <v>31640</v>
      </c>
      <c r="AR131" s="258">
        <f t="shared" si="196"/>
        <v>44270042.289999999</v>
      </c>
      <c r="AS131" s="549">
        <f t="shared" ref="AS131:AU131" si="218">SUM(AS12,AS13,AS14,AS15,AS20,AS21,AS26,AS27,AS28,AS29,AS30,AS31,AS37,AS40,AS43,AS45,AS49,AS51,AS56,AS58,AS69,AS101,AS120,AS122,AS123,AS124,AS125,AS127,AS129)</f>
        <v>46013173.200000003</v>
      </c>
      <c r="AT131" s="549">
        <f t="shared" si="218"/>
        <v>31640</v>
      </c>
      <c r="AU131" s="258">
        <f t="shared" si="218"/>
        <v>45981533.200000003</v>
      </c>
      <c r="AV131" s="604">
        <f t="shared" si="177"/>
        <v>4508986.4400000004</v>
      </c>
      <c r="AW131" s="278">
        <f t="shared" ref="AW131:BS131" si="219">SUM(AW12,AW13,AW14,AW15,AW20,AW21,AW26,AW27,AW28,AW29,AW30,AW31,AW37,AW40,AW43,AW45,AW49,AW51,AW56,AW58,AW69,AW101,AW120,AW122,AW123,AW124,AW125,AW127,AW129)</f>
        <v>1498437</v>
      </c>
      <c r="AX131" s="278">
        <f t="shared" si="219"/>
        <v>0</v>
      </c>
      <c r="AY131" s="278">
        <f t="shared" si="219"/>
        <v>4874632.8099999996</v>
      </c>
      <c r="AZ131" s="278">
        <f t="shared" si="219"/>
        <v>31640</v>
      </c>
      <c r="BA131" s="278">
        <f t="shared" si="219"/>
        <v>7252727.7699999996</v>
      </c>
      <c r="BB131" s="278">
        <f t="shared" si="219"/>
        <v>0</v>
      </c>
      <c r="BC131" s="278">
        <f t="shared" si="219"/>
        <v>5743231.8499999996</v>
      </c>
      <c r="BD131" s="278">
        <f t="shared" si="219"/>
        <v>0</v>
      </c>
      <c r="BE131" s="278">
        <f t="shared" si="219"/>
        <v>4487169.58</v>
      </c>
      <c r="BF131" s="278">
        <f t="shared" si="219"/>
        <v>0</v>
      </c>
      <c r="BG131" s="278">
        <f t="shared" si="219"/>
        <v>12682258.57</v>
      </c>
      <c r="BH131" s="278">
        <f t="shared" si="219"/>
        <v>0</v>
      </c>
      <c r="BI131" s="278">
        <f t="shared" si="219"/>
        <v>4532066.6900000004</v>
      </c>
      <c r="BJ131" s="278">
        <f t="shared" si="219"/>
        <v>0</v>
      </c>
      <c r="BK131" s="278">
        <f t="shared" si="219"/>
        <v>1872677.9</v>
      </c>
      <c r="BL131" s="278">
        <f t="shared" si="219"/>
        <v>0</v>
      </c>
      <c r="BM131" s="278">
        <f t="shared" si="219"/>
        <v>1358480.12</v>
      </c>
      <c r="BN131" s="278">
        <f t="shared" si="219"/>
        <v>0</v>
      </c>
      <c r="BO131" s="278">
        <f t="shared" si="219"/>
        <v>462720.8</v>
      </c>
      <c r="BP131" s="278">
        <f t="shared" si="219"/>
        <v>0</v>
      </c>
      <c r="BQ131" s="278">
        <f t="shared" si="219"/>
        <v>825195.41</v>
      </c>
      <c r="BR131" s="278">
        <f t="shared" si="219"/>
        <v>0</v>
      </c>
      <c r="BS131" s="278">
        <f t="shared" si="219"/>
        <v>423574.7</v>
      </c>
      <c r="BT131" s="278"/>
    </row>
    <row r="132" spans="1:72" s="31" customFormat="1" ht="15.75" customHeight="1">
      <c r="A132" s="287">
        <v>122</v>
      </c>
      <c r="B132" s="818"/>
      <c r="C132" s="845"/>
      <c r="D132" s="849"/>
      <c r="E132" s="287"/>
      <c r="F132" s="209"/>
      <c r="G132" s="209"/>
      <c r="H132" s="209"/>
      <c r="I132" s="209"/>
      <c r="J132" s="209"/>
      <c r="K132" s="209" t="s">
        <v>204</v>
      </c>
      <c r="L132" s="277">
        <v>50522159.640000001</v>
      </c>
      <c r="M132" s="211"/>
      <c r="N132" s="211"/>
      <c r="O132" s="211"/>
      <c r="P132" s="330"/>
      <c r="Q132" s="277">
        <v>42206072.039999999</v>
      </c>
      <c r="R132" s="330"/>
      <c r="S132" s="277">
        <v>41798874.439999998</v>
      </c>
      <c r="T132" s="330"/>
      <c r="U132" s="334"/>
      <c r="V132" s="7"/>
      <c r="W132" s="7"/>
      <c r="X132" s="7"/>
      <c r="Z132" s="265">
        <f>AW132+AY132+BA132</f>
        <v>0</v>
      </c>
      <c r="AA132" s="211">
        <f>AX132+AZ132+BB132</f>
        <v>0</v>
      </c>
      <c r="AB132" s="259">
        <f t="shared" si="181"/>
        <v>0</v>
      </c>
      <c r="AC132" s="265">
        <f>BC132+BE132+BG132</f>
        <v>0</v>
      </c>
      <c r="AD132" s="211">
        <f>BD132+BF132+BH132</f>
        <v>0</v>
      </c>
      <c r="AE132" s="259">
        <f t="shared" si="184"/>
        <v>0</v>
      </c>
      <c r="AF132" s="265">
        <f>BI132+BK132+BM132</f>
        <v>0</v>
      </c>
      <c r="AG132" s="211">
        <f>BJ132+BL132+BN132</f>
        <v>0</v>
      </c>
      <c r="AH132" s="259">
        <f t="shared" si="187"/>
        <v>0</v>
      </c>
      <c r="AI132" s="265">
        <f>BO132+BQ132+BS132</f>
        <v>0</v>
      </c>
      <c r="AJ132" s="211">
        <f>BP132+BR132+BT132</f>
        <v>0</v>
      </c>
      <c r="AK132" s="259">
        <f t="shared" si="190"/>
        <v>0</v>
      </c>
      <c r="AL132" s="211"/>
      <c r="AM132" s="265">
        <f>Z132+AC132</f>
        <v>0</v>
      </c>
      <c r="AN132" s="211">
        <f>AA132+AD132</f>
        <v>0</v>
      </c>
      <c r="AO132" s="259">
        <f t="shared" si="193"/>
        <v>0</v>
      </c>
      <c r="AP132" s="265">
        <f>Z132+AC132+AF132</f>
        <v>0</v>
      </c>
      <c r="AQ132" s="211">
        <f>AA132+AD132+AG132</f>
        <v>0</v>
      </c>
      <c r="AR132" s="259">
        <f t="shared" si="196"/>
        <v>0</v>
      </c>
      <c r="AS132" s="265">
        <f>Z132+AC132+AF132+AI132</f>
        <v>0</v>
      </c>
      <c r="AT132" s="211">
        <f>AA132+AD132+AG132+AJ132</f>
        <v>0</v>
      </c>
      <c r="AU132" s="259">
        <f t="shared" si="199"/>
        <v>0</v>
      </c>
      <c r="AV132" s="604"/>
      <c r="AW132" s="211"/>
      <c r="AX132" s="211"/>
      <c r="AY132" s="211"/>
      <c r="AZ132" s="211"/>
      <c r="BA132" s="211"/>
      <c r="BB132" s="211"/>
      <c r="BC132" s="211"/>
      <c r="BD132" s="211"/>
      <c r="BE132" s="211"/>
      <c r="BF132" s="211"/>
      <c r="BG132" s="211"/>
      <c r="BH132" s="211"/>
      <c r="BI132" s="211"/>
      <c r="BJ132" s="211"/>
      <c r="BK132" s="211"/>
      <c r="BL132" s="211"/>
      <c r="BM132" s="211"/>
      <c r="BN132" s="211"/>
      <c r="BO132" s="211"/>
      <c r="BP132" s="211"/>
      <c r="BQ132" s="211"/>
      <c r="BR132" s="211"/>
      <c r="BS132" s="211"/>
      <c r="BT132" s="211"/>
    </row>
    <row r="133" spans="1:72" s="31" customFormat="1" ht="15.75" customHeight="1">
      <c r="A133" s="287">
        <v>123</v>
      </c>
      <c r="B133" s="818"/>
      <c r="C133" s="845"/>
      <c r="D133" s="849"/>
      <c r="E133" s="287"/>
      <c r="F133" s="209"/>
      <c r="G133" s="209"/>
      <c r="H133" s="209"/>
      <c r="I133" s="209"/>
      <c r="J133" s="209"/>
      <c r="K133" s="209" t="s">
        <v>368</v>
      </c>
      <c r="L133" s="277">
        <f>L132-L131</f>
        <v>0</v>
      </c>
      <c r="M133" s="211"/>
      <c r="N133" s="211"/>
      <c r="O133" s="211"/>
      <c r="P133" s="330"/>
      <c r="Q133" s="277">
        <f>Q132-Q131</f>
        <v>0</v>
      </c>
      <c r="R133" s="330"/>
      <c r="S133" s="277">
        <f>S132-S131</f>
        <v>0</v>
      </c>
      <c r="T133" s="330"/>
      <c r="U133" s="334"/>
      <c r="V133" s="611" t="s">
        <v>385</v>
      </c>
      <c r="W133" s="7"/>
      <c r="X133" s="613">
        <f>Z133+AC133+AF133+AI133</f>
        <v>50522159.640000001</v>
      </c>
      <c r="Z133" s="612">
        <v>13660420.439999999</v>
      </c>
      <c r="AA133" s="264"/>
      <c r="AB133" s="264"/>
      <c r="AC133" s="612">
        <v>22920227.27</v>
      </c>
      <c r="AD133" s="264"/>
      <c r="AE133" s="264"/>
      <c r="AF133" s="612">
        <v>7951200.7699999996</v>
      </c>
      <c r="AG133" s="264"/>
      <c r="AH133" s="264"/>
      <c r="AI133" s="612">
        <v>5990311.1600000001</v>
      </c>
      <c r="AJ133" s="264"/>
      <c r="AK133" s="264"/>
      <c r="AL133" s="211"/>
      <c r="AM133" s="265"/>
      <c r="AN133" s="211"/>
      <c r="AO133" s="259"/>
      <c r="AP133" s="265"/>
      <c r="AQ133" s="211"/>
      <c r="AR133" s="259"/>
      <c r="AS133" s="265"/>
      <c r="AT133" s="211"/>
      <c r="AU133" s="259"/>
      <c r="AV133" s="604"/>
      <c r="AW133" s="211"/>
      <c r="AX133" s="211"/>
      <c r="AY133" s="211"/>
      <c r="AZ133" s="211"/>
      <c r="BA133" s="211"/>
      <c r="BB133" s="211"/>
      <c r="BC133" s="211"/>
      <c r="BD133" s="211"/>
      <c r="BE133" s="211"/>
      <c r="BF133" s="211"/>
      <c r="BG133" s="211"/>
      <c r="BH133" s="211"/>
      <c r="BI133" s="211"/>
      <c r="BJ133" s="211"/>
      <c r="BK133" s="211"/>
      <c r="BL133" s="211"/>
      <c r="BM133" s="211"/>
      <c r="BN133" s="211"/>
      <c r="BO133" s="211"/>
      <c r="BP133" s="211"/>
      <c r="BQ133" s="211"/>
      <c r="BR133" s="211"/>
      <c r="BS133" s="211"/>
      <c r="BT133" s="211"/>
    </row>
    <row r="134" spans="1:72" s="31" customFormat="1" ht="15.75" customHeight="1">
      <c r="A134" s="287">
        <v>124</v>
      </c>
      <c r="B134" s="818"/>
      <c r="C134" s="845"/>
      <c r="D134" s="849"/>
      <c r="E134" s="287" t="s">
        <v>201</v>
      </c>
      <c r="F134" s="209"/>
      <c r="G134" s="209"/>
      <c r="H134" s="209"/>
      <c r="I134" s="209"/>
      <c r="J134" s="209"/>
      <c r="K134" s="209"/>
      <c r="L134" s="277"/>
      <c r="M134" s="211"/>
      <c r="N134" s="211"/>
      <c r="O134" s="211"/>
      <c r="P134" s="330"/>
      <c r="Q134" s="211"/>
      <c r="R134" s="330"/>
      <c r="S134" s="211"/>
      <c r="T134" s="330"/>
      <c r="U134" s="334"/>
      <c r="V134" s="611"/>
      <c r="W134" s="7"/>
      <c r="X134" s="613"/>
      <c r="Z134" s="730"/>
      <c r="AA134" s="278"/>
      <c r="AB134" s="278"/>
      <c r="AC134" s="730"/>
      <c r="AD134" s="278"/>
      <c r="AE134" s="278"/>
      <c r="AF134" s="730"/>
      <c r="AG134" s="278"/>
      <c r="AH134" s="278"/>
      <c r="AI134" s="730"/>
      <c r="AJ134" s="278"/>
      <c r="AK134" s="278"/>
      <c r="AL134" s="211"/>
      <c r="AM134" s="265"/>
      <c r="AN134" s="211"/>
      <c r="AO134" s="259"/>
      <c r="AP134" s="265"/>
      <c r="AQ134" s="211"/>
      <c r="AR134" s="259"/>
      <c r="AS134" s="265"/>
      <c r="AT134" s="211"/>
      <c r="AU134" s="259"/>
      <c r="AV134" s="604"/>
      <c r="AW134" s="211"/>
      <c r="AX134" s="211"/>
      <c r="AY134" s="211"/>
      <c r="AZ134" s="211"/>
      <c r="BA134" s="211"/>
      <c r="BB134" s="211"/>
      <c r="BC134" s="211"/>
      <c r="BD134" s="211"/>
      <c r="BE134" s="211"/>
      <c r="BF134" s="211"/>
      <c r="BG134" s="211"/>
      <c r="BH134" s="211"/>
      <c r="BI134" s="211"/>
      <c r="BJ134" s="211"/>
      <c r="BK134" s="211"/>
      <c r="BL134" s="211"/>
      <c r="BM134" s="211"/>
      <c r="BN134" s="211"/>
      <c r="BO134" s="211"/>
      <c r="BP134" s="211"/>
      <c r="BQ134" s="211"/>
      <c r="BR134" s="211"/>
      <c r="BS134" s="211"/>
      <c r="BT134" s="211"/>
    </row>
    <row r="135" spans="1:72" s="31" customFormat="1" ht="23.25" customHeight="1" thickBot="1">
      <c r="A135" s="287">
        <v>125</v>
      </c>
      <c r="B135" s="818"/>
      <c r="C135" s="845"/>
      <c r="D135" s="849"/>
      <c r="E135" s="287" t="s">
        <v>201</v>
      </c>
      <c r="F135" s="372" t="s">
        <v>218</v>
      </c>
      <c r="G135" s="309"/>
      <c r="H135" s="309"/>
      <c r="I135" s="309"/>
      <c r="J135" s="309"/>
      <c r="K135" s="309"/>
      <c r="L135" s="216"/>
      <c r="M135" s="216"/>
      <c r="N135" s="216"/>
      <c r="O135" s="216"/>
      <c r="P135" s="331"/>
      <c r="Q135" s="216"/>
      <c r="R135" s="331"/>
      <c r="S135" s="216"/>
      <c r="T135" s="331"/>
      <c r="U135" s="334"/>
      <c r="V135" s="614"/>
      <c r="W135" s="7"/>
      <c r="X135" s="7">
        <f>Z135+AC135+AF135+AI135</f>
        <v>4508986.4400000004</v>
      </c>
      <c r="Y135" s="215"/>
      <c r="Z135" s="267">
        <f>Z133-Z131</f>
        <v>34622.86</v>
      </c>
      <c r="AA135" s="216"/>
      <c r="AB135" s="260"/>
      <c r="AC135" s="267">
        <f>AC133-AC131</f>
        <v>7567.27</v>
      </c>
      <c r="AD135" s="216"/>
      <c r="AE135" s="260"/>
      <c r="AF135" s="267">
        <f>AF133-AF131</f>
        <v>187976.06</v>
      </c>
      <c r="AG135" s="216"/>
      <c r="AH135" s="260"/>
      <c r="AI135" s="267">
        <f>AI133-AI131</f>
        <v>4278820.25</v>
      </c>
      <c r="AJ135" s="216"/>
      <c r="AK135" s="260"/>
      <c r="AL135" s="216"/>
      <c r="AM135" s="266"/>
      <c r="AN135" s="216"/>
      <c r="AO135" s="260"/>
      <c r="AP135" s="266"/>
      <c r="AQ135" s="216"/>
      <c r="AR135" s="260"/>
      <c r="AS135" s="266">
        <v>0</v>
      </c>
      <c r="AT135" s="216"/>
      <c r="AU135" s="260"/>
      <c r="AV135" s="606">
        <f t="shared" si="177"/>
        <v>0</v>
      </c>
      <c r="AW135" s="216"/>
      <c r="AX135" s="216"/>
      <c r="AY135" s="216"/>
      <c r="AZ135" s="216"/>
      <c r="BA135" s="216"/>
      <c r="BB135" s="216"/>
      <c r="BC135" s="216"/>
      <c r="BD135" s="216"/>
      <c r="BE135" s="216"/>
      <c r="BF135" s="216"/>
      <c r="BG135" s="216"/>
      <c r="BH135" s="216"/>
      <c r="BI135" s="216"/>
      <c r="BJ135" s="216"/>
      <c r="BK135" s="216"/>
      <c r="BL135" s="216"/>
      <c r="BM135" s="216"/>
      <c r="BN135" s="216"/>
      <c r="BO135" s="216"/>
      <c r="BP135" s="216"/>
      <c r="BQ135" s="216"/>
      <c r="BR135" s="216"/>
      <c r="BS135" s="216"/>
      <c r="BT135" s="216"/>
    </row>
    <row r="136" spans="1:72" s="358" customFormat="1" ht="31.5" customHeight="1">
      <c r="A136" s="287">
        <v>126</v>
      </c>
      <c r="B136" s="818"/>
      <c r="C136" s="850" t="s">
        <v>377</v>
      </c>
      <c r="D136" s="838"/>
      <c r="E136" s="836" t="s">
        <v>201</v>
      </c>
      <c r="F136" s="820" t="s">
        <v>415</v>
      </c>
      <c r="G136" s="360">
        <v>5</v>
      </c>
      <c r="H136" s="360" t="s">
        <v>72</v>
      </c>
      <c r="I136" s="360">
        <v>244</v>
      </c>
      <c r="J136" s="361">
        <v>226</v>
      </c>
      <c r="K136" s="532" t="s">
        <v>15</v>
      </c>
      <c r="L136" s="551">
        <v>52833.25</v>
      </c>
      <c r="M136" s="552"/>
      <c r="N136" s="552"/>
      <c r="O136" s="552">
        <f t="shared" ref="O136:O137" si="220">L136+N136</f>
        <v>52833.25</v>
      </c>
      <c r="P136" s="569"/>
      <c r="Q136" s="551">
        <v>0</v>
      </c>
      <c r="R136" s="573"/>
      <c r="S136" s="553">
        <v>0</v>
      </c>
      <c r="T136" s="573"/>
      <c r="U136" s="365"/>
      <c r="V136" s="366"/>
      <c r="W136" s="366"/>
      <c r="X136" s="366"/>
      <c r="Z136" s="367">
        <f t="shared" ref="Z136:AA140" si="221">AW136+AY136+BA136</f>
        <v>0</v>
      </c>
      <c r="AA136" s="363">
        <f t="shared" si="221"/>
        <v>0</v>
      </c>
      <c r="AB136" s="280">
        <f t="shared" ref="AB136:AB140" si="222">Z136-AA136</f>
        <v>0</v>
      </c>
      <c r="AC136" s="367">
        <f t="shared" ref="AC136:AD140" si="223">BC136+BE136+BG136</f>
        <v>0</v>
      </c>
      <c r="AD136" s="363">
        <f t="shared" si="223"/>
        <v>0</v>
      </c>
      <c r="AE136" s="280">
        <f t="shared" ref="AE136:AE140" si="224">AC136-AD136</f>
        <v>0</v>
      </c>
      <c r="AF136" s="367">
        <f t="shared" ref="AF136:AG140" si="225">BI136+BK136+BM136</f>
        <v>0</v>
      </c>
      <c r="AG136" s="363">
        <f t="shared" si="225"/>
        <v>0</v>
      </c>
      <c r="AH136" s="280">
        <f t="shared" ref="AH136:AH140" si="226">AF136-AG136</f>
        <v>0</v>
      </c>
      <c r="AI136" s="367">
        <f t="shared" ref="AI136:AJ140" si="227">BO136+BQ136+BS136</f>
        <v>52833.25</v>
      </c>
      <c r="AJ136" s="363">
        <f t="shared" si="227"/>
        <v>0</v>
      </c>
      <c r="AK136" s="280">
        <f t="shared" ref="AK136:AK140" si="228">AI136-AJ136</f>
        <v>52833.25</v>
      </c>
      <c r="AL136" s="368"/>
      <c r="AM136" s="367">
        <f t="shared" ref="AM136:AN140" si="229">Z136+AC136</f>
        <v>0</v>
      </c>
      <c r="AN136" s="363">
        <f t="shared" si="229"/>
        <v>0</v>
      </c>
      <c r="AO136" s="280">
        <f t="shared" ref="AO136:AO140" si="230">AM136-AN136</f>
        <v>0</v>
      </c>
      <c r="AP136" s="367">
        <f t="shared" ref="AP136:AQ140" si="231">Z136+AC136+AF136</f>
        <v>0</v>
      </c>
      <c r="AQ136" s="363">
        <f t="shared" si="231"/>
        <v>0</v>
      </c>
      <c r="AR136" s="280">
        <f t="shared" ref="AR136:AR140" si="232">AP136-AQ136</f>
        <v>0</v>
      </c>
      <c r="AS136" s="367">
        <f t="shared" ref="AS136:AT140" si="233">Z136+AC136+AF136+AI136</f>
        <v>52833.25</v>
      </c>
      <c r="AT136" s="363">
        <f t="shared" si="233"/>
        <v>0</v>
      </c>
      <c r="AU136" s="280">
        <f t="shared" ref="AU136:AU140" si="234">AS136-AT136</f>
        <v>52833.25</v>
      </c>
      <c r="AV136" s="588">
        <f t="shared" si="177"/>
        <v>0</v>
      </c>
      <c r="AW136" s="367">
        <f t="shared" ref="AW136:BT136" si="235">SUM(AW137:AW137)</f>
        <v>0</v>
      </c>
      <c r="AX136" s="363">
        <f t="shared" si="235"/>
        <v>0</v>
      </c>
      <c r="AY136" s="363">
        <f t="shared" si="235"/>
        <v>0</v>
      </c>
      <c r="AZ136" s="363">
        <f t="shared" si="235"/>
        <v>0</v>
      </c>
      <c r="BA136" s="363">
        <f t="shared" si="235"/>
        <v>0</v>
      </c>
      <c r="BB136" s="369">
        <f t="shared" si="235"/>
        <v>0</v>
      </c>
      <c r="BC136" s="367">
        <f t="shared" si="235"/>
        <v>0</v>
      </c>
      <c r="BD136" s="363">
        <f t="shared" si="235"/>
        <v>0</v>
      </c>
      <c r="BE136" s="363">
        <f t="shared" si="235"/>
        <v>0</v>
      </c>
      <c r="BF136" s="363">
        <f t="shared" si="235"/>
        <v>0</v>
      </c>
      <c r="BG136" s="363">
        <f t="shared" si="235"/>
        <v>0</v>
      </c>
      <c r="BH136" s="369">
        <f t="shared" si="235"/>
        <v>0</v>
      </c>
      <c r="BI136" s="367">
        <f t="shared" si="235"/>
        <v>0</v>
      </c>
      <c r="BJ136" s="363">
        <f t="shared" si="235"/>
        <v>0</v>
      </c>
      <c r="BK136" s="363">
        <f t="shared" si="235"/>
        <v>0</v>
      </c>
      <c r="BL136" s="363">
        <f t="shared" si="235"/>
        <v>0</v>
      </c>
      <c r="BM136" s="363">
        <f t="shared" si="235"/>
        <v>0</v>
      </c>
      <c r="BN136" s="369">
        <f t="shared" si="235"/>
        <v>0</v>
      </c>
      <c r="BO136" s="367">
        <f t="shared" si="235"/>
        <v>52833.25</v>
      </c>
      <c r="BP136" s="363">
        <f t="shared" si="235"/>
        <v>0</v>
      </c>
      <c r="BQ136" s="363">
        <f t="shared" si="235"/>
        <v>0</v>
      </c>
      <c r="BR136" s="363">
        <f t="shared" si="235"/>
        <v>0</v>
      </c>
      <c r="BS136" s="363">
        <f t="shared" si="235"/>
        <v>0</v>
      </c>
      <c r="BT136" s="280">
        <f t="shared" si="235"/>
        <v>0</v>
      </c>
    </row>
    <row r="137" spans="1:72" s="313" customFormat="1" ht="38.25" outlineLevel="1">
      <c r="A137" s="287">
        <v>127</v>
      </c>
      <c r="B137" s="818"/>
      <c r="C137" s="840"/>
      <c r="D137" s="841"/>
      <c r="E137" s="839"/>
      <c r="F137" s="821" t="s">
        <v>415</v>
      </c>
      <c r="G137" s="314">
        <v>5</v>
      </c>
      <c r="H137" s="739" t="s">
        <v>72</v>
      </c>
      <c r="I137" s="739">
        <v>244</v>
      </c>
      <c r="J137" s="740">
        <v>226</v>
      </c>
      <c r="K137" s="533" t="s">
        <v>367</v>
      </c>
      <c r="L137" s="341">
        <v>52833.25</v>
      </c>
      <c r="M137" s="318"/>
      <c r="N137" s="318"/>
      <c r="O137" s="318">
        <f t="shared" si="220"/>
        <v>52833.25</v>
      </c>
      <c r="P137" s="570"/>
      <c r="Q137" s="336">
        <v>0</v>
      </c>
      <c r="R137" s="559"/>
      <c r="S137" s="541">
        <v>0</v>
      </c>
      <c r="T137" s="559"/>
      <c r="U137" s="335"/>
      <c r="V137" s="320" t="s">
        <v>358</v>
      </c>
      <c r="W137" s="388" t="s">
        <v>359</v>
      </c>
      <c r="X137" s="388" t="s">
        <v>360</v>
      </c>
      <c r="Z137" s="336">
        <f>AW137+AY137+BA137</f>
        <v>0</v>
      </c>
      <c r="AA137" s="337">
        <f>AX137+AZ137+BB137</f>
        <v>0</v>
      </c>
      <c r="AB137" s="338">
        <f>Z137-AA137</f>
        <v>0</v>
      </c>
      <c r="AC137" s="336">
        <f>BC137+BE137+BG137</f>
        <v>0</v>
      </c>
      <c r="AD137" s="337">
        <f>BD137+BF137+BH137</f>
        <v>0</v>
      </c>
      <c r="AE137" s="338">
        <f>AC137-AD137</f>
        <v>0</v>
      </c>
      <c r="AF137" s="336">
        <f>BI137+BK137+BM137</f>
        <v>0</v>
      </c>
      <c r="AG137" s="337">
        <f>BJ137+BL137+BN137</f>
        <v>0</v>
      </c>
      <c r="AH137" s="338">
        <f>AF137-AG137</f>
        <v>0</v>
      </c>
      <c r="AI137" s="336">
        <f>BO137+BQ137+BS137</f>
        <v>52833.25</v>
      </c>
      <c r="AJ137" s="337">
        <f>BP137+BR137+BT137</f>
        <v>0</v>
      </c>
      <c r="AK137" s="338">
        <f>AI137-AJ137</f>
        <v>52833.25</v>
      </c>
      <c r="AL137" s="342"/>
      <c r="AM137" s="336">
        <f>Z137+AC137</f>
        <v>0</v>
      </c>
      <c r="AN137" s="339">
        <f>AA137+AD137</f>
        <v>0</v>
      </c>
      <c r="AO137" s="340">
        <f>AM137-AN137</f>
        <v>0</v>
      </c>
      <c r="AP137" s="336">
        <f>Z137+AC137+AF137</f>
        <v>0</v>
      </c>
      <c r="AQ137" s="339">
        <f>AA137+AD137+AG137</f>
        <v>0</v>
      </c>
      <c r="AR137" s="340">
        <f>AP137-AQ137</f>
        <v>0</v>
      </c>
      <c r="AS137" s="341">
        <f>Z137+AC137+AF137+AI137</f>
        <v>52833.25</v>
      </c>
      <c r="AT137" s="339">
        <f>AA137+AD137+AG137+AJ137</f>
        <v>0</v>
      </c>
      <c r="AU137" s="340">
        <f>AS137-AT137</f>
        <v>52833.25</v>
      </c>
      <c r="AV137" s="589">
        <f t="shared" si="177"/>
        <v>0</v>
      </c>
      <c r="AW137" s="343"/>
      <c r="AX137" s="344"/>
      <c r="AY137" s="345"/>
      <c r="AZ137" s="344"/>
      <c r="BA137" s="345"/>
      <c r="BB137" s="346"/>
      <c r="BC137" s="347"/>
      <c r="BD137" s="348"/>
      <c r="BE137" s="349"/>
      <c r="BF137" s="348"/>
      <c r="BG137" s="349"/>
      <c r="BH137" s="350"/>
      <c r="BI137" s="351"/>
      <c r="BJ137" s="352"/>
      <c r="BK137" s="337"/>
      <c r="BL137" s="352"/>
      <c r="BM137" s="337"/>
      <c r="BN137" s="353"/>
      <c r="BO137" s="354">
        <v>52833.25</v>
      </c>
      <c r="BP137" s="355"/>
      <c r="BQ137" s="356"/>
      <c r="BR137" s="355"/>
      <c r="BS137" s="356"/>
      <c r="BT137" s="357"/>
    </row>
    <row r="138" spans="1:72" s="31" customFormat="1" ht="15.75">
      <c r="A138" s="287">
        <v>128</v>
      </c>
      <c r="B138" s="818"/>
      <c r="C138" s="845"/>
      <c r="D138" s="849"/>
      <c r="E138" s="287" t="s">
        <v>201</v>
      </c>
      <c r="F138" s="521"/>
      <c r="G138" s="521"/>
      <c r="H138" s="521"/>
      <c r="I138" s="521"/>
      <c r="J138" s="521"/>
      <c r="K138" s="511" t="s">
        <v>17</v>
      </c>
      <c r="L138" s="264">
        <f>SUM(L136)</f>
        <v>52833.25</v>
      </c>
      <c r="M138" s="13">
        <f>SUM(M136)</f>
        <v>0</v>
      </c>
      <c r="N138" s="13">
        <f>SUM(N136)</f>
        <v>0</v>
      </c>
      <c r="O138" s="13">
        <f t="shared" ref="O138:S138" si="236">SUM(O136)</f>
        <v>52833.25</v>
      </c>
      <c r="P138" s="13">
        <f t="shared" si="236"/>
        <v>0</v>
      </c>
      <c r="Q138" s="13">
        <f t="shared" si="236"/>
        <v>0</v>
      </c>
      <c r="R138" s="13">
        <f t="shared" si="236"/>
        <v>0</v>
      </c>
      <c r="S138" s="13">
        <f t="shared" si="236"/>
        <v>0</v>
      </c>
      <c r="T138" s="559">
        <f>SUM(T136)</f>
        <v>0</v>
      </c>
      <c r="U138" s="334"/>
      <c r="V138" s="7"/>
      <c r="W138" s="7"/>
      <c r="X138" s="7"/>
      <c r="Z138" s="264">
        <f t="shared" ref="Z138:AK138" si="237">SUM(Z136)</f>
        <v>0</v>
      </c>
      <c r="AA138" s="254">
        <f t="shared" si="237"/>
        <v>0</v>
      </c>
      <c r="AB138" s="270">
        <f t="shared" si="237"/>
        <v>0</v>
      </c>
      <c r="AC138" s="264">
        <f t="shared" si="237"/>
        <v>0</v>
      </c>
      <c r="AD138" s="254">
        <f t="shared" si="237"/>
        <v>0</v>
      </c>
      <c r="AE138" s="270">
        <f t="shared" si="237"/>
        <v>0</v>
      </c>
      <c r="AF138" s="264">
        <f t="shared" si="237"/>
        <v>0</v>
      </c>
      <c r="AG138" s="254">
        <f t="shared" si="237"/>
        <v>0</v>
      </c>
      <c r="AH138" s="270">
        <f t="shared" si="237"/>
        <v>0</v>
      </c>
      <c r="AI138" s="264">
        <f t="shared" si="237"/>
        <v>52833.25</v>
      </c>
      <c r="AJ138" s="254">
        <f t="shared" si="237"/>
        <v>0</v>
      </c>
      <c r="AK138" s="270">
        <f t="shared" si="237"/>
        <v>52833.25</v>
      </c>
      <c r="AL138" s="278"/>
      <c r="AM138" s="264">
        <f t="shared" si="229"/>
        <v>0</v>
      </c>
      <c r="AN138" s="248">
        <f t="shared" si="229"/>
        <v>0</v>
      </c>
      <c r="AO138" s="281">
        <f t="shared" si="230"/>
        <v>0</v>
      </c>
      <c r="AP138" s="264">
        <f t="shared" si="231"/>
        <v>0</v>
      </c>
      <c r="AQ138" s="248">
        <f t="shared" si="231"/>
        <v>0</v>
      </c>
      <c r="AR138" s="281">
        <f t="shared" si="232"/>
        <v>0</v>
      </c>
      <c r="AS138" s="263">
        <f t="shared" si="233"/>
        <v>52833.25</v>
      </c>
      <c r="AT138" s="248">
        <f t="shared" si="233"/>
        <v>0</v>
      </c>
      <c r="AU138" s="281">
        <f t="shared" si="234"/>
        <v>52833.25</v>
      </c>
      <c r="AV138" s="604">
        <f t="shared" si="177"/>
        <v>0</v>
      </c>
      <c r="AW138" s="278"/>
      <c r="AX138" s="278"/>
      <c r="AY138" s="278"/>
      <c r="AZ138" s="278"/>
      <c r="BA138" s="278"/>
      <c r="BB138" s="278"/>
      <c r="BC138" s="278"/>
      <c r="BD138" s="278"/>
      <c r="BE138" s="278"/>
      <c r="BF138" s="278"/>
      <c r="BG138" s="278"/>
      <c r="BH138" s="278"/>
      <c r="BI138" s="278"/>
      <c r="BJ138" s="278"/>
      <c r="BK138" s="278"/>
      <c r="BL138" s="278"/>
      <c r="BM138" s="278"/>
      <c r="BN138" s="278"/>
      <c r="BO138" s="278"/>
      <c r="BP138" s="278"/>
      <c r="BQ138" s="278"/>
      <c r="BR138" s="278"/>
      <c r="BS138" s="278"/>
      <c r="BT138" s="278"/>
    </row>
    <row r="139" spans="1:72" s="31" customFormat="1" ht="16.5" customHeight="1" thickBot="1">
      <c r="A139" s="287">
        <v>129</v>
      </c>
      <c r="B139" s="818"/>
      <c r="C139" s="845"/>
      <c r="D139" s="849"/>
      <c r="E139" s="287" t="s">
        <v>201</v>
      </c>
      <c r="F139" s="521"/>
      <c r="G139" s="521"/>
      <c r="H139" s="521"/>
      <c r="I139" s="521"/>
      <c r="J139" s="521"/>
      <c r="K139" s="511" t="s">
        <v>21</v>
      </c>
      <c r="L139" s="545">
        <f t="shared" ref="L139:Q139" si="238">L131+L138</f>
        <v>50574992.890000001</v>
      </c>
      <c r="M139" s="546">
        <f t="shared" si="238"/>
        <v>0</v>
      </c>
      <c r="N139" s="546">
        <f t="shared" si="238"/>
        <v>-7285</v>
      </c>
      <c r="O139" s="546">
        <f t="shared" si="238"/>
        <v>50567707.890000001</v>
      </c>
      <c r="P139" s="572">
        <f t="shared" si="238"/>
        <v>17681355.059999999</v>
      </c>
      <c r="Q139" s="545">
        <f t="shared" si="238"/>
        <v>42206072.039999999</v>
      </c>
      <c r="R139" s="545">
        <f t="shared" ref="R139:S139" si="239">R131+R138</f>
        <v>0</v>
      </c>
      <c r="S139" s="545">
        <f t="shared" si="239"/>
        <v>41798874.439999998</v>
      </c>
      <c r="T139" s="568">
        <f>T131+T138</f>
        <v>0</v>
      </c>
      <c r="U139" s="334"/>
      <c r="V139" s="7"/>
      <c r="W139" s="7"/>
      <c r="X139" s="7"/>
      <c r="Z139" s="263">
        <f t="shared" ref="Z139:AK139" si="240">Z131+Z138</f>
        <v>13625797.58</v>
      </c>
      <c r="AA139" s="253">
        <f t="shared" si="240"/>
        <v>31640</v>
      </c>
      <c r="AB139" s="269">
        <f t="shared" si="240"/>
        <v>13594157.58</v>
      </c>
      <c r="AC139" s="263">
        <f t="shared" si="240"/>
        <v>22912660</v>
      </c>
      <c r="AD139" s="253">
        <f t="shared" si="240"/>
        <v>0</v>
      </c>
      <c r="AE139" s="269">
        <f t="shared" si="240"/>
        <v>22912660</v>
      </c>
      <c r="AF139" s="263">
        <f t="shared" si="240"/>
        <v>7763224.71</v>
      </c>
      <c r="AG139" s="253">
        <f t="shared" si="240"/>
        <v>0</v>
      </c>
      <c r="AH139" s="269">
        <f t="shared" si="240"/>
        <v>7763224.71</v>
      </c>
      <c r="AI139" s="263">
        <f t="shared" si="240"/>
        <v>1764324.16</v>
      </c>
      <c r="AJ139" s="253">
        <f t="shared" si="240"/>
        <v>0</v>
      </c>
      <c r="AK139" s="269">
        <f t="shared" si="240"/>
        <v>1764324.16</v>
      </c>
      <c r="AL139" s="210"/>
      <c r="AM139" s="263">
        <f t="shared" si="229"/>
        <v>36538457.579999998</v>
      </c>
      <c r="AN139" s="247">
        <f t="shared" si="229"/>
        <v>31640</v>
      </c>
      <c r="AO139" s="280">
        <f t="shared" si="230"/>
        <v>36506817.579999998</v>
      </c>
      <c r="AP139" s="263">
        <f t="shared" si="231"/>
        <v>44301682.289999999</v>
      </c>
      <c r="AQ139" s="247">
        <f t="shared" si="231"/>
        <v>31640</v>
      </c>
      <c r="AR139" s="280">
        <f t="shared" si="232"/>
        <v>44270042.289999999</v>
      </c>
      <c r="AS139" s="263">
        <f t="shared" si="233"/>
        <v>46066006.450000003</v>
      </c>
      <c r="AT139" s="247">
        <f t="shared" si="233"/>
        <v>31640</v>
      </c>
      <c r="AU139" s="280">
        <f t="shared" si="234"/>
        <v>46034366.450000003</v>
      </c>
      <c r="AV139" s="607">
        <f t="shared" si="177"/>
        <v>4508986.4400000004</v>
      </c>
      <c r="AW139" s="210"/>
      <c r="AX139" s="210"/>
      <c r="AY139" s="210"/>
      <c r="AZ139" s="210"/>
      <c r="BA139" s="210"/>
      <c r="BB139" s="210"/>
      <c r="BC139" s="210"/>
      <c r="BD139" s="210"/>
      <c r="BE139" s="210"/>
      <c r="BF139" s="210"/>
      <c r="BG139" s="210"/>
      <c r="BH139" s="210"/>
      <c r="BI139" s="210"/>
      <c r="BJ139" s="210"/>
      <c r="BK139" s="210"/>
      <c r="BL139" s="210"/>
      <c r="BM139" s="210"/>
      <c r="BN139" s="210"/>
      <c r="BO139" s="210"/>
      <c r="BP139" s="210"/>
      <c r="BQ139" s="210"/>
      <c r="BR139" s="210"/>
      <c r="BS139" s="210"/>
      <c r="BT139" s="210"/>
    </row>
    <row r="140" spans="1:72" s="31" customFormat="1" ht="16.5" customHeight="1">
      <c r="A140" s="287">
        <v>130</v>
      </c>
      <c r="B140" s="818"/>
      <c r="C140" s="845"/>
      <c r="D140" s="849"/>
      <c r="E140" s="287"/>
      <c r="F140" s="310"/>
      <c r="G140" s="310"/>
      <c r="H140" s="310"/>
      <c r="I140" s="310"/>
      <c r="J140" s="310"/>
      <c r="K140" s="209" t="s">
        <v>204</v>
      </c>
      <c r="L140" s="277">
        <v>50574992.890000001</v>
      </c>
      <c r="M140" s="210"/>
      <c r="N140" s="210"/>
      <c r="O140" s="210"/>
      <c r="P140" s="330"/>
      <c r="Q140" s="277">
        <v>42206072.039999999</v>
      </c>
      <c r="R140" s="808">
        <v>0</v>
      </c>
      <c r="S140" s="277">
        <v>41798874.439999998</v>
      </c>
      <c r="T140" s="330"/>
      <c r="U140" s="334"/>
      <c r="V140" s="7"/>
      <c r="W140" s="7"/>
      <c r="X140" s="7"/>
      <c r="Z140" s="267">
        <f t="shared" si="221"/>
        <v>0</v>
      </c>
      <c r="AA140" s="256">
        <f t="shared" si="221"/>
        <v>0</v>
      </c>
      <c r="AB140" s="272">
        <f t="shared" si="222"/>
        <v>0</v>
      </c>
      <c r="AC140" s="267">
        <f t="shared" si="223"/>
        <v>0</v>
      </c>
      <c r="AD140" s="256">
        <f t="shared" si="223"/>
        <v>0</v>
      </c>
      <c r="AE140" s="272">
        <f t="shared" si="224"/>
        <v>0</v>
      </c>
      <c r="AF140" s="267">
        <f t="shared" si="225"/>
        <v>0</v>
      </c>
      <c r="AG140" s="256">
        <f t="shared" si="225"/>
        <v>0</v>
      </c>
      <c r="AH140" s="272">
        <f t="shared" si="226"/>
        <v>0</v>
      </c>
      <c r="AI140" s="267">
        <f t="shared" si="227"/>
        <v>0</v>
      </c>
      <c r="AJ140" s="256">
        <f t="shared" si="227"/>
        <v>0</v>
      </c>
      <c r="AK140" s="272">
        <f t="shared" si="228"/>
        <v>0</v>
      </c>
      <c r="AL140" s="210"/>
      <c r="AM140" s="267">
        <f t="shared" si="229"/>
        <v>0</v>
      </c>
      <c r="AN140" s="250">
        <f t="shared" si="229"/>
        <v>0</v>
      </c>
      <c r="AO140" s="283">
        <f t="shared" si="230"/>
        <v>0</v>
      </c>
      <c r="AP140" s="267">
        <f t="shared" si="231"/>
        <v>0</v>
      </c>
      <c r="AQ140" s="250">
        <f t="shared" si="231"/>
        <v>0</v>
      </c>
      <c r="AR140" s="283">
        <f t="shared" si="232"/>
        <v>0</v>
      </c>
      <c r="AS140" s="267">
        <f t="shared" si="233"/>
        <v>0</v>
      </c>
      <c r="AT140" s="250">
        <f t="shared" si="233"/>
        <v>0</v>
      </c>
      <c r="AU140" s="283">
        <f t="shared" si="234"/>
        <v>0</v>
      </c>
      <c r="AV140" s="607"/>
      <c r="AW140" s="210"/>
      <c r="AX140" s="210"/>
      <c r="AY140" s="210"/>
      <c r="AZ140" s="210"/>
      <c r="BA140" s="210"/>
      <c r="BB140" s="210"/>
      <c r="BC140" s="210"/>
      <c r="BD140" s="210"/>
      <c r="BE140" s="210"/>
      <c r="BF140" s="210"/>
      <c r="BG140" s="210"/>
      <c r="BH140" s="210"/>
      <c r="BI140" s="210"/>
      <c r="BJ140" s="210"/>
      <c r="BK140" s="210"/>
      <c r="BL140" s="210"/>
      <c r="BM140" s="210"/>
      <c r="BN140" s="210"/>
      <c r="BO140" s="210"/>
      <c r="BP140" s="210"/>
      <c r="BQ140" s="210"/>
      <c r="BR140" s="210"/>
      <c r="BS140" s="210"/>
      <c r="BT140" s="210"/>
    </row>
    <row r="141" spans="1:72" s="31" customFormat="1" ht="16.5" customHeight="1">
      <c r="A141" s="287">
        <v>131</v>
      </c>
      <c r="B141" s="818"/>
      <c r="C141" s="845"/>
      <c r="D141" s="849"/>
      <c r="E141" s="287"/>
      <c r="F141" s="310"/>
      <c r="G141" s="310"/>
      <c r="H141" s="310"/>
      <c r="I141" s="310"/>
      <c r="J141" s="310"/>
      <c r="K141" s="209" t="s">
        <v>368</v>
      </c>
      <c r="L141" s="277">
        <f>L140-L139</f>
        <v>0</v>
      </c>
      <c r="M141" s="277"/>
      <c r="N141" s="277"/>
      <c r="O141" s="277"/>
      <c r="P141" s="277">
        <f t="shared" ref="P141:R141" si="241">P140-P139</f>
        <v>-17681355.059999999</v>
      </c>
      <c r="Q141" s="277">
        <f t="shared" si="241"/>
        <v>0</v>
      </c>
      <c r="R141" s="277">
        <f t="shared" si="241"/>
        <v>0</v>
      </c>
      <c r="S141" s="277">
        <f>S140-S139</f>
        <v>0</v>
      </c>
      <c r="T141" s="330"/>
      <c r="U141" s="334"/>
      <c r="V141" s="7"/>
      <c r="W141" s="7"/>
      <c r="X141" s="7"/>
      <c r="Z141" s="267"/>
      <c r="AA141" s="256"/>
      <c r="AB141" s="272"/>
      <c r="AC141" s="267"/>
      <c r="AD141" s="256"/>
      <c r="AE141" s="272"/>
      <c r="AF141" s="267"/>
      <c r="AG141" s="256"/>
      <c r="AH141" s="272"/>
      <c r="AI141" s="267"/>
      <c r="AJ141" s="256"/>
      <c r="AK141" s="272"/>
      <c r="AL141" s="210"/>
      <c r="AM141" s="267"/>
      <c r="AN141" s="250"/>
      <c r="AO141" s="283"/>
      <c r="AP141" s="267"/>
      <c r="AQ141" s="250"/>
      <c r="AR141" s="283"/>
      <c r="AS141" s="267"/>
      <c r="AT141" s="250"/>
      <c r="AU141" s="283"/>
      <c r="AV141" s="607"/>
      <c r="AW141" s="210"/>
      <c r="AX141" s="210"/>
      <c r="AY141" s="210"/>
      <c r="AZ141" s="210"/>
      <c r="BA141" s="210"/>
      <c r="BB141" s="210"/>
      <c r="BC141" s="210"/>
      <c r="BD141" s="210"/>
      <c r="BE141" s="210"/>
      <c r="BF141" s="210"/>
      <c r="BG141" s="210"/>
      <c r="BH141" s="210"/>
      <c r="BI141" s="210"/>
      <c r="BJ141" s="210"/>
      <c r="BK141" s="210"/>
      <c r="BL141" s="210"/>
      <c r="BM141" s="210"/>
      <c r="BN141" s="210"/>
      <c r="BO141" s="210"/>
      <c r="BP141" s="210"/>
      <c r="BQ141" s="210"/>
      <c r="BR141" s="210"/>
      <c r="BS141" s="210"/>
      <c r="BT141" s="210"/>
    </row>
    <row r="142" spans="1:72" s="31" customFormat="1" ht="16.5" customHeight="1">
      <c r="A142" s="287">
        <v>132</v>
      </c>
      <c r="B142" s="818"/>
      <c r="C142" s="845"/>
      <c r="D142" s="849"/>
      <c r="E142" s="287" t="s">
        <v>201</v>
      </c>
      <c r="F142" s="310"/>
      <c r="G142" s="310"/>
      <c r="H142" s="310"/>
      <c r="I142" s="310"/>
      <c r="J142" s="310"/>
      <c r="K142" s="209"/>
      <c r="L142" s="277"/>
      <c r="M142" s="277"/>
      <c r="N142" s="277"/>
      <c r="O142" s="277"/>
      <c r="P142" s="277"/>
      <c r="Q142" s="277"/>
      <c r="R142" s="277"/>
      <c r="S142" s="277"/>
      <c r="T142" s="330"/>
      <c r="U142" s="334"/>
      <c r="V142" s="7"/>
      <c r="W142" s="7"/>
      <c r="X142" s="7"/>
      <c r="Z142" s="267"/>
      <c r="AA142" s="256"/>
      <c r="AB142" s="272"/>
      <c r="AC142" s="267"/>
      <c r="AD142" s="256"/>
      <c r="AE142" s="272"/>
      <c r="AF142" s="267"/>
      <c r="AG142" s="256"/>
      <c r="AH142" s="272"/>
      <c r="AI142" s="267"/>
      <c r="AJ142" s="256"/>
      <c r="AK142" s="272"/>
      <c r="AL142" s="210"/>
      <c r="AM142" s="267"/>
      <c r="AN142" s="250"/>
      <c r="AO142" s="283"/>
      <c r="AP142" s="267"/>
      <c r="AQ142" s="250"/>
      <c r="AR142" s="283"/>
      <c r="AS142" s="267"/>
      <c r="AT142" s="250"/>
      <c r="AU142" s="283"/>
      <c r="AV142" s="607"/>
      <c r="AW142" s="210"/>
      <c r="AX142" s="210"/>
      <c r="AY142" s="210"/>
      <c r="AZ142" s="210"/>
      <c r="BA142" s="210"/>
      <c r="BB142" s="210"/>
      <c r="BC142" s="210"/>
      <c r="BD142" s="210"/>
      <c r="BE142" s="210"/>
      <c r="BF142" s="210"/>
      <c r="BG142" s="210"/>
      <c r="BH142" s="210"/>
      <c r="BI142" s="210"/>
      <c r="BJ142" s="210"/>
      <c r="BK142" s="210"/>
      <c r="BL142" s="210"/>
      <c r="BM142" s="210"/>
      <c r="BN142" s="210"/>
      <c r="BO142" s="210"/>
      <c r="BP142" s="210"/>
      <c r="BQ142" s="210"/>
      <c r="BR142" s="210"/>
      <c r="BS142" s="210"/>
      <c r="BT142" s="210"/>
    </row>
    <row r="143" spans="1:72" s="31" customFormat="1" ht="21" thickBot="1">
      <c r="A143" s="287">
        <v>133</v>
      </c>
      <c r="B143" s="818"/>
      <c r="C143" s="845"/>
      <c r="D143" s="849"/>
      <c r="E143" s="287" t="s">
        <v>201</v>
      </c>
      <c r="F143" s="371" t="s">
        <v>217</v>
      </c>
      <c r="G143" s="311"/>
      <c r="H143" s="311"/>
      <c r="I143" s="311"/>
      <c r="J143" s="311"/>
      <c r="K143" s="311"/>
      <c r="L143" s="216"/>
      <c r="M143" s="216"/>
      <c r="N143" s="216"/>
      <c r="O143" s="216"/>
      <c r="P143" s="331"/>
      <c r="Q143" s="216"/>
      <c r="R143" s="331"/>
      <c r="S143" s="216"/>
      <c r="T143" s="331"/>
      <c r="U143" s="334"/>
      <c r="V143" s="7"/>
      <c r="W143" s="7"/>
      <c r="X143" s="7"/>
      <c r="Z143" s="266"/>
      <c r="AA143" s="255"/>
      <c r="AB143" s="271"/>
      <c r="AC143" s="266"/>
      <c r="AD143" s="255"/>
      <c r="AE143" s="271"/>
      <c r="AF143" s="266"/>
      <c r="AG143" s="255"/>
      <c r="AH143" s="271"/>
      <c r="AI143" s="266"/>
      <c r="AJ143" s="255"/>
      <c r="AK143" s="271"/>
      <c r="AL143" s="216"/>
      <c r="AM143" s="266"/>
      <c r="AN143" s="249"/>
      <c r="AO143" s="282"/>
      <c r="AP143" s="266"/>
      <c r="AQ143" s="249"/>
      <c r="AR143" s="282">
        <f t="shared" ref="AR143:AR169" si="242">AP143-AQ143</f>
        <v>0</v>
      </c>
      <c r="AS143" s="266">
        <f t="shared" ref="AS143:AS163" si="243">Z143+AC143+AF143+AI143</f>
        <v>0</v>
      </c>
      <c r="AT143" s="249">
        <f t="shared" ref="AT143:AT163" si="244">AA143+AD143+AG143+AJ143</f>
        <v>0</v>
      </c>
      <c r="AU143" s="282">
        <f t="shared" ref="AU143:AU169" si="245">AS143-AT143</f>
        <v>0</v>
      </c>
      <c r="AV143" s="606">
        <f t="shared" ref="AV143:AV164" si="246">L143-AS143</f>
        <v>0</v>
      </c>
      <c r="AW143" s="216"/>
      <c r="AX143" s="216"/>
      <c r="AY143" s="216"/>
      <c r="AZ143" s="216"/>
      <c r="BA143" s="216"/>
      <c r="BB143" s="216"/>
      <c r="BC143" s="216"/>
      <c r="BD143" s="216"/>
      <c r="BE143" s="216"/>
      <c r="BF143" s="216"/>
      <c r="BG143" s="216"/>
      <c r="BH143" s="216"/>
      <c r="BI143" s="216"/>
      <c r="BJ143" s="216"/>
      <c r="BK143" s="216"/>
      <c r="BL143" s="216"/>
      <c r="BM143" s="216"/>
      <c r="BN143" s="216"/>
      <c r="BO143" s="216"/>
      <c r="BP143" s="216"/>
      <c r="BQ143" s="216"/>
      <c r="BR143" s="216"/>
      <c r="BS143" s="216"/>
      <c r="BT143" s="216"/>
    </row>
    <row r="144" spans="1:72" s="512" customFormat="1" ht="31.5">
      <c r="A144" s="287">
        <v>134</v>
      </c>
      <c r="B144" s="818"/>
      <c r="C144" s="863"/>
      <c r="D144" s="864"/>
      <c r="E144" s="865" t="s">
        <v>201</v>
      </c>
      <c r="F144" s="831" t="s">
        <v>23</v>
      </c>
      <c r="G144" s="514">
        <v>2</v>
      </c>
      <c r="H144" s="514" t="s">
        <v>69</v>
      </c>
      <c r="I144" s="514">
        <v>111</v>
      </c>
      <c r="J144" s="515">
        <v>211</v>
      </c>
      <c r="K144" s="555" t="s">
        <v>8</v>
      </c>
      <c r="L144" s="580">
        <f>4950667.96+M144</f>
        <v>5063110.87</v>
      </c>
      <c r="M144" s="581">
        <v>112442.91</v>
      </c>
      <c r="N144" s="581"/>
      <c r="O144" s="581">
        <f t="shared" ref="O144:O196" si="247">L144+N144</f>
        <v>5063110.87</v>
      </c>
      <c r="P144" s="582"/>
      <c r="Q144" s="580">
        <v>4950667.96</v>
      </c>
      <c r="R144" s="583"/>
      <c r="S144" s="584">
        <v>4950667.96</v>
      </c>
      <c r="T144" s="574"/>
      <c r="U144" s="516"/>
      <c r="V144" s="517"/>
      <c r="W144" s="517"/>
      <c r="X144" s="517"/>
      <c r="Z144" s="518">
        <f t="shared" ref="Z144:Z163" si="248">AW144+AY144+BA144</f>
        <v>4950667.96</v>
      </c>
      <c r="AA144" s="251">
        <f t="shared" ref="AA144:AA163" si="249">AX144+AZ144+BB144</f>
        <v>0</v>
      </c>
      <c r="AB144" s="519">
        <f t="shared" ref="AB144:AB169" si="250">Z144-AA144</f>
        <v>4950667.96</v>
      </c>
      <c r="AC144" s="518">
        <f t="shared" ref="AC144:AC163" si="251">BC144+BE144+BG144</f>
        <v>0</v>
      </c>
      <c r="AD144" s="251">
        <f t="shared" ref="AD144:AD163" si="252">BD144+BF144+BH144</f>
        <v>0</v>
      </c>
      <c r="AE144" s="519">
        <f t="shared" ref="AE144:AE169" si="253">AC144-AD144</f>
        <v>0</v>
      </c>
      <c r="AF144" s="518">
        <f t="shared" ref="AF144:AF163" si="254">BI144+BK144+BM144</f>
        <v>0</v>
      </c>
      <c r="AG144" s="251">
        <f t="shared" ref="AG144:AG163" si="255">BJ144+BL144+BN144</f>
        <v>0</v>
      </c>
      <c r="AH144" s="519">
        <f t="shared" ref="AH144:AH169" si="256">AF144-AG144</f>
        <v>0</v>
      </c>
      <c r="AI144" s="518">
        <f t="shared" ref="AI144:AI163" si="257">BO144+BQ144+BS144</f>
        <v>0</v>
      </c>
      <c r="AJ144" s="251">
        <f t="shared" ref="AJ144:AJ163" si="258">BP144+BR144+BT144</f>
        <v>0</v>
      </c>
      <c r="AK144" s="519">
        <f t="shared" ref="AK144:AK169" si="259">AI144-AJ144</f>
        <v>0</v>
      </c>
      <c r="AL144" s="520"/>
      <c r="AM144" s="518">
        <f t="shared" ref="AM144:AM163" si="260">Z144+AC144</f>
        <v>4950667.96</v>
      </c>
      <c r="AN144" s="251">
        <f t="shared" ref="AN144:AN163" si="261">AA144+AD144</f>
        <v>0</v>
      </c>
      <c r="AO144" s="519">
        <f t="shared" ref="AO144:AO169" si="262">AM144-AN144</f>
        <v>4950667.96</v>
      </c>
      <c r="AP144" s="518">
        <f t="shared" ref="AP144:AP163" si="263">Z144+AC144+AF144</f>
        <v>4950667.96</v>
      </c>
      <c r="AQ144" s="251">
        <f t="shared" ref="AQ144:AQ163" si="264">AA144+AD144+AG144</f>
        <v>0</v>
      </c>
      <c r="AR144" s="519">
        <f t="shared" si="242"/>
        <v>4950667.96</v>
      </c>
      <c r="AS144" s="518">
        <f>Z144+AC144+AF144+AI144</f>
        <v>4950667.96</v>
      </c>
      <c r="AT144" s="251">
        <f t="shared" si="244"/>
        <v>0</v>
      </c>
      <c r="AU144" s="519">
        <f t="shared" si="245"/>
        <v>4950667.96</v>
      </c>
      <c r="AV144" s="595">
        <f t="shared" si="246"/>
        <v>112442.91</v>
      </c>
      <c r="AW144" s="518">
        <v>4950667.96</v>
      </c>
      <c r="AX144" s="251"/>
      <c r="AY144" s="251"/>
      <c r="AZ144" s="251"/>
      <c r="BA144" s="251"/>
      <c r="BB144" s="301"/>
      <c r="BC144" s="518"/>
      <c r="BD144" s="251"/>
      <c r="BE144" s="251"/>
      <c r="BF144" s="251"/>
      <c r="BG144" s="251"/>
      <c r="BH144" s="301"/>
      <c r="BI144" s="518"/>
      <c r="BJ144" s="251"/>
      <c r="BK144" s="251"/>
      <c r="BL144" s="251"/>
      <c r="BM144" s="251"/>
      <c r="BN144" s="301"/>
      <c r="BO144" s="518"/>
      <c r="BP144" s="251"/>
      <c r="BQ144" s="251"/>
      <c r="BR144" s="251"/>
      <c r="BS144" s="251"/>
      <c r="BT144" s="519"/>
    </row>
    <row r="145" spans="1:72" s="358" customFormat="1" ht="94.5" customHeight="1">
      <c r="A145" s="287">
        <v>135</v>
      </c>
      <c r="B145" s="818"/>
      <c r="C145" s="850" t="s">
        <v>377</v>
      </c>
      <c r="D145" s="838"/>
      <c r="E145" s="836" t="s">
        <v>201</v>
      </c>
      <c r="F145" s="820" t="s">
        <v>23</v>
      </c>
      <c r="G145" s="360">
        <v>2</v>
      </c>
      <c r="H145" s="360" t="s">
        <v>71</v>
      </c>
      <c r="I145" s="360">
        <v>111</v>
      </c>
      <c r="J145" s="361">
        <v>211</v>
      </c>
      <c r="K145" s="532" t="s">
        <v>324</v>
      </c>
      <c r="L145" s="367">
        <f>L146</f>
        <v>4000</v>
      </c>
      <c r="M145" s="363"/>
      <c r="N145" s="363"/>
      <c r="O145" s="363">
        <f t="shared" si="247"/>
        <v>4000</v>
      </c>
      <c r="P145" s="571"/>
      <c r="Q145" s="367">
        <f>Q146</f>
        <v>1000</v>
      </c>
      <c r="R145" s="557"/>
      <c r="S145" s="367">
        <f>S146</f>
        <v>0</v>
      </c>
      <c r="T145" s="557"/>
      <c r="U145" s="365"/>
      <c r="V145" s="366"/>
      <c r="W145" s="366"/>
      <c r="X145" s="366"/>
      <c r="Z145" s="367">
        <f t="shared" si="248"/>
        <v>1000</v>
      </c>
      <c r="AA145" s="363">
        <f t="shared" si="249"/>
        <v>0</v>
      </c>
      <c r="AB145" s="280">
        <f t="shared" si="250"/>
        <v>1000</v>
      </c>
      <c r="AC145" s="367">
        <f t="shared" si="251"/>
        <v>1000</v>
      </c>
      <c r="AD145" s="363">
        <f t="shared" si="252"/>
        <v>0</v>
      </c>
      <c r="AE145" s="280">
        <f t="shared" si="253"/>
        <v>1000</v>
      </c>
      <c r="AF145" s="367">
        <f t="shared" si="254"/>
        <v>1000</v>
      </c>
      <c r="AG145" s="363">
        <f t="shared" si="255"/>
        <v>0</v>
      </c>
      <c r="AH145" s="280">
        <f t="shared" si="256"/>
        <v>1000</v>
      </c>
      <c r="AI145" s="367">
        <f t="shared" si="257"/>
        <v>1000</v>
      </c>
      <c r="AJ145" s="363">
        <f t="shared" si="258"/>
        <v>0</v>
      </c>
      <c r="AK145" s="280">
        <f t="shared" si="259"/>
        <v>1000</v>
      </c>
      <c r="AL145" s="368"/>
      <c r="AM145" s="367">
        <f t="shared" si="260"/>
        <v>2000</v>
      </c>
      <c r="AN145" s="363">
        <f t="shared" si="261"/>
        <v>0</v>
      </c>
      <c r="AO145" s="280">
        <f t="shared" si="262"/>
        <v>2000</v>
      </c>
      <c r="AP145" s="367">
        <f t="shared" si="263"/>
        <v>3000</v>
      </c>
      <c r="AQ145" s="363">
        <f t="shared" si="264"/>
        <v>0</v>
      </c>
      <c r="AR145" s="280">
        <f t="shared" si="242"/>
        <v>3000</v>
      </c>
      <c r="AS145" s="367">
        <f>Z145+AC145+AF145+AI145</f>
        <v>4000</v>
      </c>
      <c r="AT145" s="363">
        <f t="shared" si="244"/>
        <v>0</v>
      </c>
      <c r="AU145" s="280">
        <f t="shared" si="245"/>
        <v>4000</v>
      </c>
      <c r="AV145" s="588">
        <f t="shared" si="246"/>
        <v>0</v>
      </c>
      <c r="AW145" s="367">
        <f>AW146</f>
        <v>1000</v>
      </c>
      <c r="AX145" s="367">
        <f t="shared" ref="AX145:BT145" si="265">AX146</f>
        <v>0</v>
      </c>
      <c r="AY145" s="367">
        <f t="shared" si="265"/>
        <v>0</v>
      </c>
      <c r="AZ145" s="367">
        <f t="shared" si="265"/>
        <v>0</v>
      </c>
      <c r="BA145" s="367">
        <f t="shared" si="265"/>
        <v>0</v>
      </c>
      <c r="BB145" s="367">
        <f t="shared" si="265"/>
        <v>0</v>
      </c>
      <c r="BC145" s="367">
        <f t="shared" si="265"/>
        <v>1000</v>
      </c>
      <c r="BD145" s="367">
        <f t="shared" si="265"/>
        <v>0</v>
      </c>
      <c r="BE145" s="367">
        <f t="shared" si="265"/>
        <v>0</v>
      </c>
      <c r="BF145" s="367">
        <f t="shared" si="265"/>
        <v>0</v>
      </c>
      <c r="BG145" s="367">
        <f t="shared" si="265"/>
        <v>0</v>
      </c>
      <c r="BH145" s="367">
        <f t="shared" si="265"/>
        <v>0</v>
      </c>
      <c r="BI145" s="367">
        <f t="shared" si="265"/>
        <v>1000</v>
      </c>
      <c r="BJ145" s="367">
        <f t="shared" si="265"/>
        <v>0</v>
      </c>
      <c r="BK145" s="367">
        <f t="shared" si="265"/>
        <v>0</v>
      </c>
      <c r="BL145" s="367">
        <f t="shared" si="265"/>
        <v>0</v>
      </c>
      <c r="BM145" s="367">
        <f t="shared" si="265"/>
        <v>0</v>
      </c>
      <c r="BN145" s="367">
        <f t="shared" si="265"/>
        <v>0</v>
      </c>
      <c r="BO145" s="367">
        <f t="shared" si="265"/>
        <v>1000</v>
      </c>
      <c r="BP145" s="367">
        <f t="shared" si="265"/>
        <v>0</v>
      </c>
      <c r="BQ145" s="367">
        <f t="shared" si="265"/>
        <v>0</v>
      </c>
      <c r="BR145" s="367">
        <f t="shared" si="265"/>
        <v>0</v>
      </c>
      <c r="BS145" s="367">
        <f t="shared" si="265"/>
        <v>0</v>
      </c>
      <c r="BT145" s="367">
        <f t="shared" si="265"/>
        <v>0</v>
      </c>
    </row>
    <row r="146" spans="1:72" s="313" customFormat="1" ht="38.25" outlineLevel="1">
      <c r="A146" s="287">
        <v>136</v>
      </c>
      <c r="B146" s="818"/>
      <c r="C146" s="840"/>
      <c r="D146" s="841"/>
      <c r="E146" s="839"/>
      <c r="F146" s="821" t="s">
        <v>23</v>
      </c>
      <c r="G146" s="314">
        <v>2</v>
      </c>
      <c r="H146" s="739" t="s">
        <v>71</v>
      </c>
      <c r="I146" s="739">
        <v>111</v>
      </c>
      <c r="J146" s="740">
        <v>211</v>
      </c>
      <c r="K146" s="533" t="s">
        <v>322</v>
      </c>
      <c r="L146" s="341">
        <f>1000*4</f>
        <v>4000</v>
      </c>
      <c r="M146" s="318"/>
      <c r="N146" s="318"/>
      <c r="O146" s="318">
        <f t="shared" si="247"/>
        <v>4000</v>
      </c>
      <c r="P146" s="570"/>
      <c r="Q146" s="341">
        <v>1000</v>
      </c>
      <c r="R146" s="559"/>
      <c r="S146" s="540">
        <v>0</v>
      </c>
      <c r="T146" s="559"/>
      <c r="U146" s="335"/>
      <c r="V146" s="320"/>
      <c r="W146" s="320"/>
      <c r="X146" s="320"/>
      <c r="Z146" s="336">
        <f t="shared" si="248"/>
        <v>1000</v>
      </c>
      <c r="AA146" s="337">
        <f t="shared" si="249"/>
        <v>0</v>
      </c>
      <c r="AB146" s="338">
        <f t="shared" si="250"/>
        <v>1000</v>
      </c>
      <c r="AC146" s="336">
        <f t="shared" si="251"/>
        <v>1000</v>
      </c>
      <c r="AD146" s="337">
        <f t="shared" si="252"/>
        <v>0</v>
      </c>
      <c r="AE146" s="338">
        <f t="shared" si="253"/>
        <v>1000</v>
      </c>
      <c r="AF146" s="336">
        <f t="shared" si="254"/>
        <v>1000</v>
      </c>
      <c r="AG146" s="337">
        <f t="shared" si="255"/>
        <v>0</v>
      </c>
      <c r="AH146" s="338">
        <f t="shared" si="256"/>
        <v>1000</v>
      </c>
      <c r="AI146" s="336">
        <f t="shared" si="257"/>
        <v>1000</v>
      </c>
      <c r="AJ146" s="337">
        <f t="shared" si="258"/>
        <v>0</v>
      </c>
      <c r="AK146" s="338">
        <f t="shared" si="259"/>
        <v>1000</v>
      </c>
      <c r="AL146" s="342"/>
      <c r="AM146" s="336">
        <f t="shared" si="260"/>
        <v>2000</v>
      </c>
      <c r="AN146" s="339">
        <f t="shared" si="261"/>
        <v>0</v>
      </c>
      <c r="AO146" s="340">
        <f t="shared" si="262"/>
        <v>2000</v>
      </c>
      <c r="AP146" s="336">
        <f t="shared" si="263"/>
        <v>3000</v>
      </c>
      <c r="AQ146" s="339">
        <f t="shared" si="264"/>
        <v>0</v>
      </c>
      <c r="AR146" s="340">
        <f t="shared" si="242"/>
        <v>3000</v>
      </c>
      <c r="AS146" s="341">
        <f t="shared" si="243"/>
        <v>4000</v>
      </c>
      <c r="AT146" s="339">
        <f t="shared" si="244"/>
        <v>0</v>
      </c>
      <c r="AU146" s="340">
        <f t="shared" si="245"/>
        <v>4000</v>
      </c>
      <c r="AV146" s="589">
        <f t="shared" si="246"/>
        <v>0</v>
      </c>
      <c r="AW146" s="343">
        <v>1000</v>
      </c>
      <c r="AX146" s="344"/>
      <c r="AY146" s="345"/>
      <c r="AZ146" s="344"/>
      <c r="BA146" s="345"/>
      <c r="BB146" s="346"/>
      <c r="BC146" s="347">
        <v>1000</v>
      </c>
      <c r="BD146" s="348"/>
      <c r="BE146" s="349"/>
      <c r="BF146" s="348"/>
      <c r="BG146" s="349"/>
      <c r="BH146" s="350"/>
      <c r="BI146" s="351">
        <v>1000</v>
      </c>
      <c r="BJ146" s="352"/>
      <c r="BK146" s="337"/>
      <c r="BL146" s="352"/>
      <c r="BM146" s="337"/>
      <c r="BN146" s="353"/>
      <c r="BO146" s="354">
        <v>1000</v>
      </c>
      <c r="BP146" s="355"/>
      <c r="BQ146" s="356"/>
      <c r="BR146" s="355"/>
      <c r="BS146" s="356"/>
      <c r="BT146" s="357"/>
    </row>
    <row r="147" spans="1:72" s="358" customFormat="1" ht="31.5">
      <c r="A147" s="287">
        <v>137</v>
      </c>
      <c r="B147" s="818"/>
      <c r="C147" s="837"/>
      <c r="D147" s="838"/>
      <c r="E147" s="836" t="s">
        <v>201</v>
      </c>
      <c r="F147" s="820" t="s">
        <v>23</v>
      </c>
      <c r="G147" s="360">
        <v>2</v>
      </c>
      <c r="H147" s="360" t="s">
        <v>69</v>
      </c>
      <c r="I147" s="360">
        <v>119</v>
      </c>
      <c r="J147" s="361">
        <v>213</v>
      </c>
      <c r="K147" s="532" t="s">
        <v>10</v>
      </c>
      <c r="L147" s="585">
        <f>1484134.59+M147</f>
        <v>1488234.59</v>
      </c>
      <c r="M147" s="586">
        <v>4100</v>
      </c>
      <c r="N147" s="586"/>
      <c r="O147" s="586">
        <f t="shared" si="247"/>
        <v>1488234.59</v>
      </c>
      <c r="P147" s="587"/>
      <c r="Q147" s="367">
        <v>1484134.59</v>
      </c>
      <c r="R147" s="557"/>
      <c r="S147" s="367">
        <v>1484134.59</v>
      </c>
      <c r="T147" s="557"/>
      <c r="U147" s="365"/>
      <c r="V147" s="366"/>
      <c r="W147" s="366"/>
      <c r="X147" s="366"/>
      <c r="Z147" s="367">
        <f>AW147+AY147+BA147</f>
        <v>1484134.59</v>
      </c>
      <c r="AA147" s="363">
        <f>AX147+AZ147+BB147</f>
        <v>0</v>
      </c>
      <c r="AB147" s="280">
        <f>Z147-AA147</f>
        <v>1484134.59</v>
      </c>
      <c r="AC147" s="367">
        <f>BC147+BE147+BG147</f>
        <v>0</v>
      </c>
      <c r="AD147" s="363">
        <f>BD147+BF147+BH147</f>
        <v>0</v>
      </c>
      <c r="AE147" s="280">
        <f>AC147-AD147</f>
        <v>0</v>
      </c>
      <c r="AF147" s="367">
        <f>BI147+BK147+BM147</f>
        <v>0</v>
      </c>
      <c r="AG147" s="363">
        <f>BJ147+BL147+BN147</f>
        <v>0</v>
      </c>
      <c r="AH147" s="280">
        <f>AF147-AG147</f>
        <v>0</v>
      </c>
      <c r="AI147" s="367">
        <f>BO147+BQ147+BS147</f>
        <v>0</v>
      </c>
      <c r="AJ147" s="363">
        <f>BP147+BR147+BT147</f>
        <v>0</v>
      </c>
      <c r="AK147" s="280">
        <f>AI147-AJ147</f>
        <v>0</v>
      </c>
      <c r="AL147" s="368"/>
      <c r="AM147" s="367">
        <f>Z147+AC147</f>
        <v>1484134.59</v>
      </c>
      <c r="AN147" s="363">
        <f>AA147+AD147</f>
        <v>0</v>
      </c>
      <c r="AO147" s="280">
        <f>AM147-AN147</f>
        <v>1484134.59</v>
      </c>
      <c r="AP147" s="367">
        <f>Z147+AC147+AF147</f>
        <v>1484134.59</v>
      </c>
      <c r="AQ147" s="363">
        <f>AA147+AD147+AG147</f>
        <v>0</v>
      </c>
      <c r="AR147" s="280">
        <f>AP147-AQ147</f>
        <v>1484134.59</v>
      </c>
      <c r="AS147" s="367">
        <f>Z147+AC147+AF147+AI147</f>
        <v>1484134.59</v>
      </c>
      <c r="AT147" s="363">
        <f>AA147+AD147+AG147+AJ147</f>
        <v>0</v>
      </c>
      <c r="AU147" s="280">
        <f>AS147-AT147</f>
        <v>1484134.59</v>
      </c>
      <c r="AV147" s="588">
        <f t="shared" si="246"/>
        <v>4100</v>
      </c>
      <c r="AW147" s="367">
        <v>1484134.59</v>
      </c>
      <c r="AX147" s="363"/>
      <c r="AY147" s="363"/>
      <c r="AZ147" s="363"/>
      <c r="BA147" s="363"/>
      <c r="BB147" s="369"/>
      <c r="BC147" s="367"/>
      <c r="BD147" s="363"/>
      <c r="BE147" s="363"/>
      <c r="BF147" s="363"/>
      <c r="BG147" s="363"/>
      <c r="BH147" s="369"/>
      <c r="BI147" s="367"/>
      <c r="BJ147" s="363"/>
      <c r="BK147" s="363"/>
      <c r="BL147" s="363"/>
      <c r="BM147" s="363"/>
      <c r="BN147" s="369"/>
      <c r="BO147" s="367"/>
      <c r="BP147" s="363"/>
      <c r="BQ147" s="363"/>
      <c r="BR147" s="363"/>
      <c r="BS147" s="363"/>
      <c r="BT147" s="280"/>
    </row>
    <row r="148" spans="1:72" s="358" customFormat="1" ht="63">
      <c r="A148" s="287">
        <v>138</v>
      </c>
      <c r="B148" s="818"/>
      <c r="C148" s="837"/>
      <c r="D148" s="838"/>
      <c r="E148" s="836" t="s">
        <v>201</v>
      </c>
      <c r="F148" s="820" t="s">
        <v>23</v>
      </c>
      <c r="G148" s="360">
        <v>2</v>
      </c>
      <c r="H148" s="360" t="s">
        <v>71</v>
      </c>
      <c r="I148" s="360">
        <v>111</v>
      </c>
      <c r="J148" s="361">
        <v>266</v>
      </c>
      <c r="K148" s="532" t="s">
        <v>43</v>
      </c>
      <c r="L148" s="367">
        <v>39600</v>
      </c>
      <c r="M148" s="363"/>
      <c r="N148" s="363"/>
      <c r="O148" s="363">
        <f t="shared" si="247"/>
        <v>39600</v>
      </c>
      <c r="P148" s="571"/>
      <c r="Q148" s="367">
        <v>39600</v>
      </c>
      <c r="R148" s="557"/>
      <c r="S148" s="367">
        <v>39600</v>
      </c>
      <c r="T148" s="557"/>
      <c r="U148" s="365"/>
      <c r="V148" s="366"/>
      <c r="W148" s="366"/>
      <c r="X148" s="366"/>
      <c r="Z148" s="367">
        <f t="shared" si="248"/>
        <v>39600</v>
      </c>
      <c r="AA148" s="363">
        <f t="shared" si="249"/>
        <v>0</v>
      </c>
      <c r="AB148" s="280">
        <f t="shared" si="250"/>
        <v>39600</v>
      </c>
      <c r="AC148" s="367">
        <f t="shared" si="251"/>
        <v>0</v>
      </c>
      <c r="AD148" s="363">
        <f t="shared" si="252"/>
        <v>0</v>
      </c>
      <c r="AE148" s="280">
        <f t="shared" si="253"/>
        <v>0</v>
      </c>
      <c r="AF148" s="367">
        <f t="shared" si="254"/>
        <v>0</v>
      </c>
      <c r="AG148" s="363">
        <f t="shared" si="255"/>
        <v>0</v>
      </c>
      <c r="AH148" s="280">
        <f t="shared" si="256"/>
        <v>0</v>
      </c>
      <c r="AI148" s="367">
        <f t="shared" si="257"/>
        <v>0</v>
      </c>
      <c r="AJ148" s="363">
        <f t="shared" si="258"/>
        <v>0</v>
      </c>
      <c r="AK148" s="280">
        <f t="shared" si="259"/>
        <v>0</v>
      </c>
      <c r="AL148" s="368"/>
      <c r="AM148" s="367">
        <f t="shared" si="260"/>
        <v>39600</v>
      </c>
      <c r="AN148" s="363">
        <f t="shared" si="261"/>
        <v>0</v>
      </c>
      <c r="AO148" s="280">
        <f t="shared" si="262"/>
        <v>39600</v>
      </c>
      <c r="AP148" s="367">
        <f t="shared" si="263"/>
        <v>39600</v>
      </c>
      <c r="AQ148" s="363">
        <f t="shared" si="264"/>
        <v>0</v>
      </c>
      <c r="AR148" s="280">
        <f t="shared" si="242"/>
        <v>39600</v>
      </c>
      <c r="AS148" s="367">
        <f t="shared" si="243"/>
        <v>39600</v>
      </c>
      <c r="AT148" s="363">
        <f t="shared" si="244"/>
        <v>0</v>
      </c>
      <c r="AU148" s="280">
        <f t="shared" si="245"/>
        <v>39600</v>
      </c>
      <c r="AV148" s="588">
        <f t="shared" si="246"/>
        <v>0</v>
      </c>
      <c r="AW148" s="367">
        <v>39600</v>
      </c>
      <c r="AX148" s="363"/>
      <c r="AY148" s="363"/>
      <c r="AZ148" s="363"/>
      <c r="BA148" s="363"/>
      <c r="BB148" s="369"/>
      <c r="BC148" s="367"/>
      <c r="BD148" s="363"/>
      <c r="BE148" s="363"/>
      <c r="BF148" s="363"/>
      <c r="BG148" s="363"/>
      <c r="BH148" s="369"/>
      <c r="BI148" s="367"/>
      <c r="BJ148" s="363"/>
      <c r="BK148" s="363"/>
      <c r="BL148" s="363"/>
      <c r="BM148" s="363"/>
      <c r="BN148" s="369"/>
      <c r="BO148" s="367"/>
      <c r="BP148" s="363"/>
      <c r="BQ148" s="363"/>
      <c r="BR148" s="363"/>
      <c r="BS148" s="363"/>
      <c r="BT148" s="280"/>
    </row>
    <row r="149" spans="1:72" s="358" customFormat="1" ht="47.25">
      <c r="A149" s="287">
        <v>139</v>
      </c>
      <c r="B149" s="818"/>
      <c r="C149" s="837"/>
      <c r="D149" s="838"/>
      <c r="E149" s="836" t="s">
        <v>201</v>
      </c>
      <c r="F149" s="820" t="s">
        <v>23</v>
      </c>
      <c r="G149" s="360">
        <v>2</v>
      </c>
      <c r="H149" s="360" t="s">
        <v>71</v>
      </c>
      <c r="I149" s="360">
        <v>112</v>
      </c>
      <c r="J149" s="361">
        <v>266</v>
      </c>
      <c r="K149" s="532" t="s">
        <v>220</v>
      </c>
      <c r="L149" s="367">
        <f>1020+M149</f>
        <v>1920</v>
      </c>
      <c r="M149" s="363">
        <v>900</v>
      </c>
      <c r="N149" s="363"/>
      <c r="O149" s="363">
        <f t="shared" si="247"/>
        <v>1920</v>
      </c>
      <c r="P149" s="571"/>
      <c r="Q149" s="367">
        <v>425</v>
      </c>
      <c r="R149" s="557"/>
      <c r="S149" s="367">
        <v>0</v>
      </c>
      <c r="T149" s="557"/>
      <c r="U149" s="365"/>
      <c r="V149" s="366"/>
      <c r="W149" s="366"/>
      <c r="X149" s="366"/>
      <c r="Z149" s="367">
        <f t="shared" si="248"/>
        <v>170</v>
      </c>
      <c r="AA149" s="363">
        <f t="shared" si="249"/>
        <v>0</v>
      </c>
      <c r="AB149" s="280">
        <f t="shared" si="250"/>
        <v>170</v>
      </c>
      <c r="AC149" s="367">
        <f t="shared" si="251"/>
        <v>255</v>
      </c>
      <c r="AD149" s="363">
        <f t="shared" si="252"/>
        <v>0</v>
      </c>
      <c r="AE149" s="280">
        <f t="shared" si="253"/>
        <v>255</v>
      </c>
      <c r="AF149" s="367">
        <f t="shared" si="254"/>
        <v>255</v>
      </c>
      <c r="AG149" s="363">
        <f t="shared" si="255"/>
        <v>0</v>
      </c>
      <c r="AH149" s="280">
        <f t="shared" si="256"/>
        <v>255</v>
      </c>
      <c r="AI149" s="367">
        <f t="shared" si="257"/>
        <v>340</v>
      </c>
      <c r="AJ149" s="363">
        <f t="shared" si="258"/>
        <v>0</v>
      </c>
      <c r="AK149" s="280">
        <f t="shared" si="259"/>
        <v>340</v>
      </c>
      <c r="AL149" s="368"/>
      <c r="AM149" s="367">
        <f t="shared" si="260"/>
        <v>425</v>
      </c>
      <c r="AN149" s="363">
        <f t="shared" si="261"/>
        <v>0</v>
      </c>
      <c r="AO149" s="280">
        <f t="shared" si="262"/>
        <v>425</v>
      </c>
      <c r="AP149" s="367">
        <f t="shared" si="263"/>
        <v>680</v>
      </c>
      <c r="AQ149" s="363">
        <f t="shared" si="264"/>
        <v>0</v>
      </c>
      <c r="AR149" s="280">
        <f t="shared" si="242"/>
        <v>680</v>
      </c>
      <c r="AS149" s="367">
        <f t="shared" si="243"/>
        <v>1020</v>
      </c>
      <c r="AT149" s="363">
        <f t="shared" si="244"/>
        <v>0</v>
      </c>
      <c r="AU149" s="280">
        <f t="shared" si="245"/>
        <v>1020</v>
      </c>
      <c r="AV149" s="588">
        <f t="shared" si="246"/>
        <v>900</v>
      </c>
      <c r="AW149" s="367"/>
      <c r="AX149" s="363"/>
      <c r="AY149" s="363">
        <v>85</v>
      </c>
      <c r="AZ149" s="363"/>
      <c r="BA149" s="363">
        <v>85</v>
      </c>
      <c r="BB149" s="369"/>
      <c r="BC149" s="367">
        <v>85</v>
      </c>
      <c r="BD149" s="363"/>
      <c r="BE149" s="363">
        <v>85</v>
      </c>
      <c r="BF149" s="363"/>
      <c r="BG149" s="363">
        <v>85</v>
      </c>
      <c r="BH149" s="369"/>
      <c r="BI149" s="367">
        <v>85</v>
      </c>
      <c r="BJ149" s="363"/>
      <c r="BK149" s="363">
        <v>85</v>
      </c>
      <c r="BL149" s="363"/>
      <c r="BM149" s="363">
        <v>85</v>
      </c>
      <c r="BN149" s="369"/>
      <c r="BO149" s="367">
        <v>85</v>
      </c>
      <c r="BP149" s="363"/>
      <c r="BQ149" s="363">
        <v>85</v>
      </c>
      <c r="BR149" s="363"/>
      <c r="BS149" s="363">
        <f>85*2</f>
        <v>170</v>
      </c>
      <c r="BT149" s="280"/>
    </row>
    <row r="150" spans="1:72" s="358" customFormat="1" ht="31.5">
      <c r="A150" s="287">
        <v>140</v>
      </c>
      <c r="B150" s="818"/>
      <c r="C150" s="837"/>
      <c r="D150" s="838"/>
      <c r="E150" s="836" t="s">
        <v>201</v>
      </c>
      <c r="F150" s="820" t="s">
        <v>23</v>
      </c>
      <c r="G150" s="360">
        <v>2</v>
      </c>
      <c r="H150" s="360" t="s">
        <v>71</v>
      </c>
      <c r="I150" s="374">
        <v>112</v>
      </c>
      <c r="J150" s="361">
        <v>214</v>
      </c>
      <c r="K150" s="532" t="s">
        <v>35</v>
      </c>
      <c r="L150" s="367">
        <v>40000</v>
      </c>
      <c r="M150" s="363"/>
      <c r="N150" s="363"/>
      <c r="O150" s="363">
        <f t="shared" si="247"/>
        <v>40000</v>
      </c>
      <c r="P150" s="571"/>
      <c r="Q150" s="367">
        <v>100000</v>
      </c>
      <c r="R150" s="557"/>
      <c r="S150" s="367">
        <v>40000</v>
      </c>
      <c r="T150" s="557"/>
      <c r="U150" s="365"/>
      <c r="V150" s="366"/>
      <c r="W150" s="366"/>
      <c r="X150" s="366"/>
      <c r="Z150" s="367">
        <f t="shared" si="248"/>
        <v>0</v>
      </c>
      <c r="AA150" s="363">
        <f t="shared" si="249"/>
        <v>0</v>
      </c>
      <c r="AB150" s="280">
        <f t="shared" si="250"/>
        <v>0</v>
      </c>
      <c r="AC150" s="367">
        <f t="shared" si="251"/>
        <v>0</v>
      </c>
      <c r="AD150" s="363">
        <f t="shared" si="252"/>
        <v>0</v>
      </c>
      <c r="AE150" s="280">
        <f t="shared" si="253"/>
        <v>0</v>
      </c>
      <c r="AF150" s="367">
        <f t="shared" si="254"/>
        <v>40000</v>
      </c>
      <c r="AG150" s="363">
        <f t="shared" si="255"/>
        <v>0</v>
      </c>
      <c r="AH150" s="280">
        <f t="shared" si="256"/>
        <v>40000</v>
      </c>
      <c r="AI150" s="367">
        <f t="shared" si="257"/>
        <v>0</v>
      </c>
      <c r="AJ150" s="363">
        <f t="shared" si="258"/>
        <v>0</v>
      </c>
      <c r="AK150" s="280">
        <f t="shared" si="259"/>
        <v>0</v>
      </c>
      <c r="AL150" s="368"/>
      <c r="AM150" s="367">
        <f t="shared" si="260"/>
        <v>0</v>
      </c>
      <c r="AN150" s="363">
        <f t="shared" si="261"/>
        <v>0</v>
      </c>
      <c r="AO150" s="280">
        <f t="shared" si="262"/>
        <v>0</v>
      </c>
      <c r="AP150" s="367">
        <f t="shared" si="263"/>
        <v>40000</v>
      </c>
      <c r="AQ150" s="363">
        <f t="shared" si="264"/>
        <v>0</v>
      </c>
      <c r="AR150" s="280">
        <f t="shared" si="242"/>
        <v>40000</v>
      </c>
      <c r="AS150" s="367">
        <f t="shared" si="243"/>
        <v>40000</v>
      </c>
      <c r="AT150" s="363">
        <f t="shared" si="244"/>
        <v>0</v>
      </c>
      <c r="AU150" s="280">
        <f t="shared" si="245"/>
        <v>40000</v>
      </c>
      <c r="AV150" s="588">
        <f t="shared" si="246"/>
        <v>0</v>
      </c>
      <c r="AW150" s="367"/>
      <c r="AX150" s="363"/>
      <c r="AY150" s="363"/>
      <c r="AZ150" s="363"/>
      <c r="BA150" s="363"/>
      <c r="BB150" s="369"/>
      <c r="BC150" s="367"/>
      <c r="BD150" s="363"/>
      <c r="BE150" s="363"/>
      <c r="BF150" s="363"/>
      <c r="BG150" s="363"/>
      <c r="BH150" s="369"/>
      <c r="BI150" s="367">
        <v>40000</v>
      </c>
      <c r="BJ150" s="363"/>
      <c r="BK150" s="363"/>
      <c r="BL150" s="363"/>
      <c r="BM150" s="363"/>
      <c r="BN150" s="369"/>
      <c r="BO150" s="367"/>
      <c r="BP150" s="363"/>
      <c r="BQ150" s="363"/>
      <c r="BR150" s="363"/>
      <c r="BS150" s="363"/>
      <c r="BT150" s="280"/>
    </row>
    <row r="151" spans="1:72" s="358" customFormat="1" ht="31.5" customHeight="1">
      <c r="A151" s="287">
        <v>141</v>
      </c>
      <c r="B151" s="818"/>
      <c r="C151" s="850" t="s">
        <v>377</v>
      </c>
      <c r="D151" s="838"/>
      <c r="E151" s="836" t="s">
        <v>201</v>
      </c>
      <c r="F151" s="820" t="s">
        <v>23</v>
      </c>
      <c r="G151" s="360">
        <v>2</v>
      </c>
      <c r="H151" s="360" t="s">
        <v>71</v>
      </c>
      <c r="I151" s="360">
        <v>244</v>
      </c>
      <c r="J151" s="361">
        <v>221</v>
      </c>
      <c r="K151" s="532" t="s">
        <v>11</v>
      </c>
      <c r="L151" s="367">
        <f>SUM(L152:L155)</f>
        <v>32310.1</v>
      </c>
      <c r="M151" s="363"/>
      <c r="N151" s="363"/>
      <c r="O151" s="363">
        <f t="shared" si="247"/>
        <v>32310.1</v>
      </c>
      <c r="P151" s="571"/>
      <c r="Q151" s="367">
        <f>SUM(Q152:Q155)</f>
        <v>32310.09</v>
      </c>
      <c r="R151" s="557"/>
      <c r="S151" s="367">
        <f>SUM(S152:S155)</f>
        <v>31052.92</v>
      </c>
      <c r="T151" s="557"/>
      <c r="U151" s="365"/>
      <c r="V151" s="366"/>
      <c r="W151" s="366"/>
      <c r="X151" s="391">
        <v>0.14119999999999999</v>
      </c>
      <c r="Z151" s="367">
        <f t="shared" si="248"/>
        <v>0</v>
      </c>
      <c r="AA151" s="363">
        <f t="shared" si="249"/>
        <v>0</v>
      </c>
      <c r="AB151" s="280">
        <f t="shared" si="250"/>
        <v>0</v>
      </c>
      <c r="AC151" s="367">
        <f t="shared" si="251"/>
        <v>0</v>
      </c>
      <c r="AD151" s="363">
        <f t="shared" si="252"/>
        <v>0</v>
      </c>
      <c r="AE151" s="280">
        <f t="shared" si="253"/>
        <v>0</v>
      </c>
      <c r="AF151" s="367">
        <f t="shared" si="254"/>
        <v>6000</v>
      </c>
      <c r="AG151" s="363">
        <f t="shared" si="255"/>
        <v>0</v>
      </c>
      <c r="AH151" s="280">
        <f t="shared" si="256"/>
        <v>6000</v>
      </c>
      <c r="AI151" s="367">
        <f t="shared" si="257"/>
        <v>26310.1</v>
      </c>
      <c r="AJ151" s="363">
        <f t="shared" si="258"/>
        <v>0</v>
      </c>
      <c r="AK151" s="280">
        <f t="shared" si="259"/>
        <v>26310.1</v>
      </c>
      <c r="AL151" s="368"/>
      <c r="AM151" s="367">
        <f t="shared" si="260"/>
        <v>0</v>
      </c>
      <c r="AN151" s="363">
        <f t="shared" si="261"/>
        <v>0</v>
      </c>
      <c r="AO151" s="280">
        <f t="shared" si="262"/>
        <v>0</v>
      </c>
      <c r="AP151" s="367">
        <f t="shared" si="263"/>
        <v>6000</v>
      </c>
      <c r="AQ151" s="363">
        <f t="shared" si="264"/>
        <v>0</v>
      </c>
      <c r="AR151" s="280">
        <f t="shared" si="242"/>
        <v>6000</v>
      </c>
      <c r="AS151" s="367">
        <f t="shared" si="243"/>
        <v>32310.1</v>
      </c>
      <c r="AT151" s="363">
        <f t="shared" si="244"/>
        <v>0</v>
      </c>
      <c r="AU151" s="280">
        <f t="shared" si="245"/>
        <v>32310.1</v>
      </c>
      <c r="AV151" s="588">
        <f t="shared" si="246"/>
        <v>0</v>
      </c>
      <c r="AW151" s="367">
        <f t="shared" ref="AW151:BT151" si="266">SUM(AW152:AW155)</f>
        <v>0</v>
      </c>
      <c r="AX151" s="363">
        <f t="shared" si="266"/>
        <v>0</v>
      </c>
      <c r="AY151" s="363">
        <f t="shared" si="266"/>
        <v>0</v>
      </c>
      <c r="AZ151" s="363">
        <f t="shared" si="266"/>
        <v>0</v>
      </c>
      <c r="BA151" s="363">
        <f t="shared" si="266"/>
        <v>0</v>
      </c>
      <c r="BB151" s="369">
        <f t="shared" si="266"/>
        <v>0</v>
      </c>
      <c r="BC151" s="367">
        <f t="shared" si="266"/>
        <v>0</v>
      </c>
      <c r="BD151" s="363">
        <f t="shared" si="266"/>
        <v>0</v>
      </c>
      <c r="BE151" s="363">
        <f t="shared" si="266"/>
        <v>0</v>
      </c>
      <c r="BF151" s="363">
        <f t="shared" si="266"/>
        <v>0</v>
      </c>
      <c r="BG151" s="363">
        <f t="shared" si="266"/>
        <v>0</v>
      </c>
      <c r="BH151" s="369">
        <f t="shared" si="266"/>
        <v>0</v>
      </c>
      <c r="BI151" s="367">
        <f t="shared" si="266"/>
        <v>0</v>
      </c>
      <c r="BJ151" s="363">
        <f t="shared" si="266"/>
        <v>0</v>
      </c>
      <c r="BK151" s="363">
        <f t="shared" si="266"/>
        <v>3000</v>
      </c>
      <c r="BL151" s="363">
        <f t="shared" si="266"/>
        <v>0</v>
      </c>
      <c r="BM151" s="363">
        <f t="shared" si="266"/>
        <v>3000</v>
      </c>
      <c r="BN151" s="369">
        <f t="shared" si="266"/>
        <v>0</v>
      </c>
      <c r="BO151" s="367">
        <f t="shared" si="266"/>
        <v>3000</v>
      </c>
      <c r="BP151" s="363">
        <f t="shared" si="266"/>
        <v>0</v>
      </c>
      <c r="BQ151" s="363">
        <f t="shared" si="266"/>
        <v>7800</v>
      </c>
      <c r="BR151" s="363">
        <f t="shared" si="266"/>
        <v>0</v>
      </c>
      <c r="BS151" s="363">
        <f t="shared" si="266"/>
        <v>15510.1</v>
      </c>
      <c r="BT151" s="280">
        <f t="shared" si="266"/>
        <v>0</v>
      </c>
    </row>
    <row r="152" spans="1:72" s="313" customFormat="1" ht="25.5" outlineLevel="1">
      <c r="A152" s="287">
        <v>142</v>
      </c>
      <c r="B152" s="818"/>
      <c r="C152" s="840"/>
      <c r="D152" s="841"/>
      <c r="E152" s="839"/>
      <c r="F152" s="821" t="s">
        <v>23</v>
      </c>
      <c r="G152" s="314">
        <v>2</v>
      </c>
      <c r="H152" s="739" t="s">
        <v>71</v>
      </c>
      <c r="I152" s="739">
        <v>244</v>
      </c>
      <c r="J152" s="740">
        <v>221</v>
      </c>
      <c r="K152" s="533" t="s">
        <v>236</v>
      </c>
      <c r="L152" s="341">
        <v>17910.099999999999</v>
      </c>
      <c r="M152" s="318"/>
      <c r="N152" s="318"/>
      <c r="O152" s="318">
        <f t="shared" si="247"/>
        <v>17910.099999999999</v>
      </c>
      <c r="P152" s="570"/>
      <c r="Q152" s="336">
        <v>17910.09</v>
      </c>
      <c r="R152" s="559"/>
      <c r="S152" s="541">
        <v>16652.919999999998</v>
      </c>
      <c r="T152" s="559"/>
      <c r="U152" s="335"/>
      <c r="V152" s="320"/>
      <c r="W152" s="320"/>
      <c r="X152" s="320"/>
      <c r="Z152" s="336">
        <f t="shared" si="248"/>
        <v>0</v>
      </c>
      <c r="AA152" s="337">
        <f t="shared" si="249"/>
        <v>0</v>
      </c>
      <c r="AB152" s="338">
        <f t="shared" si="250"/>
        <v>0</v>
      </c>
      <c r="AC152" s="336">
        <f t="shared" si="251"/>
        <v>0</v>
      </c>
      <c r="AD152" s="337">
        <f t="shared" si="252"/>
        <v>0</v>
      </c>
      <c r="AE152" s="338">
        <f t="shared" si="253"/>
        <v>0</v>
      </c>
      <c r="AF152" s="336">
        <f t="shared" si="254"/>
        <v>6000</v>
      </c>
      <c r="AG152" s="337">
        <f t="shared" si="255"/>
        <v>0</v>
      </c>
      <c r="AH152" s="338">
        <f t="shared" si="256"/>
        <v>6000</v>
      </c>
      <c r="AI152" s="336">
        <f t="shared" si="257"/>
        <v>11910.1</v>
      </c>
      <c r="AJ152" s="337">
        <f t="shared" si="258"/>
        <v>0</v>
      </c>
      <c r="AK152" s="338">
        <f t="shared" si="259"/>
        <v>11910.1</v>
      </c>
      <c r="AL152" s="342"/>
      <c r="AM152" s="336">
        <f t="shared" si="260"/>
        <v>0</v>
      </c>
      <c r="AN152" s="339">
        <f t="shared" si="261"/>
        <v>0</v>
      </c>
      <c r="AO152" s="340">
        <f t="shared" si="262"/>
        <v>0</v>
      </c>
      <c r="AP152" s="336">
        <f t="shared" si="263"/>
        <v>6000</v>
      </c>
      <c r="AQ152" s="339">
        <f t="shared" si="264"/>
        <v>0</v>
      </c>
      <c r="AR152" s="340">
        <f t="shared" si="242"/>
        <v>6000</v>
      </c>
      <c r="AS152" s="341">
        <f t="shared" si="243"/>
        <v>17910.099999999999</v>
      </c>
      <c r="AT152" s="339">
        <f t="shared" si="244"/>
        <v>0</v>
      </c>
      <c r="AU152" s="340">
        <f t="shared" si="245"/>
        <v>17910.099999999999</v>
      </c>
      <c r="AV152" s="589">
        <f t="shared" si="246"/>
        <v>0</v>
      </c>
      <c r="AW152" s="343"/>
      <c r="AX152" s="344"/>
      <c r="AY152" s="345"/>
      <c r="AZ152" s="344"/>
      <c r="BA152" s="345"/>
      <c r="BB152" s="346"/>
      <c r="BC152" s="347"/>
      <c r="BD152" s="348"/>
      <c r="BE152" s="349"/>
      <c r="BF152" s="348"/>
      <c r="BG152" s="349"/>
      <c r="BH152" s="350"/>
      <c r="BI152" s="351"/>
      <c r="BJ152" s="352"/>
      <c r="BK152" s="337">
        <v>3000</v>
      </c>
      <c r="BL152" s="352"/>
      <c r="BM152" s="337">
        <v>3000</v>
      </c>
      <c r="BN152" s="353"/>
      <c r="BO152" s="354">
        <v>3000</v>
      </c>
      <c r="BP152" s="355"/>
      <c r="BQ152" s="356">
        <v>3000</v>
      </c>
      <c r="BR152" s="355"/>
      <c r="BS152" s="356">
        <f>3000+2910.1</f>
        <v>5910.1</v>
      </c>
      <c r="BT152" s="357"/>
    </row>
    <row r="153" spans="1:72" s="313" customFormat="1" ht="38.25" outlineLevel="1">
      <c r="A153" s="287">
        <v>143</v>
      </c>
      <c r="B153" s="818"/>
      <c r="C153" s="840"/>
      <c r="D153" s="841"/>
      <c r="E153" s="839"/>
      <c r="F153" s="821" t="s">
        <v>23</v>
      </c>
      <c r="G153" s="314">
        <v>2</v>
      </c>
      <c r="H153" s="739" t="s">
        <v>71</v>
      </c>
      <c r="I153" s="739">
        <v>244</v>
      </c>
      <c r="J153" s="740">
        <v>221</v>
      </c>
      <c r="K153" s="533" t="s">
        <v>422</v>
      </c>
      <c r="L153" s="510">
        <v>0</v>
      </c>
      <c r="M153" s="318"/>
      <c r="N153" s="318"/>
      <c r="O153" s="318">
        <f t="shared" si="247"/>
        <v>0</v>
      </c>
      <c r="P153" s="570"/>
      <c r="Q153" s="336">
        <v>0</v>
      </c>
      <c r="R153" s="559"/>
      <c r="S153" s="541">
        <v>0</v>
      </c>
      <c r="T153" s="559"/>
      <c r="U153" s="335"/>
      <c r="V153" s="320" t="s">
        <v>231</v>
      </c>
      <c r="W153" s="388" t="s">
        <v>232</v>
      </c>
      <c r="X153" s="388" t="s">
        <v>233</v>
      </c>
      <c r="Z153" s="336">
        <f t="shared" si="248"/>
        <v>0</v>
      </c>
      <c r="AA153" s="337">
        <f t="shared" si="249"/>
        <v>0</v>
      </c>
      <c r="AB153" s="338">
        <f t="shared" si="250"/>
        <v>0</v>
      </c>
      <c r="AC153" s="336">
        <f t="shared" si="251"/>
        <v>0</v>
      </c>
      <c r="AD153" s="337">
        <f t="shared" si="252"/>
        <v>0</v>
      </c>
      <c r="AE153" s="338">
        <f t="shared" si="253"/>
        <v>0</v>
      </c>
      <c r="AF153" s="336">
        <f t="shared" si="254"/>
        <v>0</v>
      </c>
      <c r="AG153" s="337">
        <f t="shared" si="255"/>
        <v>0</v>
      </c>
      <c r="AH153" s="338">
        <f t="shared" si="256"/>
        <v>0</v>
      </c>
      <c r="AI153" s="336">
        <f t="shared" si="257"/>
        <v>0</v>
      </c>
      <c r="AJ153" s="337">
        <f t="shared" si="258"/>
        <v>0</v>
      </c>
      <c r="AK153" s="338">
        <f t="shared" si="259"/>
        <v>0</v>
      </c>
      <c r="AL153" s="342"/>
      <c r="AM153" s="336">
        <f t="shared" si="260"/>
        <v>0</v>
      </c>
      <c r="AN153" s="339">
        <f t="shared" si="261"/>
        <v>0</v>
      </c>
      <c r="AO153" s="340">
        <f t="shared" si="262"/>
        <v>0</v>
      </c>
      <c r="AP153" s="336">
        <f t="shared" si="263"/>
        <v>0</v>
      </c>
      <c r="AQ153" s="339">
        <f t="shared" si="264"/>
        <v>0</v>
      </c>
      <c r="AR153" s="340">
        <f t="shared" si="242"/>
        <v>0</v>
      </c>
      <c r="AS153" s="341">
        <f t="shared" si="243"/>
        <v>0</v>
      </c>
      <c r="AT153" s="339">
        <f t="shared" si="244"/>
        <v>0</v>
      </c>
      <c r="AU153" s="340">
        <f t="shared" si="245"/>
        <v>0</v>
      </c>
      <c r="AV153" s="589">
        <f t="shared" si="246"/>
        <v>0</v>
      </c>
      <c r="AW153" s="343"/>
      <c r="AX153" s="344"/>
      <c r="AY153" s="345"/>
      <c r="AZ153" s="344"/>
      <c r="BA153" s="345"/>
      <c r="BB153" s="346"/>
      <c r="BC153" s="347"/>
      <c r="BD153" s="348"/>
      <c r="BE153" s="349"/>
      <c r="BF153" s="348"/>
      <c r="BG153" s="349"/>
      <c r="BH153" s="350"/>
      <c r="BI153" s="351"/>
      <c r="BJ153" s="352"/>
      <c r="BK153" s="337"/>
      <c r="BL153" s="352"/>
      <c r="BM153" s="337"/>
      <c r="BN153" s="353"/>
      <c r="BO153" s="354"/>
      <c r="BP153" s="355"/>
      <c r="BQ153" s="356"/>
      <c r="BR153" s="355"/>
      <c r="BS153" s="356"/>
      <c r="BT153" s="357"/>
    </row>
    <row r="154" spans="1:72" s="313" customFormat="1" ht="38.25" outlineLevel="1">
      <c r="A154" s="287">
        <v>144</v>
      </c>
      <c r="B154" s="818"/>
      <c r="C154" s="840"/>
      <c r="D154" s="841"/>
      <c r="E154" s="839"/>
      <c r="F154" s="821" t="s">
        <v>23</v>
      </c>
      <c r="G154" s="314">
        <v>2</v>
      </c>
      <c r="H154" s="739" t="s">
        <v>71</v>
      </c>
      <c r="I154" s="739">
        <v>244</v>
      </c>
      <c r="J154" s="740">
        <v>221</v>
      </c>
      <c r="K154" s="533" t="s">
        <v>421</v>
      </c>
      <c r="L154" s="510">
        <v>0</v>
      </c>
      <c r="M154" s="318"/>
      <c r="N154" s="318"/>
      <c r="O154" s="318">
        <f t="shared" si="247"/>
        <v>0</v>
      </c>
      <c r="P154" s="570"/>
      <c r="Q154" s="336">
        <v>0</v>
      </c>
      <c r="R154" s="559"/>
      <c r="S154" s="541">
        <v>0</v>
      </c>
      <c r="T154" s="559"/>
      <c r="U154" s="335"/>
      <c r="V154" s="320" t="s">
        <v>231</v>
      </c>
      <c r="W154" s="388" t="s">
        <v>369</v>
      </c>
      <c r="X154" s="388" t="s">
        <v>233</v>
      </c>
      <c r="Z154" s="336">
        <f t="shared" si="248"/>
        <v>0</v>
      </c>
      <c r="AA154" s="337">
        <f t="shared" si="249"/>
        <v>0</v>
      </c>
      <c r="AB154" s="338">
        <f t="shared" si="250"/>
        <v>0</v>
      </c>
      <c r="AC154" s="336">
        <f t="shared" si="251"/>
        <v>0</v>
      </c>
      <c r="AD154" s="337">
        <f t="shared" si="252"/>
        <v>0</v>
      </c>
      <c r="AE154" s="338">
        <f t="shared" si="253"/>
        <v>0</v>
      </c>
      <c r="AF154" s="336">
        <f t="shared" si="254"/>
        <v>0</v>
      </c>
      <c r="AG154" s="337">
        <f t="shared" si="255"/>
        <v>0</v>
      </c>
      <c r="AH154" s="338">
        <f t="shared" si="256"/>
        <v>0</v>
      </c>
      <c r="AI154" s="336">
        <f t="shared" si="257"/>
        <v>0</v>
      </c>
      <c r="AJ154" s="337">
        <f t="shared" si="258"/>
        <v>0</v>
      </c>
      <c r="AK154" s="338">
        <f t="shared" si="259"/>
        <v>0</v>
      </c>
      <c r="AL154" s="342"/>
      <c r="AM154" s="336">
        <f t="shared" si="260"/>
        <v>0</v>
      </c>
      <c r="AN154" s="339">
        <f t="shared" si="261"/>
        <v>0</v>
      </c>
      <c r="AO154" s="340">
        <f t="shared" si="262"/>
        <v>0</v>
      </c>
      <c r="AP154" s="336">
        <f t="shared" si="263"/>
        <v>0</v>
      </c>
      <c r="AQ154" s="339">
        <f t="shared" si="264"/>
        <v>0</v>
      </c>
      <c r="AR154" s="340">
        <f t="shared" si="242"/>
        <v>0</v>
      </c>
      <c r="AS154" s="341">
        <f t="shared" si="243"/>
        <v>0</v>
      </c>
      <c r="AT154" s="339">
        <f t="shared" si="244"/>
        <v>0</v>
      </c>
      <c r="AU154" s="340">
        <f t="shared" si="245"/>
        <v>0</v>
      </c>
      <c r="AV154" s="589">
        <f t="shared" si="246"/>
        <v>0</v>
      </c>
      <c r="AW154" s="343"/>
      <c r="AX154" s="344"/>
      <c r="AY154" s="345"/>
      <c r="AZ154" s="344"/>
      <c r="BA154" s="345"/>
      <c r="BB154" s="346"/>
      <c r="BC154" s="347"/>
      <c r="BD154" s="348"/>
      <c r="BE154" s="349"/>
      <c r="BF154" s="348"/>
      <c r="BG154" s="349"/>
      <c r="BH154" s="350"/>
      <c r="BI154" s="351"/>
      <c r="BJ154" s="352"/>
      <c r="BK154" s="337"/>
      <c r="BL154" s="352"/>
      <c r="BM154" s="337"/>
      <c r="BN154" s="353"/>
      <c r="BO154" s="354"/>
      <c r="BP154" s="355"/>
      <c r="BQ154" s="356"/>
      <c r="BR154" s="355"/>
      <c r="BS154" s="356"/>
      <c r="BT154" s="357"/>
    </row>
    <row r="155" spans="1:72" s="313" customFormat="1" ht="25.5" outlineLevel="1">
      <c r="A155" s="287">
        <v>145</v>
      </c>
      <c r="B155" s="818"/>
      <c r="C155" s="840"/>
      <c r="D155" s="841"/>
      <c r="E155" s="839"/>
      <c r="F155" s="821" t="s">
        <v>23</v>
      </c>
      <c r="G155" s="314">
        <v>2</v>
      </c>
      <c r="H155" s="739" t="s">
        <v>71</v>
      </c>
      <c r="I155" s="739">
        <v>244</v>
      </c>
      <c r="J155" s="740">
        <v>221</v>
      </c>
      <c r="K155" s="533" t="s">
        <v>428</v>
      </c>
      <c r="L155" s="341">
        <v>14400</v>
      </c>
      <c r="M155" s="318"/>
      <c r="N155" s="318"/>
      <c r="O155" s="318">
        <f t="shared" si="247"/>
        <v>14400</v>
      </c>
      <c r="P155" s="570"/>
      <c r="Q155" s="336">
        <v>14400</v>
      </c>
      <c r="R155" s="559"/>
      <c r="S155" s="541">
        <v>14400</v>
      </c>
      <c r="T155" s="559"/>
      <c r="U155" s="335"/>
      <c r="V155" s="596" t="s">
        <v>234</v>
      </c>
      <c r="W155" s="597" t="s">
        <v>427</v>
      </c>
      <c r="X155" s="597" t="s">
        <v>381</v>
      </c>
      <c r="Z155" s="336">
        <f t="shared" si="248"/>
        <v>0</v>
      </c>
      <c r="AA155" s="337">
        <f t="shared" si="249"/>
        <v>0</v>
      </c>
      <c r="AB155" s="338">
        <f t="shared" si="250"/>
        <v>0</v>
      </c>
      <c r="AC155" s="336">
        <f t="shared" si="251"/>
        <v>0</v>
      </c>
      <c r="AD155" s="337">
        <f t="shared" si="252"/>
        <v>0</v>
      </c>
      <c r="AE155" s="338">
        <f t="shared" si="253"/>
        <v>0</v>
      </c>
      <c r="AF155" s="336">
        <f t="shared" si="254"/>
        <v>0</v>
      </c>
      <c r="AG155" s="337">
        <f t="shared" si="255"/>
        <v>0</v>
      </c>
      <c r="AH155" s="338">
        <f t="shared" si="256"/>
        <v>0</v>
      </c>
      <c r="AI155" s="336">
        <f t="shared" si="257"/>
        <v>14400</v>
      </c>
      <c r="AJ155" s="337">
        <f t="shared" si="258"/>
        <v>0</v>
      </c>
      <c r="AK155" s="338">
        <f t="shared" si="259"/>
        <v>14400</v>
      </c>
      <c r="AL155" s="342"/>
      <c r="AM155" s="336">
        <f t="shared" si="260"/>
        <v>0</v>
      </c>
      <c r="AN155" s="339">
        <f t="shared" si="261"/>
        <v>0</v>
      </c>
      <c r="AO155" s="340">
        <f t="shared" si="262"/>
        <v>0</v>
      </c>
      <c r="AP155" s="336">
        <f t="shared" si="263"/>
        <v>0</v>
      </c>
      <c r="AQ155" s="339">
        <f t="shared" si="264"/>
        <v>0</v>
      </c>
      <c r="AR155" s="340">
        <f t="shared" si="242"/>
        <v>0</v>
      </c>
      <c r="AS155" s="341">
        <f t="shared" si="243"/>
        <v>14400</v>
      </c>
      <c r="AT155" s="339">
        <f t="shared" si="244"/>
        <v>0</v>
      </c>
      <c r="AU155" s="340">
        <f t="shared" si="245"/>
        <v>14400</v>
      </c>
      <c r="AV155" s="589">
        <f t="shared" si="246"/>
        <v>0</v>
      </c>
      <c r="AW155" s="343"/>
      <c r="AX155" s="344"/>
      <c r="AY155" s="345"/>
      <c r="AZ155" s="344"/>
      <c r="BA155" s="345"/>
      <c r="BB155" s="346"/>
      <c r="BC155" s="347"/>
      <c r="BD155" s="348"/>
      <c r="BE155" s="349"/>
      <c r="BF155" s="348"/>
      <c r="BG155" s="349"/>
      <c r="BH155" s="350"/>
      <c r="BI155" s="351"/>
      <c r="BJ155" s="352"/>
      <c r="BK155" s="337"/>
      <c r="BL155" s="352"/>
      <c r="BM155" s="337"/>
      <c r="BN155" s="353"/>
      <c r="BO155" s="354"/>
      <c r="BP155" s="355"/>
      <c r="BQ155" s="356">
        <v>4800</v>
      </c>
      <c r="BR155" s="355"/>
      <c r="BS155" s="356">
        <f>4800*2</f>
        <v>9600</v>
      </c>
      <c r="BT155" s="357"/>
    </row>
    <row r="156" spans="1:72" s="358" customFormat="1" ht="31.5" customHeight="1">
      <c r="A156" s="287">
        <v>146</v>
      </c>
      <c r="B156" s="818"/>
      <c r="C156" s="850" t="s">
        <v>377</v>
      </c>
      <c r="D156" s="838"/>
      <c r="E156" s="836" t="s">
        <v>201</v>
      </c>
      <c r="F156" s="820" t="s">
        <v>23</v>
      </c>
      <c r="G156" s="360">
        <v>2</v>
      </c>
      <c r="H156" s="360" t="s">
        <v>71</v>
      </c>
      <c r="I156" s="360">
        <v>244</v>
      </c>
      <c r="J156" s="361">
        <v>222</v>
      </c>
      <c r="K156" s="532" t="s">
        <v>12</v>
      </c>
      <c r="L156" s="367">
        <f>SUM(L157:L158)</f>
        <v>291566.34999999998</v>
      </c>
      <c r="M156" s="363">
        <f>SUM(M157:M158)</f>
        <v>15000</v>
      </c>
      <c r="N156" s="363"/>
      <c r="O156" s="363">
        <f>L156+N156</f>
        <v>291566.34999999998</v>
      </c>
      <c r="P156" s="571"/>
      <c r="Q156" s="367">
        <f>SUM(Q157:Q158)</f>
        <v>276566.34999999998</v>
      </c>
      <c r="R156" s="557"/>
      <c r="S156" s="367">
        <f>SUM(S157:S158)</f>
        <v>275685.24</v>
      </c>
      <c r="T156" s="557"/>
      <c r="U156" s="365"/>
      <c r="V156" s="366"/>
      <c r="W156" s="366"/>
      <c r="X156" s="366"/>
      <c r="Z156" s="367">
        <f t="shared" ref="Z156:AA158" si="267">AW156+AY156+BA156</f>
        <v>63600</v>
      </c>
      <c r="AA156" s="363">
        <f t="shared" si="267"/>
        <v>0</v>
      </c>
      <c r="AB156" s="280">
        <f>Z156-AA156</f>
        <v>63600</v>
      </c>
      <c r="AC156" s="367">
        <f t="shared" ref="AC156:AD158" si="268">BC156+BE156+BG156</f>
        <v>65400</v>
      </c>
      <c r="AD156" s="363">
        <f t="shared" si="268"/>
        <v>0</v>
      </c>
      <c r="AE156" s="280">
        <f>AC156-AD156</f>
        <v>65400</v>
      </c>
      <c r="AF156" s="367">
        <f t="shared" ref="AF156:AG158" si="269">BI156+BK156+BM156</f>
        <v>3800</v>
      </c>
      <c r="AG156" s="363">
        <f t="shared" si="269"/>
        <v>0</v>
      </c>
      <c r="AH156" s="280">
        <f>AF156-AG156</f>
        <v>3800</v>
      </c>
      <c r="AI156" s="367">
        <f t="shared" ref="AI156:AJ158" si="270">BO156+BQ156+BS156</f>
        <v>143766.35</v>
      </c>
      <c r="AJ156" s="363">
        <f t="shared" si="270"/>
        <v>0</v>
      </c>
      <c r="AK156" s="280">
        <f>AI156-AJ156</f>
        <v>143766.35</v>
      </c>
      <c r="AL156" s="368"/>
      <c r="AM156" s="367">
        <f t="shared" ref="AM156:AN158" si="271">Z156+AC156</f>
        <v>129000</v>
      </c>
      <c r="AN156" s="363">
        <f t="shared" si="271"/>
        <v>0</v>
      </c>
      <c r="AO156" s="280">
        <f>AM156-AN156</f>
        <v>129000</v>
      </c>
      <c r="AP156" s="367">
        <f t="shared" ref="AP156:AQ158" si="272">Z156+AC156+AF156</f>
        <v>132800</v>
      </c>
      <c r="AQ156" s="363">
        <f t="shared" si="272"/>
        <v>0</v>
      </c>
      <c r="AR156" s="280">
        <f>AP156-AQ156</f>
        <v>132800</v>
      </c>
      <c r="AS156" s="367">
        <f t="shared" ref="AS156:AT158" si="273">Z156+AC156+AF156+AI156</f>
        <v>276566.34999999998</v>
      </c>
      <c r="AT156" s="363">
        <f t="shared" si="273"/>
        <v>0</v>
      </c>
      <c r="AU156" s="280">
        <f>AS156-AT156</f>
        <v>276566.34999999998</v>
      </c>
      <c r="AV156" s="588">
        <f>L156-AS156</f>
        <v>15000</v>
      </c>
      <c r="AW156" s="367">
        <f t="shared" ref="AW156:BT156" si="274">SUM(AW157:AW158)</f>
        <v>0</v>
      </c>
      <c r="AX156" s="363">
        <f t="shared" si="274"/>
        <v>0</v>
      </c>
      <c r="AY156" s="363">
        <f t="shared" si="274"/>
        <v>1800</v>
      </c>
      <c r="AZ156" s="363">
        <f t="shared" si="274"/>
        <v>0</v>
      </c>
      <c r="BA156" s="363">
        <f t="shared" si="274"/>
        <v>61800</v>
      </c>
      <c r="BB156" s="369">
        <f t="shared" si="274"/>
        <v>0</v>
      </c>
      <c r="BC156" s="367">
        <f t="shared" si="274"/>
        <v>1800</v>
      </c>
      <c r="BD156" s="363">
        <f t="shared" si="274"/>
        <v>0</v>
      </c>
      <c r="BE156" s="363">
        <f t="shared" si="274"/>
        <v>61800</v>
      </c>
      <c r="BF156" s="363">
        <f t="shared" si="274"/>
        <v>0</v>
      </c>
      <c r="BG156" s="363">
        <f t="shared" si="274"/>
        <v>1800</v>
      </c>
      <c r="BH156" s="369">
        <f t="shared" si="274"/>
        <v>0</v>
      </c>
      <c r="BI156" s="367">
        <f t="shared" si="274"/>
        <v>1800</v>
      </c>
      <c r="BJ156" s="363">
        <f t="shared" si="274"/>
        <v>0</v>
      </c>
      <c r="BK156" s="363">
        <f t="shared" si="274"/>
        <v>1000</v>
      </c>
      <c r="BL156" s="363">
        <f t="shared" si="274"/>
        <v>0</v>
      </c>
      <c r="BM156" s="363">
        <f t="shared" si="274"/>
        <v>1000</v>
      </c>
      <c r="BN156" s="369">
        <f t="shared" si="274"/>
        <v>0</v>
      </c>
      <c r="BO156" s="367">
        <f t="shared" si="274"/>
        <v>61800</v>
      </c>
      <c r="BP156" s="363">
        <f t="shared" si="274"/>
        <v>0</v>
      </c>
      <c r="BQ156" s="363">
        <f t="shared" si="274"/>
        <v>1800</v>
      </c>
      <c r="BR156" s="363">
        <f t="shared" si="274"/>
        <v>0</v>
      </c>
      <c r="BS156" s="363">
        <f t="shared" si="274"/>
        <v>80166.350000000006</v>
      </c>
      <c r="BT156" s="280">
        <f t="shared" si="274"/>
        <v>0</v>
      </c>
    </row>
    <row r="157" spans="1:72" s="313" customFormat="1" ht="25.5" outlineLevel="1">
      <c r="A157" s="287">
        <v>147</v>
      </c>
      <c r="B157" s="818"/>
      <c r="C157" s="840"/>
      <c r="D157" s="841"/>
      <c r="E157" s="839"/>
      <c r="F157" s="821" t="s">
        <v>23</v>
      </c>
      <c r="G157" s="314">
        <v>2</v>
      </c>
      <c r="H157" s="739" t="s">
        <v>71</v>
      </c>
      <c r="I157" s="739">
        <v>244</v>
      </c>
      <c r="J157" s="740">
        <v>222</v>
      </c>
      <c r="K157" s="533" t="s">
        <v>374</v>
      </c>
      <c r="L157" s="341">
        <f>22645.08+M157</f>
        <v>30145.08</v>
      </c>
      <c r="M157" s="318">
        <v>7500</v>
      </c>
      <c r="N157" s="318"/>
      <c r="O157" s="318">
        <f>L157+N157</f>
        <v>30145.08</v>
      </c>
      <c r="P157" s="570"/>
      <c r="Q157" s="341">
        <v>22645.08</v>
      </c>
      <c r="R157" s="559"/>
      <c r="S157" s="540">
        <v>21763.97</v>
      </c>
      <c r="T157" s="559"/>
      <c r="U157" s="335"/>
      <c r="V157" s="320" t="s">
        <v>240</v>
      </c>
      <c r="W157" s="388" t="s">
        <v>241</v>
      </c>
      <c r="X157" s="388" t="s">
        <v>242</v>
      </c>
      <c r="Z157" s="336">
        <f t="shared" si="267"/>
        <v>3600</v>
      </c>
      <c r="AA157" s="337">
        <f t="shared" si="267"/>
        <v>0</v>
      </c>
      <c r="AB157" s="338">
        <f>Z157-AA157</f>
        <v>3600</v>
      </c>
      <c r="AC157" s="336">
        <f t="shared" si="268"/>
        <v>5400</v>
      </c>
      <c r="AD157" s="337">
        <f t="shared" si="268"/>
        <v>0</v>
      </c>
      <c r="AE157" s="338">
        <f>AC157-AD157</f>
        <v>5400</v>
      </c>
      <c r="AF157" s="336">
        <f t="shared" si="269"/>
        <v>3800</v>
      </c>
      <c r="AG157" s="337">
        <f t="shared" si="269"/>
        <v>0</v>
      </c>
      <c r="AH157" s="338">
        <f>AF157-AG157</f>
        <v>3800</v>
      </c>
      <c r="AI157" s="336">
        <f t="shared" si="270"/>
        <v>9845.08</v>
      </c>
      <c r="AJ157" s="337">
        <f t="shared" si="270"/>
        <v>0</v>
      </c>
      <c r="AK157" s="338">
        <f>AI157-AJ157</f>
        <v>9845.08</v>
      </c>
      <c r="AL157" s="342"/>
      <c r="AM157" s="336">
        <f t="shared" si="271"/>
        <v>9000</v>
      </c>
      <c r="AN157" s="339">
        <f t="shared" si="271"/>
        <v>0</v>
      </c>
      <c r="AO157" s="340">
        <f>AM157-AN157</f>
        <v>9000</v>
      </c>
      <c r="AP157" s="336">
        <f t="shared" si="272"/>
        <v>12800</v>
      </c>
      <c r="AQ157" s="339">
        <f t="shared" si="272"/>
        <v>0</v>
      </c>
      <c r="AR157" s="340">
        <f>AP157-AQ157</f>
        <v>12800</v>
      </c>
      <c r="AS157" s="341">
        <f t="shared" si="273"/>
        <v>22645.08</v>
      </c>
      <c r="AT157" s="339">
        <f t="shared" si="273"/>
        <v>0</v>
      </c>
      <c r="AU157" s="340">
        <f>AS157-AT157</f>
        <v>22645.08</v>
      </c>
      <c r="AV157" s="589">
        <f>L157-AS157</f>
        <v>7500</v>
      </c>
      <c r="AW157" s="343"/>
      <c r="AX157" s="344"/>
      <c r="AY157" s="345">
        <v>1800</v>
      </c>
      <c r="AZ157" s="344"/>
      <c r="BA157" s="345">
        <v>1800</v>
      </c>
      <c r="BB157" s="346"/>
      <c r="BC157" s="347">
        <v>1800</v>
      </c>
      <c r="BD157" s="348"/>
      <c r="BE157" s="349">
        <v>1800</v>
      </c>
      <c r="BF157" s="348"/>
      <c r="BG157" s="349">
        <v>1800</v>
      </c>
      <c r="BH157" s="350"/>
      <c r="BI157" s="351">
        <v>1800</v>
      </c>
      <c r="BJ157" s="352"/>
      <c r="BK157" s="337">
        <v>1000</v>
      </c>
      <c r="BL157" s="352"/>
      <c r="BM157" s="337">
        <v>1000</v>
      </c>
      <c r="BN157" s="353"/>
      <c r="BO157" s="354">
        <v>1800</v>
      </c>
      <c r="BP157" s="355"/>
      <c r="BQ157" s="356">
        <v>1800</v>
      </c>
      <c r="BR157" s="355"/>
      <c r="BS157" s="356">
        <f>1800*2+2645.08</f>
        <v>6245.08</v>
      </c>
      <c r="BT157" s="357"/>
    </row>
    <row r="158" spans="1:72" s="313" customFormat="1" ht="38.25" outlineLevel="1">
      <c r="A158" s="287">
        <v>148</v>
      </c>
      <c r="B158" s="818"/>
      <c r="C158" s="840"/>
      <c r="D158" s="841"/>
      <c r="E158" s="839"/>
      <c r="F158" s="821" t="s">
        <v>23</v>
      </c>
      <c r="G158" s="314">
        <v>2</v>
      </c>
      <c r="H158" s="739" t="s">
        <v>71</v>
      </c>
      <c r="I158" s="739">
        <v>244</v>
      </c>
      <c r="J158" s="740">
        <v>222</v>
      </c>
      <c r="K158" s="533" t="s">
        <v>375</v>
      </c>
      <c r="L158" s="341">
        <f>253921.27+M158</f>
        <v>261421.27</v>
      </c>
      <c r="M158" s="318">
        <v>7500</v>
      </c>
      <c r="N158" s="318"/>
      <c r="O158" s="318">
        <f>L158+N158</f>
        <v>261421.27</v>
      </c>
      <c r="P158" s="570"/>
      <c r="Q158" s="341">
        <v>253921.27</v>
      </c>
      <c r="R158" s="559"/>
      <c r="S158" s="540">
        <v>253921.27</v>
      </c>
      <c r="T158" s="559"/>
      <c r="U158" s="335"/>
      <c r="V158" s="811" t="s">
        <v>459</v>
      </c>
      <c r="W158" s="388"/>
      <c r="X158" s="388"/>
      <c r="Z158" s="336">
        <f t="shared" si="267"/>
        <v>60000</v>
      </c>
      <c r="AA158" s="337">
        <f t="shared" si="267"/>
        <v>0</v>
      </c>
      <c r="AB158" s="338">
        <f>Z158-AA158</f>
        <v>60000</v>
      </c>
      <c r="AC158" s="336">
        <f t="shared" si="268"/>
        <v>60000</v>
      </c>
      <c r="AD158" s="337">
        <f t="shared" si="268"/>
        <v>0</v>
      </c>
      <c r="AE158" s="338">
        <f>AC158-AD158</f>
        <v>60000</v>
      </c>
      <c r="AF158" s="336">
        <f t="shared" si="269"/>
        <v>0</v>
      </c>
      <c r="AG158" s="337">
        <f t="shared" si="269"/>
        <v>0</v>
      </c>
      <c r="AH158" s="338">
        <f>AF158-AG158</f>
        <v>0</v>
      </c>
      <c r="AI158" s="336">
        <f t="shared" si="270"/>
        <v>133921.26999999999</v>
      </c>
      <c r="AJ158" s="337">
        <f t="shared" si="270"/>
        <v>0</v>
      </c>
      <c r="AK158" s="338">
        <f>AI158-AJ158</f>
        <v>133921.26999999999</v>
      </c>
      <c r="AL158" s="342"/>
      <c r="AM158" s="336">
        <f t="shared" si="271"/>
        <v>120000</v>
      </c>
      <c r="AN158" s="339">
        <f t="shared" si="271"/>
        <v>0</v>
      </c>
      <c r="AO158" s="340">
        <f>AM158-AN158</f>
        <v>120000</v>
      </c>
      <c r="AP158" s="336">
        <f t="shared" si="272"/>
        <v>120000</v>
      </c>
      <c r="AQ158" s="339">
        <f t="shared" si="272"/>
        <v>0</v>
      </c>
      <c r="AR158" s="340">
        <f>AP158-AQ158</f>
        <v>120000</v>
      </c>
      <c r="AS158" s="341">
        <f t="shared" si="273"/>
        <v>253921.27</v>
      </c>
      <c r="AT158" s="339">
        <f t="shared" si="273"/>
        <v>0</v>
      </c>
      <c r="AU158" s="340">
        <f>AS158-AT158</f>
        <v>253921.27</v>
      </c>
      <c r="AV158" s="589">
        <f>L158-AS158</f>
        <v>7500</v>
      </c>
      <c r="AW158" s="343"/>
      <c r="AX158" s="344"/>
      <c r="AY158" s="345"/>
      <c r="AZ158" s="344"/>
      <c r="BA158" s="345">
        <v>60000</v>
      </c>
      <c r="BB158" s="346"/>
      <c r="BC158" s="347"/>
      <c r="BD158" s="348"/>
      <c r="BE158" s="349">
        <v>60000</v>
      </c>
      <c r="BF158" s="348"/>
      <c r="BG158" s="349"/>
      <c r="BH158" s="350"/>
      <c r="BI158" s="351"/>
      <c r="BJ158" s="352"/>
      <c r="BK158" s="337"/>
      <c r="BL158" s="352"/>
      <c r="BM158" s="337"/>
      <c r="BN158" s="353"/>
      <c r="BO158" s="354">
        <v>60000</v>
      </c>
      <c r="BP158" s="355"/>
      <c r="BQ158" s="356"/>
      <c r="BR158" s="355"/>
      <c r="BS158" s="356">
        <v>73921.27</v>
      </c>
      <c r="BT158" s="357"/>
    </row>
    <row r="159" spans="1:72" s="358" customFormat="1" ht="31.5" customHeight="1">
      <c r="A159" s="287">
        <v>149</v>
      </c>
      <c r="B159" s="818"/>
      <c r="C159" s="850" t="s">
        <v>377</v>
      </c>
      <c r="D159" s="838"/>
      <c r="E159" s="836" t="s">
        <v>201</v>
      </c>
      <c r="F159" s="820" t="s">
        <v>23</v>
      </c>
      <c r="G159" s="360">
        <v>2</v>
      </c>
      <c r="H159" s="360" t="s">
        <v>71</v>
      </c>
      <c r="I159" s="360">
        <v>244</v>
      </c>
      <c r="J159" s="361">
        <v>223</v>
      </c>
      <c r="K159" s="532" t="s">
        <v>13</v>
      </c>
      <c r="L159" s="367">
        <f>L160+L161</f>
        <v>191189.05</v>
      </c>
      <c r="M159" s="363"/>
      <c r="N159" s="363"/>
      <c r="O159" s="363">
        <f t="shared" si="247"/>
        <v>191189.05</v>
      </c>
      <c r="P159" s="571"/>
      <c r="Q159" s="367">
        <f>Q160+Q161</f>
        <v>68757.649999999994</v>
      </c>
      <c r="R159" s="557"/>
      <c r="S159" s="367">
        <f>S160+S161</f>
        <v>90086.74</v>
      </c>
      <c r="T159" s="557"/>
      <c r="U159" s="365"/>
      <c r="V159" s="366"/>
      <c r="W159" s="366"/>
      <c r="X159" s="366"/>
      <c r="Z159" s="367">
        <f t="shared" si="248"/>
        <v>0</v>
      </c>
      <c r="AA159" s="363">
        <f t="shared" si="249"/>
        <v>0</v>
      </c>
      <c r="AB159" s="280">
        <f t="shared" si="250"/>
        <v>0</v>
      </c>
      <c r="AC159" s="367">
        <f t="shared" si="251"/>
        <v>0</v>
      </c>
      <c r="AD159" s="363">
        <f t="shared" si="252"/>
        <v>0</v>
      </c>
      <c r="AE159" s="280">
        <f t="shared" si="253"/>
        <v>0</v>
      </c>
      <c r="AF159" s="367">
        <f t="shared" si="254"/>
        <v>0</v>
      </c>
      <c r="AG159" s="363">
        <f t="shared" si="255"/>
        <v>0</v>
      </c>
      <c r="AH159" s="280">
        <f t="shared" si="256"/>
        <v>0</v>
      </c>
      <c r="AI159" s="367">
        <f t="shared" si="257"/>
        <v>191189.05</v>
      </c>
      <c r="AJ159" s="363">
        <f t="shared" si="258"/>
        <v>0</v>
      </c>
      <c r="AK159" s="280">
        <f t="shared" si="259"/>
        <v>191189.05</v>
      </c>
      <c r="AL159" s="368"/>
      <c r="AM159" s="367">
        <f t="shared" si="260"/>
        <v>0</v>
      </c>
      <c r="AN159" s="363">
        <f t="shared" si="261"/>
        <v>0</v>
      </c>
      <c r="AO159" s="280">
        <f t="shared" si="262"/>
        <v>0</v>
      </c>
      <c r="AP159" s="367">
        <f t="shared" si="263"/>
        <v>0</v>
      </c>
      <c r="AQ159" s="363">
        <f t="shared" si="264"/>
        <v>0</v>
      </c>
      <c r="AR159" s="280">
        <f t="shared" si="242"/>
        <v>0</v>
      </c>
      <c r="AS159" s="367">
        <f t="shared" si="243"/>
        <v>191189.05</v>
      </c>
      <c r="AT159" s="363">
        <f t="shared" si="244"/>
        <v>0</v>
      </c>
      <c r="AU159" s="280">
        <f t="shared" si="245"/>
        <v>191189.05</v>
      </c>
      <c r="AV159" s="588">
        <f t="shared" si="246"/>
        <v>0</v>
      </c>
      <c r="AW159" s="367">
        <f t="shared" ref="AW159:BT159" si="275">SUM(AW160:AW161)</f>
        <v>0</v>
      </c>
      <c r="AX159" s="363">
        <f t="shared" si="275"/>
        <v>0</v>
      </c>
      <c r="AY159" s="363">
        <f t="shared" si="275"/>
        <v>0</v>
      </c>
      <c r="AZ159" s="363">
        <f t="shared" si="275"/>
        <v>0</v>
      </c>
      <c r="BA159" s="363">
        <f t="shared" si="275"/>
        <v>0</v>
      </c>
      <c r="BB159" s="369">
        <f t="shared" si="275"/>
        <v>0</v>
      </c>
      <c r="BC159" s="367">
        <f t="shared" si="275"/>
        <v>0</v>
      </c>
      <c r="BD159" s="363">
        <f t="shared" si="275"/>
        <v>0</v>
      </c>
      <c r="BE159" s="363">
        <f t="shared" si="275"/>
        <v>0</v>
      </c>
      <c r="BF159" s="363">
        <f t="shared" si="275"/>
        <v>0</v>
      </c>
      <c r="BG159" s="363">
        <f t="shared" si="275"/>
        <v>0</v>
      </c>
      <c r="BH159" s="369">
        <f t="shared" si="275"/>
        <v>0</v>
      </c>
      <c r="BI159" s="367">
        <f t="shared" si="275"/>
        <v>0</v>
      </c>
      <c r="BJ159" s="363">
        <f t="shared" si="275"/>
        <v>0</v>
      </c>
      <c r="BK159" s="363">
        <f t="shared" si="275"/>
        <v>0</v>
      </c>
      <c r="BL159" s="363">
        <f t="shared" si="275"/>
        <v>0</v>
      </c>
      <c r="BM159" s="363">
        <f t="shared" si="275"/>
        <v>0</v>
      </c>
      <c r="BN159" s="369">
        <f t="shared" si="275"/>
        <v>0</v>
      </c>
      <c r="BO159" s="367">
        <f t="shared" si="275"/>
        <v>0</v>
      </c>
      <c r="BP159" s="363">
        <f t="shared" si="275"/>
        <v>0</v>
      </c>
      <c r="BQ159" s="363">
        <f t="shared" si="275"/>
        <v>0</v>
      </c>
      <c r="BR159" s="363">
        <f t="shared" si="275"/>
        <v>0</v>
      </c>
      <c r="BS159" s="363">
        <f t="shared" si="275"/>
        <v>191189.05</v>
      </c>
      <c r="BT159" s="280">
        <f t="shared" si="275"/>
        <v>0</v>
      </c>
    </row>
    <row r="160" spans="1:72" s="313" customFormat="1" ht="25.5" outlineLevel="1">
      <c r="A160" s="287">
        <v>150</v>
      </c>
      <c r="B160" s="818"/>
      <c r="C160" s="840"/>
      <c r="D160" s="841"/>
      <c r="E160" s="839"/>
      <c r="F160" s="821" t="s">
        <v>23</v>
      </c>
      <c r="G160" s="314">
        <v>2</v>
      </c>
      <c r="H160" s="739" t="s">
        <v>71</v>
      </c>
      <c r="I160" s="806">
        <v>244</v>
      </c>
      <c r="J160" s="740">
        <v>223</v>
      </c>
      <c r="K160" s="533" t="s">
        <v>354</v>
      </c>
      <c r="L160" s="341">
        <v>186664.38</v>
      </c>
      <c r="M160" s="318"/>
      <c r="N160" s="318"/>
      <c r="O160" s="318">
        <f t="shared" si="247"/>
        <v>186664.38</v>
      </c>
      <c r="P160" s="570"/>
      <c r="Q160" s="336">
        <v>64258.51</v>
      </c>
      <c r="R160" s="559"/>
      <c r="S160" s="541">
        <v>85556.64</v>
      </c>
      <c r="T160" s="559"/>
      <c r="U160" s="335"/>
      <c r="V160" s="596" t="s">
        <v>444</v>
      </c>
      <c r="W160" s="610" t="s">
        <v>443</v>
      </c>
      <c r="X160" s="597" t="s">
        <v>381</v>
      </c>
      <c r="Z160" s="336">
        <f t="shared" si="248"/>
        <v>0</v>
      </c>
      <c r="AA160" s="337">
        <f t="shared" si="249"/>
        <v>0</v>
      </c>
      <c r="AB160" s="338">
        <f t="shared" si="250"/>
        <v>0</v>
      </c>
      <c r="AC160" s="336">
        <f t="shared" si="251"/>
        <v>0</v>
      </c>
      <c r="AD160" s="337">
        <f t="shared" si="252"/>
        <v>0</v>
      </c>
      <c r="AE160" s="338">
        <f t="shared" si="253"/>
        <v>0</v>
      </c>
      <c r="AF160" s="336">
        <f t="shared" si="254"/>
        <v>0</v>
      </c>
      <c r="AG160" s="337">
        <f t="shared" si="255"/>
        <v>0</v>
      </c>
      <c r="AH160" s="338">
        <f t="shared" si="256"/>
        <v>0</v>
      </c>
      <c r="AI160" s="336">
        <f t="shared" si="257"/>
        <v>186664.38</v>
      </c>
      <c r="AJ160" s="337">
        <f t="shared" si="258"/>
        <v>0</v>
      </c>
      <c r="AK160" s="338">
        <f t="shared" si="259"/>
        <v>186664.38</v>
      </c>
      <c r="AL160" s="342"/>
      <c r="AM160" s="336">
        <f t="shared" si="260"/>
        <v>0</v>
      </c>
      <c r="AN160" s="339">
        <f t="shared" si="261"/>
        <v>0</v>
      </c>
      <c r="AO160" s="340">
        <f t="shared" si="262"/>
        <v>0</v>
      </c>
      <c r="AP160" s="336">
        <f t="shared" si="263"/>
        <v>0</v>
      </c>
      <c r="AQ160" s="339">
        <f t="shared" si="264"/>
        <v>0</v>
      </c>
      <c r="AR160" s="340">
        <f t="shared" si="242"/>
        <v>0</v>
      </c>
      <c r="AS160" s="341">
        <f t="shared" si="243"/>
        <v>186664.38</v>
      </c>
      <c r="AT160" s="339">
        <f t="shared" si="244"/>
        <v>0</v>
      </c>
      <c r="AU160" s="340">
        <f t="shared" si="245"/>
        <v>186664.38</v>
      </c>
      <c r="AV160" s="589">
        <f t="shared" si="246"/>
        <v>0</v>
      </c>
      <c r="AW160" s="343"/>
      <c r="AX160" s="344"/>
      <c r="AY160" s="345"/>
      <c r="AZ160" s="344"/>
      <c r="BA160" s="345"/>
      <c r="BB160" s="346"/>
      <c r="BC160" s="347"/>
      <c r="BD160" s="348"/>
      <c r="BE160" s="349"/>
      <c r="BF160" s="348"/>
      <c r="BG160" s="349"/>
      <c r="BH160" s="350"/>
      <c r="BI160" s="351"/>
      <c r="BJ160" s="352"/>
      <c r="BK160" s="337"/>
      <c r="BL160" s="352"/>
      <c r="BM160" s="337"/>
      <c r="BN160" s="353"/>
      <c r="BO160" s="354"/>
      <c r="BP160" s="355"/>
      <c r="BQ160" s="356"/>
      <c r="BR160" s="355"/>
      <c r="BS160" s="356">
        <v>186664.38</v>
      </c>
      <c r="BT160" s="357"/>
    </row>
    <row r="161" spans="1:72" s="313" customFormat="1" ht="25.5" outlineLevel="1">
      <c r="A161" s="287">
        <v>151</v>
      </c>
      <c r="B161" s="818"/>
      <c r="C161" s="840"/>
      <c r="D161" s="841"/>
      <c r="E161" s="839"/>
      <c r="F161" s="821" t="s">
        <v>23</v>
      </c>
      <c r="G161" s="314">
        <v>2</v>
      </c>
      <c r="H161" s="739" t="s">
        <v>71</v>
      </c>
      <c r="I161" s="739">
        <v>244</v>
      </c>
      <c r="J161" s="740">
        <v>223</v>
      </c>
      <c r="K161" s="533" t="s">
        <v>252</v>
      </c>
      <c r="L161" s="341">
        <v>4524.67</v>
      </c>
      <c r="M161" s="318"/>
      <c r="N161" s="318"/>
      <c r="O161" s="318">
        <f t="shared" si="247"/>
        <v>4524.67</v>
      </c>
      <c r="P161" s="570"/>
      <c r="Q161" s="336">
        <v>4499.1400000000003</v>
      </c>
      <c r="R161" s="559"/>
      <c r="S161" s="541">
        <v>4530.1000000000004</v>
      </c>
      <c r="T161" s="559"/>
      <c r="U161" s="335"/>
      <c r="V161" s="596" t="s">
        <v>444</v>
      </c>
      <c r="W161" s="610" t="s">
        <v>443</v>
      </c>
      <c r="X161" s="597" t="s">
        <v>381</v>
      </c>
      <c r="Z161" s="336">
        <f t="shared" si="248"/>
        <v>0</v>
      </c>
      <c r="AA161" s="337">
        <f t="shared" si="249"/>
        <v>0</v>
      </c>
      <c r="AB161" s="338">
        <f t="shared" si="250"/>
        <v>0</v>
      </c>
      <c r="AC161" s="336">
        <f t="shared" si="251"/>
        <v>0</v>
      </c>
      <c r="AD161" s="337">
        <f t="shared" si="252"/>
        <v>0</v>
      </c>
      <c r="AE161" s="338">
        <f t="shared" si="253"/>
        <v>0</v>
      </c>
      <c r="AF161" s="336">
        <f t="shared" si="254"/>
        <v>0</v>
      </c>
      <c r="AG161" s="337">
        <f t="shared" si="255"/>
        <v>0</v>
      </c>
      <c r="AH161" s="338">
        <f t="shared" si="256"/>
        <v>0</v>
      </c>
      <c r="AI161" s="336">
        <f t="shared" si="257"/>
        <v>4524.67</v>
      </c>
      <c r="AJ161" s="337">
        <f t="shared" si="258"/>
        <v>0</v>
      </c>
      <c r="AK161" s="338">
        <f t="shared" si="259"/>
        <v>4524.67</v>
      </c>
      <c r="AL161" s="342"/>
      <c r="AM161" s="336">
        <f t="shared" si="260"/>
        <v>0</v>
      </c>
      <c r="AN161" s="339">
        <f t="shared" si="261"/>
        <v>0</v>
      </c>
      <c r="AO161" s="340">
        <f t="shared" si="262"/>
        <v>0</v>
      </c>
      <c r="AP161" s="336">
        <f t="shared" si="263"/>
        <v>0</v>
      </c>
      <c r="AQ161" s="339">
        <f t="shared" si="264"/>
        <v>0</v>
      </c>
      <c r="AR161" s="340">
        <f t="shared" si="242"/>
        <v>0</v>
      </c>
      <c r="AS161" s="341">
        <f t="shared" si="243"/>
        <v>4524.67</v>
      </c>
      <c r="AT161" s="339">
        <f t="shared" si="244"/>
        <v>0</v>
      </c>
      <c r="AU161" s="340">
        <f t="shared" si="245"/>
        <v>4524.67</v>
      </c>
      <c r="AV161" s="589">
        <f t="shared" si="246"/>
        <v>0</v>
      </c>
      <c r="AW161" s="343"/>
      <c r="AX161" s="344"/>
      <c r="AY161" s="345"/>
      <c r="AZ161" s="344"/>
      <c r="BA161" s="345"/>
      <c r="BB161" s="346"/>
      <c r="BC161" s="347"/>
      <c r="BD161" s="348"/>
      <c r="BE161" s="349"/>
      <c r="BF161" s="348"/>
      <c r="BG161" s="349"/>
      <c r="BH161" s="350"/>
      <c r="BI161" s="351"/>
      <c r="BJ161" s="352"/>
      <c r="BK161" s="337"/>
      <c r="BL161" s="352"/>
      <c r="BM161" s="337"/>
      <c r="BN161" s="353"/>
      <c r="BO161" s="354"/>
      <c r="BP161" s="355"/>
      <c r="BQ161" s="356"/>
      <c r="BR161" s="355"/>
      <c r="BS161" s="356">
        <v>4524.67</v>
      </c>
      <c r="BT161" s="357"/>
    </row>
    <row r="162" spans="1:72" s="358" customFormat="1" ht="31.5" customHeight="1">
      <c r="A162" s="287">
        <v>152</v>
      </c>
      <c r="B162" s="818"/>
      <c r="C162" s="850" t="s">
        <v>377</v>
      </c>
      <c r="D162" s="838"/>
      <c r="E162" s="836" t="s">
        <v>201</v>
      </c>
      <c r="F162" s="820" t="s">
        <v>23</v>
      </c>
      <c r="G162" s="360">
        <v>2</v>
      </c>
      <c r="H162" s="360" t="s">
        <v>71</v>
      </c>
      <c r="I162" s="360">
        <v>244</v>
      </c>
      <c r="J162" s="361">
        <v>224</v>
      </c>
      <c r="K162" s="532" t="s">
        <v>151</v>
      </c>
      <c r="L162" s="367">
        <f>L163</f>
        <v>0</v>
      </c>
      <c r="M162" s="363"/>
      <c r="N162" s="363"/>
      <c r="O162" s="363">
        <f t="shared" si="247"/>
        <v>0</v>
      </c>
      <c r="P162" s="571"/>
      <c r="Q162" s="367">
        <f>Q163</f>
        <v>0</v>
      </c>
      <c r="R162" s="557"/>
      <c r="S162" s="367">
        <f>S163</f>
        <v>0</v>
      </c>
      <c r="T162" s="557"/>
      <c r="U162" s="365"/>
      <c r="V162" s="366"/>
      <c r="W162" s="366"/>
      <c r="X162" s="366"/>
      <c r="Z162" s="367">
        <f t="shared" si="248"/>
        <v>0</v>
      </c>
      <c r="AA162" s="363">
        <f t="shared" si="249"/>
        <v>0</v>
      </c>
      <c r="AB162" s="280">
        <f t="shared" si="250"/>
        <v>0</v>
      </c>
      <c r="AC162" s="367">
        <f t="shared" si="251"/>
        <v>0</v>
      </c>
      <c r="AD162" s="363">
        <f t="shared" si="252"/>
        <v>0</v>
      </c>
      <c r="AE162" s="280">
        <f t="shared" si="253"/>
        <v>0</v>
      </c>
      <c r="AF162" s="367">
        <f t="shared" si="254"/>
        <v>0</v>
      </c>
      <c r="AG162" s="363">
        <f t="shared" si="255"/>
        <v>0</v>
      </c>
      <c r="AH162" s="280">
        <f t="shared" si="256"/>
        <v>0</v>
      </c>
      <c r="AI162" s="367">
        <f t="shared" si="257"/>
        <v>0</v>
      </c>
      <c r="AJ162" s="363">
        <f t="shared" si="258"/>
        <v>0</v>
      </c>
      <c r="AK162" s="280">
        <f t="shared" si="259"/>
        <v>0</v>
      </c>
      <c r="AL162" s="368"/>
      <c r="AM162" s="367">
        <f t="shared" si="260"/>
        <v>0</v>
      </c>
      <c r="AN162" s="363">
        <f t="shared" si="261"/>
        <v>0</v>
      </c>
      <c r="AO162" s="280">
        <f t="shared" si="262"/>
        <v>0</v>
      </c>
      <c r="AP162" s="367">
        <f t="shared" si="263"/>
        <v>0</v>
      </c>
      <c r="AQ162" s="363">
        <f t="shared" si="264"/>
        <v>0</v>
      </c>
      <c r="AR162" s="280">
        <f t="shared" si="242"/>
        <v>0</v>
      </c>
      <c r="AS162" s="367">
        <f t="shared" si="243"/>
        <v>0</v>
      </c>
      <c r="AT162" s="363">
        <f t="shared" si="244"/>
        <v>0</v>
      </c>
      <c r="AU162" s="280">
        <f t="shared" si="245"/>
        <v>0</v>
      </c>
      <c r="AV162" s="588">
        <f t="shared" si="246"/>
        <v>0</v>
      </c>
      <c r="AW162" s="367">
        <f t="shared" ref="AW162:BT162" si="276">AW163</f>
        <v>0</v>
      </c>
      <c r="AX162" s="363">
        <f t="shared" si="276"/>
        <v>0</v>
      </c>
      <c r="AY162" s="363">
        <f t="shared" si="276"/>
        <v>0</v>
      </c>
      <c r="AZ162" s="363">
        <f t="shared" si="276"/>
        <v>0</v>
      </c>
      <c r="BA162" s="363">
        <f t="shared" si="276"/>
        <v>0</v>
      </c>
      <c r="BB162" s="369">
        <f t="shared" si="276"/>
        <v>0</v>
      </c>
      <c r="BC162" s="367">
        <f t="shared" si="276"/>
        <v>0</v>
      </c>
      <c r="BD162" s="363">
        <f t="shared" si="276"/>
        <v>0</v>
      </c>
      <c r="BE162" s="363">
        <f t="shared" si="276"/>
        <v>0</v>
      </c>
      <c r="BF162" s="363">
        <f t="shared" si="276"/>
        <v>0</v>
      </c>
      <c r="BG162" s="363">
        <f t="shared" si="276"/>
        <v>0</v>
      </c>
      <c r="BH162" s="369">
        <f t="shared" si="276"/>
        <v>0</v>
      </c>
      <c r="BI162" s="367">
        <f t="shared" si="276"/>
        <v>0</v>
      </c>
      <c r="BJ162" s="363">
        <f t="shared" si="276"/>
        <v>0</v>
      </c>
      <c r="BK162" s="363">
        <f t="shared" si="276"/>
        <v>0</v>
      </c>
      <c r="BL162" s="363">
        <f t="shared" si="276"/>
        <v>0</v>
      </c>
      <c r="BM162" s="363">
        <f t="shared" si="276"/>
        <v>0</v>
      </c>
      <c r="BN162" s="369">
        <f t="shared" si="276"/>
        <v>0</v>
      </c>
      <c r="BO162" s="367">
        <f t="shared" si="276"/>
        <v>0</v>
      </c>
      <c r="BP162" s="363">
        <f t="shared" si="276"/>
        <v>0</v>
      </c>
      <c r="BQ162" s="363">
        <f t="shared" si="276"/>
        <v>0</v>
      </c>
      <c r="BR162" s="363">
        <f t="shared" si="276"/>
        <v>0</v>
      </c>
      <c r="BS162" s="363">
        <f t="shared" si="276"/>
        <v>0</v>
      </c>
      <c r="BT162" s="280">
        <f t="shared" si="276"/>
        <v>0</v>
      </c>
    </row>
    <row r="163" spans="1:72" s="313" customFormat="1" ht="38.25" outlineLevel="1">
      <c r="A163" s="287">
        <v>153</v>
      </c>
      <c r="B163" s="818"/>
      <c r="C163" s="840"/>
      <c r="D163" s="841"/>
      <c r="E163" s="839"/>
      <c r="F163" s="821" t="s">
        <v>23</v>
      </c>
      <c r="G163" s="314">
        <v>2</v>
      </c>
      <c r="H163" s="739" t="s">
        <v>71</v>
      </c>
      <c r="I163" s="739">
        <v>244</v>
      </c>
      <c r="J163" s="740">
        <v>224</v>
      </c>
      <c r="K163" s="533" t="s">
        <v>264</v>
      </c>
      <c r="L163" s="336">
        <v>0</v>
      </c>
      <c r="M163" s="318"/>
      <c r="N163" s="318"/>
      <c r="O163" s="318">
        <f t="shared" si="247"/>
        <v>0</v>
      </c>
      <c r="P163" s="570"/>
      <c r="Q163" s="336">
        <v>0</v>
      </c>
      <c r="R163" s="559"/>
      <c r="S163" s="541">
        <v>0</v>
      </c>
      <c r="T163" s="559"/>
      <c r="U163" s="335"/>
      <c r="V163" s="320" t="s">
        <v>265</v>
      </c>
      <c r="W163" s="320"/>
      <c r="X163" s="320"/>
      <c r="Z163" s="336">
        <f t="shared" si="248"/>
        <v>0</v>
      </c>
      <c r="AA163" s="337">
        <f t="shared" si="249"/>
        <v>0</v>
      </c>
      <c r="AB163" s="338">
        <f t="shared" si="250"/>
        <v>0</v>
      </c>
      <c r="AC163" s="336">
        <f t="shared" si="251"/>
        <v>0</v>
      </c>
      <c r="AD163" s="337">
        <f t="shared" si="252"/>
        <v>0</v>
      </c>
      <c r="AE163" s="338">
        <f t="shared" si="253"/>
        <v>0</v>
      </c>
      <c r="AF163" s="336">
        <f t="shared" si="254"/>
        <v>0</v>
      </c>
      <c r="AG163" s="337">
        <f t="shared" si="255"/>
        <v>0</v>
      </c>
      <c r="AH163" s="338">
        <f t="shared" si="256"/>
        <v>0</v>
      </c>
      <c r="AI163" s="336">
        <f t="shared" si="257"/>
        <v>0</v>
      </c>
      <c r="AJ163" s="337">
        <f t="shared" si="258"/>
        <v>0</v>
      </c>
      <c r="AK163" s="338">
        <f t="shared" si="259"/>
        <v>0</v>
      </c>
      <c r="AL163" s="342"/>
      <c r="AM163" s="336">
        <f t="shared" si="260"/>
        <v>0</v>
      </c>
      <c r="AN163" s="339">
        <f t="shared" si="261"/>
        <v>0</v>
      </c>
      <c r="AO163" s="340">
        <f t="shared" si="262"/>
        <v>0</v>
      </c>
      <c r="AP163" s="336">
        <f t="shared" si="263"/>
        <v>0</v>
      </c>
      <c r="AQ163" s="339">
        <f t="shared" si="264"/>
        <v>0</v>
      </c>
      <c r="AR163" s="340">
        <f t="shared" si="242"/>
        <v>0</v>
      </c>
      <c r="AS163" s="341">
        <f t="shared" si="243"/>
        <v>0</v>
      </c>
      <c r="AT163" s="339">
        <f t="shared" si="244"/>
        <v>0</v>
      </c>
      <c r="AU163" s="340">
        <f t="shared" si="245"/>
        <v>0</v>
      </c>
      <c r="AV163" s="589">
        <f t="shared" si="246"/>
        <v>0</v>
      </c>
      <c r="AW163" s="343"/>
      <c r="AX163" s="344"/>
      <c r="AY163" s="345"/>
      <c r="AZ163" s="344"/>
      <c r="BA163" s="345"/>
      <c r="BB163" s="346"/>
      <c r="BC163" s="347"/>
      <c r="BD163" s="348"/>
      <c r="BE163" s="349"/>
      <c r="BF163" s="348"/>
      <c r="BG163" s="349"/>
      <c r="BH163" s="350"/>
      <c r="BI163" s="351"/>
      <c r="BJ163" s="352"/>
      <c r="BK163" s="337"/>
      <c r="BL163" s="352"/>
      <c r="BM163" s="337"/>
      <c r="BN163" s="353"/>
      <c r="BO163" s="354"/>
      <c r="BP163" s="355"/>
      <c r="BQ163" s="356"/>
      <c r="BR163" s="355"/>
      <c r="BS163" s="356"/>
      <c r="BT163" s="357"/>
    </row>
    <row r="164" spans="1:72" s="358" customFormat="1" ht="31.5" customHeight="1">
      <c r="A164" s="287">
        <v>154</v>
      </c>
      <c r="B164" s="818"/>
      <c r="C164" s="850" t="s">
        <v>377</v>
      </c>
      <c r="D164" s="838"/>
      <c r="E164" s="836" t="s">
        <v>201</v>
      </c>
      <c r="F164" s="820" t="s">
        <v>23</v>
      </c>
      <c r="G164" s="360">
        <v>2</v>
      </c>
      <c r="H164" s="360" t="s">
        <v>71</v>
      </c>
      <c r="I164" s="360">
        <v>244</v>
      </c>
      <c r="J164" s="361">
        <v>225</v>
      </c>
      <c r="K164" s="532" t="s">
        <v>149</v>
      </c>
      <c r="L164" s="367">
        <f>SUM(L165:L166)</f>
        <v>95000</v>
      </c>
      <c r="M164" s="363">
        <f>SUM(M165:M166)</f>
        <v>5000</v>
      </c>
      <c r="N164" s="363">
        <f>SUM(N165:N166)</f>
        <v>0</v>
      </c>
      <c r="O164" s="363">
        <f t="shared" si="247"/>
        <v>95000</v>
      </c>
      <c r="P164" s="571"/>
      <c r="Q164" s="367">
        <f t="shared" ref="Q164:S164" si="277">SUM(Q165:Q166)</f>
        <v>0</v>
      </c>
      <c r="R164" s="557">
        <f t="shared" si="277"/>
        <v>0</v>
      </c>
      <c r="S164" s="367">
        <f t="shared" si="277"/>
        <v>0</v>
      </c>
      <c r="T164" s="557"/>
      <c r="U164" s="365"/>
      <c r="V164" s="366"/>
      <c r="W164" s="366"/>
      <c r="X164" s="366">
        <f>1-X49</f>
        <v>0.15</v>
      </c>
      <c r="Z164" s="367">
        <f t="shared" ref="Z164:AA169" si="278">AW164+AY164+BA164</f>
        <v>10000</v>
      </c>
      <c r="AA164" s="363">
        <f t="shared" si="278"/>
        <v>0</v>
      </c>
      <c r="AB164" s="280">
        <f t="shared" si="250"/>
        <v>10000</v>
      </c>
      <c r="AC164" s="367">
        <f t="shared" ref="AC164:AD169" si="279">BC164+BE164+BG164</f>
        <v>10000</v>
      </c>
      <c r="AD164" s="363">
        <f t="shared" si="279"/>
        <v>0</v>
      </c>
      <c r="AE164" s="280">
        <f t="shared" si="253"/>
        <v>10000</v>
      </c>
      <c r="AF164" s="367">
        <f t="shared" ref="AF164:AG169" si="280">BI164+BK164+BM164</f>
        <v>35000</v>
      </c>
      <c r="AG164" s="363">
        <f t="shared" si="280"/>
        <v>0</v>
      </c>
      <c r="AH164" s="280">
        <f t="shared" si="256"/>
        <v>35000</v>
      </c>
      <c r="AI164" s="367">
        <f t="shared" ref="AI164:AJ169" si="281">BO164+BQ164+BS164</f>
        <v>35000</v>
      </c>
      <c r="AJ164" s="363">
        <f t="shared" si="281"/>
        <v>0</v>
      </c>
      <c r="AK164" s="280">
        <f t="shared" si="259"/>
        <v>35000</v>
      </c>
      <c r="AL164" s="368"/>
      <c r="AM164" s="367">
        <f t="shared" ref="AM164:AN169" si="282">Z164+AC164</f>
        <v>20000</v>
      </c>
      <c r="AN164" s="363">
        <f t="shared" si="282"/>
        <v>0</v>
      </c>
      <c r="AO164" s="280">
        <f t="shared" si="262"/>
        <v>20000</v>
      </c>
      <c r="AP164" s="367">
        <f t="shared" ref="AP164:AQ169" si="283">Z164+AC164+AF164</f>
        <v>55000</v>
      </c>
      <c r="AQ164" s="363">
        <f t="shared" si="283"/>
        <v>0</v>
      </c>
      <c r="AR164" s="280">
        <f t="shared" si="242"/>
        <v>55000</v>
      </c>
      <c r="AS164" s="367">
        <f t="shared" ref="AS164:AT169" si="284">Z164+AC164+AF164+AI164</f>
        <v>90000</v>
      </c>
      <c r="AT164" s="363">
        <f t="shared" si="284"/>
        <v>0</v>
      </c>
      <c r="AU164" s="280">
        <f t="shared" si="245"/>
        <v>90000</v>
      </c>
      <c r="AV164" s="588">
        <f t="shared" si="246"/>
        <v>5000</v>
      </c>
      <c r="AW164" s="367">
        <f t="shared" ref="AW164:BS164" si="285">SUM(AW165:AW166)</f>
        <v>0</v>
      </c>
      <c r="AX164" s="363">
        <f t="shared" si="285"/>
        <v>0</v>
      </c>
      <c r="AY164" s="363">
        <f t="shared" si="285"/>
        <v>10000</v>
      </c>
      <c r="AZ164" s="363">
        <f t="shared" si="285"/>
        <v>0</v>
      </c>
      <c r="BA164" s="363">
        <f t="shared" si="285"/>
        <v>0</v>
      </c>
      <c r="BB164" s="369">
        <f t="shared" si="285"/>
        <v>0</v>
      </c>
      <c r="BC164" s="367">
        <f t="shared" si="285"/>
        <v>0</v>
      </c>
      <c r="BD164" s="363">
        <f t="shared" si="285"/>
        <v>0</v>
      </c>
      <c r="BE164" s="363">
        <f t="shared" si="285"/>
        <v>10000</v>
      </c>
      <c r="BF164" s="363">
        <f t="shared" si="285"/>
        <v>0</v>
      </c>
      <c r="BG164" s="363">
        <f t="shared" si="285"/>
        <v>0</v>
      </c>
      <c r="BH164" s="369">
        <f t="shared" si="285"/>
        <v>0</v>
      </c>
      <c r="BI164" s="367">
        <f t="shared" si="285"/>
        <v>25000</v>
      </c>
      <c r="BJ164" s="363">
        <f t="shared" si="285"/>
        <v>0</v>
      </c>
      <c r="BK164" s="363">
        <f t="shared" si="285"/>
        <v>10000</v>
      </c>
      <c r="BL164" s="363">
        <f t="shared" si="285"/>
        <v>0</v>
      </c>
      <c r="BM164" s="363">
        <f t="shared" si="285"/>
        <v>0</v>
      </c>
      <c r="BN164" s="369">
        <f t="shared" si="285"/>
        <v>0</v>
      </c>
      <c r="BO164" s="367">
        <f t="shared" si="285"/>
        <v>25000</v>
      </c>
      <c r="BP164" s="363">
        <f t="shared" si="285"/>
        <v>0</v>
      </c>
      <c r="BQ164" s="363">
        <f t="shared" si="285"/>
        <v>10000</v>
      </c>
      <c r="BR164" s="363">
        <f t="shared" si="285"/>
        <v>0</v>
      </c>
      <c r="BS164" s="363">
        <f t="shared" si="285"/>
        <v>0</v>
      </c>
      <c r="BT164" s="280">
        <f t="shared" ref="BT164" si="286">SUM(BT165:BT168)</f>
        <v>0</v>
      </c>
    </row>
    <row r="165" spans="1:72" s="313" customFormat="1" ht="76.5" outlineLevel="1">
      <c r="A165" s="287">
        <v>155</v>
      </c>
      <c r="B165" s="818"/>
      <c r="C165" s="840"/>
      <c r="D165" s="841"/>
      <c r="E165" s="839"/>
      <c r="F165" s="821" t="s">
        <v>23</v>
      </c>
      <c r="G165" s="314">
        <v>2</v>
      </c>
      <c r="H165" s="739" t="s">
        <v>71</v>
      </c>
      <c r="I165" s="739">
        <v>244</v>
      </c>
      <c r="J165" s="740">
        <v>225</v>
      </c>
      <c r="K165" s="317" t="s">
        <v>263</v>
      </c>
      <c r="L165" s="336">
        <f>50000+M165</f>
        <v>55000</v>
      </c>
      <c r="M165" s="318">
        <v>5000</v>
      </c>
      <c r="N165" s="318"/>
      <c r="O165" s="318">
        <f t="shared" si="247"/>
        <v>55000</v>
      </c>
      <c r="P165" s="570"/>
      <c r="Q165" s="336">
        <v>0</v>
      </c>
      <c r="R165" s="559"/>
      <c r="S165" s="541">
        <v>0</v>
      </c>
      <c r="T165" s="559"/>
      <c r="U165" s="335"/>
      <c r="V165" s="320" t="s">
        <v>255</v>
      </c>
      <c r="W165" s="320"/>
      <c r="X165" s="320"/>
      <c r="Z165" s="336">
        <f>AW165+AY165+BA165</f>
        <v>0</v>
      </c>
      <c r="AA165" s="337">
        <f>AX165+AZ165+BB165</f>
        <v>0</v>
      </c>
      <c r="AB165" s="338">
        <f>Z165-AA165</f>
        <v>0</v>
      </c>
      <c r="AC165" s="336">
        <f>BC165+BE165+BG165</f>
        <v>0</v>
      </c>
      <c r="AD165" s="337">
        <f>BD165+BF165+BH165</f>
        <v>0</v>
      </c>
      <c r="AE165" s="338">
        <f>AC165-AD165</f>
        <v>0</v>
      </c>
      <c r="AF165" s="336">
        <f>BI165+BK165+BM165</f>
        <v>25000</v>
      </c>
      <c r="AG165" s="337">
        <f>BJ165+BL165+BN165</f>
        <v>0</v>
      </c>
      <c r="AH165" s="338">
        <f>AF165-AG165</f>
        <v>25000</v>
      </c>
      <c r="AI165" s="336">
        <f>BO165+BQ165+BS165</f>
        <v>25000</v>
      </c>
      <c r="AJ165" s="337">
        <f>BP165+BR165+BT165</f>
        <v>0</v>
      </c>
      <c r="AK165" s="338">
        <f>AI165-AJ165</f>
        <v>25000</v>
      </c>
      <c r="AL165" s="342"/>
      <c r="AM165" s="336">
        <f>Z165+AC165</f>
        <v>0</v>
      </c>
      <c r="AN165" s="339">
        <f>AA165+AD165</f>
        <v>0</v>
      </c>
      <c r="AO165" s="340">
        <f>AM165-AN165</f>
        <v>0</v>
      </c>
      <c r="AP165" s="336">
        <f>Z165+AC165+AF165</f>
        <v>25000</v>
      </c>
      <c r="AQ165" s="339">
        <f>AA165+AD165+AG165</f>
        <v>0</v>
      </c>
      <c r="AR165" s="340">
        <f>AP165-AQ165</f>
        <v>25000</v>
      </c>
      <c r="AS165" s="341">
        <f>Z165+AC165+AF165+AI165</f>
        <v>50000</v>
      </c>
      <c r="AT165" s="339">
        <f>AA165+AD165+AG165+AJ165</f>
        <v>0</v>
      </c>
      <c r="AU165" s="340">
        <f>AS165-AT165</f>
        <v>50000</v>
      </c>
      <c r="AV165" s="589"/>
      <c r="AW165" s="343"/>
      <c r="AX165" s="344"/>
      <c r="AY165" s="345"/>
      <c r="AZ165" s="344"/>
      <c r="BA165" s="345"/>
      <c r="BB165" s="346"/>
      <c r="BC165" s="347"/>
      <c r="BD165" s="348"/>
      <c r="BE165" s="349"/>
      <c r="BF165" s="348"/>
      <c r="BG165" s="349"/>
      <c r="BH165" s="350"/>
      <c r="BI165" s="351">
        <v>25000</v>
      </c>
      <c r="BJ165" s="352"/>
      <c r="BK165" s="337"/>
      <c r="BL165" s="352"/>
      <c r="BM165" s="337"/>
      <c r="BN165" s="353"/>
      <c r="BO165" s="354">
        <v>25000</v>
      </c>
      <c r="BP165" s="355"/>
      <c r="BQ165" s="356"/>
      <c r="BR165" s="355"/>
      <c r="BS165" s="356"/>
      <c r="BT165" s="357"/>
    </row>
    <row r="166" spans="1:72" s="313" customFormat="1" ht="25.5" outlineLevel="1">
      <c r="A166" s="287">
        <v>156</v>
      </c>
      <c r="B166" s="818"/>
      <c r="C166" s="840"/>
      <c r="D166" s="841"/>
      <c r="E166" s="839"/>
      <c r="F166" s="821" t="s">
        <v>23</v>
      </c>
      <c r="G166" s="314">
        <v>2</v>
      </c>
      <c r="H166" s="739" t="s">
        <v>71</v>
      </c>
      <c r="I166" s="739">
        <v>244</v>
      </c>
      <c r="J166" s="740">
        <v>225</v>
      </c>
      <c r="K166" s="317" t="s">
        <v>388</v>
      </c>
      <c r="L166" s="336">
        <v>40000</v>
      </c>
      <c r="M166" s="318"/>
      <c r="N166" s="318"/>
      <c r="O166" s="318">
        <f t="shared" si="247"/>
        <v>40000</v>
      </c>
      <c r="P166" s="570"/>
      <c r="Q166" s="336">
        <v>0</v>
      </c>
      <c r="R166" s="559"/>
      <c r="S166" s="541">
        <v>0</v>
      </c>
      <c r="T166" s="559"/>
      <c r="U166" s="335"/>
      <c r="V166" s="596" t="s">
        <v>390</v>
      </c>
      <c r="W166" s="596" t="s">
        <v>445</v>
      </c>
      <c r="X166" s="596" t="s">
        <v>446</v>
      </c>
      <c r="Z166" s="336">
        <f>AW166+AY166+BA166</f>
        <v>10000</v>
      </c>
      <c r="AA166" s="337">
        <f>AX166+AZ166+BB166</f>
        <v>0</v>
      </c>
      <c r="AB166" s="338">
        <f>Z166-AA166</f>
        <v>10000</v>
      </c>
      <c r="AC166" s="336">
        <f>BC166+BE166+BG166</f>
        <v>10000</v>
      </c>
      <c r="AD166" s="337">
        <f>BD166+BF166+BH166</f>
        <v>0</v>
      </c>
      <c r="AE166" s="338">
        <f>AC166-AD166</f>
        <v>10000</v>
      </c>
      <c r="AF166" s="336">
        <f>BI166+BK166+BM166</f>
        <v>10000</v>
      </c>
      <c r="AG166" s="337">
        <f>BJ166+BL166+BN166</f>
        <v>0</v>
      </c>
      <c r="AH166" s="338">
        <f>AF166-AG166</f>
        <v>10000</v>
      </c>
      <c r="AI166" s="336">
        <f>BO166+BQ166+BS166</f>
        <v>10000</v>
      </c>
      <c r="AJ166" s="337">
        <f>BP166+BR166+BT166</f>
        <v>0</v>
      </c>
      <c r="AK166" s="338">
        <f>AI166-AJ166</f>
        <v>10000</v>
      </c>
      <c r="AL166" s="342"/>
      <c r="AM166" s="336">
        <f>Z166+AC166</f>
        <v>20000</v>
      </c>
      <c r="AN166" s="339">
        <f>AA166+AD166</f>
        <v>0</v>
      </c>
      <c r="AO166" s="340">
        <f>AM166-AN166</f>
        <v>20000</v>
      </c>
      <c r="AP166" s="336">
        <f>Z166+AC166+AF166</f>
        <v>30000</v>
      </c>
      <c r="AQ166" s="339">
        <f>AA166+AD166+AG166</f>
        <v>0</v>
      </c>
      <c r="AR166" s="340">
        <f>AP166-AQ166</f>
        <v>30000</v>
      </c>
      <c r="AS166" s="341">
        <f>Z166+AC166+AF166+AI166</f>
        <v>40000</v>
      </c>
      <c r="AT166" s="339">
        <f>AA166+AD166+AG166+AJ166</f>
        <v>0</v>
      </c>
      <c r="AU166" s="340">
        <f>AS166-AT166</f>
        <v>40000</v>
      </c>
      <c r="AV166" s="589"/>
      <c r="AW166" s="343"/>
      <c r="AX166" s="344"/>
      <c r="AY166" s="345">
        <v>10000</v>
      </c>
      <c r="AZ166" s="344"/>
      <c r="BA166" s="345"/>
      <c r="BB166" s="346"/>
      <c r="BC166" s="347"/>
      <c r="BD166" s="348"/>
      <c r="BE166" s="349">
        <v>10000</v>
      </c>
      <c r="BF166" s="348"/>
      <c r="BG166" s="349"/>
      <c r="BH166" s="350"/>
      <c r="BI166" s="351"/>
      <c r="BJ166" s="352"/>
      <c r="BK166" s="337">
        <v>10000</v>
      </c>
      <c r="BL166" s="352"/>
      <c r="BM166" s="337"/>
      <c r="BN166" s="353"/>
      <c r="BO166" s="354"/>
      <c r="BP166" s="355"/>
      <c r="BQ166" s="356">
        <v>10000</v>
      </c>
      <c r="BR166" s="355"/>
      <c r="BS166" s="356"/>
      <c r="BT166" s="357"/>
    </row>
    <row r="167" spans="1:72" s="358" customFormat="1" ht="31.5" customHeight="1">
      <c r="A167" s="287">
        <v>157</v>
      </c>
      <c r="B167" s="818"/>
      <c r="C167" s="850" t="s">
        <v>377</v>
      </c>
      <c r="D167" s="838"/>
      <c r="E167" s="836" t="s">
        <v>201</v>
      </c>
      <c r="F167" s="820" t="s">
        <v>23</v>
      </c>
      <c r="G167" s="360">
        <v>2</v>
      </c>
      <c r="H167" s="360" t="s">
        <v>71</v>
      </c>
      <c r="I167" s="360">
        <v>244</v>
      </c>
      <c r="J167" s="361">
        <v>225</v>
      </c>
      <c r="K167" s="532" t="s">
        <v>148</v>
      </c>
      <c r="L167" s="367">
        <f>SUM(L168)</f>
        <v>92466.04</v>
      </c>
      <c r="M167" s="363"/>
      <c r="N167" s="363"/>
      <c r="O167" s="363">
        <f t="shared" si="247"/>
        <v>92466.04</v>
      </c>
      <c r="P167" s="571"/>
      <c r="Q167" s="367">
        <f t="shared" ref="Q167:S167" si="287">SUM(Q168)</f>
        <v>88868.2</v>
      </c>
      <c r="R167" s="557">
        <f t="shared" si="287"/>
        <v>0</v>
      </c>
      <c r="S167" s="367">
        <f t="shared" si="287"/>
        <v>88868.21</v>
      </c>
      <c r="T167" s="557"/>
      <c r="U167" s="365"/>
      <c r="V167" s="366"/>
      <c r="W167" s="366"/>
      <c r="X167" s="366">
        <f>1-X52</f>
        <v>1</v>
      </c>
      <c r="Z167" s="367">
        <f t="shared" ref="Z167" si="288">AW167+AY167+BA167</f>
        <v>0</v>
      </c>
      <c r="AA167" s="363">
        <f t="shared" ref="AA167" si="289">AX167+AZ167+BB167</f>
        <v>0</v>
      </c>
      <c r="AB167" s="280">
        <f t="shared" ref="AB167" si="290">Z167-AA167</f>
        <v>0</v>
      </c>
      <c r="AC167" s="367">
        <f t="shared" ref="AC167" si="291">BC167+BE167+BG167</f>
        <v>0</v>
      </c>
      <c r="AD167" s="363">
        <f t="shared" ref="AD167" si="292">BD167+BF167+BH167</f>
        <v>0</v>
      </c>
      <c r="AE167" s="280">
        <f t="shared" ref="AE167" si="293">AC167-AD167</f>
        <v>0</v>
      </c>
      <c r="AF167" s="367">
        <f t="shared" ref="AF167" si="294">BI167+BK167+BM167</f>
        <v>0</v>
      </c>
      <c r="AG167" s="363">
        <f t="shared" ref="AG167" si="295">BJ167+BL167+BN167</f>
        <v>0</v>
      </c>
      <c r="AH167" s="280">
        <f t="shared" ref="AH167" si="296">AF167-AG167</f>
        <v>0</v>
      </c>
      <c r="AI167" s="367">
        <f t="shared" ref="AI167" si="297">BO167+BQ167+BS167</f>
        <v>92466.04</v>
      </c>
      <c r="AJ167" s="363">
        <f t="shared" ref="AJ167" si="298">BP167+BR167+BT167</f>
        <v>0</v>
      </c>
      <c r="AK167" s="280">
        <f t="shared" ref="AK167" si="299">AI167-AJ167</f>
        <v>92466.04</v>
      </c>
      <c r="AL167" s="368"/>
      <c r="AM167" s="367">
        <f t="shared" ref="AM167" si="300">Z167+AC167</f>
        <v>0</v>
      </c>
      <c r="AN167" s="363">
        <f t="shared" ref="AN167" si="301">AA167+AD167</f>
        <v>0</v>
      </c>
      <c r="AO167" s="280">
        <f t="shared" ref="AO167" si="302">AM167-AN167</f>
        <v>0</v>
      </c>
      <c r="AP167" s="367">
        <f t="shared" ref="AP167" si="303">Z167+AC167+AF167</f>
        <v>0</v>
      </c>
      <c r="AQ167" s="363">
        <f t="shared" ref="AQ167" si="304">AA167+AD167+AG167</f>
        <v>0</v>
      </c>
      <c r="AR167" s="280">
        <f t="shared" ref="AR167" si="305">AP167-AQ167</f>
        <v>0</v>
      </c>
      <c r="AS167" s="367">
        <f t="shared" ref="AS167" si="306">Z167+AC167+AF167+AI167</f>
        <v>92466.04</v>
      </c>
      <c r="AT167" s="363">
        <f t="shared" ref="AT167" si="307">AA167+AD167+AG167+AJ167</f>
        <v>0</v>
      </c>
      <c r="AU167" s="280">
        <f t="shared" ref="AU167" si="308">AS167-AT167</f>
        <v>92466.04</v>
      </c>
      <c r="AV167" s="588">
        <f t="shared" ref="AV167" si="309">L167-AS167</f>
        <v>0</v>
      </c>
      <c r="AW167" s="367">
        <f t="shared" ref="AW167:BS167" si="310">SUM(AW168)</f>
        <v>0</v>
      </c>
      <c r="AX167" s="363">
        <f t="shared" si="310"/>
        <v>0</v>
      </c>
      <c r="AY167" s="363">
        <f t="shared" si="310"/>
        <v>0</v>
      </c>
      <c r="AZ167" s="363">
        <f t="shared" si="310"/>
        <v>0</v>
      </c>
      <c r="BA167" s="363">
        <f t="shared" si="310"/>
        <v>0</v>
      </c>
      <c r="BB167" s="369">
        <f t="shared" si="310"/>
        <v>0</v>
      </c>
      <c r="BC167" s="367">
        <f t="shared" si="310"/>
        <v>0</v>
      </c>
      <c r="BD167" s="363">
        <f t="shared" si="310"/>
        <v>0</v>
      </c>
      <c r="BE167" s="363">
        <f t="shared" si="310"/>
        <v>0</v>
      </c>
      <c r="BF167" s="363">
        <f t="shared" si="310"/>
        <v>0</v>
      </c>
      <c r="BG167" s="363">
        <f t="shared" si="310"/>
        <v>0</v>
      </c>
      <c r="BH167" s="369">
        <f t="shared" si="310"/>
        <v>0</v>
      </c>
      <c r="BI167" s="367">
        <f t="shared" si="310"/>
        <v>0</v>
      </c>
      <c r="BJ167" s="363">
        <f t="shared" si="310"/>
        <v>0</v>
      </c>
      <c r="BK167" s="363">
        <f t="shared" si="310"/>
        <v>0</v>
      </c>
      <c r="BL167" s="363">
        <f t="shared" si="310"/>
        <v>0</v>
      </c>
      <c r="BM167" s="363">
        <f t="shared" si="310"/>
        <v>0</v>
      </c>
      <c r="BN167" s="369">
        <f t="shared" si="310"/>
        <v>0</v>
      </c>
      <c r="BO167" s="367">
        <f t="shared" si="310"/>
        <v>0</v>
      </c>
      <c r="BP167" s="363">
        <f t="shared" si="310"/>
        <v>0</v>
      </c>
      <c r="BQ167" s="363">
        <f t="shared" si="310"/>
        <v>0</v>
      </c>
      <c r="BR167" s="363">
        <f t="shared" si="310"/>
        <v>0</v>
      </c>
      <c r="BS167" s="363">
        <f t="shared" si="310"/>
        <v>92466.04</v>
      </c>
      <c r="BT167" s="280">
        <f t="shared" ref="BT167" si="311">SUM(BT168:BT171)</f>
        <v>0</v>
      </c>
    </row>
    <row r="168" spans="1:72" s="313" customFormat="1" ht="25.5" outlineLevel="1">
      <c r="A168" s="287">
        <v>158</v>
      </c>
      <c r="B168" s="818"/>
      <c r="C168" s="840"/>
      <c r="D168" s="853" t="s">
        <v>207</v>
      </c>
      <c r="E168" s="839"/>
      <c r="F168" s="821" t="s">
        <v>23</v>
      </c>
      <c r="G168" s="314">
        <v>2</v>
      </c>
      <c r="H168" s="739" t="s">
        <v>71</v>
      </c>
      <c r="I168" s="739">
        <v>244</v>
      </c>
      <c r="J168" s="740">
        <v>225</v>
      </c>
      <c r="K168" s="533" t="s">
        <v>209</v>
      </c>
      <c r="L168" s="341">
        <v>92466.04</v>
      </c>
      <c r="M168" s="318"/>
      <c r="N168" s="318"/>
      <c r="O168" s="318">
        <f t="shared" si="247"/>
        <v>92466.04</v>
      </c>
      <c r="P168" s="570"/>
      <c r="Q168" s="336">
        <v>88868.2</v>
      </c>
      <c r="R168" s="559"/>
      <c r="S168" s="541">
        <v>88868.21</v>
      </c>
      <c r="T168" s="559"/>
      <c r="U168" s="335"/>
      <c r="V168" s="320" t="s">
        <v>208</v>
      </c>
      <c r="W168" s="388"/>
      <c r="X168" s="388"/>
      <c r="Z168" s="336">
        <f t="shared" si="278"/>
        <v>0</v>
      </c>
      <c r="AA168" s="337">
        <f t="shared" si="278"/>
        <v>0</v>
      </c>
      <c r="AB168" s="338">
        <f t="shared" si="250"/>
        <v>0</v>
      </c>
      <c r="AC168" s="336">
        <f t="shared" si="279"/>
        <v>0</v>
      </c>
      <c r="AD168" s="337">
        <f t="shared" si="279"/>
        <v>0</v>
      </c>
      <c r="AE168" s="338">
        <f t="shared" si="253"/>
        <v>0</v>
      </c>
      <c r="AF168" s="336">
        <f t="shared" si="280"/>
        <v>0</v>
      </c>
      <c r="AG168" s="337">
        <f t="shared" si="280"/>
        <v>0</v>
      </c>
      <c r="AH168" s="338">
        <f t="shared" si="256"/>
        <v>0</v>
      </c>
      <c r="AI168" s="336">
        <f t="shared" si="281"/>
        <v>92466.04</v>
      </c>
      <c r="AJ168" s="337">
        <f t="shared" si="281"/>
        <v>0</v>
      </c>
      <c r="AK168" s="338">
        <f t="shared" si="259"/>
        <v>92466.04</v>
      </c>
      <c r="AL168" s="342"/>
      <c r="AM168" s="336">
        <f t="shared" si="282"/>
        <v>0</v>
      </c>
      <c r="AN168" s="339">
        <f t="shared" si="282"/>
        <v>0</v>
      </c>
      <c r="AO168" s="340">
        <f t="shared" si="262"/>
        <v>0</v>
      </c>
      <c r="AP168" s="336">
        <f t="shared" si="283"/>
        <v>0</v>
      </c>
      <c r="AQ168" s="339">
        <f t="shared" si="283"/>
        <v>0</v>
      </c>
      <c r="AR168" s="340">
        <f t="shared" si="242"/>
        <v>0</v>
      </c>
      <c r="AS168" s="341">
        <f t="shared" si="284"/>
        <v>92466.04</v>
      </c>
      <c r="AT168" s="339">
        <f t="shared" si="284"/>
        <v>0</v>
      </c>
      <c r="AU168" s="340">
        <f t="shared" si="245"/>
        <v>92466.04</v>
      </c>
      <c r="AV168" s="589">
        <f t="shared" ref="AV168:AV188" si="312">L168-AS168</f>
        <v>0</v>
      </c>
      <c r="AW168" s="343"/>
      <c r="AX168" s="344"/>
      <c r="AY168" s="345"/>
      <c r="AZ168" s="344"/>
      <c r="BA168" s="345"/>
      <c r="BB168" s="346"/>
      <c r="BC168" s="347"/>
      <c r="BD168" s="348"/>
      <c r="BE168" s="349"/>
      <c r="BF168" s="348"/>
      <c r="BG168" s="349"/>
      <c r="BH168" s="350"/>
      <c r="BI168" s="351"/>
      <c r="BJ168" s="352"/>
      <c r="BK168" s="337"/>
      <c r="BL168" s="352"/>
      <c r="BM168" s="337"/>
      <c r="BN168" s="353"/>
      <c r="BO168" s="354"/>
      <c r="BP168" s="355"/>
      <c r="BQ168" s="356"/>
      <c r="BR168" s="355"/>
      <c r="BS168" s="356">
        <v>92466.04</v>
      </c>
      <c r="BT168" s="357"/>
    </row>
    <row r="169" spans="1:72" s="358" customFormat="1" ht="31.5" customHeight="1">
      <c r="A169" s="287">
        <v>159</v>
      </c>
      <c r="B169" s="818"/>
      <c r="C169" s="850" t="s">
        <v>377</v>
      </c>
      <c r="D169" s="838"/>
      <c r="E169" s="836" t="s">
        <v>201</v>
      </c>
      <c r="F169" s="820" t="s">
        <v>23</v>
      </c>
      <c r="G169" s="360">
        <v>2</v>
      </c>
      <c r="H169" s="360" t="s">
        <v>71</v>
      </c>
      <c r="I169" s="360">
        <v>244</v>
      </c>
      <c r="J169" s="361">
        <v>226</v>
      </c>
      <c r="K169" s="532" t="s">
        <v>150</v>
      </c>
      <c r="L169" s="367">
        <f>L170</f>
        <v>358197.09</v>
      </c>
      <c r="M169" s="363"/>
      <c r="N169" s="363"/>
      <c r="O169" s="363">
        <f t="shared" si="247"/>
        <v>358197.09</v>
      </c>
      <c r="P169" s="571"/>
      <c r="Q169" s="367">
        <f>Q170</f>
        <v>450378.96</v>
      </c>
      <c r="R169" s="557"/>
      <c r="S169" s="367">
        <f>S170</f>
        <v>480483.55</v>
      </c>
      <c r="T169" s="557"/>
      <c r="U169" s="365"/>
      <c r="V169" s="366"/>
      <c r="W169" s="366"/>
      <c r="X169" s="391">
        <f>1-X56</f>
        <v>0.54630000000000001</v>
      </c>
      <c r="Z169" s="367">
        <f t="shared" si="278"/>
        <v>0</v>
      </c>
      <c r="AA169" s="363">
        <f t="shared" si="278"/>
        <v>0</v>
      </c>
      <c r="AB169" s="280">
        <f t="shared" si="250"/>
        <v>0</v>
      </c>
      <c r="AC169" s="367">
        <f t="shared" si="279"/>
        <v>0</v>
      </c>
      <c r="AD169" s="363">
        <f t="shared" si="279"/>
        <v>0</v>
      </c>
      <c r="AE169" s="280">
        <f t="shared" si="253"/>
        <v>0</v>
      </c>
      <c r="AF169" s="367">
        <f t="shared" si="280"/>
        <v>84066.29</v>
      </c>
      <c r="AG169" s="363">
        <f t="shared" si="280"/>
        <v>0</v>
      </c>
      <c r="AH169" s="280">
        <f t="shared" si="256"/>
        <v>84066.29</v>
      </c>
      <c r="AI169" s="367">
        <f t="shared" si="281"/>
        <v>0</v>
      </c>
      <c r="AJ169" s="363">
        <f t="shared" si="281"/>
        <v>0</v>
      </c>
      <c r="AK169" s="280">
        <f t="shared" si="259"/>
        <v>0</v>
      </c>
      <c r="AL169" s="368"/>
      <c r="AM169" s="367">
        <f t="shared" si="282"/>
        <v>0</v>
      </c>
      <c r="AN169" s="363">
        <f t="shared" si="282"/>
        <v>0</v>
      </c>
      <c r="AO169" s="280">
        <f t="shared" si="262"/>
        <v>0</v>
      </c>
      <c r="AP169" s="367">
        <f t="shared" si="283"/>
        <v>84066.29</v>
      </c>
      <c r="AQ169" s="363">
        <f t="shared" si="283"/>
        <v>0</v>
      </c>
      <c r="AR169" s="280">
        <f t="shared" si="242"/>
        <v>84066.29</v>
      </c>
      <c r="AS169" s="367">
        <f t="shared" si="284"/>
        <v>84066.29</v>
      </c>
      <c r="AT169" s="363">
        <f t="shared" si="284"/>
        <v>0</v>
      </c>
      <c r="AU169" s="280">
        <f t="shared" si="245"/>
        <v>84066.29</v>
      </c>
      <c r="AV169" s="588">
        <f t="shared" si="312"/>
        <v>274130.8</v>
      </c>
      <c r="AW169" s="367">
        <f>AW170</f>
        <v>0</v>
      </c>
      <c r="AX169" s="363">
        <f t="shared" ref="AX169:BT169" si="313">AX170</f>
        <v>0</v>
      </c>
      <c r="AY169" s="363">
        <f t="shared" si="313"/>
        <v>0</v>
      </c>
      <c r="AZ169" s="363">
        <f t="shared" si="313"/>
        <v>0</v>
      </c>
      <c r="BA169" s="363">
        <f t="shared" si="313"/>
        <v>0</v>
      </c>
      <c r="BB169" s="369">
        <f t="shared" si="313"/>
        <v>0</v>
      </c>
      <c r="BC169" s="367">
        <f t="shared" si="313"/>
        <v>0</v>
      </c>
      <c r="BD169" s="363">
        <f t="shared" si="313"/>
        <v>0</v>
      </c>
      <c r="BE169" s="363">
        <f t="shared" si="313"/>
        <v>0</v>
      </c>
      <c r="BF169" s="363">
        <f t="shared" si="313"/>
        <v>0</v>
      </c>
      <c r="BG169" s="363">
        <f t="shared" si="313"/>
        <v>0</v>
      </c>
      <c r="BH169" s="369">
        <f t="shared" si="313"/>
        <v>0</v>
      </c>
      <c r="BI169" s="367">
        <f t="shared" si="313"/>
        <v>0</v>
      </c>
      <c r="BJ169" s="363">
        <f t="shared" si="313"/>
        <v>0</v>
      </c>
      <c r="BK169" s="363">
        <f t="shared" si="313"/>
        <v>31266.29</v>
      </c>
      <c r="BL169" s="363">
        <f t="shared" si="313"/>
        <v>0</v>
      </c>
      <c r="BM169" s="363">
        <f t="shared" si="313"/>
        <v>52800</v>
      </c>
      <c r="BN169" s="369">
        <f t="shared" si="313"/>
        <v>0</v>
      </c>
      <c r="BO169" s="367">
        <f t="shared" si="313"/>
        <v>0</v>
      </c>
      <c r="BP169" s="363">
        <f t="shared" si="313"/>
        <v>0</v>
      </c>
      <c r="BQ169" s="363">
        <f t="shared" si="313"/>
        <v>0</v>
      </c>
      <c r="BR169" s="363">
        <f t="shared" si="313"/>
        <v>0</v>
      </c>
      <c r="BS169" s="363">
        <f t="shared" si="313"/>
        <v>0</v>
      </c>
      <c r="BT169" s="280">
        <f t="shared" si="313"/>
        <v>0</v>
      </c>
    </row>
    <row r="170" spans="1:72" s="313" customFormat="1" ht="51" outlineLevel="1">
      <c r="A170" s="287">
        <v>160</v>
      </c>
      <c r="B170" s="818"/>
      <c r="C170" s="840"/>
      <c r="D170" s="841"/>
      <c r="E170" s="839"/>
      <c r="F170" s="821" t="s">
        <v>23</v>
      </c>
      <c r="G170" s="314">
        <v>2</v>
      </c>
      <c r="H170" s="739" t="s">
        <v>71</v>
      </c>
      <c r="I170" s="739">
        <v>244</v>
      </c>
      <c r="J170" s="740">
        <v>226</v>
      </c>
      <c r="K170" s="533" t="s">
        <v>267</v>
      </c>
      <c r="L170" s="341">
        <f>427623.5-69426.41</f>
        <v>358197.09</v>
      </c>
      <c r="M170" s="318"/>
      <c r="N170" s="318"/>
      <c r="O170" s="318">
        <f t="shared" si="247"/>
        <v>358197.09</v>
      </c>
      <c r="P170" s="570"/>
      <c r="Q170" s="336">
        <f>522589.64-72210.68</f>
        <v>450378.96</v>
      </c>
      <c r="R170" s="559"/>
      <c r="S170" s="541">
        <f>563177.71-82694.16</f>
        <v>480483.55</v>
      </c>
      <c r="T170" s="559"/>
      <c r="U170" s="335"/>
      <c r="V170" s="596" t="s">
        <v>268</v>
      </c>
      <c r="W170" s="597" t="s">
        <v>465</v>
      </c>
      <c r="X170" s="597" t="s">
        <v>416</v>
      </c>
      <c r="Z170" s="336">
        <f t="shared" ref="Z170:Z183" si="314">AW170+AY170+BA170</f>
        <v>0</v>
      </c>
      <c r="AA170" s="337">
        <f t="shared" ref="AA170:AA183" si="315">AX170+AZ170+BB170</f>
        <v>0</v>
      </c>
      <c r="AB170" s="338">
        <f t="shared" ref="AB170:AB183" si="316">Z170-AA170</f>
        <v>0</v>
      </c>
      <c r="AC170" s="336">
        <f t="shared" ref="AC170:AC183" si="317">BC170+BE170+BG170</f>
        <v>0</v>
      </c>
      <c r="AD170" s="337">
        <f t="shared" ref="AD170:AD183" si="318">BD170+BF170+BH170</f>
        <v>0</v>
      </c>
      <c r="AE170" s="338">
        <f t="shared" ref="AE170:AE183" si="319">AC170-AD170</f>
        <v>0</v>
      </c>
      <c r="AF170" s="336">
        <f t="shared" ref="AF170:AF183" si="320">BI170+BK170+BM170</f>
        <v>84066.29</v>
      </c>
      <c r="AG170" s="337">
        <f t="shared" ref="AG170:AG183" si="321">BJ170+BL170+BN170</f>
        <v>0</v>
      </c>
      <c r="AH170" s="338">
        <f t="shared" ref="AH170:AH183" si="322">AF170-AG170</f>
        <v>84066.29</v>
      </c>
      <c r="AI170" s="336">
        <f t="shared" ref="AI170:AI183" si="323">BO170+BQ170+BS170</f>
        <v>0</v>
      </c>
      <c r="AJ170" s="337">
        <f t="shared" ref="AJ170:AJ183" si="324">BP170+BR170+BT170</f>
        <v>0</v>
      </c>
      <c r="AK170" s="338">
        <f t="shared" ref="AK170:AK183" si="325">AI170-AJ170</f>
        <v>0</v>
      </c>
      <c r="AL170" s="342"/>
      <c r="AM170" s="336">
        <f t="shared" ref="AM170:AM183" si="326">Z170+AC170</f>
        <v>0</v>
      </c>
      <c r="AN170" s="339">
        <f t="shared" ref="AN170:AN183" si="327">AA170+AD170</f>
        <v>0</v>
      </c>
      <c r="AO170" s="340">
        <f t="shared" ref="AO170:AO183" si="328">AM170-AN170</f>
        <v>0</v>
      </c>
      <c r="AP170" s="336">
        <f t="shared" ref="AP170:AP183" si="329">Z170+AC170+AF170</f>
        <v>84066.29</v>
      </c>
      <c r="AQ170" s="339">
        <f t="shared" ref="AQ170:AQ183" si="330">AA170+AD170+AG170</f>
        <v>0</v>
      </c>
      <c r="AR170" s="340">
        <f t="shared" ref="AR170:AR183" si="331">AP170-AQ170</f>
        <v>84066.29</v>
      </c>
      <c r="AS170" s="341">
        <f t="shared" ref="AS170:AS183" si="332">Z170+AC170+AF170+AI170</f>
        <v>84066.29</v>
      </c>
      <c r="AT170" s="339">
        <f t="shared" ref="AT170:AT183" si="333">AA170+AD170+AG170+AJ170</f>
        <v>0</v>
      </c>
      <c r="AU170" s="340">
        <f t="shared" ref="AU170:AU183" si="334">AS170-AT170</f>
        <v>84066.29</v>
      </c>
      <c r="AV170" s="589">
        <f t="shared" si="312"/>
        <v>274130.8</v>
      </c>
      <c r="AW170" s="343"/>
      <c r="AX170" s="344"/>
      <c r="AY170" s="345"/>
      <c r="AZ170" s="344"/>
      <c r="BA170" s="345"/>
      <c r="BB170" s="346"/>
      <c r="BC170" s="347"/>
      <c r="BD170" s="348"/>
      <c r="BE170" s="349"/>
      <c r="BF170" s="348"/>
      <c r="BG170" s="349"/>
      <c r="BH170" s="350"/>
      <c r="BI170" s="351"/>
      <c r="BJ170" s="352"/>
      <c r="BK170" s="351">
        <f>(150*12*27+150*4*8)-22133.71</f>
        <v>31266.29</v>
      </c>
      <c r="BL170" s="352"/>
      <c r="BM170" s="337">
        <f>150*12*26+150*5*8</f>
        <v>52800</v>
      </c>
      <c r="BN170" s="353"/>
      <c r="BO170" s="354"/>
      <c r="BP170" s="355"/>
      <c r="BQ170" s="356"/>
      <c r="BR170" s="355"/>
      <c r="BS170" s="356"/>
      <c r="BT170" s="357"/>
    </row>
    <row r="171" spans="1:72" s="358" customFormat="1" ht="31.5" customHeight="1">
      <c r="A171" s="287">
        <v>161</v>
      </c>
      <c r="B171" s="818"/>
      <c r="C171" s="850" t="s">
        <v>377</v>
      </c>
      <c r="D171" s="838"/>
      <c r="E171" s="836" t="s">
        <v>201</v>
      </c>
      <c r="F171" s="820" t="s">
        <v>23</v>
      </c>
      <c r="G171" s="360">
        <v>2</v>
      </c>
      <c r="H171" s="360" t="s">
        <v>71</v>
      </c>
      <c r="I171" s="360">
        <v>244</v>
      </c>
      <c r="J171" s="361">
        <v>226</v>
      </c>
      <c r="K171" s="532" t="s">
        <v>170</v>
      </c>
      <c r="L171" s="367">
        <f>SUM(L172:L183)</f>
        <v>2698347.05</v>
      </c>
      <c r="M171" s="363">
        <f>SUM(M172:M183)</f>
        <v>35000</v>
      </c>
      <c r="N171" s="363"/>
      <c r="O171" s="363">
        <f t="shared" si="247"/>
        <v>2698347.05</v>
      </c>
      <c r="P171" s="571"/>
      <c r="Q171" s="367">
        <f>SUM(Q172:Q183)</f>
        <v>2662888.88</v>
      </c>
      <c r="R171" s="557"/>
      <c r="S171" s="539">
        <f>SUM(S172:S183)</f>
        <v>2675018.4700000002</v>
      </c>
      <c r="T171" s="557"/>
      <c r="U171" s="365"/>
      <c r="V171" s="366"/>
      <c r="W171" s="366"/>
      <c r="X171" s="366"/>
      <c r="Z171" s="367">
        <f t="shared" si="314"/>
        <v>654009</v>
      </c>
      <c r="AA171" s="363">
        <f t="shared" si="315"/>
        <v>0</v>
      </c>
      <c r="AB171" s="280">
        <f t="shared" si="316"/>
        <v>654009</v>
      </c>
      <c r="AC171" s="367">
        <f t="shared" si="317"/>
        <v>314500</v>
      </c>
      <c r="AD171" s="363">
        <f t="shared" si="318"/>
        <v>0</v>
      </c>
      <c r="AE171" s="280">
        <f t="shared" si="319"/>
        <v>314500</v>
      </c>
      <c r="AF171" s="367">
        <f t="shared" si="320"/>
        <v>530293.14</v>
      </c>
      <c r="AG171" s="363">
        <f t="shared" si="321"/>
        <v>0</v>
      </c>
      <c r="AH171" s="280">
        <f t="shared" si="322"/>
        <v>530293.14</v>
      </c>
      <c r="AI171" s="367">
        <f t="shared" si="323"/>
        <v>1110127.5</v>
      </c>
      <c r="AJ171" s="363">
        <f t="shared" si="324"/>
        <v>0</v>
      </c>
      <c r="AK171" s="280">
        <f t="shared" si="325"/>
        <v>1110127.5</v>
      </c>
      <c r="AL171" s="368"/>
      <c r="AM171" s="367">
        <f t="shared" si="326"/>
        <v>968509</v>
      </c>
      <c r="AN171" s="363">
        <f t="shared" si="327"/>
        <v>0</v>
      </c>
      <c r="AO171" s="280">
        <f t="shared" si="328"/>
        <v>968509</v>
      </c>
      <c r="AP171" s="367">
        <f t="shared" si="329"/>
        <v>1498802.14</v>
      </c>
      <c r="AQ171" s="363">
        <f t="shared" si="330"/>
        <v>0</v>
      </c>
      <c r="AR171" s="280">
        <f t="shared" si="331"/>
        <v>1498802.14</v>
      </c>
      <c r="AS171" s="367">
        <f t="shared" si="332"/>
        <v>2608929.64</v>
      </c>
      <c r="AT171" s="363">
        <f t="shared" si="333"/>
        <v>0</v>
      </c>
      <c r="AU171" s="280">
        <f t="shared" si="334"/>
        <v>2608929.64</v>
      </c>
      <c r="AV171" s="588">
        <f t="shared" si="312"/>
        <v>89417.41</v>
      </c>
      <c r="AW171" s="367">
        <f t="shared" ref="AW171:BT171" si="335">SUM(AW172:AW183)</f>
        <v>0</v>
      </c>
      <c r="AX171" s="363">
        <f t="shared" si="335"/>
        <v>0</v>
      </c>
      <c r="AY171" s="363">
        <f t="shared" si="335"/>
        <v>15009</v>
      </c>
      <c r="AZ171" s="363">
        <f t="shared" si="335"/>
        <v>0</v>
      </c>
      <c r="BA171" s="363">
        <f t="shared" si="335"/>
        <v>639000</v>
      </c>
      <c r="BB171" s="369">
        <f t="shared" si="335"/>
        <v>0</v>
      </c>
      <c r="BC171" s="367">
        <f t="shared" si="335"/>
        <v>0</v>
      </c>
      <c r="BD171" s="363">
        <f t="shared" si="335"/>
        <v>0</v>
      </c>
      <c r="BE171" s="363">
        <f t="shared" si="335"/>
        <v>314500</v>
      </c>
      <c r="BF171" s="363">
        <f t="shared" si="335"/>
        <v>0</v>
      </c>
      <c r="BG171" s="363">
        <f t="shared" si="335"/>
        <v>0</v>
      </c>
      <c r="BH171" s="369">
        <f t="shared" si="335"/>
        <v>0</v>
      </c>
      <c r="BI171" s="367">
        <f t="shared" si="335"/>
        <v>530293.14</v>
      </c>
      <c r="BJ171" s="363">
        <f t="shared" si="335"/>
        <v>0</v>
      </c>
      <c r="BK171" s="363">
        <f t="shared" si="335"/>
        <v>0</v>
      </c>
      <c r="BL171" s="363">
        <f t="shared" si="335"/>
        <v>0</v>
      </c>
      <c r="BM171" s="363">
        <f t="shared" si="335"/>
        <v>0</v>
      </c>
      <c r="BN171" s="369">
        <f t="shared" si="335"/>
        <v>0</v>
      </c>
      <c r="BO171" s="367">
        <f t="shared" si="335"/>
        <v>0</v>
      </c>
      <c r="BP171" s="363">
        <f t="shared" si="335"/>
        <v>0</v>
      </c>
      <c r="BQ171" s="363">
        <f t="shared" si="335"/>
        <v>0</v>
      </c>
      <c r="BR171" s="363">
        <f t="shared" si="335"/>
        <v>0</v>
      </c>
      <c r="BS171" s="363">
        <f t="shared" si="335"/>
        <v>1110127.5</v>
      </c>
      <c r="BT171" s="280">
        <f t="shared" si="335"/>
        <v>0</v>
      </c>
    </row>
    <row r="172" spans="1:72" s="615" customFormat="1" ht="38.25" outlineLevel="1">
      <c r="A172" s="287">
        <v>162</v>
      </c>
      <c r="B172" s="818"/>
      <c r="C172" s="866"/>
      <c r="D172" s="841"/>
      <c r="E172" s="867"/>
      <c r="F172" s="832" t="s">
        <v>23</v>
      </c>
      <c r="G172" s="616">
        <v>2</v>
      </c>
      <c r="H172" s="749" t="s">
        <v>71</v>
      </c>
      <c r="I172" s="749">
        <v>244</v>
      </c>
      <c r="J172" s="750">
        <v>226</v>
      </c>
      <c r="K172" s="534" t="s">
        <v>343</v>
      </c>
      <c r="L172" s="510">
        <v>0</v>
      </c>
      <c r="M172" s="619"/>
      <c r="N172" s="619"/>
      <c r="O172" s="619">
        <f t="shared" si="247"/>
        <v>0</v>
      </c>
      <c r="P172" s="620"/>
      <c r="Q172" s="509"/>
      <c r="R172" s="560"/>
      <c r="S172" s="542"/>
      <c r="T172" s="560"/>
      <c r="U172" s="621"/>
      <c r="V172" s="388" t="s">
        <v>253</v>
      </c>
      <c r="W172" s="388" t="s">
        <v>330</v>
      </c>
      <c r="X172" s="388" t="s">
        <v>243</v>
      </c>
      <c r="Z172" s="509">
        <f t="shared" si="314"/>
        <v>0</v>
      </c>
      <c r="AA172" s="622">
        <f t="shared" si="315"/>
        <v>0</v>
      </c>
      <c r="AB172" s="623">
        <f t="shared" si="316"/>
        <v>0</v>
      </c>
      <c r="AC172" s="509">
        <f t="shared" si="317"/>
        <v>0</v>
      </c>
      <c r="AD172" s="622">
        <f t="shared" si="318"/>
        <v>0</v>
      </c>
      <c r="AE172" s="623">
        <f t="shared" si="319"/>
        <v>0</v>
      </c>
      <c r="AF172" s="509">
        <f t="shared" si="320"/>
        <v>0</v>
      </c>
      <c r="AG172" s="622">
        <f t="shared" si="321"/>
        <v>0</v>
      </c>
      <c r="AH172" s="623">
        <f t="shared" si="322"/>
        <v>0</v>
      </c>
      <c r="AI172" s="509">
        <f t="shared" si="323"/>
        <v>0</v>
      </c>
      <c r="AJ172" s="622">
        <f t="shared" si="324"/>
        <v>0</v>
      </c>
      <c r="AK172" s="623">
        <f t="shared" si="325"/>
        <v>0</v>
      </c>
      <c r="AL172" s="624"/>
      <c r="AM172" s="509">
        <f t="shared" si="326"/>
        <v>0</v>
      </c>
      <c r="AN172" s="625">
        <f t="shared" si="327"/>
        <v>0</v>
      </c>
      <c r="AO172" s="626">
        <f t="shared" si="328"/>
        <v>0</v>
      </c>
      <c r="AP172" s="509">
        <f t="shared" si="329"/>
        <v>0</v>
      </c>
      <c r="AQ172" s="625">
        <f t="shared" si="330"/>
        <v>0</v>
      </c>
      <c r="AR172" s="626">
        <f t="shared" si="331"/>
        <v>0</v>
      </c>
      <c r="AS172" s="510">
        <f t="shared" si="332"/>
        <v>0</v>
      </c>
      <c r="AT172" s="625">
        <f t="shared" si="333"/>
        <v>0</v>
      </c>
      <c r="AU172" s="626">
        <f t="shared" si="334"/>
        <v>0</v>
      </c>
      <c r="AV172" s="627">
        <f t="shared" si="312"/>
        <v>0</v>
      </c>
      <c r="AW172" s="628"/>
      <c r="AX172" s="629"/>
      <c r="AY172" s="630"/>
      <c r="AZ172" s="629"/>
      <c r="BA172" s="630"/>
      <c r="BB172" s="631"/>
      <c r="BC172" s="632"/>
      <c r="BD172" s="633"/>
      <c r="BE172" s="634"/>
      <c r="BF172" s="633"/>
      <c r="BG172" s="634"/>
      <c r="BH172" s="635"/>
      <c r="BI172" s="636"/>
      <c r="BJ172" s="637"/>
      <c r="BK172" s="622"/>
      <c r="BL172" s="637"/>
      <c r="BM172" s="622"/>
      <c r="BN172" s="638"/>
      <c r="BO172" s="639"/>
      <c r="BP172" s="640"/>
      <c r="BQ172" s="641"/>
      <c r="BR172" s="640"/>
      <c r="BS172" s="641"/>
      <c r="BT172" s="642"/>
    </row>
    <row r="173" spans="1:72" s="615" customFormat="1" ht="25.5" outlineLevel="1">
      <c r="A173" s="287">
        <v>163</v>
      </c>
      <c r="B173" s="818"/>
      <c r="C173" s="866"/>
      <c r="D173" s="841"/>
      <c r="E173" s="867"/>
      <c r="F173" s="832" t="s">
        <v>23</v>
      </c>
      <c r="G173" s="616">
        <v>2</v>
      </c>
      <c r="H173" s="749" t="s">
        <v>71</v>
      </c>
      <c r="I173" s="749">
        <v>244</v>
      </c>
      <c r="J173" s="750">
        <v>226</v>
      </c>
      <c r="K173" s="534" t="s">
        <v>344</v>
      </c>
      <c r="L173" s="510">
        <v>0</v>
      </c>
      <c r="M173" s="619"/>
      <c r="N173" s="619"/>
      <c r="O173" s="619">
        <f t="shared" si="247"/>
        <v>0</v>
      </c>
      <c r="P173" s="620"/>
      <c r="Q173" s="509"/>
      <c r="R173" s="560"/>
      <c r="S173" s="542"/>
      <c r="T173" s="560"/>
      <c r="U173" s="621"/>
      <c r="V173" s="388" t="s">
        <v>255</v>
      </c>
      <c r="W173" s="388" t="s">
        <v>333</v>
      </c>
      <c r="X173" s="388" t="s">
        <v>334</v>
      </c>
      <c r="Z173" s="509">
        <f t="shared" si="314"/>
        <v>0</v>
      </c>
      <c r="AA173" s="622">
        <f t="shared" si="315"/>
        <v>0</v>
      </c>
      <c r="AB173" s="623">
        <f t="shared" si="316"/>
        <v>0</v>
      </c>
      <c r="AC173" s="509">
        <f t="shared" si="317"/>
        <v>0</v>
      </c>
      <c r="AD173" s="622">
        <f t="shared" si="318"/>
        <v>0</v>
      </c>
      <c r="AE173" s="623">
        <f t="shared" si="319"/>
        <v>0</v>
      </c>
      <c r="AF173" s="509">
        <f t="shared" si="320"/>
        <v>0</v>
      </c>
      <c r="AG173" s="622">
        <f t="shared" si="321"/>
        <v>0</v>
      </c>
      <c r="AH173" s="623">
        <f t="shared" si="322"/>
        <v>0</v>
      </c>
      <c r="AI173" s="509">
        <f t="shared" si="323"/>
        <v>0</v>
      </c>
      <c r="AJ173" s="622">
        <f t="shared" si="324"/>
        <v>0</v>
      </c>
      <c r="AK173" s="623">
        <f t="shared" si="325"/>
        <v>0</v>
      </c>
      <c r="AL173" s="624"/>
      <c r="AM173" s="509">
        <f t="shared" si="326"/>
        <v>0</v>
      </c>
      <c r="AN173" s="625">
        <f t="shared" si="327"/>
        <v>0</v>
      </c>
      <c r="AO173" s="626">
        <f t="shared" si="328"/>
        <v>0</v>
      </c>
      <c r="AP173" s="509">
        <f t="shared" si="329"/>
        <v>0</v>
      </c>
      <c r="AQ173" s="625">
        <f t="shared" si="330"/>
        <v>0</v>
      </c>
      <c r="AR173" s="626">
        <f t="shared" si="331"/>
        <v>0</v>
      </c>
      <c r="AS173" s="510">
        <f t="shared" si="332"/>
        <v>0</v>
      </c>
      <c r="AT173" s="625">
        <f t="shared" si="333"/>
        <v>0</v>
      </c>
      <c r="AU173" s="626">
        <f t="shared" si="334"/>
        <v>0</v>
      </c>
      <c r="AV173" s="627">
        <f t="shared" si="312"/>
        <v>0</v>
      </c>
      <c r="AW173" s="628"/>
      <c r="AX173" s="629"/>
      <c r="AY173" s="630"/>
      <c r="AZ173" s="629"/>
      <c r="BA173" s="630"/>
      <c r="BB173" s="631"/>
      <c r="BC173" s="632"/>
      <c r="BD173" s="633"/>
      <c r="BE173" s="634"/>
      <c r="BF173" s="633"/>
      <c r="BG173" s="634"/>
      <c r="BH173" s="635"/>
      <c r="BI173" s="636"/>
      <c r="BJ173" s="637"/>
      <c r="BK173" s="622"/>
      <c r="BL173" s="637"/>
      <c r="BM173" s="622"/>
      <c r="BN173" s="638"/>
      <c r="BO173" s="639"/>
      <c r="BP173" s="640"/>
      <c r="BQ173" s="641"/>
      <c r="BR173" s="640"/>
      <c r="BS173" s="641"/>
      <c r="BT173" s="642"/>
    </row>
    <row r="174" spans="1:72" s="313" customFormat="1" ht="25.5" outlineLevel="1">
      <c r="A174" s="287">
        <v>164</v>
      </c>
      <c r="B174" s="818"/>
      <c r="C174" s="840"/>
      <c r="D174" s="841"/>
      <c r="E174" s="839"/>
      <c r="F174" s="821" t="s">
        <v>23</v>
      </c>
      <c r="G174" s="314">
        <v>2</v>
      </c>
      <c r="H174" s="739" t="s">
        <v>71</v>
      </c>
      <c r="I174" s="739">
        <v>244</v>
      </c>
      <c r="J174" s="740">
        <v>226</v>
      </c>
      <c r="K174" s="533" t="s">
        <v>345</v>
      </c>
      <c r="L174" s="341">
        <v>156000</v>
      </c>
      <c r="M174" s="318"/>
      <c r="N174" s="318"/>
      <c r="O174" s="318">
        <f t="shared" si="247"/>
        <v>156000</v>
      </c>
      <c r="P174" s="570"/>
      <c r="Q174" s="336">
        <f>28489.72+72210.68</f>
        <v>100700.4</v>
      </c>
      <c r="R174" s="559"/>
      <c r="S174" s="541">
        <f>28489.72+82694.16</f>
        <v>111183.88</v>
      </c>
      <c r="T174" s="559"/>
      <c r="U174" s="335"/>
      <c r="V174" s="320" t="s">
        <v>470</v>
      </c>
      <c r="W174" s="388" t="s">
        <v>328</v>
      </c>
      <c r="X174" s="388" t="s">
        <v>329</v>
      </c>
      <c r="Z174" s="336">
        <f t="shared" si="314"/>
        <v>2409</v>
      </c>
      <c r="AA174" s="337">
        <f t="shared" si="315"/>
        <v>0</v>
      </c>
      <c r="AB174" s="338">
        <f t="shared" si="316"/>
        <v>2409</v>
      </c>
      <c r="AC174" s="336">
        <f t="shared" si="317"/>
        <v>0</v>
      </c>
      <c r="AD174" s="337">
        <f t="shared" si="318"/>
        <v>0</v>
      </c>
      <c r="AE174" s="338">
        <f t="shared" si="319"/>
        <v>0</v>
      </c>
      <c r="AF174" s="336">
        <f t="shared" si="320"/>
        <v>0</v>
      </c>
      <c r="AG174" s="337">
        <f t="shared" si="321"/>
        <v>0</v>
      </c>
      <c r="AH174" s="338">
        <f t="shared" si="322"/>
        <v>0</v>
      </c>
      <c r="AI174" s="336">
        <f t="shared" si="323"/>
        <v>156000</v>
      </c>
      <c r="AJ174" s="337">
        <f t="shared" si="324"/>
        <v>0</v>
      </c>
      <c r="AK174" s="338">
        <f t="shared" si="325"/>
        <v>156000</v>
      </c>
      <c r="AL174" s="342"/>
      <c r="AM174" s="336">
        <f t="shared" si="326"/>
        <v>2409</v>
      </c>
      <c r="AN174" s="339">
        <f t="shared" si="327"/>
        <v>0</v>
      </c>
      <c r="AO174" s="340">
        <f t="shared" si="328"/>
        <v>2409</v>
      </c>
      <c r="AP174" s="336">
        <f t="shared" si="329"/>
        <v>2409</v>
      </c>
      <c r="AQ174" s="339">
        <f t="shared" si="330"/>
        <v>0</v>
      </c>
      <c r="AR174" s="340">
        <f t="shared" si="331"/>
        <v>2409</v>
      </c>
      <c r="AS174" s="341">
        <f t="shared" si="332"/>
        <v>158409</v>
      </c>
      <c r="AT174" s="339">
        <f t="shared" si="333"/>
        <v>0</v>
      </c>
      <c r="AU174" s="340">
        <f t="shared" si="334"/>
        <v>158409</v>
      </c>
      <c r="AV174" s="589">
        <f t="shared" si="312"/>
        <v>-2409</v>
      </c>
      <c r="AW174" s="343"/>
      <c r="AX174" s="344"/>
      <c r="AY174" s="345">
        <v>2409</v>
      </c>
      <c r="AZ174" s="344"/>
      <c r="BA174" s="345"/>
      <c r="BB174" s="346"/>
      <c r="BC174" s="347"/>
      <c r="BD174" s="348"/>
      <c r="BE174" s="349"/>
      <c r="BF174" s="348"/>
      <c r="BG174" s="349"/>
      <c r="BH174" s="350"/>
      <c r="BI174" s="351"/>
      <c r="BJ174" s="352"/>
      <c r="BK174" s="337"/>
      <c r="BL174" s="352"/>
      <c r="BM174" s="337"/>
      <c r="BN174" s="353"/>
      <c r="BO174" s="354"/>
      <c r="BP174" s="355"/>
      <c r="BQ174" s="356"/>
      <c r="BR174" s="355"/>
      <c r="BS174" s="356">
        <v>156000</v>
      </c>
      <c r="BT174" s="357"/>
    </row>
    <row r="175" spans="1:72" s="313" customFormat="1" ht="25.5" outlineLevel="1">
      <c r="A175" s="287">
        <v>165</v>
      </c>
      <c r="B175" s="818" t="s">
        <v>469</v>
      </c>
      <c r="C175" s="840"/>
      <c r="D175" s="841"/>
      <c r="E175" s="839"/>
      <c r="F175" s="821" t="s">
        <v>23</v>
      </c>
      <c r="G175" s="314">
        <v>2</v>
      </c>
      <c r="H175" s="739" t="s">
        <v>71</v>
      </c>
      <c r="I175" s="739">
        <v>244</v>
      </c>
      <c r="J175" s="740">
        <v>226</v>
      </c>
      <c r="K175" s="533" t="s">
        <v>346</v>
      </c>
      <c r="L175" s="341">
        <v>12600</v>
      </c>
      <c r="M175" s="318"/>
      <c r="N175" s="318"/>
      <c r="O175" s="318">
        <f t="shared" si="247"/>
        <v>12600</v>
      </c>
      <c r="P175" s="570"/>
      <c r="Q175" s="336"/>
      <c r="R175" s="559"/>
      <c r="S175" s="541"/>
      <c r="T175" s="559"/>
      <c r="U175" s="335"/>
      <c r="V175" s="596" t="s">
        <v>471</v>
      </c>
      <c r="W175" s="610" t="s">
        <v>472</v>
      </c>
      <c r="X175" s="388" t="s">
        <v>235</v>
      </c>
      <c r="Z175" s="336">
        <f t="shared" si="314"/>
        <v>12600</v>
      </c>
      <c r="AA175" s="337">
        <f t="shared" si="315"/>
        <v>0</v>
      </c>
      <c r="AB175" s="338">
        <f t="shared" si="316"/>
        <v>12600</v>
      </c>
      <c r="AC175" s="336">
        <f t="shared" si="317"/>
        <v>0</v>
      </c>
      <c r="AD175" s="337">
        <f t="shared" si="318"/>
        <v>0</v>
      </c>
      <c r="AE175" s="338">
        <f t="shared" si="319"/>
        <v>0</v>
      </c>
      <c r="AF175" s="336">
        <f t="shared" si="320"/>
        <v>0</v>
      </c>
      <c r="AG175" s="337">
        <f t="shared" si="321"/>
        <v>0</v>
      </c>
      <c r="AH175" s="338">
        <f t="shared" si="322"/>
        <v>0</v>
      </c>
      <c r="AI175" s="336">
        <f t="shared" si="323"/>
        <v>0</v>
      </c>
      <c r="AJ175" s="337">
        <f t="shared" si="324"/>
        <v>0</v>
      </c>
      <c r="AK175" s="338">
        <f t="shared" si="325"/>
        <v>0</v>
      </c>
      <c r="AL175" s="342"/>
      <c r="AM175" s="336">
        <f t="shared" si="326"/>
        <v>12600</v>
      </c>
      <c r="AN175" s="339">
        <f t="shared" si="327"/>
        <v>0</v>
      </c>
      <c r="AO175" s="340">
        <f t="shared" si="328"/>
        <v>12600</v>
      </c>
      <c r="AP175" s="336">
        <f t="shared" si="329"/>
        <v>12600</v>
      </c>
      <c r="AQ175" s="339">
        <f t="shared" si="330"/>
        <v>0</v>
      </c>
      <c r="AR175" s="340">
        <f t="shared" si="331"/>
        <v>12600</v>
      </c>
      <c r="AS175" s="341">
        <f t="shared" si="332"/>
        <v>12600</v>
      </c>
      <c r="AT175" s="339">
        <f t="shared" si="333"/>
        <v>0</v>
      </c>
      <c r="AU175" s="340">
        <f t="shared" si="334"/>
        <v>12600</v>
      </c>
      <c r="AV175" s="589">
        <f t="shared" si="312"/>
        <v>0</v>
      </c>
      <c r="AW175" s="343"/>
      <c r="AX175" s="344"/>
      <c r="AY175" s="345">
        <v>12600</v>
      </c>
      <c r="AZ175" s="344"/>
      <c r="BA175" s="345"/>
      <c r="BB175" s="346"/>
      <c r="BC175" s="347"/>
      <c r="BD175" s="348"/>
      <c r="BE175" s="349"/>
      <c r="BF175" s="348"/>
      <c r="BG175" s="349"/>
      <c r="BH175" s="350"/>
      <c r="BI175" s="351"/>
      <c r="BJ175" s="352"/>
      <c r="BK175" s="337"/>
      <c r="BL175" s="352"/>
      <c r="BM175" s="337"/>
      <c r="BN175" s="353"/>
      <c r="BO175" s="354"/>
      <c r="BP175" s="355"/>
      <c r="BQ175" s="356"/>
      <c r="BR175" s="355"/>
      <c r="BS175" s="356"/>
      <c r="BT175" s="357"/>
    </row>
    <row r="176" spans="1:72" s="615" customFormat="1" ht="38.25" outlineLevel="1">
      <c r="A176" s="287">
        <v>166</v>
      </c>
      <c r="B176" s="818"/>
      <c r="C176" s="866"/>
      <c r="D176" s="841"/>
      <c r="E176" s="867"/>
      <c r="F176" s="832" t="s">
        <v>23</v>
      </c>
      <c r="G176" s="616">
        <v>2</v>
      </c>
      <c r="H176" s="749" t="s">
        <v>71</v>
      </c>
      <c r="I176" s="749">
        <v>244</v>
      </c>
      <c r="J176" s="750">
        <v>226</v>
      </c>
      <c r="K176" s="534" t="s">
        <v>371</v>
      </c>
      <c r="L176" s="510">
        <v>0</v>
      </c>
      <c r="M176" s="619"/>
      <c r="N176" s="619"/>
      <c r="O176" s="619">
        <f t="shared" si="247"/>
        <v>0</v>
      </c>
      <c r="P176" s="620"/>
      <c r="Q176" s="509"/>
      <c r="R176" s="560"/>
      <c r="S176" s="542"/>
      <c r="T176" s="560"/>
      <c r="U176" s="621"/>
      <c r="V176" s="388"/>
      <c r="W176" s="388"/>
      <c r="X176" s="388"/>
      <c r="Z176" s="509">
        <f t="shared" si="314"/>
        <v>0</v>
      </c>
      <c r="AA176" s="622">
        <f t="shared" si="315"/>
        <v>0</v>
      </c>
      <c r="AB176" s="623">
        <f t="shared" si="316"/>
        <v>0</v>
      </c>
      <c r="AC176" s="509">
        <f t="shared" si="317"/>
        <v>0</v>
      </c>
      <c r="AD176" s="622">
        <f t="shared" si="318"/>
        <v>0</v>
      </c>
      <c r="AE176" s="623">
        <f t="shared" si="319"/>
        <v>0</v>
      </c>
      <c r="AF176" s="509">
        <f t="shared" si="320"/>
        <v>0</v>
      </c>
      <c r="AG176" s="622">
        <f t="shared" si="321"/>
        <v>0</v>
      </c>
      <c r="AH176" s="623">
        <f t="shared" si="322"/>
        <v>0</v>
      </c>
      <c r="AI176" s="509">
        <f t="shared" si="323"/>
        <v>0</v>
      </c>
      <c r="AJ176" s="622">
        <f t="shared" si="324"/>
        <v>0</v>
      </c>
      <c r="AK176" s="623">
        <f t="shared" si="325"/>
        <v>0</v>
      </c>
      <c r="AL176" s="624"/>
      <c r="AM176" s="509">
        <f t="shared" si="326"/>
        <v>0</v>
      </c>
      <c r="AN176" s="625">
        <f t="shared" si="327"/>
        <v>0</v>
      </c>
      <c r="AO176" s="626">
        <f t="shared" si="328"/>
        <v>0</v>
      </c>
      <c r="AP176" s="509">
        <f t="shared" si="329"/>
        <v>0</v>
      </c>
      <c r="AQ176" s="625">
        <f t="shared" si="330"/>
        <v>0</v>
      </c>
      <c r="AR176" s="626">
        <f t="shared" si="331"/>
        <v>0</v>
      </c>
      <c r="AS176" s="510">
        <f t="shared" si="332"/>
        <v>0</v>
      </c>
      <c r="AT176" s="625">
        <f t="shared" si="333"/>
        <v>0</v>
      </c>
      <c r="AU176" s="626">
        <f t="shared" si="334"/>
        <v>0</v>
      </c>
      <c r="AV176" s="627">
        <f t="shared" si="312"/>
        <v>0</v>
      </c>
      <c r="AW176" s="628"/>
      <c r="AX176" s="629"/>
      <c r="AY176" s="630"/>
      <c r="AZ176" s="629"/>
      <c r="BA176" s="630"/>
      <c r="BB176" s="631"/>
      <c r="BC176" s="632"/>
      <c r="BD176" s="633"/>
      <c r="BE176" s="634"/>
      <c r="BF176" s="633"/>
      <c r="BG176" s="634"/>
      <c r="BH176" s="635"/>
      <c r="BI176" s="636"/>
      <c r="BJ176" s="637"/>
      <c r="BK176" s="622"/>
      <c r="BL176" s="637"/>
      <c r="BM176" s="622"/>
      <c r="BN176" s="638"/>
      <c r="BO176" s="639"/>
      <c r="BP176" s="640"/>
      <c r="BQ176" s="641"/>
      <c r="BR176" s="640"/>
      <c r="BS176" s="641"/>
      <c r="BT176" s="642"/>
    </row>
    <row r="177" spans="1:72" s="615" customFormat="1" ht="38.25" outlineLevel="1">
      <c r="A177" s="287">
        <v>167</v>
      </c>
      <c r="B177" s="818"/>
      <c r="C177" s="866"/>
      <c r="D177" s="841"/>
      <c r="E177" s="867"/>
      <c r="F177" s="832" t="s">
        <v>23</v>
      </c>
      <c r="G177" s="616">
        <v>2</v>
      </c>
      <c r="H177" s="749" t="s">
        <v>71</v>
      </c>
      <c r="I177" s="749">
        <v>244</v>
      </c>
      <c r="J177" s="750">
        <v>226</v>
      </c>
      <c r="K177" s="534" t="s">
        <v>396</v>
      </c>
      <c r="L177" s="510">
        <v>0</v>
      </c>
      <c r="M177" s="619"/>
      <c r="N177" s="619"/>
      <c r="O177" s="619">
        <f t="shared" si="247"/>
        <v>0</v>
      </c>
      <c r="P177" s="620"/>
      <c r="Q177" s="509"/>
      <c r="R177" s="560"/>
      <c r="S177" s="542"/>
      <c r="T177" s="560"/>
      <c r="U177" s="621"/>
      <c r="V177" s="388" t="s">
        <v>331</v>
      </c>
      <c r="W177" s="388" t="s">
        <v>332</v>
      </c>
      <c r="X177" s="388" t="s">
        <v>243</v>
      </c>
      <c r="Z177" s="509">
        <f t="shared" si="314"/>
        <v>0</v>
      </c>
      <c r="AA177" s="622">
        <f t="shared" si="315"/>
        <v>0</v>
      </c>
      <c r="AB177" s="623">
        <f t="shared" si="316"/>
        <v>0</v>
      </c>
      <c r="AC177" s="509">
        <f t="shared" si="317"/>
        <v>0</v>
      </c>
      <c r="AD177" s="622">
        <f t="shared" si="318"/>
        <v>0</v>
      </c>
      <c r="AE177" s="623">
        <f t="shared" si="319"/>
        <v>0</v>
      </c>
      <c r="AF177" s="509">
        <f t="shared" si="320"/>
        <v>0</v>
      </c>
      <c r="AG177" s="622">
        <f t="shared" si="321"/>
        <v>0</v>
      </c>
      <c r="AH177" s="623">
        <f t="shared" si="322"/>
        <v>0</v>
      </c>
      <c r="AI177" s="509">
        <f t="shared" si="323"/>
        <v>0</v>
      </c>
      <c r="AJ177" s="622">
        <f t="shared" si="324"/>
        <v>0</v>
      </c>
      <c r="AK177" s="623">
        <f t="shared" si="325"/>
        <v>0</v>
      </c>
      <c r="AL177" s="624"/>
      <c r="AM177" s="509">
        <f t="shared" si="326"/>
        <v>0</v>
      </c>
      <c r="AN177" s="625">
        <f t="shared" si="327"/>
        <v>0</v>
      </c>
      <c r="AO177" s="626">
        <f t="shared" si="328"/>
        <v>0</v>
      </c>
      <c r="AP177" s="509">
        <f t="shared" si="329"/>
        <v>0</v>
      </c>
      <c r="AQ177" s="625">
        <f t="shared" si="330"/>
        <v>0</v>
      </c>
      <c r="AR177" s="626">
        <f t="shared" si="331"/>
        <v>0</v>
      </c>
      <c r="AS177" s="510">
        <f t="shared" si="332"/>
        <v>0</v>
      </c>
      <c r="AT177" s="625">
        <f t="shared" si="333"/>
        <v>0</v>
      </c>
      <c r="AU177" s="626">
        <f t="shared" si="334"/>
        <v>0</v>
      </c>
      <c r="AV177" s="627">
        <f t="shared" si="312"/>
        <v>0</v>
      </c>
      <c r="AW177" s="628"/>
      <c r="AX177" s="629"/>
      <c r="AY177" s="630"/>
      <c r="AZ177" s="629"/>
      <c r="BA177" s="630"/>
      <c r="BB177" s="631"/>
      <c r="BC177" s="632"/>
      <c r="BD177" s="633"/>
      <c r="BE177" s="634"/>
      <c r="BF177" s="633"/>
      <c r="BG177" s="634"/>
      <c r="BH177" s="635"/>
      <c r="BI177" s="636"/>
      <c r="BJ177" s="637"/>
      <c r="BK177" s="622"/>
      <c r="BL177" s="637"/>
      <c r="BM177" s="622"/>
      <c r="BN177" s="638"/>
      <c r="BO177" s="639"/>
      <c r="BP177" s="640"/>
      <c r="BQ177" s="641"/>
      <c r="BR177" s="640"/>
      <c r="BS177" s="641"/>
      <c r="BT177" s="642"/>
    </row>
    <row r="178" spans="1:72" s="313" customFormat="1" ht="38.25" outlineLevel="1">
      <c r="A178" s="287">
        <v>168</v>
      </c>
      <c r="B178" s="818"/>
      <c r="C178" s="840"/>
      <c r="D178" s="841"/>
      <c r="E178" s="839"/>
      <c r="F178" s="821" t="s">
        <v>23</v>
      </c>
      <c r="G178" s="314">
        <v>2</v>
      </c>
      <c r="H178" s="739" t="s">
        <v>71</v>
      </c>
      <c r="I178" s="739">
        <v>244</v>
      </c>
      <c r="J178" s="740">
        <v>226</v>
      </c>
      <c r="K178" s="533" t="s">
        <v>347</v>
      </c>
      <c r="L178" s="341">
        <f>1303567.18-100000+69426.41-39600-12600</f>
        <v>1220793.5900000001</v>
      </c>
      <c r="M178" s="318"/>
      <c r="N178" s="318"/>
      <c r="O178" s="318">
        <f t="shared" si="247"/>
        <v>1220793.5900000001</v>
      </c>
      <c r="P178" s="570"/>
      <c r="Q178" s="336">
        <f>1327835.02-39600</f>
        <v>1288235.02</v>
      </c>
      <c r="R178" s="559"/>
      <c r="S178" s="541">
        <f>1329481.13-39600</f>
        <v>1289881.1299999999</v>
      </c>
      <c r="T178" s="559"/>
      <c r="U178" s="335"/>
      <c r="V178" s="320" t="s">
        <v>338</v>
      </c>
      <c r="W178" s="388" t="s">
        <v>339</v>
      </c>
      <c r="X178" s="388" t="s">
        <v>340</v>
      </c>
      <c r="Z178" s="336">
        <f t="shared" si="314"/>
        <v>0</v>
      </c>
      <c r="AA178" s="337">
        <f t="shared" si="315"/>
        <v>0</v>
      </c>
      <c r="AB178" s="338">
        <f t="shared" si="316"/>
        <v>0</v>
      </c>
      <c r="AC178" s="336">
        <f t="shared" si="317"/>
        <v>0</v>
      </c>
      <c r="AD178" s="337">
        <f t="shared" si="318"/>
        <v>0</v>
      </c>
      <c r="AE178" s="338">
        <f t="shared" si="319"/>
        <v>0</v>
      </c>
      <c r="AF178" s="336">
        <f t="shared" si="320"/>
        <v>530293.14</v>
      </c>
      <c r="AG178" s="337">
        <f t="shared" si="321"/>
        <v>0</v>
      </c>
      <c r="AH178" s="338">
        <f t="shared" si="322"/>
        <v>530293.14</v>
      </c>
      <c r="AI178" s="336">
        <f t="shared" si="323"/>
        <v>633674.04</v>
      </c>
      <c r="AJ178" s="337">
        <f t="shared" si="324"/>
        <v>0</v>
      </c>
      <c r="AK178" s="338">
        <f t="shared" si="325"/>
        <v>633674.04</v>
      </c>
      <c r="AL178" s="342"/>
      <c r="AM178" s="336">
        <f t="shared" si="326"/>
        <v>0</v>
      </c>
      <c r="AN178" s="339">
        <f t="shared" si="327"/>
        <v>0</v>
      </c>
      <c r="AO178" s="340">
        <f t="shared" si="328"/>
        <v>0</v>
      </c>
      <c r="AP178" s="336">
        <f t="shared" si="329"/>
        <v>530293.14</v>
      </c>
      <c r="AQ178" s="339">
        <f t="shared" si="330"/>
        <v>0</v>
      </c>
      <c r="AR178" s="340">
        <f t="shared" si="331"/>
        <v>530293.14</v>
      </c>
      <c r="AS178" s="341">
        <f t="shared" si="332"/>
        <v>1163967.18</v>
      </c>
      <c r="AT178" s="339">
        <f t="shared" si="333"/>
        <v>0</v>
      </c>
      <c r="AU178" s="340">
        <f t="shared" si="334"/>
        <v>1163967.18</v>
      </c>
      <c r="AV178" s="589">
        <f t="shared" si="312"/>
        <v>56826.41</v>
      </c>
      <c r="AW178" s="343"/>
      <c r="AX178" s="344"/>
      <c r="AY178" s="345"/>
      <c r="AZ178" s="344"/>
      <c r="BA178" s="345"/>
      <c r="BB178" s="346"/>
      <c r="BC178" s="347"/>
      <c r="BD178" s="348"/>
      <c r="BE178" s="349"/>
      <c r="BF178" s="348"/>
      <c r="BG178" s="349"/>
      <c r="BH178" s="350"/>
      <c r="BI178" s="351">
        <f>630293.14-100000</f>
        <v>530293.14</v>
      </c>
      <c r="BJ178" s="352"/>
      <c r="BK178" s="337"/>
      <c r="BL178" s="352"/>
      <c r="BM178" s="337"/>
      <c r="BN178" s="353"/>
      <c r="BO178" s="354"/>
      <c r="BP178" s="355"/>
      <c r="BQ178" s="356"/>
      <c r="BR178" s="355"/>
      <c r="BS178" s="356">
        <f>534891.85+138382.19-39600</f>
        <v>633674.04</v>
      </c>
      <c r="BT178" s="357"/>
    </row>
    <row r="179" spans="1:72" s="313" customFormat="1" ht="38.25" outlineLevel="1">
      <c r="A179" s="287">
        <v>169</v>
      </c>
      <c r="B179" s="818"/>
      <c r="C179" s="840"/>
      <c r="D179" s="841"/>
      <c r="E179" s="839"/>
      <c r="F179" s="821" t="s">
        <v>23</v>
      </c>
      <c r="G179" s="314">
        <v>2</v>
      </c>
      <c r="H179" s="739" t="s">
        <v>71</v>
      </c>
      <c r="I179" s="739">
        <v>244</v>
      </c>
      <c r="J179" s="740">
        <v>226</v>
      </c>
      <c r="K179" s="533" t="s">
        <v>348</v>
      </c>
      <c r="L179" s="341">
        <v>76788.2</v>
      </c>
      <c r="M179" s="318"/>
      <c r="N179" s="318"/>
      <c r="O179" s="318">
        <f t="shared" si="247"/>
        <v>76788.2</v>
      </c>
      <c r="P179" s="570"/>
      <c r="Q179" s="336">
        <v>76788.2</v>
      </c>
      <c r="R179" s="559"/>
      <c r="S179" s="541">
        <v>76788.2</v>
      </c>
      <c r="T179" s="559"/>
      <c r="U179" s="335"/>
      <c r="V179" s="320" t="s">
        <v>338</v>
      </c>
      <c r="W179" s="388"/>
      <c r="X179" s="388"/>
      <c r="Z179" s="336">
        <f t="shared" si="314"/>
        <v>30000</v>
      </c>
      <c r="AA179" s="337">
        <f t="shared" si="315"/>
        <v>0</v>
      </c>
      <c r="AB179" s="338">
        <f t="shared" si="316"/>
        <v>30000</v>
      </c>
      <c r="AC179" s="336">
        <f t="shared" si="317"/>
        <v>20000</v>
      </c>
      <c r="AD179" s="337">
        <f t="shared" si="318"/>
        <v>0</v>
      </c>
      <c r="AE179" s="338">
        <f t="shared" si="319"/>
        <v>20000</v>
      </c>
      <c r="AF179" s="336">
        <f t="shared" si="320"/>
        <v>0</v>
      </c>
      <c r="AG179" s="337">
        <f t="shared" si="321"/>
        <v>0</v>
      </c>
      <c r="AH179" s="338">
        <f t="shared" si="322"/>
        <v>0</v>
      </c>
      <c r="AI179" s="336">
        <f t="shared" si="323"/>
        <v>26788.2</v>
      </c>
      <c r="AJ179" s="337">
        <f t="shared" si="324"/>
        <v>0</v>
      </c>
      <c r="AK179" s="338">
        <f t="shared" si="325"/>
        <v>26788.2</v>
      </c>
      <c r="AL179" s="342"/>
      <c r="AM179" s="336">
        <f t="shared" si="326"/>
        <v>50000</v>
      </c>
      <c r="AN179" s="339">
        <f t="shared" si="327"/>
        <v>0</v>
      </c>
      <c r="AO179" s="340">
        <f t="shared" si="328"/>
        <v>50000</v>
      </c>
      <c r="AP179" s="336">
        <f t="shared" si="329"/>
        <v>50000</v>
      </c>
      <c r="AQ179" s="339">
        <f t="shared" si="330"/>
        <v>0</v>
      </c>
      <c r="AR179" s="340">
        <f t="shared" si="331"/>
        <v>50000</v>
      </c>
      <c r="AS179" s="341">
        <f t="shared" si="332"/>
        <v>76788.2</v>
      </c>
      <c r="AT179" s="339">
        <f t="shared" si="333"/>
        <v>0</v>
      </c>
      <c r="AU179" s="340">
        <f t="shared" si="334"/>
        <v>76788.2</v>
      </c>
      <c r="AV179" s="589">
        <f t="shared" si="312"/>
        <v>0</v>
      </c>
      <c r="AW179" s="343"/>
      <c r="AX179" s="344"/>
      <c r="AY179" s="345"/>
      <c r="AZ179" s="344"/>
      <c r="BA179" s="345">
        <v>30000</v>
      </c>
      <c r="BB179" s="346"/>
      <c r="BC179" s="347"/>
      <c r="BD179" s="348"/>
      <c r="BE179" s="349">
        <v>20000</v>
      </c>
      <c r="BF179" s="348"/>
      <c r="BG179" s="349"/>
      <c r="BH179" s="350"/>
      <c r="BI179" s="351"/>
      <c r="BJ179" s="352"/>
      <c r="BK179" s="337"/>
      <c r="BL179" s="352"/>
      <c r="BM179" s="337"/>
      <c r="BN179" s="353"/>
      <c r="BO179" s="354"/>
      <c r="BP179" s="355"/>
      <c r="BQ179" s="356"/>
      <c r="BR179" s="355"/>
      <c r="BS179" s="356">
        <v>26788.2</v>
      </c>
      <c r="BT179" s="357"/>
    </row>
    <row r="180" spans="1:72" s="313" customFormat="1" ht="25.5" outlineLevel="1">
      <c r="A180" s="287">
        <v>170</v>
      </c>
      <c r="B180" s="818"/>
      <c r="C180" s="840"/>
      <c r="D180" s="841"/>
      <c r="E180" s="839"/>
      <c r="F180" s="821" t="s">
        <v>23</v>
      </c>
      <c r="G180" s="314">
        <v>2</v>
      </c>
      <c r="H180" s="739" t="s">
        <v>71</v>
      </c>
      <c r="I180" s="739">
        <v>244</v>
      </c>
      <c r="J180" s="740">
        <v>226</v>
      </c>
      <c r="K180" s="533" t="s">
        <v>349</v>
      </c>
      <c r="L180" s="341">
        <v>622720</v>
      </c>
      <c r="M180" s="318"/>
      <c r="N180" s="318"/>
      <c r="O180" s="318">
        <f t="shared" si="247"/>
        <v>622720</v>
      </c>
      <c r="P180" s="570"/>
      <c r="Q180" s="336">
        <v>622720</v>
      </c>
      <c r="R180" s="559"/>
      <c r="S180" s="541">
        <v>622720</v>
      </c>
      <c r="T180" s="559"/>
      <c r="U180" s="335"/>
      <c r="V180" s="320" t="s">
        <v>355</v>
      </c>
      <c r="W180" s="388" t="s">
        <v>356</v>
      </c>
      <c r="X180" s="388" t="s">
        <v>357</v>
      </c>
      <c r="Z180" s="336">
        <f t="shared" si="314"/>
        <v>310000</v>
      </c>
      <c r="AA180" s="337">
        <f t="shared" si="315"/>
        <v>0</v>
      </c>
      <c r="AB180" s="338">
        <f t="shared" si="316"/>
        <v>310000</v>
      </c>
      <c r="AC180" s="336">
        <f t="shared" si="317"/>
        <v>155000</v>
      </c>
      <c r="AD180" s="337">
        <f t="shared" si="318"/>
        <v>0</v>
      </c>
      <c r="AE180" s="338">
        <f t="shared" si="319"/>
        <v>155000</v>
      </c>
      <c r="AF180" s="336">
        <f t="shared" si="320"/>
        <v>0</v>
      </c>
      <c r="AG180" s="337">
        <f t="shared" si="321"/>
        <v>0</v>
      </c>
      <c r="AH180" s="338">
        <f t="shared" si="322"/>
        <v>0</v>
      </c>
      <c r="AI180" s="336">
        <f t="shared" si="323"/>
        <v>157720</v>
      </c>
      <c r="AJ180" s="337">
        <f t="shared" si="324"/>
        <v>0</v>
      </c>
      <c r="AK180" s="338">
        <f t="shared" si="325"/>
        <v>157720</v>
      </c>
      <c r="AL180" s="342"/>
      <c r="AM180" s="336">
        <f t="shared" si="326"/>
        <v>465000</v>
      </c>
      <c r="AN180" s="339">
        <f t="shared" si="327"/>
        <v>0</v>
      </c>
      <c r="AO180" s="340">
        <f t="shared" si="328"/>
        <v>465000</v>
      </c>
      <c r="AP180" s="336">
        <f t="shared" si="329"/>
        <v>465000</v>
      </c>
      <c r="AQ180" s="339">
        <f t="shared" si="330"/>
        <v>0</v>
      </c>
      <c r="AR180" s="340">
        <f t="shared" si="331"/>
        <v>465000</v>
      </c>
      <c r="AS180" s="341">
        <f t="shared" si="332"/>
        <v>622720</v>
      </c>
      <c r="AT180" s="339">
        <f t="shared" si="333"/>
        <v>0</v>
      </c>
      <c r="AU180" s="340">
        <f t="shared" si="334"/>
        <v>622720</v>
      </c>
      <c r="AV180" s="589">
        <f t="shared" si="312"/>
        <v>0</v>
      </c>
      <c r="AW180" s="343"/>
      <c r="AX180" s="344"/>
      <c r="AY180" s="345"/>
      <c r="AZ180" s="344"/>
      <c r="BA180" s="345">
        <v>310000</v>
      </c>
      <c r="BB180" s="346"/>
      <c r="BC180" s="347"/>
      <c r="BD180" s="348"/>
      <c r="BE180" s="349">
        <v>155000</v>
      </c>
      <c r="BF180" s="348"/>
      <c r="BG180" s="349"/>
      <c r="BH180" s="350"/>
      <c r="BI180" s="351"/>
      <c r="BJ180" s="352"/>
      <c r="BK180" s="337"/>
      <c r="BL180" s="352"/>
      <c r="BM180" s="337"/>
      <c r="BN180" s="353"/>
      <c r="BO180" s="354"/>
      <c r="BP180" s="355"/>
      <c r="BQ180" s="356"/>
      <c r="BR180" s="355"/>
      <c r="BS180" s="356">
        <v>157720</v>
      </c>
      <c r="BT180" s="357"/>
    </row>
    <row r="181" spans="1:72" s="313" customFormat="1" ht="38.25" outlineLevel="1">
      <c r="A181" s="287">
        <v>171</v>
      </c>
      <c r="B181" s="818"/>
      <c r="C181" s="840"/>
      <c r="D181" s="841"/>
      <c r="E181" s="839"/>
      <c r="F181" s="821" t="s">
        <v>23</v>
      </c>
      <c r="G181" s="314">
        <v>2</v>
      </c>
      <c r="H181" s="739" t="s">
        <v>71</v>
      </c>
      <c r="I181" s="739">
        <v>244</v>
      </c>
      <c r="J181" s="740">
        <v>226</v>
      </c>
      <c r="K181" s="533" t="s">
        <v>350</v>
      </c>
      <c r="L181" s="341">
        <f>138200+M181</f>
        <v>173200</v>
      </c>
      <c r="M181" s="318">
        <v>35000</v>
      </c>
      <c r="N181" s="318"/>
      <c r="O181" s="318">
        <f t="shared" si="247"/>
        <v>173200</v>
      </c>
      <c r="P181" s="570"/>
      <c r="Q181" s="336">
        <v>138200</v>
      </c>
      <c r="R181" s="559"/>
      <c r="S181" s="541">
        <v>138200</v>
      </c>
      <c r="T181" s="559"/>
      <c r="U181" s="335"/>
      <c r="V181" s="320"/>
      <c r="W181" s="388"/>
      <c r="X181" s="388"/>
      <c r="Z181" s="336">
        <f t="shared" si="314"/>
        <v>70000</v>
      </c>
      <c r="AA181" s="337">
        <f t="shared" si="315"/>
        <v>0</v>
      </c>
      <c r="AB181" s="338">
        <f t="shared" si="316"/>
        <v>70000</v>
      </c>
      <c r="AC181" s="336">
        <f t="shared" si="317"/>
        <v>35000</v>
      </c>
      <c r="AD181" s="337">
        <f t="shared" si="318"/>
        <v>0</v>
      </c>
      <c r="AE181" s="338">
        <f t="shared" si="319"/>
        <v>35000</v>
      </c>
      <c r="AF181" s="336">
        <f t="shared" si="320"/>
        <v>0</v>
      </c>
      <c r="AG181" s="337">
        <f t="shared" si="321"/>
        <v>0</v>
      </c>
      <c r="AH181" s="338">
        <f t="shared" si="322"/>
        <v>0</v>
      </c>
      <c r="AI181" s="336">
        <f t="shared" si="323"/>
        <v>33200</v>
      </c>
      <c r="AJ181" s="337">
        <f t="shared" si="324"/>
        <v>0</v>
      </c>
      <c r="AK181" s="338">
        <f t="shared" si="325"/>
        <v>33200</v>
      </c>
      <c r="AL181" s="342"/>
      <c r="AM181" s="336">
        <f t="shared" si="326"/>
        <v>105000</v>
      </c>
      <c r="AN181" s="339">
        <f t="shared" si="327"/>
        <v>0</v>
      </c>
      <c r="AO181" s="340">
        <f t="shared" si="328"/>
        <v>105000</v>
      </c>
      <c r="AP181" s="336">
        <f t="shared" si="329"/>
        <v>105000</v>
      </c>
      <c r="AQ181" s="339">
        <f t="shared" si="330"/>
        <v>0</v>
      </c>
      <c r="AR181" s="340">
        <f t="shared" si="331"/>
        <v>105000</v>
      </c>
      <c r="AS181" s="341">
        <f t="shared" si="332"/>
        <v>138200</v>
      </c>
      <c r="AT181" s="339">
        <f t="shared" si="333"/>
        <v>0</v>
      </c>
      <c r="AU181" s="340">
        <f t="shared" si="334"/>
        <v>138200</v>
      </c>
      <c r="AV181" s="589">
        <f t="shared" si="312"/>
        <v>35000</v>
      </c>
      <c r="AW181" s="343"/>
      <c r="AX181" s="344"/>
      <c r="AY181" s="345"/>
      <c r="AZ181" s="344"/>
      <c r="BA181" s="345">
        <v>70000</v>
      </c>
      <c r="BB181" s="346"/>
      <c r="BC181" s="347"/>
      <c r="BD181" s="348"/>
      <c r="BE181" s="349">
        <v>35000</v>
      </c>
      <c r="BF181" s="348"/>
      <c r="BG181" s="349"/>
      <c r="BH181" s="350"/>
      <c r="BI181" s="351"/>
      <c r="BJ181" s="352"/>
      <c r="BK181" s="337"/>
      <c r="BL181" s="352"/>
      <c r="BM181" s="337"/>
      <c r="BN181" s="353"/>
      <c r="BO181" s="354"/>
      <c r="BP181" s="355"/>
      <c r="BQ181" s="356"/>
      <c r="BR181" s="355"/>
      <c r="BS181" s="356">
        <v>33200</v>
      </c>
      <c r="BT181" s="357"/>
    </row>
    <row r="182" spans="1:72" s="313" customFormat="1" ht="51" outlineLevel="1">
      <c r="A182" s="287">
        <v>172</v>
      </c>
      <c r="B182" s="818"/>
      <c r="C182" s="840"/>
      <c r="D182" s="841"/>
      <c r="E182" s="839"/>
      <c r="F182" s="821" t="s">
        <v>23</v>
      </c>
      <c r="G182" s="314">
        <v>2</v>
      </c>
      <c r="H182" s="739" t="s">
        <v>71</v>
      </c>
      <c r="I182" s="739">
        <v>244</v>
      </c>
      <c r="J182" s="740">
        <v>226</v>
      </c>
      <c r="K182" s="533" t="s">
        <v>372</v>
      </c>
      <c r="L182" s="341">
        <v>17655.259999999998</v>
      </c>
      <c r="M182" s="318"/>
      <c r="N182" s="318"/>
      <c r="O182" s="318">
        <f t="shared" si="247"/>
        <v>17655.259999999998</v>
      </c>
      <c r="P182" s="570"/>
      <c r="Q182" s="336">
        <v>17655.259999999998</v>
      </c>
      <c r="R182" s="559"/>
      <c r="S182" s="541">
        <v>17655.259999999998</v>
      </c>
      <c r="T182" s="559"/>
      <c r="U182" s="335"/>
      <c r="V182" s="320"/>
      <c r="W182" s="388"/>
      <c r="X182" s="388"/>
      <c r="Z182" s="336">
        <f t="shared" si="314"/>
        <v>9000</v>
      </c>
      <c r="AA182" s="337">
        <f t="shared" si="315"/>
        <v>0</v>
      </c>
      <c r="AB182" s="338">
        <f t="shared" si="316"/>
        <v>9000</v>
      </c>
      <c r="AC182" s="336">
        <f t="shared" si="317"/>
        <v>4500</v>
      </c>
      <c r="AD182" s="337">
        <f t="shared" si="318"/>
        <v>0</v>
      </c>
      <c r="AE182" s="338">
        <f t="shared" si="319"/>
        <v>4500</v>
      </c>
      <c r="AF182" s="336">
        <f t="shared" si="320"/>
        <v>0</v>
      </c>
      <c r="AG182" s="337">
        <f t="shared" si="321"/>
        <v>0</v>
      </c>
      <c r="AH182" s="338">
        <f t="shared" si="322"/>
        <v>0</v>
      </c>
      <c r="AI182" s="336">
        <f t="shared" si="323"/>
        <v>4155.26</v>
      </c>
      <c r="AJ182" s="337">
        <f t="shared" si="324"/>
        <v>0</v>
      </c>
      <c r="AK182" s="338">
        <f t="shared" si="325"/>
        <v>4155.26</v>
      </c>
      <c r="AL182" s="342"/>
      <c r="AM182" s="336">
        <f t="shared" si="326"/>
        <v>13500</v>
      </c>
      <c r="AN182" s="339">
        <f t="shared" si="327"/>
        <v>0</v>
      </c>
      <c r="AO182" s="340">
        <f t="shared" si="328"/>
        <v>13500</v>
      </c>
      <c r="AP182" s="336">
        <f t="shared" si="329"/>
        <v>13500</v>
      </c>
      <c r="AQ182" s="339">
        <f t="shared" si="330"/>
        <v>0</v>
      </c>
      <c r="AR182" s="340">
        <f t="shared" si="331"/>
        <v>13500</v>
      </c>
      <c r="AS182" s="341">
        <f t="shared" si="332"/>
        <v>17655.259999999998</v>
      </c>
      <c r="AT182" s="339">
        <f t="shared" si="333"/>
        <v>0</v>
      </c>
      <c r="AU182" s="340">
        <f t="shared" si="334"/>
        <v>17655.259999999998</v>
      </c>
      <c r="AV182" s="589">
        <f t="shared" si="312"/>
        <v>0</v>
      </c>
      <c r="AW182" s="343"/>
      <c r="AX182" s="344"/>
      <c r="AY182" s="345"/>
      <c r="AZ182" s="344"/>
      <c r="BA182" s="345">
        <v>9000</v>
      </c>
      <c r="BB182" s="346"/>
      <c r="BC182" s="347"/>
      <c r="BD182" s="348"/>
      <c r="BE182" s="349">
        <v>4500</v>
      </c>
      <c r="BF182" s="348"/>
      <c r="BG182" s="349"/>
      <c r="BH182" s="350"/>
      <c r="BI182" s="351"/>
      <c r="BJ182" s="352"/>
      <c r="BK182" s="337"/>
      <c r="BL182" s="352"/>
      <c r="BM182" s="337"/>
      <c r="BN182" s="353"/>
      <c r="BO182" s="354"/>
      <c r="BP182" s="355"/>
      <c r="BQ182" s="356"/>
      <c r="BR182" s="355"/>
      <c r="BS182" s="356">
        <v>4155.26</v>
      </c>
      <c r="BT182" s="357"/>
    </row>
    <row r="183" spans="1:72" s="313" customFormat="1" ht="38.25" outlineLevel="1">
      <c r="A183" s="287">
        <v>173</v>
      </c>
      <c r="B183" s="818"/>
      <c r="C183" s="840"/>
      <c r="D183" s="841"/>
      <c r="E183" s="839"/>
      <c r="F183" s="821" t="s">
        <v>23</v>
      </c>
      <c r="G183" s="314">
        <v>2</v>
      </c>
      <c r="H183" s="739" t="s">
        <v>71</v>
      </c>
      <c r="I183" s="739">
        <v>244</v>
      </c>
      <c r="J183" s="740">
        <v>226</v>
      </c>
      <c r="K183" s="533" t="s">
        <v>373</v>
      </c>
      <c r="L183" s="341">
        <v>418590</v>
      </c>
      <c r="M183" s="318"/>
      <c r="N183" s="318"/>
      <c r="O183" s="318">
        <f t="shared" si="247"/>
        <v>418590</v>
      </c>
      <c r="P183" s="570"/>
      <c r="Q183" s="336">
        <v>418590</v>
      </c>
      <c r="R183" s="559"/>
      <c r="S183" s="541">
        <v>418590</v>
      </c>
      <c r="T183" s="559"/>
      <c r="U183" s="335"/>
      <c r="V183" s="320"/>
      <c r="W183" s="388"/>
      <c r="X183" s="388"/>
      <c r="Z183" s="336">
        <f t="shared" si="314"/>
        <v>220000</v>
      </c>
      <c r="AA183" s="337">
        <f t="shared" si="315"/>
        <v>0</v>
      </c>
      <c r="AB183" s="338">
        <f t="shared" si="316"/>
        <v>220000</v>
      </c>
      <c r="AC183" s="336">
        <f t="shared" si="317"/>
        <v>100000</v>
      </c>
      <c r="AD183" s="337">
        <f t="shared" si="318"/>
        <v>0</v>
      </c>
      <c r="AE183" s="338">
        <f t="shared" si="319"/>
        <v>100000</v>
      </c>
      <c r="AF183" s="336">
        <f t="shared" si="320"/>
        <v>0</v>
      </c>
      <c r="AG183" s="337">
        <f t="shared" si="321"/>
        <v>0</v>
      </c>
      <c r="AH183" s="338">
        <f t="shared" si="322"/>
        <v>0</v>
      </c>
      <c r="AI183" s="336">
        <f t="shared" si="323"/>
        <v>98590</v>
      </c>
      <c r="AJ183" s="337">
        <f t="shared" si="324"/>
        <v>0</v>
      </c>
      <c r="AK183" s="338">
        <f t="shared" si="325"/>
        <v>98590</v>
      </c>
      <c r="AL183" s="342"/>
      <c r="AM183" s="336">
        <f t="shared" si="326"/>
        <v>320000</v>
      </c>
      <c r="AN183" s="339">
        <f t="shared" si="327"/>
        <v>0</v>
      </c>
      <c r="AO183" s="340">
        <f t="shared" si="328"/>
        <v>320000</v>
      </c>
      <c r="AP183" s="336">
        <f t="shared" si="329"/>
        <v>320000</v>
      </c>
      <c r="AQ183" s="339">
        <f t="shared" si="330"/>
        <v>0</v>
      </c>
      <c r="AR183" s="340">
        <f t="shared" si="331"/>
        <v>320000</v>
      </c>
      <c r="AS183" s="341">
        <f t="shared" si="332"/>
        <v>418590</v>
      </c>
      <c r="AT183" s="339">
        <f t="shared" si="333"/>
        <v>0</v>
      </c>
      <c r="AU183" s="340">
        <f t="shared" si="334"/>
        <v>418590</v>
      </c>
      <c r="AV183" s="589">
        <f t="shared" si="312"/>
        <v>0</v>
      </c>
      <c r="AW183" s="343"/>
      <c r="AX183" s="344"/>
      <c r="AY183" s="345"/>
      <c r="AZ183" s="344"/>
      <c r="BA183" s="345">
        <v>220000</v>
      </c>
      <c r="BB183" s="346"/>
      <c r="BC183" s="347"/>
      <c r="BD183" s="348"/>
      <c r="BE183" s="349">
        <v>100000</v>
      </c>
      <c r="BF183" s="348"/>
      <c r="BG183" s="349"/>
      <c r="BH183" s="350"/>
      <c r="BI183" s="351"/>
      <c r="BJ183" s="352"/>
      <c r="BK183" s="337"/>
      <c r="BL183" s="352"/>
      <c r="BM183" s="337"/>
      <c r="BN183" s="353"/>
      <c r="BO183" s="354"/>
      <c r="BP183" s="355"/>
      <c r="BQ183" s="356"/>
      <c r="BR183" s="355"/>
      <c r="BS183" s="356">
        <v>98590</v>
      </c>
      <c r="BT183" s="357"/>
    </row>
    <row r="184" spans="1:72" s="358" customFormat="1" ht="31.5">
      <c r="A184" s="287">
        <v>174</v>
      </c>
      <c r="B184" s="818"/>
      <c r="C184" s="837"/>
      <c r="D184" s="838"/>
      <c r="E184" s="836" t="s">
        <v>201</v>
      </c>
      <c r="F184" s="820" t="s">
        <v>23</v>
      </c>
      <c r="G184" s="360">
        <v>2</v>
      </c>
      <c r="H184" s="360" t="s">
        <v>71</v>
      </c>
      <c r="I184" s="360">
        <v>853</v>
      </c>
      <c r="J184" s="361">
        <v>297</v>
      </c>
      <c r="K184" s="532" t="s">
        <v>38</v>
      </c>
      <c r="L184" s="367">
        <v>7426.01</v>
      </c>
      <c r="M184" s="363"/>
      <c r="N184" s="363"/>
      <c r="O184" s="363">
        <f t="shared" si="247"/>
        <v>7426.01</v>
      </c>
      <c r="P184" s="571"/>
      <c r="Q184" s="367">
        <v>7426.01</v>
      </c>
      <c r="R184" s="557"/>
      <c r="S184" s="539">
        <v>7426.01</v>
      </c>
      <c r="T184" s="557"/>
      <c r="U184" s="365"/>
      <c r="V184" s="366"/>
      <c r="W184" s="366"/>
      <c r="X184" s="366"/>
      <c r="Z184" s="367">
        <f t="shared" ref="Z184:Z196" si="336">AW184+AY184+BA184</f>
        <v>7426.01</v>
      </c>
      <c r="AA184" s="363">
        <f t="shared" ref="AA184:AA196" si="337">AX184+AZ184+BB184</f>
        <v>0</v>
      </c>
      <c r="AB184" s="280">
        <f t="shared" ref="AB184:AB196" si="338">Z184-AA184</f>
        <v>7426.01</v>
      </c>
      <c r="AC184" s="367">
        <f t="shared" ref="AC184:AC196" si="339">BC184+BE184+BG184</f>
        <v>0</v>
      </c>
      <c r="AD184" s="363">
        <f t="shared" ref="AD184:AD196" si="340">BD184+BF184+BH184</f>
        <v>0</v>
      </c>
      <c r="AE184" s="280">
        <f t="shared" ref="AE184:AE196" si="341">AC184-AD184</f>
        <v>0</v>
      </c>
      <c r="AF184" s="367">
        <f t="shared" ref="AF184:AF196" si="342">BI184+BK184+BM184</f>
        <v>0</v>
      </c>
      <c r="AG184" s="363">
        <f t="shared" ref="AG184:AG196" si="343">BJ184+BL184+BN184</f>
        <v>0</v>
      </c>
      <c r="AH184" s="280">
        <f t="shared" ref="AH184:AH196" si="344">AF184-AG184</f>
        <v>0</v>
      </c>
      <c r="AI184" s="367">
        <f t="shared" ref="AI184:AI196" si="345">BO184+BQ184+BS184</f>
        <v>0</v>
      </c>
      <c r="AJ184" s="363">
        <f t="shared" ref="AJ184:AJ196" si="346">BP184+BR184+BT184</f>
        <v>0</v>
      </c>
      <c r="AK184" s="280">
        <f t="shared" ref="AK184:AK196" si="347">AI184-AJ184</f>
        <v>0</v>
      </c>
      <c r="AL184" s="368"/>
      <c r="AM184" s="367">
        <f t="shared" ref="AM184:AM198" si="348">Z184+AC184</f>
        <v>7426.01</v>
      </c>
      <c r="AN184" s="363">
        <f t="shared" ref="AN184:AN198" si="349">AA184+AD184</f>
        <v>0</v>
      </c>
      <c r="AO184" s="280">
        <f t="shared" ref="AO184:AO198" si="350">AM184-AN184</f>
        <v>7426.01</v>
      </c>
      <c r="AP184" s="367">
        <f t="shared" ref="AP184:AP198" si="351">Z184+AC184+AF184</f>
        <v>7426.01</v>
      </c>
      <c r="AQ184" s="363">
        <f t="shared" ref="AQ184:AQ198" si="352">AA184+AD184+AG184</f>
        <v>0</v>
      </c>
      <c r="AR184" s="280">
        <f t="shared" ref="AR184:AR198" si="353">AP184-AQ184</f>
        <v>7426.01</v>
      </c>
      <c r="AS184" s="367">
        <f t="shared" ref="AS184:AS198" si="354">Z184+AC184+AF184+AI184</f>
        <v>7426.01</v>
      </c>
      <c r="AT184" s="363">
        <f t="shared" ref="AT184:AT198" si="355">AA184+AD184+AG184+AJ184</f>
        <v>0</v>
      </c>
      <c r="AU184" s="280">
        <f t="shared" ref="AU184:AU198" si="356">AS184-AT184</f>
        <v>7426.01</v>
      </c>
      <c r="AV184" s="588">
        <f t="shared" si="312"/>
        <v>0</v>
      </c>
      <c r="AW184" s="367">
        <f>AW144*0.15%+0.01</f>
        <v>7426.01</v>
      </c>
      <c r="AX184" s="363">
        <f t="shared" ref="AX184:BT184" si="357">AX144*0.15</f>
        <v>0</v>
      </c>
      <c r="AY184" s="363">
        <f t="shared" si="357"/>
        <v>0</v>
      </c>
      <c r="AZ184" s="363">
        <f t="shared" si="357"/>
        <v>0</v>
      </c>
      <c r="BA184" s="363">
        <f t="shared" si="357"/>
        <v>0</v>
      </c>
      <c r="BB184" s="369">
        <f t="shared" si="357"/>
        <v>0</v>
      </c>
      <c r="BC184" s="367">
        <f t="shared" si="357"/>
        <v>0</v>
      </c>
      <c r="BD184" s="363">
        <f t="shared" si="357"/>
        <v>0</v>
      </c>
      <c r="BE184" s="363">
        <f t="shared" si="357"/>
        <v>0</v>
      </c>
      <c r="BF184" s="363">
        <f t="shared" si="357"/>
        <v>0</v>
      </c>
      <c r="BG184" s="363">
        <f t="shared" si="357"/>
        <v>0</v>
      </c>
      <c r="BH184" s="369">
        <f t="shared" si="357"/>
        <v>0</v>
      </c>
      <c r="BI184" s="367">
        <f t="shared" si="357"/>
        <v>0</v>
      </c>
      <c r="BJ184" s="363">
        <f t="shared" si="357"/>
        <v>0</v>
      </c>
      <c r="BK184" s="363">
        <f t="shared" si="357"/>
        <v>0</v>
      </c>
      <c r="BL184" s="363">
        <f t="shared" si="357"/>
        <v>0</v>
      </c>
      <c r="BM184" s="363">
        <f t="shared" si="357"/>
        <v>0</v>
      </c>
      <c r="BN184" s="369">
        <f t="shared" si="357"/>
        <v>0</v>
      </c>
      <c r="BO184" s="367">
        <f t="shared" si="357"/>
        <v>0</v>
      </c>
      <c r="BP184" s="363">
        <f t="shared" si="357"/>
        <v>0</v>
      </c>
      <c r="BQ184" s="363">
        <f t="shared" si="357"/>
        <v>0</v>
      </c>
      <c r="BR184" s="363">
        <f t="shared" si="357"/>
        <v>0</v>
      </c>
      <c r="BS184" s="363">
        <f t="shared" si="357"/>
        <v>0</v>
      </c>
      <c r="BT184" s="280">
        <f t="shared" si="357"/>
        <v>0</v>
      </c>
    </row>
    <row r="185" spans="1:72" s="358" customFormat="1" ht="31.5" customHeight="1">
      <c r="A185" s="287">
        <v>175</v>
      </c>
      <c r="B185" s="818"/>
      <c r="C185" s="850" t="s">
        <v>377</v>
      </c>
      <c r="D185" s="838"/>
      <c r="E185" s="836" t="s">
        <v>201</v>
      </c>
      <c r="F185" s="820" t="s">
        <v>23</v>
      </c>
      <c r="G185" s="360">
        <v>2</v>
      </c>
      <c r="H185" s="360" t="s">
        <v>71</v>
      </c>
      <c r="I185" s="360">
        <v>244</v>
      </c>
      <c r="J185" s="361">
        <v>346</v>
      </c>
      <c r="K185" s="532" t="s">
        <v>379</v>
      </c>
      <c r="L185" s="367">
        <f>SUM(L186:L189)</f>
        <v>86176.639999999999</v>
      </c>
      <c r="M185" s="363"/>
      <c r="N185" s="363"/>
      <c r="O185" s="363">
        <f t="shared" si="247"/>
        <v>86176.639999999999</v>
      </c>
      <c r="P185" s="571"/>
      <c r="Q185" s="367">
        <f>SUM(Q186:Q189)</f>
        <v>76176.639999999999</v>
      </c>
      <c r="R185" s="557"/>
      <c r="S185" s="367">
        <f>SUM(S186:S189)</f>
        <v>76176.639999999999</v>
      </c>
      <c r="T185" s="557"/>
      <c r="U185" s="365"/>
      <c r="V185" s="366"/>
      <c r="W185" s="366"/>
      <c r="X185" s="366"/>
      <c r="Z185" s="367">
        <f t="shared" si="336"/>
        <v>52421.65</v>
      </c>
      <c r="AA185" s="363">
        <f t="shared" si="337"/>
        <v>0</v>
      </c>
      <c r="AB185" s="280">
        <f t="shared" si="338"/>
        <v>52421.65</v>
      </c>
      <c r="AC185" s="367">
        <f t="shared" si="339"/>
        <v>0</v>
      </c>
      <c r="AD185" s="363">
        <f t="shared" si="340"/>
        <v>0</v>
      </c>
      <c r="AE185" s="280">
        <f t="shared" si="341"/>
        <v>0</v>
      </c>
      <c r="AF185" s="367">
        <f t="shared" si="342"/>
        <v>0</v>
      </c>
      <c r="AG185" s="363">
        <f t="shared" si="343"/>
        <v>0</v>
      </c>
      <c r="AH185" s="280">
        <f t="shared" si="344"/>
        <v>0</v>
      </c>
      <c r="AI185" s="367">
        <f t="shared" si="345"/>
        <v>33754.99</v>
      </c>
      <c r="AJ185" s="363">
        <f t="shared" si="346"/>
        <v>0</v>
      </c>
      <c r="AK185" s="280">
        <f t="shared" si="347"/>
        <v>33754.99</v>
      </c>
      <c r="AL185" s="368"/>
      <c r="AM185" s="367">
        <f t="shared" si="348"/>
        <v>52421.65</v>
      </c>
      <c r="AN185" s="363">
        <f t="shared" si="349"/>
        <v>0</v>
      </c>
      <c r="AO185" s="280">
        <f t="shared" si="350"/>
        <v>52421.65</v>
      </c>
      <c r="AP185" s="367">
        <f t="shared" si="351"/>
        <v>52421.65</v>
      </c>
      <c r="AQ185" s="363">
        <f t="shared" si="352"/>
        <v>0</v>
      </c>
      <c r="AR185" s="280">
        <f t="shared" si="353"/>
        <v>52421.65</v>
      </c>
      <c r="AS185" s="367">
        <f t="shared" si="354"/>
        <v>86176.639999999999</v>
      </c>
      <c r="AT185" s="363">
        <f t="shared" si="355"/>
        <v>0</v>
      </c>
      <c r="AU185" s="280">
        <f t="shared" si="356"/>
        <v>86176.639999999999</v>
      </c>
      <c r="AV185" s="588">
        <f t="shared" si="312"/>
        <v>0</v>
      </c>
      <c r="AW185" s="367">
        <f t="shared" ref="AW185:BT185" si="358">SUM(AW186:AW189)</f>
        <v>0</v>
      </c>
      <c r="AX185" s="363">
        <f t="shared" si="358"/>
        <v>0</v>
      </c>
      <c r="AY185" s="363">
        <f t="shared" si="358"/>
        <v>6225</v>
      </c>
      <c r="AZ185" s="363">
        <f t="shared" si="358"/>
        <v>0</v>
      </c>
      <c r="BA185" s="363">
        <f t="shared" si="358"/>
        <v>46196.65</v>
      </c>
      <c r="BB185" s="369">
        <f t="shared" si="358"/>
        <v>0</v>
      </c>
      <c r="BC185" s="367">
        <f t="shared" si="358"/>
        <v>0</v>
      </c>
      <c r="BD185" s="363">
        <f t="shared" si="358"/>
        <v>0</v>
      </c>
      <c r="BE185" s="363">
        <f t="shared" si="358"/>
        <v>0</v>
      </c>
      <c r="BF185" s="363">
        <f t="shared" si="358"/>
        <v>0</v>
      </c>
      <c r="BG185" s="363">
        <f t="shared" si="358"/>
        <v>0</v>
      </c>
      <c r="BH185" s="369">
        <f t="shared" si="358"/>
        <v>0</v>
      </c>
      <c r="BI185" s="367">
        <f t="shared" si="358"/>
        <v>0</v>
      </c>
      <c r="BJ185" s="363">
        <f t="shared" si="358"/>
        <v>0</v>
      </c>
      <c r="BK185" s="363">
        <f t="shared" si="358"/>
        <v>0</v>
      </c>
      <c r="BL185" s="363">
        <f t="shared" si="358"/>
        <v>0</v>
      </c>
      <c r="BM185" s="363">
        <f t="shared" si="358"/>
        <v>0</v>
      </c>
      <c r="BN185" s="369">
        <f t="shared" si="358"/>
        <v>0</v>
      </c>
      <c r="BO185" s="367">
        <f t="shared" si="358"/>
        <v>29979.99</v>
      </c>
      <c r="BP185" s="363">
        <f t="shared" si="358"/>
        <v>0</v>
      </c>
      <c r="BQ185" s="363">
        <f t="shared" si="358"/>
        <v>3775</v>
      </c>
      <c r="BR185" s="363">
        <f t="shared" si="358"/>
        <v>0</v>
      </c>
      <c r="BS185" s="363">
        <f t="shared" si="358"/>
        <v>0</v>
      </c>
      <c r="BT185" s="280">
        <f t="shared" si="358"/>
        <v>0</v>
      </c>
    </row>
    <row r="186" spans="1:72" s="313" customFormat="1" ht="25.5" outlineLevel="2">
      <c r="A186" s="287">
        <v>176</v>
      </c>
      <c r="B186" s="818"/>
      <c r="C186" s="840"/>
      <c r="D186" s="841"/>
      <c r="E186" s="839"/>
      <c r="F186" s="821" t="s">
        <v>23</v>
      </c>
      <c r="G186" s="314">
        <v>2</v>
      </c>
      <c r="H186" s="739" t="s">
        <v>71</v>
      </c>
      <c r="I186" s="739">
        <v>244</v>
      </c>
      <c r="J186" s="740">
        <v>346</v>
      </c>
      <c r="K186" s="533" t="s">
        <v>308</v>
      </c>
      <c r="L186" s="341">
        <v>7359.99</v>
      </c>
      <c r="M186" s="318"/>
      <c r="N186" s="318"/>
      <c r="O186" s="318">
        <f t="shared" si="247"/>
        <v>7359.99</v>
      </c>
      <c r="P186" s="570"/>
      <c r="Q186" s="336">
        <v>7359.99</v>
      </c>
      <c r="R186" s="559"/>
      <c r="S186" s="541">
        <v>7359.99</v>
      </c>
      <c r="T186" s="559"/>
      <c r="U186" s="335"/>
      <c r="V186" s="320"/>
      <c r="W186" s="320"/>
      <c r="X186" s="320"/>
      <c r="Z186" s="336">
        <f t="shared" si="336"/>
        <v>4906.66</v>
      </c>
      <c r="AA186" s="337">
        <f t="shared" si="337"/>
        <v>0</v>
      </c>
      <c r="AB186" s="338">
        <f t="shared" si="338"/>
        <v>4906.66</v>
      </c>
      <c r="AC186" s="336">
        <f t="shared" si="339"/>
        <v>0</v>
      </c>
      <c r="AD186" s="337">
        <f t="shared" si="340"/>
        <v>0</v>
      </c>
      <c r="AE186" s="338">
        <f t="shared" si="341"/>
        <v>0</v>
      </c>
      <c r="AF186" s="336">
        <f t="shared" si="342"/>
        <v>0</v>
      </c>
      <c r="AG186" s="337">
        <f t="shared" si="343"/>
        <v>0</v>
      </c>
      <c r="AH186" s="338">
        <f t="shared" si="344"/>
        <v>0</v>
      </c>
      <c r="AI186" s="336">
        <f t="shared" si="345"/>
        <v>2453.33</v>
      </c>
      <c r="AJ186" s="337">
        <f t="shared" si="346"/>
        <v>0</v>
      </c>
      <c r="AK186" s="338">
        <f t="shared" si="347"/>
        <v>2453.33</v>
      </c>
      <c r="AL186" s="342"/>
      <c r="AM186" s="336">
        <f t="shared" si="348"/>
        <v>4906.66</v>
      </c>
      <c r="AN186" s="339">
        <f t="shared" si="349"/>
        <v>0</v>
      </c>
      <c r="AO186" s="340">
        <f t="shared" si="350"/>
        <v>4906.66</v>
      </c>
      <c r="AP186" s="336">
        <f t="shared" si="351"/>
        <v>4906.66</v>
      </c>
      <c r="AQ186" s="339">
        <f t="shared" si="352"/>
        <v>0</v>
      </c>
      <c r="AR186" s="340">
        <f t="shared" si="353"/>
        <v>4906.66</v>
      </c>
      <c r="AS186" s="341">
        <f t="shared" si="354"/>
        <v>7359.99</v>
      </c>
      <c r="AT186" s="339">
        <f t="shared" si="355"/>
        <v>0</v>
      </c>
      <c r="AU186" s="340">
        <f t="shared" si="356"/>
        <v>7359.99</v>
      </c>
      <c r="AV186" s="589">
        <f t="shared" si="312"/>
        <v>0</v>
      </c>
      <c r="AW186" s="343"/>
      <c r="AX186" s="344"/>
      <c r="AY186" s="345"/>
      <c r="AZ186" s="344"/>
      <c r="BA186" s="345">
        <f>2453.33*2</f>
        <v>4906.66</v>
      </c>
      <c r="BB186" s="346"/>
      <c r="BC186" s="347"/>
      <c r="BD186" s="348"/>
      <c r="BE186" s="349"/>
      <c r="BF186" s="348"/>
      <c r="BG186" s="349"/>
      <c r="BH186" s="350"/>
      <c r="BI186" s="351"/>
      <c r="BJ186" s="352"/>
      <c r="BK186" s="337"/>
      <c r="BL186" s="352"/>
      <c r="BM186" s="337"/>
      <c r="BN186" s="353"/>
      <c r="BO186" s="354">
        <v>2453.33</v>
      </c>
      <c r="BP186" s="355"/>
      <c r="BQ186" s="356"/>
      <c r="BR186" s="355"/>
      <c r="BS186" s="356"/>
      <c r="BT186" s="357"/>
    </row>
    <row r="187" spans="1:72" s="313" customFormat="1" ht="25.5" outlineLevel="2">
      <c r="A187" s="287">
        <v>177</v>
      </c>
      <c r="B187" s="818"/>
      <c r="C187" s="840"/>
      <c r="D187" s="841"/>
      <c r="E187" s="839"/>
      <c r="F187" s="821" t="s">
        <v>23</v>
      </c>
      <c r="G187" s="314">
        <v>2</v>
      </c>
      <c r="H187" s="739" t="s">
        <v>71</v>
      </c>
      <c r="I187" s="739">
        <v>244</v>
      </c>
      <c r="J187" s="740">
        <v>346</v>
      </c>
      <c r="K187" s="533" t="s">
        <v>309</v>
      </c>
      <c r="L187" s="341">
        <v>27000</v>
      </c>
      <c r="M187" s="318"/>
      <c r="N187" s="318"/>
      <c r="O187" s="318">
        <f t="shared" si="247"/>
        <v>27000</v>
      </c>
      <c r="P187" s="570"/>
      <c r="Q187" s="336">
        <v>27000</v>
      </c>
      <c r="R187" s="559"/>
      <c r="S187" s="541">
        <v>27000</v>
      </c>
      <c r="T187" s="559"/>
      <c r="U187" s="335"/>
      <c r="V187" s="320"/>
      <c r="W187" s="320"/>
      <c r="X187" s="320"/>
      <c r="Z187" s="336">
        <f>AW187+AY187+BA187</f>
        <v>16200</v>
      </c>
      <c r="AA187" s="337">
        <f>AX187+AZ187+BB187</f>
        <v>0</v>
      </c>
      <c r="AB187" s="338">
        <f>Z187-AA187</f>
        <v>16200</v>
      </c>
      <c r="AC187" s="336">
        <f>BC187+BE187+BG187</f>
        <v>0</v>
      </c>
      <c r="AD187" s="337">
        <f>BD187+BF187+BH187</f>
        <v>0</v>
      </c>
      <c r="AE187" s="338">
        <f>AC187-AD187</f>
        <v>0</v>
      </c>
      <c r="AF187" s="336">
        <f>BI187+BK187+BM187</f>
        <v>0</v>
      </c>
      <c r="AG187" s="337">
        <f>BJ187+BL187+BN187</f>
        <v>0</v>
      </c>
      <c r="AH187" s="338">
        <f>AF187-AG187</f>
        <v>0</v>
      </c>
      <c r="AI187" s="336">
        <f>BO187+BQ187+BS187</f>
        <v>10800</v>
      </c>
      <c r="AJ187" s="337">
        <f>BP187+BR187+BT187</f>
        <v>0</v>
      </c>
      <c r="AK187" s="338">
        <f>AI187-AJ187</f>
        <v>10800</v>
      </c>
      <c r="AL187" s="342"/>
      <c r="AM187" s="336">
        <f>Z187+AC187</f>
        <v>16200</v>
      </c>
      <c r="AN187" s="339">
        <f>AA187+AD187</f>
        <v>0</v>
      </c>
      <c r="AO187" s="340">
        <f>AM187-AN187</f>
        <v>16200</v>
      </c>
      <c r="AP187" s="336">
        <f>Z187+AC187+AF187</f>
        <v>16200</v>
      </c>
      <c r="AQ187" s="339">
        <f>AA187+AD187+AG187</f>
        <v>0</v>
      </c>
      <c r="AR187" s="340">
        <f>AP187-AQ187</f>
        <v>16200</v>
      </c>
      <c r="AS187" s="341">
        <f>Z187+AC187+AF187+AI187</f>
        <v>27000</v>
      </c>
      <c r="AT187" s="339">
        <f>AA187+AD187+AG187+AJ187</f>
        <v>0</v>
      </c>
      <c r="AU187" s="340">
        <f>AS187-AT187</f>
        <v>27000</v>
      </c>
      <c r="AV187" s="589">
        <f t="shared" si="312"/>
        <v>0</v>
      </c>
      <c r="AW187" s="343"/>
      <c r="AX187" s="344"/>
      <c r="AY187" s="345"/>
      <c r="AZ187" s="344"/>
      <c r="BA187" s="345">
        <f>5400*3</f>
        <v>16200</v>
      </c>
      <c r="BB187" s="346"/>
      <c r="BC187" s="347"/>
      <c r="BD187" s="348"/>
      <c r="BE187" s="349"/>
      <c r="BF187" s="348"/>
      <c r="BG187" s="349"/>
      <c r="BH187" s="350"/>
      <c r="BI187" s="351"/>
      <c r="BJ187" s="352"/>
      <c r="BK187" s="337"/>
      <c r="BL187" s="352"/>
      <c r="BM187" s="337"/>
      <c r="BN187" s="353"/>
      <c r="BO187" s="354">
        <f>5400*2</f>
        <v>10800</v>
      </c>
      <c r="BP187" s="355"/>
      <c r="BQ187" s="356"/>
      <c r="BR187" s="355"/>
      <c r="BS187" s="356"/>
      <c r="BT187" s="357"/>
    </row>
    <row r="188" spans="1:72" s="313" customFormat="1" ht="25.5" outlineLevel="2">
      <c r="A188" s="287">
        <v>178</v>
      </c>
      <c r="B188" s="818"/>
      <c r="C188" s="840"/>
      <c r="D188" s="841"/>
      <c r="E188" s="839"/>
      <c r="F188" s="821" t="s">
        <v>23</v>
      </c>
      <c r="G188" s="314">
        <v>2</v>
      </c>
      <c r="H188" s="739" t="s">
        <v>71</v>
      </c>
      <c r="I188" s="739">
        <v>244</v>
      </c>
      <c r="J188" s="740">
        <v>346</v>
      </c>
      <c r="K188" s="533" t="s">
        <v>310</v>
      </c>
      <c r="L188" s="341">
        <v>41816.65</v>
      </c>
      <c r="M188" s="318"/>
      <c r="N188" s="318"/>
      <c r="O188" s="318">
        <f t="shared" si="247"/>
        <v>41816.65</v>
      </c>
      <c r="P188" s="570"/>
      <c r="Q188" s="336">
        <v>41816.65</v>
      </c>
      <c r="R188" s="559"/>
      <c r="S188" s="541">
        <v>41816.65</v>
      </c>
      <c r="T188" s="559"/>
      <c r="U188" s="335"/>
      <c r="V188" s="320"/>
      <c r="W188" s="320"/>
      <c r="X188" s="320"/>
      <c r="Z188" s="336">
        <f t="shared" ref="Z188" si="359">AW188+AY188+BA188</f>
        <v>25089.99</v>
      </c>
      <c r="AA188" s="337">
        <f t="shared" ref="AA188" si="360">AX188+AZ188+BB188</f>
        <v>0</v>
      </c>
      <c r="AB188" s="338">
        <f t="shared" ref="AB188" si="361">Z188-AA188</f>
        <v>25089.99</v>
      </c>
      <c r="AC188" s="336">
        <f t="shared" ref="AC188" si="362">BC188+BE188+BG188</f>
        <v>0</v>
      </c>
      <c r="AD188" s="337">
        <f t="shared" ref="AD188" si="363">BD188+BF188+BH188</f>
        <v>0</v>
      </c>
      <c r="AE188" s="338">
        <f t="shared" ref="AE188" si="364">AC188-AD188</f>
        <v>0</v>
      </c>
      <c r="AF188" s="336">
        <f t="shared" ref="AF188" si="365">BI188+BK188+BM188</f>
        <v>0</v>
      </c>
      <c r="AG188" s="337">
        <f t="shared" ref="AG188" si="366">BJ188+BL188+BN188</f>
        <v>0</v>
      </c>
      <c r="AH188" s="338">
        <f t="shared" ref="AH188" si="367">AF188-AG188</f>
        <v>0</v>
      </c>
      <c r="AI188" s="336">
        <f t="shared" ref="AI188" si="368">BO188+BQ188+BS188</f>
        <v>16726.66</v>
      </c>
      <c r="AJ188" s="337">
        <f t="shared" ref="AJ188" si="369">BP188+BR188+BT188</f>
        <v>0</v>
      </c>
      <c r="AK188" s="338">
        <f t="shared" ref="AK188" si="370">AI188-AJ188</f>
        <v>16726.66</v>
      </c>
      <c r="AL188" s="342"/>
      <c r="AM188" s="336">
        <f t="shared" ref="AM188" si="371">Z188+AC188</f>
        <v>25089.99</v>
      </c>
      <c r="AN188" s="339">
        <f t="shared" ref="AN188" si="372">AA188+AD188</f>
        <v>0</v>
      </c>
      <c r="AO188" s="340">
        <f t="shared" ref="AO188" si="373">AM188-AN188</f>
        <v>25089.99</v>
      </c>
      <c r="AP188" s="336">
        <f t="shared" ref="AP188" si="374">Z188+AC188+AF188</f>
        <v>25089.99</v>
      </c>
      <c r="AQ188" s="339">
        <f t="shared" ref="AQ188" si="375">AA188+AD188+AG188</f>
        <v>0</v>
      </c>
      <c r="AR188" s="340">
        <f t="shared" ref="AR188" si="376">AP188-AQ188</f>
        <v>25089.99</v>
      </c>
      <c r="AS188" s="341">
        <f t="shared" ref="AS188" si="377">Z188+AC188+AF188+AI188</f>
        <v>41816.65</v>
      </c>
      <c r="AT188" s="339">
        <f t="shared" ref="AT188" si="378">AA188+AD188+AG188+AJ188</f>
        <v>0</v>
      </c>
      <c r="AU188" s="340">
        <f t="shared" ref="AU188" si="379">AS188-AT188</f>
        <v>41816.65</v>
      </c>
      <c r="AV188" s="589">
        <f t="shared" si="312"/>
        <v>0</v>
      </c>
      <c r="AW188" s="343"/>
      <c r="AX188" s="344"/>
      <c r="AY188" s="345"/>
      <c r="AZ188" s="344"/>
      <c r="BA188" s="345">
        <f>8363.33*3</f>
        <v>25089.99</v>
      </c>
      <c r="BB188" s="346"/>
      <c r="BC188" s="347"/>
      <c r="BD188" s="348"/>
      <c r="BE188" s="349"/>
      <c r="BF188" s="348"/>
      <c r="BG188" s="349"/>
      <c r="BH188" s="350"/>
      <c r="BI188" s="351"/>
      <c r="BJ188" s="352"/>
      <c r="BK188" s="337"/>
      <c r="BL188" s="352"/>
      <c r="BM188" s="337"/>
      <c r="BN188" s="353"/>
      <c r="BO188" s="354">
        <f>8363.33*2</f>
        <v>16726.66</v>
      </c>
      <c r="BP188" s="355"/>
      <c r="BQ188" s="356"/>
      <c r="BR188" s="355"/>
      <c r="BS188" s="356"/>
      <c r="BT188" s="357"/>
    </row>
    <row r="189" spans="1:72" s="313" customFormat="1" ht="25.5" outlineLevel="1">
      <c r="A189" s="287">
        <v>179</v>
      </c>
      <c r="B189" s="818"/>
      <c r="C189" s="840"/>
      <c r="D189" s="841"/>
      <c r="E189" s="839"/>
      <c r="F189" s="821" t="s">
        <v>23</v>
      </c>
      <c r="G189" s="314">
        <v>2</v>
      </c>
      <c r="H189" s="739" t="s">
        <v>71</v>
      </c>
      <c r="I189" s="739">
        <v>244</v>
      </c>
      <c r="J189" s="740">
        <v>346</v>
      </c>
      <c r="K189" s="317" t="s">
        <v>389</v>
      </c>
      <c r="L189" s="341">
        <v>10000</v>
      </c>
      <c r="M189" s="318"/>
      <c r="N189" s="318"/>
      <c r="O189" s="318">
        <f t="shared" si="247"/>
        <v>10000</v>
      </c>
      <c r="P189" s="570"/>
      <c r="Q189" s="336">
        <v>0</v>
      </c>
      <c r="R189" s="559"/>
      <c r="S189" s="541">
        <v>0</v>
      </c>
      <c r="T189" s="559"/>
      <c r="U189" s="335"/>
      <c r="V189" s="596" t="s">
        <v>390</v>
      </c>
      <c r="W189" s="596" t="s">
        <v>445</v>
      </c>
      <c r="X189" s="596" t="s">
        <v>446</v>
      </c>
      <c r="Z189" s="336">
        <f>AW189+AY189+BA189</f>
        <v>6225</v>
      </c>
      <c r="AA189" s="337">
        <f>AX189+AZ189+BB189</f>
        <v>0</v>
      </c>
      <c r="AB189" s="338">
        <f>Z189-AA189</f>
        <v>6225</v>
      </c>
      <c r="AC189" s="336">
        <f>BC189+BE189+BG189</f>
        <v>0</v>
      </c>
      <c r="AD189" s="337">
        <f>BD189+BF189+BH189</f>
        <v>0</v>
      </c>
      <c r="AE189" s="338">
        <f>AC189-AD189</f>
        <v>0</v>
      </c>
      <c r="AF189" s="336">
        <f>BI189+BK189+BM189</f>
        <v>0</v>
      </c>
      <c r="AG189" s="337">
        <f>BJ189+BL189+BN189</f>
        <v>0</v>
      </c>
      <c r="AH189" s="338">
        <f>AF189-AG189</f>
        <v>0</v>
      </c>
      <c r="AI189" s="336">
        <f>BO189+BQ189+BS189</f>
        <v>3775</v>
      </c>
      <c r="AJ189" s="337">
        <f>BP189+BR189+BT189</f>
        <v>0</v>
      </c>
      <c r="AK189" s="338">
        <f>AI189-AJ189</f>
        <v>3775</v>
      </c>
      <c r="AL189" s="342"/>
      <c r="AM189" s="336">
        <f>Z189+AC189</f>
        <v>6225</v>
      </c>
      <c r="AN189" s="339">
        <f>AA189+AD189</f>
        <v>0</v>
      </c>
      <c r="AO189" s="340">
        <f>AM189-AN189</f>
        <v>6225</v>
      </c>
      <c r="AP189" s="336">
        <f>Z189+AC189+AF189</f>
        <v>6225</v>
      </c>
      <c r="AQ189" s="339">
        <f>AA189+AD189+AG189</f>
        <v>0</v>
      </c>
      <c r="AR189" s="340">
        <f>AP189-AQ189</f>
        <v>6225</v>
      </c>
      <c r="AS189" s="341">
        <f>Z189+AC189+AF189+AI189</f>
        <v>10000</v>
      </c>
      <c r="AT189" s="339">
        <f>AA189+AD189+AG189+AJ189</f>
        <v>0</v>
      </c>
      <c r="AU189" s="340">
        <f>AS189-AT189</f>
        <v>10000</v>
      </c>
      <c r="AV189" s="589"/>
      <c r="AW189" s="343"/>
      <c r="AX189" s="344"/>
      <c r="AY189" s="345">
        <v>6225</v>
      </c>
      <c r="AZ189" s="344"/>
      <c r="BA189" s="345"/>
      <c r="BB189" s="346"/>
      <c r="BC189" s="347"/>
      <c r="BD189" s="348"/>
      <c r="BE189" s="349"/>
      <c r="BF189" s="348"/>
      <c r="BG189" s="349"/>
      <c r="BH189" s="350"/>
      <c r="BI189" s="351"/>
      <c r="BJ189" s="352"/>
      <c r="BK189" s="337"/>
      <c r="BL189" s="352"/>
      <c r="BM189" s="337"/>
      <c r="BN189" s="353"/>
      <c r="BO189" s="354"/>
      <c r="BP189" s="355"/>
      <c r="BQ189" s="356">
        <f>5000-1225</f>
        <v>3775</v>
      </c>
      <c r="BR189" s="355"/>
      <c r="BS189" s="356"/>
      <c r="BT189" s="357"/>
    </row>
    <row r="190" spans="1:72" s="358" customFormat="1" ht="31.5">
      <c r="A190" s="287">
        <v>180</v>
      </c>
      <c r="B190" s="817" t="s">
        <v>468</v>
      </c>
      <c r="C190" s="837"/>
      <c r="D190" s="838"/>
      <c r="E190" s="836" t="s">
        <v>201</v>
      </c>
      <c r="F190" s="820" t="s">
        <v>23</v>
      </c>
      <c r="G190" s="360">
        <v>2</v>
      </c>
      <c r="H190" s="360" t="s">
        <v>71</v>
      </c>
      <c r="I190" s="360">
        <v>244</v>
      </c>
      <c r="J190" s="361">
        <v>346</v>
      </c>
      <c r="K190" s="532" t="s">
        <v>304</v>
      </c>
      <c r="L190" s="367">
        <v>80457.509999999995</v>
      </c>
      <c r="M190" s="363"/>
      <c r="N190" s="363"/>
      <c r="O190" s="363">
        <f t="shared" si="247"/>
        <v>80457.509999999995</v>
      </c>
      <c r="P190" s="571"/>
      <c r="Q190" s="367">
        <v>146684.4</v>
      </c>
      <c r="R190" s="557"/>
      <c r="S190" s="539">
        <v>145856.06</v>
      </c>
      <c r="T190" s="557"/>
      <c r="U190" s="365"/>
      <c r="V190" s="320"/>
      <c r="W190" s="320"/>
      <c r="X190" s="320"/>
      <c r="Z190" s="367">
        <f t="shared" si="336"/>
        <v>0</v>
      </c>
      <c r="AA190" s="363">
        <f t="shared" si="337"/>
        <v>0</v>
      </c>
      <c r="AB190" s="280">
        <f t="shared" si="338"/>
        <v>0</v>
      </c>
      <c r="AC190" s="367">
        <f t="shared" si="339"/>
        <v>0</v>
      </c>
      <c r="AD190" s="363">
        <f t="shared" si="340"/>
        <v>0</v>
      </c>
      <c r="AE190" s="280">
        <f t="shared" si="341"/>
        <v>0</v>
      </c>
      <c r="AF190" s="367">
        <f t="shared" si="342"/>
        <v>0</v>
      </c>
      <c r="AG190" s="363">
        <f t="shared" si="343"/>
        <v>0</v>
      </c>
      <c r="AH190" s="280">
        <f t="shared" si="344"/>
        <v>0</v>
      </c>
      <c r="AI190" s="367">
        <f t="shared" si="345"/>
        <v>80457.509999999995</v>
      </c>
      <c r="AJ190" s="363">
        <f t="shared" si="346"/>
        <v>0</v>
      </c>
      <c r="AK190" s="280">
        <f t="shared" si="347"/>
        <v>80457.509999999995</v>
      </c>
      <c r="AL190" s="368"/>
      <c r="AM190" s="367">
        <f t="shared" si="348"/>
        <v>0</v>
      </c>
      <c r="AN190" s="363">
        <f t="shared" si="349"/>
        <v>0</v>
      </c>
      <c r="AO190" s="280">
        <f t="shared" si="350"/>
        <v>0</v>
      </c>
      <c r="AP190" s="367">
        <f t="shared" si="351"/>
        <v>0</v>
      </c>
      <c r="AQ190" s="363">
        <f t="shared" si="352"/>
        <v>0</v>
      </c>
      <c r="AR190" s="280">
        <f t="shared" si="353"/>
        <v>0</v>
      </c>
      <c r="AS190" s="367">
        <f t="shared" si="354"/>
        <v>80457.509999999995</v>
      </c>
      <c r="AT190" s="363">
        <f t="shared" si="355"/>
        <v>0</v>
      </c>
      <c r="AU190" s="280">
        <f t="shared" si="356"/>
        <v>80457.509999999995</v>
      </c>
      <c r="AV190" s="588">
        <f t="shared" ref="AV190:AV198" si="380">L190-AS190</f>
        <v>0</v>
      </c>
      <c r="AW190" s="367"/>
      <c r="AX190" s="363"/>
      <c r="AY190" s="363"/>
      <c r="AZ190" s="363"/>
      <c r="BA190" s="363">
        <v>0</v>
      </c>
      <c r="BB190" s="369"/>
      <c r="BC190" s="367"/>
      <c r="BD190" s="363"/>
      <c r="BE190" s="363"/>
      <c r="BF190" s="363"/>
      <c r="BG190" s="363">
        <v>0</v>
      </c>
      <c r="BH190" s="369"/>
      <c r="BI190" s="367"/>
      <c r="BJ190" s="363"/>
      <c r="BK190" s="363"/>
      <c r="BL190" s="363"/>
      <c r="BM190" s="363"/>
      <c r="BN190" s="369"/>
      <c r="BO190" s="367"/>
      <c r="BP190" s="363"/>
      <c r="BQ190" s="363"/>
      <c r="BR190" s="363"/>
      <c r="BS190" s="363">
        <v>80457.509999999995</v>
      </c>
      <c r="BT190" s="280"/>
    </row>
    <row r="191" spans="1:72" s="358" customFormat="1" ht="47.25">
      <c r="A191" s="287">
        <v>181</v>
      </c>
      <c r="B191" s="818"/>
      <c r="C191" s="837"/>
      <c r="D191" s="838"/>
      <c r="E191" s="836" t="s">
        <v>201</v>
      </c>
      <c r="F191" s="820" t="s">
        <v>23</v>
      </c>
      <c r="G191" s="360">
        <v>2</v>
      </c>
      <c r="H191" s="360" t="s">
        <v>71</v>
      </c>
      <c r="I191" s="360">
        <v>244</v>
      </c>
      <c r="J191" s="361">
        <v>346</v>
      </c>
      <c r="K191" s="532" t="s">
        <v>305</v>
      </c>
      <c r="L191" s="367">
        <f>SUM(L192:L193)</f>
        <v>100867.29</v>
      </c>
      <c r="M191" s="363">
        <v>20000</v>
      </c>
      <c r="N191" s="363"/>
      <c r="O191" s="363">
        <f>SUM(O192:O193)</f>
        <v>0</v>
      </c>
      <c r="P191" s="571"/>
      <c r="Q191" s="367">
        <f>SUM(Q192:Q193)</f>
        <v>0</v>
      </c>
      <c r="R191" s="557"/>
      <c r="S191" s="539">
        <f>SUM(S192:S193)</f>
        <v>0</v>
      </c>
      <c r="T191" s="557"/>
      <c r="U191" s="365"/>
      <c r="V191" s="320"/>
      <c r="W191" s="320"/>
      <c r="X191" s="320"/>
      <c r="Z191" s="367">
        <f t="shared" si="336"/>
        <v>7860</v>
      </c>
      <c r="AA191" s="363">
        <f t="shared" si="337"/>
        <v>0</v>
      </c>
      <c r="AB191" s="280">
        <f t="shared" si="338"/>
        <v>7860</v>
      </c>
      <c r="AC191" s="367">
        <f t="shared" si="339"/>
        <v>0</v>
      </c>
      <c r="AD191" s="363">
        <f t="shared" si="340"/>
        <v>0</v>
      </c>
      <c r="AE191" s="280">
        <f t="shared" si="341"/>
        <v>0</v>
      </c>
      <c r="AF191" s="367">
        <f t="shared" si="342"/>
        <v>0</v>
      </c>
      <c r="AG191" s="363">
        <f t="shared" si="343"/>
        <v>0</v>
      </c>
      <c r="AH191" s="280">
        <f t="shared" si="344"/>
        <v>0</v>
      </c>
      <c r="AI191" s="367">
        <f t="shared" si="345"/>
        <v>0</v>
      </c>
      <c r="AJ191" s="363">
        <f t="shared" si="346"/>
        <v>0</v>
      </c>
      <c r="AK191" s="280">
        <f t="shared" si="347"/>
        <v>0</v>
      </c>
      <c r="AL191" s="368"/>
      <c r="AM191" s="367">
        <f t="shared" si="348"/>
        <v>7860</v>
      </c>
      <c r="AN191" s="363">
        <f t="shared" si="349"/>
        <v>0</v>
      </c>
      <c r="AO191" s="280">
        <f t="shared" si="350"/>
        <v>7860</v>
      </c>
      <c r="AP191" s="367">
        <f t="shared" si="351"/>
        <v>7860</v>
      </c>
      <c r="AQ191" s="363">
        <f t="shared" si="352"/>
        <v>0</v>
      </c>
      <c r="AR191" s="280">
        <f t="shared" si="353"/>
        <v>7860</v>
      </c>
      <c r="AS191" s="367">
        <f t="shared" si="354"/>
        <v>7860</v>
      </c>
      <c r="AT191" s="363">
        <f t="shared" si="355"/>
        <v>0</v>
      </c>
      <c r="AU191" s="280">
        <f t="shared" si="356"/>
        <v>7860</v>
      </c>
      <c r="AV191" s="588">
        <f t="shared" si="380"/>
        <v>93007.29</v>
      </c>
      <c r="AW191" s="367">
        <f t="shared" ref="AW191:BS191" si="381">SUM(AW192:AW193)</f>
        <v>0</v>
      </c>
      <c r="AX191" s="363">
        <f t="shared" si="381"/>
        <v>0</v>
      </c>
      <c r="AY191" s="363">
        <f t="shared" si="381"/>
        <v>7860</v>
      </c>
      <c r="AZ191" s="363">
        <f t="shared" si="381"/>
        <v>0</v>
      </c>
      <c r="BA191" s="363">
        <f t="shared" si="381"/>
        <v>0</v>
      </c>
      <c r="BB191" s="369">
        <f t="shared" si="381"/>
        <v>0</v>
      </c>
      <c r="BC191" s="367">
        <f t="shared" si="381"/>
        <v>0</v>
      </c>
      <c r="BD191" s="363">
        <f t="shared" si="381"/>
        <v>0</v>
      </c>
      <c r="BE191" s="363">
        <f t="shared" si="381"/>
        <v>0</v>
      </c>
      <c r="BF191" s="363">
        <f t="shared" si="381"/>
        <v>0</v>
      </c>
      <c r="BG191" s="363">
        <f t="shared" si="381"/>
        <v>0</v>
      </c>
      <c r="BH191" s="369">
        <f t="shared" si="381"/>
        <v>0</v>
      </c>
      <c r="BI191" s="367">
        <f t="shared" si="381"/>
        <v>0</v>
      </c>
      <c r="BJ191" s="363">
        <f t="shared" si="381"/>
        <v>0</v>
      </c>
      <c r="BK191" s="363">
        <f t="shared" si="381"/>
        <v>0</v>
      </c>
      <c r="BL191" s="363">
        <f t="shared" si="381"/>
        <v>0</v>
      </c>
      <c r="BM191" s="363">
        <f t="shared" si="381"/>
        <v>0</v>
      </c>
      <c r="BN191" s="369">
        <f t="shared" si="381"/>
        <v>0</v>
      </c>
      <c r="BO191" s="367">
        <f t="shared" si="381"/>
        <v>0</v>
      </c>
      <c r="BP191" s="363">
        <f t="shared" si="381"/>
        <v>0</v>
      </c>
      <c r="BQ191" s="363">
        <f t="shared" si="381"/>
        <v>0</v>
      </c>
      <c r="BR191" s="363">
        <f t="shared" si="381"/>
        <v>0</v>
      </c>
      <c r="BS191" s="363">
        <f t="shared" si="381"/>
        <v>0</v>
      </c>
      <c r="BT191" s="280"/>
    </row>
    <row r="192" spans="1:72" s="313" customFormat="1" ht="25.5">
      <c r="A192" s="839"/>
      <c r="B192" s="815"/>
      <c r="C192" s="840"/>
      <c r="D192" s="841"/>
      <c r="E192" s="839"/>
      <c r="F192" s="821"/>
      <c r="G192" s="314"/>
      <c r="H192" s="739"/>
      <c r="I192" s="739"/>
      <c r="J192" s="740"/>
      <c r="K192" s="317" t="s">
        <v>464</v>
      </c>
      <c r="L192" s="318">
        <v>7860</v>
      </c>
      <c r="M192" s="318"/>
      <c r="N192" s="318"/>
      <c r="O192" s="318"/>
      <c r="P192" s="329"/>
      <c r="Q192" s="319"/>
      <c r="R192" s="329"/>
      <c r="S192" s="319"/>
      <c r="T192" s="329"/>
      <c r="U192" s="335"/>
      <c r="V192" s="596" t="s">
        <v>463</v>
      </c>
      <c r="W192" s="596" t="s">
        <v>466</v>
      </c>
      <c r="X192" s="596" t="s">
        <v>467</v>
      </c>
      <c r="Z192" s="336">
        <f t="shared" ref="Z192:AA194" si="382">AW192+AY192+BA192</f>
        <v>7860</v>
      </c>
      <c r="AA192" s="337">
        <f t="shared" si="382"/>
        <v>0</v>
      </c>
      <c r="AB192" s="338">
        <f>Z192-AA192</f>
        <v>7860</v>
      </c>
      <c r="AC192" s="336">
        <f t="shared" ref="AC192:AD194" si="383">BC192+BE192+BG192</f>
        <v>0</v>
      </c>
      <c r="AD192" s="337">
        <f t="shared" si="383"/>
        <v>0</v>
      </c>
      <c r="AE192" s="338">
        <f>AC192-AD192</f>
        <v>0</v>
      </c>
      <c r="AF192" s="336">
        <f t="shared" ref="AF192:AG194" si="384">BI192+BK192+BM192</f>
        <v>0</v>
      </c>
      <c r="AG192" s="337">
        <f t="shared" si="384"/>
        <v>0</v>
      </c>
      <c r="AH192" s="338">
        <f>AF192-AG192</f>
        <v>0</v>
      </c>
      <c r="AI192" s="336">
        <f t="shared" ref="AI192:AJ194" si="385">BO192+BQ192+BS192</f>
        <v>0</v>
      </c>
      <c r="AJ192" s="337">
        <f t="shared" si="385"/>
        <v>0</v>
      </c>
      <c r="AK192" s="338">
        <f>AI192-AJ192</f>
        <v>0</v>
      </c>
      <c r="AL192" s="342"/>
      <c r="AM192" s="336">
        <f t="shared" ref="AM192:AN194" si="386">Z192+AC192</f>
        <v>7860</v>
      </c>
      <c r="AN192" s="339">
        <f t="shared" si="386"/>
        <v>0</v>
      </c>
      <c r="AO192" s="340">
        <f>AM192-AN192</f>
        <v>7860</v>
      </c>
      <c r="AP192" s="336">
        <f t="shared" ref="AP192:AQ194" si="387">Z192+AC192+AF192</f>
        <v>7860</v>
      </c>
      <c r="AQ192" s="339">
        <f t="shared" si="387"/>
        <v>0</v>
      </c>
      <c r="AR192" s="340">
        <f>AP192-AQ192</f>
        <v>7860</v>
      </c>
      <c r="AS192" s="341">
        <f t="shared" ref="AS192:AT194" si="388">Z192+AC192+AF192+AI192</f>
        <v>7860</v>
      </c>
      <c r="AT192" s="339">
        <f t="shared" si="388"/>
        <v>0</v>
      </c>
      <c r="AU192" s="340">
        <f>AS192-AT192</f>
        <v>7860</v>
      </c>
      <c r="AV192" s="589"/>
      <c r="AW192" s="343"/>
      <c r="AX192" s="344"/>
      <c r="AY192" s="345">
        <v>7860</v>
      </c>
      <c r="AZ192" s="344"/>
      <c r="BA192" s="345"/>
      <c r="BB192" s="346"/>
      <c r="BC192" s="347"/>
      <c r="BD192" s="348"/>
      <c r="BE192" s="349"/>
      <c r="BF192" s="348"/>
      <c r="BG192" s="349"/>
      <c r="BH192" s="350"/>
      <c r="BI192" s="351"/>
      <c r="BJ192" s="352"/>
      <c r="BK192" s="337"/>
      <c r="BL192" s="352"/>
      <c r="BM192" s="337"/>
      <c r="BN192" s="353"/>
      <c r="BO192" s="354"/>
      <c r="BP192" s="355"/>
      <c r="BQ192" s="356"/>
      <c r="BR192" s="355"/>
      <c r="BS192" s="356"/>
      <c r="BT192" s="357"/>
    </row>
    <row r="193" spans="1:72" s="313" customFormat="1" ht="38.25">
      <c r="A193" s="839"/>
      <c r="B193" s="815"/>
      <c r="C193" s="840"/>
      <c r="D193" s="841"/>
      <c r="E193" s="839"/>
      <c r="F193" s="821"/>
      <c r="G193" s="314"/>
      <c r="H193" s="739"/>
      <c r="I193" s="739"/>
      <c r="J193" s="740"/>
      <c r="K193" s="317" t="s">
        <v>305</v>
      </c>
      <c r="L193" s="318">
        <v>93007.29</v>
      </c>
      <c r="M193" s="318"/>
      <c r="N193" s="318"/>
      <c r="O193" s="318"/>
      <c r="P193" s="329"/>
      <c r="Q193" s="319"/>
      <c r="R193" s="329"/>
      <c r="S193" s="319"/>
      <c r="T193" s="329"/>
      <c r="U193" s="335"/>
      <c r="V193" s="320"/>
      <c r="W193" s="320"/>
      <c r="X193" s="320"/>
      <c r="Z193" s="336">
        <f t="shared" si="382"/>
        <v>0</v>
      </c>
      <c r="AA193" s="337">
        <f t="shared" si="382"/>
        <v>0</v>
      </c>
      <c r="AB193" s="338">
        <f>Z193-AA193</f>
        <v>0</v>
      </c>
      <c r="AC193" s="336">
        <f t="shared" si="383"/>
        <v>0</v>
      </c>
      <c r="AD193" s="337">
        <f t="shared" si="383"/>
        <v>0</v>
      </c>
      <c r="AE193" s="338">
        <f>AC193-AD193</f>
        <v>0</v>
      </c>
      <c r="AF193" s="336">
        <f t="shared" si="384"/>
        <v>0</v>
      </c>
      <c r="AG193" s="337">
        <f t="shared" si="384"/>
        <v>0</v>
      </c>
      <c r="AH193" s="338">
        <f>AF193-AG193</f>
        <v>0</v>
      </c>
      <c r="AI193" s="336">
        <f t="shared" si="385"/>
        <v>0</v>
      </c>
      <c r="AJ193" s="337">
        <f t="shared" si="385"/>
        <v>0</v>
      </c>
      <c r="AK193" s="338">
        <f>AI193-AJ193</f>
        <v>0</v>
      </c>
      <c r="AL193" s="342"/>
      <c r="AM193" s="336">
        <f t="shared" si="386"/>
        <v>0</v>
      </c>
      <c r="AN193" s="339">
        <f t="shared" si="386"/>
        <v>0</v>
      </c>
      <c r="AO193" s="340">
        <f>AM193-AN193</f>
        <v>0</v>
      </c>
      <c r="AP193" s="336">
        <f t="shared" si="387"/>
        <v>0</v>
      </c>
      <c r="AQ193" s="339">
        <f t="shared" si="387"/>
        <v>0</v>
      </c>
      <c r="AR193" s="340">
        <f>AP193-AQ193</f>
        <v>0</v>
      </c>
      <c r="AS193" s="341">
        <f t="shared" si="388"/>
        <v>0</v>
      </c>
      <c r="AT193" s="339">
        <f t="shared" si="388"/>
        <v>0</v>
      </c>
      <c r="AU193" s="340">
        <f>AS193-AT193</f>
        <v>0</v>
      </c>
      <c r="AV193" s="589"/>
      <c r="AW193" s="343"/>
      <c r="AX193" s="344"/>
      <c r="AY193" s="345"/>
      <c r="AZ193" s="344"/>
      <c r="BA193" s="345"/>
      <c r="BB193" s="346"/>
      <c r="BC193" s="347"/>
      <c r="BD193" s="348"/>
      <c r="BE193" s="349"/>
      <c r="BF193" s="348"/>
      <c r="BG193" s="349"/>
      <c r="BH193" s="350"/>
      <c r="BI193" s="351"/>
      <c r="BJ193" s="352"/>
      <c r="BK193" s="337"/>
      <c r="BL193" s="352"/>
      <c r="BM193" s="337"/>
      <c r="BN193" s="353"/>
      <c r="BO193" s="354"/>
      <c r="BP193" s="355"/>
      <c r="BQ193" s="356"/>
      <c r="BR193" s="355"/>
      <c r="BS193" s="356"/>
      <c r="BT193" s="357"/>
    </row>
    <row r="194" spans="1:72" s="358" customFormat="1" ht="31.5">
      <c r="A194" s="287">
        <v>182</v>
      </c>
      <c r="B194" s="818"/>
      <c r="C194" s="837"/>
      <c r="D194" s="838"/>
      <c r="E194" s="836" t="s">
        <v>201</v>
      </c>
      <c r="F194" s="820" t="s">
        <v>23</v>
      </c>
      <c r="G194" s="360">
        <v>2</v>
      </c>
      <c r="H194" s="360" t="s">
        <v>71</v>
      </c>
      <c r="I194" s="360">
        <v>244</v>
      </c>
      <c r="J194" s="489">
        <v>345</v>
      </c>
      <c r="K194" s="532" t="s">
        <v>311</v>
      </c>
      <c r="L194" s="367">
        <f>M194</f>
        <v>0</v>
      </c>
      <c r="M194" s="363"/>
      <c r="N194" s="363"/>
      <c r="O194" s="363">
        <f t="shared" si="247"/>
        <v>0</v>
      </c>
      <c r="P194" s="571"/>
      <c r="Q194" s="367">
        <v>12502</v>
      </c>
      <c r="R194" s="557"/>
      <c r="S194" s="539">
        <v>12502</v>
      </c>
      <c r="T194" s="557"/>
      <c r="U194" s="365"/>
      <c r="V194" s="320"/>
      <c r="W194" s="320"/>
      <c r="X194" s="320"/>
      <c r="Z194" s="367">
        <f t="shared" si="382"/>
        <v>0</v>
      </c>
      <c r="AA194" s="363">
        <f t="shared" si="382"/>
        <v>0</v>
      </c>
      <c r="AB194" s="280">
        <f>Z194-AA194</f>
        <v>0</v>
      </c>
      <c r="AC194" s="367">
        <f t="shared" si="383"/>
        <v>0</v>
      </c>
      <c r="AD194" s="363">
        <f t="shared" si="383"/>
        <v>0</v>
      </c>
      <c r="AE194" s="280">
        <f>AC194-AD194</f>
        <v>0</v>
      </c>
      <c r="AF194" s="367">
        <f t="shared" si="384"/>
        <v>0</v>
      </c>
      <c r="AG194" s="363">
        <f t="shared" si="384"/>
        <v>0</v>
      </c>
      <c r="AH194" s="280">
        <f>AF194-AG194</f>
        <v>0</v>
      </c>
      <c r="AI194" s="367">
        <f t="shared" si="385"/>
        <v>0</v>
      </c>
      <c r="AJ194" s="363">
        <f t="shared" si="385"/>
        <v>0</v>
      </c>
      <c r="AK194" s="280">
        <f>AI194-AJ194</f>
        <v>0</v>
      </c>
      <c r="AL194" s="368"/>
      <c r="AM194" s="367">
        <f t="shared" si="386"/>
        <v>0</v>
      </c>
      <c r="AN194" s="363">
        <f t="shared" si="386"/>
        <v>0</v>
      </c>
      <c r="AO194" s="280">
        <f>AM194-AN194</f>
        <v>0</v>
      </c>
      <c r="AP194" s="367">
        <f t="shared" si="387"/>
        <v>0</v>
      </c>
      <c r="AQ194" s="363">
        <f t="shared" si="387"/>
        <v>0</v>
      </c>
      <c r="AR194" s="280">
        <f>AP194-AQ194</f>
        <v>0</v>
      </c>
      <c r="AS194" s="367">
        <f t="shared" si="388"/>
        <v>0</v>
      </c>
      <c r="AT194" s="363">
        <f t="shared" si="388"/>
        <v>0</v>
      </c>
      <c r="AU194" s="280">
        <f>AS194-AT194</f>
        <v>0</v>
      </c>
      <c r="AV194" s="588">
        <f t="shared" si="380"/>
        <v>0</v>
      </c>
      <c r="AW194" s="367"/>
      <c r="AX194" s="363"/>
      <c r="AY194" s="363"/>
      <c r="AZ194" s="363"/>
      <c r="BA194" s="363"/>
      <c r="BB194" s="369"/>
      <c r="BC194" s="367"/>
      <c r="BD194" s="363"/>
      <c r="BE194" s="363"/>
      <c r="BF194" s="363"/>
      <c r="BG194" s="363"/>
      <c r="BH194" s="369"/>
      <c r="BI194" s="367"/>
      <c r="BJ194" s="363"/>
      <c r="BK194" s="363"/>
      <c r="BL194" s="363"/>
      <c r="BM194" s="363"/>
      <c r="BN194" s="369"/>
      <c r="BO194" s="367"/>
      <c r="BP194" s="363"/>
      <c r="BQ194" s="363"/>
      <c r="BR194" s="363"/>
      <c r="BS194" s="363"/>
      <c r="BT194" s="280"/>
    </row>
    <row r="195" spans="1:72" s="358" customFormat="1" ht="31.5">
      <c r="A195" s="287">
        <v>183</v>
      </c>
      <c r="B195" s="818"/>
      <c r="C195" s="837"/>
      <c r="D195" s="838"/>
      <c r="E195" s="836" t="s">
        <v>201</v>
      </c>
      <c r="F195" s="820" t="s">
        <v>23</v>
      </c>
      <c r="G195" s="360">
        <v>2</v>
      </c>
      <c r="H195" s="360" t="s">
        <v>71</v>
      </c>
      <c r="I195" s="360">
        <v>244</v>
      </c>
      <c r="J195" s="361">
        <v>349</v>
      </c>
      <c r="K195" s="532" t="s">
        <v>163</v>
      </c>
      <c r="L195" s="367">
        <v>117600</v>
      </c>
      <c r="M195" s="363"/>
      <c r="N195" s="363"/>
      <c r="O195" s="363">
        <f t="shared" si="247"/>
        <v>117600</v>
      </c>
      <c r="P195" s="571"/>
      <c r="Q195" s="367">
        <v>117600</v>
      </c>
      <c r="R195" s="557"/>
      <c r="S195" s="539">
        <v>117600</v>
      </c>
      <c r="T195" s="557"/>
      <c r="U195" s="365"/>
      <c r="V195" s="320"/>
      <c r="W195" s="320"/>
      <c r="X195" s="320"/>
      <c r="Z195" s="367">
        <f t="shared" si="336"/>
        <v>30000</v>
      </c>
      <c r="AA195" s="363">
        <f t="shared" si="337"/>
        <v>0</v>
      </c>
      <c r="AB195" s="280">
        <f t="shared" si="338"/>
        <v>30000</v>
      </c>
      <c r="AC195" s="367">
        <f t="shared" si="339"/>
        <v>30000</v>
      </c>
      <c r="AD195" s="363">
        <f t="shared" si="340"/>
        <v>0</v>
      </c>
      <c r="AE195" s="280">
        <f t="shared" si="341"/>
        <v>30000</v>
      </c>
      <c r="AF195" s="367">
        <f t="shared" si="342"/>
        <v>0</v>
      </c>
      <c r="AG195" s="363">
        <f t="shared" si="343"/>
        <v>0</v>
      </c>
      <c r="AH195" s="280">
        <f t="shared" si="344"/>
        <v>0</v>
      </c>
      <c r="AI195" s="367">
        <f t="shared" si="345"/>
        <v>57600</v>
      </c>
      <c r="AJ195" s="363">
        <f t="shared" si="346"/>
        <v>0</v>
      </c>
      <c r="AK195" s="280">
        <f t="shared" si="347"/>
        <v>57600</v>
      </c>
      <c r="AL195" s="368"/>
      <c r="AM195" s="367">
        <f t="shared" si="348"/>
        <v>60000</v>
      </c>
      <c r="AN195" s="363">
        <f t="shared" si="349"/>
        <v>0</v>
      </c>
      <c r="AO195" s="280">
        <f t="shared" si="350"/>
        <v>60000</v>
      </c>
      <c r="AP195" s="367">
        <f t="shared" si="351"/>
        <v>60000</v>
      </c>
      <c r="AQ195" s="363">
        <f t="shared" si="352"/>
        <v>0</v>
      </c>
      <c r="AR195" s="280">
        <f t="shared" si="353"/>
        <v>60000</v>
      </c>
      <c r="AS195" s="367">
        <f t="shared" si="354"/>
        <v>117600</v>
      </c>
      <c r="AT195" s="363">
        <f t="shared" si="355"/>
        <v>0</v>
      </c>
      <c r="AU195" s="280">
        <f t="shared" si="356"/>
        <v>117600</v>
      </c>
      <c r="AV195" s="588">
        <f t="shared" si="380"/>
        <v>0</v>
      </c>
      <c r="AW195" s="367"/>
      <c r="AX195" s="363"/>
      <c r="AY195" s="363"/>
      <c r="AZ195" s="363"/>
      <c r="BA195" s="363">
        <v>30000</v>
      </c>
      <c r="BB195" s="369"/>
      <c r="BC195" s="367"/>
      <c r="BD195" s="363"/>
      <c r="BE195" s="363">
        <v>30000</v>
      </c>
      <c r="BF195" s="363"/>
      <c r="BG195" s="363"/>
      <c r="BH195" s="369"/>
      <c r="BI195" s="367"/>
      <c r="BJ195" s="363"/>
      <c r="BK195" s="363"/>
      <c r="BL195" s="363"/>
      <c r="BM195" s="363"/>
      <c r="BN195" s="369"/>
      <c r="BO195" s="367">
        <v>30000</v>
      </c>
      <c r="BP195" s="363"/>
      <c r="BQ195" s="363"/>
      <c r="BR195" s="363"/>
      <c r="BS195" s="363">
        <v>27600</v>
      </c>
      <c r="BT195" s="280"/>
    </row>
    <row r="196" spans="1:72" s="358" customFormat="1" ht="31.5">
      <c r="A196" s="287">
        <v>184</v>
      </c>
      <c r="B196" s="818"/>
      <c r="C196" s="837"/>
      <c r="D196" s="838"/>
      <c r="E196" s="836" t="s">
        <v>201</v>
      </c>
      <c r="F196" s="820" t="s">
        <v>23</v>
      </c>
      <c r="G196" s="360">
        <v>2</v>
      </c>
      <c r="H196" s="360" t="s">
        <v>71</v>
      </c>
      <c r="I196" s="360">
        <v>244</v>
      </c>
      <c r="J196" s="361">
        <v>349</v>
      </c>
      <c r="K196" s="532" t="s">
        <v>164</v>
      </c>
      <c r="L196" s="367">
        <f>893974.32</f>
        <v>893974.32</v>
      </c>
      <c r="M196" s="363"/>
      <c r="N196" s="363"/>
      <c r="O196" s="363">
        <f t="shared" si="247"/>
        <v>893974.32</v>
      </c>
      <c r="P196" s="571"/>
      <c r="Q196" s="367">
        <v>893974.32</v>
      </c>
      <c r="R196" s="557"/>
      <c r="S196" s="539">
        <v>893974.32</v>
      </c>
      <c r="T196" s="557"/>
      <c r="U196" s="365"/>
      <c r="V196" s="320"/>
      <c r="W196" s="320"/>
      <c r="X196" s="320"/>
      <c r="Z196" s="367">
        <f t="shared" si="336"/>
        <v>0</v>
      </c>
      <c r="AA196" s="363">
        <f t="shared" si="337"/>
        <v>0</v>
      </c>
      <c r="AB196" s="280">
        <f t="shared" si="338"/>
        <v>0</v>
      </c>
      <c r="AC196" s="367">
        <f t="shared" si="339"/>
        <v>0</v>
      </c>
      <c r="AD196" s="363">
        <f t="shared" si="340"/>
        <v>0</v>
      </c>
      <c r="AE196" s="280">
        <f t="shared" si="341"/>
        <v>0</v>
      </c>
      <c r="AF196" s="367">
        <f t="shared" si="342"/>
        <v>0</v>
      </c>
      <c r="AG196" s="363">
        <f t="shared" si="343"/>
        <v>0</v>
      </c>
      <c r="AH196" s="280">
        <f t="shared" si="344"/>
        <v>0</v>
      </c>
      <c r="AI196" s="367">
        <f t="shared" si="345"/>
        <v>893974.32</v>
      </c>
      <c r="AJ196" s="363">
        <f t="shared" si="346"/>
        <v>0</v>
      </c>
      <c r="AK196" s="280">
        <f t="shared" si="347"/>
        <v>893974.32</v>
      </c>
      <c r="AL196" s="368"/>
      <c r="AM196" s="367">
        <f t="shared" si="348"/>
        <v>0</v>
      </c>
      <c r="AN196" s="363">
        <f t="shared" si="349"/>
        <v>0</v>
      </c>
      <c r="AO196" s="280">
        <f t="shared" si="350"/>
        <v>0</v>
      </c>
      <c r="AP196" s="367">
        <f t="shared" si="351"/>
        <v>0</v>
      </c>
      <c r="AQ196" s="363">
        <f t="shared" si="352"/>
        <v>0</v>
      </c>
      <c r="AR196" s="280">
        <f t="shared" si="353"/>
        <v>0</v>
      </c>
      <c r="AS196" s="367">
        <f t="shared" si="354"/>
        <v>893974.32</v>
      </c>
      <c r="AT196" s="363">
        <f t="shared" si="355"/>
        <v>0</v>
      </c>
      <c r="AU196" s="280">
        <f t="shared" si="356"/>
        <v>893974.32</v>
      </c>
      <c r="AV196" s="588">
        <f t="shared" si="380"/>
        <v>0</v>
      </c>
      <c r="AW196" s="367"/>
      <c r="AX196" s="363"/>
      <c r="AY196" s="363"/>
      <c r="AZ196" s="363"/>
      <c r="BA196" s="363"/>
      <c r="BB196" s="369"/>
      <c r="BC196" s="367"/>
      <c r="BD196" s="363"/>
      <c r="BE196" s="363"/>
      <c r="BF196" s="363"/>
      <c r="BG196" s="363"/>
      <c r="BH196" s="369"/>
      <c r="BI196" s="367"/>
      <c r="BJ196" s="363"/>
      <c r="BK196" s="363"/>
      <c r="BL196" s="363"/>
      <c r="BM196" s="363"/>
      <c r="BN196" s="369"/>
      <c r="BO196" s="367"/>
      <c r="BP196" s="363"/>
      <c r="BQ196" s="363"/>
      <c r="BR196" s="363"/>
      <c r="BS196" s="363">
        <v>893974.32</v>
      </c>
      <c r="BT196" s="280"/>
    </row>
    <row r="197" spans="1:72" s="31" customFormat="1" ht="15.75">
      <c r="A197" s="287">
        <v>185</v>
      </c>
      <c r="B197" s="818"/>
      <c r="C197" s="845"/>
      <c r="D197" s="849"/>
      <c r="E197" s="287" t="s">
        <v>201</v>
      </c>
      <c r="F197" s="521"/>
      <c r="G197" s="521"/>
      <c r="H197" s="521"/>
      <c r="I197" s="521"/>
      <c r="J197" s="521"/>
      <c r="K197" s="511" t="s">
        <v>17</v>
      </c>
      <c r="L197" s="264">
        <f t="shared" ref="L197:T197" si="389">SUM(L144,L145,L147,L148,L149,L150,L151,L159,L156,L162,L164,L167,L169,L171,L184,L185,L190,L191,L194,L195,L196)</f>
        <v>11682442.91</v>
      </c>
      <c r="M197" s="13">
        <f t="shared" si="389"/>
        <v>192442.91</v>
      </c>
      <c r="N197" s="13">
        <f t="shared" si="389"/>
        <v>0</v>
      </c>
      <c r="O197" s="13">
        <f t="shared" si="389"/>
        <v>11581575.619999999</v>
      </c>
      <c r="P197" s="570">
        <f t="shared" si="389"/>
        <v>0</v>
      </c>
      <c r="Q197" s="264">
        <f t="shared" si="389"/>
        <v>11409961.050000001</v>
      </c>
      <c r="R197" s="559">
        <f t="shared" si="389"/>
        <v>0</v>
      </c>
      <c r="S197" s="543">
        <f t="shared" si="389"/>
        <v>11409132.710000001</v>
      </c>
      <c r="T197" s="559">
        <f t="shared" si="389"/>
        <v>0</v>
      </c>
      <c r="U197" s="334"/>
      <c r="V197" s="7"/>
      <c r="W197" s="7"/>
      <c r="X197" s="7"/>
      <c r="Z197" s="264">
        <f t="shared" ref="Z197:AK197" si="390">SUM(Z144,Z145,Z147,Z148,Z149,Z150,Z151,Z159,Z156,Z162,Z164,Z167,Z169,Z171,Z184,Z185,Z190,Z191,Z194,Z195,Z196)</f>
        <v>7300889.21</v>
      </c>
      <c r="AA197" s="254">
        <f t="shared" si="390"/>
        <v>0</v>
      </c>
      <c r="AB197" s="270">
        <f t="shared" si="390"/>
        <v>7300889.21</v>
      </c>
      <c r="AC197" s="264">
        <f t="shared" si="390"/>
        <v>421155</v>
      </c>
      <c r="AD197" s="254">
        <f t="shared" si="390"/>
        <v>0</v>
      </c>
      <c r="AE197" s="270">
        <f t="shared" si="390"/>
        <v>421155</v>
      </c>
      <c r="AF197" s="264">
        <f t="shared" si="390"/>
        <v>700414.43</v>
      </c>
      <c r="AG197" s="254">
        <f t="shared" si="390"/>
        <v>0</v>
      </c>
      <c r="AH197" s="270">
        <f t="shared" si="390"/>
        <v>700414.43</v>
      </c>
      <c r="AI197" s="264">
        <f t="shared" si="390"/>
        <v>2665985.86</v>
      </c>
      <c r="AJ197" s="254">
        <f t="shared" si="390"/>
        <v>0</v>
      </c>
      <c r="AK197" s="270">
        <f t="shared" si="390"/>
        <v>2665985.86</v>
      </c>
      <c r="AL197" s="278"/>
      <c r="AM197" s="264">
        <f t="shared" si="348"/>
        <v>7722044.21</v>
      </c>
      <c r="AN197" s="248">
        <f t="shared" si="349"/>
        <v>0</v>
      </c>
      <c r="AO197" s="281">
        <f t="shared" si="350"/>
        <v>7722044.21</v>
      </c>
      <c r="AP197" s="264">
        <f t="shared" si="351"/>
        <v>8422458.6400000006</v>
      </c>
      <c r="AQ197" s="248">
        <f t="shared" si="352"/>
        <v>0</v>
      </c>
      <c r="AR197" s="281">
        <f t="shared" si="353"/>
        <v>8422458.6400000006</v>
      </c>
      <c r="AS197" s="264">
        <f>SUM(AS144,AS145,AS147,AS148,AS149,AS150,AS151,AS159,AS156,AS162,AS164,AS167,AS169,AS171,AS184,AS185,AS190,AS191,AS194,AS195,AS196)</f>
        <v>11088444.5</v>
      </c>
      <c r="AT197" s="248">
        <f>SUM(AT144,AT145,AT147,AT148,AT149,AT150,AT151,AT159,AT156,AT162,AT164,AT167,AT169,AT171,AT184,AT185,AT190,AT191,AT194,AT195,AT196)</f>
        <v>0</v>
      </c>
      <c r="AU197" s="281">
        <f>SUM(AU144,AU145,AU147,AU148,AU149,AU150,AU151,AU159,AU156,AU162,AU164,AU167,AU169,AU171,AU184,AU185,AU190,AU191,AU194,AU195,AU196)</f>
        <v>11088444.5</v>
      </c>
      <c r="AV197" s="604">
        <f t="shared" si="380"/>
        <v>593998.41</v>
      </c>
      <c r="AW197" s="278"/>
      <c r="AX197" s="278"/>
      <c r="AY197" s="278"/>
      <c r="AZ197" s="278"/>
      <c r="BA197" s="278"/>
      <c r="BB197" s="278"/>
      <c r="BC197" s="278"/>
      <c r="BD197" s="278"/>
      <c r="BE197" s="278"/>
      <c r="BF197" s="278"/>
      <c r="BG197" s="278"/>
      <c r="BH197" s="278"/>
      <c r="BI197" s="278"/>
      <c r="BJ197" s="278"/>
      <c r="BK197" s="278"/>
      <c r="BL197" s="278"/>
      <c r="BM197" s="278"/>
      <c r="BN197" s="278"/>
      <c r="BO197" s="278"/>
      <c r="BP197" s="278"/>
      <c r="BQ197" s="278"/>
      <c r="BR197" s="278"/>
      <c r="BS197" s="278"/>
      <c r="BT197" s="278"/>
    </row>
    <row r="198" spans="1:72" s="31" customFormat="1" ht="16.5" customHeight="1" thickBot="1">
      <c r="A198" s="287">
        <v>186</v>
      </c>
      <c r="B198" s="818"/>
      <c r="C198" s="845"/>
      <c r="D198" s="849"/>
      <c r="E198" s="287" t="s">
        <v>201</v>
      </c>
      <c r="F198" s="521"/>
      <c r="G198" s="521"/>
      <c r="H198" s="521"/>
      <c r="I198" s="521"/>
      <c r="J198" s="521"/>
      <c r="K198" s="511" t="s">
        <v>21</v>
      </c>
      <c r="L198" s="545">
        <f t="shared" ref="L198:T198" si="391">L139+L197</f>
        <v>62257435.799999997</v>
      </c>
      <c r="M198" s="546">
        <f t="shared" si="391"/>
        <v>192442.91</v>
      </c>
      <c r="N198" s="546">
        <f t="shared" si="391"/>
        <v>-7285</v>
      </c>
      <c r="O198" s="546">
        <f t="shared" si="391"/>
        <v>62149283.509999998</v>
      </c>
      <c r="P198" s="572">
        <f t="shared" si="391"/>
        <v>17681355.059999999</v>
      </c>
      <c r="Q198" s="545">
        <f t="shared" si="391"/>
        <v>53616033.090000004</v>
      </c>
      <c r="R198" s="568">
        <f t="shared" si="391"/>
        <v>0</v>
      </c>
      <c r="S198" s="554">
        <f t="shared" si="391"/>
        <v>53208007.149999999</v>
      </c>
      <c r="T198" s="568">
        <f t="shared" si="391"/>
        <v>0</v>
      </c>
      <c r="U198" s="334"/>
      <c r="V198" s="7"/>
      <c r="W198" s="7"/>
      <c r="X198" s="7"/>
      <c r="Z198" s="263">
        <f t="shared" ref="Z198:AK198" si="392">Z139+Z197</f>
        <v>20926686.789999999</v>
      </c>
      <c r="AA198" s="253">
        <f t="shared" si="392"/>
        <v>31640</v>
      </c>
      <c r="AB198" s="269">
        <f t="shared" si="392"/>
        <v>20895046.789999999</v>
      </c>
      <c r="AC198" s="263">
        <f t="shared" si="392"/>
        <v>23333815</v>
      </c>
      <c r="AD198" s="253">
        <f t="shared" si="392"/>
        <v>0</v>
      </c>
      <c r="AE198" s="269">
        <f t="shared" si="392"/>
        <v>23333815</v>
      </c>
      <c r="AF198" s="263">
        <f t="shared" si="392"/>
        <v>8463639.1400000006</v>
      </c>
      <c r="AG198" s="253">
        <f t="shared" si="392"/>
        <v>0</v>
      </c>
      <c r="AH198" s="269">
        <f t="shared" si="392"/>
        <v>8463639.1400000006</v>
      </c>
      <c r="AI198" s="263">
        <f t="shared" si="392"/>
        <v>4430310.0199999996</v>
      </c>
      <c r="AJ198" s="253">
        <f t="shared" si="392"/>
        <v>0</v>
      </c>
      <c r="AK198" s="269">
        <f t="shared" si="392"/>
        <v>4430310.0199999996</v>
      </c>
      <c r="AL198" s="210"/>
      <c r="AM198" s="263">
        <f t="shared" si="348"/>
        <v>44260501.789999999</v>
      </c>
      <c r="AN198" s="247">
        <f t="shared" si="349"/>
        <v>31640</v>
      </c>
      <c r="AO198" s="280">
        <f t="shared" si="350"/>
        <v>44228861.789999999</v>
      </c>
      <c r="AP198" s="263">
        <f t="shared" si="351"/>
        <v>52724140.93</v>
      </c>
      <c r="AQ198" s="247">
        <f t="shared" si="352"/>
        <v>31640</v>
      </c>
      <c r="AR198" s="280">
        <f t="shared" si="353"/>
        <v>52692500.93</v>
      </c>
      <c r="AS198" s="263">
        <f t="shared" si="354"/>
        <v>57154450.950000003</v>
      </c>
      <c r="AT198" s="247">
        <f t="shared" si="355"/>
        <v>31640</v>
      </c>
      <c r="AU198" s="280">
        <f t="shared" si="356"/>
        <v>57122810.950000003</v>
      </c>
      <c r="AV198" s="607">
        <f t="shared" si="380"/>
        <v>5102984.8499999996</v>
      </c>
      <c r="AW198" s="210"/>
      <c r="AX198" s="210"/>
      <c r="AY198" s="210"/>
      <c r="AZ198" s="210"/>
      <c r="BA198" s="210"/>
      <c r="BB198" s="210"/>
      <c r="BC198" s="210"/>
      <c r="BD198" s="210"/>
      <c r="BE198" s="210"/>
      <c r="BF198" s="210"/>
      <c r="BG198" s="210"/>
      <c r="BH198" s="210"/>
      <c r="BI198" s="210"/>
      <c r="BJ198" s="210"/>
      <c r="BK198" s="210"/>
      <c r="BL198" s="210"/>
      <c r="BM198" s="210"/>
      <c r="BN198" s="210"/>
      <c r="BO198" s="210"/>
      <c r="BP198" s="210"/>
      <c r="BQ198" s="210"/>
      <c r="BR198" s="210"/>
      <c r="BS198" s="210"/>
      <c r="BT198" s="210"/>
    </row>
    <row r="199" spans="1:72" s="31" customFormat="1" ht="15.75">
      <c r="A199" s="287">
        <v>187</v>
      </c>
      <c r="B199" s="818"/>
      <c r="C199" s="845"/>
      <c r="D199" s="849"/>
      <c r="E199" s="287"/>
      <c r="F199" s="2"/>
      <c r="G199" s="2"/>
      <c r="H199" s="2"/>
      <c r="I199" s="2"/>
      <c r="J199" s="2"/>
      <c r="K199" s="209" t="s">
        <v>204</v>
      </c>
      <c r="L199" s="277">
        <v>11490000</v>
      </c>
      <c r="M199" s="277">
        <v>192442.91</v>
      </c>
      <c r="N199" s="86"/>
      <c r="O199" s="86"/>
      <c r="P199" s="332"/>
      <c r="Q199" s="277">
        <v>11490000</v>
      </c>
      <c r="R199" s="332"/>
      <c r="S199" s="277">
        <v>11490000</v>
      </c>
      <c r="T199" s="332"/>
      <c r="U199" s="325"/>
      <c r="Z199" s="86"/>
      <c r="AA199" s="86"/>
      <c r="AB199" s="86"/>
      <c r="AC199" s="86"/>
      <c r="AD199" s="86"/>
      <c r="AE199" s="86"/>
      <c r="AF199" s="86"/>
      <c r="AG199" s="86"/>
      <c r="AH199" s="86"/>
      <c r="AI199" s="86"/>
      <c r="AJ199" s="86"/>
      <c r="AK199" s="86"/>
      <c r="AL199" s="87"/>
      <c r="AM199" s="86"/>
      <c r="AN199" s="86"/>
      <c r="AO199" s="86"/>
      <c r="AP199" s="86"/>
      <c r="AQ199" s="86"/>
      <c r="AR199" s="86"/>
      <c r="AS199" s="86"/>
      <c r="AT199" s="86"/>
      <c r="AU199" s="86"/>
      <c r="AV199" s="607"/>
      <c r="AW199" s="86"/>
      <c r="AX199" s="86"/>
      <c r="AY199" s="86"/>
      <c r="AZ199" s="86"/>
      <c r="BA199" s="86"/>
      <c r="BB199" s="86"/>
      <c r="BC199" s="86"/>
      <c r="BD199" s="86"/>
      <c r="BE199" s="86"/>
      <c r="BF199" s="86"/>
      <c r="BG199" s="86"/>
      <c r="BH199" s="86"/>
      <c r="BI199" s="86"/>
      <c r="BJ199" s="86"/>
      <c r="BK199" s="86"/>
      <c r="BL199" s="86"/>
      <c r="BM199" s="86"/>
      <c r="BN199" s="86"/>
      <c r="BO199" s="86"/>
      <c r="BP199" s="86"/>
      <c r="BQ199" s="86"/>
      <c r="BR199" s="86"/>
      <c r="BS199" s="86"/>
      <c r="BT199" s="86"/>
    </row>
    <row r="200" spans="1:72" s="31" customFormat="1" ht="15.75">
      <c r="A200" s="287">
        <v>188</v>
      </c>
      <c r="B200" s="818"/>
      <c r="C200" s="845"/>
      <c r="D200" s="849"/>
      <c r="E200" s="287"/>
      <c r="F200" s="2"/>
      <c r="G200" s="2"/>
      <c r="H200" s="2"/>
      <c r="I200" s="2"/>
      <c r="J200" s="2"/>
      <c r="K200" s="209" t="s">
        <v>368</v>
      </c>
      <c r="L200" s="277">
        <f>L199-L197</f>
        <v>-192442.91</v>
      </c>
      <c r="M200" s="86"/>
      <c r="N200" s="86"/>
      <c r="O200" s="86"/>
      <c r="P200" s="332"/>
      <c r="Q200" s="277">
        <f>Q199-Q197</f>
        <v>80038.95</v>
      </c>
      <c r="R200" s="332"/>
      <c r="S200" s="277">
        <f>S199-S197</f>
        <v>80867.289999999994</v>
      </c>
      <c r="T200" s="332"/>
      <c r="U200" s="325"/>
      <c r="Z200" s="86"/>
      <c r="AA200" s="86"/>
      <c r="AB200" s="86"/>
      <c r="AC200" s="86"/>
      <c r="AD200" s="86"/>
      <c r="AE200" s="86"/>
      <c r="AF200" s="86"/>
      <c r="AG200" s="86"/>
      <c r="AH200" s="86"/>
      <c r="AI200" s="86"/>
      <c r="AJ200" s="86"/>
      <c r="AK200" s="86"/>
      <c r="AL200" s="87"/>
      <c r="AM200" s="86"/>
      <c r="AN200" s="86"/>
      <c r="AO200" s="86"/>
      <c r="AP200" s="86"/>
      <c r="AQ200" s="86"/>
      <c r="AR200" s="86"/>
      <c r="AS200" s="86"/>
      <c r="AT200" s="86"/>
      <c r="AU200" s="86"/>
      <c r="AV200" s="607"/>
      <c r="AW200" s="86"/>
      <c r="AX200" s="86"/>
      <c r="AY200" s="86"/>
      <c r="AZ200" s="86"/>
      <c r="BA200" s="86"/>
      <c r="BB200" s="86"/>
      <c r="BC200" s="86"/>
      <c r="BD200" s="86"/>
      <c r="BE200" s="86"/>
      <c r="BF200" s="86"/>
      <c r="BG200" s="86"/>
      <c r="BH200" s="86"/>
      <c r="BI200" s="86"/>
      <c r="BJ200" s="86"/>
      <c r="BK200" s="86"/>
      <c r="BL200" s="86"/>
      <c r="BM200" s="86"/>
      <c r="BN200" s="86"/>
      <c r="BO200" s="86"/>
      <c r="BP200" s="86"/>
      <c r="BQ200" s="86"/>
      <c r="BR200" s="86"/>
      <c r="BS200" s="86"/>
      <c r="BT200" s="86"/>
    </row>
    <row r="426" spans="12:72" ht="12.75" hidden="1" customHeight="1">
      <c r="L426" s="2"/>
      <c r="M426" s="2"/>
      <c r="N426" s="2"/>
      <c r="O426" s="2"/>
      <c r="P426" s="2"/>
      <c r="Q426" s="2"/>
      <c r="R426" s="2"/>
      <c r="S426" s="2"/>
      <c r="T426" s="2"/>
      <c r="U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805"/>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row>
    <row r="442" spans="12:72" ht="12.75" hidden="1" customHeight="1">
      <c r="L442" s="2"/>
      <c r="M442" s="2"/>
      <c r="N442" s="2"/>
      <c r="O442" s="2"/>
      <c r="P442" s="2"/>
      <c r="Q442" s="2"/>
      <c r="R442" s="2"/>
      <c r="S442" s="2"/>
      <c r="T442" s="2"/>
      <c r="U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805"/>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row>
  </sheetData>
  <autoFilter ref="A10:BV200"/>
  <mergeCells count="19">
    <mergeCell ref="Z9:AB9"/>
    <mergeCell ref="BC9:BD9"/>
    <mergeCell ref="BE9:BF9"/>
    <mergeCell ref="AC9:AE9"/>
    <mergeCell ref="AP9:AR9"/>
    <mergeCell ref="AS9:AU9"/>
    <mergeCell ref="AW9:AX9"/>
    <mergeCell ref="AY9:AZ9"/>
    <mergeCell ref="AF9:AH9"/>
    <mergeCell ref="BO9:BP9"/>
    <mergeCell ref="BQ9:BR9"/>
    <mergeCell ref="BS9:BT9"/>
    <mergeCell ref="AI9:AK9"/>
    <mergeCell ref="AM9:AO9"/>
    <mergeCell ref="BI9:BJ9"/>
    <mergeCell ref="BK9:BL9"/>
    <mergeCell ref="BM9:BN9"/>
    <mergeCell ref="BG9:BH9"/>
    <mergeCell ref="BA9:BB9"/>
  </mergeCells>
  <conditionalFormatting sqref="AS41:AS42 AS55 AS52 AS111:AS112 AS117:AS118 AS96:AS99 AS28:AS30 AS20 AS46 AS24 AS36 AS90">
    <cfRule type="expression" dxfId="6645" priority="1037">
      <formula>IF(L20=AS20,1,0)</formula>
    </cfRule>
  </conditionalFormatting>
  <conditionalFormatting sqref="AS138">
    <cfRule type="expression" dxfId="6644" priority="1024">
      <formula>IF(L138=AS138,1,0)</formula>
    </cfRule>
  </conditionalFormatting>
  <conditionalFormatting sqref="AS139">
    <cfRule type="expression" dxfId="6643" priority="1023">
      <formula>IF(L139=AS139,1,0)</formula>
    </cfRule>
  </conditionalFormatting>
  <conditionalFormatting sqref="L132">
    <cfRule type="cellIs" dxfId="6642" priority="1006" operator="notEqual">
      <formula>$L$131</formula>
    </cfRule>
  </conditionalFormatting>
  <conditionalFormatting sqref="L140">
    <cfRule type="cellIs" dxfId="6641" priority="1005" operator="notEqual">
      <formula>$L$139</formula>
    </cfRule>
  </conditionalFormatting>
  <conditionalFormatting sqref="L199">
    <cfRule type="cellIs" dxfId="6640" priority="1004" operator="notEqual">
      <formula>$L$197</formula>
    </cfRule>
  </conditionalFormatting>
  <conditionalFormatting sqref="AS4">
    <cfRule type="expression" dxfId="6639" priority="1002">
      <formula>IF(L4=AS4,1,0)</formula>
    </cfRule>
  </conditionalFormatting>
  <conditionalFormatting sqref="AS16:AS19">
    <cfRule type="expression" dxfId="6638" priority="961">
      <formula>IF(L16=AS16,1,0)</formula>
    </cfRule>
  </conditionalFormatting>
  <conditionalFormatting sqref="AS22">
    <cfRule type="expression" dxfId="6637" priority="988">
      <formula>IF(L22=AS22,1,0)</formula>
    </cfRule>
  </conditionalFormatting>
  <conditionalFormatting sqref="F4 F41:F42 F55 F28:F30 F20 F46">
    <cfRule type="cellIs" dxfId="6636" priority="970" operator="equal">
      <formula>"3-001-2214"</formula>
    </cfRule>
    <cfRule type="cellIs" dxfId="6635" priority="971" operator="equal">
      <formula>"3-001-5204"</formula>
    </cfRule>
    <cfRule type="cellIs" dxfId="6634" priority="972" operator="equal">
      <formula>"3-001-0002"</formula>
    </cfRule>
  </conditionalFormatting>
  <conditionalFormatting sqref="AS49">
    <cfRule type="expression" dxfId="6633" priority="922">
      <formula>IF(L49=AS49,1,0)</formula>
    </cfRule>
  </conditionalFormatting>
  <conditionalFormatting sqref="F16:F19">
    <cfRule type="cellIs" dxfId="6632" priority="958" operator="equal">
      <formula>"3-001-2214"</formula>
    </cfRule>
    <cfRule type="cellIs" dxfId="6631" priority="959" operator="equal">
      <formula>"3-001-5204"</formula>
    </cfRule>
    <cfRule type="cellIs" dxfId="6630" priority="960" operator="equal">
      <formula>"3-001-0002"</formula>
    </cfRule>
  </conditionalFormatting>
  <conditionalFormatting sqref="F14:F15">
    <cfRule type="cellIs" dxfId="6629" priority="935" operator="equal">
      <formula>"3-001-2214"</formula>
    </cfRule>
    <cfRule type="cellIs" dxfId="6628" priority="936" operator="equal">
      <formula>"3-001-5204"</formula>
    </cfRule>
    <cfRule type="cellIs" dxfId="6627" priority="937" operator="equal">
      <formula>"3-001-0002"</formula>
    </cfRule>
  </conditionalFormatting>
  <conditionalFormatting sqref="AS3">
    <cfRule type="expression" dxfId="6626" priority="954">
      <formula>IF(L3=AS3,1,0)</formula>
    </cfRule>
  </conditionalFormatting>
  <conditionalFormatting sqref="F3">
    <cfRule type="cellIs" dxfId="6625" priority="951" operator="equal">
      <formula>"3-001-2214"</formula>
    </cfRule>
    <cfRule type="cellIs" dxfId="6624" priority="952" operator="equal">
      <formula>"3-001-5204"</formula>
    </cfRule>
    <cfRule type="cellIs" dxfId="6623" priority="953" operator="equal">
      <formula>"3-001-0002"</formula>
    </cfRule>
  </conditionalFormatting>
  <conditionalFormatting sqref="AS45">
    <cfRule type="expression" dxfId="6622" priority="926">
      <formula>IF(L45=AS45,1,0)</formula>
    </cfRule>
  </conditionalFormatting>
  <conditionalFormatting sqref="F45">
    <cfRule type="cellIs" dxfId="6621" priority="923" operator="equal">
      <formula>"3-001-2214"</formula>
    </cfRule>
    <cfRule type="cellIs" dxfId="6620" priority="924" operator="equal">
      <formula>"3-001-5204"</formula>
    </cfRule>
    <cfRule type="cellIs" dxfId="6619" priority="925" operator="equal">
      <formula>"3-001-0002"</formula>
    </cfRule>
  </conditionalFormatting>
  <conditionalFormatting sqref="AS26">
    <cfRule type="expression" dxfId="6618" priority="918">
      <formula>IF(L26=AS26,1,0)</formula>
    </cfRule>
  </conditionalFormatting>
  <conditionalFormatting sqref="F49">
    <cfRule type="cellIs" dxfId="6617" priority="919" operator="equal">
      <formula>"3-001-2214"</formula>
    </cfRule>
    <cfRule type="cellIs" dxfId="6616" priority="920" operator="equal">
      <formula>"3-001-5204"</formula>
    </cfRule>
    <cfRule type="cellIs" dxfId="6615" priority="921" operator="equal">
      <formula>"3-001-0002"</formula>
    </cfRule>
  </conditionalFormatting>
  <conditionalFormatting sqref="AS12:AS13">
    <cfRule type="expression" dxfId="6614" priority="942">
      <formula>IF(L12=AS12,1,0)</formula>
    </cfRule>
  </conditionalFormatting>
  <conditionalFormatting sqref="F12:F13">
    <cfRule type="cellIs" dxfId="6613" priority="939" operator="equal">
      <formula>"3-001-2214"</formula>
    </cfRule>
    <cfRule type="cellIs" dxfId="6612" priority="940" operator="equal">
      <formula>"3-001-5204"</formula>
    </cfRule>
    <cfRule type="cellIs" dxfId="6611" priority="941" operator="equal">
      <formula>"3-001-0002"</formula>
    </cfRule>
  </conditionalFormatting>
  <conditionalFormatting sqref="AS14:AS15">
    <cfRule type="expression" dxfId="6610" priority="938">
      <formula>IF(L14=AS14,1,0)</formula>
    </cfRule>
  </conditionalFormatting>
  <conditionalFormatting sqref="F21">
    <cfRule type="cellIs" dxfId="6609" priority="931" operator="equal">
      <formula>"3-001-2214"</formula>
    </cfRule>
    <cfRule type="cellIs" dxfId="6608" priority="932" operator="equal">
      <formula>"3-001-5204"</formula>
    </cfRule>
    <cfRule type="cellIs" dxfId="6607" priority="933" operator="equal">
      <formula>"3-001-0002"</formula>
    </cfRule>
  </conditionalFormatting>
  <conditionalFormatting sqref="AS21">
    <cfRule type="expression" dxfId="6606" priority="934">
      <formula>IF(L21=AS21,1,0)</formula>
    </cfRule>
  </conditionalFormatting>
  <conditionalFormatting sqref="F26">
    <cfRule type="cellIs" dxfId="6605" priority="915" operator="equal">
      <formula>"3-001-2214"</formula>
    </cfRule>
    <cfRule type="cellIs" dxfId="6604" priority="916" operator="equal">
      <formula>"3-001-5204"</formula>
    </cfRule>
    <cfRule type="cellIs" dxfId="6603" priority="917" operator="equal">
      <formula>"3-001-0002"</formula>
    </cfRule>
  </conditionalFormatting>
  <conditionalFormatting sqref="AS27">
    <cfRule type="expression" dxfId="6602" priority="914">
      <formula>IF(L27=AS27,1,0)</formula>
    </cfRule>
  </conditionalFormatting>
  <conditionalFormatting sqref="F27">
    <cfRule type="cellIs" dxfId="6601" priority="911" operator="equal">
      <formula>"3-001-2214"</formula>
    </cfRule>
    <cfRule type="cellIs" dxfId="6600" priority="912" operator="equal">
      <formula>"3-001-5204"</formula>
    </cfRule>
    <cfRule type="cellIs" dxfId="6599" priority="913" operator="equal">
      <formula>"3-001-0002"</formula>
    </cfRule>
  </conditionalFormatting>
  <conditionalFormatting sqref="AS23">
    <cfRule type="expression" dxfId="6598" priority="910">
      <formula>IF(L23=AS23,1,0)</formula>
    </cfRule>
  </conditionalFormatting>
  <conditionalFormatting sqref="AS25">
    <cfRule type="expression" dxfId="6597" priority="909">
      <formula>IF(L25=AS25,1,0)</formula>
    </cfRule>
  </conditionalFormatting>
  <conditionalFormatting sqref="AS33:AS34">
    <cfRule type="expression" dxfId="6596" priority="908">
      <formula>IF(L33=AS33,1,0)</formula>
    </cfRule>
  </conditionalFormatting>
  <conditionalFormatting sqref="F33:F34 F36">
    <cfRule type="cellIs" dxfId="6595" priority="905" operator="equal">
      <formula>"3-001-2214"</formula>
    </cfRule>
    <cfRule type="cellIs" dxfId="6594" priority="906" operator="equal">
      <formula>"3-001-5204"</formula>
    </cfRule>
    <cfRule type="cellIs" dxfId="6593" priority="907" operator="equal">
      <formula>"3-001-0002"</formula>
    </cfRule>
  </conditionalFormatting>
  <conditionalFormatting sqref="AS32">
    <cfRule type="expression" dxfId="6592" priority="904">
      <formula>IF(L32=AS32,1,0)</formula>
    </cfRule>
  </conditionalFormatting>
  <conditionalFormatting sqref="F32">
    <cfRule type="cellIs" dxfId="6591" priority="901" operator="equal">
      <formula>"3-001-2214"</formula>
    </cfRule>
    <cfRule type="cellIs" dxfId="6590" priority="902" operator="equal">
      <formula>"3-001-5204"</formula>
    </cfRule>
    <cfRule type="cellIs" dxfId="6589" priority="903" operator="equal">
      <formula>"3-001-0002"</formula>
    </cfRule>
  </conditionalFormatting>
  <conditionalFormatting sqref="AS31">
    <cfRule type="expression" dxfId="6588" priority="896">
      <formula>IF(L31=AS31,1,0)</formula>
    </cfRule>
  </conditionalFormatting>
  <conditionalFormatting sqref="F31">
    <cfRule type="cellIs" dxfId="6587" priority="893" operator="equal">
      <formula>"3-001-2214"</formula>
    </cfRule>
    <cfRule type="cellIs" dxfId="6586" priority="894" operator="equal">
      <formula>"3-001-5204"</formula>
    </cfRule>
    <cfRule type="cellIs" dxfId="6585" priority="895" operator="equal">
      <formula>"3-001-0002"</formula>
    </cfRule>
  </conditionalFormatting>
  <conditionalFormatting sqref="AS37">
    <cfRule type="expression" dxfId="6584" priority="892">
      <formula>IF(L37=AS37,1,0)</formula>
    </cfRule>
  </conditionalFormatting>
  <conditionalFormatting sqref="F37">
    <cfRule type="cellIs" dxfId="6583" priority="889" operator="equal">
      <formula>"3-001-2214"</formula>
    </cfRule>
    <cfRule type="cellIs" dxfId="6582" priority="890" operator="equal">
      <formula>"3-001-5204"</formula>
    </cfRule>
    <cfRule type="cellIs" dxfId="6581" priority="891" operator="equal">
      <formula>"3-001-0002"</formula>
    </cfRule>
  </conditionalFormatting>
  <conditionalFormatting sqref="AS40">
    <cfRule type="expression" dxfId="6580" priority="872">
      <formula>IF(L40=AS40,1,0)</formula>
    </cfRule>
  </conditionalFormatting>
  <conditionalFormatting sqref="F40">
    <cfRule type="cellIs" dxfId="6579" priority="869" operator="equal">
      <formula>"3-001-2214"</formula>
    </cfRule>
    <cfRule type="cellIs" dxfId="6578" priority="870" operator="equal">
      <formula>"3-001-5204"</formula>
    </cfRule>
    <cfRule type="cellIs" dxfId="6577" priority="871" operator="equal">
      <formula>"3-001-0002"</formula>
    </cfRule>
  </conditionalFormatting>
  <conditionalFormatting sqref="AS47:AS48">
    <cfRule type="expression" dxfId="6576" priority="868">
      <formula>IF(L47=AS47,1,0)</formula>
    </cfRule>
  </conditionalFormatting>
  <conditionalFormatting sqref="F47:F48">
    <cfRule type="cellIs" dxfId="6575" priority="865" operator="equal">
      <formula>"3-001-2214"</formula>
    </cfRule>
    <cfRule type="cellIs" dxfId="6574" priority="866" operator="equal">
      <formula>"3-001-5204"</formula>
    </cfRule>
    <cfRule type="cellIs" dxfId="6573" priority="867" operator="equal">
      <formula>"3-001-0002"</formula>
    </cfRule>
  </conditionalFormatting>
  <conditionalFormatting sqref="AS54">
    <cfRule type="expression" dxfId="6572" priority="864">
      <formula>IF(L54=AS54,1,0)</formula>
    </cfRule>
  </conditionalFormatting>
  <conditionalFormatting sqref="F54">
    <cfRule type="cellIs" dxfId="6571" priority="861" operator="equal">
      <formula>"3-001-2214"</formula>
    </cfRule>
    <cfRule type="cellIs" dxfId="6570" priority="862" operator="equal">
      <formula>"3-001-5204"</formula>
    </cfRule>
    <cfRule type="cellIs" dxfId="6569" priority="863" operator="equal">
      <formula>"3-001-0002"</formula>
    </cfRule>
  </conditionalFormatting>
  <conditionalFormatting sqref="AS50">
    <cfRule type="expression" dxfId="6568" priority="844">
      <formula>IF(L50=AS50,1,0)</formula>
    </cfRule>
  </conditionalFormatting>
  <conditionalFormatting sqref="F50">
    <cfRule type="cellIs" dxfId="6567" priority="841" operator="equal">
      <formula>"3-001-2214"</formula>
    </cfRule>
    <cfRule type="cellIs" dxfId="6566" priority="842" operator="equal">
      <formula>"3-001-5204"</formula>
    </cfRule>
    <cfRule type="cellIs" dxfId="6565" priority="843" operator="equal">
      <formula>"3-001-0002"</formula>
    </cfRule>
  </conditionalFormatting>
  <conditionalFormatting sqref="AS168">
    <cfRule type="expression" dxfId="6564" priority="840">
      <formula>IF(L168=AS168,1,0)</formula>
    </cfRule>
  </conditionalFormatting>
  <conditionalFormatting sqref="F168">
    <cfRule type="cellIs" dxfId="6563" priority="837" operator="equal">
      <formula>"3-001-2214"</formula>
    </cfRule>
    <cfRule type="cellIs" dxfId="6562" priority="838" operator="equal">
      <formula>"3-001-5204"</formula>
    </cfRule>
    <cfRule type="cellIs" dxfId="6561" priority="839" operator="equal">
      <formula>"3-001-0002"</formula>
    </cfRule>
  </conditionalFormatting>
  <conditionalFormatting sqref="AS43">
    <cfRule type="expression" dxfId="6560" priority="832">
      <formula>IF(L43=AS43,1,0)</formula>
    </cfRule>
  </conditionalFormatting>
  <conditionalFormatting sqref="F43">
    <cfRule type="cellIs" dxfId="6559" priority="829" operator="equal">
      <formula>"3-001-2214"</formula>
    </cfRule>
    <cfRule type="cellIs" dxfId="6558" priority="830" operator="equal">
      <formula>"3-001-5204"</formula>
    </cfRule>
    <cfRule type="cellIs" dxfId="6557" priority="831" operator="equal">
      <formula>"3-001-0002"</formula>
    </cfRule>
  </conditionalFormatting>
  <conditionalFormatting sqref="F56">
    <cfRule type="cellIs" dxfId="6556" priority="817" operator="equal">
      <formula>"3-001-2214"</formula>
    </cfRule>
    <cfRule type="cellIs" dxfId="6555" priority="818" operator="equal">
      <formula>"3-001-5204"</formula>
    </cfRule>
    <cfRule type="cellIs" dxfId="6554" priority="819" operator="equal">
      <formula>"3-001-0002"</formula>
    </cfRule>
  </conditionalFormatting>
  <conditionalFormatting sqref="AS44">
    <cfRule type="expression" dxfId="6553" priority="828">
      <formula>IF(L44=AS44,1,0)</formula>
    </cfRule>
  </conditionalFormatting>
  <conditionalFormatting sqref="F44">
    <cfRule type="cellIs" dxfId="6552" priority="825" operator="equal">
      <formula>"3-001-2214"</formula>
    </cfRule>
    <cfRule type="cellIs" dxfId="6551" priority="826" operator="equal">
      <formula>"3-001-5204"</formula>
    </cfRule>
    <cfRule type="cellIs" dxfId="6550" priority="827" operator="equal">
      <formula>"3-001-0002"</formula>
    </cfRule>
  </conditionalFormatting>
  <conditionalFormatting sqref="AS58">
    <cfRule type="expression" dxfId="6549" priority="824">
      <formula>IF(L58=AS58,1,0)</formula>
    </cfRule>
  </conditionalFormatting>
  <conditionalFormatting sqref="F58">
    <cfRule type="cellIs" dxfId="6548" priority="821" operator="equal">
      <formula>"3-001-2214"</formula>
    </cfRule>
    <cfRule type="cellIs" dxfId="6547" priority="822" operator="equal">
      <formula>"3-001-5204"</formula>
    </cfRule>
    <cfRule type="cellIs" dxfId="6546" priority="823" operator="equal">
      <formula>"3-001-0002"</formula>
    </cfRule>
  </conditionalFormatting>
  <conditionalFormatting sqref="AS56">
    <cfRule type="expression" dxfId="6545" priority="820">
      <formula>IF(L56=AS56,1,0)</formula>
    </cfRule>
  </conditionalFormatting>
  <conditionalFormatting sqref="F57">
    <cfRule type="cellIs" dxfId="6544" priority="813" operator="equal">
      <formula>"3-001-2214"</formula>
    </cfRule>
    <cfRule type="cellIs" dxfId="6543" priority="814" operator="equal">
      <formula>"3-001-5204"</formula>
    </cfRule>
    <cfRule type="cellIs" dxfId="6542" priority="815" operator="equal">
      <formula>"3-001-0002"</formula>
    </cfRule>
  </conditionalFormatting>
  <conditionalFormatting sqref="AS57">
    <cfRule type="expression" dxfId="6541" priority="816">
      <formula>IF(L57=AS57,1,0)</formula>
    </cfRule>
  </conditionalFormatting>
  <conditionalFormatting sqref="F59">
    <cfRule type="cellIs" dxfId="6540" priority="749" operator="equal">
      <formula>"3-001-2214"</formula>
    </cfRule>
    <cfRule type="cellIs" dxfId="6539" priority="750" operator="equal">
      <formula>"3-001-5204"</formula>
    </cfRule>
    <cfRule type="cellIs" dxfId="6538" priority="751" operator="equal">
      <formula>"3-001-0002"</formula>
    </cfRule>
  </conditionalFormatting>
  <conditionalFormatting sqref="F69">
    <cfRule type="cellIs" dxfId="6537" priority="745" operator="equal">
      <formula>"3-001-2214"</formula>
    </cfRule>
    <cfRule type="cellIs" dxfId="6536" priority="746" operator="equal">
      <formula>"3-001-5204"</formula>
    </cfRule>
    <cfRule type="cellIs" dxfId="6535" priority="747" operator="equal">
      <formula>"3-001-0002"</formula>
    </cfRule>
  </conditionalFormatting>
  <conditionalFormatting sqref="AS59">
    <cfRule type="expression" dxfId="6534" priority="752">
      <formula>IF(L59=AS59,1,0)</formula>
    </cfRule>
  </conditionalFormatting>
  <conditionalFormatting sqref="F169">
    <cfRule type="cellIs" dxfId="6533" priority="737" operator="equal">
      <formula>"3-001-2214"</formula>
    </cfRule>
    <cfRule type="cellIs" dxfId="6532" priority="738" operator="equal">
      <formula>"3-001-5204"</formula>
    </cfRule>
    <cfRule type="cellIs" dxfId="6531" priority="739" operator="equal">
      <formula>"3-001-0002"</formula>
    </cfRule>
  </conditionalFormatting>
  <conditionalFormatting sqref="AS69">
    <cfRule type="expression" dxfId="6530" priority="748">
      <formula>IF(L69=AS69,1,0)</formula>
    </cfRule>
  </conditionalFormatting>
  <conditionalFormatting sqref="F170">
    <cfRule type="cellIs" dxfId="6529" priority="741" operator="equal">
      <formula>"3-001-2214"</formula>
    </cfRule>
    <cfRule type="cellIs" dxfId="6528" priority="742" operator="equal">
      <formula>"3-001-5204"</formula>
    </cfRule>
    <cfRule type="cellIs" dxfId="6527" priority="743" operator="equal">
      <formula>"3-001-0002"</formula>
    </cfRule>
  </conditionalFormatting>
  <conditionalFormatting sqref="F66">
    <cfRule type="cellIs" dxfId="6526" priority="765" operator="equal">
      <formula>"3-001-2214"</formula>
    </cfRule>
    <cfRule type="cellIs" dxfId="6525" priority="766" operator="equal">
      <formula>"3-001-5204"</formula>
    </cfRule>
    <cfRule type="cellIs" dxfId="6524" priority="767" operator="equal">
      <formula>"3-001-0002"</formula>
    </cfRule>
  </conditionalFormatting>
  <conditionalFormatting sqref="AS170">
    <cfRule type="expression" dxfId="6523" priority="744">
      <formula>IF(L170=AS170,1,0)</formula>
    </cfRule>
  </conditionalFormatting>
  <conditionalFormatting sqref="AS169">
    <cfRule type="expression" dxfId="6522" priority="740">
      <formula>IF(L169=AS169,1,0)</formula>
    </cfRule>
  </conditionalFormatting>
  <conditionalFormatting sqref="F51">
    <cfRule type="cellIs" dxfId="6521" priority="733" operator="equal">
      <formula>"3-001-2214"</formula>
    </cfRule>
    <cfRule type="cellIs" dxfId="6520" priority="734" operator="equal">
      <formula>"3-001-5204"</formula>
    </cfRule>
    <cfRule type="cellIs" dxfId="6519" priority="735" operator="equal">
      <formula>"3-001-0002"</formula>
    </cfRule>
  </conditionalFormatting>
  <conditionalFormatting sqref="F95">
    <cfRule type="cellIs" dxfId="6518" priority="581" operator="equal">
      <formula>"3-001-2214"</formula>
    </cfRule>
    <cfRule type="cellIs" dxfId="6517" priority="582" operator="equal">
      <formula>"3-001-5204"</formula>
    </cfRule>
    <cfRule type="cellIs" dxfId="6516" priority="583" operator="equal">
      <formula>"3-001-0002"</formula>
    </cfRule>
  </conditionalFormatting>
  <conditionalFormatting sqref="AS51">
    <cfRule type="expression" dxfId="6515" priority="736">
      <formula>IF(L51=AS51,1,0)</formula>
    </cfRule>
  </conditionalFormatting>
  <conditionalFormatting sqref="F96:F99">
    <cfRule type="cellIs" dxfId="6514" priority="597" operator="equal">
      <formula>"3-001-2214"</formula>
    </cfRule>
    <cfRule type="cellIs" dxfId="6513" priority="598" operator="equal">
      <formula>"3-001-5204"</formula>
    </cfRule>
    <cfRule type="cellIs" dxfId="6512" priority="599" operator="equal">
      <formula>"3-001-0002"</formula>
    </cfRule>
  </conditionalFormatting>
  <conditionalFormatting sqref="AS95">
    <cfRule type="expression" dxfId="6511" priority="584">
      <formula>IF(L95=AS95,1,0)</formula>
    </cfRule>
  </conditionalFormatting>
  <conditionalFormatting sqref="AS66">
    <cfRule type="expression" dxfId="6510" priority="768">
      <formula>IF(L66=AS66,1,0)</formula>
    </cfRule>
  </conditionalFormatting>
  <conditionalFormatting sqref="F64">
    <cfRule type="cellIs" dxfId="6509" priority="773" operator="equal">
      <formula>"3-001-2214"</formula>
    </cfRule>
    <cfRule type="cellIs" dxfId="6508" priority="774" operator="equal">
      <formula>"3-001-5204"</formula>
    </cfRule>
    <cfRule type="cellIs" dxfId="6507" priority="775" operator="equal">
      <formula>"3-001-0002"</formula>
    </cfRule>
  </conditionalFormatting>
  <conditionalFormatting sqref="F67">
    <cfRule type="cellIs" dxfId="6506" priority="757" operator="equal">
      <formula>"3-001-2214"</formula>
    </cfRule>
    <cfRule type="cellIs" dxfId="6505" priority="758" operator="equal">
      <formula>"3-001-5204"</formula>
    </cfRule>
    <cfRule type="cellIs" dxfId="6504" priority="759" operator="equal">
      <formula>"3-001-0002"</formula>
    </cfRule>
  </conditionalFormatting>
  <conditionalFormatting sqref="AS64">
    <cfRule type="expression" dxfId="6503" priority="776">
      <formula>IF(L64=AS64,1,0)</formula>
    </cfRule>
  </conditionalFormatting>
  <conditionalFormatting sqref="F63">
    <cfRule type="cellIs" dxfId="6502" priority="769" operator="equal">
      <formula>"3-001-2214"</formula>
    </cfRule>
    <cfRule type="cellIs" dxfId="6501" priority="770" operator="equal">
      <formula>"3-001-5204"</formula>
    </cfRule>
    <cfRule type="cellIs" dxfId="6500" priority="771" operator="equal">
      <formula>"3-001-0002"</formula>
    </cfRule>
  </conditionalFormatting>
  <conditionalFormatting sqref="F92">
    <cfRule type="cellIs" dxfId="6499" priority="601" operator="equal">
      <formula>"3-001-2214"</formula>
    </cfRule>
    <cfRule type="cellIs" dxfId="6498" priority="602" operator="equal">
      <formula>"3-001-5204"</formula>
    </cfRule>
    <cfRule type="cellIs" dxfId="6497" priority="603" operator="equal">
      <formula>"3-001-0002"</formula>
    </cfRule>
  </conditionalFormatting>
  <conditionalFormatting sqref="AS63">
    <cfRule type="expression" dxfId="6496" priority="772">
      <formula>IF(L63=AS63,1,0)</formula>
    </cfRule>
  </conditionalFormatting>
  <conditionalFormatting sqref="AS67">
    <cfRule type="expression" dxfId="6495" priority="760">
      <formula>IF(L67=AS67,1,0)</formula>
    </cfRule>
  </conditionalFormatting>
  <conditionalFormatting sqref="F60">
    <cfRule type="cellIs" dxfId="6494" priority="761" operator="equal">
      <formula>"3-001-2214"</formula>
    </cfRule>
    <cfRule type="cellIs" dxfId="6493" priority="762" operator="equal">
      <formula>"3-001-5204"</formula>
    </cfRule>
    <cfRule type="cellIs" dxfId="6492" priority="763" operator="equal">
      <formula>"3-001-0002"</formula>
    </cfRule>
  </conditionalFormatting>
  <conditionalFormatting sqref="AS60">
    <cfRule type="expression" dxfId="6491" priority="764">
      <formula>IF(L60=AS60,1,0)</formula>
    </cfRule>
  </conditionalFormatting>
  <conditionalFormatting sqref="F62">
    <cfRule type="cellIs" dxfId="6490" priority="753" operator="equal">
      <formula>"3-001-2214"</formula>
    </cfRule>
    <cfRule type="cellIs" dxfId="6489" priority="754" operator="equal">
      <formula>"3-001-5204"</formula>
    </cfRule>
    <cfRule type="cellIs" dxfId="6488" priority="755" operator="equal">
      <formula>"3-001-0002"</formula>
    </cfRule>
  </conditionalFormatting>
  <conditionalFormatting sqref="AS62">
    <cfRule type="expression" dxfId="6487" priority="756">
      <formula>IF(L62=AS62,1,0)</formula>
    </cfRule>
  </conditionalFormatting>
  <conditionalFormatting sqref="AS92">
    <cfRule type="expression" dxfId="6486" priority="604">
      <formula>IF(L92=AS92,1,0)</formula>
    </cfRule>
  </conditionalFormatting>
  <conditionalFormatting sqref="F82">
    <cfRule type="cellIs" dxfId="6485" priority="589" operator="equal">
      <formula>"3-001-2214"</formula>
    </cfRule>
    <cfRule type="cellIs" dxfId="6484" priority="590" operator="equal">
      <formula>"3-001-5204"</formula>
    </cfRule>
    <cfRule type="cellIs" dxfId="6483" priority="591" operator="equal">
      <formula>"3-001-0002"</formula>
    </cfRule>
  </conditionalFormatting>
  <conditionalFormatting sqref="F79">
    <cfRule type="cellIs" dxfId="6482" priority="593" operator="equal">
      <formula>"3-001-2214"</formula>
    </cfRule>
    <cfRule type="cellIs" dxfId="6481" priority="594" operator="equal">
      <formula>"3-001-5204"</formula>
    </cfRule>
    <cfRule type="cellIs" dxfId="6480" priority="595" operator="equal">
      <formula>"3-001-0002"</formula>
    </cfRule>
  </conditionalFormatting>
  <conditionalFormatting sqref="AS79">
    <cfRule type="expression" dxfId="6479" priority="596">
      <formula>IF(L79=AS79,1,0)</formula>
    </cfRule>
  </conditionalFormatting>
  <conditionalFormatting sqref="AS82">
    <cfRule type="expression" dxfId="6478" priority="592">
      <formula>IF(L82=AS82,1,0)</formula>
    </cfRule>
  </conditionalFormatting>
  <conditionalFormatting sqref="F91">
    <cfRule type="cellIs" dxfId="6477" priority="585" operator="equal">
      <formula>"3-001-2214"</formula>
    </cfRule>
    <cfRule type="cellIs" dxfId="6476" priority="586" operator="equal">
      <formula>"3-001-5204"</formula>
    </cfRule>
    <cfRule type="cellIs" dxfId="6475" priority="587" operator="equal">
      <formula>"3-001-0002"</formula>
    </cfRule>
  </conditionalFormatting>
  <conditionalFormatting sqref="AS91">
    <cfRule type="expression" dxfId="6474" priority="588">
      <formula>IF(L91=AS91,1,0)</formula>
    </cfRule>
  </conditionalFormatting>
  <conditionalFormatting sqref="F100">
    <cfRule type="cellIs" dxfId="6473" priority="577" operator="equal">
      <formula>"3-001-2214"</formula>
    </cfRule>
    <cfRule type="cellIs" dxfId="6472" priority="578" operator="equal">
      <formula>"3-001-5204"</formula>
    </cfRule>
    <cfRule type="cellIs" dxfId="6471" priority="579" operator="equal">
      <formula>"3-001-0002"</formula>
    </cfRule>
  </conditionalFormatting>
  <conditionalFormatting sqref="AS100">
    <cfRule type="expression" dxfId="6470" priority="580">
      <formula>IF(L100=AS100,1,0)</formula>
    </cfRule>
  </conditionalFormatting>
  <conditionalFormatting sqref="F101">
    <cfRule type="cellIs" dxfId="6469" priority="573" operator="equal">
      <formula>"3-001-2214"</formula>
    </cfRule>
    <cfRule type="cellIs" dxfId="6468" priority="574" operator="equal">
      <formula>"3-001-5204"</formula>
    </cfRule>
    <cfRule type="cellIs" dxfId="6467" priority="575" operator="equal">
      <formula>"3-001-0002"</formula>
    </cfRule>
  </conditionalFormatting>
  <conditionalFormatting sqref="F80">
    <cfRule type="cellIs" dxfId="6466" priority="701" operator="equal">
      <formula>"3-001-2214"</formula>
    </cfRule>
    <cfRule type="cellIs" dxfId="6465" priority="702" operator="equal">
      <formula>"3-001-5204"</formula>
    </cfRule>
    <cfRule type="cellIs" dxfId="6464" priority="703" operator="equal">
      <formula>"3-001-0002"</formula>
    </cfRule>
  </conditionalFormatting>
  <conditionalFormatting sqref="AS101">
    <cfRule type="expression" dxfId="6463" priority="576">
      <formula>IF(L101=AS101,1,0)</formula>
    </cfRule>
  </conditionalFormatting>
  <conditionalFormatting sqref="F81">
    <cfRule type="cellIs" dxfId="6462" priority="705" operator="equal">
      <formula>"3-001-2214"</formula>
    </cfRule>
    <cfRule type="cellIs" dxfId="6461" priority="706" operator="equal">
      <formula>"3-001-5204"</formula>
    </cfRule>
    <cfRule type="cellIs" dxfId="6460" priority="707" operator="equal">
      <formula>"3-001-0002"</formula>
    </cfRule>
  </conditionalFormatting>
  <conditionalFormatting sqref="AS81">
    <cfRule type="expression" dxfId="6459" priority="708">
      <formula>IF(L81=AS81,1,0)</formula>
    </cfRule>
  </conditionalFormatting>
  <conditionalFormatting sqref="AS80">
    <cfRule type="expression" dxfId="6458" priority="704">
      <formula>IF(L80=AS80,1,0)</formula>
    </cfRule>
  </conditionalFormatting>
  <conditionalFormatting sqref="F77">
    <cfRule type="cellIs" dxfId="6457" priority="669" operator="equal">
      <formula>"3-001-2214"</formula>
    </cfRule>
    <cfRule type="cellIs" dxfId="6456" priority="670" operator="equal">
      <formula>"3-001-5204"</formula>
    </cfRule>
    <cfRule type="cellIs" dxfId="6455" priority="671" operator="equal">
      <formula>"3-001-0002"</formula>
    </cfRule>
  </conditionalFormatting>
  <conditionalFormatting sqref="F78">
    <cfRule type="cellIs" dxfId="6454" priority="673" operator="equal">
      <formula>"3-001-2214"</formula>
    </cfRule>
    <cfRule type="cellIs" dxfId="6453" priority="674" operator="equal">
      <formula>"3-001-5204"</formula>
    </cfRule>
    <cfRule type="cellIs" dxfId="6452" priority="675" operator="equal">
      <formula>"3-001-0002"</formula>
    </cfRule>
  </conditionalFormatting>
  <conditionalFormatting sqref="AS78">
    <cfRule type="expression" dxfId="6451" priority="676">
      <formula>IF(L78=AS78,1,0)</formula>
    </cfRule>
  </conditionalFormatting>
  <conditionalFormatting sqref="AS77">
    <cfRule type="expression" dxfId="6450" priority="672">
      <formula>IF(L77=AS77,1,0)</formula>
    </cfRule>
  </conditionalFormatting>
  <conditionalFormatting sqref="F76">
    <cfRule type="cellIs" dxfId="6449" priority="665" operator="equal">
      <formula>"3-001-2214"</formula>
    </cfRule>
    <cfRule type="cellIs" dxfId="6448" priority="666" operator="equal">
      <formula>"3-001-5204"</formula>
    </cfRule>
    <cfRule type="cellIs" dxfId="6447" priority="667" operator="equal">
      <formula>"3-001-0002"</formula>
    </cfRule>
  </conditionalFormatting>
  <conditionalFormatting sqref="AS76">
    <cfRule type="expression" dxfId="6446" priority="668">
      <formula>IF(L76=AS76,1,0)</formula>
    </cfRule>
  </conditionalFormatting>
  <conditionalFormatting sqref="F74">
    <cfRule type="cellIs" dxfId="6445" priority="653" operator="equal">
      <formula>"3-001-2214"</formula>
    </cfRule>
    <cfRule type="cellIs" dxfId="6444" priority="654" operator="equal">
      <formula>"3-001-5204"</formula>
    </cfRule>
    <cfRule type="cellIs" dxfId="6443" priority="655" operator="equal">
      <formula>"3-001-0002"</formula>
    </cfRule>
  </conditionalFormatting>
  <conditionalFormatting sqref="F75">
    <cfRule type="cellIs" dxfId="6442" priority="657" operator="equal">
      <formula>"3-001-2214"</formula>
    </cfRule>
    <cfRule type="cellIs" dxfId="6441" priority="658" operator="equal">
      <formula>"3-001-5204"</formula>
    </cfRule>
    <cfRule type="cellIs" dxfId="6440" priority="659" operator="equal">
      <formula>"3-001-0002"</formula>
    </cfRule>
  </conditionalFormatting>
  <conditionalFormatting sqref="F70">
    <cfRule type="cellIs" dxfId="6439" priority="637" operator="equal">
      <formula>"3-001-2214"</formula>
    </cfRule>
    <cfRule type="cellIs" dxfId="6438" priority="638" operator="equal">
      <formula>"3-001-5204"</formula>
    </cfRule>
    <cfRule type="cellIs" dxfId="6437" priority="639" operator="equal">
      <formula>"3-001-0002"</formula>
    </cfRule>
  </conditionalFormatting>
  <conditionalFormatting sqref="AS75">
    <cfRule type="expression" dxfId="6436" priority="660">
      <formula>IF(L75=AS75,1,0)</formula>
    </cfRule>
  </conditionalFormatting>
  <conditionalFormatting sqref="AS74">
    <cfRule type="expression" dxfId="6435" priority="656">
      <formula>IF(L74=AS74,1,0)</formula>
    </cfRule>
  </conditionalFormatting>
  <conditionalFormatting sqref="F73">
    <cfRule type="cellIs" dxfId="6434" priority="649" operator="equal">
      <formula>"3-001-2214"</formula>
    </cfRule>
    <cfRule type="cellIs" dxfId="6433" priority="650" operator="equal">
      <formula>"3-001-5204"</formula>
    </cfRule>
    <cfRule type="cellIs" dxfId="6432" priority="651" operator="equal">
      <formula>"3-001-0002"</formula>
    </cfRule>
  </conditionalFormatting>
  <conditionalFormatting sqref="F72">
    <cfRule type="cellIs" dxfId="6431" priority="645" operator="equal">
      <formula>"3-001-2214"</formula>
    </cfRule>
    <cfRule type="cellIs" dxfId="6430" priority="646" operator="equal">
      <formula>"3-001-5204"</formula>
    </cfRule>
    <cfRule type="cellIs" dxfId="6429" priority="647" operator="equal">
      <formula>"3-001-0002"</formula>
    </cfRule>
  </conditionalFormatting>
  <conditionalFormatting sqref="AS73">
    <cfRule type="expression" dxfId="6428" priority="652">
      <formula>IF(L73=AS73,1,0)</formula>
    </cfRule>
  </conditionalFormatting>
  <conditionalFormatting sqref="AS72">
    <cfRule type="expression" dxfId="6427" priority="648">
      <formula>IF(L72=AS72,1,0)</formula>
    </cfRule>
  </conditionalFormatting>
  <conditionalFormatting sqref="F71">
    <cfRule type="cellIs" dxfId="6426" priority="641" operator="equal">
      <formula>"3-001-2214"</formula>
    </cfRule>
    <cfRule type="cellIs" dxfId="6425" priority="642" operator="equal">
      <formula>"3-001-5204"</formula>
    </cfRule>
    <cfRule type="cellIs" dxfId="6424" priority="643" operator="equal">
      <formula>"3-001-0002"</formula>
    </cfRule>
  </conditionalFormatting>
  <conditionalFormatting sqref="AS71">
    <cfRule type="expression" dxfId="6423" priority="644">
      <formula>IF(L71=AS71,1,0)</formula>
    </cfRule>
  </conditionalFormatting>
  <conditionalFormatting sqref="AS70">
    <cfRule type="expression" dxfId="6422" priority="640">
      <formula>IF(L70=AS70,1,0)</formula>
    </cfRule>
  </conditionalFormatting>
  <conditionalFormatting sqref="F83:F88 F90">
    <cfRule type="cellIs" dxfId="6421" priority="633" operator="equal">
      <formula>"3-001-2214"</formula>
    </cfRule>
    <cfRule type="cellIs" dxfId="6420" priority="634" operator="equal">
      <formula>"3-001-5204"</formula>
    </cfRule>
    <cfRule type="cellIs" dxfId="6419" priority="635" operator="equal">
      <formula>"3-001-0002"</formula>
    </cfRule>
  </conditionalFormatting>
  <conditionalFormatting sqref="AS83:AS88">
    <cfRule type="expression" dxfId="6418" priority="636">
      <formula>IF(L83=AS83,1,0)</formula>
    </cfRule>
  </conditionalFormatting>
  <conditionalFormatting sqref="F94">
    <cfRule type="cellIs" dxfId="6417" priority="609" operator="equal">
      <formula>"3-001-2214"</formula>
    </cfRule>
    <cfRule type="cellIs" dxfId="6416" priority="610" operator="equal">
      <formula>"3-001-5204"</formula>
    </cfRule>
    <cfRule type="cellIs" dxfId="6415" priority="611" operator="equal">
      <formula>"3-001-0002"</formula>
    </cfRule>
  </conditionalFormatting>
  <conditionalFormatting sqref="AS94">
    <cfRule type="expression" dxfId="6414" priority="612">
      <formula>IF(L94=AS94,1,0)</formula>
    </cfRule>
  </conditionalFormatting>
  <conditionalFormatting sqref="F93">
    <cfRule type="cellIs" dxfId="6413" priority="605" operator="equal">
      <formula>"3-001-2214"</formula>
    </cfRule>
    <cfRule type="cellIs" dxfId="6412" priority="606" operator="equal">
      <formula>"3-001-5204"</formula>
    </cfRule>
    <cfRule type="cellIs" dxfId="6411" priority="607" operator="equal">
      <formula>"3-001-0002"</formula>
    </cfRule>
  </conditionalFormatting>
  <conditionalFormatting sqref="AS93">
    <cfRule type="expression" dxfId="6410" priority="608">
      <formula>IF(L93=AS93,1,0)</formula>
    </cfRule>
  </conditionalFormatting>
  <conditionalFormatting sqref="F108">
    <cfRule type="cellIs" dxfId="6409" priority="545" operator="equal">
      <formula>"3-001-2214"</formula>
    </cfRule>
    <cfRule type="cellIs" dxfId="6408" priority="546" operator="equal">
      <formula>"3-001-5204"</formula>
    </cfRule>
    <cfRule type="cellIs" dxfId="6407" priority="547" operator="equal">
      <formula>"3-001-0002"</formula>
    </cfRule>
  </conditionalFormatting>
  <conditionalFormatting sqref="F109">
    <cfRule type="cellIs" dxfId="6406" priority="549" operator="equal">
      <formula>"3-001-2214"</formula>
    </cfRule>
    <cfRule type="cellIs" dxfId="6405" priority="550" operator="equal">
      <formula>"3-001-5204"</formula>
    </cfRule>
    <cfRule type="cellIs" dxfId="6404" priority="551" operator="equal">
      <formula>"3-001-0002"</formula>
    </cfRule>
  </conditionalFormatting>
  <conditionalFormatting sqref="AS109">
    <cfRule type="expression" dxfId="6403" priority="552">
      <formula>IF(L109=AS109,1,0)</formula>
    </cfRule>
  </conditionalFormatting>
  <conditionalFormatting sqref="AS108">
    <cfRule type="expression" dxfId="6402" priority="548">
      <formula>IF(L108=AS108,1,0)</formula>
    </cfRule>
  </conditionalFormatting>
  <conditionalFormatting sqref="F105">
    <cfRule type="cellIs" dxfId="6401" priority="517" operator="equal">
      <formula>"3-001-2214"</formula>
    </cfRule>
    <cfRule type="cellIs" dxfId="6400" priority="518" operator="equal">
      <formula>"3-001-5204"</formula>
    </cfRule>
    <cfRule type="cellIs" dxfId="6399" priority="519" operator="equal">
      <formula>"3-001-0002"</formula>
    </cfRule>
  </conditionalFormatting>
  <conditionalFormatting sqref="F106">
    <cfRule type="cellIs" dxfId="6398" priority="521" operator="equal">
      <formula>"3-001-2214"</formula>
    </cfRule>
    <cfRule type="cellIs" dxfId="6397" priority="522" operator="equal">
      <formula>"3-001-5204"</formula>
    </cfRule>
    <cfRule type="cellIs" dxfId="6396" priority="523" operator="equal">
      <formula>"3-001-0002"</formula>
    </cfRule>
  </conditionalFormatting>
  <conditionalFormatting sqref="AS106">
    <cfRule type="expression" dxfId="6395" priority="524">
      <formula>IF(L106=AS106,1,0)</formula>
    </cfRule>
  </conditionalFormatting>
  <conditionalFormatting sqref="AS105">
    <cfRule type="expression" dxfId="6394" priority="520">
      <formula>IF(L105=AS105,1,0)</formula>
    </cfRule>
  </conditionalFormatting>
  <conditionalFormatting sqref="F104">
    <cfRule type="cellIs" dxfId="6393" priority="513" operator="equal">
      <formula>"3-001-2214"</formula>
    </cfRule>
    <cfRule type="cellIs" dxfId="6392" priority="514" operator="equal">
      <formula>"3-001-5204"</formula>
    </cfRule>
    <cfRule type="cellIs" dxfId="6391" priority="515" operator="equal">
      <formula>"3-001-0002"</formula>
    </cfRule>
  </conditionalFormatting>
  <conditionalFormatting sqref="AS104">
    <cfRule type="expression" dxfId="6390" priority="516">
      <formula>IF(L104=AS104,1,0)</formula>
    </cfRule>
  </conditionalFormatting>
  <conditionalFormatting sqref="F102">
    <cfRule type="cellIs" dxfId="6389" priority="485" operator="equal">
      <formula>"3-001-2214"</formula>
    </cfRule>
    <cfRule type="cellIs" dxfId="6388" priority="486" operator="equal">
      <formula>"3-001-5204"</formula>
    </cfRule>
    <cfRule type="cellIs" dxfId="6387" priority="487" operator="equal">
      <formula>"3-001-0002"</formula>
    </cfRule>
  </conditionalFormatting>
  <conditionalFormatting sqref="F103">
    <cfRule type="cellIs" dxfId="6386" priority="489" operator="equal">
      <formula>"3-001-2214"</formula>
    </cfRule>
    <cfRule type="cellIs" dxfId="6385" priority="490" operator="equal">
      <formula>"3-001-5204"</formula>
    </cfRule>
    <cfRule type="cellIs" dxfId="6384" priority="491" operator="equal">
      <formula>"3-001-0002"</formula>
    </cfRule>
  </conditionalFormatting>
  <conditionalFormatting sqref="AS103">
    <cfRule type="expression" dxfId="6383" priority="492">
      <formula>IF(L103=AS103,1,0)</formula>
    </cfRule>
  </conditionalFormatting>
  <conditionalFormatting sqref="AS102">
    <cfRule type="expression" dxfId="6382" priority="488">
      <formula>IF(L102=AS102,1,0)</formula>
    </cfRule>
  </conditionalFormatting>
  <conditionalFormatting sqref="F111:F112">
    <cfRule type="cellIs" dxfId="6381" priority="481" operator="equal">
      <formula>"3-001-2214"</formula>
    </cfRule>
    <cfRule type="cellIs" dxfId="6380" priority="482" operator="equal">
      <formula>"3-001-5204"</formula>
    </cfRule>
    <cfRule type="cellIs" dxfId="6379" priority="483" operator="equal">
      <formula>"3-001-0002"</formula>
    </cfRule>
  </conditionalFormatting>
  <conditionalFormatting sqref="F114">
    <cfRule type="cellIs" dxfId="6378" priority="453" operator="equal">
      <formula>"3-001-2214"</formula>
    </cfRule>
    <cfRule type="cellIs" dxfId="6377" priority="454" operator="equal">
      <formula>"3-001-5204"</formula>
    </cfRule>
    <cfRule type="cellIs" dxfId="6376" priority="455" operator="equal">
      <formula>"3-001-0002"</formula>
    </cfRule>
  </conditionalFormatting>
  <conditionalFormatting sqref="F115">
    <cfRule type="cellIs" dxfId="6375" priority="457" operator="equal">
      <formula>"3-001-2214"</formula>
    </cfRule>
    <cfRule type="cellIs" dxfId="6374" priority="458" operator="equal">
      <formula>"3-001-5204"</formula>
    </cfRule>
    <cfRule type="cellIs" dxfId="6373" priority="459" operator="equal">
      <formula>"3-001-0002"</formula>
    </cfRule>
  </conditionalFormatting>
  <conditionalFormatting sqref="AS115">
    <cfRule type="expression" dxfId="6372" priority="460">
      <formula>IF(L115=AS115,1,0)</formula>
    </cfRule>
  </conditionalFormatting>
  <conditionalFormatting sqref="AS114">
    <cfRule type="expression" dxfId="6371" priority="456">
      <formula>IF(L114=AS114,1,0)</formula>
    </cfRule>
  </conditionalFormatting>
  <conditionalFormatting sqref="F117:F118">
    <cfRule type="cellIs" dxfId="6370" priority="449" operator="equal">
      <formula>"3-001-2214"</formula>
    </cfRule>
    <cfRule type="cellIs" dxfId="6369" priority="450" operator="equal">
      <formula>"3-001-5204"</formula>
    </cfRule>
    <cfRule type="cellIs" dxfId="6368" priority="451" operator="equal">
      <formula>"3-001-0002"</formula>
    </cfRule>
  </conditionalFormatting>
  <conditionalFormatting sqref="F107">
    <cfRule type="cellIs" dxfId="6367" priority="445" operator="equal">
      <formula>"3-001-2214"</formula>
    </cfRule>
    <cfRule type="cellIs" dxfId="6366" priority="446" operator="equal">
      <formula>"3-001-5204"</formula>
    </cfRule>
    <cfRule type="cellIs" dxfId="6365" priority="447" operator="equal">
      <formula>"3-001-0002"</formula>
    </cfRule>
  </conditionalFormatting>
  <conditionalFormatting sqref="AS107">
    <cfRule type="expression" dxfId="6364" priority="448">
      <formula>IF(L107=AS107,1,0)</formula>
    </cfRule>
  </conditionalFormatting>
  <conditionalFormatting sqref="F110">
    <cfRule type="cellIs" dxfId="6363" priority="441" operator="equal">
      <formula>"3-001-2214"</formula>
    </cfRule>
    <cfRule type="cellIs" dxfId="6362" priority="442" operator="equal">
      <formula>"3-001-5204"</formula>
    </cfRule>
    <cfRule type="cellIs" dxfId="6361" priority="443" operator="equal">
      <formula>"3-001-0002"</formula>
    </cfRule>
  </conditionalFormatting>
  <conditionalFormatting sqref="AS110">
    <cfRule type="expression" dxfId="6360" priority="444">
      <formula>IF(L110=AS110,1,0)</formula>
    </cfRule>
  </conditionalFormatting>
  <conditionalFormatting sqref="F113">
    <cfRule type="cellIs" dxfId="6359" priority="437" operator="equal">
      <formula>"3-001-2214"</formula>
    </cfRule>
    <cfRule type="cellIs" dxfId="6358" priority="438" operator="equal">
      <formula>"3-001-5204"</formula>
    </cfRule>
    <cfRule type="cellIs" dxfId="6357" priority="439" operator="equal">
      <formula>"3-001-0002"</formula>
    </cfRule>
  </conditionalFormatting>
  <conditionalFormatting sqref="AS113">
    <cfRule type="expression" dxfId="6356" priority="440">
      <formula>IF(L113=AS113,1,0)</formula>
    </cfRule>
  </conditionalFormatting>
  <conditionalFormatting sqref="F116">
    <cfRule type="cellIs" dxfId="6355" priority="433" operator="equal">
      <formula>"3-001-2214"</formula>
    </cfRule>
    <cfRule type="cellIs" dxfId="6354" priority="434" operator="equal">
      <formula>"3-001-5204"</formula>
    </cfRule>
    <cfRule type="cellIs" dxfId="6353" priority="435" operator="equal">
      <formula>"3-001-0002"</formula>
    </cfRule>
  </conditionalFormatting>
  <conditionalFormatting sqref="AS116">
    <cfRule type="expression" dxfId="6352" priority="436">
      <formula>IF(L116=AS116,1,0)</formula>
    </cfRule>
  </conditionalFormatting>
  <conditionalFormatting sqref="F119">
    <cfRule type="cellIs" dxfId="6351" priority="429" operator="equal">
      <formula>"3-001-2214"</formula>
    </cfRule>
    <cfRule type="cellIs" dxfId="6350" priority="430" operator="equal">
      <formula>"3-001-5204"</formula>
    </cfRule>
    <cfRule type="cellIs" dxfId="6349" priority="431" operator="equal">
      <formula>"3-001-0002"</formula>
    </cfRule>
  </conditionalFormatting>
  <conditionalFormatting sqref="AS119">
    <cfRule type="expression" dxfId="6348" priority="432">
      <formula>IF(L119=AS119,1,0)</formula>
    </cfRule>
  </conditionalFormatting>
  <conditionalFormatting sqref="F89">
    <cfRule type="cellIs" dxfId="6347" priority="425" operator="equal">
      <formula>"3-001-2214"</formula>
    </cfRule>
    <cfRule type="cellIs" dxfId="6346" priority="426" operator="equal">
      <formula>"3-001-5204"</formula>
    </cfRule>
    <cfRule type="cellIs" dxfId="6345" priority="427" operator="equal">
      <formula>"3-001-0002"</formula>
    </cfRule>
  </conditionalFormatting>
  <conditionalFormatting sqref="AS89">
    <cfRule type="expression" dxfId="6344" priority="428">
      <formula>IF(L89=AS89,1,0)</formula>
    </cfRule>
  </conditionalFormatting>
  <conditionalFormatting sqref="AS120">
    <cfRule type="expression" dxfId="6343" priority="388">
      <formula>IF(L120=AS120,1,0)</formula>
    </cfRule>
  </conditionalFormatting>
  <conditionalFormatting sqref="F120">
    <cfRule type="cellIs" dxfId="6342" priority="385" operator="equal">
      <formula>"3-001-2214"</formula>
    </cfRule>
    <cfRule type="cellIs" dxfId="6341" priority="386" operator="equal">
      <formula>"3-001-5204"</formula>
    </cfRule>
    <cfRule type="cellIs" dxfId="6340" priority="387" operator="equal">
      <formula>"3-001-0002"</formula>
    </cfRule>
  </conditionalFormatting>
  <conditionalFormatting sqref="AS121">
    <cfRule type="expression" dxfId="6339" priority="372">
      <formula>IF(L121=AS121,1,0)</formula>
    </cfRule>
  </conditionalFormatting>
  <conditionalFormatting sqref="F121">
    <cfRule type="cellIs" dxfId="6338" priority="369" operator="equal">
      <formula>"3-001-2214"</formula>
    </cfRule>
    <cfRule type="cellIs" dxfId="6337" priority="370" operator="equal">
      <formula>"3-001-5204"</formula>
    </cfRule>
    <cfRule type="cellIs" dxfId="6336" priority="371" operator="equal">
      <formula>"3-001-0002"</formula>
    </cfRule>
  </conditionalFormatting>
  <conditionalFormatting sqref="AS190">
    <cfRule type="expression" dxfId="6335" priority="360">
      <formula>IF(L190=AS190,1,0)</formula>
    </cfRule>
  </conditionalFormatting>
  <conditionalFormatting sqref="F190">
    <cfRule type="cellIs" dxfId="6334" priority="357" operator="equal">
      <formula>"3-001-2214"</formula>
    </cfRule>
    <cfRule type="cellIs" dxfId="6333" priority="358" operator="equal">
      <formula>"3-001-5204"</formula>
    </cfRule>
    <cfRule type="cellIs" dxfId="6332" priority="359" operator="equal">
      <formula>"3-001-0002"</formula>
    </cfRule>
  </conditionalFormatting>
  <conditionalFormatting sqref="AS185">
    <cfRule type="expression" dxfId="6331" priority="352">
      <formula>IF(L185=AS185,1,0)</formula>
    </cfRule>
  </conditionalFormatting>
  <conditionalFormatting sqref="F185">
    <cfRule type="cellIs" dxfId="6330" priority="349" operator="equal">
      <formula>"3-001-2214"</formula>
    </cfRule>
    <cfRule type="cellIs" dxfId="6329" priority="350" operator="equal">
      <formula>"3-001-5204"</formula>
    </cfRule>
    <cfRule type="cellIs" dxfId="6328" priority="351" operator="equal">
      <formula>"3-001-0002"</formula>
    </cfRule>
  </conditionalFormatting>
  <conditionalFormatting sqref="AS194">
    <cfRule type="expression" dxfId="6327" priority="348">
      <formula>IF(L194=AS194,1,0)</formula>
    </cfRule>
  </conditionalFormatting>
  <conditionalFormatting sqref="F194">
    <cfRule type="cellIs" dxfId="6326" priority="345" operator="equal">
      <formula>"3-001-2214"</formula>
    </cfRule>
    <cfRule type="cellIs" dxfId="6325" priority="346" operator="equal">
      <formula>"3-001-5204"</formula>
    </cfRule>
    <cfRule type="cellIs" dxfId="6324" priority="347" operator="equal">
      <formula>"3-001-0002"</formula>
    </cfRule>
  </conditionalFormatting>
  <conditionalFormatting sqref="AS191">
    <cfRule type="expression" dxfId="6323" priority="356">
      <formula>IF(L191=AS191,1,0)</formula>
    </cfRule>
  </conditionalFormatting>
  <conditionalFormatting sqref="F191">
    <cfRule type="cellIs" dxfId="6322" priority="353" operator="equal">
      <formula>"3-001-2214"</formula>
    </cfRule>
    <cfRule type="cellIs" dxfId="6321" priority="354" operator="equal">
      <formula>"3-001-5204"</formula>
    </cfRule>
    <cfRule type="cellIs" dxfId="6320" priority="355" operator="equal">
      <formula>"3-001-0002"</formula>
    </cfRule>
  </conditionalFormatting>
  <conditionalFormatting sqref="AS122">
    <cfRule type="expression" dxfId="6319" priority="344">
      <formula>IF(L122=AS122,1,0)</formula>
    </cfRule>
  </conditionalFormatting>
  <conditionalFormatting sqref="F122">
    <cfRule type="cellIs" dxfId="6318" priority="338" operator="equal">
      <formula>"3-001-2214"</formula>
    </cfRule>
    <cfRule type="cellIs" dxfId="6317" priority="339" operator="equal">
      <formula>"3-001-5204"</formula>
    </cfRule>
    <cfRule type="cellIs" dxfId="6316" priority="340" operator="equal">
      <formula>"3-001-0002"</formula>
    </cfRule>
  </conditionalFormatting>
  <conditionalFormatting sqref="F196">
    <cfRule type="cellIs" dxfId="6315" priority="330" operator="equal">
      <formula>"3-001-2214"</formula>
    </cfRule>
    <cfRule type="cellIs" dxfId="6314" priority="331" operator="equal">
      <formula>"3-001-5204"</formula>
    </cfRule>
    <cfRule type="cellIs" dxfId="6313" priority="332" operator="equal">
      <formula>"3-001-0002"</formula>
    </cfRule>
  </conditionalFormatting>
  <conditionalFormatting sqref="AS195">
    <cfRule type="expression" dxfId="6312" priority="337">
      <formula>IF(L195=AS195,1,0)</formula>
    </cfRule>
  </conditionalFormatting>
  <conditionalFormatting sqref="F195">
    <cfRule type="cellIs" dxfId="6311" priority="334" operator="equal">
      <formula>"3-001-2214"</formula>
    </cfRule>
    <cfRule type="cellIs" dxfId="6310" priority="335" operator="equal">
      <formula>"3-001-5204"</formula>
    </cfRule>
    <cfRule type="cellIs" dxfId="6309" priority="336" operator="equal">
      <formula>"3-001-0002"</formula>
    </cfRule>
  </conditionalFormatting>
  <conditionalFormatting sqref="AS196">
    <cfRule type="expression" dxfId="6308" priority="333">
      <formula>IF(L196=AS196,1,0)</formula>
    </cfRule>
  </conditionalFormatting>
  <conditionalFormatting sqref="F187">
    <cfRule type="cellIs" dxfId="6307" priority="322" operator="equal">
      <formula>"3-001-2214"</formula>
    </cfRule>
    <cfRule type="cellIs" dxfId="6306" priority="323" operator="equal">
      <formula>"3-001-5204"</formula>
    </cfRule>
    <cfRule type="cellIs" dxfId="6305" priority="324" operator="equal">
      <formula>"3-001-0002"</formula>
    </cfRule>
  </conditionalFormatting>
  <conditionalFormatting sqref="F186">
    <cfRule type="cellIs" dxfId="6304" priority="318" operator="equal">
      <formula>"3-001-2214"</formula>
    </cfRule>
    <cfRule type="cellIs" dxfId="6303" priority="319" operator="equal">
      <formula>"3-001-5204"</formula>
    </cfRule>
    <cfRule type="cellIs" dxfId="6302" priority="320" operator="equal">
      <formula>"3-001-0002"</formula>
    </cfRule>
  </conditionalFormatting>
  <conditionalFormatting sqref="AS187">
    <cfRule type="expression" dxfId="6301" priority="325">
      <formula>IF(L187=AS187,1,0)</formula>
    </cfRule>
  </conditionalFormatting>
  <conditionalFormatting sqref="F145">
    <cfRule type="cellIs" dxfId="6300" priority="298" operator="equal">
      <formula>"3-001-2214"</formula>
    </cfRule>
    <cfRule type="cellIs" dxfId="6299" priority="299" operator="equal">
      <formula>"3-001-5204"</formula>
    </cfRule>
    <cfRule type="cellIs" dxfId="6298" priority="300" operator="equal">
      <formula>"3-001-0002"</formula>
    </cfRule>
  </conditionalFormatting>
  <conditionalFormatting sqref="AS186">
    <cfRule type="expression" dxfId="6297" priority="321">
      <formula>IF(L186=AS186,1,0)</formula>
    </cfRule>
  </conditionalFormatting>
  <conditionalFormatting sqref="AS145">
    <cfRule type="expression" dxfId="6296" priority="301">
      <formula>IF(L145=AS145,1,0)</formula>
    </cfRule>
  </conditionalFormatting>
  <conditionalFormatting sqref="AS124">
    <cfRule type="expression" dxfId="6295" priority="313">
      <formula>IF(L124=AS124,1,0)</formula>
    </cfRule>
  </conditionalFormatting>
  <conditionalFormatting sqref="F124">
    <cfRule type="cellIs" dxfId="6294" priority="310" operator="equal">
      <formula>"3-001-2214"</formula>
    </cfRule>
    <cfRule type="cellIs" dxfId="6293" priority="311" operator="equal">
      <formula>"3-001-5204"</formula>
    </cfRule>
    <cfRule type="cellIs" dxfId="6292" priority="312" operator="equal">
      <formula>"3-001-0002"</formula>
    </cfRule>
  </conditionalFormatting>
  <conditionalFormatting sqref="AS123">
    <cfRule type="expression" dxfId="6291" priority="309">
      <formula>IF(L123=AS123,1,0)</formula>
    </cfRule>
  </conditionalFormatting>
  <conditionalFormatting sqref="F123">
    <cfRule type="cellIs" dxfId="6290" priority="306" operator="equal">
      <formula>"3-001-2214"</formula>
    </cfRule>
    <cfRule type="cellIs" dxfId="6289" priority="307" operator="equal">
      <formula>"3-001-5204"</formula>
    </cfRule>
    <cfRule type="cellIs" dxfId="6288" priority="308" operator="equal">
      <formula>"3-001-0002"</formula>
    </cfRule>
  </conditionalFormatting>
  <conditionalFormatting sqref="AS68">
    <cfRule type="expression" dxfId="6287" priority="285">
      <formula>IF(L68=AS68,1,0)</formula>
    </cfRule>
  </conditionalFormatting>
  <conditionalFormatting sqref="F68">
    <cfRule type="cellIs" dxfId="6286" priority="282" operator="equal">
      <formula>"3-001-2214"</formula>
    </cfRule>
    <cfRule type="cellIs" dxfId="6285" priority="283" operator="equal">
      <formula>"3-001-5204"</formula>
    </cfRule>
    <cfRule type="cellIs" dxfId="6284" priority="284" operator="equal">
      <formula>"3-001-0002"</formula>
    </cfRule>
  </conditionalFormatting>
  <conditionalFormatting sqref="AS146">
    <cfRule type="expression" dxfId="6283" priority="297">
      <formula>IF(L146=AS146,1,0)</formula>
    </cfRule>
  </conditionalFormatting>
  <conditionalFormatting sqref="F146">
    <cfRule type="cellIs" dxfId="6282" priority="294" operator="equal">
      <formula>"3-001-2214"</formula>
    </cfRule>
    <cfRule type="cellIs" dxfId="6281" priority="295" operator="equal">
      <formula>"3-001-5204"</formula>
    </cfRule>
    <cfRule type="cellIs" dxfId="6280" priority="296" operator="equal">
      <formula>"3-001-0002"</formula>
    </cfRule>
  </conditionalFormatting>
  <conditionalFormatting sqref="AS184">
    <cfRule type="expression" dxfId="6279" priority="293">
      <formula>IF(L184=AS184,1,0)</formula>
    </cfRule>
  </conditionalFormatting>
  <conditionalFormatting sqref="F184">
    <cfRule type="cellIs" dxfId="6278" priority="290" operator="equal">
      <formula>"3-001-2214"</formula>
    </cfRule>
    <cfRule type="cellIs" dxfId="6277" priority="291" operator="equal">
      <formula>"3-001-5204"</formula>
    </cfRule>
    <cfRule type="cellIs" dxfId="6276" priority="292" operator="equal">
      <formula>"3-001-0002"</formula>
    </cfRule>
  </conditionalFormatting>
  <conditionalFormatting sqref="F173">
    <cfRule type="cellIs" dxfId="6275" priority="226" operator="equal">
      <formula>"3-001-2214"</formula>
    </cfRule>
    <cfRule type="cellIs" dxfId="6274" priority="227" operator="equal">
      <formula>"3-001-5204"</formula>
    </cfRule>
    <cfRule type="cellIs" dxfId="6273" priority="228" operator="equal">
      <formula>"3-001-0002"</formula>
    </cfRule>
  </conditionalFormatting>
  <conditionalFormatting sqref="AS173">
    <cfRule type="expression" dxfId="6272" priority="229">
      <formula>IF(L173=AS173,1,0)</formula>
    </cfRule>
  </conditionalFormatting>
  <conditionalFormatting sqref="F61">
    <cfRule type="cellIs" dxfId="6271" priority="278" operator="equal">
      <formula>"3-001-2214"</formula>
    </cfRule>
    <cfRule type="cellIs" dxfId="6270" priority="279" operator="equal">
      <formula>"3-001-5204"</formula>
    </cfRule>
    <cfRule type="cellIs" dxfId="6269" priority="280" operator="equal">
      <formula>"3-001-0002"</formula>
    </cfRule>
  </conditionalFormatting>
  <conditionalFormatting sqref="F65">
    <cfRule type="cellIs" dxfId="6268" priority="274" operator="equal">
      <formula>"3-001-2214"</formula>
    </cfRule>
    <cfRule type="cellIs" dxfId="6267" priority="275" operator="equal">
      <formula>"3-001-5204"</formula>
    </cfRule>
    <cfRule type="cellIs" dxfId="6266" priority="276" operator="equal">
      <formula>"3-001-0002"</formula>
    </cfRule>
  </conditionalFormatting>
  <conditionalFormatting sqref="AS61">
    <cfRule type="expression" dxfId="6265" priority="281">
      <formula>IF(L61=AS61,1,0)</formula>
    </cfRule>
  </conditionalFormatting>
  <conditionalFormatting sqref="AS65">
    <cfRule type="expression" dxfId="6264" priority="277">
      <formula>IF(L65=AS65,1,0)</formula>
    </cfRule>
  </conditionalFormatting>
  <conditionalFormatting sqref="AS171">
    <cfRule type="expression" dxfId="6263" priority="269">
      <formula>IF(L171=AS171,1,0)</formula>
    </cfRule>
  </conditionalFormatting>
  <conditionalFormatting sqref="F171">
    <cfRule type="cellIs" dxfId="6262" priority="266" operator="equal">
      <formula>"3-001-2214"</formula>
    </cfRule>
    <cfRule type="cellIs" dxfId="6261" priority="267" operator="equal">
      <formula>"3-001-5204"</formula>
    </cfRule>
    <cfRule type="cellIs" dxfId="6260" priority="268" operator="equal">
      <formula>"3-001-0002"</formula>
    </cfRule>
  </conditionalFormatting>
  <conditionalFormatting sqref="F179">
    <cfRule type="cellIs" dxfId="6259" priority="218" operator="equal">
      <formula>"3-001-2214"</formula>
    </cfRule>
    <cfRule type="cellIs" dxfId="6258" priority="219" operator="equal">
      <formula>"3-001-5204"</formula>
    </cfRule>
    <cfRule type="cellIs" dxfId="6257" priority="220" operator="equal">
      <formula>"3-001-0002"</formula>
    </cfRule>
  </conditionalFormatting>
  <conditionalFormatting sqref="AS179">
    <cfRule type="expression" dxfId="6256" priority="221">
      <formula>IF(L179=AS179,1,0)</formula>
    </cfRule>
  </conditionalFormatting>
  <conditionalFormatting sqref="F176">
    <cfRule type="cellIs" dxfId="6255" priority="258" operator="equal">
      <formula>"3-001-2214"</formula>
    </cfRule>
    <cfRule type="cellIs" dxfId="6254" priority="259" operator="equal">
      <formula>"3-001-5204"</formula>
    </cfRule>
    <cfRule type="cellIs" dxfId="6253" priority="260" operator="equal">
      <formula>"3-001-0002"</formula>
    </cfRule>
  </conditionalFormatting>
  <conditionalFormatting sqref="F178">
    <cfRule type="cellIs" dxfId="6252" priority="250" operator="equal">
      <formula>"3-001-2214"</formula>
    </cfRule>
    <cfRule type="cellIs" dxfId="6251" priority="251" operator="equal">
      <formula>"3-001-5204"</formula>
    </cfRule>
    <cfRule type="cellIs" dxfId="6250" priority="252" operator="equal">
      <formula>"3-001-0002"</formula>
    </cfRule>
  </conditionalFormatting>
  <conditionalFormatting sqref="AS176">
    <cfRule type="expression" dxfId="6249" priority="261">
      <formula>IF(L176=AS176,1,0)</formula>
    </cfRule>
  </conditionalFormatting>
  <conditionalFormatting sqref="AS178">
    <cfRule type="expression" dxfId="6248" priority="253">
      <formula>IF(L178=AS178,1,0)</formula>
    </cfRule>
  </conditionalFormatting>
  <conditionalFormatting sqref="F172">
    <cfRule type="cellIs" dxfId="6247" priority="246" operator="equal">
      <formula>"3-001-2214"</formula>
    </cfRule>
    <cfRule type="cellIs" dxfId="6246" priority="247" operator="equal">
      <formula>"3-001-5204"</formula>
    </cfRule>
    <cfRule type="cellIs" dxfId="6245" priority="248" operator="equal">
      <formula>"3-001-0002"</formula>
    </cfRule>
  </conditionalFormatting>
  <conditionalFormatting sqref="AS172">
    <cfRule type="expression" dxfId="6244" priority="249">
      <formula>IF(L172=AS172,1,0)</formula>
    </cfRule>
  </conditionalFormatting>
  <conditionalFormatting sqref="F174">
    <cfRule type="cellIs" dxfId="6243" priority="238" operator="equal">
      <formula>"3-001-2214"</formula>
    </cfRule>
    <cfRule type="cellIs" dxfId="6242" priority="239" operator="equal">
      <formula>"3-001-5204"</formula>
    </cfRule>
    <cfRule type="cellIs" dxfId="6241" priority="240" operator="equal">
      <formula>"3-001-0002"</formula>
    </cfRule>
  </conditionalFormatting>
  <conditionalFormatting sqref="AS174">
    <cfRule type="expression" dxfId="6240" priority="241">
      <formula>IF(L174=AS174,1,0)</formula>
    </cfRule>
  </conditionalFormatting>
  <conditionalFormatting sqref="AS177">
    <cfRule type="expression" dxfId="6239" priority="225">
      <formula>IF(L177=AS177,1,0)</formula>
    </cfRule>
  </conditionalFormatting>
  <conditionalFormatting sqref="F177">
    <cfRule type="cellIs" dxfId="6238" priority="222" operator="equal">
      <formula>"3-001-2214"</formula>
    </cfRule>
    <cfRule type="cellIs" dxfId="6237" priority="223" operator="equal">
      <formula>"3-001-5204"</formula>
    </cfRule>
    <cfRule type="cellIs" dxfId="6236" priority="224" operator="equal">
      <formula>"3-001-0002"</formula>
    </cfRule>
  </conditionalFormatting>
  <conditionalFormatting sqref="F183">
    <cfRule type="cellIs" dxfId="6235" priority="210" operator="equal">
      <formula>"3-001-2214"</formula>
    </cfRule>
    <cfRule type="cellIs" dxfId="6234" priority="211" operator="equal">
      <formula>"3-001-5204"</formula>
    </cfRule>
    <cfRule type="cellIs" dxfId="6233" priority="212" operator="equal">
      <formula>"3-001-0002"</formula>
    </cfRule>
  </conditionalFormatting>
  <conditionalFormatting sqref="AS183">
    <cfRule type="expression" dxfId="6232" priority="213">
      <formula>IF(L183=AS183,1,0)</formula>
    </cfRule>
  </conditionalFormatting>
  <conditionalFormatting sqref="F182">
    <cfRule type="cellIs" dxfId="6231" priority="214" operator="equal">
      <formula>"3-001-2214"</formula>
    </cfRule>
    <cfRule type="cellIs" dxfId="6230" priority="215" operator="equal">
      <formula>"3-001-5204"</formula>
    </cfRule>
    <cfRule type="cellIs" dxfId="6229" priority="216" operator="equal">
      <formula>"3-001-0002"</formula>
    </cfRule>
  </conditionalFormatting>
  <conditionalFormatting sqref="AS182">
    <cfRule type="expression" dxfId="6228" priority="217">
      <formula>IF(L182=AS182,1,0)</formula>
    </cfRule>
  </conditionalFormatting>
  <conditionalFormatting sqref="F180">
    <cfRule type="cellIs" dxfId="6227" priority="206" operator="equal">
      <formula>"3-001-2214"</formula>
    </cfRule>
    <cfRule type="cellIs" dxfId="6226" priority="207" operator="equal">
      <formula>"3-001-5204"</formula>
    </cfRule>
    <cfRule type="cellIs" dxfId="6225" priority="208" operator="equal">
      <formula>"3-001-0002"</formula>
    </cfRule>
  </conditionalFormatting>
  <conditionalFormatting sqref="AS180">
    <cfRule type="expression" dxfId="6224" priority="209">
      <formula>IF(L180=AS180,1,0)</formula>
    </cfRule>
  </conditionalFormatting>
  <conditionalFormatting sqref="AS181">
    <cfRule type="expression" dxfId="6223" priority="205">
      <formula>IF(L181=AS181,1,0)</formula>
    </cfRule>
  </conditionalFormatting>
  <conditionalFormatting sqref="F181">
    <cfRule type="cellIs" dxfId="6222" priority="202" operator="equal">
      <formula>"3-001-2214"</formula>
    </cfRule>
    <cfRule type="cellIs" dxfId="6221" priority="203" operator="equal">
      <formula>"3-001-5204"</formula>
    </cfRule>
    <cfRule type="cellIs" dxfId="6220" priority="204" operator="equal">
      <formula>"3-001-0002"</formula>
    </cfRule>
  </conditionalFormatting>
  <conditionalFormatting sqref="AS160:AS161">
    <cfRule type="expression" dxfId="6219" priority="201">
      <formula>IF(L160=AS160,1,0)</formula>
    </cfRule>
  </conditionalFormatting>
  <conditionalFormatting sqref="F160:F161">
    <cfRule type="cellIs" dxfId="6218" priority="198" operator="equal">
      <formula>"3-001-2214"</formula>
    </cfRule>
    <cfRule type="cellIs" dxfId="6217" priority="199" operator="equal">
      <formula>"3-001-5204"</formula>
    </cfRule>
    <cfRule type="cellIs" dxfId="6216" priority="200" operator="equal">
      <formula>"3-001-0002"</formula>
    </cfRule>
  </conditionalFormatting>
  <conditionalFormatting sqref="AS159">
    <cfRule type="expression" dxfId="6215" priority="197">
      <formula>IF(L159=AS159,1,0)</formula>
    </cfRule>
  </conditionalFormatting>
  <conditionalFormatting sqref="F159">
    <cfRule type="cellIs" dxfId="6214" priority="194" operator="equal">
      <formula>"3-001-2214"</formula>
    </cfRule>
    <cfRule type="cellIs" dxfId="6213" priority="195" operator="equal">
      <formula>"3-001-5204"</formula>
    </cfRule>
    <cfRule type="cellIs" dxfId="6212" priority="196" operator="equal">
      <formula>"3-001-0002"</formula>
    </cfRule>
  </conditionalFormatting>
  <conditionalFormatting sqref="AS137">
    <cfRule type="expression" dxfId="6211" priority="193">
      <formula>IF(L137=AS137,1,0)</formula>
    </cfRule>
  </conditionalFormatting>
  <conditionalFormatting sqref="F137">
    <cfRule type="cellIs" dxfId="6210" priority="190" operator="equal">
      <formula>"3-001-2214"</formula>
    </cfRule>
    <cfRule type="cellIs" dxfId="6209" priority="191" operator="equal">
      <formula>"3-001-5204"</formula>
    </cfRule>
    <cfRule type="cellIs" dxfId="6208" priority="192" operator="equal">
      <formula>"3-001-0002"</formula>
    </cfRule>
  </conditionalFormatting>
  <conditionalFormatting sqref="AS150">
    <cfRule type="expression" dxfId="6207" priority="189">
      <formula>IF(L150=AS150,1,0)</formula>
    </cfRule>
  </conditionalFormatting>
  <conditionalFormatting sqref="F150">
    <cfRule type="cellIs" dxfId="6206" priority="186" operator="equal">
      <formula>"3-001-2214"</formula>
    </cfRule>
    <cfRule type="cellIs" dxfId="6205" priority="187" operator="equal">
      <formula>"3-001-5204"</formula>
    </cfRule>
    <cfRule type="cellIs" dxfId="6204" priority="188" operator="equal">
      <formula>"3-001-0002"</formula>
    </cfRule>
  </conditionalFormatting>
  <conditionalFormatting sqref="AS151">
    <cfRule type="expression" dxfId="6203" priority="185">
      <formula>IF(L151=AS151,1,0)</formula>
    </cfRule>
  </conditionalFormatting>
  <conditionalFormatting sqref="F151">
    <cfRule type="cellIs" dxfId="6202" priority="182" operator="equal">
      <formula>"3-001-2214"</formula>
    </cfRule>
    <cfRule type="cellIs" dxfId="6201" priority="183" operator="equal">
      <formula>"3-001-5204"</formula>
    </cfRule>
    <cfRule type="cellIs" dxfId="6200" priority="184" operator="equal">
      <formula>"3-001-0002"</formula>
    </cfRule>
  </conditionalFormatting>
  <conditionalFormatting sqref="AS153:AS155">
    <cfRule type="expression" dxfId="6199" priority="181">
      <formula>IF(L153=AS153,1,0)</formula>
    </cfRule>
  </conditionalFormatting>
  <conditionalFormatting sqref="F153:F155">
    <cfRule type="cellIs" dxfId="6198" priority="178" operator="equal">
      <formula>"3-001-2214"</formula>
    </cfRule>
    <cfRule type="cellIs" dxfId="6197" priority="179" operator="equal">
      <formula>"3-001-5204"</formula>
    </cfRule>
    <cfRule type="cellIs" dxfId="6196" priority="180" operator="equal">
      <formula>"3-001-0002"</formula>
    </cfRule>
  </conditionalFormatting>
  <conditionalFormatting sqref="AS152">
    <cfRule type="expression" dxfId="6195" priority="177">
      <formula>IF(L152=AS152,1,0)</formula>
    </cfRule>
  </conditionalFormatting>
  <conditionalFormatting sqref="F152">
    <cfRule type="cellIs" dxfId="6194" priority="174" operator="equal">
      <formula>"3-001-2214"</formula>
    </cfRule>
    <cfRule type="cellIs" dxfId="6193" priority="175" operator="equal">
      <formula>"3-001-5204"</formula>
    </cfRule>
    <cfRule type="cellIs" dxfId="6192" priority="176" operator="equal">
      <formula>"3-001-0002"</formula>
    </cfRule>
  </conditionalFormatting>
  <conditionalFormatting sqref="AS162">
    <cfRule type="expression" dxfId="6191" priority="165">
      <formula>IF(L162=AS162,1,0)</formula>
    </cfRule>
  </conditionalFormatting>
  <conditionalFormatting sqref="F162">
    <cfRule type="cellIs" dxfId="6190" priority="162" operator="equal">
      <formula>"3-001-2214"</formula>
    </cfRule>
    <cfRule type="cellIs" dxfId="6189" priority="163" operator="equal">
      <formula>"3-001-5204"</formula>
    </cfRule>
    <cfRule type="cellIs" dxfId="6188" priority="164" operator="equal">
      <formula>"3-001-0002"</formula>
    </cfRule>
  </conditionalFormatting>
  <conditionalFormatting sqref="AS156">
    <cfRule type="expression" dxfId="6187" priority="169">
      <formula>IF(L156=AS156,1,0)</formula>
    </cfRule>
  </conditionalFormatting>
  <conditionalFormatting sqref="F156">
    <cfRule type="cellIs" dxfId="6186" priority="166" operator="equal">
      <formula>"3-001-2214"</formula>
    </cfRule>
    <cfRule type="cellIs" dxfId="6185" priority="167" operator="equal">
      <formula>"3-001-5204"</formula>
    </cfRule>
    <cfRule type="cellIs" dxfId="6184" priority="168" operator="equal">
      <formula>"3-001-0002"</formula>
    </cfRule>
  </conditionalFormatting>
  <conditionalFormatting sqref="AS163">
    <cfRule type="expression" dxfId="6183" priority="161">
      <formula>IF(L163=AS163,1,0)</formula>
    </cfRule>
  </conditionalFormatting>
  <conditionalFormatting sqref="F163">
    <cfRule type="cellIs" dxfId="6182" priority="158" operator="equal">
      <formula>"3-001-2214"</formula>
    </cfRule>
    <cfRule type="cellIs" dxfId="6181" priority="159" operator="equal">
      <formula>"3-001-5204"</formula>
    </cfRule>
    <cfRule type="cellIs" dxfId="6180" priority="160" operator="equal">
      <formula>"3-001-0002"</formula>
    </cfRule>
  </conditionalFormatting>
  <conditionalFormatting sqref="AS53">
    <cfRule type="expression" dxfId="6179" priority="157">
      <formula>IF(L53=AS53,1,0)</formula>
    </cfRule>
  </conditionalFormatting>
  <conditionalFormatting sqref="F53">
    <cfRule type="cellIs" dxfId="6178" priority="154" operator="equal">
      <formula>"3-001-2214"</formula>
    </cfRule>
    <cfRule type="cellIs" dxfId="6177" priority="155" operator="equal">
      <formula>"3-001-5204"</formula>
    </cfRule>
    <cfRule type="cellIs" dxfId="6176" priority="156" operator="equal">
      <formula>"3-001-0002"</formula>
    </cfRule>
  </conditionalFormatting>
  <conditionalFormatting sqref="F147">
    <cfRule type="cellIs" dxfId="6175" priority="142" operator="equal">
      <formula>"3-001-2214"</formula>
    </cfRule>
    <cfRule type="cellIs" dxfId="6174" priority="143" operator="equal">
      <formula>"3-001-5204"</formula>
    </cfRule>
    <cfRule type="cellIs" dxfId="6173" priority="144" operator="equal">
      <formula>"3-001-0002"</formula>
    </cfRule>
  </conditionalFormatting>
  <conditionalFormatting sqref="AS144">
    <cfRule type="expression" dxfId="6172" priority="153">
      <formula>IF(L144=AS144,1,0)</formula>
    </cfRule>
  </conditionalFormatting>
  <conditionalFormatting sqref="F144">
    <cfRule type="cellIs" dxfId="6171" priority="150" operator="equal">
      <formula>"3-001-2214"</formula>
    </cfRule>
    <cfRule type="cellIs" dxfId="6170" priority="151" operator="equal">
      <formula>"3-001-5204"</formula>
    </cfRule>
    <cfRule type="cellIs" dxfId="6169" priority="152" operator="equal">
      <formula>"3-001-0002"</formula>
    </cfRule>
  </conditionalFormatting>
  <conditionalFormatting sqref="AS149">
    <cfRule type="expression" dxfId="6168" priority="149">
      <formula>IF(L149=AS149,1,0)</formula>
    </cfRule>
  </conditionalFormatting>
  <conditionalFormatting sqref="F149">
    <cfRule type="cellIs" dxfId="6167" priority="146" operator="equal">
      <formula>"3-001-2214"</formula>
    </cfRule>
    <cfRule type="cellIs" dxfId="6166" priority="147" operator="equal">
      <formula>"3-001-5204"</formula>
    </cfRule>
    <cfRule type="cellIs" dxfId="6165" priority="148" operator="equal">
      <formula>"3-001-0002"</formula>
    </cfRule>
  </conditionalFormatting>
  <conditionalFormatting sqref="AS147">
    <cfRule type="expression" dxfId="6164" priority="145">
      <formula>IF(L147=AS147,1,0)</formula>
    </cfRule>
  </conditionalFormatting>
  <conditionalFormatting sqref="F148">
    <cfRule type="cellIs" dxfId="6163" priority="138" operator="equal">
      <formula>"3-001-2214"</formula>
    </cfRule>
    <cfRule type="cellIs" dxfId="6162" priority="139" operator="equal">
      <formula>"3-001-5204"</formula>
    </cfRule>
    <cfRule type="cellIs" dxfId="6161" priority="140" operator="equal">
      <formula>"3-001-0002"</formula>
    </cfRule>
  </conditionalFormatting>
  <conditionalFormatting sqref="AS148">
    <cfRule type="expression" dxfId="6160" priority="141">
      <formula>IF(L148=AS148,1,0)</formula>
    </cfRule>
  </conditionalFormatting>
  <conditionalFormatting sqref="AS136">
    <cfRule type="expression" dxfId="6159" priority="133">
      <formula>IF(L136=AS136,1,0)</formula>
    </cfRule>
  </conditionalFormatting>
  <conditionalFormatting sqref="F136">
    <cfRule type="cellIs" dxfId="6158" priority="130" operator="equal">
      <formula>"3-001-2214"</formula>
    </cfRule>
    <cfRule type="cellIs" dxfId="6157" priority="131" operator="equal">
      <formula>"3-001-5204"</formula>
    </cfRule>
    <cfRule type="cellIs" dxfId="6156" priority="132" operator="equal">
      <formula>"3-001-0002"</formula>
    </cfRule>
  </conditionalFormatting>
  <conditionalFormatting sqref="AS198">
    <cfRule type="expression" dxfId="6155" priority="128">
      <formula>IF(L198=AS198,1,0)</formula>
    </cfRule>
  </conditionalFormatting>
  <conditionalFormatting sqref="AS157">
    <cfRule type="expression" dxfId="6154" priority="108">
      <formula>IF(L157=AS157,1,0)</formula>
    </cfRule>
  </conditionalFormatting>
  <conditionalFormatting sqref="F157">
    <cfRule type="cellIs" dxfId="6153" priority="105" operator="equal">
      <formula>"3-001-2214"</formula>
    </cfRule>
    <cfRule type="cellIs" dxfId="6152" priority="106" operator="equal">
      <formula>"3-001-5204"</formula>
    </cfRule>
    <cfRule type="cellIs" dxfId="6151" priority="107" operator="equal">
      <formula>"3-001-0002"</formula>
    </cfRule>
  </conditionalFormatting>
  <conditionalFormatting sqref="AS158">
    <cfRule type="expression" dxfId="6150" priority="104">
      <formula>IF(L158=AS158,1,0)</formula>
    </cfRule>
  </conditionalFormatting>
  <conditionalFormatting sqref="F158">
    <cfRule type="cellIs" dxfId="6149" priority="101" operator="equal">
      <formula>"3-001-2214"</formula>
    </cfRule>
    <cfRule type="cellIs" dxfId="6148" priority="102" operator="equal">
      <formula>"3-001-5204"</formula>
    </cfRule>
    <cfRule type="cellIs" dxfId="6147" priority="103" operator="equal">
      <formula>"3-001-0002"</formula>
    </cfRule>
  </conditionalFormatting>
  <conditionalFormatting sqref="AS38">
    <cfRule type="expression" dxfId="6146" priority="100">
      <formula>IF(L38=AS38,1,0)</formula>
    </cfRule>
  </conditionalFormatting>
  <conditionalFormatting sqref="F38">
    <cfRule type="cellIs" dxfId="6145" priority="97" operator="equal">
      <formula>"3-001-2214"</formula>
    </cfRule>
    <cfRule type="cellIs" dxfId="6144" priority="98" operator="equal">
      <formula>"3-001-5204"</formula>
    </cfRule>
    <cfRule type="cellIs" dxfId="6143" priority="99" operator="equal">
      <formula>"3-001-0002"</formula>
    </cfRule>
  </conditionalFormatting>
  <conditionalFormatting sqref="AS39">
    <cfRule type="expression" dxfId="6142" priority="96">
      <formula>IF(L39=AS39,1,0)</formula>
    </cfRule>
  </conditionalFormatting>
  <conditionalFormatting sqref="F39">
    <cfRule type="cellIs" dxfId="6141" priority="93" operator="equal">
      <formula>"3-001-2214"</formula>
    </cfRule>
    <cfRule type="cellIs" dxfId="6140" priority="94" operator="equal">
      <formula>"3-001-5204"</formula>
    </cfRule>
    <cfRule type="cellIs" dxfId="6139" priority="95" operator="equal">
      <formula>"3-001-0002"</formula>
    </cfRule>
  </conditionalFormatting>
  <conditionalFormatting sqref="Q199">
    <cfRule type="cellIs" dxfId="6138" priority="88" operator="notEqual">
      <formula>$L$197</formula>
    </cfRule>
  </conditionalFormatting>
  <conditionalFormatting sqref="S199">
    <cfRule type="cellIs" dxfId="6137" priority="87" operator="notEqual">
      <formula>$L$197</formula>
    </cfRule>
  </conditionalFormatting>
  <conditionalFormatting sqref="F52">
    <cfRule type="cellIs" dxfId="6136" priority="84" operator="equal">
      <formula>"3-001-2214"</formula>
    </cfRule>
    <cfRule type="cellIs" dxfId="6135" priority="85" operator="equal">
      <formula>"3-001-5204"</formula>
    </cfRule>
    <cfRule type="cellIs" dxfId="6134" priority="86" operator="equal">
      <formula>"3-001-0002"</formula>
    </cfRule>
  </conditionalFormatting>
  <conditionalFormatting sqref="F125">
    <cfRule type="cellIs" dxfId="6133" priority="80" operator="equal">
      <formula>"3-001-2214"</formula>
    </cfRule>
    <cfRule type="cellIs" dxfId="6132" priority="81" operator="equal">
      <formula>"3-001-5204"</formula>
    </cfRule>
    <cfRule type="cellIs" dxfId="6131" priority="82" operator="equal">
      <formula>"3-001-0002"</formula>
    </cfRule>
  </conditionalFormatting>
  <conditionalFormatting sqref="F126">
    <cfRule type="cellIs" dxfId="6130" priority="76" operator="equal">
      <formula>"3-001-2214"</formula>
    </cfRule>
    <cfRule type="cellIs" dxfId="6129" priority="77" operator="equal">
      <formula>"3-001-5204"</formula>
    </cfRule>
    <cfRule type="cellIs" dxfId="6128" priority="78" operator="equal">
      <formula>"3-001-0002"</formula>
    </cfRule>
  </conditionalFormatting>
  <conditionalFormatting sqref="F127">
    <cfRule type="cellIs" dxfId="6127" priority="72" operator="equal">
      <formula>"3-001-2214"</formula>
    </cfRule>
    <cfRule type="cellIs" dxfId="6126" priority="73" operator="equal">
      <formula>"3-001-5204"</formula>
    </cfRule>
    <cfRule type="cellIs" dxfId="6125" priority="74" operator="equal">
      <formula>"3-001-0002"</formula>
    </cfRule>
  </conditionalFormatting>
  <conditionalFormatting sqref="F128">
    <cfRule type="cellIs" dxfId="6124" priority="68" operator="equal">
      <formula>"3-001-2214"</formula>
    </cfRule>
    <cfRule type="cellIs" dxfId="6123" priority="69" operator="equal">
      <formula>"3-001-5204"</formula>
    </cfRule>
    <cfRule type="cellIs" dxfId="6122" priority="70" operator="equal">
      <formula>"3-001-0002"</formula>
    </cfRule>
  </conditionalFormatting>
  <conditionalFormatting sqref="F129">
    <cfRule type="cellIs" dxfId="6121" priority="64" operator="equal">
      <formula>"3-001-2214"</formula>
    </cfRule>
    <cfRule type="cellIs" dxfId="6120" priority="65" operator="equal">
      <formula>"3-001-5204"</formula>
    </cfRule>
    <cfRule type="cellIs" dxfId="6119" priority="66" operator="equal">
      <formula>"3-001-0002"</formula>
    </cfRule>
  </conditionalFormatting>
  <conditionalFormatting sqref="F130">
    <cfRule type="cellIs" dxfId="6118" priority="60" operator="equal">
      <formula>"3-001-2214"</formula>
    </cfRule>
    <cfRule type="cellIs" dxfId="6117" priority="61" operator="equal">
      <formula>"3-001-5204"</formula>
    </cfRule>
    <cfRule type="cellIs" dxfId="6116" priority="62" operator="equal">
      <formula>"3-001-0002"</formula>
    </cfRule>
  </conditionalFormatting>
  <conditionalFormatting sqref="AS165">
    <cfRule type="expression" dxfId="6115" priority="59">
      <formula>IF(L165=AS165,1,0)</formula>
    </cfRule>
  </conditionalFormatting>
  <conditionalFormatting sqref="F165">
    <cfRule type="cellIs" dxfId="6114" priority="56" operator="equal">
      <formula>"3-001-2214"</formula>
    </cfRule>
    <cfRule type="cellIs" dxfId="6113" priority="57" operator="equal">
      <formula>"3-001-5204"</formula>
    </cfRule>
    <cfRule type="cellIs" dxfId="6112" priority="58" operator="equal">
      <formula>"3-001-0002"</formula>
    </cfRule>
  </conditionalFormatting>
  <conditionalFormatting sqref="AS166">
    <cfRule type="expression" dxfId="6111" priority="55">
      <formula>IF(L166=AS166,1,0)</formula>
    </cfRule>
  </conditionalFormatting>
  <conditionalFormatting sqref="F166">
    <cfRule type="cellIs" dxfId="6110" priority="52" operator="equal">
      <formula>"3-001-2214"</formula>
    </cfRule>
    <cfRule type="cellIs" dxfId="6109" priority="53" operator="equal">
      <formula>"3-001-5204"</formula>
    </cfRule>
    <cfRule type="cellIs" dxfId="6108" priority="54" operator="equal">
      <formula>"3-001-0002"</formula>
    </cfRule>
  </conditionalFormatting>
  <conditionalFormatting sqref="F188">
    <cfRule type="cellIs" dxfId="6107" priority="48" operator="equal">
      <formula>"3-001-2214"</formula>
    </cfRule>
    <cfRule type="cellIs" dxfId="6106" priority="49" operator="equal">
      <formula>"3-001-5204"</formula>
    </cfRule>
    <cfRule type="cellIs" dxfId="6105" priority="50" operator="equal">
      <formula>"3-001-0002"</formula>
    </cfRule>
  </conditionalFormatting>
  <conditionalFormatting sqref="AS188">
    <cfRule type="expression" dxfId="6104" priority="51">
      <formula>IF(L188=AS188,1,0)</formula>
    </cfRule>
  </conditionalFormatting>
  <conditionalFormatting sqref="AS189">
    <cfRule type="expression" dxfId="6103" priority="47">
      <formula>IF(L189=AS189,1,0)</formula>
    </cfRule>
  </conditionalFormatting>
  <conditionalFormatting sqref="F189">
    <cfRule type="cellIs" dxfId="6102" priority="41" operator="equal">
      <formula>"3-001-2214"</formula>
    </cfRule>
    <cfRule type="cellIs" dxfId="6101" priority="42" operator="equal">
      <formula>"3-001-5204"</formula>
    </cfRule>
    <cfRule type="cellIs" dxfId="6100" priority="43" operator="equal">
      <formula>"3-001-0002"</formula>
    </cfRule>
  </conditionalFormatting>
  <conditionalFormatting sqref="X133:X134">
    <cfRule type="cellIs" dxfId="6099" priority="40" operator="notEqual">
      <formula>$L$132</formula>
    </cfRule>
  </conditionalFormatting>
  <conditionalFormatting sqref="AS164">
    <cfRule type="expression" dxfId="6098" priority="35">
      <formula>IF(L164=AS164,1,0)</formula>
    </cfRule>
  </conditionalFormatting>
  <conditionalFormatting sqref="F164">
    <cfRule type="cellIs" dxfId="6097" priority="32" operator="equal">
      <formula>"3-001-2214"</formula>
    </cfRule>
    <cfRule type="cellIs" dxfId="6096" priority="33" operator="equal">
      <formula>"3-001-5204"</formula>
    </cfRule>
    <cfRule type="cellIs" dxfId="6095" priority="34" operator="equal">
      <formula>"3-001-0002"</formula>
    </cfRule>
  </conditionalFormatting>
  <conditionalFormatting sqref="AS167">
    <cfRule type="expression" dxfId="6094" priority="31">
      <formula>IF(L167=AS167,1,0)</formula>
    </cfRule>
  </conditionalFormatting>
  <conditionalFormatting sqref="F167">
    <cfRule type="cellIs" dxfId="6093" priority="28" operator="equal">
      <formula>"3-001-2214"</formula>
    </cfRule>
    <cfRule type="cellIs" dxfId="6092" priority="29" operator="equal">
      <formula>"3-001-5204"</formula>
    </cfRule>
    <cfRule type="cellIs" dxfId="6091" priority="30" operator="equal">
      <formula>"3-001-0002"</formula>
    </cfRule>
  </conditionalFormatting>
  <conditionalFormatting sqref="AS35">
    <cfRule type="expression" dxfId="6090" priority="27">
      <formula>IF(L35=AS35,1,0)</formula>
    </cfRule>
  </conditionalFormatting>
  <conditionalFormatting sqref="F35">
    <cfRule type="cellIs" dxfId="6089" priority="24" operator="equal">
      <formula>"3-001-2214"</formula>
    </cfRule>
    <cfRule type="cellIs" dxfId="6088" priority="25" operator="equal">
      <formula>"3-001-5204"</formula>
    </cfRule>
    <cfRule type="cellIs" dxfId="6087" priority="26" operator="equal">
      <formula>"3-001-0002"</formula>
    </cfRule>
  </conditionalFormatting>
  <conditionalFormatting sqref="M199">
    <cfRule type="cellIs" dxfId="6086" priority="22" operator="notEqual">
      <formula>$M$197</formula>
    </cfRule>
  </conditionalFormatting>
  <conditionalFormatting sqref="F5">
    <cfRule type="cellIs" dxfId="6085" priority="19" operator="equal">
      <formula>"3-001-2214"</formula>
    </cfRule>
    <cfRule type="cellIs" dxfId="6084" priority="20" operator="equal">
      <formula>"3-001-5204"</formula>
    </cfRule>
    <cfRule type="cellIs" dxfId="6083" priority="21" operator="equal">
      <formula>"3-001-0002"</formula>
    </cfRule>
  </conditionalFormatting>
  <conditionalFormatting sqref="Q132">
    <cfRule type="cellIs" dxfId="6082" priority="18" operator="notEqual">
      <formula>$Q$131</formula>
    </cfRule>
  </conditionalFormatting>
  <conditionalFormatting sqref="S132">
    <cfRule type="cellIs" dxfId="6081" priority="17" operator="notEqual">
      <formula>$S$131</formula>
    </cfRule>
  </conditionalFormatting>
  <conditionalFormatting sqref="AS193">
    <cfRule type="expression" dxfId="6080" priority="16">
      <formula>IF(L193=AS193,1,0)</formula>
    </cfRule>
  </conditionalFormatting>
  <conditionalFormatting sqref="F193">
    <cfRule type="cellIs" dxfId="6079" priority="13" operator="equal">
      <formula>"3-001-2214"</formula>
    </cfRule>
    <cfRule type="cellIs" dxfId="6078" priority="14" operator="equal">
      <formula>"3-001-5204"</formula>
    </cfRule>
    <cfRule type="cellIs" dxfId="6077" priority="15" operator="equal">
      <formula>"3-001-0002"</formula>
    </cfRule>
  </conditionalFormatting>
  <conditionalFormatting sqref="AS192">
    <cfRule type="expression" dxfId="6076" priority="12">
      <formula>IF(L192=AS192,1,0)</formula>
    </cfRule>
  </conditionalFormatting>
  <conditionalFormatting sqref="F192">
    <cfRule type="cellIs" dxfId="6075" priority="9" operator="equal">
      <formula>"3-001-2214"</formula>
    </cfRule>
    <cfRule type="cellIs" dxfId="6074" priority="10" operator="equal">
      <formula>"3-001-5204"</formula>
    </cfRule>
    <cfRule type="cellIs" dxfId="6073" priority="11" operator="equal">
      <formula>"3-001-0002"</formula>
    </cfRule>
  </conditionalFormatting>
  <conditionalFormatting sqref="F175">
    <cfRule type="cellIs" dxfId="6072" priority="1" operator="equal">
      <formula>"3-001-2214"</formula>
    </cfRule>
    <cfRule type="cellIs" dxfId="6071" priority="2" operator="equal">
      <formula>"3-001-5204"</formula>
    </cfRule>
    <cfRule type="cellIs" dxfId="6070" priority="3" operator="equal">
      <formula>"3-001-0002"</formula>
    </cfRule>
  </conditionalFormatting>
  <conditionalFormatting sqref="AS175">
    <cfRule type="expression" dxfId="6069" priority="4">
      <formula>IF(L175=AS175,1,0)</formula>
    </cfRule>
  </conditionalFormatting>
  <printOptions horizontalCentered="1"/>
  <pageMargins left="0.23622047244094491" right="0.23622047244094491" top="0.35433070866141736" bottom="0.15748031496062992" header="0.31496062992125984" footer="0.31496062992125984"/>
  <pageSetup paperSize="9" scale="55" orientation="portrait" horizontalDpi="4294967295" verticalDpi="4294967295" r:id="rId1"/>
  <headerFooter alignWithMargins="0"/>
  <legacyDrawing r:id="rId2"/>
  <extLst>
    <ext xmlns:x14="http://schemas.microsoft.com/office/spreadsheetml/2009/9/main" uri="{78C0D931-6437-407d-A8EE-F0AAD7539E65}">
      <x14:conditionalFormattings>
        <x14:conditionalFormatting xmlns:xm="http://schemas.microsoft.com/office/excel/2006/main">
          <x14:cfRule type="expression" priority="83" id="{B7B8472C-B47E-4019-93EF-FD49465EC0A4}">
            <xm:f>IF('добавятся в 2021'!J119='добавятся в 2021'!AP119,1,0)</xm:f>
            <x14:dxf>
              <fill>
                <patternFill>
                  <bgColor rgb="FF00B050"/>
                </patternFill>
              </fill>
            </x14:dxf>
          </x14:cfRule>
          <xm:sqref>AS125:AS130</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5">
    <tabColor rgb="FF00FF00"/>
    <outlinePr summaryBelow="0" summaryRight="0"/>
    <pageSetUpPr fitToPage="1"/>
  </sheetPr>
  <dimension ref="A1:BV489"/>
  <sheetViews>
    <sheetView view="pageBreakPreview" topLeftCell="A3" zoomScale="70" zoomScaleNormal="85" zoomScaleSheetLayoutView="70" workbookViewId="0">
      <pane xSplit="48" ySplit="8" topLeftCell="AW53" activePane="bottomRight" state="frozen"/>
      <selection activeCell="D3" sqref="D3"/>
      <selection pane="topRight" activeCell="AT3" sqref="AT3"/>
      <selection pane="bottomLeft" activeCell="D11" sqref="D11"/>
      <selection pane="bottomRight" activeCell="K19" sqref="K19"/>
    </sheetView>
  </sheetViews>
  <sheetFormatPr defaultRowHeight="15" outlineLevelRow="2" outlineLevelCol="2"/>
  <cols>
    <col min="1" max="1" width="9.140625" style="833"/>
    <col min="2" max="2" width="11" style="933" customWidth="1"/>
    <col min="3" max="3" width="5.140625" style="834" customWidth="1"/>
    <col min="4" max="4" width="6.7109375" style="835" customWidth="1"/>
    <col min="5" max="5" width="3.140625" style="833" customWidth="1"/>
    <col min="6" max="6" width="8.7109375" style="2" customWidth="1"/>
    <col min="7" max="7" width="6.5703125" style="2" customWidth="1"/>
    <col min="8" max="8" width="17.85546875" style="2" customWidth="1"/>
    <col min="9" max="9" width="6.5703125" style="2" customWidth="1"/>
    <col min="10" max="10" width="8.28515625" style="2" customWidth="1"/>
    <col min="11" max="11" width="45.140625" style="2" customWidth="1"/>
    <col min="12" max="12" width="16.5703125" style="88" customWidth="1"/>
    <col min="13" max="13" width="13.140625" style="88" customWidth="1" outlineLevel="1"/>
    <col min="14" max="14" width="15.28515625" style="88" customWidth="1" outlineLevel="1"/>
    <col min="15" max="15" width="15.85546875" style="88" customWidth="1" outlineLevel="1" collapsed="1"/>
    <col min="16" max="16" width="16.42578125" style="326" hidden="1" customWidth="1" outlineLevel="2"/>
    <col min="17" max="17" width="17.5703125" style="88" customWidth="1" outlineLevel="1" collapsed="1"/>
    <col min="18" max="18" width="15.85546875" style="326" hidden="1" customWidth="1" outlineLevel="2"/>
    <col min="19" max="19" width="17.5703125" style="88" customWidth="1" outlineLevel="1" collapsed="1"/>
    <col min="20" max="20" width="13.7109375" style="326" hidden="1" customWidth="1" outlineLevel="2"/>
    <col min="21" max="21" width="2.85546875" style="324" customWidth="1"/>
    <col min="22" max="22" width="16.5703125" style="2" customWidth="1" outlineLevel="1"/>
    <col min="23" max="23" width="11.85546875" style="2" customWidth="1" outlineLevel="1"/>
    <col min="24" max="24" width="11.5703125" style="2" customWidth="1" outlineLevel="1"/>
    <col min="25" max="25" width="2.85546875" style="2" customWidth="1" collapsed="1"/>
    <col min="26" max="28" width="15.28515625" style="88" hidden="1" customWidth="1" outlineLevel="2"/>
    <col min="29" max="29" width="16.140625" style="88" hidden="1" customWidth="1" outlineLevel="2"/>
    <col min="30" max="30" width="15.28515625" style="88" hidden="1" customWidth="1" outlineLevel="2"/>
    <col min="31" max="31" width="15.85546875" style="88" hidden="1" customWidth="1" outlineLevel="2"/>
    <col min="32" max="37" width="15.28515625" style="88" hidden="1" customWidth="1" outlineLevel="2"/>
    <col min="38" max="38" width="2.85546875" style="274" customWidth="1" collapsed="1"/>
    <col min="39" max="39" width="15.85546875" style="88" hidden="1" customWidth="1" outlineLevel="2"/>
    <col min="40" max="40" width="15.28515625" style="88" hidden="1" customWidth="1" outlineLevel="2"/>
    <col min="41" max="42" width="15.85546875" style="88" hidden="1" customWidth="1" outlineLevel="2"/>
    <col min="43" max="43" width="15.28515625" style="88" hidden="1" customWidth="1" outlineLevel="2"/>
    <col min="44" max="44" width="16" style="88" hidden="1" customWidth="1" outlineLevel="2"/>
    <col min="45" max="45" width="15.85546875" style="88" customWidth="1" collapsed="1"/>
    <col min="46" max="46" width="15.28515625" style="88" hidden="1" customWidth="1" outlineLevel="1"/>
    <col min="47" max="47" width="16" style="88" hidden="1" customWidth="1" outlineLevel="1"/>
    <col min="48" max="48" width="9.7109375" style="751" customWidth="1"/>
    <col min="49" max="49" width="15.28515625" style="88" customWidth="1"/>
    <col min="50" max="50" width="15.28515625" style="88" hidden="1" customWidth="1"/>
    <col min="51" max="52" width="15.28515625" style="88" customWidth="1"/>
    <col min="53" max="53" width="16" style="88" customWidth="1"/>
    <col min="54" max="54" width="15.28515625" style="88" hidden="1" customWidth="1"/>
    <col min="55" max="55" width="15.28515625" style="88" customWidth="1"/>
    <col min="56" max="56" width="15.28515625" style="88" hidden="1" customWidth="1"/>
    <col min="57" max="57" width="15.28515625" style="88" customWidth="1"/>
    <col min="58" max="58" width="15.28515625" style="88" hidden="1" customWidth="1"/>
    <col min="59" max="59" width="16.140625" style="88" customWidth="1"/>
    <col min="60" max="60" width="15.28515625" style="88" hidden="1" customWidth="1"/>
    <col min="61" max="61" width="15.28515625" style="88" customWidth="1"/>
    <col min="62" max="62" width="15.28515625" style="88" hidden="1" customWidth="1"/>
    <col min="63" max="63" width="15.28515625" style="88" customWidth="1"/>
    <col min="64" max="64" width="15.28515625" style="88" hidden="1" customWidth="1"/>
    <col min="65" max="65" width="15.28515625" style="88" customWidth="1"/>
    <col min="66" max="66" width="15.28515625" style="88" hidden="1" customWidth="1"/>
    <col min="67" max="67" width="15.28515625" style="88" customWidth="1"/>
    <col min="68" max="68" width="15.28515625" style="88" hidden="1" customWidth="1"/>
    <col min="69" max="69" width="15.28515625" style="88" customWidth="1"/>
    <col min="70" max="70" width="15.28515625" style="88" hidden="1" customWidth="1"/>
    <col min="71" max="71" width="15.85546875" style="88" customWidth="1"/>
    <col min="72" max="72" width="15.28515625" style="88" hidden="1" customWidth="1"/>
    <col min="73" max="73" width="18.28515625" style="2" customWidth="1"/>
    <col min="74" max="87" width="15.85546875" style="2" customWidth="1"/>
    <col min="88" max="247" width="9.140625" style="2"/>
    <col min="248" max="248" width="16.28515625" style="2" customWidth="1"/>
    <col min="249" max="249" width="9.5703125" style="2" customWidth="1"/>
    <col min="250" max="250" width="25.85546875" style="2" customWidth="1"/>
    <col min="251" max="251" width="10.7109375" style="2" customWidth="1"/>
    <col min="252" max="252" width="40.42578125" style="2" customWidth="1"/>
    <col min="253" max="253" width="30.5703125" style="2" customWidth="1"/>
    <col min="254" max="254" width="16.42578125" style="2" customWidth="1"/>
    <col min="255" max="255" width="13" style="2" bestFit="1" customWidth="1"/>
    <col min="256" max="503" width="9.140625" style="2"/>
    <col min="504" max="504" width="16.28515625" style="2" customWidth="1"/>
    <col min="505" max="505" width="9.5703125" style="2" customWidth="1"/>
    <col min="506" max="506" width="25.85546875" style="2" customWidth="1"/>
    <col min="507" max="507" width="10.7109375" style="2" customWidth="1"/>
    <col min="508" max="508" width="40.42578125" style="2" customWidth="1"/>
    <col min="509" max="509" width="30.5703125" style="2" customWidth="1"/>
    <col min="510" max="510" width="16.42578125" style="2" customWidth="1"/>
    <col min="511" max="511" width="13" style="2" bestFit="1" customWidth="1"/>
    <col min="512" max="759" width="9.140625" style="2"/>
    <col min="760" max="760" width="16.28515625" style="2" customWidth="1"/>
    <col min="761" max="761" width="9.5703125" style="2" customWidth="1"/>
    <col min="762" max="762" width="25.85546875" style="2" customWidth="1"/>
    <col min="763" max="763" width="10.7109375" style="2" customWidth="1"/>
    <col min="764" max="764" width="40.42578125" style="2" customWidth="1"/>
    <col min="765" max="765" width="30.5703125" style="2" customWidth="1"/>
    <col min="766" max="766" width="16.42578125" style="2" customWidth="1"/>
    <col min="767" max="767" width="13" style="2" bestFit="1" customWidth="1"/>
    <col min="768" max="1015" width="9.140625" style="2"/>
    <col min="1016" max="1016" width="16.28515625" style="2" customWidth="1"/>
    <col min="1017" max="1017" width="9.5703125" style="2" customWidth="1"/>
    <col min="1018" max="1018" width="25.85546875" style="2" customWidth="1"/>
    <col min="1019" max="1019" width="10.7109375" style="2" customWidth="1"/>
    <col min="1020" max="1020" width="40.42578125" style="2" customWidth="1"/>
    <col min="1021" max="1021" width="30.5703125" style="2" customWidth="1"/>
    <col min="1022" max="1022" width="16.42578125" style="2" customWidth="1"/>
    <col min="1023" max="1023" width="13" style="2" bestFit="1" customWidth="1"/>
    <col min="1024" max="1271" width="9.140625" style="2"/>
    <col min="1272" max="1272" width="16.28515625" style="2" customWidth="1"/>
    <col min="1273" max="1273" width="9.5703125" style="2" customWidth="1"/>
    <col min="1274" max="1274" width="25.85546875" style="2" customWidth="1"/>
    <col min="1275" max="1275" width="10.7109375" style="2" customWidth="1"/>
    <col min="1276" max="1276" width="40.42578125" style="2" customWidth="1"/>
    <col min="1277" max="1277" width="30.5703125" style="2" customWidth="1"/>
    <col min="1278" max="1278" width="16.42578125" style="2" customWidth="1"/>
    <col min="1279" max="1279" width="13" style="2" bestFit="1" customWidth="1"/>
    <col min="1280" max="1527" width="9.140625" style="2"/>
    <col min="1528" max="1528" width="16.28515625" style="2" customWidth="1"/>
    <col min="1529" max="1529" width="9.5703125" style="2" customWidth="1"/>
    <col min="1530" max="1530" width="25.85546875" style="2" customWidth="1"/>
    <col min="1531" max="1531" width="10.7109375" style="2" customWidth="1"/>
    <col min="1532" max="1532" width="40.42578125" style="2" customWidth="1"/>
    <col min="1533" max="1533" width="30.5703125" style="2" customWidth="1"/>
    <col min="1534" max="1534" width="16.42578125" style="2" customWidth="1"/>
    <col min="1535" max="1535" width="13" style="2" bestFit="1" customWidth="1"/>
    <col min="1536" max="1783" width="9.140625" style="2"/>
    <col min="1784" max="1784" width="16.28515625" style="2" customWidth="1"/>
    <col min="1785" max="1785" width="9.5703125" style="2" customWidth="1"/>
    <col min="1786" max="1786" width="25.85546875" style="2" customWidth="1"/>
    <col min="1787" max="1787" width="10.7109375" style="2" customWidth="1"/>
    <col min="1788" max="1788" width="40.42578125" style="2" customWidth="1"/>
    <col min="1789" max="1789" width="30.5703125" style="2" customWidth="1"/>
    <col min="1790" max="1790" width="16.42578125" style="2" customWidth="1"/>
    <col min="1791" max="1791" width="13" style="2" bestFit="1" customWidth="1"/>
    <col min="1792" max="2039" width="9.140625" style="2"/>
    <col min="2040" max="2040" width="16.28515625" style="2" customWidth="1"/>
    <col min="2041" max="2041" width="9.5703125" style="2" customWidth="1"/>
    <col min="2042" max="2042" width="25.85546875" style="2" customWidth="1"/>
    <col min="2043" max="2043" width="10.7109375" style="2" customWidth="1"/>
    <col min="2044" max="2044" width="40.42578125" style="2" customWidth="1"/>
    <col min="2045" max="2045" width="30.5703125" style="2" customWidth="1"/>
    <col min="2046" max="2046" width="16.42578125" style="2" customWidth="1"/>
    <col min="2047" max="2047" width="13" style="2" bestFit="1" customWidth="1"/>
    <col min="2048" max="2295" width="9.140625" style="2"/>
    <col min="2296" max="2296" width="16.28515625" style="2" customWidth="1"/>
    <col min="2297" max="2297" width="9.5703125" style="2" customWidth="1"/>
    <col min="2298" max="2298" width="25.85546875" style="2" customWidth="1"/>
    <col min="2299" max="2299" width="10.7109375" style="2" customWidth="1"/>
    <col min="2300" max="2300" width="40.42578125" style="2" customWidth="1"/>
    <col min="2301" max="2301" width="30.5703125" style="2" customWidth="1"/>
    <col min="2302" max="2302" width="16.42578125" style="2" customWidth="1"/>
    <col min="2303" max="2303" width="13" style="2" bestFit="1" customWidth="1"/>
    <col min="2304" max="2551" width="9.140625" style="2"/>
    <col min="2552" max="2552" width="16.28515625" style="2" customWidth="1"/>
    <col min="2553" max="2553" width="9.5703125" style="2" customWidth="1"/>
    <col min="2554" max="2554" width="25.85546875" style="2" customWidth="1"/>
    <col min="2555" max="2555" width="10.7109375" style="2" customWidth="1"/>
    <col min="2556" max="2556" width="40.42578125" style="2" customWidth="1"/>
    <col min="2557" max="2557" width="30.5703125" style="2" customWidth="1"/>
    <col min="2558" max="2558" width="16.42578125" style="2" customWidth="1"/>
    <col min="2559" max="2559" width="13" style="2" bestFit="1" customWidth="1"/>
    <col min="2560" max="2807" width="9.140625" style="2"/>
    <col min="2808" max="2808" width="16.28515625" style="2" customWidth="1"/>
    <col min="2809" max="2809" width="9.5703125" style="2" customWidth="1"/>
    <col min="2810" max="2810" width="25.85546875" style="2" customWidth="1"/>
    <col min="2811" max="2811" width="10.7109375" style="2" customWidth="1"/>
    <col min="2812" max="2812" width="40.42578125" style="2" customWidth="1"/>
    <col min="2813" max="2813" width="30.5703125" style="2" customWidth="1"/>
    <col min="2814" max="2814" width="16.42578125" style="2" customWidth="1"/>
    <col min="2815" max="2815" width="13" style="2" bestFit="1" customWidth="1"/>
    <col min="2816" max="3063" width="9.140625" style="2"/>
    <col min="3064" max="3064" width="16.28515625" style="2" customWidth="1"/>
    <col min="3065" max="3065" width="9.5703125" style="2" customWidth="1"/>
    <col min="3066" max="3066" width="25.85546875" style="2" customWidth="1"/>
    <col min="3067" max="3067" width="10.7109375" style="2" customWidth="1"/>
    <col min="3068" max="3068" width="40.42578125" style="2" customWidth="1"/>
    <col min="3069" max="3069" width="30.5703125" style="2" customWidth="1"/>
    <col min="3070" max="3070" width="16.42578125" style="2" customWidth="1"/>
    <col min="3071" max="3071" width="13" style="2" bestFit="1" customWidth="1"/>
    <col min="3072" max="3319" width="9.140625" style="2"/>
    <col min="3320" max="3320" width="16.28515625" style="2" customWidth="1"/>
    <col min="3321" max="3321" width="9.5703125" style="2" customWidth="1"/>
    <col min="3322" max="3322" width="25.85546875" style="2" customWidth="1"/>
    <col min="3323" max="3323" width="10.7109375" style="2" customWidth="1"/>
    <col min="3324" max="3324" width="40.42578125" style="2" customWidth="1"/>
    <col min="3325" max="3325" width="30.5703125" style="2" customWidth="1"/>
    <col min="3326" max="3326" width="16.42578125" style="2" customWidth="1"/>
    <col min="3327" max="3327" width="13" style="2" bestFit="1" customWidth="1"/>
    <col min="3328" max="3575" width="9.140625" style="2"/>
    <col min="3576" max="3576" width="16.28515625" style="2" customWidth="1"/>
    <col min="3577" max="3577" width="9.5703125" style="2" customWidth="1"/>
    <col min="3578" max="3578" width="25.85546875" style="2" customWidth="1"/>
    <col min="3579" max="3579" width="10.7109375" style="2" customWidth="1"/>
    <col min="3580" max="3580" width="40.42578125" style="2" customWidth="1"/>
    <col min="3581" max="3581" width="30.5703125" style="2" customWidth="1"/>
    <col min="3582" max="3582" width="16.42578125" style="2" customWidth="1"/>
    <col min="3583" max="3583" width="13" style="2" bestFit="1" customWidth="1"/>
    <col min="3584" max="3831" width="9.140625" style="2"/>
    <col min="3832" max="3832" width="16.28515625" style="2" customWidth="1"/>
    <col min="3833" max="3833" width="9.5703125" style="2" customWidth="1"/>
    <col min="3834" max="3834" width="25.85546875" style="2" customWidth="1"/>
    <col min="3835" max="3835" width="10.7109375" style="2" customWidth="1"/>
    <col min="3836" max="3836" width="40.42578125" style="2" customWidth="1"/>
    <col min="3837" max="3837" width="30.5703125" style="2" customWidth="1"/>
    <col min="3838" max="3838" width="16.42578125" style="2" customWidth="1"/>
    <col min="3839" max="3839" width="13" style="2" bestFit="1" customWidth="1"/>
    <col min="3840" max="4087" width="9.140625" style="2"/>
    <col min="4088" max="4088" width="16.28515625" style="2" customWidth="1"/>
    <col min="4089" max="4089" width="9.5703125" style="2" customWidth="1"/>
    <col min="4090" max="4090" width="25.85546875" style="2" customWidth="1"/>
    <col min="4091" max="4091" width="10.7109375" style="2" customWidth="1"/>
    <col min="4092" max="4092" width="40.42578125" style="2" customWidth="1"/>
    <col min="4093" max="4093" width="30.5703125" style="2" customWidth="1"/>
    <col min="4094" max="4094" width="16.42578125" style="2" customWidth="1"/>
    <col min="4095" max="4095" width="13" style="2" bestFit="1" customWidth="1"/>
    <col min="4096" max="4343" width="9.140625" style="2"/>
    <col min="4344" max="4344" width="16.28515625" style="2" customWidth="1"/>
    <col min="4345" max="4345" width="9.5703125" style="2" customWidth="1"/>
    <col min="4346" max="4346" width="25.85546875" style="2" customWidth="1"/>
    <col min="4347" max="4347" width="10.7109375" style="2" customWidth="1"/>
    <col min="4348" max="4348" width="40.42578125" style="2" customWidth="1"/>
    <col min="4349" max="4349" width="30.5703125" style="2" customWidth="1"/>
    <col min="4350" max="4350" width="16.42578125" style="2" customWidth="1"/>
    <col min="4351" max="4351" width="13" style="2" bestFit="1" customWidth="1"/>
    <col min="4352" max="4599" width="9.140625" style="2"/>
    <col min="4600" max="4600" width="16.28515625" style="2" customWidth="1"/>
    <col min="4601" max="4601" width="9.5703125" style="2" customWidth="1"/>
    <col min="4602" max="4602" width="25.85546875" style="2" customWidth="1"/>
    <col min="4603" max="4603" width="10.7109375" style="2" customWidth="1"/>
    <col min="4604" max="4604" width="40.42578125" style="2" customWidth="1"/>
    <col min="4605" max="4605" width="30.5703125" style="2" customWidth="1"/>
    <col min="4606" max="4606" width="16.42578125" style="2" customWidth="1"/>
    <col min="4607" max="4607" width="13" style="2" bestFit="1" customWidth="1"/>
    <col min="4608" max="4855" width="9.140625" style="2"/>
    <col min="4856" max="4856" width="16.28515625" style="2" customWidth="1"/>
    <col min="4857" max="4857" width="9.5703125" style="2" customWidth="1"/>
    <col min="4858" max="4858" width="25.85546875" style="2" customWidth="1"/>
    <col min="4859" max="4859" width="10.7109375" style="2" customWidth="1"/>
    <col min="4860" max="4860" width="40.42578125" style="2" customWidth="1"/>
    <col min="4861" max="4861" width="30.5703125" style="2" customWidth="1"/>
    <col min="4862" max="4862" width="16.42578125" style="2" customWidth="1"/>
    <col min="4863" max="4863" width="13" style="2" bestFit="1" customWidth="1"/>
    <col min="4864" max="5111" width="9.140625" style="2"/>
    <col min="5112" max="5112" width="16.28515625" style="2" customWidth="1"/>
    <col min="5113" max="5113" width="9.5703125" style="2" customWidth="1"/>
    <col min="5114" max="5114" width="25.85546875" style="2" customWidth="1"/>
    <col min="5115" max="5115" width="10.7109375" style="2" customWidth="1"/>
    <col min="5116" max="5116" width="40.42578125" style="2" customWidth="1"/>
    <col min="5117" max="5117" width="30.5703125" style="2" customWidth="1"/>
    <col min="5118" max="5118" width="16.42578125" style="2" customWidth="1"/>
    <col min="5119" max="5119" width="13" style="2" bestFit="1" customWidth="1"/>
    <col min="5120" max="5367" width="9.140625" style="2"/>
    <col min="5368" max="5368" width="16.28515625" style="2" customWidth="1"/>
    <col min="5369" max="5369" width="9.5703125" style="2" customWidth="1"/>
    <col min="5370" max="5370" width="25.85546875" style="2" customWidth="1"/>
    <col min="5371" max="5371" width="10.7109375" style="2" customWidth="1"/>
    <col min="5372" max="5372" width="40.42578125" style="2" customWidth="1"/>
    <col min="5373" max="5373" width="30.5703125" style="2" customWidth="1"/>
    <col min="5374" max="5374" width="16.42578125" style="2" customWidth="1"/>
    <col min="5375" max="5375" width="13" style="2" bestFit="1" customWidth="1"/>
    <col min="5376" max="5623" width="9.140625" style="2"/>
    <col min="5624" max="5624" width="16.28515625" style="2" customWidth="1"/>
    <col min="5625" max="5625" width="9.5703125" style="2" customWidth="1"/>
    <col min="5626" max="5626" width="25.85546875" style="2" customWidth="1"/>
    <col min="5627" max="5627" width="10.7109375" style="2" customWidth="1"/>
    <col min="5628" max="5628" width="40.42578125" style="2" customWidth="1"/>
    <col min="5629" max="5629" width="30.5703125" style="2" customWidth="1"/>
    <col min="5630" max="5630" width="16.42578125" style="2" customWidth="1"/>
    <col min="5631" max="5631" width="13" style="2" bestFit="1" customWidth="1"/>
    <col min="5632" max="5879" width="9.140625" style="2"/>
    <col min="5880" max="5880" width="16.28515625" style="2" customWidth="1"/>
    <col min="5881" max="5881" width="9.5703125" style="2" customWidth="1"/>
    <col min="5882" max="5882" width="25.85546875" style="2" customWidth="1"/>
    <col min="5883" max="5883" width="10.7109375" style="2" customWidth="1"/>
    <col min="5884" max="5884" width="40.42578125" style="2" customWidth="1"/>
    <col min="5885" max="5885" width="30.5703125" style="2" customWidth="1"/>
    <col min="5886" max="5886" width="16.42578125" style="2" customWidth="1"/>
    <col min="5887" max="5887" width="13" style="2" bestFit="1" customWidth="1"/>
    <col min="5888" max="6135" width="9.140625" style="2"/>
    <col min="6136" max="6136" width="16.28515625" style="2" customWidth="1"/>
    <col min="6137" max="6137" width="9.5703125" style="2" customWidth="1"/>
    <col min="6138" max="6138" width="25.85546875" style="2" customWidth="1"/>
    <col min="6139" max="6139" width="10.7109375" style="2" customWidth="1"/>
    <col min="6140" max="6140" width="40.42578125" style="2" customWidth="1"/>
    <col min="6141" max="6141" width="30.5703125" style="2" customWidth="1"/>
    <col min="6142" max="6142" width="16.42578125" style="2" customWidth="1"/>
    <col min="6143" max="6143" width="13" style="2" bestFit="1" customWidth="1"/>
    <col min="6144" max="6391" width="9.140625" style="2"/>
    <col min="6392" max="6392" width="16.28515625" style="2" customWidth="1"/>
    <col min="6393" max="6393" width="9.5703125" style="2" customWidth="1"/>
    <col min="6394" max="6394" width="25.85546875" style="2" customWidth="1"/>
    <col min="6395" max="6395" width="10.7109375" style="2" customWidth="1"/>
    <col min="6396" max="6396" width="40.42578125" style="2" customWidth="1"/>
    <col min="6397" max="6397" width="30.5703125" style="2" customWidth="1"/>
    <col min="6398" max="6398" width="16.42578125" style="2" customWidth="1"/>
    <col min="6399" max="6399" width="13" style="2" bestFit="1" customWidth="1"/>
    <col min="6400" max="6647" width="9.140625" style="2"/>
    <col min="6648" max="6648" width="16.28515625" style="2" customWidth="1"/>
    <col min="6649" max="6649" width="9.5703125" style="2" customWidth="1"/>
    <col min="6650" max="6650" width="25.85546875" style="2" customWidth="1"/>
    <col min="6651" max="6651" width="10.7109375" style="2" customWidth="1"/>
    <col min="6652" max="6652" width="40.42578125" style="2" customWidth="1"/>
    <col min="6653" max="6653" width="30.5703125" style="2" customWidth="1"/>
    <col min="6654" max="6654" width="16.42578125" style="2" customWidth="1"/>
    <col min="6655" max="6655" width="13" style="2" bestFit="1" customWidth="1"/>
    <col min="6656" max="6903" width="9.140625" style="2"/>
    <col min="6904" max="6904" width="16.28515625" style="2" customWidth="1"/>
    <col min="6905" max="6905" width="9.5703125" style="2" customWidth="1"/>
    <col min="6906" max="6906" width="25.85546875" style="2" customWidth="1"/>
    <col min="6907" max="6907" width="10.7109375" style="2" customWidth="1"/>
    <col min="6908" max="6908" width="40.42578125" style="2" customWidth="1"/>
    <col min="6909" max="6909" width="30.5703125" style="2" customWidth="1"/>
    <col min="6910" max="6910" width="16.42578125" style="2" customWidth="1"/>
    <col min="6911" max="6911" width="13" style="2" bestFit="1" customWidth="1"/>
    <col min="6912" max="7159" width="9.140625" style="2"/>
    <col min="7160" max="7160" width="16.28515625" style="2" customWidth="1"/>
    <col min="7161" max="7161" width="9.5703125" style="2" customWidth="1"/>
    <col min="7162" max="7162" width="25.85546875" style="2" customWidth="1"/>
    <col min="7163" max="7163" width="10.7109375" style="2" customWidth="1"/>
    <col min="7164" max="7164" width="40.42578125" style="2" customWidth="1"/>
    <col min="7165" max="7165" width="30.5703125" style="2" customWidth="1"/>
    <col min="7166" max="7166" width="16.42578125" style="2" customWidth="1"/>
    <col min="7167" max="7167" width="13" style="2" bestFit="1" customWidth="1"/>
    <col min="7168" max="7415" width="9.140625" style="2"/>
    <col min="7416" max="7416" width="16.28515625" style="2" customWidth="1"/>
    <col min="7417" max="7417" width="9.5703125" style="2" customWidth="1"/>
    <col min="7418" max="7418" width="25.85546875" style="2" customWidth="1"/>
    <col min="7419" max="7419" width="10.7109375" style="2" customWidth="1"/>
    <col min="7420" max="7420" width="40.42578125" style="2" customWidth="1"/>
    <col min="7421" max="7421" width="30.5703125" style="2" customWidth="1"/>
    <col min="7422" max="7422" width="16.42578125" style="2" customWidth="1"/>
    <col min="7423" max="7423" width="13" style="2" bestFit="1" customWidth="1"/>
    <col min="7424" max="7671" width="9.140625" style="2"/>
    <col min="7672" max="7672" width="16.28515625" style="2" customWidth="1"/>
    <col min="7673" max="7673" width="9.5703125" style="2" customWidth="1"/>
    <col min="7674" max="7674" width="25.85546875" style="2" customWidth="1"/>
    <col min="7675" max="7675" width="10.7109375" style="2" customWidth="1"/>
    <col min="7676" max="7676" width="40.42578125" style="2" customWidth="1"/>
    <col min="7677" max="7677" width="30.5703125" style="2" customWidth="1"/>
    <col min="7678" max="7678" width="16.42578125" style="2" customWidth="1"/>
    <col min="7679" max="7679" width="13" style="2" bestFit="1" customWidth="1"/>
    <col min="7680" max="7927" width="9.140625" style="2"/>
    <col min="7928" max="7928" width="16.28515625" style="2" customWidth="1"/>
    <col min="7929" max="7929" width="9.5703125" style="2" customWidth="1"/>
    <col min="7930" max="7930" width="25.85546875" style="2" customWidth="1"/>
    <col min="7931" max="7931" width="10.7109375" style="2" customWidth="1"/>
    <col min="7932" max="7932" width="40.42578125" style="2" customWidth="1"/>
    <col min="7933" max="7933" width="30.5703125" style="2" customWidth="1"/>
    <col min="7934" max="7934" width="16.42578125" style="2" customWidth="1"/>
    <col min="7935" max="7935" width="13" style="2" bestFit="1" customWidth="1"/>
    <col min="7936" max="8183" width="9.140625" style="2"/>
    <col min="8184" max="8184" width="16.28515625" style="2" customWidth="1"/>
    <col min="8185" max="8185" width="9.5703125" style="2" customWidth="1"/>
    <col min="8186" max="8186" width="25.85546875" style="2" customWidth="1"/>
    <col min="8187" max="8187" width="10.7109375" style="2" customWidth="1"/>
    <col min="8188" max="8188" width="40.42578125" style="2" customWidth="1"/>
    <col min="8189" max="8189" width="30.5703125" style="2" customWidth="1"/>
    <col min="8190" max="8190" width="16.42578125" style="2" customWidth="1"/>
    <col min="8191" max="8191" width="13" style="2" bestFit="1" customWidth="1"/>
    <col min="8192" max="8439" width="9.140625" style="2"/>
    <col min="8440" max="8440" width="16.28515625" style="2" customWidth="1"/>
    <col min="8441" max="8441" width="9.5703125" style="2" customWidth="1"/>
    <col min="8442" max="8442" width="25.85546875" style="2" customWidth="1"/>
    <col min="8443" max="8443" width="10.7109375" style="2" customWidth="1"/>
    <col min="8444" max="8444" width="40.42578125" style="2" customWidth="1"/>
    <col min="8445" max="8445" width="30.5703125" style="2" customWidth="1"/>
    <col min="8446" max="8446" width="16.42578125" style="2" customWidth="1"/>
    <col min="8447" max="8447" width="13" style="2" bestFit="1" customWidth="1"/>
    <col min="8448" max="8695" width="9.140625" style="2"/>
    <col min="8696" max="8696" width="16.28515625" style="2" customWidth="1"/>
    <col min="8697" max="8697" width="9.5703125" style="2" customWidth="1"/>
    <col min="8698" max="8698" width="25.85546875" style="2" customWidth="1"/>
    <col min="8699" max="8699" width="10.7109375" style="2" customWidth="1"/>
    <col min="8700" max="8700" width="40.42578125" style="2" customWidth="1"/>
    <col min="8701" max="8701" width="30.5703125" style="2" customWidth="1"/>
    <col min="8702" max="8702" width="16.42578125" style="2" customWidth="1"/>
    <col min="8703" max="8703" width="13" style="2" bestFit="1" customWidth="1"/>
    <col min="8704" max="8951" width="9.140625" style="2"/>
    <col min="8952" max="8952" width="16.28515625" style="2" customWidth="1"/>
    <col min="8953" max="8953" width="9.5703125" style="2" customWidth="1"/>
    <col min="8954" max="8954" width="25.85546875" style="2" customWidth="1"/>
    <col min="8955" max="8955" width="10.7109375" style="2" customWidth="1"/>
    <col min="8956" max="8956" width="40.42578125" style="2" customWidth="1"/>
    <col min="8957" max="8957" width="30.5703125" style="2" customWidth="1"/>
    <col min="8958" max="8958" width="16.42578125" style="2" customWidth="1"/>
    <col min="8959" max="8959" width="13" style="2" bestFit="1" customWidth="1"/>
    <col min="8960" max="9207" width="9.140625" style="2"/>
    <col min="9208" max="9208" width="16.28515625" style="2" customWidth="1"/>
    <col min="9209" max="9209" width="9.5703125" style="2" customWidth="1"/>
    <col min="9210" max="9210" width="25.85546875" style="2" customWidth="1"/>
    <col min="9211" max="9211" width="10.7109375" style="2" customWidth="1"/>
    <col min="9212" max="9212" width="40.42578125" style="2" customWidth="1"/>
    <col min="9213" max="9213" width="30.5703125" style="2" customWidth="1"/>
    <col min="9214" max="9214" width="16.42578125" style="2" customWidth="1"/>
    <col min="9215" max="9215" width="13" style="2" bestFit="1" customWidth="1"/>
    <col min="9216" max="9463" width="9.140625" style="2"/>
    <col min="9464" max="9464" width="16.28515625" style="2" customWidth="1"/>
    <col min="9465" max="9465" width="9.5703125" style="2" customWidth="1"/>
    <col min="9466" max="9466" width="25.85546875" style="2" customWidth="1"/>
    <col min="9467" max="9467" width="10.7109375" style="2" customWidth="1"/>
    <col min="9468" max="9468" width="40.42578125" style="2" customWidth="1"/>
    <col min="9469" max="9469" width="30.5703125" style="2" customWidth="1"/>
    <col min="9470" max="9470" width="16.42578125" style="2" customWidth="1"/>
    <col min="9471" max="9471" width="13" style="2" bestFit="1" customWidth="1"/>
    <col min="9472" max="9719" width="9.140625" style="2"/>
    <col min="9720" max="9720" width="16.28515625" style="2" customWidth="1"/>
    <col min="9721" max="9721" width="9.5703125" style="2" customWidth="1"/>
    <col min="9722" max="9722" width="25.85546875" style="2" customWidth="1"/>
    <col min="9723" max="9723" width="10.7109375" style="2" customWidth="1"/>
    <col min="9724" max="9724" width="40.42578125" style="2" customWidth="1"/>
    <col min="9725" max="9725" width="30.5703125" style="2" customWidth="1"/>
    <col min="9726" max="9726" width="16.42578125" style="2" customWidth="1"/>
    <col min="9727" max="9727" width="13" style="2" bestFit="1" customWidth="1"/>
    <col min="9728" max="9975" width="9.140625" style="2"/>
    <col min="9976" max="9976" width="16.28515625" style="2" customWidth="1"/>
    <col min="9977" max="9977" width="9.5703125" style="2" customWidth="1"/>
    <col min="9978" max="9978" width="25.85546875" style="2" customWidth="1"/>
    <col min="9979" max="9979" width="10.7109375" style="2" customWidth="1"/>
    <col min="9980" max="9980" width="40.42578125" style="2" customWidth="1"/>
    <col min="9981" max="9981" width="30.5703125" style="2" customWidth="1"/>
    <col min="9982" max="9982" width="16.42578125" style="2" customWidth="1"/>
    <col min="9983" max="9983" width="13" style="2" bestFit="1" customWidth="1"/>
    <col min="9984" max="10231" width="9.140625" style="2"/>
    <col min="10232" max="10232" width="16.28515625" style="2" customWidth="1"/>
    <col min="10233" max="10233" width="9.5703125" style="2" customWidth="1"/>
    <col min="10234" max="10234" width="25.85546875" style="2" customWidth="1"/>
    <col min="10235" max="10235" width="10.7109375" style="2" customWidth="1"/>
    <col min="10236" max="10236" width="40.42578125" style="2" customWidth="1"/>
    <col min="10237" max="10237" width="30.5703125" style="2" customWidth="1"/>
    <col min="10238" max="10238" width="16.42578125" style="2" customWidth="1"/>
    <col min="10239" max="10239" width="13" style="2" bestFit="1" customWidth="1"/>
    <col min="10240" max="10487" width="9.140625" style="2"/>
    <col min="10488" max="10488" width="16.28515625" style="2" customWidth="1"/>
    <col min="10489" max="10489" width="9.5703125" style="2" customWidth="1"/>
    <col min="10490" max="10490" width="25.85546875" style="2" customWidth="1"/>
    <col min="10491" max="10491" width="10.7109375" style="2" customWidth="1"/>
    <col min="10492" max="10492" width="40.42578125" style="2" customWidth="1"/>
    <col min="10493" max="10493" width="30.5703125" style="2" customWidth="1"/>
    <col min="10494" max="10494" width="16.42578125" style="2" customWidth="1"/>
    <col min="10495" max="10495" width="13" style="2" bestFit="1" customWidth="1"/>
    <col min="10496" max="10743" width="9.140625" style="2"/>
    <col min="10744" max="10744" width="16.28515625" style="2" customWidth="1"/>
    <col min="10745" max="10745" width="9.5703125" style="2" customWidth="1"/>
    <col min="10746" max="10746" width="25.85546875" style="2" customWidth="1"/>
    <col min="10747" max="10747" width="10.7109375" style="2" customWidth="1"/>
    <col min="10748" max="10748" width="40.42578125" style="2" customWidth="1"/>
    <col min="10749" max="10749" width="30.5703125" style="2" customWidth="1"/>
    <col min="10750" max="10750" width="16.42578125" style="2" customWidth="1"/>
    <col min="10751" max="10751" width="13" style="2" bestFit="1" customWidth="1"/>
    <col min="10752" max="10999" width="9.140625" style="2"/>
    <col min="11000" max="11000" width="16.28515625" style="2" customWidth="1"/>
    <col min="11001" max="11001" width="9.5703125" style="2" customWidth="1"/>
    <col min="11002" max="11002" width="25.85546875" style="2" customWidth="1"/>
    <col min="11003" max="11003" width="10.7109375" style="2" customWidth="1"/>
    <col min="11004" max="11004" width="40.42578125" style="2" customWidth="1"/>
    <col min="11005" max="11005" width="30.5703125" style="2" customWidth="1"/>
    <col min="11006" max="11006" width="16.42578125" style="2" customWidth="1"/>
    <col min="11007" max="11007" width="13" style="2" bestFit="1" customWidth="1"/>
    <col min="11008" max="11255" width="9.140625" style="2"/>
    <col min="11256" max="11256" width="16.28515625" style="2" customWidth="1"/>
    <col min="11257" max="11257" width="9.5703125" style="2" customWidth="1"/>
    <col min="11258" max="11258" width="25.85546875" style="2" customWidth="1"/>
    <col min="11259" max="11259" width="10.7109375" style="2" customWidth="1"/>
    <col min="11260" max="11260" width="40.42578125" style="2" customWidth="1"/>
    <col min="11261" max="11261" width="30.5703125" style="2" customWidth="1"/>
    <col min="11262" max="11262" width="16.42578125" style="2" customWidth="1"/>
    <col min="11263" max="11263" width="13" style="2" bestFit="1" customWidth="1"/>
    <col min="11264" max="11511" width="9.140625" style="2"/>
    <col min="11512" max="11512" width="16.28515625" style="2" customWidth="1"/>
    <col min="11513" max="11513" width="9.5703125" style="2" customWidth="1"/>
    <col min="11514" max="11514" width="25.85546875" style="2" customWidth="1"/>
    <col min="11515" max="11515" width="10.7109375" style="2" customWidth="1"/>
    <col min="11516" max="11516" width="40.42578125" style="2" customWidth="1"/>
    <col min="11517" max="11517" width="30.5703125" style="2" customWidth="1"/>
    <col min="11518" max="11518" width="16.42578125" style="2" customWidth="1"/>
    <col min="11519" max="11519" width="13" style="2" bestFit="1" customWidth="1"/>
    <col min="11520" max="11767" width="9.140625" style="2"/>
    <col min="11768" max="11768" width="16.28515625" style="2" customWidth="1"/>
    <col min="11769" max="11769" width="9.5703125" style="2" customWidth="1"/>
    <col min="11770" max="11770" width="25.85546875" style="2" customWidth="1"/>
    <col min="11771" max="11771" width="10.7109375" style="2" customWidth="1"/>
    <col min="11772" max="11772" width="40.42578125" style="2" customWidth="1"/>
    <col min="11773" max="11773" width="30.5703125" style="2" customWidth="1"/>
    <col min="11774" max="11774" width="16.42578125" style="2" customWidth="1"/>
    <col min="11775" max="11775" width="13" style="2" bestFit="1" customWidth="1"/>
    <col min="11776" max="12023" width="9.140625" style="2"/>
    <col min="12024" max="12024" width="16.28515625" style="2" customWidth="1"/>
    <col min="12025" max="12025" width="9.5703125" style="2" customWidth="1"/>
    <col min="12026" max="12026" width="25.85546875" style="2" customWidth="1"/>
    <col min="12027" max="12027" width="10.7109375" style="2" customWidth="1"/>
    <col min="12028" max="12028" width="40.42578125" style="2" customWidth="1"/>
    <col min="12029" max="12029" width="30.5703125" style="2" customWidth="1"/>
    <col min="12030" max="12030" width="16.42578125" style="2" customWidth="1"/>
    <col min="12031" max="12031" width="13" style="2" bestFit="1" customWidth="1"/>
    <col min="12032" max="12279" width="9.140625" style="2"/>
    <col min="12280" max="12280" width="16.28515625" style="2" customWidth="1"/>
    <col min="12281" max="12281" width="9.5703125" style="2" customWidth="1"/>
    <col min="12282" max="12282" width="25.85546875" style="2" customWidth="1"/>
    <col min="12283" max="12283" width="10.7109375" style="2" customWidth="1"/>
    <col min="12284" max="12284" width="40.42578125" style="2" customWidth="1"/>
    <col min="12285" max="12285" width="30.5703125" style="2" customWidth="1"/>
    <col min="12286" max="12286" width="16.42578125" style="2" customWidth="1"/>
    <col min="12287" max="12287" width="13" style="2" bestFit="1" customWidth="1"/>
    <col min="12288" max="12535" width="9.140625" style="2"/>
    <col min="12536" max="12536" width="16.28515625" style="2" customWidth="1"/>
    <col min="12537" max="12537" width="9.5703125" style="2" customWidth="1"/>
    <col min="12538" max="12538" width="25.85546875" style="2" customWidth="1"/>
    <col min="12539" max="12539" width="10.7109375" style="2" customWidth="1"/>
    <col min="12540" max="12540" width="40.42578125" style="2" customWidth="1"/>
    <col min="12541" max="12541" width="30.5703125" style="2" customWidth="1"/>
    <col min="12542" max="12542" width="16.42578125" style="2" customWidth="1"/>
    <col min="12543" max="12543" width="13" style="2" bestFit="1" customWidth="1"/>
    <col min="12544" max="12791" width="9.140625" style="2"/>
    <col min="12792" max="12792" width="16.28515625" style="2" customWidth="1"/>
    <col min="12793" max="12793" width="9.5703125" style="2" customWidth="1"/>
    <col min="12794" max="12794" width="25.85546875" style="2" customWidth="1"/>
    <col min="12795" max="12795" width="10.7109375" style="2" customWidth="1"/>
    <col min="12796" max="12796" width="40.42578125" style="2" customWidth="1"/>
    <col min="12797" max="12797" width="30.5703125" style="2" customWidth="1"/>
    <col min="12798" max="12798" width="16.42578125" style="2" customWidth="1"/>
    <col min="12799" max="12799" width="13" style="2" bestFit="1" customWidth="1"/>
    <col min="12800" max="13047" width="9.140625" style="2"/>
    <col min="13048" max="13048" width="16.28515625" style="2" customWidth="1"/>
    <col min="13049" max="13049" width="9.5703125" style="2" customWidth="1"/>
    <col min="13050" max="13050" width="25.85546875" style="2" customWidth="1"/>
    <col min="13051" max="13051" width="10.7109375" style="2" customWidth="1"/>
    <col min="13052" max="13052" width="40.42578125" style="2" customWidth="1"/>
    <col min="13053" max="13053" width="30.5703125" style="2" customWidth="1"/>
    <col min="13054" max="13054" width="16.42578125" style="2" customWidth="1"/>
    <col min="13055" max="13055" width="13" style="2" bestFit="1" customWidth="1"/>
    <col min="13056" max="13303" width="9.140625" style="2"/>
    <col min="13304" max="13304" width="16.28515625" style="2" customWidth="1"/>
    <col min="13305" max="13305" width="9.5703125" style="2" customWidth="1"/>
    <col min="13306" max="13306" width="25.85546875" style="2" customWidth="1"/>
    <col min="13307" max="13307" width="10.7109375" style="2" customWidth="1"/>
    <col min="13308" max="13308" width="40.42578125" style="2" customWidth="1"/>
    <col min="13309" max="13309" width="30.5703125" style="2" customWidth="1"/>
    <col min="13310" max="13310" width="16.42578125" style="2" customWidth="1"/>
    <col min="13311" max="13311" width="13" style="2" bestFit="1" customWidth="1"/>
    <col min="13312" max="13559" width="9.140625" style="2"/>
    <col min="13560" max="13560" width="16.28515625" style="2" customWidth="1"/>
    <col min="13561" max="13561" width="9.5703125" style="2" customWidth="1"/>
    <col min="13562" max="13562" width="25.85546875" style="2" customWidth="1"/>
    <col min="13563" max="13563" width="10.7109375" style="2" customWidth="1"/>
    <col min="13564" max="13564" width="40.42578125" style="2" customWidth="1"/>
    <col min="13565" max="13565" width="30.5703125" style="2" customWidth="1"/>
    <col min="13566" max="13566" width="16.42578125" style="2" customWidth="1"/>
    <col min="13567" max="13567" width="13" style="2" bestFit="1" customWidth="1"/>
    <col min="13568" max="13815" width="9.140625" style="2"/>
    <col min="13816" max="13816" width="16.28515625" style="2" customWidth="1"/>
    <col min="13817" max="13817" width="9.5703125" style="2" customWidth="1"/>
    <col min="13818" max="13818" width="25.85546875" style="2" customWidth="1"/>
    <col min="13819" max="13819" width="10.7109375" style="2" customWidth="1"/>
    <col min="13820" max="13820" width="40.42578125" style="2" customWidth="1"/>
    <col min="13821" max="13821" width="30.5703125" style="2" customWidth="1"/>
    <col min="13822" max="13822" width="16.42578125" style="2" customWidth="1"/>
    <col min="13823" max="13823" width="13" style="2" bestFit="1" customWidth="1"/>
    <col min="13824" max="14071" width="9.140625" style="2"/>
    <col min="14072" max="14072" width="16.28515625" style="2" customWidth="1"/>
    <col min="14073" max="14073" width="9.5703125" style="2" customWidth="1"/>
    <col min="14074" max="14074" width="25.85546875" style="2" customWidth="1"/>
    <col min="14075" max="14075" width="10.7109375" style="2" customWidth="1"/>
    <col min="14076" max="14076" width="40.42578125" style="2" customWidth="1"/>
    <col min="14077" max="14077" width="30.5703125" style="2" customWidth="1"/>
    <col min="14078" max="14078" width="16.42578125" style="2" customWidth="1"/>
    <col min="14079" max="14079" width="13" style="2" bestFit="1" customWidth="1"/>
    <col min="14080" max="14327" width="9.140625" style="2"/>
    <col min="14328" max="14328" width="16.28515625" style="2" customWidth="1"/>
    <col min="14329" max="14329" width="9.5703125" style="2" customWidth="1"/>
    <col min="14330" max="14330" width="25.85546875" style="2" customWidth="1"/>
    <col min="14331" max="14331" width="10.7109375" style="2" customWidth="1"/>
    <col min="14332" max="14332" width="40.42578125" style="2" customWidth="1"/>
    <col min="14333" max="14333" width="30.5703125" style="2" customWidth="1"/>
    <col min="14334" max="14334" width="16.42578125" style="2" customWidth="1"/>
    <col min="14335" max="14335" width="13" style="2" bestFit="1" customWidth="1"/>
    <col min="14336" max="14583" width="9.140625" style="2"/>
    <col min="14584" max="14584" width="16.28515625" style="2" customWidth="1"/>
    <col min="14585" max="14585" width="9.5703125" style="2" customWidth="1"/>
    <col min="14586" max="14586" width="25.85546875" style="2" customWidth="1"/>
    <col min="14587" max="14587" width="10.7109375" style="2" customWidth="1"/>
    <col min="14588" max="14588" width="40.42578125" style="2" customWidth="1"/>
    <col min="14589" max="14589" width="30.5703125" style="2" customWidth="1"/>
    <col min="14590" max="14590" width="16.42578125" style="2" customWidth="1"/>
    <col min="14591" max="14591" width="13" style="2" bestFit="1" customWidth="1"/>
    <col min="14592" max="14839" width="9.140625" style="2"/>
    <col min="14840" max="14840" width="16.28515625" style="2" customWidth="1"/>
    <col min="14841" max="14841" width="9.5703125" style="2" customWidth="1"/>
    <col min="14842" max="14842" width="25.85546875" style="2" customWidth="1"/>
    <col min="14843" max="14843" width="10.7109375" style="2" customWidth="1"/>
    <col min="14844" max="14844" width="40.42578125" style="2" customWidth="1"/>
    <col min="14845" max="14845" width="30.5703125" style="2" customWidth="1"/>
    <col min="14846" max="14846" width="16.42578125" style="2" customWidth="1"/>
    <col min="14847" max="14847" width="13" style="2" bestFit="1" customWidth="1"/>
    <col min="14848" max="15095" width="9.140625" style="2"/>
    <col min="15096" max="15096" width="16.28515625" style="2" customWidth="1"/>
    <col min="15097" max="15097" width="9.5703125" style="2" customWidth="1"/>
    <col min="15098" max="15098" width="25.85546875" style="2" customWidth="1"/>
    <col min="15099" max="15099" width="10.7109375" style="2" customWidth="1"/>
    <col min="15100" max="15100" width="40.42578125" style="2" customWidth="1"/>
    <col min="15101" max="15101" width="30.5703125" style="2" customWidth="1"/>
    <col min="15102" max="15102" width="16.42578125" style="2" customWidth="1"/>
    <col min="15103" max="15103" width="13" style="2" bestFit="1" customWidth="1"/>
    <col min="15104" max="15351" width="9.140625" style="2"/>
    <col min="15352" max="15352" width="16.28515625" style="2" customWidth="1"/>
    <col min="15353" max="15353" width="9.5703125" style="2" customWidth="1"/>
    <col min="15354" max="15354" width="25.85546875" style="2" customWidth="1"/>
    <col min="15355" max="15355" width="10.7109375" style="2" customWidth="1"/>
    <col min="15356" max="15356" width="40.42578125" style="2" customWidth="1"/>
    <col min="15357" max="15357" width="30.5703125" style="2" customWidth="1"/>
    <col min="15358" max="15358" width="16.42578125" style="2" customWidth="1"/>
    <col min="15359" max="15359" width="13" style="2" bestFit="1" customWidth="1"/>
    <col min="15360" max="15607" width="9.140625" style="2"/>
    <col min="15608" max="15608" width="16.28515625" style="2" customWidth="1"/>
    <col min="15609" max="15609" width="9.5703125" style="2" customWidth="1"/>
    <col min="15610" max="15610" width="25.85546875" style="2" customWidth="1"/>
    <col min="15611" max="15611" width="10.7109375" style="2" customWidth="1"/>
    <col min="15612" max="15612" width="40.42578125" style="2" customWidth="1"/>
    <col min="15613" max="15613" width="30.5703125" style="2" customWidth="1"/>
    <col min="15614" max="15614" width="16.42578125" style="2" customWidth="1"/>
    <col min="15615" max="15615" width="13" style="2" bestFit="1" customWidth="1"/>
    <col min="15616" max="15863" width="9.140625" style="2"/>
    <col min="15864" max="15864" width="16.28515625" style="2" customWidth="1"/>
    <col min="15865" max="15865" width="9.5703125" style="2" customWidth="1"/>
    <col min="15866" max="15866" width="25.85546875" style="2" customWidth="1"/>
    <col min="15867" max="15867" width="10.7109375" style="2" customWidth="1"/>
    <col min="15868" max="15868" width="40.42578125" style="2" customWidth="1"/>
    <col min="15869" max="15869" width="30.5703125" style="2" customWidth="1"/>
    <col min="15870" max="15870" width="16.42578125" style="2" customWidth="1"/>
    <col min="15871" max="15871" width="13" style="2" bestFit="1" customWidth="1"/>
    <col min="15872" max="16119" width="9.140625" style="2"/>
    <col min="16120" max="16120" width="16.28515625" style="2" customWidth="1"/>
    <col min="16121" max="16121" width="9.5703125" style="2" customWidth="1"/>
    <col min="16122" max="16122" width="25.85546875" style="2" customWidth="1"/>
    <col min="16123" max="16123" width="10.7109375" style="2" customWidth="1"/>
    <col min="16124" max="16124" width="40.42578125" style="2" customWidth="1"/>
    <col min="16125" max="16125" width="30.5703125" style="2" customWidth="1"/>
    <col min="16126" max="16126" width="16.42578125" style="2" customWidth="1"/>
    <col min="16127" max="16127" width="13" style="2" bestFit="1" customWidth="1"/>
    <col min="16128" max="16384" width="9.140625" style="2"/>
  </cols>
  <sheetData>
    <row r="1" spans="1:74" ht="15" hidden="1" customHeight="1"/>
    <row r="2" spans="1:74" ht="15" hidden="1" customHeight="1"/>
    <row r="3" spans="1:74" s="358" customFormat="1" ht="15.75">
      <c r="A3" s="836"/>
      <c r="B3" s="934"/>
      <c r="C3" s="837"/>
      <c r="D3" s="838"/>
      <c r="E3" s="836" t="s">
        <v>201</v>
      </c>
      <c r="F3" s="820"/>
      <c r="G3" s="360"/>
      <c r="H3" s="360"/>
      <c r="I3" s="360"/>
      <c r="J3" s="361"/>
      <c r="K3" s="362" t="s">
        <v>215</v>
      </c>
      <c r="L3" s="363">
        <f t="shared" ref="L3:T3" si="0">L4</f>
        <v>0</v>
      </c>
      <c r="M3" s="363">
        <f t="shared" si="0"/>
        <v>0</v>
      </c>
      <c r="N3" s="363">
        <f t="shared" si="0"/>
        <v>0</v>
      </c>
      <c r="O3" s="363">
        <f t="shared" si="0"/>
        <v>0</v>
      </c>
      <c r="P3" s="364">
        <f t="shared" si="0"/>
        <v>0</v>
      </c>
      <c r="Q3" s="363">
        <f t="shared" si="0"/>
        <v>0</v>
      </c>
      <c r="R3" s="364">
        <f t="shared" si="0"/>
        <v>0</v>
      </c>
      <c r="S3" s="363">
        <f t="shared" si="0"/>
        <v>0</v>
      </c>
      <c r="T3" s="364">
        <f t="shared" si="0"/>
        <v>0</v>
      </c>
      <c r="U3" s="365"/>
      <c r="V3" s="366"/>
      <c r="W3" s="366"/>
      <c r="X3" s="366"/>
      <c r="Z3" s="367">
        <f>AW3+AY3+BA3</f>
        <v>0</v>
      </c>
      <c r="AA3" s="363">
        <f>AX3+AZ3+BB3</f>
        <v>0</v>
      </c>
      <c r="AB3" s="280">
        <f>Z3-AA3</f>
        <v>0</v>
      </c>
      <c r="AC3" s="367">
        <f>BC3+BE3+BG3</f>
        <v>0</v>
      </c>
      <c r="AD3" s="363">
        <f>BD3+BF3+BH3</f>
        <v>0</v>
      </c>
      <c r="AE3" s="280">
        <f>AC3-AD3</f>
        <v>0</v>
      </c>
      <c r="AF3" s="367">
        <f>BI3+BK3+BM3</f>
        <v>0</v>
      </c>
      <c r="AG3" s="363">
        <f>BJ3+BL3+BN3</f>
        <v>0</v>
      </c>
      <c r="AH3" s="280">
        <f>AF3-AG3</f>
        <v>0</v>
      </c>
      <c r="AI3" s="367">
        <f>BO3+BQ3+BS3</f>
        <v>0</v>
      </c>
      <c r="AJ3" s="363">
        <f>BP3+BR3+BT3</f>
        <v>0</v>
      </c>
      <c r="AK3" s="280">
        <f>AI3-AJ3</f>
        <v>0</v>
      </c>
      <c r="AL3" s="368"/>
      <c r="AM3" s="367">
        <f>Z3+AC3</f>
        <v>0</v>
      </c>
      <c r="AN3" s="363">
        <f>AA3+AD3</f>
        <v>0</v>
      </c>
      <c r="AO3" s="280">
        <f>AM3-AN3</f>
        <v>0</v>
      </c>
      <c r="AP3" s="367">
        <f>Z3+AC3+AF3</f>
        <v>0</v>
      </c>
      <c r="AQ3" s="363">
        <f>AA3+AD3+AG3</f>
        <v>0</v>
      </c>
      <c r="AR3" s="280">
        <f>AP3-AQ3</f>
        <v>0</v>
      </c>
      <c r="AS3" s="367">
        <f>Z3+AC3+AF3+AI3</f>
        <v>0</v>
      </c>
      <c r="AT3" s="363">
        <f>AA3+AD3+AG3+AJ3</f>
        <v>0</v>
      </c>
      <c r="AU3" s="280">
        <f>AS3-AT3</f>
        <v>0</v>
      </c>
      <c r="AV3" s="588"/>
      <c r="AW3" s="367">
        <f t="shared" ref="AW3:BT3" si="1">AW4</f>
        <v>0</v>
      </c>
      <c r="AX3" s="363">
        <f t="shared" si="1"/>
        <v>0</v>
      </c>
      <c r="AY3" s="363">
        <f t="shared" si="1"/>
        <v>0</v>
      </c>
      <c r="AZ3" s="363">
        <f t="shared" si="1"/>
        <v>0</v>
      </c>
      <c r="BA3" s="363">
        <f t="shared" si="1"/>
        <v>0</v>
      </c>
      <c r="BB3" s="369">
        <f t="shared" si="1"/>
        <v>0</v>
      </c>
      <c r="BC3" s="367">
        <f t="shared" si="1"/>
        <v>0</v>
      </c>
      <c r="BD3" s="363">
        <f t="shared" si="1"/>
        <v>0</v>
      </c>
      <c r="BE3" s="363">
        <f t="shared" si="1"/>
        <v>0</v>
      </c>
      <c r="BF3" s="363">
        <f t="shared" si="1"/>
        <v>0</v>
      </c>
      <c r="BG3" s="363">
        <f t="shared" si="1"/>
        <v>0</v>
      </c>
      <c r="BH3" s="369">
        <f t="shared" si="1"/>
        <v>0</v>
      </c>
      <c r="BI3" s="367">
        <f t="shared" si="1"/>
        <v>0</v>
      </c>
      <c r="BJ3" s="363">
        <f t="shared" si="1"/>
        <v>0</v>
      </c>
      <c r="BK3" s="363">
        <f t="shared" si="1"/>
        <v>0</v>
      </c>
      <c r="BL3" s="363">
        <f t="shared" si="1"/>
        <v>0</v>
      </c>
      <c r="BM3" s="363">
        <f t="shared" si="1"/>
        <v>0</v>
      </c>
      <c r="BN3" s="369">
        <f t="shared" si="1"/>
        <v>0</v>
      </c>
      <c r="BO3" s="367">
        <f t="shared" si="1"/>
        <v>0</v>
      </c>
      <c r="BP3" s="363">
        <f t="shared" si="1"/>
        <v>0</v>
      </c>
      <c r="BQ3" s="363">
        <f t="shared" si="1"/>
        <v>0</v>
      </c>
      <c r="BR3" s="363">
        <f t="shared" si="1"/>
        <v>0</v>
      </c>
      <c r="BS3" s="363">
        <f t="shared" si="1"/>
        <v>0</v>
      </c>
      <c r="BT3" s="280">
        <f t="shared" si="1"/>
        <v>0</v>
      </c>
    </row>
    <row r="4" spans="1:74" s="313" customFormat="1">
      <c r="A4" s="839"/>
      <c r="B4" s="935"/>
      <c r="C4" s="840"/>
      <c r="D4" s="841"/>
      <c r="E4" s="839"/>
      <c r="F4" s="821"/>
      <c r="G4" s="314"/>
      <c r="H4" s="739"/>
      <c r="I4" s="739"/>
      <c r="J4" s="740"/>
      <c r="K4" s="317" t="s">
        <v>214</v>
      </c>
      <c r="L4" s="318"/>
      <c r="M4" s="318"/>
      <c r="N4" s="318"/>
      <c r="O4" s="318"/>
      <c r="P4" s="329"/>
      <c r="Q4" s="319"/>
      <c r="R4" s="329"/>
      <c r="S4" s="319"/>
      <c r="T4" s="329"/>
      <c r="U4" s="335"/>
      <c r="V4" s="320"/>
      <c r="W4" s="320"/>
      <c r="X4" s="320"/>
      <c r="Z4" s="336">
        <f>AW4+AY4+BA4</f>
        <v>0</v>
      </c>
      <c r="AA4" s="337">
        <f>AX4+AZ4+BB4</f>
        <v>0</v>
      </c>
      <c r="AB4" s="338">
        <f>Z4-AA4</f>
        <v>0</v>
      </c>
      <c r="AC4" s="336">
        <f>BC4+BE4+BG4</f>
        <v>0</v>
      </c>
      <c r="AD4" s="337">
        <f>BD4+BF4+BH4</f>
        <v>0</v>
      </c>
      <c r="AE4" s="338">
        <f>AC4-AD4</f>
        <v>0</v>
      </c>
      <c r="AF4" s="336">
        <f>BI4+BK4+BM4</f>
        <v>0</v>
      </c>
      <c r="AG4" s="337">
        <f>BJ4+BL4+BN4</f>
        <v>0</v>
      </c>
      <c r="AH4" s="338">
        <f>AF4-AG4</f>
        <v>0</v>
      </c>
      <c r="AI4" s="336">
        <f>BO4+BQ4+BS4</f>
        <v>0</v>
      </c>
      <c r="AJ4" s="337">
        <f>BP4+BR4+BT4</f>
        <v>0</v>
      </c>
      <c r="AK4" s="338">
        <f>AI4-AJ4</f>
        <v>0</v>
      </c>
      <c r="AL4" s="342"/>
      <c r="AM4" s="336">
        <f>Z4+AC4</f>
        <v>0</v>
      </c>
      <c r="AN4" s="339">
        <f>AA4+AD4</f>
        <v>0</v>
      </c>
      <c r="AO4" s="340">
        <f>AM4-AN4</f>
        <v>0</v>
      </c>
      <c r="AP4" s="336">
        <f>Z4+AC4+AF4</f>
        <v>0</v>
      </c>
      <c r="AQ4" s="339">
        <f>AA4+AD4+AG4</f>
        <v>0</v>
      </c>
      <c r="AR4" s="340">
        <f>AP4-AQ4</f>
        <v>0</v>
      </c>
      <c r="AS4" s="341">
        <f>Z4+AC4+AF4+AI4</f>
        <v>0</v>
      </c>
      <c r="AT4" s="339">
        <f>AA4+AD4+AG4+AJ4</f>
        <v>0</v>
      </c>
      <c r="AU4" s="340">
        <f>AS4-AT4</f>
        <v>0</v>
      </c>
      <c r="AV4" s="589"/>
      <c r="AW4" s="343"/>
      <c r="AX4" s="344"/>
      <c r="AY4" s="345"/>
      <c r="AZ4" s="344"/>
      <c r="BA4" s="345"/>
      <c r="BB4" s="346"/>
      <c r="BC4" s="347"/>
      <c r="BD4" s="348"/>
      <c r="BE4" s="349"/>
      <c r="BF4" s="348"/>
      <c r="BG4" s="349"/>
      <c r="BH4" s="350"/>
      <c r="BI4" s="351"/>
      <c r="BJ4" s="352"/>
      <c r="BK4" s="337"/>
      <c r="BL4" s="352"/>
      <c r="BM4" s="337"/>
      <c r="BN4" s="353"/>
      <c r="BO4" s="354"/>
      <c r="BP4" s="355"/>
      <c r="BQ4" s="356"/>
      <c r="BR4" s="355"/>
      <c r="BS4" s="356"/>
      <c r="BT4" s="357"/>
    </row>
    <row r="5" spans="1:74" s="523" customFormat="1" ht="39.75" customHeight="1" thickBot="1">
      <c r="A5" s="842"/>
      <c r="B5" s="934"/>
      <c r="C5" s="843"/>
      <c r="D5" s="844"/>
      <c r="E5" s="842"/>
      <c r="F5" s="822"/>
      <c r="G5" s="525"/>
      <c r="H5" s="525"/>
      <c r="I5" s="525"/>
      <c r="J5" s="526"/>
      <c r="K5" s="530" t="s">
        <v>376</v>
      </c>
      <c r="L5" s="685">
        <f t="shared" ref="L5:T5" si="2">SUBTOTAL(9,L12:L149,L155:L156,L163:L243)</f>
        <v>87713131.150000006</v>
      </c>
      <c r="M5" s="685">
        <f t="shared" si="2"/>
        <v>247442.91</v>
      </c>
      <c r="N5" s="685">
        <f t="shared" si="2"/>
        <v>151742.37</v>
      </c>
      <c r="O5" s="685">
        <f t="shared" si="2"/>
        <v>87858873.519999996</v>
      </c>
      <c r="P5" s="685">
        <f t="shared" si="2"/>
        <v>19164590.579999998</v>
      </c>
      <c r="Q5" s="685">
        <f t="shared" si="2"/>
        <v>69494387.390000001</v>
      </c>
      <c r="R5" s="685">
        <f t="shared" si="2"/>
        <v>0</v>
      </c>
      <c r="S5" s="685">
        <f t="shared" si="2"/>
        <v>69037877.359999999</v>
      </c>
      <c r="T5" s="685">
        <f t="shared" si="2"/>
        <v>0</v>
      </c>
      <c r="U5" s="685"/>
      <c r="V5" s="685">
        <f>SUBTOTAL(9,V12:V149,V155:V156,V163:V243)</f>
        <v>453197.09</v>
      </c>
      <c r="W5" s="685">
        <f>SUBTOTAL(9,W12:W149,W155:W156,W163:W243)</f>
        <v>0</v>
      </c>
      <c r="X5" s="685">
        <f>SUBTOTAL(9,X12:X149,X155:X156,X163:X243)</f>
        <v>3.14</v>
      </c>
      <c r="Y5" s="685"/>
      <c r="Z5" s="685"/>
      <c r="AA5" s="685"/>
      <c r="AB5" s="685"/>
      <c r="AC5" s="685"/>
      <c r="AD5" s="685"/>
      <c r="AE5" s="685"/>
      <c r="AF5" s="685"/>
      <c r="AG5" s="685"/>
      <c r="AH5" s="685"/>
      <c r="AI5" s="685"/>
      <c r="AJ5" s="685"/>
      <c r="AK5" s="685"/>
      <c r="AL5" s="685"/>
      <c r="AM5" s="685">
        <f t="shared" ref="AM5:BS5" si="3">SUBTOTAL(9,AM12:AM149,AM155:AM156,AM163:AM243)</f>
        <v>56221248.549999997</v>
      </c>
      <c r="AN5" s="685">
        <f t="shared" si="3"/>
        <v>245845.58</v>
      </c>
      <c r="AO5" s="685">
        <f t="shared" si="3"/>
        <v>55975402.969999999</v>
      </c>
      <c r="AP5" s="685">
        <f t="shared" si="3"/>
        <v>69769156.670000002</v>
      </c>
      <c r="AQ5" s="685">
        <f t="shared" si="3"/>
        <v>356845.58</v>
      </c>
      <c r="AR5" s="685">
        <f t="shared" si="3"/>
        <v>69412311.090000004</v>
      </c>
      <c r="AS5" s="685">
        <f t="shared" si="3"/>
        <v>78668394.040000007</v>
      </c>
      <c r="AT5" s="685">
        <f t="shared" si="3"/>
        <v>430845.58</v>
      </c>
      <c r="AU5" s="685">
        <f t="shared" si="3"/>
        <v>78237548.459999993</v>
      </c>
      <c r="AV5" s="807">
        <f t="shared" si="3"/>
        <v>9271007.5899999999</v>
      </c>
      <c r="AW5" s="685">
        <f t="shared" si="3"/>
        <v>8090702.5599999996</v>
      </c>
      <c r="AX5" s="685">
        <f t="shared" si="3"/>
        <v>0</v>
      </c>
      <c r="AY5" s="685">
        <f t="shared" si="3"/>
        <v>7879791.6799999997</v>
      </c>
      <c r="AZ5" s="685">
        <f t="shared" si="3"/>
        <v>134845.57999999999</v>
      </c>
      <c r="BA5" s="685">
        <f t="shared" si="3"/>
        <v>11381412.82</v>
      </c>
      <c r="BB5" s="685">
        <f t="shared" si="3"/>
        <v>0</v>
      </c>
      <c r="BC5" s="685">
        <f t="shared" si="3"/>
        <v>7074805.1900000004</v>
      </c>
      <c r="BD5" s="685">
        <f t="shared" si="3"/>
        <v>37000</v>
      </c>
      <c r="BE5" s="685">
        <f t="shared" si="3"/>
        <v>6698429.1600000001</v>
      </c>
      <c r="BF5" s="685">
        <f t="shared" si="3"/>
        <v>37000</v>
      </c>
      <c r="BG5" s="685">
        <f t="shared" si="3"/>
        <v>15096107.140000001</v>
      </c>
      <c r="BH5" s="685">
        <f t="shared" si="3"/>
        <v>37000</v>
      </c>
      <c r="BI5" s="685">
        <f t="shared" si="3"/>
        <v>6703602.7400000002</v>
      </c>
      <c r="BJ5" s="685">
        <f t="shared" si="3"/>
        <v>37000</v>
      </c>
      <c r="BK5" s="685">
        <f t="shared" si="3"/>
        <v>3616664.27</v>
      </c>
      <c r="BL5" s="685">
        <f t="shared" si="3"/>
        <v>37000</v>
      </c>
      <c r="BM5" s="685">
        <f t="shared" si="3"/>
        <v>3227641.11</v>
      </c>
      <c r="BN5" s="685">
        <f t="shared" si="3"/>
        <v>37000</v>
      </c>
      <c r="BO5" s="685">
        <f t="shared" si="3"/>
        <v>1605557.98</v>
      </c>
      <c r="BP5" s="685">
        <f t="shared" si="3"/>
        <v>37000</v>
      </c>
      <c r="BQ5" s="685">
        <f t="shared" si="3"/>
        <v>2334374.59</v>
      </c>
      <c r="BR5" s="685">
        <f t="shared" si="3"/>
        <v>37000</v>
      </c>
      <c r="BS5" s="685">
        <f t="shared" si="3"/>
        <v>4959304.8</v>
      </c>
      <c r="BT5" s="575">
        <f>SUBTOTAL(9,BT7:BT143,BT149:BT150,BT157:BT221)</f>
        <v>5820673.9400000004</v>
      </c>
    </row>
    <row r="6" spans="1:74" ht="18.75">
      <c r="F6" s="322" t="s">
        <v>137</v>
      </c>
      <c r="G6" s="322"/>
      <c r="H6" s="322"/>
      <c r="I6" s="322"/>
      <c r="J6" s="322"/>
      <c r="K6" s="322"/>
      <c r="L6" s="322"/>
      <c r="M6" s="322"/>
      <c r="N6" s="322"/>
      <c r="O6" s="322"/>
      <c r="P6" s="327"/>
      <c r="Q6" s="322"/>
      <c r="R6" s="327"/>
      <c r="S6" s="2"/>
      <c r="T6" s="327"/>
      <c r="Z6" s="2"/>
      <c r="AA6" s="2"/>
      <c r="AB6" s="2"/>
      <c r="AC6" s="2"/>
      <c r="AD6" s="2"/>
      <c r="AE6" s="2"/>
      <c r="AF6" s="2"/>
      <c r="AG6" s="2"/>
      <c r="AH6" s="2"/>
      <c r="AI6" s="2"/>
      <c r="AJ6" s="2"/>
      <c r="AK6" s="2"/>
      <c r="AL6" s="273"/>
      <c r="AM6" s="2"/>
      <c r="AN6" s="2"/>
      <c r="AO6" s="2"/>
      <c r="AP6" s="2"/>
      <c r="AQ6" s="2"/>
      <c r="AR6" s="2"/>
      <c r="AS6" s="2"/>
      <c r="AT6" s="2"/>
      <c r="AU6" s="644"/>
      <c r="AV6" s="804"/>
      <c r="AW6" s="643"/>
      <c r="AX6" s="643"/>
      <c r="AY6" s="643"/>
      <c r="AZ6" s="643"/>
      <c r="BA6" s="643"/>
      <c r="BB6" s="643"/>
      <c r="BC6" s="643"/>
      <c r="BD6" s="643"/>
      <c r="BE6" s="643"/>
      <c r="BF6" s="643"/>
      <c r="BG6" s="643"/>
      <c r="BH6" s="643"/>
      <c r="BI6" s="643"/>
      <c r="BJ6" s="643"/>
      <c r="BK6" s="643"/>
      <c r="BL6" s="643"/>
      <c r="BM6" s="643"/>
      <c r="BN6" s="643" t="e">
        <f t="shared" ref="BN6:BR6" si="4">ROUND(BN12/$AV$6,0)</f>
        <v>#DIV/0!</v>
      </c>
      <c r="BO6" s="643"/>
      <c r="BP6" s="643" t="e">
        <f t="shared" si="4"/>
        <v>#DIV/0!</v>
      </c>
      <c r="BQ6" s="643"/>
      <c r="BR6" s="643" t="e">
        <f t="shared" si="4"/>
        <v>#DIV/0!</v>
      </c>
      <c r="BS6" s="643"/>
      <c r="BT6" s="2"/>
    </row>
    <row r="7" spans="1:74" ht="18.75">
      <c r="F7" s="323" t="s">
        <v>29</v>
      </c>
      <c r="G7" s="321"/>
      <c r="H7" s="321"/>
      <c r="I7" s="321"/>
      <c r="J7" s="321"/>
      <c r="K7" s="321"/>
      <c r="L7" s="321"/>
      <c r="M7" s="321"/>
      <c r="N7" s="321"/>
      <c r="O7" s="321"/>
      <c r="Q7" s="321"/>
      <c r="S7" s="2"/>
      <c r="Z7" s="2"/>
      <c r="AA7" s="2"/>
      <c r="AB7" s="2"/>
      <c r="AC7" s="2"/>
      <c r="AD7" s="2"/>
      <c r="AE7" s="2"/>
      <c r="AF7" s="2"/>
      <c r="AG7" s="2"/>
      <c r="AH7" s="2"/>
      <c r="AI7" s="2"/>
      <c r="AJ7" s="2"/>
      <c r="AK7" s="2"/>
      <c r="AL7" s="273"/>
      <c r="AM7" s="2"/>
      <c r="AN7" s="2"/>
      <c r="AO7" s="2"/>
      <c r="AP7" s="2"/>
      <c r="AQ7" s="2"/>
      <c r="AR7" s="2"/>
      <c r="AS7" s="2"/>
      <c r="AT7" s="2"/>
      <c r="AU7" s="2"/>
      <c r="AW7" s="2"/>
      <c r="AX7" s="2"/>
      <c r="AY7" s="2"/>
      <c r="AZ7" s="2"/>
      <c r="BA7" s="2"/>
      <c r="BB7" s="2"/>
      <c r="BC7" s="2"/>
      <c r="BD7" s="2"/>
      <c r="BE7" s="2"/>
      <c r="BF7" s="2"/>
      <c r="BG7" s="2"/>
      <c r="BH7" s="2"/>
      <c r="BI7" s="2"/>
      <c r="BJ7" s="2"/>
      <c r="BK7" s="2"/>
      <c r="BL7" s="2"/>
      <c r="BM7" s="2"/>
      <c r="BN7" s="2"/>
      <c r="BO7" s="2"/>
      <c r="BP7" s="2"/>
      <c r="BQ7" s="2"/>
      <c r="BR7" s="2"/>
      <c r="BS7" s="2"/>
      <c r="BT7" s="2"/>
    </row>
    <row r="8" spans="1:74" ht="26.25" thickBot="1">
      <c r="AV8" s="802" t="s">
        <v>449</v>
      </c>
      <c r="BA8" s="386">
        <f>BB8-AW12-AY12-BA12</f>
        <v>941214.16</v>
      </c>
      <c r="BB8" s="385">
        <v>9724242</v>
      </c>
      <c r="BG8" s="387">
        <f>BH8-BC12-BE12-BG12</f>
        <v>-3915758</v>
      </c>
      <c r="BH8" s="385">
        <v>9724242</v>
      </c>
      <c r="BM8" s="386">
        <f>BN8-BI12-BK12-BM12</f>
        <v>9101546.2599999998</v>
      </c>
      <c r="BN8" s="385">
        <v>9724242</v>
      </c>
      <c r="BS8" s="386">
        <f>BT8-BO12-BQ12-BS12</f>
        <v>5820673.9400000004</v>
      </c>
      <c r="BT8" s="385">
        <f>ROUND($L$12*25%,2)</f>
        <v>5820673.9400000004</v>
      </c>
    </row>
    <row r="9" spans="1:74" ht="27" customHeight="1" thickBot="1">
      <c r="H9" s="4"/>
      <c r="I9" s="4"/>
      <c r="L9" s="101"/>
      <c r="Q9" s="5"/>
      <c r="S9" s="5" t="s">
        <v>0</v>
      </c>
      <c r="V9" s="737" t="s">
        <v>382</v>
      </c>
      <c r="W9" s="736" t="s">
        <v>391</v>
      </c>
      <c r="X9" s="738" t="s">
        <v>383</v>
      </c>
      <c r="Z9" s="1489" t="s">
        <v>182</v>
      </c>
      <c r="AA9" s="1490"/>
      <c r="AB9" s="1491"/>
      <c r="AC9" s="1489" t="s">
        <v>181</v>
      </c>
      <c r="AD9" s="1490"/>
      <c r="AE9" s="1491"/>
      <c r="AF9" s="1489" t="s">
        <v>186</v>
      </c>
      <c r="AG9" s="1490"/>
      <c r="AH9" s="1491"/>
      <c r="AI9" s="1489" t="s">
        <v>189</v>
      </c>
      <c r="AJ9" s="1490"/>
      <c r="AK9" s="1491"/>
      <c r="AL9" s="275"/>
      <c r="AM9" s="1492" t="s">
        <v>188</v>
      </c>
      <c r="AN9" s="1493"/>
      <c r="AO9" s="1494"/>
      <c r="AP9" s="1492" t="s">
        <v>187</v>
      </c>
      <c r="AQ9" s="1493"/>
      <c r="AR9" s="1494"/>
      <c r="AS9" s="1492" t="s">
        <v>213</v>
      </c>
      <c r="AT9" s="1493"/>
      <c r="AU9" s="1494"/>
      <c r="AV9" s="752"/>
      <c r="AW9" s="1495" t="s">
        <v>179</v>
      </c>
      <c r="AX9" s="1496"/>
      <c r="AY9" s="1496" t="s">
        <v>178</v>
      </c>
      <c r="AZ9" s="1496"/>
      <c r="BA9" s="1496" t="s">
        <v>180</v>
      </c>
      <c r="BB9" s="1497"/>
      <c r="BC9" s="1498" t="s">
        <v>183</v>
      </c>
      <c r="BD9" s="1488"/>
      <c r="BE9" s="1488" t="s">
        <v>184</v>
      </c>
      <c r="BF9" s="1488"/>
      <c r="BG9" s="1488" t="s">
        <v>185</v>
      </c>
      <c r="BH9" s="1501"/>
      <c r="BI9" s="1502" t="s">
        <v>190</v>
      </c>
      <c r="BJ9" s="1503"/>
      <c r="BK9" s="1503" t="s">
        <v>191</v>
      </c>
      <c r="BL9" s="1503"/>
      <c r="BM9" s="1503" t="s">
        <v>192</v>
      </c>
      <c r="BN9" s="1504"/>
      <c r="BO9" s="1505" t="s">
        <v>193</v>
      </c>
      <c r="BP9" s="1499"/>
      <c r="BQ9" s="1499" t="s">
        <v>194</v>
      </c>
      <c r="BR9" s="1499"/>
      <c r="BS9" s="1499" t="s">
        <v>195</v>
      </c>
      <c r="BT9" s="1500"/>
      <c r="BU9" s="307" t="s">
        <v>198</v>
      </c>
      <c r="BV9" s="307" t="s">
        <v>199</v>
      </c>
    </row>
    <row r="10" spans="1:74" s="31" customFormat="1" ht="73.5" customHeight="1" thickBot="1">
      <c r="A10" s="845" t="s">
        <v>450</v>
      </c>
      <c r="B10" s="936" t="s">
        <v>451</v>
      </c>
      <c r="C10" s="846" t="s">
        <v>377</v>
      </c>
      <c r="D10" s="847" t="s">
        <v>380</v>
      </c>
      <c r="E10" s="848" t="s">
        <v>200</v>
      </c>
      <c r="F10" s="823" t="s">
        <v>1</v>
      </c>
      <c r="G10" s="12" t="s">
        <v>2</v>
      </c>
      <c r="H10" s="12" t="s">
        <v>68</v>
      </c>
      <c r="I10" s="12" t="s">
        <v>4</v>
      </c>
      <c r="J10" s="12" t="s">
        <v>5</v>
      </c>
      <c r="K10" s="522" t="s">
        <v>6</v>
      </c>
      <c r="L10" s="731" t="s">
        <v>202</v>
      </c>
      <c r="M10" s="732" t="s">
        <v>73</v>
      </c>
      <c r="N10" s="732" t="s">
        <v>203</v>
      </c>
      <c r="O10" s="732" t="s">
        <v>33</v>
      </c>
      <c r="P10" s="733" t="s">
        <v>62</v>
      </c>
      <c r="Q10" s="732" t="s">
        <v>50</v>
      </c>
      <c r="R10" s="734" t="s">
        <v>62</v>
      </c>
      <c r="S10" s="735" t="s">
        <v>138</v>
      </c>
      <c r="T10" s="659" t="s">
        <v>62</v>
      </c>
      <c r="U10" s="325"/>
      <c r="V10" s="12" t="s">
        <v>210</v>
      </c>
      <c r="W10" s="12" t="s">
        <v>211</v>
      </c>
      <c r="X10" s="12" t="s">
        <v>212</v>
      </c>
      <c r="Z10" s="261" t="s">
        <v>82</v>
      </c>
      <c r="AA10" s="252" t="s">
        <v>177</v>
      </c>
      <c r="AB10" s="268" t="s">
        <v>196</v>
      </c>
      <c r="AC10" s="261" t="s">
        <v>82</v>
      </c>
      <c r="AD10" s="252" t="s">
        <v>177</v>
      </c>
      <c r="AE10" s="268" t="s">
        <v>196</v>
      </c>
      <c r="AF10" s="261" t="s">
        <v>82</v>
      </c>
      <c r="AG10" s="252" t="s">
        <v>177</v>
      </c>
      <c r="AH10" s="268" t="s">
        <v>196</v>
      </c>
      <c r="AI10" s="261" t="s">
        <v>82</v>
      </c>
      <c r="AJ10" s="252" t="s">
        <v>177</v>
      </c>
      <c r="AK10" s="268" t="s">
        <v>196</v>
      </c>
      <c r="AL10" s="276"/>
      <c r="AM10" s="261" t="s">
        <v>82</v>
      </c>
      <c r="AN10" s="246" t="s">
        <v>177</v>
      </c>
      <c r="AO10" s="279" t="s">
        <v>196</v>
      </c>
      <c r="AP10" s="261" t="s">
        <v>82</v>
      </c>
      <c r="AQ10" s="246" t="s">
        <v>177</v>
      </c>
      <c r="AR10" s="279" t="s">
        <v>196</v>
      </c>
      <c r="AS10" s="261" t="s">
        <v>82</v>
      </c>
      <c r="AT10" s="246" t="s">
        <v>177</v>
      </c>
      <c r="AU10" s="279" t="s">
        <v>196</v>
      </c>
      <c r="AV10" s="593"/>
      <c r="AW10" s="288" t="s">
        <v>82</v>
      </c>
      <c r="AX10" s="286" t="s">
        <v>177</v>
      </c>
      <c r="AY10" s="285" t="s">
        <v>82</v>
      </c>
      <c r="AZ10" s="286" t="s">
        <v>177</v>
      </c>
      <c r="BA10" s="285" t="s">
        <v>82</v>
      </c>
      <c r="BB10" s="291" t="s">
        <v>177</v>
      </c>
      <c r="BC10" s="295" t="s">
        <v>82</v>
      </c>
      <c r="BD10" s="294" t="s">
        <v>177</v>
      </c>
      <c r="BE10" s="293" t="s">
        <v>82</v>
      </c>
      <c r="BF10" s="294" t="s">
        <v>177</v>
      </c>
      <c r="BG10" s="293" t="s">
        <v>82</v>
      </c>
      <c r="BH10" s="296" t="s">
        <v>177</v>
      </c>
      <c r="BI10" s="299" t="s">
        <v>82</v>
      </c>
      <c r="BJ10" s="298" t="s">
        <v>177</v>
      </c>
      <c r="BK10" s="297" t="s">
        <v>82</v>
      </c>
      <c r="BL10" s="298" t="s">
        <v>177</v>
      </c>
      <c r="BM10" s="297" t="s">
        <v>82</v>
      </c>
      <c r="BN10" s="300" t="s">
        <v>177</v>
      </c>
      <c r="BO10" s="304" t="s">
        <v>82</v>
      </c>
      <c r="BP10" s="303" t="s">
        <v>177</v>
      </c>
      <c r="BQ10" s="302" t="s">
        <v>82</v>
      </c>
      <c r="BR10" s="303" t="s">
        <v>177</v>
      </c>
      <c r="BS10" s="302" t="s">
        <v>82</v>
      </c>
      <c r="BT10" s="284" t="s">
        <v>177</v>
      </c>
    </row>
    <row r="11" spans="1:74" s="31" customFormat="1" ht="42" customHeight="1" thickBot="1">
      <c r="A11" s="287">
        <v>1</v>
      </c>
      <c r="B11" s="933"/>
      <c r="C11" s="845"/>
      <c r="D11" s="849"/>
      <c r="E11" s="287" t="s">
        <v>201</v>
      </c>
      <c r="F11" s="306" t="s">
        <v>219</v>
      </c>
      <c r="G11" s="306"/>
      <c r="H11" s="306"/>
      <c r="I11" s="306"/>
      <c r="J11" s="306"/>
      <c r="K11" s="306"/>
      <c r="L11" s="311"/>
      <c r="M11" s="311"/>
      <c r="N11" s="311"/>
      <c r="O11" s="311"/>
      <c r="P11" s="333"/>
      <c r="Q11" s="311"/>
      <c r="R11" s="333"/>
      <c r="T11" s="333"/>
      <c r="U11" s="325"/>
      <c r="V11" s="308"/>
      <c r="W11" s="308"/>
      <c r="X11" s="308"/>
      <c r="Z11" s="262"/>
      <c r="AA11" s="3"/>
      <c r="AB11" s="257"/>
      <c r="AC11" s="262"/>
      <c r="AD11" s="3"/>
      <c r="AE11" s="257"/>
      <c r="AF11" s="262"/>
      <c r="AG11" s="3"/>
      <c r="AH11" s="257"/>
      <c r="AI11" s="262"/>
      <c r="AJ11" s="3"/>
      <c r="AK11" s="257"/>
      <c r="AL11" s="3"/>
      <c r="AM11" s="262"/>
      <c r="AN11" s="3"/>
      <c r="AO11" s="257"/>
      <c r="AP11" s="262"/>
      <c r="AQ11" s="3"/>
      <c r="AR11" s="257"/>
      <c r="AS11" s="262"/>
      <c r="AT11" s="3"/>
      <c r="AU11" s="257"/>
      <c r="AV11" s="593"/>
      <c r="AW11" s="289"/>
      <c r="AX11" s="287"/>
      <c r="AY11" s="287"/>
      <c r="AZ11" s="287"/>
      <c r="BA11" s="287"/>
      <c r="BB11" s="292"/>
      <c r="BC11" s="289"/>
      <c r="BD11" s="287"/>
      <c r="BE11" s="287"/>
      <c r="BF11" s="287"/>
      <c r="BG11" s="287"/>
      <c r="BH11" s="292"/>
      <c r="BI11" s="289"/>
      <c r="BJ11" s="287"/>
      <c r="BK11" s="287"/>
      <c r="BL11" s="287"/>
      <c r="BM11" s="287"/>
      <c r="BN11" s="292"/>
      <c r="BO11" s="289"/>
      <c r="BP11" s="287"/>
      <c r="BQ11" s="287"/>
      <c r="BR11" s="287"/>
      <c r="BS11" s="287"/>
      <c r="BT11" s="290"/>
    </row>
    <row r="12" spans="1:74" s="378" customFormat="1" ht="32.25" thickBot="1">
      <c r="A12" s="287">
        <v>2</v>
      </c>
      <c r="B12" s="933"/>
      <c r="C12" s="850"/>
      <c r="D12" s="851"/>
      <c r="E12" s="852" t="s">
        <v>201</v>
      </c>
      <c r="F12" s="824" t="s">
        <v>7</v>
      </c>
      <c r="G12" s="376">
        <v>4</v>
      </c>
      <c r="H12" s="376" t="s">
        <v>226</v>
      </c>
      <c r="I12" s="376">
        <v>111</v>
      </c>
      <c r="J12" s="377">
        <v>211</v>
      </c>
      <c r="K12" s="531" t="s">
        <v>8</v>
      </c>
      <c r="L12" s="971">
        <f>23282695.74</f>
        <v>23282695.739999998</v>
      </c>
      <c r="M12" s="972"/>
      <c r="N12" s="972">
        <f>-N13</f>
        <v>-236972.16</v>
      </c>
      <c r="O12" s="972">
        <f>L12+N12</f>
        <v>23045723.579999998</v>
      </c>
      <c r="P12" s="973">
        <f>41959190-L12-L163</f>
        <v>13613383.390000001</v>
      </c>
      <c r="Q12" s="971">
        <v>24496803.949999999</v>
      </c>
      <c r="R12" s="973"/>
      <c r="S12" s="971">
        <v>24191233.949999999</v>
      </c>
      <c r="T12" s="556"/>
      <c r="U12" s="380"/>
      <c r="V12" s="381"/>
      <c r="W12" s="381"/>
      <c r="X12" s="381"/>
      <c r="Z12" s="382">
        <f t="shared" ref="Z12:AA51" si="5">AW12+AY12+BA12</f>
        <v>8783027.8399999999</v>
      </c>
      <c r="AA12" s="247">
        <f t="shared" si="5"/>
        <v>0</v>
      </c>
      <c r="AB12" s="383">
        <f t="shared" ref="AB12:AB75" si="6">Z12-AA12</f>
        <v>8783027.8399999999</v>
      </c>
      <c r="AC12" s="382">
        <f t="shared" ref="AC12:AD51" si="7">BC12+BE12+BG12</f>
        <v>13640000</v>
      </c>
      <c r="AD12" s="247">
        <f t="shared" si="7"/>
        <v>0</v>
      </c>
      <c r="AE12" s="383">
        <f t="shared" ref="AE12:AE75" si="8">AC12-AD12</f>
        <v>13640000</v>
      </c>
      <c r="AF12" s="382">
        <f t="shared" ref="AF12:AG51" si="9">BI12+BK12+BM12</f>
        <v>622695.74</v>
      </c>
      <c r="AG12" s="247">
        <f t="shared" si="9"/>
        <v>0</v>
      </c>
      <c r="AH12" s="383">
        <f t="shared" ref="AH12:AH75" si="10">AF12-AG12</f>
        <v>622695.74</v>
      </c>
      <c r="AI12" s="382">
        <f t="shared" ref="AI12:AJ51" si="11">BO12+BQ12+BS12</f>
        <v>0</v>
      </c>
      <c r="AJ12" s="247">
        <f t="shared" si="11"/>
        <v>0</v>
      </c>
      <c r="AK12" s="383">
        <f t="shared" ref="AK12:AK75" si="12">AI12-AJ12</f>
        <v>0</v>
      </c>
      <c r="AL12" s="250"/>
      <c r="AM12" s="382">
        <f t="shared" ref="AM12:AN51" si="13">Z12+AC12</f>
        <v>22423027.84</v>
      </c>
      <c r="AN12" s="247">
        <f t="shared" si="13"/>
        <v>0</v>
      </c>
      <c r="AO12" s="383">
        <f t="shared" ref="AO12:AO75" si="14">AM12-AN12</f>
        <v>22423027.84</v>
      </c>
      <c r="AP12" s="382">
        <f t="shared" ref="AP12:AQ51" si="15">Z12+AC12+AF12</f>
        <v>23045723.579999998</v>
      </c>
      <c r="AQ12" s="247">
        <f t="shared" si="15"/>
        <v>0</v>
      </c>
      <c r="AR12" s="383">
        <f t="shared" ref="AR12:AR75" si="16">AP12-AQ12</f>
        <v>23045723.579999998</v>
      </c>
      <c r="AS12" s="382">
        <f>Z12+AC12+AF12+AI12</f>
        <v>23045723.579999998</v>
      </c>
      <c r="AT12" s="247">
        <f t="shared" ref="AT12:AT75" si="17">AA12+AD12+AG12+AJ12</f>
        <v>0</v>
      </c>
      <c r="AU12" s="383">
        <f t="shared" ref="AU12:AU75" si="18">AS12-AT12</f>
        <v>23045723.579999998</v>
      </c>
      <c r="AV12" s="599">
        <f t="shared" ref="AV12:AV75" si="19">L12-AS12</f>
        <v>236972.16</v>
      </c>
      <c r="AW12" s="382">
        <v>1390000</v>
      </c>
      <c r="AX12" s="247"/>
      <c r="AY12" s="247">
        <f>2420000-AY13</f>
        <v>2183027.84</v>
      </c>
      <c r="AZ12" s="247"/>
      <c r="BA12" s="247">
        <v>5210000</v>
      </c>
      <c r="BB12" s="384"/>
      <c r="BC12" s="382">
        <v>2420000</v>
      </c>
      <c r="BD12" s="247"/>
      <c r="BE12" s="247">
        <v>2420000</v>
      </c>
      <c r="BF12" s="247"/>
      <c r="BG12" s="247">
        <v>8800000</v>
      </c>
      <c r="BH12" s="384"/>
      <c r="BI12" s="382">
        <v>622695.74</v>
      </c>
      <c r="BJ12" s="247"/>
      <c r="BK12" s="247"/>
      <c r="BL12" s="247"/>
      <c r="BM12" s="247"/>
      <c r="BN12" s="384"/>
      <c r="BO12" s="382"/>
      <c r="BP12" s="247"/>
      <c r="BQ12" s="247"/>
      <c r="BR12" s="247"/>
      <c r="BS12" s="247"/>
      <c r="BT12" s="383"/>
      <c r="BU12" s="378">
        <v>0.01</v>
      </c>
      <c r="BV12" s="378" t="s">
        <v>197</v>
      </c>
    </row>
    <row r="13" spans="1:74" s="897" customFormat="1" ht="31.5">
      <c r="A13" s="287">
        <v>3</v>
      </c>
      <c r="B13" s="937"/>
      <c r="C13" s="887"/>
      <c r="D13" s="888"/>
      <c r="E13" s="889" t="s">
        <v>201</v>
      </c>
      <c r="F13" s="890" t="s">
        <v>7</v>
      </c>
      <c r="G13" s="891">
        <v>4</v>
      </c>
      <c r="H13" s="891" t="s">
        <v>489</v>
      </c>
      <c r="I13" s="891">
        <v>111</v>
      </c>
      <c r="J13" s="892">
        <v>211</v>
      </c>
      <c r="K13" s="893" t="s">
        <v>8</v>
      </c>
      <c r="L13" s="974">
        <v>0</v>
      </c>
      <c r="M13" s="253"/>
      <c r="N13" s="974">
        <v>236972.16</v>
      </c>
      <c r="O13" s="253">
        <f>L13+N13</f>
        <v>236972.16</v>
      </c>
      <c r="P13" s="975"/>
      <c r="Q13" s="974">
        <v>0</v>
      </c>
      <c r="R13" s="975"/>
      <c r="S13" s="974">
        <v>0</v>
      </c>
      <c r="T13" s="894"/>
      <c r="U13" s="895"/>
      <c r="V13" s="896"/>
      <c r="W13" s="896"/>
      <c r="X13" s="896"/>
      <c r="Z13" s="898">
        <f t="shared" ref="Z13" si="20">AW13+AY13+BA13</f>
        <v>236972.16</v>
      </c>
      <c r="AA13" s="253">
        <f t="shared" ref="AA13" si="21">AX13+AZ13+BB13</f>
        <v>0</v>
      </c>
      <c r="AB13" s="899">
        <f t="shared" ref="AB13" si="22">Z13-AA13</f>
        <v>236972.16</v>
      </c>
      <c r="AC13" s="898">
        <f t="shared" ref="AC13" si="23">BC13+BE13+BG13</f>
        <v>0</v>
      </c>
      <c r="AD13" s="253">
        <f t="shared" ref="AD13" si="24">BD13+BF13+BH13</f>
        <v>0</v>
      </c>
      <c r="AE13" s="899">
        <f t="shared" ref="AE13" si="25">AC13-AD13</f>
        <v>0</v>
      </c>
      <c r="AF13" s="898">
        <f t="shared" ref="AF13" si="26">BI13+BK13+BM13</f>
        <v>0</v>
      </c>
      <c r="AG13" s="253">
        <f t="shared" ref="AG13" si="27">BJ13+BL13+BN13</f>
        <v>0</v>
      </c>
      <c r="AH13" s="899">
        <f t="shared" ref="AH13" si="28">AF13-AG13</f>
        <v>0</v>
      </c>
      <c r="AI13" s="898">
        <f t="shared" ref="AI13" si="29">BO13+BQ13+BS13</f>
        <v>0</v>
      </c>
      <c r="AJ13" s="253">
        <f t="shared" ref="AJ13" si="30">BP13+BR13+BT13</f>
        <v>0</v>
      </c>
      <c r="AK13" s="899">
        <f t="shared" ref="AK13" si="31">AI13-AJ13</f>
        <v>0</v>
      </c>
      <c r="AL13" s="256"/>
      <c r="AM13" s="898">
        <f t="shared" ref="AM13" si="32">Z13+AC13</f>
        <v>236972.16</v>
      </c>
      <c r="AN13" s="253">
        <f t="shared" ref="AN13" si="33">AA13+AD13</f>
        <v>0</v>
      </c>
      <c r="AO13" s="899">
        <f t="shared" ref="AO13" si="34">AM13-AN13</f>
        <v>236972.16</v>
      </c>
      <c r="AP13" s="898">
        <f t="shared" ref="AP13" si="35">Z13+AC13+AF13</f>
        <v>236972.16</v>
      </c>
      <c r="AQ13" s="253">
        <f t="shared" ref="AQ13" si="36">AA13+AD13+AG13</f>
        <v>0</v>
      </c>
      <c r="AR13" s="899">
        <f t="shared" ref="AR13" si="37">AP13-AQ13</f>
        <v>236972.16</v>
      </c>
      <c r="AS13" s="898">
        <f>Z13+AC13+AF13+AI13</f>
        <v>236972.16</v>
      </c>
      <c r="AT13" s="253">
        <f t="shared" ref="AT13" si="38">AA13+AD13+AG13+AJ13</f>
        <v>0</v>
      </c>
      <c r="AU13" s="899">
        <f t="shared" ref="AU13" si="39">AS13-AT13</f>
        <v>236972.16</v>
      </c>
      <c r="AV13" s="900">
        <f t="shared" ref="AV13" si="40">L13-AS13</f>
        <v>-236972.16</v>
      </c>
      <c r="AW13" s="898"/>
      <c r="AX13" s="253"/>
      <c r="AY13" s="253">
        <v>236972.16</v>
      </c>
      <c r="AZ13" s="253"/>
      <c r="BA13" s="253"/>
      <c r="BB13" s="901"/>
      <c r="BC13" s="898"/>
      <c r="BD13" s="253"/>
      <c r="BE13" s="253"/>
      <c r="BF13" s="253"/>
      <c r="BG13" s="253"/>
      <c r="BH13" s="901"/>
      <c r="BI13" s="898"/>
      <c r="BJ13" s="253"/>
      <c r="BK13" s="253"/>
      <c r="BL13" s="253"/>
      <c r="BM13" s="253"/>
      <c r="BN13" s="901"/>
      <c r="BO13" s="898"/>
      <c r="BP13" s="253"/>
      <c r="BQ13" s="253"/>
      <c r="BR13" s="253"/>
      <c r="BS13" s="253"/>
      <c r="BT13" s="899"/>
      <c r="BU13" s="897">
        <v>0.01</v>
      </c>
      <c r="BV13" s="897" t="s">
        <v>197</v>
      </c>
    </row>
    <row r="14" spans="1:74" s="358" customFormat="1" ht="31.5">
      <c r="A14" s="287">
        <v>4</v>
      </c>
      <c r="B14" s="933"/>
      <c r="C14" s="837"/>
      <c r="D14" s="838"/>
      <c r="E14" s="836" t="s">
        <v>201</v>
      </c>
      <c r="F14" s="820" t="s">
        <v>7</v>
      </c>
      <c r="G14" s="360">
        <v>4</v>
      </c>
      <c r="H14" s="360" t="s">
        <v>226</v>
      </c>
      <c r="I14" s="360">
        <v>119</v>
      </c>
      <c r="J14" s="361">
        <v>213</v>
      </c>
      <c r="K14" s="532" t="s">
        <v>10</v>
      </c>
      <c r="L14" s="544">
        <f>6926770.57</f>
        <v>6926770.5700000003</v>
      </c>
      <c r="M14" s="363"/>
      <c r="N14" s="363">
        <f>-N15-250000</f>
        <v>-321565.58</v>
      </c>
      <c r="O14" s="363">
        <f t="shared" ref="O14:O75" si="41">L14+N14</f>
        <v>6605204.9900000002</v>
      </c>
      <c r="P14" s="557">
        <f>12475243.59-L14-L166</f>
        <v>4060238.43</v>
      </c>
      <c r="Q14" s="544">
        <v>7276356.8899999997</v>
      </c>
      <c r="R14" s="557"/>
      <c r="S14" s="544">
        <v>7185672.04</v>
      </c>
      <c r="T14" s="557"/>
      <c r="U14" s="365"/>
      <c r="V14" s="366"/>
      <c r="W14" s="366"/>
      <c r="X14" s="366"/>
      <c r="Z14" s="367">
        <f t="shared" si="5"/>
        <v>1007488.83</v>
      </c>
      <c r="AA14" s="363">
        <f t="shared" si="5"/>
        <v>0</v>
      </c>
      <c r="AB14" s="280">
        <f t="shared" si="6"/>
        <v>1007488.83</v>
      </c>
      <c r="AC14" s="367">
        <f t="shared" si="7"/>
        <v>3035100</v>
      </c>
      <c r="AD14" s="363">
        <f t="shared" si="7"/>
        <v>0</v>
      </c>
      <c r="AE14" s="280">
        <f t="shared" si="8"/>
        <v>3035100</v>
      </c>
      <c r="AF14" s="367">
        <f t="shared" si="9"/>
        <v>2741050.57</v>
      </c>
      <c r="AG14" s="363">
        <f t="shared" si="9"/>
        <v>0</v>
      </c>
      <c r="AH14" s="280">
        <f t="shared" si="10"/>
        <v>2741050.57</v>
      </c>
      <c r="AI14" s="367">
        <f t="shared" si="11"/>
        <v>0</v>
      </c>
      <c r="AJ14" s="363">
        <f t="shared" si="11"/>
        <v>0</v>
      </c>
      <c r="AK14" s="280">
        <f t="shared" si="12"/>
        <v>0</v>
      </c>
      <c r="AL14" s="368"/>
      <c r="AM14" s="367">
        <f t="shared" si="13"/>
        <v>4042588.83</v>
      </c>
      <c r="AN14" s="363">
        <f t="shared" si="13"/>
        <v>0</v>
      </c>
      <c r="AO14" s="280">
        <f t="shared" si="14"/>
        <v>4042588.83</v>
      </c>
      <c r="AP14" s="367">
        <f t="shared" si="15"/>
        <v>6783639.4000000004</v>
      </c>
      <c r="AQ14" s="363">
        <f t="shared" si="15"/>
        <v>0</v>
      </c>
      <c r="AR14" s="280">
        <f t="shared" si="16"/>
        <v>6783639.4000000004</v>
      </c>
      <c r="AS14" s="367">
        <f t="shared" ref="AS14:AT69" si="42">Z14+AC14+AF14+AI14</f>
        <v>6783639.4000000004</v>
      </c>
      <c r="AT14" s="363">
        <f t="shared" si="17"/>
        <v>0</v>
      </c>
      <c r="AU14" s="280">
        <f t="shared" si="18"/>
        <v>6783639.4000000004</v>
      </c>
      <c r="AV14" s="588">
        <f t="shared" si="19"/>
        <v>143131.17000000001</v>
      </c>
      <c r="AW14" s="367">
        <v>0</v>
      </c>
      <c r="AX14" s="363"/>
      <c r="AY14" s="363">
        <f>AW12*30.2%-AY15</f>
        <v>348214.42</v>
      </c>
      <c r="AZ14" s="363"/>
      <c r="BA14" s="363">
        <f>AY12*30.2%</f>
        <v>659274.41</v>
      </c>
      <c r="BB14" s="369"/>
      <c r="BC14" s="367">
        <f>BA12*30.2%</f>
        <v>1573420</v>
      </c>
      <c r="BD14" s="363"/>
      <c r="BE14" s="363">
        <f>BC12*30.2%</f>
        <v>730840</v>
      </c>
      <c r="BF14" s="363"/>
      <c r="BG14" s="363">
        <f>BE12*30.2%</f>
        <v>730840</v>
      </c>
      <c r="BH14" s="369"/>
      <c r="BI14" s="367">
        <f>BG12*30.2%</f>
        <v>2657600</v>
      </c>
      <c r="BJ14" s="363"/>
      <c r="BK14" s="363">
        <f>BI12*30.2%</f>
        <v>188054.11</v>
      </c>
      <c r="BL14" s="363"/>
      <c r="BM14" s="363">
        <f>BK12*30.2%-68794.05-35809.49</f>
        <v>-104603.54</v>
      </c>
      <c r="BN14" s="369"/>
      <c r="BO14" s="367"/>
      <c r="BP14" s="363"/>
      <c r="BQ14" s="363">
        <f>BO12*30.2%</f>
        <v>0</v>
      </c>
      <c r="BR14" s="363"/>
      <c r="BS14" s="363">
        <f>BQ12*30.2%</f>
        <v>0</v>
      </c>
      <c r="BT14" s="280"/>
      <c r="BV14" s="358" t="s">
        <v>197</v>
      </c>
    </row>
    <row r="15" spans="1:74" s="881" customFormat="1" ht="31.5">
      <c r="A15" s="287">
        <v>5</v>
      </c>
      <c r="B15" s="938"/>
      <c r="C15" s="869"/>
      <c r="D15" s="870"/>
      <c r="E15" s="871" t="s">
        <v>201</v>
      </c>
      <c r="F15" s="872" t="s">
        <v>7</v>
      </c>
      <c r="G15" s="873">
        <v>4</v>
      </c>
      <c r="H15" s="873" t="s">
        <v>489</v>
      </c>
      <c r="I15" s="873">
        <v>119</v>
      </c>
      <c r="J15" s="874">
        <v>213</v>
      </c>
      <c r="K15" s="875" t="s">
        <v>10</v>
      </c>
      <c r="L15" s="876">
        <v>0</v>
      </c>
      <c r="M15" s="877"/>
      <c r="N15" s="877">
        <v>71565.58</v>
      </c>
      <c r="O15" s="877">
        <f>L15+N15</f>
        <v>71565.58</v>
      </c>
      <c r="P15" s="878"/>
      <c r="Q15" s="876">
        <v>0</v>
      </c>
      <c r="R15" s="878"/>
      <c r="S15" s="876">
        <v>0</v>
      </c>
      <c r="T15" s="878"/>
      <c r="U15" s="879"/>
      <c r="V15" s="880"/>
      <c r="W15" s="880"/>
      <c r="X15" s="880"/>
      <c r="Z15" s="882">
        <f t="shared" ref="Z15" si="43">AW15+AY15+BA15</f>
        <v>71565.58</v>
      </c>
      <c r="AA15" s="877">
        <f t="shared" ref="AA15" si="44">AX15+AZ15+BB15</f>
        <v>71565.58</v>
      </c>
      <c r="AB15" s="883">
        <f t="shared" ref="AB15" si="45">Z15-AA15</f>
        <v>0</v>
      </c>
      <c r="AC15" s="882">
        <f t="shared" ref="AC15" si="46">BC15+BE15+BG15</f>
        <v>0</v>
      </c>
      <c r="AD15" s="877">
        <f t="shared" ref="AD15" si="47">BD15+BF15+BH15</f>
        <v>0</v>
      </c>
      <c r="AE15" s="883">
        <f t="shared" ref="AE15" si="48">AC15-AD15</f>
        <v>0</v>
      </c>
      <c r="AF15" s="882">
        <f t="shared" ref="AF15" si="49">BI15+BK15+BM15</f>
        <v>0</v>
      </c>
      <c r="AG15" s="877">
        <f t="shared" ref="AG15" si="50">BJ15+BL15+BN15</f>
        <v>0</v>
      </c>
      <c r="AH15" s="883">
        <f t="shared" ref="AH15" si="51">AF15-AG15</f>
        <v>0</v>
      </c>
      <c r="AI15" s="882">
        <f t="shared" ref="AI15" si="52">BO15+BQ15+BS15</f>
        <v>0</v>
      </c>
      <c r="AJ15" s="877">
        <f t="shared" ref="AJ15" si="53">BP15+BR15+BT15</f>
        <v>0</v>
      </c>
      <c r="AK15" s="883">
        <f t="shared" ref="AK15" si="54">AI15-AJ15</f>
        <v>0</v>
      </c>
      <c r="AL15" s="884"/>
      <c r="AM15" s="882">
        <f t="shared" ref="AM15" si="55">Z15+AC15</f>
        <v>71565.58</v>
      </c>
      <c r="AN15" s="877">
        <f t="shared" ref="AN15" si="56">AA15+AD15</f>
        <v>71565.58</v>
      </c>
      <c r="AO15" s="883">
        <f t="shared" ref="AO15" si="57">AM15-AN15</f>
        <v>0</v>
      </c>
      <c r="AP15" s="882">
        <f t="shared" ref="AP15" si="58">Z15+AC15+AF15</f>
        <v>71565.58</v>
      </c>
      <c r="AQ15" s="877">
        <f t="shared" ref="AQ15" si="59">AA15+AD15+AG15</f>
        <v>71565.58</v>
      </c>
      <c r="AR15" s="883">
        <f t="shared" ref="AR15" si="60">AP15-AQ15</f>
        <v>0</v>
      </c>
      <c r="AS15" s="882">
        <f t="shared" ref="AS15" si="61">Z15+AC15+AF15+AI15</f>
        <v>71565.58</v>
      </c>
      <c r="AT15" s="877">
        <f t="shared" ref="AT15" si="62">AA15+AD15+AG15+AJ15</f>
        <v>71565.58</v>
      </c>
      <c r="AU15" s="883">
        <f t="shared" ref="AU15" si="63">AS15-AT15</f>
        <v>0</v>
      </c>
      <c r="AV15" s="885">
        <f t="shared" ref="AV15" si="64">L15-AS15</f>
        <v>-71565.58</v>
      </c>
      <c r="AW15" s="882"/>
      <c r="AX15" s="877"/>
      <c r="AY15" s="877">
        <v>71565.58</v>
      </c>
      <c r="AZ15" s="877">
        <v>71565.58</v>
      </c>
      <c r="BA15" s="877"/>
      <c r="BB15" s="886"/>
      <c r="BC15" s="882"/>
      <c r="BD15" s="877"/>
      <c r="BE15" s="877"/>
      <c r="BF15" s="877"/>
      <c r="BG15" s="877"/>
      <c r="BH15" s="886"/>
      <c r="BI15" s="882"/>
      <c r="BJ15" s="877"/>
      <c r="BK15" s="877"/>
      <c r="BL15" s="877"/>
      <c r="BM15" s="877"/>
      <c r="BN15" s="886"/>
      <c r="BO15" s="882"/>
      <c r="BP15" s="877"/>
      <c r="BQ15" s="877"/>
      <c r="BR15" s="877"/>
      <c r="BS15" s="877"/>
      <c r="BT15" s="883"/>
      <c r="BV15" s="881" t="s">
        <v>197</v>
      </c>
    </row>
    <row r="16" spans="1:74" s="358" customFormat="1" ht="31.5">
      <c r="A16" s="287">
        <v>6</v>
      </c>
      <c r="B16" s="933"/>
      <c r="C16" s="837"/>
      <c r="D16" s="838"/>
      <c r="E16" s="836" t="s">
        <v>201</v>
      </c>
      <c r="F16" s="820" t="s">
        <v>135</v>
      </c>
      <c r="G16" s="360">
        <v>4</v>
      </c>
      <c r="H16" s="360" t="s">
        <v>226</v>
      </c>
      <c r="I16" s="360">
        <v>119</v>
      </c>
      <c r="J16" s="361">
        <v>213</v>
      </c>
      <c r="K16" s="532" t="s">
        <v>221</v>
      </c>
      <c r="L16" s="367"/>
      <c r="M16" s="363"/>
      <c r="N16" s="363"/>
      <c r="O16" s="363">
        <f t="shared" si="41"/>
        <v>0</v>
      </c>
      <c r="P16" s="557"/>
      <c r="Q16" s="367"/>
      <c r="R16" s="557"/>
      <c r="S16" s="367"/>
      <c r="T16" s="557"/>
      <c r="U16" s="365"/>
      <c r="V16" s="366"/>
      <c r="W16" s="366"/>
      <c r="X16" s="366"/>
      <c r="Z16" s="367">
        <f t="shared" si="5"/>
        <v>0</v>
      </c>
      <c r="AA16" s="363">
        <f t="shared" si="5"/>
        <v>0</v>
      </c>
      <c r="AB16" s="280">
        <f t="shared" si="6"/>
        <v>0</v>
      </c>
      <c r="AC16" s="367">
        <f t="shared" si="7"/>
        <v>0</v>
      </c>
      <c r="AD16" s="363">
        <f t="shared" si="7"/>
        <v>0</v>
      </c>
      <c r="AE16" s="280">
        <f t="shared" si="8"/>
        <v>0</v>
      </c>
      <c r="AF16" s="367">
        <f t="shared" si="9"/>
        <v>0</v>
      </c>
      <c r="AG16" s="363">
        <f t="shared" si="9"/>
        <v>0</v>
      </c>
      <c r="AH16" s="280">
        <f t="shared" si="10"/>
        <v>0</v>
      </c>
      <c r="AI16" s="367">
        <f t="shared" si="11"/>
        <v>0</v>
      </c>
      <c r="AJ16" s="363">
        <f t="shared" si="11"/>
        <v>0</v>
      </c>
      <c r="AK16" s="280">
        <f t="shared" si="12"/>
        <v>0</v>
      </c>
      <c r="AL16" s="368"/>
      <c r="AM16" s="367">
        <f t="shared" si="13"/>
        <v>0</v>
      </c>
      <c r="AN16" s="363">
        <f t="shared" si="13"/>
        <v>0</v>
      </c>
      <c r="AO16" s="280">
        <f t="shared" si="14"/>
        <v>0</v>
      </c>
      <c r="AP16" s="367">
        <f t="shared" si="15"/>
        <v>0</v>
      </c>
      <c r="AQ16" s="363">
        <f t="shared" si="15"/>
        <v>0</v>
      </c>
      <c r="AR16" s="280">
        <f t="shared" si="16"/>
        <v>0</v>
      </c>
      <c r="AS16" s="367">
        <f t="shared" si="42"/>
        <v>0</v>
      </c>
      <c r="AT16" s="363">
        <f t="shared" si="17"/>
        <v>0</v>
      </c>
      <c r="AU16" s="280">
        <f t="shared" si="18"/>
        <v>0</v>
      </c>
      <c r="AV16" s="588">
        <f t="shared" si="19"/>
        <v>0</v>
      </c>
      <c r="AW16" s="367"/>
      <c r="AX16" s="363"/>
      <c r="AY16" s="363"/>
      <c r="AZ16" s="363"/>
      <c r="BA16" s="363"/>
      <c r="BB16" s="369"/>
      <c r="BC16" s="367"/>
      <c r="BD16" s="363"/>
      <c r="BE16" s="363"/>
      <c r="BF16" s="363"/>
      <c r="BG16" s="363"/>
      <c r="BH16" s="369"/>
      <c r="BI16" s="367"/>
      <c r="BJ16" s="363"/>
      <c r="BK16" s="363"/>
      <c r="BL16" s="363"/>
      <c r="BM16" s="363"/>
      <c r="BN16" s="369"/>
      <c r="BO16" s="367"/>
      <c r="BP16" s="363"/>
      <c r="BQ16" s="363"/>
      <c r="BR16" s="363"/>
      <c r="BS16" s="363"/>
      <c r="BT16" s="280"/>
    </row>
    <row r="17" spans="1:72" s="378" customFormat="1" ht="111" customHeight="1">
      <c r="A17" s="287">
        <v>7</v>
      </c>
      <c r="B17" s="933"/>
      <c r="C17" s="850" t="s">
        <v>377</v>
      </c>
      <c r="D17" s="851"/>
      <c r="E17" s="852" t="s">
        <v>201</v>
      </c>
      <c r="F17" s="824" t="s">
        <v>7</v>
      </c>
      <c r="G17" s="376">
        <v>4</v>
      </c>
      <c r="H17" s="376" t="s">
        <v>71</v>
      </c>
      <c r="I17" s="376">
        <v>111</v>
      </c>
      <c r="J17" s="377">
        <v>211</v>
      </c>
      <c r="K17" s="531" t="s">
        <v>513</v>
      </c>
      <c r="L17" s="382">
        <f>SUM(L18:L21)</f>
        <v>101000</v>
      </c>
      <c r="M17" s="247"/>
      <c r="N17" s="247">
        <f>SUM(N18:N21)</f>
        <v>-6000</v>
      </c>
      <c r="O17" s="247">
        <f t="shared" si="41"/>
        <v>95000</v>
      </c>
      <c r="P17" s="558"/>
      <c r="Q17" s="382">
        <f>SUM(Q18:Q21)</f>
        <v>115000</v>
      </c>
      <c r="R17" s="558"/>
      <c r="S17" s="382">
        <f t="shared" ref="S17" si="65">SUM(S18:S21)</f>
        <v>87000</v>
      </c>
      <c r="T17" s="558"/>
      <c r="U17" s="380"/>
      <c r="V17" s="381"/>
      <c r="W17" s="381"/>
      <c r="X17" s="381"/>
      <c r="Z17" s="382">
        <f t="shared" si="5"/>
        <v>19000</v>
      </c>
      <c r="AA17" s="247">
        <f t="shared" si="5"/>
        <v>0</v>
      </c>
      <c r="AB17" s="383">
        <f t="shared" si="6"/>
        <v>19000</v>
      </c>
      <c r="AC17" s="382">
        <f t="shared" si="7"/>
        <v>27000</v>
      </c>
      <c r="AD17" s="247">
        <f t="shared" si="7"/>
        <v>0</v>
      </c>
      <c r="AE17" s="383">
        <f t="shared" si="8"/>
        <v>27000</v>
      </c>
      <c r="AF17" s="382">
        <f t="shared" si="9"/>
        <v>12000</v>
      </c>
      <c r="AG17" s="247">
        <f t="shared" si="9"/>
        <v>0</v>
      </c>
      <c r="AH17" s="383">
        <f t="shared" si="10"/>
        <v>12000</v>
      </c>
      <c r="AI17" s="382">
        <f t="shared" si="11"/>
        <v>37000</v>
      </c>
      <c r="AJ17" s="247">
        <f t="shared" si="11"/>
        <v>0</v>
      </c>
      <c r="AK17" s="383">
        <f t="shared" si="12"/>
        <v>37000</v>
      </c>
      <c r="AL17" s="250"/>
      <c r="AM17" s="382">
        <f t="shared" si="13"/>
        <v>46000</v>
      </c>
      <c r="AN17" s="247">
        <f t="shared" si="13"/>
        <v>0</v>
      </c>
      <c r="AO17" s="383">
        <f t="shared" si="14"/>
        <v>46000</v>
      </c>
      <c r="AP17" s="382">
        <f t="shared" si="15"/>
        <v>58000</v>
      </c>
      <c r="AQ17" s="247">
        <f t="shared" si="15"/>
        <v>0</v>
      </c>
      <c r="AR17" s="383">
        <f t="shared" si="16"/>
        <v>58000</v>
      </c>
      <c r="AS17" s="382">
        <f t="shared" si="42"/>
        <v>95000</v>
      </c>
      <c r="AT17" s="247">
        <f t="shared" si="17"/>
        <v>0</v>
      </c>
      <c r="AU17" s="383">
        <f t="shared" si="18"/>
        <v>95000</v>
      </c>
      <c r="AV17" s="599">
        <f t="shared" si="19"/>
        <v>6000</v>
      </c>
      <c r="AW17" s="382">
        <f t="shared" ref="AW17:BT17" si="66">SUM(AW18:AW21)</f>
        <v>9000</v>
      </c>
      <c r="AX17" s="247">
        <f t="shared" si="66"/>
        <v>0</v>
      </c>
      <c r="AY17" s="247">
        <f t="shared" si="66"/>
        <v>0</v>
      </c>
      <c r="AZ17" s="247">
        <f t="shared" si="66"/>
        <v>0</v>
      </c>
      <c r="BA17" s="247">
        <f t="shared" si="66"/>
        <v>10000</v>
      </c>
      <c r="BB17" s="384">
        <f t="shared" si="66"/>
        <v>0</v>
      </c>
      <c r="BC17" s="382">
        <f t="shared" si="66"/>
        <v>7000</v>
      </c>
      <c r="BD17" s="247">
        <f t="shared" si="66"/>
        <v>0</v>
      </c>
      <c r="BE17" s="247">
        <f t="shared" si="66"/>
        <v>20000</v>
      </c>
      <c r="BF17" s="247">
        <f t="shared" si="66"/>
        <v>0</v>
      </c>
      <c r="BG17" s="247">
        <f t="shared" si="66"/>
        <v>0</v>
      </c>
      <c r="BH17" s="384">
        <f t="shared" si="66"/>
        <v>0</v>
      </c>
      <c r="BI17" s="382">
        <f t="shared" si="66"/>
        <v>7000</v>
      </c>
      <c r="BJ17" s="247">
        <f t="shared" si="66"/>
        <v>0</v>
      </c>
      <c r="BK17" s="247">
        <f t="shared" si="66"/>
        <v>5000</v>
      </c>
      <c r="BL17" s="247">
        <f t="shared" si="66"/>
        <v>0</v>
      </c>
      <c r="BM17" s="247">
        <f t="shared" si="66"/>
        <v>0</v>
      </c>
      <c r="BN17" s="384">
        <f t="shared" si="66"/>
        <v>0</v>
      </c>
      <c r="BO17" s="382">
        <f t="shared" si="66"/>
        <v>17000</v>
      </c>
      <c r="BP17" s="247">
        <f t="shared" si="66"/>
        <v>0</v>
      </c>
      <c r="BQ17" s="247">
        <f t="shared" si="66"/>
        <v>20000</v>
      </c>
      <c r="BR17" s="247">
        <f t="shared" si="66"/>
        <v>0</v>
      </c>
      <c r="BS17" s="247">
        <f t="shared" si="66"/>
        <v>0</v>
      </c>
      <c r="BT17" s="383">
        <f t="shared" si="66"/>
        <v>0</v>
      </c>
    </row>
    <row r="18" spans="1:72" s="313" customFormat="1" ht="25.5" outlineLevel="1">
      <c r="A18" s="287">
        <v>8</v>
      </c>
      <c r="B18" s="933"/>
      <c r="C18" s="840"/>
      <c r="D18" s="841"/>
      <c r="E18" s="839"/>
      <c r="F18" s="821" t="s">
        <v>7</v>
      </c>
      <c r="G18" s="314">
        <v>4</v>
      </c>
      <c r="H18" s="739" t="s">
        <v>71</v>
      </c>
      <c r="I18" s="739">
        <v>111</v>
      </c>
      <c r="J18" s="740">
        <v>211</v>
      </c>
      <c r="K18" s="533" t="s">
        <v>316</v>
      </c>
      <c r="L18" s="341">
        <v>10000</v>
      </c>
      <c r="M18" s="318"/>
      <c r="N18" s="318"/>
      <c r="O18" s="318">
        <f t="shared" si="41"/>
        <v>10000</v>
      </c>
      <c r="P18" s="559"/>
      <c r="Q18" s="341">
        <f>10000*3</f>
        <v>30000</v>
      </c>
      <c r="R18" s="559"/>
      <c r="S18" s="341">
        <v>10000</v>
      </c>
      <c r="T18" s="559"/>
      <c r="U18" s="335"/>
      <c r="V18" s="320"/>
      <c r="W18" s="320"/>
      <c r="X18" s="320"/>
      <c r="Z18" s="336">
        <f t="shared" si="5"/>
        <v>10000</v>
      </c>
      <c r="AA18" s="337">
        <f t="shared" si="5"/>
        <v>0</v>
      </c>
      <c r="AB18" s="338">
        <f t="shared" si="6"/>
        <v>10000</v>
      </c>
      <c r="AC18" s="336">
        <f t="shared" si="7"/>
        <v>0</v>
      </c>
      <c r="AD18" s="337">
        <f t="shared" si="7"/>
        <v>0</v>
      </c>
      <c r="AE18" s="338">
        <f t="shared" si="8"/>
        <v>0</v>
      </c>
      <c r="AF18" s="336">
        <f t="shared" si="9"/>
        <v>0</v>
      </c>
      <c r="AG18" s="337">
        <f t="shared" si="9"/>
        <v>0</v>
      </c>
      <c r="AH18" s="338">
        <f t="shared" si="10"/>
        <v>0</v>
      </c>
      <c r="AI18" s="336">
        <f t="shared" si="11"/>
        <v>0</v>
      </c>
      <c r="AJ18" s="337">
        <f t="shared" si="11"/>
        <v>0</v>
      </c>
      <c r="AK18" s="338">
        <f t="shared" si="12"/>
        <v>0</v>
      </c>
      <c r="AL18" s="342"/>
      <c r="AM18" s="336">
        <f t="shared" si="13"/>
        <v>10000</v>
      </c>
      <c r="AN18" s="339">
        <f t="shared" si="13"/>
        <v>0</v>
      </c>
      <c r="AO18" s="340">
        <f t="shared" si="14"/>
        <v>10000</v>
      </c>
      <c r="AP18" s="336">
        <f t="shared" si="15"/>
        <v>10000</v>
      </c>
      <c r="AQ18" s="339">
        <f t="shared" si="15"/>
        <v>0</v>
      </c>
      <c r="AR18" s="340">
        <f t="shared" si="16"/>
        <v>10000</v>
      </c>
      <c r="AS18" s="341">
        <f t="shared" si="42"/>
        <v>10000</v>
      </c>
      <c r="AT18" s="339">
        <f t="shared" si="17"/>
        <v>0</v>
      </c>
      <c r="AU18" s="340">
        <f t="shared" si="18"/>
        <v>10000</v>
      </c>
      <c r="AV18" s="589">
        <f t="shared" si="19"/>
        <v>0</v>
      </c>
      <c r="AW18" s="343"/>
      <c r="AX18" s="344"/>
      <c r="AY18" s="345"/>
      <c r="AZ18" s="344"/>
      <c r="BA18" s="345">
        <v>10000</v>
      </c>
      <c r="BB18" s="346"/>
      <c r="BC18" s="347"/>
      <c r="BD18" s="348"/>
      <c r="BE18" s="349"/>
      <c r="BF18" s="348"/>
      <c r="BG18" s="349"/>
      <c r="BH18" s="350"/>
      <c r="BI18" s="351"/>
      <c r="BJ18" s="352"/>
      <c r="BK18" s="337"/>
      <c r="BL18" s="352"/>
      <c r="BM18" s="337"/>
      <c r="BN18" s="353"/>
      <c r="BO18" s="354"/>
      <c r="BP18" s="355"/>
      <c r="BQ18" s="356"/>
      <c r="BR18" s="355"/>
      <c r="BS18" s="356"/>
      <c r="BT18" s="357"/>
    </row>
    <row r="19" spans="1:72" s="313" customFormat="1" ht="25.5" outlineLevel="1">
      <c r="A19" s="287">
        <v>9</v>
      </c>
      <c r="B19" s="933"/>
      <c r="C19" s="840"/>
      <c r="D19" s="841"/>
      <c r="E19" s="839"/>
      <c r="F19" s="821" t="s">
        <v>7</v>
      </c>
      <c r="G19" s="314">
        <v>4</v>
      </c>
      <c r="H19" s="739" t="s">
        <v>71</v>
      </c>
      <c r="I19" s="739">
        <v>111</v>
      </c>
      <c r="J19" s="740">
        <v>211</v>
      </c>
      <c r="K19" s="533" t="s">
        <v>317</v>
      </c>
      <c r="L19" s="341">
        <f>20000*2</f>
        <v>40000</v>
      </c>
      <c r="M19" s="318"/>
      <c r="N19" s="318"/>
      <c r="O19" s="318">
        <f t="shared" si="41"/>
        <v>40000</v>
      </c>
      <c r="P19" s="559"/>
      <c r="Q19" s="341">
        <f>20000*2</f>
        <v>40000</v>
      </c>
      <c r="R19" s="559"/>
      <c r="S19" s="341">
        <f>20000*2</f>
        <v>40000</v>
      </c>
      <c r="T19" s="559"/>
      <c r="U19" s="335"/>
      <c r="V19" s="320"/>
      <c r="W19" s="320"/>
      <c r="X19" s="320"/>
      <c r="Z19" s="336">
        <f t="shared" si="5"/>
        <v>0</v>
      </c>
      <c r="AA19" s="337">
        <f t="shared" si="5"/>
        <v>0</v>
      </c>
      <c r="AB19" s="338">
        <f t="shared" si="6"/>
        <v>0</v>
      </c>
      <c r="AC19" s="336">
        <f t="shared" si="7"/>
        <v>20000</v>
      </c>
      <c r="AD19" s="337">
        <f t="shared" si="7"/>
        <v>0</v>
      </c>
      <c r="AE19" s="338">
        <f t="shared" si="8"/>
        <v>20000</v>
      </c>
      <c r="AF19" s="336">
        <f t="shared" si="9"/>
        <v>0</v>
      </c>
      <c r="AG19" s="337">
        <f t="shared" si="9"/>
        <v>0</v>
      </c>
      <c r="AH19" s="338">
        <f t="shared" si="10"/>
        <v>0</v>
      </c>
      <c r="AI19" s="336">
        <f t="shared" si="11"/>
        <v>20000</v>
      </c>
      <c r="AJ19" s="337">
        <f t="shared" si="11"/>
        <v>0</v>
      </c>
      <c r="AK19" s="338">
        <f t="shared" si="12"/>
        <v>20000</v>
      </c>
      <c r="AL19" s="342"/>
      <c r="AM19" s="336">
        <f t="shared" si="13"/>
        <v>20000</v>
      </c>
      <c r="AN19" s="339">
        <f t="shared" si="13"/>
        <v>0</v>
      </c>
      <c r="AO19" s="340">
        <f t="shared" si="14"/>
        <v>20000</v>
      </c>
      <c r="AP19" s="336">
        <f t="shared" si="15"/>
        <v>20000</v>
      </c>
      <c r="AQ19" s="339">
        <f t="shared" si="15"/>
        <v>0</v>
      </c>
      <c r="AR19" s="340">
        <f t="shared" si="16"/>
        <v>20000</v>
      </c>
      <c r="AS19" s="341">
        <f t="shared" si="42"/>
        <v>40000</v>
      </c>
      <c r="AT19" s="339">
        <f t="shared" si="17"/>
        <v>0</v>
      </c>
      <c r="AU19" s="340">
        <f t="shared" si="18"/>
        <v>40000</v>
      </c>
      <c r="AV19" s="589">
        <f t="shared" si="19"/>
        <v>0</v>
      </c>
      <c r="AW19" s="343"/>
      <c r="AX19" s="344"/>
      <c r="AY19" s="345"/>
      <c r="AZ19" s="344"/>
      <c r="BA19" s="345"/>
      <c r="BB19" s="346"/>
      <c r="BC19" s="347"/>
      <c r="BD19" s="348"/>
      <c r="BE19" s="349">
        <v>20000</v>
      </c>
      <c r="BF19" s="348"/>
      <c r="BG19" s="349"/>
      <c r="BH19" s="350"/>
      <c r="BI19" s="351"/>
      <c r="BJ19" s="352"/>
      <c r="BK19" s="337"/>
      <c r="BL19" s="352"/>
      <c r="BM19" s="337"/>
      <c r="BN19" s="353"/>
      <c r="BO19" s="354"/>
      <c r="BP19" s="355"/>
      <c r="BQ19" s="356">
        <v>20000</v>
      </c>
      <c r="BR19" s="355"/>
      <c r="BS19" s="356"/>
      <c r="BT19" s="357"/>
    </row>
    <row r="20" spans="1:72" s="313" customFormat="1" ht="25.5" outlineLevel="1">
      <c r="A20" s="287">
        <v>10</v>
      </c>
      <c r="B20" s="933"/>
      <c r="C20" s="840"/>
      <c r="D20" s="841"/>
      <c r="E20" s="839"/>
      <c r="F20" s="821" t="s">
        <v>7</v>
      </c>
      <c r="G20" s="314">
        <v>4</v>
      </c>
      <c r="H20" s="739" t="s">
        <v>71</v>
      </c>
      <c r="I20" s="739">
        <v>111</v>
      </c>
      <c r="J20" s="740">
        <v>211</v>
      </c>
      <c r="K20" s="533" t="s">
        <v>318</v>
      </c>
      <c r="L20" s="341">
        <f>5000*3</f>
        <v>15000</v>
      </c>
      <c r="M20" s="318"/>
      <c r="N20" s="318"/>
      <c r="O20" s="318">
        <f t="shared" si="41"/>
        <v>15000</v>
      </c>
      <c r="P20" s="559"/>
      <c r="Q20" s="341">
        <f>5000*3</f>
        <v>15000</v>
      </c>
      <c r="R20" s="559"/>
      <c r="S20" s="341">
        <f>5000*3</f>
        <v>15000</v>
      </c>
      <c r="T20" s="559"/>
      <c r="U20" s="335"/>
      <c r="V20" s="320"/>
      <c r="W20" s="320"/>
      <c r="X20" s="320"/>
      <c r="Z20" s="336">
        <f t="shared" si="5"/>
        <v>0</v>
      </c>
      <c r="AA20" s="337">
        <f t="shared" si="5"/>
        <v>0</v>
      </c>
      <c r="AB20" s="338">
        <f t="shared" si="6"/>
        <v>0</v>
      </c>
      <c r="AC20" s="336">
        <f t="shared" si="7"/>
        <v>0</v>
      </c>
      <c r="AD20" s="337">
        <f t="shared" si="7"/>
        <v>0</v>
      </c>
      <c r="AE20" s="338">
        <f t="shared" si="8"/>
        <v>0</v>
      </c>
      <c r="AF20" s="336">
        <f t="shared" si="9"/>
        <v>5000</v>
      </c>
      <c r="AG20" s="337">
        <f t="shared" si="9"/>
        <v>0</v>
      </c>
      <c r="AH20" s="338">
        <f t="shared" si="10"/>
        <v>5000</v>
      </c>
      <c r="AI20" s="336">
        <f t="shared" si="11"/>
        <v>10000</v>
      </c>
      <c r="AJ20" s="337">
        <f t="shared" si="11"/>
        <v>0</v>
      </c>
      <c r="AK20" s="338">
        <f t="shared" si="12"/>
        <v>10000</v>
      </c>
      <c r="AL20" s="342"/>
      <c r="AM20" s="336">
        <f t="shared" si="13"/>
        <v>0</v>
      </c>
      <c r="AN20" s="339">
        <f t="shared" si="13"/>
        <v>0</v>
      </c>
      <c r="AO20" s="340">
        <f t="shared" si="14"/>
        <v>0</v>
      </c>
      <c r="AP20" s="336">
        <f t="shared" si="15"/>
        <v>5000</v>
      </c>
      <c r="AQ20" s="339">
        <f t="shared" si="15"/>
        <v>0</v>
      </c>
      <c r="AR20" s="340">
        <f t="shared" si="16"/>
        <v>5000</v>
      </c>
      <c r="AS20" s="341">
        <f t="shared" si="42"/>
        <v>15000</v>
      </c>
      <c r="AT20" s="339">
        <f t="shared" si="17"/>
        <v>0</v>
      </c>
      <c r="AU20" s="340">
        <f t="shared" si="18"/>
        <v>15000</v>
      </c>
      <c r="AV20" s="589">
        <f t="shared" si="19"/>
        <v>0</v>
      </c>
      <c r="AW20" s="343"/>
      <c r="AX20" s="344"/>
      <c r="AY20" s="345"/>
      <c r="AZ20" s="344"/>
      <c r="BA20" s="345"/>
      <c r="BB20" s="346"/>
      <c r="BC20" s="347"/>
      <c r="BD20" s="348"/>
      <c r="BE20" s="349"/>
      <c r="BF20" s="348"/>
      <c r="BG20" s="349"/>
      <c r="BH20" s="350"/>
      <c r="BI20" s="351"/>
      <c r="BJ20" s="352"/>
      <c r="BK20" s="337">
        <v>5000</v>
      </c>
      <c r="BL20" s="352"/>
      <c r="BM20" s="337"/>
      <c r="BN20" s="353"/>
      <c r="BO20" s="354">
        <v>10000</v>
      </c>
      <c r="BP20" s="355"/>
      <c r="BQ20" s="356"/>
      <c r="BR20" s="355"/>
      <c r="BS20" s="356"/>
      <c r="BT20" s="357"/>
    </row>
    <row r="21" spans="1:72" s="313" customFormat="1" ht="51" outlineLevel="1">
      <c r="A21" s="287">
        <v>11</v>
      </c>
      <c r="B21" s="936" t="s">
        <v>473</v>
      </c>
      <c r="C21" s="840"/>
      <c r="D21" s="841"/>
      <c r="E21" s="839"/>
      <c r="F21" s="821" t="s">
        <v>7</v>
      </c>
      <c r="G21" s="314">
        <v>4</v>
      </c>
      <c r="H21" s="739" t="s">
        <v>71</v>
      </c>
      <c r="I21" s="739">
        <v>111</v>
      </c>
      <c r="J21" s="740">
        <v>211</v>
      </c>
      <c r="K21" s="533" t="s">
        <v>322</v>
      </c>
      <c r="L21" s="341">
        <f>1000*9*4</f>
        <v>36000</v>
      </c>
      <c r="M21" s="318"/>
      <c r="N21" s="318">
        <v>-6000</v>
      </c>
      <c r="O21" s="318">
        <f t="shared" si="41"/>
        <v>30000</v>
      </c>
      <c r="P21" s="559"/>
      <c r="Q21" s="341">
        <f>1000*7*4+1000*1*2</f>
        <v>30000</v>
      </c>
      <c r="R21" s="559"/>
      <c r="S21" s="341">
        <f>1000*4*4+1000*2*3</f>
        <v>22000</v>
      </c>
      <c r="T21" s="559"/>
      <c r="U21" s="335"/>
      <c r="V21" s="320"/>
      <c r="W21" s="320"/>
      <c r="X21" s="320"/>
      <c r="Z21" s="336">
        <f t="shared" si="5"/>
        <v>9000</v>
      </c>
      <c r="AA21" s="337">
        <f t="shared" si="5"/>
        <v>0</v>
      </c>
      <c r="AB21" s="338">
        <f t="shared" si="6"/>
        <v>9000</v>
      </c>
      <c r="AC21" s="336">
        <f t="shared" si="7"/>
        <v>7000</v>
      </c>
      <c r="AD21" s="337">
        <f t="shared" si="7"/>
        <v>0</v>
      </c>
      <c r="AE21" s="338">
        <f t="shared" si="8"/>
        <v>7000</v>
      </c>
      <c r="AF21" s="336">
        <f t="shared" si="9"/>
        <v>7000</v>
      </c>
      <c r="AG21" s="337">
        <f t="shared" si="9"/>
        <v>0</v>
      </c>
      <c r="AH21" s="338">
        <f t="shared" si="10"/>
        <v>7000</v>
      </c>
      <c r="AI21" s="336">
        <f t="shared" si="11"/>
        <v>7000</v>
      </c>
      <c r="AJ21" s="337">
        <f t="shared" si="11"/>
        <v>0</v>
      </c>
      <c r="AK21" s="338">
        <f t="shared" si="12"/>
        <v>7000</v>
      </c>
      <c r="AL21" s="342"/>
      <c r="AM21" s="336">
        <f t="shared" si="13"/>
        <v>16000</v>
      </c>
      <c r="AN21" s="339">
        <f t="shared" si="13"/>
        <v>0</v>
      </c>
      <c r="AO21" s="340">
        <f t="shared" si="14"/>
        <v>16000</v>
      </c>
      <c r="AP21" s="336">
        <f t="shared" si="15"/>
        <v>23000</v>
      </c>
      <c r="AQ21" s="339">
        <f t="shared" si="15"/>
        <v>0</v>
      </c>
      <c r="AR21" s="340">
        <f t="shared" si="16"/>
        <v>23000</v>
      </c>
      <c r="AS21" s="341">
        <f t="shared" si="42"/>
        <v>30000</v>
      </c>
      <c r="AT21" s="339">
        <f t="shared" si="17"/>
        <v>0</v>
      </c>
      <c r="AU21" s="340">
        <f t="shared" si="18"/>
        <v>30000</v>
      </c>
      <c r="AV21" s="589">
        <f t="shared" si="19"/>
        <v>6000</v>
      </c>
      <c r="AW21" s="343">
        <v>9000</v>
      </c>
      <c r="AX21" s="344"/>
      <c r="AY21" s="345"/>
      <c r="AZ21" s="344"/>
      <c r="BA21" s="345"/>
      <c r="BB21" s="346"/>
      <c r="BC21" s="347">
        <f>9000-2000</f>
        <v>7000</v>
      </c>
      <c r="BD21" s="348"/>
      <c r="BE21" s="349"/>
      <c r="BF21" s="348"/>
      <c r="BG21" s="349"/>
      <c r="BH21" s="350"/>
      <c r="BI21" s="351">
        <f>9000-2000</f>
        <v>7000</v>
      </c>
      <c r="BJ21" s="352"/>
      <c r="BK21" s="337"/>
      <c r="BL21" s="352"/>
      <c r="BM21" s="337"/>
      <c r="BN21" s="353"/>
      <c r="BO21" s="354">
        <f>9000-2000</f>
        <v>7000</v>
      </c>
      <c r="BP21" s="355"/>
      <c r="BQ21" s="356"/>
      <c r="BR21" s="355"/>
      <c r="BS21" s="356"/>
      <c r="BT21" s="357"/>
    </row>
    <row r="22" spans="1:72" s="358" customFormat="1" ht="94.5">
      <c r="A22" s="287">
        <v>12</v>
      </c>
      <c r="B22" s="936"/>
      <c r="C22" s="837"/>
      <c r="D22" s="838"/>
      <c r="E22" s="836" t="s">
        <v>201</v>
      </c>
      <c r="F22" s="820" t="s">
        <v>7</v>
      </c>
      <c r="G22" s="360">
        <v>4</v>
      </c>
      <c r="H22" s="360" t="s">
        <v>71</v>
      </c>
      <c r="I22" s="360">
        <v>111</v>
      </c>
      <c r="J22" s="361">
        <v>266</v>
      </c>
      <c r="K22" s="532" t="s">
        <v>536</v>
      </c>
      <c r="L22" s="367">
        <f>SUM(L23:L25)</f>
        <v>46200</v>
      </c>
      <c r="M22" s="363"/>
      <c r="N22" s="363">
        <f>SUM(N23:N25)</f>
        <v>162570.48000000001</v>
      </c>
      <c r="O22" s="363">
        <f t="shared" ref="O22:O26" si="67">L22+N22</f>
        <v>208770.48</v>
      </c>
      <c r="P22" s="557"/>
      <c r="Q22" s="367">
        <f>SUM(Q23:Q25)</f>
        <v>174498.02</v>
      </c>
      <c r="R22" s="557"/>
      <c r="S22" s="367">
        <f>SUM(S23:S25)</f>
        <v>146516.96</v>
      </c>
      <c r="T22" s="557"/>
      <c r="U22" s="365"/>
      <c r="V22" s="366"/>
      <c r="W22" s="366"/>
      <c r="X22" s="366"/>
      <c r="Z22" s="367">
        <f t="shared" ref="Z22:Z26" si="68">AW22+AY22+BA22</f>
        <v>20000</v>
      </c>
      <c r="AA22" s="363">
        <f t="shared" ref="AA22:AA26" si="69">AX22+AZ22+BB22</f>
        <v>0</v>
      </c>
      <c r="AB22" s="280">
        <f t="shared" ref="AB22:AB26" si="70">Z22-AA22</f>
        <v>20000</v>
      </c>
      <c r="AC22" s="367">
        <f t="shared" ref="AC22:AC26" si="71">BC22+BE22+BG22</f>
        <v>12000</v>
      </c>
      <c r="AD22" s="363">
        <f t="shared" ref="AD22:AD26" si="72">BD22+BF22+BH22</f>
        <v>0</v>
      </c>
      <c r="AE22" s="280">
        <f t="shared" ref="AE22:AE26" si="73">AC22-AD22</f>
        <v>12000</v>
      </c>
      <c r="AF22" s="367">
        <f t="shared" ref="AF22:AF26" si="74">BI22+BK22+BM22</f>
        <v>168570.48</v>
      </c>
      <c r="AG22" s="363">
        <f t="shared" ref="AG22:AG26" si="75">BJ22+BL22+BN22</f>
        <v>0</v>
      </c>
      <c r="AH22" s="280">
        <f t="shared" ref="AH22:AH26" si="76">AF22-AG22</f>
        <v>168570.48</v>
      </c>
      <c r="AI22" s="367">
        <f t="shared" ref="AI22:AI26" si="77">BO22+BQ22+BS22</f>
        <v>8200</v>
      </c>
      <c r="AJ22" s="363">
        <f t="shared" ref="AJ22:AJ26" si="78">BP22+BR22+BT22</f>
        <v>0</v>
      </c>
      <c r="AK22" s="280">
        <f t="shared" ref="AK22:AK26" si="79">AI22-AJ22</f>
        <v>8200</v>
      </c>
      <c r="AL22" s="368"/>
      <c r="AM22" s="367">
        <f t="shared" ref="AM22:AM26" si="80">Z22+AC22</f>
        <v>32000</v>
      </c>
      <c r="AN22" s="363">
        <f t="shared" ref="AN22:AN26" si="81">AA22+AD22</f>
        <v>0</v>
      </c>
      <c r="AO22" s="280">
        <f t="shared" ref="AO22:AO26" si="82">AM22-AN22</f>
        <v>32000</v>
      </c>
      <c r="AP22" s="367">
        <f t="shared" ref="AP22:AP26" si="83">Z22+AC22+AF22</f>
        <v>200570.48</v>
      </c>
      <c r="AQ22" s="363">
        <f t="shared" ref="AQ22:AQ26" si="84">AA22+AD22+AG22</f>
        <v>0</v>
      </c>
      <c r="AR22" s="280">
        <f t="shared" ref="AR22:AR26" si="85">AP22-AQ22</f>
        <v>200570.48</v>
      </c>
      <c r="AS22" s="367">
        <f t="shared" ref="AS22:AS26" si="86">Z22+AC22+AF22+AI22</f>
        <v>208770.48</v>
      </c>
      <c r="AT22" s="363">
        <f t="shared" ref="AT22:AT26" si="87">AA22+AD22+AG22+AJ22</f>
        <v>0</v>
      </c>
      <c r="AU22" s="280">
        <f t="shared" ref="AU22:AU26" si="88">AS22-AT22</f>
        <v>208770.48</v>
      </c>
      <c r="AV22" s="588">
        <f t="shared" ref="AV22:AV26" si="89">L22-AS22</f>
        <v>-162570.48000000001</v>
      </c>
      <c r="AW22" s="367">
        <f t="shared" ref="AW22:BS22" si="90">SUM(AW23:AW25)</f>
        <v>0</v>
      </c>
      <c r="AX22" s="363">
        <f t="shared" si="90"/>
        <v>0</v>
      </c>
      <c r="AY22" s="363">
        <f t="shared" si="90"/>
        <v>20000</v>
      </c>
      <c r="AZ22" s="363">
        <f t="shared" si="90"/>
        <v>0</v>
      </c>
      <c r="BA22" s="363">
        <f t="shared" si="90"/>
        <v>0</v>
      </c>
      <c r="BB22" s="369">
        <f t="shared" si="90"/>
        <v>0</v>
      </c>
      <c r="BC22" s="367">
        <f t="shared" si="90"/>
        <v>2000</v>
      </c>
      <c r="BD22" s="363">
        <f t="shared" si="90"/>
        <v>0</v>
      </c>
      <c r="BE22" s="363">
        <f t="shared" si="90"/>
        <v>10000</v>
      </c>
      <c r="BF22" s="363">
        <f t="shared" si="90"/>
        <v>0</v>
      </c>
      <c r="BG22" s="363">
        <f t="shared" si="90"/>
        <v>0</v>
      </c>
      <c r="BH22" s="369">
        <f t="shared" si="90"/>
        <v>0</v>
      </c>
      <c r="BI22" s="367">
        <f t="shared" si="90"/>
        <v>2000</v>
      </c>
      <c r="BJ22" s="363">
        <f t="shared" si="90"/>
        <v>0</v>
      </c>
      <c r="BK22" s="363">
        <f t="shared" si="90"/>
        <v>132483.46</v>
      </c>
      <c r="BL22" s="363">
        <f t="shared" si="90"/>
        <v>0</v>
      </c>
      <c r="BM22" s="363">
        <f t="shared" si="90"/>
        <v>34087.019999999997</v>
      </c>
      <c r="BN22" s="369">
        <f t="shared" si="90"/>
        <v>0</v>
      </c>
      <c r="BO22" s="367">
        <f t="shared" si="90"/>
        <v>2000</v>
      </c>
      <c r="BP22" s="363">
        <f t="shared" si="90"/>
        <v>0</v>
      </c>
      <c r="BQ22" s="363">
        <f t="shared" si="90"/>
        <v>6200</v>
      </c>
      <c r="BR22" s="363">
        <f t="shared" si="90"/>
        <v>0</v>
      </c>
      <c r="BS22" s="363">
        <f t="shared" si="90"/>
        <v>0</v>
      </c>
      <c r="BT22" s="280"/>
    </row>
    <row r="23" spans="1:72" s="313" customFormat="1" ht="38.25">
      <c r="A23" s="287">
        <v>25</v>
      </c>
      <c r="B23" s="936"/>
      <c r="C23" s="840"/>
      <c r="D23" s="841"/>
      <c r="E23" s="839"/>
      <c r="F23" s="821" t="s">
        <v>7</v>
      </c>
      <c r="G23" s="314">
        <v>4</v>
      </c>
      <c r="H23" s="739" t="s">
        <v>71</v>
      </c>
      <c r="I23" s="739">
        <v>111</v>
      </c>
      <c r="J23" s="740">
        <v>266</v>
      </c>
      <c r="K23" s="317" t="s">
        <v>535</v>
      </c>
      <c r="L23" s="341">
        <v>46200</v>
      </c>
      <c r="M23" s="318"/>
      <c r="N23" s="318"/>
      <c r="O23" s="318">
        <f t="shared" si="67"/>
        <v>46200</v>
      </c>
      <c r="P23" s="329"/>
      <c r="Q23" s="319">
        <v>46200</v>
      </c>
      <c r="R23" s="329"/>
      <c r="S23" s="319">
        <v>46200</v>
      </c>
      <c r="T23" s="329"/>
      <c r="U23" s="335"/>
      <c r="V23" s="320"/>
      <c r="W23" s="320"/>
      <c r="X23" s="320"/>
      <c r="Z23" s="336">
        <f t="shared" si="68"/>
        <v>20000</v>
      </c>
      <c r="AA23" s="337">
        <f t="shared" si="69"/>
        <v>0</v>
      </c>
      <c r="AB23" s="338">
        <f t="shared" si="70"/>
        <v>20000</v>
      </c>
      <c r="AC23" s="336">
        <f t="shared" si="71"/>
        <v>10000</v>
      </c>
      <c r="AD23" s="337">
        <f t="shared" si="72"/>
        <v>0</v>
      </c>
      <c r="AE23" s="338">
        <f t="shared" si="73"/>
        <v>10000</v>
      </c>
      <c r="AF23" s="336">
        <f t="shared" si="74"/>
        <v>10000</v>
      </c>
      <c r="AG23" s="337">
        <f t="shared" si="75"/>
        <v>0</v>
      </c>
      <c r="AH23" s="338">
        <f t="shared" si="76"/>
        <v>10000</v>
      </c>
      <c r="AI23" s="336">
        <f t="shared" si="77"/>
        <v>6200</v>
      </c>
      <c r="AJ23" s="337">
        <f t="shared" si="78"/>
        <v>0</v>
      </c>
      <c r="AK23" s="338">
        <f t="shared" si="79"/>
        <v>6200</v>
      </c>
      <c r="AL23" s="342"/>
      <c r="AM23" s="336">
        <f t="shared" si="80"/>
        <v>30000</v>
      </c>
      <c r="AN23" s="339">
        <f t="shared" si="81"/>
        <v>0</v>
      </c>
      <c r="AO23" s="340">
        <f t="shared" si="82"/>
        <v>30000</v>
      </c>
      <c r="AP23" s="336">
        <f t="shared" si="83"/>
        <v>40000</v>
      </c>
      <c r="AQ23" s="339">
        <f t="shared" si="84"/>
        <v>0</v>
      </c>
      <c r="AR23" s="340">
        <f t="shared" si="85"/>
        <v>40000</v>
      </c>
      <c r="AS23" s="341">
        <f t="shared" si="86"/>
        <v>46200</v>
      </c>
      <c r="AT23" s="339">
        <f t="shared" si="87"/>
        <v>0</v>
      </c>
      <c r="AU23" s="340">
        <f t="shared" si="88"/>
        <v>46200</v>
      </c>
      <c r="AV23" s="589">
        <f t="shared" si="89"/>
        <v>0</v>
      </c>
      <c r="AW23" s="343"/>
      <c r="AX23" s="344"/>
      <c r="AY23" s="345">
        <v>20000</v>
      </c>
      <c r="AZ23" s="344"/>
      <c r="BA23" s="345"/>
      <c r="BB23" s="346"/>
      <c r="BC23" s="347"/>
      <c r="BD23" s="348"/>
      <c r="BE23" s="349">
        <v>10000</v>
      </c>
      <c r="BF23" s="348"/>
      <c r="BG23" s="349"/>
      <c r="BH23" s="350"/>
      <c r="BI23" s="351"/>
      <c r="BJ23" s="352"/>
      <c r="BK23" s="337">
        <v>10000</v>
      </c>
      <c r="BL23" s="352"/>
      <c r="BM23" s="337"/>
      <c r="BN23" s="353"/>
      <c r="BO23" s="354"/>
      <c r="BP23" s="355"/>
      <c r="BQ23" s="356">
        <v>6200</v>
      </c>
      <c r="BR23" s="355"/>
      <c r="BS23" s="356"/>
      <c r="BT23" s="357"/>
    </row>
    <row r="24" spans="1:72" s="313" customFormat="1" ht="51">
      <c r="A24" s="287">
        <v>13</v>
      </c>
      <c r="B24" s="936" t="s">
        <v>534</v>
      </c>
      <c r="C24" s="840"/>
      <c r="D24" s="841"/>
      <c r="E24" s="839"/>
      <c r="F24" s="821" t="s">
        <v>7</v>
      </c>
      <c r="G24" s="314">
        <v>4</v>
      </c>
      <c r="H24" s="739" t="s">
        <v>71</v>
      </c>
      <c r="I24" s="739">
        <v>111</v>
      </c>
      <c r="J24" s="740">
        <v>266</v>
      </c>
      <c r="K24" s="317" t="s">
        <v>527</v>
      </c>
      <c r="L24" s="341">
        <v>0</v>
      </c>
      <c r="M24" s="318"/>
      <c r="N24" s="318">
        <v>6000</v>
      </c>
      <c r="O24" s="318"/>
      <c r="P24" s="329"/>
      <c r="Q24" s="319">
        <v>0</v>
      </c>
      <c r="R24" s="329"/>
      <c r="S24" s="319">
        <v>0</v>
      </c>
      <c r="T24" s="329"/>
      <c r="U24" s="335"/>
      <c r="V24" s="320"/>
      <c r="W24" s="320"/>
      <c r="X24" s="320"/>
      <c r="Z24" s="336">
        <f>AW24+AY24+BA24</f>
        <v>0</v>
      </c>
      <c r="AA24" s="337">
        <f>AX24+AZ24+BB24</f>
        <v>0</v>
      </c>
      <c r="AB24" s="338">
        <f>Z24-AA24</f>
        <v>0</v>
      </c>
      <c r="AC24" s="336">
        <f>BC24+BE24+BG24</f>
        <v>2000</v>
      </c>
      <c r="AD24" s="337">
        <f>BD24+BF24+BH24</f>
        <v>0</v>
      </c>
      <c r="AE24" s="338">
        <f>AC24-AD24</f>
        <v>2000</v>
      </c>
      <c r="AF24" s="336">
        <f>BI24+BK24+BM24</f>
        <v>2000</v>
      </c>
      <c r="AG24" s="337">
        <f>BJ24+BL24+BN24</f>
        <v>0</v>
      </c>
      <c r="AH24" s="338">
        <f>AF24-AG24</f>
        <v>2000</v>
      </c>
      <c r="AI24" s="336">
        <f>BO24+BQ24+BS24</f>
        <v>2000</v>
      </c>
      <c r="AJ24" s="337">
        <f>BP24+BR24+BT24</f>
        <v>0</v>
      </c>
      <c r="AK24" s="338">
        <f>AI24-AJ24</f>
        <v>2000</v>
      </c>
      <c r="AL24" s="342"/>
      <c r="AM24" s="336">
        <f>Z24+AC24</f>
        <v>2000</v>
      </c>
      <c r="AN24" s="339">
        <f>AA24+AD24</f>
        <v>0</v>
      </c>
      <c r="AO24" s="340">
        <f>AM24-AN24</f>
        <v>2000</v>
      </c>
      <c r="AP24" s="336">
        <f>Z24+AC24+AF24</f>
        <v>4000</v>
      </c>
      <c r="AQ24" s="339">
        <f>AA24+AD24+AG24</f>
        <v>0</v>
      </c>
      <c r="AR24" s="340">
        <f>AP24-AQ24</f>
        <v>4000</v>
      </c>
      <c r="AS24" s="341">
        <f>Z24+AC24+AF24+AI24</f>
        <v>6000</v>
      </c>
      <c r="AT24" s="339">
        <f>AA24+AD24+AG24+AJ24</f>
        <v>0</v>
      </c>
      <c r="AU24" s="340">
        <f>AS24-AT24</f>
        <v>6000</v>
      </c>
      <c r="AV24" s="589"/>
      <c r="AW24" s="343"/>
      <c r="AX24" s="344"/>
      <c r="AY24" s="345"/>
      <c r="AZ24" s="344"/>
      <c r="BA24" s="345"/>
      <c r="BB24" s="346"/>
      <c r="BC24" s="347">
        <v>2000</v>
      </c>
      <c r="BD24" s="348"/>
      <c r="BE24" s="349"/>
      <c r="BF24" s="348"/>
      <c r="BG24" s="349"/>
      <c r="BH24" s="350"/>
      <c r="BI24" s="351">
        <v>2000</v>
      </c>
      <c r="BJ24" s="352"/>
      <c r="BK24" s="337"/>
      <c r="BL24" s="352"/>
      <c r="BM24" s="337"/>
      <c r="BN24" s="353"/>
      <c r="BO24" s="354">
        <v>2000</v>
      </c>
      <c r="BP24" s="355"/>
      <c r="BQ24" s="356"/>
      <c r="BR24" s="355"/>
      <c r="BS24" s="356"/>
      <c r="BT24" s="357"/>
    </row>
    <row r="25" spans="1:72" s="313" customFormat="1" ht="38.25">
      <c r="A25" s="287">
        <v>14</v>
      </c>
      <c r="B25" s="936" t="s">
        <v>534</v>
      </c>
      <c r="C25" s="840"/>
      <c r="D25" s="841"/>
      <c r="E25" s="839"/>
      <c r="F25" s="821" t="s">
        <v>7</v>
      </c>
      <c r="G25" s="314">
        <v>4</v>
      </c>
      <c r="H25" s="739" t="s">
        <v>71</v>
      </c>
      <c r="I25" s="739">
        <v>111</v>
      </c>
      <c r="J25" s="740">
        <v>266</v>
      </c>
      <c r="K25" s="317" t="s">
        <v>528</v>
      </c>
      <c r="L25" s="341">
        <v>0</v>
      </c>
      <c r="M25" s="318"/>
      <c r="N25" s="318">
        <v>156570.48000000001</v>
      </c>
      <c r="O25" s="318">
        <f t="shared" ref="O25" si="91">L25+N25</f>
        <v>156570.48000000001</v>
      </c>
      <c r="P25" s="329"/>
      <c r="Q25" s="319">
        <f>174498.02-46200</f>
        <v>128298.02</v>
      </c>
      <c r="R25" s="329"/>
      <c r="S25" s="319">
        <f>146516.96-46200</f>
        <v>100316.96</v>
      </c>
      <c r="T25" s="329"/>
      <c r="U25" s="335"/>
      <c r="V25" s="320"/>
      <c r="W25" s="320"/>
      <c r="X25" s="320"/>
      <c r="Z25" s="336">
        <f>AW25+AY25+BA25</f>
        <v>0</v>
      </c>
      <c r="AA25" s="337">
        <f>AX25+AZ25+BB25</f>
        <v>0</v>
      </c>
      <c r="AB25" s="338">
        <f>Z25-AA25</f>
        <v>0</v>
      </c>
      <c r="AC25" s="336">
        <f>BC25+BE25+BG25</f>
        <v>0</v>
      </c>
      <c r="AD25" s="337">
        <f>BD25+BF25+BH25</f>
        <v>0</v>
      </c>
      <c r="AE25" s="338">
        <f>AC25-AD25</f>
        <v>0</v>
      </c>
      <c r="AF25" s="336">
        <f>BI25+BK25+BM25</f>
        <v>156570.48000000001</v>
      </c>
      <c r="AG25" s="337">
        <f>BJ25+BL25+BN25</f>
        <v>0</v>
      </c>
      <c r="AH25" s="338">
        <f>AF25-AG25</f>
        <v>156570.48000000001</v>
      </c>
      <c r="AI25" s="336">
        <f>BO25+BQ25+BS25</f>
        <v>0</v>
      </c>
      <c r="AJ25" s="337">
        <f>BP25+BR25+BT25</f>
        <v>0</v>
      </c>
      <c r="AK25" s="338">
        <f>AI25-AJ25</f>
        <v>0</v>
      </c>
      <c r="AL25" s="342"/>
      <c r="AM25" s="336">
        <f>Z25+AC25</f>
        <v>0</v>
      </c>
      <c r="AN25" s="339">
        <f>AA25+AD25</f>
        <v>0</v>
      </c>
      <c r="AO25" s="340">
        <f>AM25-AN25</f>
        <v>0</v>
      </c>
      <c r="AP25" s="336">
        <f>Z25+AC25+AF25</f>
        <v>156570.48000000001</v>
      </c>
      <c r="AQ25" s="339">
        <f>AA25+AD25+AG25</f>
        <v>0</v>
      </c>
      <c r="AR25" s="340">
        <f>AP25-AQ25</f>
        <v>156570.48000000001</v>
      </c>
      <c r="AS25" s="341">
        <f>Z25+AC25+AF25+AI25</f>
        <v>156570.48000000001</v>
      </c>
      <c r="AT25" s="339">
        <f>AA25+AD25+AG25+AJ25</f>
        <v>0</v>
      </c>
      <c r="AU25" s="340">
        <f>AS25-AT25</f>
        <v>156570.48000000001</v>
      </c>
      <c r="AV25" s="589"/>
      <c r="AW25" s="343"/>
      <c r="AX25" s="344"/>
      <c r="AY25" s="345"/>
      <c r="AZ25" s="344"/>
      <c r="BA25" s="345"/>
      <c r="BB25" s="346"/>
      <c r="BC25" s="347"/>
      <c r="BD25" s="348"/>
      <c r="BE25" s="349"/>
      <c r="BF25" s="348"/>
      <c r="BG25" s="349"/>
      <c r="BH25" s="350"/>
      <c r="BI25" s="351"/>
      <c r="BJ25" s="352"/>
      <c r="BK25" s="337">
        <v>122483.46</v>
      </c>
      <c r="BL25" s="352"/>
      <c r="BM25" s="337">
        <v>34087.019999999997</v>
      </c>
      <c r="BN25" s="353"/>
      <c r="BO25" s="354"/>
      <c r="BP25" s="355"/>
      <c r="BQ25" s="356"/>
      <c r="BR25" s="355"/>
      <c r="BS25" s="356"/>
      <c r="BT25" s="357"/>
    </row>
    <row r="26" spans="1:72" s="358" customFormat="1" ht="85.5" customHeight="1">
      <c r="A26" s="287">
        <v>15</v>
      </c>
      <c r="B26" s="936"/>
      <c r="C26" s="837"/>
      <c r="D26" s="838"/>
      <c r="E26" s="836" t="s">
        <v>201</v>
      </c>
      <c r="F26" s="820" t="s">
        <v>7</v>
      </c>
      <c r="G26" s="360">
        <v>4</v>
      </c>
      <c r="H26" s="360" t="s">
        <v>71</v>
      </c>
      <c r="I26" s="360">
        <v>119</v>
      </c>
      <c r="J26" s="361">
        <v>266</v>
      </c>
      <c r="K26" s="532" t="s">
        <v>530</v>
      </c>
      <c r="L26" s="367" t="s">
        <v>531</v>
      </c>
      <c r="M26" s="363"/>
      <c r="N26" s="363">
        <v>250000</v>
      </c>
      <c r="O26" s="363">
        <f t="shared" si="67"/>
        <v>250000</v>
      </c>
      <c r="P26" s="557"/>
      <c r="Q26" s="367"/>
      <c r="R26" s="557"/>
      <c r="S26" s="367"/>
      <c r="T26" s="557"/>
      <c r="U26" s="365"/>
      <c r="V26" s="366"/>
      <c r="W26" s="366"/>
      <c r="X26" s="366"/>
      <c r="Z26" s="367">
        <f t="shared" si="68"/>
        <v>37000</v>
      </c>
      <c r="AA26" s="363">
        <f t="shared" si="69"/>
        <v>0</v>
      </c>
      <c r="AB26" s="280">
        <f t="shared" si="70"/>
        <v>37000</v>
      </c>
      <c r="AC26" s="367">
        <f t="shared" si="71"/>
        <v>87000</v>
      </c>
      <c r="AD26" s="363">
        <f t="shared" si="72"/>
        <v>111000</v>
      </c>
      <c r="AE26" s="280">
        <f t="shared" si="73"/>
        <v>-24000</v>
      </c>
      <c r="AF26" s="367">
        <f t="shared" si="74"/>
        <v>63000</v>
      </c>
      <c r="AG26" s="363">
        <f t="shared" si="75"/>
        <v>111000</v>
      </c>
      <c r="AH26" s="280">
        <f t="shared" si="76"/>
        <v>-48000</v>
      </c>
      <c r="AI26" s="367">
        <f t="shared" si="77"/>
        <v>63000</v>
      </c>
      <c r="AJ26" s="363">
        <f t="shared" si="78"/>
        <v>74000</v>
      </c>
      <c r="AK26" s="280">
        <f t="shared" si="79"/>
        <v>-11000</v>
      </c>
      <c r="AL26" s="368"/>
      <c r="AM26" s="367">
        <f t="shared" si="80"/>
        <v>124000</v>
      </c>
      <c r="AN26" s="363">
        <f t="shared" si="81"/>
        <v>111000</v>
      </c>
      <c r="AO26" s="280">
        <f t="shared" si="82"/>
        <v>13000</v>
      </c>
      <c r="AP26" s="367">
        <f t="shared" si="83"/>
        <v>187000</v>
      </c>
      <c r="AQ26" s="363">
        <f t="shared" si="84"/>
        <v>222000</v>
      </c>
      <c r="AR26" s="280">
        <f t="shared" si="85"/>
        <v>-35000</v>
      </c>
      <c r="AS26" s="367">
        <f t="shared" si="86"/>
        <v>250000</v>
      </c>
      <c r="AT26" s="363">
        <f t="shared" si="87"/>
        <v>296000</v>
      </c>
      <c r="AU26" s="280">
        <f t="shared" si="88"/>
        <v>-46000</v>
      </c>
      <c r="AV26" s="588">
        <f t="shared" si="89"/>
        <v>-250000</v>
      </c>
      <c r="AW26" s="367"/>
      <c r="AX26" s="363"/>
      <c r="AY26" s="363"/>
      <c r="AZ26" s="363"/>
      <c r="BA26" s="363">
        <f>13000+24000</f>
        <v>37000</v>
      </c>
      <c r="BB26" s="369"/>
      <c r="BC26" s="367">
        <f t="shared" ref="BC26:BR26" si="92">13000+24000</f>
        <v>37000</v>
      </c>
      <c r="BD26" s="363">
        <f t="shared" si="92"/>
        <v>37000</v>
      </c>
      <c r="BE26" s="363">
        <f>13000</f>
        <v>13000</v>
      </c>
      <c r="BF26" s="363">
        <f t="shared" si="92"/>
        <v>37000</v>
      </c>
      <c r="BG26" s="363">
        <f t="shared" si="92"/>
        <v>37000</v>
      </c>
      <c r="BH26" s="369">
        <f t="shared" si="92"/>
        <v>37000</v>
      </c>
      <c r="BI26" s="367">
        <f t="shared" si="92"/>
        <v>37000</v>
      </c>
      <c r="BJ26" s="363">
        <f t="shared" si="92"/>
        <v>37000</v>
      </c>
      <c r="BK26" s="363">
        <f>13000</f>
        <v>13000</v>
      </c>
      <c r="BL26" s="363">
        <f t="shared" si="92"/>
        <v>37000</v>
      </c>
      <c r="BM26" s="363">
        <f>13000</f>
        <v>13000</v>
      </c>
      <c r="BN26" s="369">
        <f t="shared" si="92"/>
        <v>37000</v>
      </c>
      <c r="BO26" s="367">
        <f t="shared" si="92"/>
        <v>37000</v>
      </c>
      <c r="BP26" s="363">
        <f t="shared" si="92"/>
        <v>37000</v>
      </c>
      <c r="BQ26" s="363">
        <f>13000</f>
        <v>13000</v>
      </c>
      <c r="BR26" s="363">
        <f t="shared" si="92"/>
        <v>37000</v>
      </c>
      <c r="BS26" s="363">
        <f>13000</f>
        <v>13000</v>
      </c>
      <c r="BT26" s="280"/>
    </row>
    <row r="27" spans="1:72" s="358" customFormat="1" ht="63.75">
      <c r="A27" s="287">
        <v>16</v>
      </c>
      <c r="B27" s="936" t="s">
        <v>462</v>
      </c>
      <c r="C27" s="837"/>
      <c r="D27" s="838"/>
      <c r="E27" s="836" t="s">
        <v>201</v>
      </c>
      <c r="F27" s="820" t="s">
        <v>7</v>
      </c>
      <c r="G27" s="360">
        <v>4</v>
      </c>
      <c r="H27" s="360" t="s">
        <v>71</v>
      </c>
      <c r="I27" s="986">
        <v>112</v>
      </c>
      <c r="J27" s="361">
        <v>266</v>
      </c>
      <c r="K27" s="532" t="s">
        <v>365</v>
      </c>
      <c r="L27" s="367">
        <f>122483.46+80287.02-46200</f>
        <v>156570.48000000001</v>
      </c>
      <c r="M27" s="363"/>
      <c r="N27" s="363">
        <v>-156570.48000000001</v>
      </c>
      <c r="O27" s="363">
        <f t="shared" si="41"/>
        <v>0</v>
      </c>
      <c r="P27" s="557"/>
      <c r="Q27" s="367">
        <v>0</v>
      </c>
      <c r="R27" s="557"/>
      <c r="S27" s="367">
        <v>0</v>
      </c>
      <c r="T27" s="557"/>
      <c r="U27" s="365"/>
      <c r="V27" s="366"/>
      <c r="W27" s="366"/>
      <c r="X27" s="366"/>
      <c r="Z27" s="367">
        <f t="shared" si="5"/>
        <v>0</v>
      </c>
      <c r="AA27" s="363">
        <f t="shared" si="5"/>
        <v>0</v>
      </c>
      <c r="AB27" s="280">
        <f t="shared" si="6"/>
        <v>0</v>
      </c>
      <c r="AC27" s="367">
        <f t="shared" si="7"/>
        <v>0</v>
      </c>
      <c r="AD27" s="363">
        <f t="shared" si="7"/>
        <v>0</v>
      </c>
      <c r="AE27" s="280">
        <f t="shared" si="8"/>
        <v>0</v>
      </c>
      <c r="AF27" s="367">
        <f t="shared" si="9"/>
        <v>0</v>
      </c>
      <c r="AG27" s="363">
        <f t="shared" si="9"/>
        <v>0</v>
      </c>
      <c r="AH27" s="280">
        <f t="shared" si="10"/>
        <v>0</v>
      </c>
      <c r="AI27" s="367">
        <f t="shared" si="11"/>
        <v>0</v>
      </c>
      <c r="AJ27" s="363">
        <f t="shared" si="11"/>
        <v>0</v>
      </c>
      <c r="AK27" s="280">
        <f t="shared" si="12"/>
        <v>0</v>
      </c>
      <c r="AL27" s="368"/>
      <c r="AM27" s="367">
        <f t="shared" si="13"/>
        <v>0</v>
      </c>
      <c r="AN27" s="363">
        <f t="shared" si="13"/>
        <v>0</v>
      </c>
      <c r="AO27" s="280">
        <f t="shared" si="14"/>
        <v>0</v>
      </c>
      <c r="AP27" s="367">
        <f t="shared" si="15"/>
        <v>0</v>
      </c>
      <c r="AQ27" s="363">
        <f t="shared" si="15"/>
        <v>0</v>
      </c>
      <c r="AR27" s="280">
        <f t="shared" si="16"/>
        <v>0</v>
      </c>
      <c r="AS27" s="367">
        <f t="shared" si="42"/>
        <v>0</v>
      </c>
      <c r="AT27" s="363">
        <f t="shared" si="17"/>
        <v>0</v>
      </c>
      <c r="AU27" s="280">
        <f t="shared" si="18"/>
        <v>0</v>
      </c>
      <c r="AV27" s="588">
        <f t="shared" si="19"/>
        <v>156570.48000000001</v>
      </c>
      <c r="AW27" s="367"/>
      <c r="AX27" s="363"/>
      <c r="AY27" s="363"/>
      <c r="AZ27" s="363"/>
      <c r="BA27" s="363"/>
      <c r="BB27" s="369"/>
      <c r="BC27" s="367"/>
      <c r="BD27" s="363"/>
      <c r="BE27" s="363"/>
      <c r="BF27" s="363"/>
      <c r="BG27" s="363"/>
      <c r="BH27" s="369"/>
      <c r="BI27" s="367"/>
      <c r="BJ27" s="363"/>
      <c r="BK27" s="363"/>
      <c r="BL27" s="363"/>
      <c r="BM27" s="363"/>
      <c r="BN27" s="369"/>
      <c r="BO27" s="367"/>
      <c r="BP27" s="363"/>
      <c r="BQ27" s="363"/>
      <c r="BR27" s="363"/>
      <c r="BS27" s="363"/>
      <c r="BT27" s="280"/>
    </row>
    <row r="28" spans="1:72" s="358" customFormat="1" ht="47.25" customHeight="1">
      <c r="A28" s="287">
        <v>17</v>
      </c>
      <c r="B28" s="933"/>
      <c r="C28" s="850" t="s">
        <v>377</v>
      </c>
      <c r="D28" s="838"/>
      <c r="E28" s="836" t="s">
        <v>201</v>
      </c>
      <c r="F28" s="820" t="s">
        <v>7</v>
      </c>
      <c r="G28" s="360">
        <v>4</v>
      </c>
      <c r="H28" s="360" t="s">
        <v>71</v>
      </c>
      <c r="I28" s="360">
        <v>119</v>
      </c>
      <c r="J28" s="361">
        <v>213</v>
      </c>
      <c r="K28" s="532" t="s">
        <v>366</v>
      </c>
      <c r="L28" s="367">
        <f>SUM(L29:L32)</f>
        <v>80866.679999999993</v>
      </c>
      <c r="M28" s="363"/>
      <c r="N28" s="363"/>
      <c r="O28" s="363">
        <f t="shared" si="41"/>
        <v>80866.679999999993</v>
      </c>
      <c r="P28" s="557"/>
      <c r="Q28" s="367">
        <f>SUM(Q29:Q32)</f>
        <v>78368.399999999994</v>
      </c>
      <c r="R28" s="557"/>
      <c r="S28" s="367">
        <f>SUM(S29:S32)</f>
        <v>63878.12</v>
      </c>
      <c r="T28" s="557"/>
      <c r="U28" s="365"/>
      <c r="V28" s="366"/>
      <c r="W28" s="366"/>
      <c r="X28" s="366"/>
      <c r="Z28" s="367">
        <f t="shared" si="5"/>
        <v>0</v>
      </c>
      <c r="AA28" s="363">
        <f t="shared" si="5"/>
        <v>0</v>
      </c>
      <c r="AB28" s="280">
        <f t="shared" si="6"/>
        <v>0</v>
      </c>
      <c r="AC28" s="367">
        <f t="shared" si="7"/>
        <v>33306.68</v>
      </c>
      <c r="AD28" s="363">
        <f t="shared" si="7"/>
        <v>0</v>
      </c>
      <c r="AE28" s="280">
        <f t="shared" si="8"/>
        <v>33306.68</v>
      </c>
      <c r="AF28" s="367">
        <f t="shared" si="9"/>
        <v>38500</v>
      </c>
      <c r="AG28" s="363">
        <f t="shared" si="9"/>
        <v>0</v>
      </c>
      <c r="AH28" s="280">
        <f t="shared" si="10"/>
        <v>38500</v>
      </c>
      <c r="AI28" s="367">
        <f t="shared" si="11"/>
        <v>9060</v>
      </c>
      <c r="AJ28" s="363">
        <f t="shared" si="11"/>
        <v>0</v>
      </c>
      <c r="AK28" s="280">
        <f t="shared" si="12"/>
        <v>9060</v>
      </c>
      <c r="AL28" s="368"/>
      <c r="AM28" s="367">
        <f t="shared" si="13"/>
        <v>33306.68</v>
      </c>
      <c r="AN28" s="363">
        <f t="shared" si="13"/>
        <v>0</v>
      </c>
      <c r="AO28" s="280">
        <f t="shared" si="14"/>
        <v>33306.68</v>
      </c>
      <c r="AP28" s="367">
        <f t="shared" si="15"/>
        <v>71806.679999999993</v>
      </c>
      <c r="AQ28" s="363">
        <f t="shared" si="15"/>
        <v>0</v>
      </c>
      <c r="AR28" s="280">
        <f t="shared" si="16"/>
        <v>71806.679999999993</v>
      </c>
      <c r="AS28" s="367">
        <f t="shared" si="42"/>
        <v>80866.679999999993</v>
      </c>
      <c r="AT28" s="363">
        <f t="shared" si="17"/>
        <v>0</v>
      </c>
      <c r="AU28" s="280">
        <f t="shared" si="18"/>
        <v>80866.679999999993</v>
      </c>
      <c r="AV28" s="588">
        <f t="shared" si="19"/>
        <v>0</v>
      </c>
      <c r="AW28" s="367">
        <f t="shared" ref="AW28:BT28" si="93">SUM(AW29:AW32)</f>
        <v>0</v>
      </c>
      <c r="AX28" s="363">
        <f t="shared" si="93"/>
        <v>0</v>
      </c>
      <c r="AY28" s="363">
        <f t="shared" si="93"/>
        <v>0</v>
      </c>
      <c r="AZ28" s="363">
        <f t="shared" si="93"/>
        <v>0</v>
      </c>
      <c r="BA28" s="363">
        <f t="shared" si="93"/>
        <v>0</v>
      </c>
      <c r="BB28" s="369">
        <f t="shared" si="93"/>
        <v>0</v>
      </c>
      <c r="BC28" s="367">
        <f t="shared" si="93"/>
        <v>3020</v>
      </c>
      <c r="BD28" s="363">
        <f t="shared" si="93"/>
        <v>0</v>
      </c>
      <c r="BE28" s="363">
        <f t="shared" si="93"/>
        <v>0</v>
      </c>
      <c r="BF28" s="363">
        <f t="shared" si="93"/>
        <v>0</v>
      </c>
      <c r="BG28" s="363">
        <f t="shared" si="93"/>
        <v>30286.68</v>
      </c>
      <c r="BH28" s="369">
        <f t="shared" si="93"/>
        <v>0</v>
      </c>
      <c r="BI28" s="367">
        <f t="shared" si="93"/>
        <v>0</v>
      </c>
      <c r="BJ28" s="363">
        <f t="shared" si="93"/>
        <v>0</v>
      </c>
      <c r="BK28" s="363">
        <f t="shared" si="93"/>
        <v>36990</v>
      </c>
      <c r="BL28" s="363">
        <f t="shared" si="93"/>
        <v>0</v>
      </c>
      <c r="BM28" s="363">
        <f t="shared" si="93"/>
        <v>1510</v>
      </c>
      <c r="BN28" s="369">
        <f t="shared" si="93"/>
        <v>0</v>
      </c>
      <c r="BO28" s="367">
        <f t="shared" si="93"/>
        <v>0</v>
      </c>
      <c r="BP28" s="363">
        <f t="shared" si="93"/>
        <v>0</v>
      </c>
      <c r="BQ28" s="363">
        <f t="shared" si="93"/>
        <v>3020</v>
      </c>
      <c r="BR28" s="363">
        <f t="shared" si="93"/>
        <v>0</v>
      </c>
      <c r="BS28" s="363">
        <f t="shared" si="93"/>
        <v>6040</v>
      </c>
      <c r="BT28" s="280">
        <f t="shared" si="93"/>
        <v>0</v>
      </c>
    </row>
    <row r="29" spans="1:72" s="313" customFormat="1" ht="51" outlineLevel="1">
      <c r="A29" s="287">
        <v>18</v>
      </c>
      <c r="B29" s="933"/>
      <c r="C29" s="840"/>
      <c r="D29" s="841"/>
      <c r="E29" s="839"/>
      <c r="F29" s="825" t="s">
        <v>7</v>
      </c>
      <c r="G29" s="314">
        <v>4</v>
      </c>
      <c r="H29" s="739" t="s">
        <v>71</v>
      </c>
      <c r="I29" s="739">
        <v>119</v>
      </c>
      <c r="J29" s="740">
        <v>213</v>
      </c>
      <c r="K29" s="533" t="s">
        <v>315</v>
      </c>
      <c r="L29" s="341">
        <v>3020</v>
      </c>
      <c r="M29" s="318"/>
      <c r="N29" s="318"/>
      <c r="O29" s="318">
        <f t="shared" si="41"/>
        <v>3020</v>
      </c>
      <c r="P29" s="559"/>
      <c r="Q29" s="336">
        <f>3020*3</f>
        <v>9060</v>
      </c>
      <c r="R29" s="559"/>
      <c r="S29" s="336">
        <v>3020</v>
      </c>
      <c r="T29" s="559"/>
      <c r="U29" s="335"/>
      <c r="V29" s="320"/>
      <c r="W29" s="320"/>
      <c r="X29" s="320"/>
      <c r="Z29" s="336">
        <f t="shared" si="5"/>
        <v>0</v>
      </c>
      <c r="AA29" s="337">
        <f t="shared" si="5"/>
        <v>0</v>
      </c>
      <c r="AB29" s="338">
        <f t="shared" si="6"/>
        <v>0</v>
      </c>
      <c r="AC29" s="336">
        <f t="shared" si="7"/>
        <v>3020</v>
      </c>
      <c r="AD29" s="337">
        <f t="shared" si="7"/>
        <v>0</v>
      </c>
      <c r="AE29" s="338">
        <f t="shared" si="8"/>
        <v>3020</v>
      </c>
      <c r="AF29" s="336">
        <f t="shared" si="9"/>
        <v>0</v>
      </c>
      <c r="AG29" s="337">
        <f t="shared" si="9"/>
        <v>0</v>
      </c>
      <c r="AH29" s="338">
        <f t="shared" si="10"/>
        <v>0</v>
      </c>
      <c r="AI29" s="336">
        <f t="shared" si="11"/>
        <v>0</v>
      </c>
      <c r="AJ29" s="337">
        <f t="shared" si="11"/>
        <v>0</v>
      </c>
      <c r="AK29" s="338">
        <f t="shared" si="12"/>
        <v>0</v>
      </c>
      <c r="AL29" s="342"/>
      <c r="AM29" s="336">
        <f t="shared" si="13"/>
        <v>3020</v>
      </c>
      <c r="AN29" s="339">
        <f t="shared" si="13"/>
        <v>0</v>
      </c>
      <c r="AO29" s="340">
        <f t="shared" si="14"/>
        <v>3020</v>
      </c>
      <c r="AP29" s="336">
        <f t="shared" si="15"/>
        <v>3020</v>
      </c>
      <c r="AQ29" s="339">
        <f t="shared" si="15"/>
        <v>0</v>
      </c>
      <c r="AR29" s="340">
        <f t="shared" si="16"/>
        <v>3020</v>
      </c>
      <c r="AS29" s="341">
        <f t="shared" si="42"/>
        <v>3020</v>
      </c>
      <c r="AT29" s="339">
        <f t="shared" si="17"/>
        <v>0</v>
      </c>
      <c r="AU29" s="340">
        <f t="shared" si="18"/>
        <v>3020</v>
      </c>
      <c r="AV29" s="589">
        <f t="shared" si="19"/>
        <v>0</v>
      </c>
      <c r="AW29" s="343"/>
      <c r="AX29" s="344"/>
      <c r="AY29" s="345"/>
      <c r="AZ29" s="344"/>
      <c r="BA29" s="345"/>
      <c r="BB29" s="346"/>
      <c r="BC29" s="347">
        <v>3020</v>
      </c>
      <c r="BD29" s="348"/>
      <c r="BE29" s="349"/>
      <c r="BF29" s="348"/>
      <c r="BG29" s="349"/>
      <c r="BH29" s="350"/>
      <c r="BI29" s="351"/>
      <c r="BJ29" s="352"/>
      <c r="BK29" s="337"/>
      <c r="BL29" s="352"/>
      <c r="BM29" s="337"/>
      <c r="BN29" s="353"/>
      <c r="BO29" s="354"/>
      <c r="BP29" s="355"/>
      <c r="BQ29" s="356"/>
      <c r="BR29" s="355"/>
      <c r="BS29" s="356"/>
      <c r="BT29" s="357"/>
    </row>
    <row r="30" spans="1:72" s="313" customFormat="1" ht="38.25" outlineLevel="1">
      <c r="A30" s="287">
        <v>19</v>
      </c>
      <c r="B30" s="933"/>
      <c r="C30" s="840"/>
      <c r="D30" s="841"/>
      <c r="E30" s="839"/>
      <c r="F30" s="825" t="s">
        <v>7</v>
      </c>
      <c r="G30" s="314">
        <v>4</v>
      </c>
      <c r="H30" s="739" t="s">
        <v>71</v>
      </c>
      <c r="I30" s="739">
        <v>119</v>
      </c>
      <c r="J30" s="740">
        <v>213</v>
      </c>
      <c r="K30" s="533" t="s">
        <v>319</v>
      </c>
      <c r="L30" s="341">
        <f>6040*2</f>
        <v>12080</v>
      </c>
      <c r="M30" s="318"/>
      <c r="N30" s="318"/>
      <c r="O30" s="318">
        <f t="shared" si="41"/>
        <v>12080</v>
      </c>
      <c r="P30" s="559"/>
      <c r="Q30" s="341">
        <f>6040*2</f>
        <v>12080</v>
      </c>
      <c r="R30" s="559"/>
      <c r="S30" s="341">
        <f>6040*2</f>
        <v>12080</v>
      </c>
      <c r="T30" s="559"/>
      <c r="U30" s="335"/>
      <c r="V30" s="320"/>
      <c r="W30" s="320"/>
      <c r="X30" s="320"/>
      <c r="Z30" s="336">
        <f t="shared" si="5"/>
        <v>0</v>
      </c>
      <c r="AA30" s="337">
        <f t="shared" si="5"/>
        <v>0</v>
      </c>
      <c r="AB30" s="338">
        <f t="shared" si="6"/>
        <v>0</v>
      </c>
      <c r="AC30" s="336">
        <f t="shared" si="7"/>
        <v>6040</v>
      </c>
      <c r="AD30" s="337">
        <f t="shared" si="7"/>
        <v>0</v>
      </c>
      <c r="AE30" s="338">
        <f t="shared" si="8"/>
        <v>6040</v>
      </c>
      <c r="AF30" s="336">
        <f t="shared" si="9"/>
        <v>0</v>
      </c>
      <c r="AG30" s="337">
        <f t="shared" si="9"/>
        <v>0</v>
      </c>
      <c r="AH30" s="338">
        <f t="shared" si="10"/>
        <v>0</v>
      </c>
      <c r="AI30" s="336">
        <f t="shared" si="11"/>
        <v>6040</v>
      </c>
      <c r="AJ30" s="337">
        <f t="shared" si="11"/>
        <v>0</v>
      </c>
      <c r="AK30" s="338">
        <f t="shared" si="12"/>
        <v>6040</v>
      </c>
      <c r="AL30" s="342"/>
      <c r="AM30" s="336">
        <f t="shared" si="13"/>
        <v>6040</v>
      </c>
      <c r="AN30" s="339">
        <f t="shared" si="13"/>
        <v>0</v>
      </c>
      <c r="AO30" s="340">
        <f t="shared" si="14"/>
        <v>6040</v>
      </c>
      <c r="AP30" s="336">
        <f t="shared" si="15"/>
        <v>6040</v>
      </c>
      <c r="AQ30" s="339">
        <f t="shared" si="15"/>
        <v>0</v>
      </c>
      <c r="AR30" s="340">
        <f t="shared" si="16"/>
        <v>6040</v>
      </c>
      <c r="AS30" s="341">
        <f t="shared" si="42"/>
        <v>12080</v>
      </c>
      <c r="AT30" s="339">
        <f t="shared" si="17"/>
        <v>0</v>
      </c>
      <c r="AU30" s="340">
        <f t="shared" si="18"/>
        <v>12080</v>
      </c>
      <c r="AV30" s="589">
        <f t="shared" si="19"/>
        <v>0</v>
      </c>
      <c r="AW30" s="343"/>
      <c r="AX30" s="344"/>
      <c r="AY30" s="345"/>
      <c r="AZ30" s="344"/>
      <c r="BA30" s="345"/>
      <c r="BB30" s="346"/>
      <c r="BC30" s="347"/>
      <c r="BD30" s="348"/>
      <c r="BE30" s="349"/>
      <c r="BF30" s="348"/>
      <c r="BG30" s="349">
        <v>6040</v>
      </c>
      <c r="BH30" s="350"/>
      <c r="BI30" s="351"/>
      <c r="BJ30" s="352"/>
      <c r="BK30" s="337"/>
      <c r="BL30" s="352"/>
      <c r="BM30" s="337"/>
      <c r="BN30" s="353"/>
      <c r="BO30" s="354"/>
      <c r="BP30" s="355"/>
      <c r="BQ30" s="356"/>
      <c r="BR30" s="355"/>
      <c r="BS30" s="356">
        <v>6040</v>
      </c>
      <c r="BT30" s="357"/>
    </row>
    <row r="31" spans="1:72" s="313" customFormat="1" ht="38.25" outlineLevel="1">
      <c r="A31" s="287">
        <v>20</v>
      </c>
      <c r="B31" s="933"/>
      <c r="C31" s="840"/>
      <c r="D31" s="841"/>
      <c r="E31" s="839"/>
      <c r="F31" s="825" t="s">
        <v>7</v>
      </c>
      <c r="G31" s="314">
        <v>4</v>
      </c>
      <c r="H31" s="739" t="s">
        <v>71</v>
      </c>
      <c r="I31" s="739">
        <v>119</v>
      </c>
      <c r="J31" s="740">
        <v>213</v>
      </c>
      <c r="K31" s="533" t="s">
        <v>321</v>
      </c>
      <c r="L31" s="341">
        <f>1510*3</f>
        <v>4530</v>
      </c>
      <c r="M31" s="318"/>
      <c r="N31" s="318"/>
      <c r="O31" s="318">
        <f t="shared" si="41"/>
        <v>4530</v>
      </c>
      <c r="P31" s="559"/>
      <c r="Q31" s="341">
        <f>1510*3</f>
        <v>4530</v>
      </c>
      <c r="R31" s="559"/>
      <c r="S31" s="341">
        <f>1510*3</f>
        <v>4530</v>
      </c>
      <c r="T31" s="559"/>
      <c r="U31" s="335"/>
      <c r="V31" s="320"/>
      <c r="W31" s="320"/>
      <c r="X31" s="320"/>
      <c r="Z31" s="336">
        <f t="shared" si="5"/>
        <v>0</v>
      </c>
      <c r="AA31" s="337">
        <f t="shared" si="5"/>
        <v>0</v>
      </c>
      <c r="AB31" s="338">
        <f t="shared" si="6"/>
        <v>0</v>
      </c>
      <c r="AC31" s="336">
        <f t="shared" si="7"/>
        <v>0</v>
      </c>
      <c r="AD31" s="337">
        <f t="shared" si="7"/>
        <v>0</v>
      </c>
      <c r="AE31" s="338">
        <f t="shared" si="8"/>
        <v>0</v>
      </c>
      <c r="AF31" s="336">
        <f t="shared" si="9"/>
        <v>1510</v>
      </c>
      <c r="AG31" s="337">
        <f t="shared" si="9"/>
        <v>0</v>
      </c>
      <c r="AH31" s="338">
        <f t="shared" si="10"/>
        <v>1510</v>
      </c>
      <c r="AI31" s="336">
        <f t="shared" si="11"/>
        <v>3020</v>
      </c>
      <c r="AJ31" s="337">
        <f t="shared" si="11"/>
        <v>0</v>
      </c>
      <c r="AK31" s="338">
        <f t="shared" si="12"/>
        <v>3020</v>
      </c>
      <c r="AL31" s="342"/>
      <c r="AM31" s="336">
        <f t="shared" si="13"/>
        <v>0</v>
      </c>
      <c r="AN31" s="339">
        <f t="shared" si="13"/>
        <v>0</v>
      </c>
      <c r="AO31" s="340">
        <f t="shared" si="14"/>
        <v>0</v>
      </c>
      <c r="AP31" s="336">
        <f t="shared" si="15"/>
        <v>1510</v>
      </c>
      <c r="AQ31" s="339">
        <f t="shared" si="15"/>
        <v>0</v>
      </c>
      <c r="AR31" s="340">
        <f t="shared" si="16"/>
        <v>1510</v>
      </c>
      <c r="AS31" s="341">
        <f t="shared" si="42"/>
        <v>4530</v>
      </c>
      <c r="AT31" s="339">
        <f t="shared" si="17"/>
        <v>0</v>
      </c>
      <c r="AU31" s="340">
        <f t="shared" si="18"/>
        <v>4530</v>
      </c>
      <c r="AV31" s="589">
        <f t="shared" si="19"/>
        <v>0</v>
      </c>
      <c r="AW31" s="343"/>
      <c r="AX31" s="344"/>
      <c r="AY31" s="345"/>
      <c r="AZ31" s="344"/>
      <c r="BA31" s="345"/>
      <c r="BB31" s="346"/>
      <c r="BC31" s="347"/>
      <c r="BD31" s="348"/>
      <c r="BE31" s="349"/>
      <c r="BF31" s="348"/>
      <c r="BG31" s="349"/>
      <c r="BH31" s="350"/>
      <c r="BI31" s="351"/>
      <c r="BJ31" s="352"/>
      <c r="BK31" s="337"/>
      <c r="BL31" s="352"/>
      <c r="BM31" s="337">
        <v>1510</v>
      </c>
      <c r="BN31" s="353"/>
      <c r="BO31" s="354"/>
      <c r="BP31" s="355"/>
      <c r="BQ31" s="356">
        <v>3020</v>
      </c>
      <c r="BR31" s="355"/>
      <c r="BS31" s="356"/>
      <c r="BT31" s="357"/>
    </row>
    <row r="32" spans="1:72" s="313" customFormat="1" ht="63.75" outlineLevel="1">
      <c r="A32" s="287">
        <v>21</v>
      </c>
      <c r="B32" s="933"/>
      <c r="C32" s="840"/>
      <c r="D32" s="841"/>
      <c r="E32" s="839"/>
      <c r="F32" s="825" t="s">
        <v>7</v>
      </c>
      <c r="G32" s="314">
        <v>4</v>
      </c>
      <c r="H32" s="739" t="s">
        <v>71</v>
      </c>
      <c r="I32" s="739">
        <v>119</v>
      </c>
      <c r="J32" s="740">
        <v>213</v>
      </c>
      <c r="K32" s="533" t="s">
        <v>320</v>
      </c>
      <c r="L32" s="341">
        <v>61236.68</v>
      </c>
      <c r="M32" s="318"/>
      <c r="N32" s="318"/>
      <c r="O32" s="318">
        <f t="shared" si="41"/>
        <v>61236.68</v>
      </c>
      <c r="P32" s="559"/>
      <c r="Q32" s="336">
        <v>52698.400000000001</v>
      </c>
      <c r="R32" s="559"/>
      <c r="S32" s="336">
        <v>44248.12</v>
      </c>
      <c r="T32" s="559"/>
      <c r="U32" s="335"/>
      <c r="V32" s="320"/>
      <c r="W32" s="320"/>
      <c r="X32" s="320"/>
      <c r="Z32" s="336">
        <f t="shared" si="5"/>
        <v>0</v>
      </c>
      <c r="AA32" s="337">
        <f t="shared" si="5"/>
        <v>0</v>
      </c>
      <c r="AB32" s="338">
        <f t="shared" si="6"/>
        <v>0</v>
      </c>
      <c r="AC32" s="336">
        <f t="shared" si="7"/>
        <v>24246.68</v>
      </c>
      <c r="AD32" s="337">
        <f t="shared" si="7"/>
        <v>0</v>
      </c>
      <c r="AE32" s="338">
        <f t="shared" si="8"/>
        <v>24246.68</v>
      </c>
      <c r="AF32" s="336">
        <f t="shared" si="9"/>
        <v>36990</v>
      </c>
      <c r="AG32" s="337">
        <f t="shared" si="9"/>
        <v>0</v>
      </c>
      <c r="AH32" s="338">
        <f t="shared" si="10"/>
        <v>36990</v>
      </c>
      <c r="AI32" s="336">
        <f t="shared" si="11"/>
        <v>0</v>
      </c>
      <c r="AJ32" s="337">
        <f t="shared" si="11"/>
        <v>0</v>
      </c>
      <c r="AK32" s="338">
        <f t="shared" si="12"/>
        <v>0</v>
      </c>
      <c r="AL32" s="342"/>
      <c r="AM32" s="336">
        <f t="shared" si="13"/>
        <v>24246.68</v>
      </c>
      <c r="AN32" s="339">
        <f t="shared" si="13"/>
        <v>0</v>
      </c>
      <c r="AO32" s="340">
        <f t="shared" si="14"/>
        <v>24246.68</v>
      </c>
      <c r="AP32" s="336">
        <f t="shared" si="15"/>
        <v>61236.68</v>
      </c>
      <c r="AQ32" s="339">
        <f t="shared" si="15"/>
        <v>0</v>
      </c>
      <c r="AR32" s="340">
        <f t="shared" si="16"/>
        <v>61236.68</v>
      </c>
      <c r="AS32" s="341">
        <f t="shared" si="42"/>
        <v>61236.68</v>
      </c>
      <c r="AT32" s="339">
        <f t="shared" si="17"/>
        <v>0</v>
      </c>
      <c r="AU32" s="340">
        <f t="shared" si="18"/>
        <v>61236.68</v>
      </c>
      <c r="AV32" s="589">
        <f t="shared" si="19"/>
        <v>0</v>
      </c>
      <c r="AW32" s="343"/>
      <c r="AX32" s="344"/>
      <c r="AY32" s="345"/>
      <c r="AZ32" s="344"/>
      <c r="BA32" s="345"/>
      <c r="BB32" s="346"/>
      <c r="BC32" s="347"/>
      <c r="BD32" s="348"/>
      <c r="BE32" s="349"/>
      <c r="BF32" s="348"/>
      <c r="BG32" s="349">
        <v>24246.68</v>
      </c>
      <c r="BH32" s="350"/>
      <c r="BI32" s="351"/>
      <c r="BJ32" s="352"/>
      <c r="BK32" s="337">
        <v>36990</v>
      </c>
      <c r="BL32" s="352"/>
      <c r="BM32" s="337"/>
      <c r="BN32" s="353"/>
      <c r="BO32" s="354"/>
      <c r="BP32" s="355"/>
      <c r="BQ32" s="356"/>
      <c r="BR32" s="355"/>
      <c r="BS32" s="356"/>
      <c r="BT32" s="357"/>
    </row>
    <row r="33" spans="1:74" s="378" customFormat="1" ht="31.5">
      <c r="A33" s="287">
        <v>22</v>
      </c>
      <c r="B33" s="933"/>
      <c r="C33" s="850"/>
      <c r="D33" s="851" t="s">
        <v>227</v>
      </c>
      <c r="E33" s="852" t="s">
        <v>201</v>
      </c>
      <c r="F33" s="824" t="s">
        <v>7</v>
      </c>
      <c r="G33" s="376">
        <v>4</v>
      </c>
      <c r="H33" s="375" t="s">
        <v>225</v>
      </c>
      <c r="I33" s="376">
        <v>111</v>
      </c>
      <c r="J33" s="377">
        <v>211</v>
      </c>
      <c r="K33" s="531" t="s">
        <v>222</v>
      </c>
      <c r="L33" s="382">
        <v>0</v>
      </c>
      <c r="M33" s="247"/>
      <c r="N33" s="247"/>
      <c r="O33" s="247">
        <f t="shared" si="41"/>
        <v>0</v>
      </c>
      <c r="P33" s="558"/>
      <c r="Q33" s="382"/>
      <c r="R33" s="558"/>
      <c r="S33" s="382"/>
      <c r="T33" s="558"/>
      <c r="U33" s="380"/>
      <c r="V33" s="381"/>
      <c r="W33" s="381"/>
      <c r="X33" s="381"/>
      <c r="Z33" s="382">
        <f t="shared" si="5"/>
        <v>0</v>
      </c>
      <c r="AA33" s="247">
        <f t="shared" si="5"/>
        <v>0</v>
      </c>
      <c r="AB33" s="383">
        <f t="shared" si="6"/>
        <v>0</v>
      </c>
      <c r="AC33" s="382">
        <f t="shared" si="7"/>
        <v>0</v>
      </c>
      <c r="AD33" s="247">
        <f t="shared" si="7"/>
        <v>0</v>
      </c>
      <c r="AE33" s="383">
        <f t="shared" si="8"/>
        <v>0</v>
      </c>
      <c r="AF33" s="382">
        <f t="shared" si="9"/>
        <v>0</v>
      </c>
      <c r="AG33" s="247">
        <f t="shared" si="9"/>
        <v>0</v>
      </c>
      <c r="AH33" s="383">
        <f t="shared" si="10"/>
        <v>0</v>
      </c>
      <c r="AI33" s="382">
        <f t="shared" si="11"/>
        <v>0</v>
      </c>
      <c r="AJ33" s="247">
        <f t="shared" si="11"/>
        <v>0</v>
      </c>
      <c r="AK33" s="383">
        <f t="shared" si="12"/>
        <v>0</v>
      </c>
      <c r="AL33" s="250"/>
      <c r="AM33" s="382">
        <f t="shared" si="13"/>
        <v>0</v>
      </c>
      <c r="AN33" s="247">
        <f t="shared" si="13"/>
        <v>0</v>
      </c>
      <c r="AO33" s="383">
        <f t="shared" si="14"/>
        <v>0</v>
      </c>
      <c r="AP33" s="382">
        <f t="shared" si="15"/>
        <v>0</v>
      </c>
      <c r="AQ33" s="247">
        <f t="shared" si="15"/>
        <v>0</v>
      </c>
      <c r="AR33" s="383">
        <f t="shared" si="16"/>
        <v>0</v>
      </c>
      <c r="AS33" s="382">
        <f t="shared" si="42"/>
        <v>0</v>
      </c>
      <c r="AT33" s="247">
        <f t="shared" si="17"/>
        <v>0</v>
      </c>
      <c r="AU33" s="383">
        <f t="shared" si="18"/>
        <v>0</v>
      </c>
      <c r="AV33" s="599">
        <f t="shared" si="19"/>
        <v>0</v>
      </c>
      <c r="AW33" s="382"/>
      <c r="AX33" s="247"/>
      <c r="AY33" s="247"/>
      <c r="AZ33" s="247"/>
      <c r="BA33" s="247"/>
      <c r="BB33" s="384"/>
      <c r="BC33" s="382"/>
      <c r="BD33" s="247"/>
      <c r="BE33" s="247"/>
      <c r="BF33" s="247"/>
      <c r="BG33" s="247"/>
      <c r="BH33" s="384"/>
      <c r="BI33" s="382"/>
      <c r="BJ33" s="247"/>
      <c r="BK33" s="247"/>
      <c r="BL33" s="247"/>
      <c r="BM33" s="247"/>
      <c r="BN33" s="384"/>
      <c r="BO33" s="382"/>
      <c r="BP33" s="247"/>
      <c r="BQ33" s="247"/>
      <c r="BR33" s="247"/>
      <c r="BS33" s="247"/>
      <c r="BT33" s="383"/>
      <c r="BV33" s="378" t="s">
        <v>197</v>
      </c>
    </row>
    <row r="34" spans="1:74" s="358" customFormat="1" ht="31.5">
      <c r="A34" s="287">
        <v>23</v>
      </c>
      <c r="B34" s="933"/>
      <c r="C34" s="837"/>
      <c r="D34" s="838" t="s">
        <v>227</v>
      </c>
      <c r="E34" s="836" t="s">
        <v>201</v>
      </c>
      <c r="F34" s="820" t="s">
        <v>7</v>
      </c>
      <c r="G34" s="360">
        <v>4</v>
      </c>
      <c r="H34" s="360" t="s">
        <v>224</v>
      </c>
      <c r="I34" s="360">
        <v>119</v>
      </c>
      <c r="J34" s="361">
        <v>213</v>
      </c>
      <c r="K34" s="532" t="s">
        <v>223</v>
      </c>
      <c r="L34" s="367">
        <v>0</v>
      </c>
      <c r="M34" s="363"/>
      <c r="N34" s="363"/>
      <c r="O34" s="363">
        <f t="shared" si="41"/>
        <v>0</v>
      </c>
      <c r="P34" s="557"/>
      <c r="Q34" s="367"/>
      <c r="R34" s="557"/>
      <c r="S34" s="367"/>
      <c r="T34" s="557"/>
      <c r="U34" s="365"/>
      <c r="V34" s="366"/>
      <c r="W34" s="366"/>
      <c r="X34" s="366"/>
      <c r="Z34" s="367">
        <f t="shared" si="5"/>
        <v>0</v>
      </c>
      <c r="AA34" s="363">
        <f t="shared" si="5"/>
        <v>0</v>
      </c>
      <c r="AB34" s="280">
        <f t="shared" si="6"/>
        <v>0</v>
      </c>
      <c r="AC34" s="367">
        <f t="shared" si="7"/>
        <v>0</v>
      </c>
      <c r="AD34" s="363">
        <f t="shared" si="7"/>
        <v>0</v>
      </c>
      <c r="AE34" s="280">
        <f t="shared" si="8"/>
        <v>0</v>
      </c>
      <c r="AF34" s="367">
        <f t="shared" si="9"/>
        <v>0</v>
      </c>
      <c r="AG34" s="363">
        <f t="shared" si="9"/>
        <v>0</v>
      </c>
      <c r="AH34" s="280">
        <f t="shared" si="10"/>
        <v>0</v>
      </c>
      <c r="AI34" s="367">
        <f t="shared" si="11"/>
        <v>0</v>
      </c>
      <c r="AJ34" s="363">
        <f t="shared" si="11"/>
        <v>0</v>
      </c>
      <c r="AK34" s="280">
        <f t="shared" si="12"/>
        <v>0</v>
      </c>
      <c r="AL34" s="368"/>
      <c r="AM34" s="367">
        <f t="shared" si="13"/>
        <v>0</v>
      </c>
      <c r="AN34" s="363">
        <f t="shared" si="13"/>
        <v>0</v>
      </c>
      <c r="AO34" s="280">
        <f t="shared" si="14"/>
        <v>0</v>
      </c>
      <c r="AP34" s="367">
        <f t="shared" si="15"/>
        <v>0</v>
      </c>
      <c r="AQ34" s="363">
        <f t="shared" si="15"/>
        <v>0</v>
      </c>
      <c r="AR34" s="280">
        <f t="shared" si="16"/>
        <v>0</v>
      </c>
      <c r="AS34" s="367">
        <f t="shared" si="42"/>
        <v>0</v>
      </c>
      <c r="AT34" s="363">
        <f t="shared" si="17"/>
        <v>0</v>
      </c>
      <c r="AU34" s="280">
        <f t="shared" si="18"/>
        <v>0</v>
      </c>
      <c r="AV34" s="588">
        <f t="shared" si="19"/>
        <v>0</v>
      </c>
      <c r="AW34" s="367"/>
      <c r="AX34" s="363"/>
      <c r="AY34" s="363"/>
      <c r="AZ34" s="363"/>
      <c r="BA34" s="363"/>
      <c r="BB34" s="369"/>
      <c r="BC34" s="367"/>
      <c r="BD34" s="363"/>
      <c r="BE34" s="363"/>
      <c r="BF34" s="363"/>
      <c r="BG34" s="363"/>
      <c r="BH34" s="369"/>
      <c r="BI34" s="367"/>
      <c r="BJ34" s="363"/>
      <c r="BK34" s="363"/>
      <c r="BL34" s="363"/>
      <c r="BM34" s="363"/>
      <c r="BN34" s="369"/>
      <c r="BO34" s="367"/>
      <c r="BP34" s="363"/>
      <c r="BQ34" s="363"/>
      <c r="BR34" s="363"/>
      <c r="BS34" s="363"/>
      <c r="BT34" s="280"/>
      <c r="BV34" s="358" t="s">
        <v>197</v>
      </c>
    </row>
    <row r="35" spans="1:74" s="358" customFormat="1" ht="31.5">
      <c r="A35" s="287">
        <v>24</v>
      </c>
      <c r="B35" s="933"/>
      <c r="C35" s="837"/>
      <c r="D35" s="838"/>
      <c r="E35" s="836" t="s">
        <v>201</v>
      </c>
      <c r="F35" s="820" t="s">
        <v>7</v>
      </c>
      <c r="G35" s="360">
        <v>4</v>
      </c>
      <c r="H35" s="360" t="s">
        <v>71</v>
      </c>
      <c r="I35" s="360">
        <v>112</v>
      </c>
      <c r="J35" s="361">
        <v>214</v>
      </c>
      <c r="K35" s="532" t="s">
        <v>35</v>
      </c>
      <c r="L35" s="367">
        <v>1000000</v>
      </c>
      <c r="M35" s="363"/>
      <c r="N35" s="363"/>
      <c r="O35" s="363">
        <f t="shared" si="41"/>
        <v>1000000</v>
      </c>
      <c r="P35" s="557"/>
      <c r="Q35" s="367">
        <v>900000</v>
      </c>
      <c r="R35" s="557"/>
      <c r="S35" s="367">
        <v>1000000</v>
      </c>
      <c r="T35" s="557"/>
      <c r="U35" s="365"/>
      <c r="V35" s="366"/>
      <c r="W35" s="366"/>
      <c r="X35" s="366"/>
      <c r="Z35" s="367">
        <f t="shared" si="5"/>
        <v>0</v>
      </c>
      <c r="AA35" s="363">
        <f t="shared" si="5"/>
        <v>0</v>
      </c>
      <c r="AB35" s="280">
        <f t="shared" si="6"/>
        <v>0</v>
      </c>
      <c r="AC35" s="367">
        <f t="shared" si="7"/>
        <v>800000</v>
      </c>
      <c r="AD35" s="363">
        <f t="shared" si="7"/>
        <v>0</v>
      </c>
      <c r="AE35" s="280">
        <f t="shared" si="8"/>
        <v>800000</v>
      </c>
      <c r="AF35" s="367">
        <f t="shared" si="9"/>
        <v>200000</v>
      </c>
      <c r="AG35" s="363">
        <f t="shared" si="9"/>
        <v>0</v>
      </c>
      <c r="AH35" s="280">
        <f t="shared" si="10"/>
        <v>200000</v>
      </c>
      <c r="AI35" s="367">
        <f t="shared" si="11"/>
        <v>0</v>
      </c>
      <c r="AJ35" s="363">
        <f t="shared" si="11"/>
        <v>0</v>
      </c>
      <c r="AK35" s="280">
        <f t="shared" si="12"/>
        <v>0</v>
      </c>
      <c r="AL35" s="368"/>
      <c r="AM35" s="367">
        <f t="shared" si="13"/>
        <v>800000</v>
      </c>
      <c r="AN35" s="363">
        <f t="shared" si="13"/>
        <v>0</v>
      </c>
      <c r="AO35" s="280">
        <f t="shared" si="14"/>
        <v>800000</v>
      </c>
      <c r="AP35" s="367">
        <f t="shared" si="15"/>
        <v>1000000</v>
      </c>
      <c r="AQ35" s="363">
        <f t="shared" si="15"/>
        <v>0</v>
      </c>
      <c r="AR35" s="280">
        <f t="shared" si="16"/>
        <v>1000000</v>
      </c>
      <c r="AS35" s="367">
        <f t="shared" si="42"/>
        <v>1000000</v>
      </c>
      <c r="AT35" s="363">
        <f t="shared" si="17"/>
        <v>0</v>
      </c>
      <c r="AU35" s="280">
        <f t="shared" si="18"/>
        <v>1000000</v>
      </c>
      <c r="AV35" s="588">
        <f t="shared" si="19"/>
        <v>0</v>
      </c>
      <c r="AW35" s="367"/>
      <c r="AX35" s="363"/>
      <c r="AY35" s="363"/>
      <c r="AZ35" s="363"/>
      <c r="BA35" s="363"/>
      <c r="BB35" s="369"/>
      <c r="BC35" s="367"/>
      <c r="BD35" s="363"/>
      <c r="BE35" s="363"/>
      <c r="BF35" s="363"/>
      <c r="BG35" s="363">
        <v>800000</v>
      </c>
      <c r="BH35" s="369"/>
      <c r="BI35" s="367"/>
      <c r="BJ35" s="363"/>
      <c r="BK35" s="363">
        <v>200000</v>
      </c>
      <c r="BL35" s="363"/>
      <c r="BM35" s="363"/>
      <c r="BN35" s="369"/>
      <c r="BO35" s="367"/>
      <c r="BP35" s="363"/>
      <c r="BQ35" s="363"/>
      <c r="BR35" s="363"/>
      <c r="BS35" s="363"/>
      <c r="BT35" s="280"/>
    </row>
    <row r="36" spans="1:74" s="358" customFormat="1" ht="47.25">
      <c r="A36" s="287">
        <v>26</v>
      </c>
      <c r="B36" s="933"/>
      <c r="C36" s="837"/>
      <c r="D36" s="838"/>
      <c r="E36" s="836" t="s">
        <v>201</v>
      </c>
      <c r="F36" s="820" t="s">
        <v>7</v>
      </c>
      <c r="G36" s="360">
        <v>4</v>
      </c>
      <c r="H36" s="360" t="s">
        <v>71</v>
      </c>
      <c r="I36" s="360">
        <v>112</v>
      </c>
      <c r="J36" s="361">
        <v>266</v>
      </c>
      <c r="K36" s="532" t="s">
        <v>220</v>
      </c>
      <c r="L36" s="367">
        <f>3060</f>
        <v>3060</v>
      </c>
      <c r="M36" s="363"/>
      <c r="N36" s="363"/>
      <c r="O36" s="363">
        <f t="shared" si="41"/>
        <v>3060</v>
      </c>
      <c r="P36" s="557"/>
      <c r="Q36" s="367">
        <v>1105</v>
      </c>
      <c r="R36" s="557"/>
      <c r="S36" s="367">
        <v>0</v>
      </c>
      <c r="T36" s="557"/>
      <c r="U36" s="365"/>
      <c r="V36" s="366"/>
      <c r="W36" s="366"/>
      <c r="X36" s="366"/>
      <c r="Z36" s="367">
        <f t="shared" si="5"/>
        <v>510</v>
      </c>
      <c r="AA36" s="363">
        <f t="shared" si="5"/>
        <v>0</v>
      </c>
      <c r="AB36" s="280">
        <f t="shared" si="6"/>
        <v>510</v>
      </c>
      <c r="AC36" s="367">
        <f t="shared" si="7"/>
        <v>765</v>
      </c>
      <c r="AD36" s="363">
        <f t="shared" si="7"/>
        <v>0</v>
      </c>
      <c r="AE36" s="280">
        <f t="shared" si="8"/>
        <v>765</v>
      </c>
      <c r="AF36" s="367">
        <f t="shared" si="9"/>
        <v>765</v>
      </c>
      <c r="AG36" s="363">
        <f t="shared" si="9"/>
        <v>0</v>
      </c>
      <c r="AH36" s="280">
        <f t="shared" si="10"/>
        <v>765</v>
      </c>
      <c r="AI36" s="367">
        <f t="shared" si="11"/>
        <v>1020</v>
      </c>
      <c r="AJ36" s="363">
        <f t="shared" si="11"/>
        <v>0</v>
      </c>
      <c r="AK36" s="280">
        <f t="shared" si="12"/>
        <v>1020</v>
      </c>
      <c r="AL36" s="368"/>
      <c r="AM36" s="367">
        <f t="shared" si="13"/>
        <v>1275</v>
      </c>
      <c r="AN36" s="363">
        <f t="shared" si="13"/>
        <v>0</v>
      </c>
      <c r="AO36" s="280">
        <f t="shared" si="14"/>
        <v>1275</v>
      </c>
      <c r="AP36" s="367">
        <f t="shared" si="15"/>
        <v>2040</v>
      </c>
      <c r="AQ36" s="363">
        <f t="shared" si="15"/>
        <v>0</v>
      </c>
      <c r="AR36" s="280">
        <f t="shared" si="16"/>
        <v>2040</v>
      </c>
      <c r="AS36" s="367">
        <f t="shared" si="42"/>
        <v>3060</v>
      </c>
      <c r="AT36" s="363">
        <f t="shared" si="17"/>
        <v>0</v>
      </c>
      <c r="AU36" s="280">
        <f t="shared" si="18"/>
        <v>3060</v>
      </c>
      <c r="AV36" s="588">
        <f t="shared" si="19"/>
        <v>0</v>
      </c>
      <c r="AW36" s="367"/>
      <c r="AX36" s="363"/>
      <c r="AY36" s="363">
        <f>3*85</f>
        <v>255</v>
      </c>
      <c r="AZ36" s="363"/>
      <c r="BA36" s="363">
        <f>3*85</f>
        <v>255</v>
      </c>
      <c r="BB36" s="369"/>
      <c r="BC36" s="367">
        <f>3*85</f>
        <v>255</v>
      </c>
      <c r="BD36" s="363"/>
      <c r="BE36" s="363">
        <f>3*85</f>
        <v>255</v>
      </c>
      <c r="BF36" s="363"/>
      <c r="BG36" s="363">
        <f>3*85</f>
        <v>255</v>
      </c>
      <c r="BH36" s="369"/>
      <c r="BI36" s="367">
        <f>3*85</f>
        <v>255</v>
      </c>
      <c r="BJ36" s="363"/>
      <c r="BK36" s="363">
        <f>3*85</f>
        <v>255</v>
      </c>
      <c r="BL36" s="363"/>
      <c r="BM36" s="363">
        <f>3*85</f>
        <v>255</v>
      </c>
      <c r="BN36" s="369"/>
      <c r="BO36" s="367">
        <f>3*85</f>
        <v>255</v>
      </c>
      <c r="BP36" s="363"/>
      <c r="BQ36" s="363">
        <f>3*85</f>
        <v>255</v>
      </c>
      <c r="BR36" s="363"/>
      <c r="BS36" s="363">
        <f>3*85*2</f>
        <v>510</v>
      </c>
      <c r="BT36" s="280"/>
    </row>
    <row r="37" spans="1:74" s="358" customFormat="1" ht="31.5" customHeight="1">
      <c r="A37" s="287">
        <v>27</v>
      </c>
      <c r="B37" s="933"/>
      <c r="C37" s="850" t="s">
        <v>377</v>
      </c>
      <c r="D37" s="838"/>
      <c r="E37" s="836" t="s">
        <v>201</v>
      </c>
      <c r="F37" s="820" t="s">
        <v>7</v>
      </c>
      <c r="G37" s="360">
        <v>4</v>
      </c>
      <c r="H37" s="360" t="s">
        <v>71</v>
      </c>
      <c r="I37" s="360">
        <v>244</v>
      </c>
      <c r="J37" s="361">
        <v>221</v>
      </c>
      <c r="K37" s="532" t="s">
        <v>11</v>
      </c>
      <c r="L37" s="367">
        <f>SUM(L38:L42)</f>
        <v>196510.7</v>
      </c>
      <c r="M37" s="363"/>
      <c r="N37" s="363"/>
      <c r="O37" s="363">
        <f t="shared" si="41"/>
        <v>196510.7</v>
      </c>
      <c r="P37" s="557"/>
      <c r="Q37" s="367">
        <f>SUM(Q38:Q42)</f>
        <v>196510.72</v>
      </c>
      <c r="R37" s="557"/>
      <c r="S37" s="367">
        <f t="shared" ref="S37" si="94">SUM(S38:S42)</f>
        <v>197767.89</v>
      </c>
      <c r="T37" s="557"/>
      <c r="U37" s="365"/>
      <c r="V37" s="366"/>
      <c r="W37" s="366"/>
      <c r="X37" s="366"/>
      <c r="Z37" s="367">
        <f t="shared" si="5"/>
        <v>35780</v>
      </c>
      <c r="AA37" s="363">
        <f t="shared" si="5"/>
        <v>0</v>
      </c>
      <c r="AB37" s="280">
        <f t="shared" si="6"/>
        <v>35780</v>
      </c>
      <c r="AC37" s="367">
        <f t="shared" si="7"/>
        <v>52820</v>
      </c>
      <c r="AD37" s="363">
        <f t="shared" si="7"/>
        <v>0</v>
      </c>
      <c r="AE37" s="280">
        <f t="shared" si="8"/>
        <v>52820</v>
      </c>
      <c r="AF37" s="367">
        <f t="shared" si="9"/>
        <v>52550.7</v>
      </c>
      <c r="AG37" s="363">
        <f t="shared" si="9"/>
        <v>0</v>
      </c>
      <c r="AH37" s="280">
        <f t="shared" si="10"/>
        <v>52550.7</v>
      </c>
      <c r="AI37" s="367">
        <f t="shared" si="11"/>
        <v>55360</v>
      </c>
      <c r="AJ37" s="363">
        <f t="shared" si="11"/>
        <v>0</v>
      </c>
      <c r="AK37" s="280">
        <f t="shared" si="12"/>
        <v>55360</v>
      </c>
      <c r="AL37" s="368"/>
      <c r="AM37" s="367">
        <f t="shared" si="13"/>
        <v>88600</v>
      </c>
      <c r="AN37" s="363">
        <f t="shared" si="13"/>
        <v>0</v>
      </c>
      <c r="AO37" s="280">
        <f t="shared" si="14"/>
        <v>88600</v>
      </c>
      <c r="AP37" s="367">
        <f t="shared" si="15"/>
        <v>141150.70000000001</v>
      </c>
      <c r="AQ37" s="363">
        <f t="shared" si="15"/>
        <v>0</v>
      </c>
      <c r="AR37" s="280">
        <f t="shared" si="16"/>
        <v>141150.70000000001</v>
      </c>
      <c r="AS37" s="367">
        <f t="shared" si="42"/>
        <v>196510.7</v>
      </c>
      <c r="AT37" s="363">
        <f t="shared" si="17"/>
        <v>0</v>
      </c>
      <c r="AU37" s="280">
        <f t="shared" si="18"/>
        <v>196510.7</v>
      </c>
      <c r="AV37" s="588">
        <f t="shared" si="19"/>
        <v>0</v>
      </c>
      <c r="AW37" s="367">
        <f t="shared" ref="AW37:BT37" si="95">SUM(AW38:AW42)</f>
        <v>0</v>
      </c>
      <c r="AX37" s="363">
        <f t="shared" si="95"/>
        <v>0</v>
      </c>
      <c r="AY37" s="363">
        <f t="shared" si="95"/>
        <v>17840</v>
      </c>
      <c r="AZ37" s="363">
        <f t="shared" si="95"/>
        <v>0</v>
      </c>
      <c r="BA37" s="363">
        <f t="shared" si="95"/>
        <v>17940</v>
      </c>
      <c r="BB37" s="369">
        <f t="shared" si="95"/>
        <v>0</v>
      </c>
      <c r="BC37" s="367">
        <f t="shared" si="95"/>
        <v>17440</v>
      </c>
      <c r="BD37" s="363">
        <f t="shared" si="95"/>
        <v>0</v>
      </c>
      <c r="BE37" s="363">
        <f t="shared" si="95"/>
        <v>17940</v>
      </c>
      <c r="BF37" s="363">
        <f t="shared" si="95"/>
        <v>0</v>
      </c>
      <c r="BG37" s="363">
        <f t="shared" si="95"/>
        <v>17440</v>
      </c>
      <c r="BH37" s="369">
        <f t="shared" si="95"/>
        <v>0</v>
      </c>
      <c r="BI37" s="367">
        <f t="shared" si="95"/>
        <v>17670.7</v>
      </c>
      <c r="BJ37" s="363">
        <f t="shared" si="95"/>
        <v>0</v>
      </c>
      <c r="BK37" s="363">
        <f t="shared" si="95"/>
        <v>17440</v>
      </c>
      <c r="BL37" s="363">
        <f t="shared" si="95"/>
        <v>0</v>
      </c>
      <c r="BM37" s="363">
        <f t="shared" si="95"/>
        <v>17440</v>
      </c>
      <c r="BN37" s="369">
        <f t="shared" si="95"/>
        <v>0</v>
      </c>
      <c r="BO37" s="367">
        <f t="shared" si="95"/>
        <v>17440</v>
      </c>
      <c r="BP37" s="363">
        <f t="shared" si="95"/>
        <v>0</v>
      </c>
      <c r="BQ37" s="363">
        <f t="shared" si="95"/>
        <v>12640</v>
      </c>
      <c r="BR37" s="363">
        <f t="shared" si="95"/>
        <v>0</v>
      </c>
      <c r="BS37" s="363">
        <f t="shared" si="95"/>
        <v>25280</v>
      </c>
      <c r="BT37" s="280">
        <f t="shared" si="95"/>
        <v>0</v>
      </c>
    </row>
    <row r="38" spans="1:74" s="313" customFormat="1" ht="25.5" outlineLevel="1">
      <c r="A38" s="287">
        <v>28</v>
      </c>
      <c r="B38" s="933"/>
      <c r="C38" s="840"/>
      <c r="D38" s="841"/>
      <c r="E38" s="839"/>
      <c r="F38" s="821" t="s">
        <v>7</v>
      </c>
      <c r="G38" s="314">
        <v>4</v>
      </c>
      <c r="H38" s="739" t="s">
        <v>71</v>
      </c>
      <c r="I38" s="739">
        <v>244</v>
      </c>
      <c r="J38" s="740">
        <v>221</v>
      </c>
      <c r="K38" s="533" t="s">
        <v>236</v>
      </c>
      <c r="L38" s="341">
        <f>2230.7-600</f>
        <v>1630.7</v>
      </c>
      <c r="M38" s="318"/>
      <c r="N38" s="318"/>
      <c r="O38" s="318">
        <f t="shared" si="41"/>
        <v>1630.7</v>
      </c>
      <c r="P38" s="559"/>
      <c r="Q38" s="336">
        <v>2230.7199999999998</v>
      </c>
      <c r="R38" s="559"/>
      <c r="S38" s="336">
        <v>3487.89</v>
      </c>
      <c r="T38" s="559"/>
      <c r="U38" s="335"/>
      <c r="V38" s="320"/>
      <c r="W38" s="320"/>
      <c r="X38" s="320"/>
      <c r="Z38" s="336">
        <f t="shared" si="5"/>
        <v>900</v>
      </c>
      <c r="AA38" s="337">
        <f t="shared" si="5"/>
        <v>0</v>
      </c>
      <c r="AB38" s="338">
        <f t="shared" si="6"/>
        <v>900</v>
      </c>
      <c r="AC38" s="336">
        <f t="shared" si="7"/>
        <v>500</v>
      </c>
      <c r="AD38" s="337">
        <f t="shared" si="7"/>
        <v>0</v>
      </c>
      <c r="AE38" s="338">
        <f t="shared" si="8"/>
        <v>500</v>
      </c>
      <c r="AF38" s="336">
        <f t="shared" si="9"/>
        <v>230.7</v>
      </c>
      <c r="AG38" s="337">
        <f t="shared" si="9"/>
        <v>0</v>
      </c>
      <c r="AH38" s="338">
        <f t="shared" si="10"/>
        <v>230.7</v>
      </c>
      <c r="AI38" s="336">
        <f t="shared" si="11"/>
        <v>0</v>
      </c>
      <c r="AJ38" s="337">
        <f t="shared" si="11"/>
        <v>0</v>
      </c>
      <c r="AK38" s="338">
        <f t="shared" si="12"/>
        <v>0</v>
      </c>
      <c r="AL38" s="342"/>
      <c r="AM38" s="336">
        <f t="shared" si="13"/>
        <v>1400</v>
      </c>
      <c r="AN38" s="339">
        <f t="shared" si="13"/>
        <v>0</v>
      </c>
      <c r="AO38" s="340">
        <f t="shared" si="14"/>
        <v>1400</v>
      </c>
      <c r="AP38" s="336">
        <f t="shared" si="15"/>
        <v>1630.7</v>
      </c>
      <c r="AQ38" s="339">
        <f t="shared" si="15"/>
        <v>0</v>
      </c>
      <c r="AR38" s="340">
        <f t="shared" si="16"/>
        <v>1630.7</v>
      </c>
      <c r="AS38" s="341">
        <f t="shared" si="42"/>
        <v>1630.7</v>
      </c>
      <c r="AT38" s="339">
        <f t="shared" si="17"/>
        <v>0</v>
      </c>
      <c r="AU38" s="340">
        <f t="shared" si="18"/>
        <v>1630.7</v>
      </c>
      <c r="AV38" s="589">
        <f t="shared" si="19"/>
        <v>0</v>
      </c>
      <c r="AW38" s="343"/>
      <c r="AX38" s="344"/>
      <c r="AY38" s="345">
        <v>400</v>
      </c>
      <c r="AZ38" s="344"/>
      <c r="BA38" s="345">
        <v>500</v>
      </c>
      <c r="BB38" s="346"/>
      <c r="BC38" s="347"/>
      <c r="BD38" s="348"/>
      <c r="BE38" s="349">
        <v>500</v>
      </c>
      <c r="BF38" s="348"/>
      <c r="BG38" s="349"/>
      <c r="BH38" s="350"/>
      <c r="BI38" s="351">
        <v>230.7</v>
      </c>
      <c r="BJ38" s="352"/>
      <c r="BK38" s="337"/>
      <c r="BL38" s="352"/>
      <c r="BM38" s="337"/>
      <c r="BN38" s="353"/>
      <c r="BO38" s="354"/>
      <c r="BP38" s="355"/>
      <c r="BQ38" s="356"/>
      <c r="BR38" s="355"/>
      <c r="BS38" s="356"/>
      <c r="BT38" s="357"/>
    </row>
    <row r="39" spans="1:74" s="313" customFormat="1" ht="38.25" outlineLevel="1">
      <c r="A39" s="287">
        <v>29</v>
      </c>
      <c r="B39" s="933"/>
      <c r="C39" s="840"/>
      <c r="D39" s="841"/>
      <c r="E39" s="839"/>
      <c r="F39" s="821" t="s">
        <v>7</v>
      </c>
      <c r="G39" s="314">
        <v>4</v>
      </c>
      <c r="H39" s="739" t="s">
        <v>71</v>
      </c>
      <c r="I39" s="739">
        <v>244</v>
      </c>
      <c r="J39" s="740">
        <v>221</v>
      </c>
      <c r="K39" s="533" t="s">
        <v>422</v>
      </c>
      <c r="L39" s="341">
        <v>63480</v>
      </c>
      <c r="M39" s="318"/>
      <c r="N39" s="318"/>
      <c r="O39" s="318">
        <f t="shared" si="41"/>
        <v>63480</v>
      </c>
      <c r="P39" s="559"/>
      <c r="Q39" s="336">
        <v>63480</v>
      </c>
      <c r="R39" s="559"/>
      <c r="S39" s="336">
        <v>63480</v>
      </c>
      <c r="T39" s="559"/>
      <c r="U39" s="335"/>
      <c r="V39" s="596" t="s">
        <v>231</v>
      </c>
      <c r="W39" s="597" t="s">
        <v>423</v>
      </c>
      <c r="X39" s="597" t="s">
        <v>381</v>
      </c>
      <c r="Z39" s="336">
        <f t="shared" si="5"/>
        <v>10580</v>
      </c>
      <c r="AA39" s="337">
        <f t="shared" si="5"/>
        <v>0</v>
      </c>
      <c r="AB39" s="338">
        <f t="shared" si="6"/>
        <v>10580</v>
      </c>
      <c r="AC39" s="336">
        <f t="shared" si="7"/>
        <v>15870</v>
      </c>
      <c r="AD39" s="337">
        <f t="shared" si="7"/>
        <v>0</v>
      </c>
      <c r="AE39" s="338">
        <f t="shared" si="8"/>
        <v>15870</v>
      </c>
      <c r="AF39" s="336">
        <f t="shared" si="9"/>
        <v>15870</v>
      </c>
      <c r="AG39" s="337">
        <f t="shared" si="9"/>
        <v>0</v>
      </c>
      <c r="AH39" s="338">
        <f t="shared" si="10"/>
        <v>15870</v>
      </c>
      <c r="AI39" s="336">
        <f t="shared" si="11"/>
        <v>21160</v>
      </c>
      <c r="AJ39" s="337">
        <f t="shared" si="11"/>
        <v>0</v>
      </c>
      <c r="AK39" s="338">
        <f t="shared" si="12"/>
        <v>21160</v>
      </c>
      <c r="AL39" s="342"/>
      <c r="AM39" s="336">
        <f t="shared" si="13"/>
        <v>26450</v>
      </c>
      <c r="AN39" s="339">
        <f t="shared" si="13"/>
        <v>0</v>
      </c>
      <c r="AO39" s="340">
        <f t="shared" si="14"/>
        <v>26450</v>
      </c>
      <c r="AP39" s="336">
        <f t="shared" si="15"/>
        <v>42320</v>
      </c>
      <c r="AQ39" s="339">
        <f t="shared" si="15"/>
        <v>0</v>
      </c>
      <c r="AR39" s="340">
        <f t="shared" si="16"/>
        <v>42320</v>
      </c>
      <c r="AS39" s="341">
        <f t="shared" si="42"/>
        <v>63480</v>
      </c>
      <c r="AT39" s="339">
        <f t="shared" si="17"/>
        <v>0</v>
      </c>
      <c r="AU39" s="340">
        <f t="shared" si="18"/>
        <v>63480</v>
      </c>
      <c r="AV39" s="589">
        <f t="shared" si="19"/>
        <v>0</v>
      </c>
      <c r="AW39" s="343"/>
      <c r="AX39" s="344"/>
      <c r="AY39" s="345">
        <v>5290</v>
      </c>
      <c r="AZ39" s="344"/>
      <c r="BA39" s="345">
        <v>5290</v>
      </c>
      <c r="BB39" s="346"/>
      <c r="BC39" s="347">
        <v>5290</v>
      </c>
      <c r="BD39" s="348"/>
      <c r="BE39" s="349">
        <v>5290</v>
      </c>
      <c r="BF39" s="348"/>
      <c r="BG39" s="349">
        <v>5290</v>
      </c>
      <c r="BH39" s="350"/>
      <c r="BI39" s="351">
        <v>5290</v>
      </c>
      <c r="BJ39" s="352"/>
      <c r="BK39" s="337">
        <v>5290</v>
      </c>
      <c r="BL39" s="352"/>
      <c r="BM39" s="337">
        <v>5290</v>
      </c>
      <c r="BN39" s="353"/>
      <c r="BO39" s="354">
        <v>5290</v>
      </c>
      <c r="BP39" s="355"/>
      <c r="BQ39" s="356">
        <v>5290</v>
      </c>
      <c r="BR39" s="355"/>
      <c r="BS39" s="356">
        <f>5290*2</f>
        <v>10580</v>
      </c>
      <c r="BT39" s="357"/>
    </row>
    <row r="40" spans="1:74" s="313" customFormat="1" ht="38.25" outlineLevel="1">
      <c r="A40" s="287">
        <v>30</v>
      </c>
      <c r="B40" s="933"/>
      <c r="C40" s="840"/>
      <c r="D40" s="841"/>
      <c r="E40" s="839"/>
      <c r="F40" s="821" t="s">
        <v>7</v>
      </c>
      <c r="G40" s="314">
        <v>4</v>
      </c>
      <c r="H40" s="739" t="s">
        <v>71</v>
      </c>
      <c r="I40" s="739">
        <v>244</v>
      </c>
      <c r="J40" s="740">
        <v>221</v>
      </c>
      <c r="K40" s="533" t="s">
        <v>421</v>
      </c>
      <c r="L40" s="341">
        <v>87600</v>
      </c>
      <c r="M40" s="318"/>
      <c r="N40" s="318"/>
      <c r="O40" s="318">
        <f t="shared" si="41"/>
        <v>87600</v>
      </c>
      <c r="P40" s="559"/>
      <c r="Q40" s="336">
        <v>87600</v>
      </c>
      <c r="R40" s="559"/>
      <c r="S40" s="336">
        <v>87600</v>
      </c>
      <c r="T40" s="559"/>
      <c r="U40" s="335"/>
      <c r="V40" s="596" t="s">
        <v>231</v>
      </c>
      <c r="W40" s="597" t="s">
        <v>424</v>
      </c>
      <c r="X40" s="597" t="s">
        <v>381</v>
      </c>
      <c r="Z40" s="336">
        <f t="shared" si="5"/>
        <v>14600</v>
      </c>
      <c r="AA40" s="337">
        <f t="shared" si="5"/>
        <v>0</v>
      </c>
      <c r="AB40" s="338">
        <f t="shared" si="6"/>
        <v>14600</v>
      </c>
      <c r="AC40" s="336">
        <f t="shared" si="7"/>
        <v>21900</v>
      </c>
      <c r="AD40" s="337">
        <f t="shared" si="7"/>
        <v>0</v>
      </c>
      <c r="AE40" s="338">
        <f t="shared" si="8"/>
        <v>21900</v>
      </c>
      <c r="AF40" s="336">
        <f t="shared" si="9"/>
        <v>21900</v>
      </c>
      <c r="AG40" s="337">
        <f t="shared" si="9"/>
        <v>0</v>
      </c>
      <c r="AH40" s="338">
        <f t="shared" si="10"/>
        <v>21900</v>
      </c>
      <c r="AI40" s="336">
        <f t="shared" si="11"/>
        <v>29200</v>
      </c>
      <c r="AJ40" s="337">
        <f t="shared" si="11"/>
        <v>0</v>
      </c>
      <c r="AK40" s="338">
        <f t="shared" si="12"/>
        <v>29200</v>
      </c>
      <c r="AL40" s="342"/>
      <c r="AM40" s="336">
        <f t="shared" si="13"/>
        <v>36500</v>
      </c>
      <c r="AN40" s="339">
        <f t="shared" si="13"/>
        <v>0</v>
      </c>
      <c r="AO40" s="340">
        <f t="shared" si="14"/>
        <v>36500</v>
      </c>
      <c r="AP40" s="336">
        <f t="shared" si="15"/>
        <v>58400</v>
      </c>
      <c r="AQ40" s="339">
        <f t="shared" si="15"/>
        <v>0</v>
      </c>
      <c r="AR40" s="340">
        <f t="shared" si="16"/>
        <v>58400</v>
      </c>
      <c r="AS40" s="341">
        <f t="shared" si="42"/>
        <v>87600</v>
      </c>
      <c r="AT40" s="339">
        <f t="shared" si="17"/>
        <v>0</v>
      </c>
      <c r="AU40" s="340">
        <f t="shared" si="18"/>
        <v>87600</v>
      </c>
      <c r="AV40" s="589">
        <f t="shared" si="19"/>
        <v>0</v>
      </c>
      <c r="AW40" s="343"/>
      <c r="AX40" s="344"/>
      <c r="AY40" s="345">
        <v>7300</v>
      </c>
      <c r="AZ40" s="344"/>
      <c r="BA40" s="345">
        <v>7300</v>
      </c>
      <c r="BB40" s="346"/>
      <c r="BC40" s="347">
        <v>7300</v>
      </c>
      <c r="BD40" s="348"/>
      <c r="BE40" s="349">
        <v>7300</v>
      </c>
      <c r="BF40" s="348"/>
      <c r="BG40" s="349">
        <v>7300</v>
      </c>
      <c r="BH40" s="350"/>
      <c r="BI40" s="351">
        <v>7300</v>
      </c>
      <c r="BJ40" s="352"/>
      <c r="BK40" s="337">
        <v>7300</v>
      </c>
      <c r="BL40" s="352"/>
      <c r="BM40" s="337">
        <v>7300</v>
      </c>
      <c r="BN40" s="353"/>
      <c r="BO40" s="354">
        <v>7300</v>
      </c>
      <c r="BP40" s="355"/>
      <c r="BQ40" s="356">
        <v>7300</v>
      </c>
      <c r="BR40" s="355"/>
      <c r="BS40" s="356">
        <f>7300*2</f>
        <v>14600</v>
      </c>
      <c r="BT40" s="357"/>
    </row>
    <row r="41" spans="1:74" s="313" customFormat="1" ht="38.25" outlineLevel="1">
      <c r="A41" s="287">
        <v>31</v>
      </c>
      <c r="B41" s="933"/>
      <c r="C41" s="840"/>
      <c r="D41" s="841"/>
      <c r="E41" s="839"/>
      <c r="F41" s="821" t="s">
        <v>7</v>
      </c>
      <c r="G41" s="314">
        <v>4</v>
      </c>
      <c r="H41" s="739" t="s">
        <v>71</v>
      </c>
      <c r="I41" s="739">
        <v>244</v>
      </c>
      <c r="J41" s="740">
        <v>221</v>
      </c>
      <c r="K41" s="533" t="s">
        <v>418</v>
      </c>
      <c r="L41" s="341">
        <v>600</v>
      </c>
      <c r="M41" s="318"/>
      <c r="N41" s="318"/>
      <c r="O41" s="318">
        <f t="shared" si="41"/>
        <v>600</v>
      </c>
      <c r="P41" s="559"/>
      <c r="Q41" s="336">
        <v>0</v>
      </c>
      <c r="R41" s="559"/>
      <c r="S41" s="336">
        <v>0</v>
      </c>
      <c r="T41" s="559"/>
      <c r="U41" s="335"/>
      <c r="V41" s="596" t="s">
        <v>419</v>
      </c>
      <c r="W41" s="597" t="s">
        <v>420</v>
      </c>
      <c r="X41" s="597" t="s">
        <v>381</v>
      </c>
      <c r="Z41" s="336">
        <f t="shared" si="5"/>
        <v>100</v>
      </c>
      <c r="AA41" s="337">
        <f t="shared" si="5"/>
        <v>0</v>
      </c>
      <c r="AB41" s="338">
        <f t="shared" si="6"/>
        <v>100</v>
      </c>
      <c r="AC41" s="336">
        <f t="shared" si="7"/>
        <v>150</v>
      </c>
      <c r="AD41" s="337">
        <f t="shared" si="7"/>
        <v>0</v>
      </c>
      <c r="AE41" s="338">
        <f t="shared" si="8"/>
        <v>150</v>
      </c>
      <c r="AF41" s="336">
        <f t="shared" si="9"/>
        <v>150</v>
      </c>
      <c r="AG41" s="337">
        <f t="shared" si="9"/>
        <v>0</v>
      </c>
      <c r="AH41" s="338">
        <f t="shared" si="10"/>
        <v>150</v>
      </c>
      <c r="AI41" s="336">
        <f t="shared" si="11"/>
        <v>200</v>
      </c>
      <c r="AJ41" s="337">
        <f t="shared" si="11"/>
        <v>0</v>
      </c>
      <c r="AK41" s="338">
        <f t="shared" si="12"/>
        <v>200</v>
      </c>
      <c r="AL41" s="342"/>
      <c r="AM41" s="336">
        <f t="shared" si="13"/>
        <v>250</v>
      </c>
      <c r="AN41" s="339">
        <f t="shared" si="13"/>
        <v>0</v>
      </c>
      <c r="AO41" s="340">
        <f t="shared" si="14"/>
        <v>250</v>
      </c>
      <c r="AP41" s="336">
        <f t="shared" si="15"/>
        <v>400</v>
      </c>
      <c r="AQ41" s="339">
        <f t="shared" si="15"/>
        <v>0</v>
      </c>
      <c r="AR41" s="340">
        <f t="shared" si="16"/>
        <v>400</v>
      </c>
      <c r="AS41" s="341">
        <f t="shared" si="42"/>
        <v>600</v>
      </c>
      <c r="AT41" s="339">
        <f t="shared" si="17"/>
        <v>0</v>
      </c>
      <c r="AU41" s="340">
        <f t="shared" si="18"/>
        <v>600</v>
      </c>
      <c r="AV41" s="589">
        <f t="shared" si="19"/>
        <v>0</v>
      </c>
      <c r="AW41" s="343"/>
      <c r="AX41" s="344"/>
      <c r="AY41" s="345">
        <v>50</v>
      </c>
      <c r="AZ41" s="344"/>
      <c r="BA41" s="345">
        <v>50</v>
      </c>
      <c r="BB41" s="346"/>
      <c r="BC41" s="347">
        <v>50</v>
      </c>
      <c r="BD41" s="348"/>
      <c r="BE41" s="349">
        <v>50</v>
      </c>
      <c r="BF41" s="348"/>
      <c r="BG41" s="349">
        <v>50</v>
      </c>
      <c r="BH41" s="350"/>
      <c r="BI41" s="351">
        <v>50</v>
      </c>
      <c r="BJ41" s="352"/>
      <c r="BK41" s="337">
        <v>50</v>
      </c>
      <c r="BL41" s="352"/>
      <c r="BM41" s="337">
        <v>50</v>
      </c>
      <c r="BN41" s="353"/>
      <c r="BO41" s="354">
        <v>50</v>
      </c>
      <c r="BP41" s="355"/>
      <c r="BQ41" s="356">
        <v>50</v>
      </c>
      <c r="BR41" s="355"/>
      <c r="BS41" s="356">
        <f>50*2</f>
        <v>100</v>
      </c>
      <c r="BT41" s="357"/>
    </row>
    <row r="42" spans="1:74" s="313" customFormat="1" ht="25.5" outlineLevel="1">
      <c r="A42" s="287">
        <v>32</v>
      </c>
      <c r="B42" s="933"/>
      <c r="C42" s="840"/>
      <c r="D42" s="841"/>
      <c r="E42" s="839"/>
      <c r="F42" s="821" t="s">
        <v>7</v>
      </c>
      <c r="G42" s="314">
        <v>4</v>
      </c>
      <c r="H42" s="739" t="s">
        <v>71</v>
      </c>
      <c r="I42" s="739">
        <v>244</v>
      </c>
      <c r="J42" s="740">
        <v>221</v>
      </c>
      <c r="K42" s="533" t="s">
        <v>428</v>
      </c>
      <c r="L42" s="341">
        <v>43200</v>
      </c>
      <c r="M42" s="318"/>
      <c r="N42" s="318"/>
      <c r="O42" s="318">
        <f t="shared" si="41"/>
        <v>43200</v>
      </c>
      <c r="P42" s="559"/>
      <c r="Q42" s="336">
        <v>43200</v>
      </c>
      <c r="R42" s="559"/>
      <c r="S42" s="336">
        <v>43200</v>
      </c>
      <c r="T42" s="559"/>
      <c r="U42" s="335"/>
      <c r="V42" s="596" t="s">
        <v>234</v>
      </c>
      <c r="W42" s="597" t="s">
        <v>427</v>
      </c>
      <c r="X42" s="597" t="s">
        <v>381</v>
      </c>
      <c r="Z42" s="336">
        <f t="shared" si="5"/>
        <v>9600</v>
      </c>
      <c r="AA42" s="337">
        <f t="shared" si="5"/>
        <v>0</v>
      </c>
      <c r="AB42" s="338">
        <f t="shared" si="6"/>
        <v>9600</v>
      </c>
      <c r="AC42" s="336">
        <f t="shared" si="7"/>
        <v>14400</v>
      </c>
      <c r="AD42" s="337">
        <f t="shared" si="7"/>
        <v>0</v>
      </c>
      <c r="AE42" s="338">
        <f t="shared" si="8"/>
        <v>14400</v>
      </c>
      <c r="AF42" s="336">
        <f t="shared" si="9"/>
        <v>14400</v>
      </c>
      <c r="AG42" s="337">
        <f t="shared" si="9"/>
        <v>0</v>
      </c>
      <c r="AH42" s="338">
        <f t="shared" si="10"/>
        <v>14400</v>
      </c>
      <c r="AI42" s="336">
        <f t="shared" si="11"/>
        <v>4800</v>
      </c>
      <c r="AJ42" s="337">
        <f t="shared" si="11"/>
        <v>0</v>
      </c>
      <c r="AK42" s="338">
        <f t="shared" si="12"/>
        <v>4800</v>
      </c>
      <c r="AL42" s="342"/>
      <c r="AM42" s="336">
        <f t="shared" si="13"/>
        <v>24000</v>
      </c>
      <c r="AN42" s="339">
        <f t="shared" si="13"/>
        <v>0</v>
      </c>
      <c r="AO42" s="340">
        <f t="shared" si="14"/>
        <v>24000</v>
      </c>
      <c r="AP42" s="336">
        <f t="shared" si="15"/>
        <v>38400</v>
      </c>
      <c r="AQ42" s="339">
        <f t="shared" si="15"/>
        <v>0</v>
      </c>
      <c r="AR42" s="340">
        <f t="shared" si="16"/>
        <v>38400</v>
      </c>
      <c r="AS42" s="341">
        <f t="shared" si="42"/>
        <v>43200</v>
      </c>
      <c r="AT42" s="339">
        <f t="shared" si="17"/>
        <v>0</v>
      </c>
      <c r="AU42" s="340">
        <f t="shared" si="18"/>
        <v>43200</v>
      </c>
      <c r="AV42" s="589">
        <f t="shared" si="19"/>
        <v>0</v>
      </c>
      <c r="AW42" s="343"/>
      <c r="AX42" s="344"/>
      <c r="AY42" s="345">
        <v>4800</v>
      </c>
      <c r="AZ42" s="344"/>
      <c r="BA42" s="345">
        <v>4800</v>
      </c>
      <c r="BB42" s="346"/>
      <c r="BC42" s="347">
        <v>4800</v>
      </c>
      <c r="BD42" s="348"/>
      <c r="BE42" s="349">
        <v>4800</v>
      </c>
      <c r="BF42" s="348"/>
      <c r="BG42" s="349">
        <v>4800</v>
      </c>
      <c r="BH42" s="350"/>
      <c r="BI42" s="351">
        <v>4800</v>
      </c>
      <c r="BJ42" s="352"/>
      <c r="BK42" s="337">
        <v>4800</v>
      </c>
      <c r="BL42" s="352"/>
      <c r="BM42" s="337">
        <v>4800</v>
      </c>
      <c r="BN42" s="353"/>
      <c r="BO42" s="354">
        <v>4800</v>
      </c>
      <c r="BP42" s="355"/>
      <c r="BQ42" s="356"/>
      <c r="BR42" s="355"/>
      <c r="BS42" s="356"/>
      <c r="BT42" s="357"/>
    </row>
    <row r="43" spans="1:74" s="358" customFormat="1" ht="31.5" customHeight="1">
      <c r="A43" s="287">
        <v>33</v>
      </c>
      <c r="B43" s="933"/>
      <c r="C43" s="850" t="s">
        <v>377</v>
      </c>
      <c r="D43" s="838"/>
      <c r="E43" s="836" t="s">
        <v>201</v>
      </c>
      <c r="F43" s="820" t="s">
        <v>7</v>
      </c>
      <c r="G43" s="360">
        <v>4</v>
      </c>
      <c r="H43" s="360" t="s">
        <v>71</v>
      </c>
      <c r="I43" s="360">
        <v>244</v>
      </c>
      <c r="J43" s="361">
        <v>222</v>
      </c>
      <c r="K43" s="532" t="s">
        <v>12</v>
      </c>
      <c r="L43" s="367">
        <f>SUM(L44:L45)</f>
        <v>137727.94</v>
      </c>
      <c r="M43" s="363"/>
      <c r="N43" s="363"/>
      <c r="O43" s="363">
        <f t="shared" si="41"/>
        <v>137727.94</v>
      </c>
      <c r="P43" s="557"/>
      <c r="Q43" s="367">
        <f>SUM(Q44:Q45)</f>
        <v>137727.94</v>
      </c>
      <c r="R43" s="557"/>
      <c r="S43" s="367">
        <f>SUM(S44:S45)</f>
        <v>138609.04999999999</v>
      </c>
      <c r="T43" s="557"/>
      <c r="U43" s="365"/>
      <c r="V43" s="366"/>
      <c r="W43" s="366"/>
      <c r="X43" s="366"/>
      <c r="Z43" s="367">
        <f t="shared" si="5"/>
        <v>10000</v>
      </c>
      <c r="AA43" s="363">
        <f t="shared" si="5"/>
        <v>0</v>
      </c>
      <c r="AB43" s="280">
        <f t="shared" si="6"/>
        <v>10000</v>
      </c>
      <c r="AC43" s="367">
        <f t="shared" si="7"/>
        <v>55000</v>
      </c>
      <c r="AD43" s="363">
        <f t="shared" si="7"/>
        <v>0</v>
      </c>
      <c r="AE43" s="280">
        <f t="shared" si="8"/>
        <v>55000</v>
      </c>
      <c r="AF43" s="367">
        <f t="shared" si="9"/>
        <v>30000</v>
      </c>
      <c r="AG43" s="363">
        <f t="shared" si="9"/>
        <v>0</v>
      </c>
      <c r="AH43" s="280">
        <f t="shared" si="10"/>
        <v>30000</v>
      </c>
      <c r="AI43" s="367">
        <f t="shared" si="11"/>
        <v>42727.94</v>
      </c>
      <c r="AJ43" s="363">
        <f t="shared" si="11"/>
        <v>0</v>
      </c>
      <c r="AK43" s="280">
        <f t="shared" si="12"/>
        <v>42727.94</v>
      </c>
      <c r="AL43" s="368"/>
      <c r="AM43" s="367">
        <f t="shared" si="13"/>
        <v>65000</v>
      </c>
      <c r="AN43" s="363">
        <f t="shared" si="13"/>
        <v>0</v>
      </c>
      <c r="AO43" s="280">
        <f t="shared" si="14"/>
        <v>65000</v>
      </c>
      <c r="AP43" s="367">
        <f t="shared" si="15"/>
        <v>95000</v>
      </c>
      <c r="AQ43" s="363">
        <f t="shared" si="15"/>
        <v>0</v>
      </c>
      <c r="AR43" s="280">
        <f t="shared" si="16"/>
        <v>95000</v>
      </c>
      <c r="AS43" s="367">
        <f t="shared" si="42"/>
        <v>137727.94</v>
      </c>
      <c r="AT43" s="363">
        <f t="shared" si="17"/>
        <v>0</v>
      </c>
      <c r="AU43" s="280">
        <f t="shared" si="18"/>
        <v>137727.94</v>
      </c>
      <c r="AV43" s="588">
        <f t="shared" si="19"/>
        <v>0</v>
      </c>
      <c r="AW43" s="367">
        <f t="shared" ref="AW43:BT43" si="96">SUM(AW44:AW45)</f>
        <v>0</v>
      </c>
      <c r="AX43" s="363">
        <f t="shared" si="96"/>
        <v>0</v>
      </c>
      <c r="AY43" s="363">
        <f t="shared" si="96"/>
        <v>5000</v>
      </c>
      <c r="AZ43" s="363">
        <f t="shared" si="96"/>
        <v>0</v>
      </c>
      <c r="BA43" s="363">
        <f t="shared" si="96"/>
        <v>5000</v>
      </c>
      <c r="BB43" s="369">
        <f t="shared" si="96"/>
        <v>0</v>
      </c>
      <c r="BC43" s="367">
        <f t="shared" si="96"/>
        <v>30000</v>
      </c>
      <c r="BD43" s="363">
        <f t="shared" si="96"/>
        <v>0</v>
      </c>
      <c r="BE43" s="363">
        <f t="shared" si="96"/>
        <v>20000</v>
      </c>
      <c r="BF43" s="363">
        <f t="shared" si="96"/>
        <v>0</v>
      </c>
      <c r="BG43" s="363">
        <f t="shared" si="96"/>
        <v>5000</v>
      </c>
      <c r="BH43" s="369">
        <f t="shared" si="96"/>
        <v>0</v>
      </c>
      <c r="BI43" s="367">
        <f t="shared" si="96"/>
        <v>5000</v>
      </c>
      <c r="BJ43" s="363">
        <f t="shared" si="96"/>
        <v>0</v>
      </c>
      <c r="BK43" s="363">
        <f t="shared" si="96"/>
        <v>20000</v>
      </c>
      <c r="BL43" s="363">
        <f t="shared" si="96"/>
        <v>0</v>
      </c>
      <c r="BM43" s="363">
        <f t="shared" si="96"/>
        <v>5000</v>
      </c>
      <c r="BN43" s="369">
        <f t="shared" si="96"/>
        <v>0</v>
      </c>
      <c r="BO43" s="367">
        <f t="shared" si="96"/>
        <v>5000</v>
      </c>
      <c r="BP43" s="363">
        <f t="shared" si="96"/>
        <v>0</v>
      </c>
      <c r="BQ43" s="363">
        <f t="shared" si="96"/>
        <v>5000</v>
      </c>
      <c r="BR43" s="363">
        <f t="shared" si="96"/>
        <v>0</v>
      </c>
      <c r="BS43" s="363">
        <f t="shared" si="96"/>
        <v>32727.94</v>
      </c>
      <c r="BT43" s="280">
        <f t="shared" si="96"/>
        <v>0</v>
      </c>
    </row>
    <row r="44" spans="1:74" s="313" customFormat="1" ht="25.5" outlineLevel="1">
      <c r="A44" s="287">
        <v>34</v>
      </c>
      <c r="B44" s="933"/>
      <c r="C44" s="840"/>
      <c r="D44" s="841"/>
      <c r="E44" s="839"/>
      <c r="F44" s="821" t="s">
        <v>7</v>
      </c>
      <c r="G44" s="314">
        <v>4</v>
      </c>
      <c r="H44" s="739" t="s">
        <v>71</v>
      </c>
      <c r="I44" s="739">
        <v>244</v>
      </c>
      <c r="J44" s="740">
        <v>222</v>
      </c>
      <c r="K44" s="533" t="s">
        <v>245</v>
      </c>
      <c r="L44" s="341">
        <f>137727.94-77727.94</f>
        <v>60000</v>
      </c>
      <c r="M44" s="318"/>
      <c r="N44" s="318"/>
      <c r="O44" s="318">
        <f t="shared" si="41"/>
        <v>60000</v>
      </c>
      <c r="P44" s="559"/>
      <c r="Q44" s="336">
        <v>137727.94</v>
      </c>
      <c r="R44" s="559"/>
      <c r="S44" s="336">
        <v>138609.04999999999</v>
      </c>
      <c r="T44" s="559"/>
      <c r="U44" s="335"/>
      <c r="V44" s="597" t="s">
        <v>240</v>
      </c>
      <c r="W44" s="597" t="s">
        <v>429</v>
      </c>
      <c r="X44" s="597" t="s">
        <v>381</v>
      </c>
      <c r="Z44" s="336">
        <f t="shared" si="5"/>
        <v>10000</v>
      </c>
      <c r="AA44" s="337">
        <f t="shared" si="5"/>
        <v>0</v>
      </c>
      <c r="AB44" s="338">
        <f t="shared" si="6"/>
        <v>10000</v>
      </c>
      <c r="AC44" s="336">
        <f t="shared" si="7"/>
        <v>15000</v>
      </c>
      <c r="AD44" s="337">
        <f t="shared" si="7"/>
        <v>0</v>
      </c>
      <c r="AE44" s="338">
        <f t="shared" si="8"/>
        <v>15000</v>
      </c>
      <c r="AF44" s="336">
        <f t="shared" si="9"/>
        <v>15000</v>
      </c>
      <c r="AG44" s="337">
        <f t="shared" si="9"/>
        <v>0</v>
      </c>
      <c r="AH44" s="338">
        <f t="shared" si="10"/>
        <v>15000</v>
      </c>
      <c r="AI44" s="336">
        <f t="shared" si="11"/>
        <v>20000</v>
      </c>
      <c r="AJ44" s="337">
        <f t="shared" si="11"/>
        <v>0</v>
      </c>
      <c r="AK44" s="338">
        <f t="shared" si="12"/>
        <v>20000</v>
      </c>
      <c r="AL44" s="342"/>
      <c r="AM44" s="336">
        <f t="shared" si="13"/>
        <v>25000</v>
      </c>
      <c r="AN44" s="339">
        <f t="shared" si="13"/>
        <v>0</v>
      </c>
      <c r="AO44" s="340">
        <f t="shared" si="14"/>
        <v>25000</v>
      </c>
      <c r="AP44" s="336">
        <f t="shared" si="15"/>
        <v>40000</v>
      </c>
      <c r="AQ44" s="339">
        <f t="shared" si="15"/>
        <v>0</v>
      </c>
      <c r="AR44" s="340">
        <f t="shared" si="16"/>
        <v>40000</v>
      </c>
      <c r="AS44" s="341">
        <f t="shared" si="42"/>
        <v>60000</v>
      </c>
      <c r="AT44" s="339">
        <f t="shared" si="17"/>
        <v>0</v>
      </c>
      <c r="AU44" s="340">
        <f t="shared" si="18"/>
        <v>60000</v>
      </c>
      <c r="AV44" s="589">
        <f t="shared" si="19"/>
        <v>0</v>
      </c>
      <c r="AW44" s="343"/>
      <c r="AX44" s="344"/>
      <c r="AY44" s="345">
        <v>5000</v>
      </c>
      <c r="AZ44" s="344"/>
      <c r="BA44" s="345">
        <v>5000</v>
      </c>
      <c r="BB44" s="346"/>
      <c r="BC44" s="347">
        <v>5000</v>
      </c>
      <c r="BD44" s="348"/>
      <c r="BE44" s="349">
        <v>5000</v>
      </c>
      <c r="BF44" s="348"/>
      <c r="BG44" s="349">
        <v>5000</v>
      </c>
      <c r="BH44" s="350"/>
      <c r="BI44" s="351">
        <v>5000</v>
      </c>
      <c r="BJ44" s="352"/>
      <c r="BK44" s="337">
        <v>5000</v>
      </c>
      <c r="BL44" s="352"/>
      <c r="BM44" s="337">
        <v>5000</v>
      </c>
      <c r="BN44" s="353"/>
      <c r="BO44" s="354">
        <v>5000</v>
      </c>
      <c r="BP44" s="355"/>
      <c r="BQ44" s="356">
        <v>5000</v>
      </c>
      <c r="BR44" s="355"/>
      <c r="BS44" s="356">
        <f>5000*2</f>
        <v>10000</v>
      </c>
      <c r="BT44" s="357"/>
    </row>
    <row r="45" spans="1:74" s="313" customFormat="1" ht="38.25" outlineLevel="1">
      <c r="A45" s="287">
        <v>35</v>
      </c>
      <c r="B45" s="933"/>
      <c r="C45" s="840"/>
      <c r="D45" s="841"/>
      <c r="E45" s="839"/>
      <c r="F45" s="821" t="s">
        <v>7</v>
      </c>
      <c r="G45" s="314">
        <v>4</v>
      </c>
      <c r="H45" s="739" t="s">
        <v>71</v>
      </c>
      <c r="I45" s="739">
        <v>244</v>
      </c>
      <c r="J45" s="740">
        <v>222</v>
      </c>
      <c r="K45" s="533" t="s">
        <v>244</v>
      </c>
      <c r="L45" s="341">
        <v>77727.94</v>
      </c>
      <c r="M45" s="318"/>
      <c r="N45" s="318"/>
      <c r="O45" s="318">
        <f t="shared" si="41"/>
        <v>77727.94</v>
      </c>
      <c r="P45" s="559"/>
      <c r="Q45" s="336">
        <v>0</v>
      </c>
      <c r="R45" s="559"/>
      <c r="S45" s="336">
        <v>0</v>
      </c>
      <c r="T45" s="559"/>
      <c r="U45" s="335"/>
      <c r="V45" s="597" t="s">
        <v>459</v>
      </c>
      <c r="W45" s="597" t="s">
        <v>460</v>
      </c>
      <c r="X45" s="597" t="s">
        <v>461</v>
      </c>
      <c r="Z45" s="336">
        <f t="shared" si="5"/>
        <v>0</v>
      </c>
      <c r="AA45" s="337">
        <f t="shared" si="5"/>
        <v>0</v>
      </c>
      <c r="AB45" s="338">
        <f t="shared" si="6"/>
        <v>0</v>
      </c>
      <c r="AC45" s="336">
        <f t="shared" si="7"/>
        <v>40000</v>
      </c>
      <c r="AD45" s="337">
        <f t="shared" si="7"/>
        <v>0</v>
      </c>
      <c r="AE45" s="338">
        <f t="shared" si="8"/>
        <v>40000</v>
      </c>
      <c r="AF45" s="336">
        <f t="shared" si="9"/>
        <v>15000</v>
      </c>
      <c r="AG45" s="337">
        <f t="shared" si="9"/>
        <v>0</v>
      </c>
      <c r="AH45" s="338">
        <f t="shared" si="10"/>
        <v>15000</v>
      </c>
      <c r="AI45" s="336">
        <f t="shared" si="11"/>
        <v>22727.94</v>
      </c>
      <c r="AJ45" s="337">
        <f t="shared" si="11"/>
        <v>0</v>
      </c>
      <c r="AK45" s="338">
        <f t="shared" si="12"/>
        <v>22727.94</v>
      </c>
      <c r="AL45" s="342"/>
      <c r="AM45" s="336">
        <f t="shared" si="13"/>
        <v>40000</v>
      </c>
      <c r="AN45" s="339">
        <f t="shared" si="13"/>
        <v>0</v>
      </c>
      <c r="AO45" s="340">
        <f t="shared" si="14"/>
        <v>40000</v>
      </c>
      <c r="AP45" s="336">
        <f t="shared" si="15"/>
        <v>55000</v>
      </c>
      <c r="AQ45" s="339">
        <f t="shared" si="15"/>
        <v>0</v>
      </c>
      <c r="AR45" s="340">
        <f t="shared" si="16"/>
        <v>55000</v>
      </c>
      <c r="AS45" s="341">
        <f t="shared" si="42"/>
        <v>77727.94</v>
      </c>
      <c r="AT45" s="339">
        <f t="shared" si="17"/>
        <v>0</v>
      </c>
      <c r="AU45" s="340">
        <f t="shared" si="18"/>
        <v>77727.94</v>
      </c>
      <c r="AV45" s="589">
        <f t="shared" si="19"/>
        <v>0</v>
      </c>
      <c r="AW45" s="343"/>
      <c r="AX45" s="344"/>
      <c r="AY45" s="345"/>
      <c r="AZ45" s="344"/>
      <c r="BA45" s="345"/>
      <c r="BB45" s="346"/>
      <c r="BC45" s="347">
        <v>25000</v>
      </c>
      <c r="BD45" s="348"/>
      <c r="BE45" s="349">
        <v>15000</v>
      </c>
      <c r="BF45" s="348"/>
      <c r="BG45" s="349"/>
      <c r="BH45" s="350"/>
      <c r="BI45" s="351"/>
      <c r="BJ45" s="352"/>
      <c r="BK45" s="337">
        <v>15000</v>
      </c>
      <c r="BL45" s="352"/>
      <c r="BM45" s="337"/>
      <c r="BN45" s="353"/>
      <c r="BO45" s="354"/>
      <c r="BP45" s="355"/>
      <c r="BQ45" s="356"/>
      <c r="BR45" s="355"/>
      <c r="BS45" s="356">
        <v>22727.94</v>
      </c>
      <c r="BT45" s="357"/>
    </row>
    <row r="46" spans="1:74" s="358" customFormat="1" ht="31.5" customHeight="1">
      <c r="A46" s="287">
        <v>36</v>
      </c>
      <c r="B46" s="933"/>
      <c r="C46" s="850" t="s">
        <v>377</v>
      </c>
      <c r="D46" s="838"/>
      <c r="E46" s="836" t="s">
        <v>201</v>
      </c>
      <c r="F46" s="820" t="s">
        <v>7</v>
      </c>
      <c r="G46" s="360">
        <v>4</v>
      </c>
      <c r="H46" s="360" t="s">
        <v>71</v>
      </c>
      <c r="I46" s="360">
        <v>244</v>
      </c>
      <c r="J46" s="361">
        <v>223</v>
      </c>
      <c r="K46" s="532" t="s">
        <v>13</v>
      </c>
      <c r="L46" s="367">
        <f>SUM(L47:L48)</f>
        <v>1044506.81</v>
      </c>
      <c r="M46" s="363"/>
      <c r="N46" s="363"/>
      <c r="O46" s="363">
        <f t="shared" si="41"/>
        <v>1044506.81</v>
      </c>
      <c r="P46" s="557"/>
      <c r="Q46" s="367">
        <f>SUM(Q47:Q48)</f>
        <v>1121133.8700000001</v>
      </c>
      <c r="R46" s="557"/>
      <c r="S46" s="367">
        <f>SUM(S47:S48)</f>
        <v>1129802.1399999999</v>
      </c>
      <c r="T46" s="557"/>
      <c r="U46" s="365"/>
      <c r="V46" s="366"/>
      <c r="W46" s="366"/>
      <c r="X46" s="366"/>
      <c r="Z46" s="367">
        <f t="shared" si="5"/>
        <v>255340</v>
      </c>
      <c r="AA46" s="363">
        <f t="shared" si="5"/>
        <v>0</v>
      </c>
      <c r="AB46" s="280">
        <f t="shared" si="6"/>
        <v>255340</v>
      </c>
      <c r="AC46" s="367">
        <f t="shared" si="7"/>
        <v>278010</v>
      </c>
      <c r="AD46" s="363">
        <f t="shared" si="7"/>
        <v>0</v>
      </c>
      <c r="AE46" s="280">
        <f t="shared" si="8"/>
        <v>278010</v>
      </c>
      <c r="AF46" s="367">
        <f t="shared" si="9"/>
        <v>168010</v>
      </c>
      <c r="AG46" s="363">
        <f t="shared" si="9"/>
        <v>0</v>
      </c>
      <c r="AH46" s="280">
        <f t="shared" si="10"/>
        <v>168010</v>
      </c>
      <c r="AI46" s="367">
        <f t="shared" si="11"/>
        <v>343146.81</v>
      </c>
      <c r="AJ46" s="363">
        <f t="shared" si="11"/>
        <v>0</v>
      </c>
      <c r="AK46" s="280">
        <f t="shared" si="12"/>
        <v>343146.81</v>
      </c>
      <c r="AL46" s="368"/>
      <c r="AM46" s="367">
        <f t="shared" si="13"/>
        <v>533350</v>
      </c>
      <c r="AN46" s="363">
        <f t="shared" si="13"/>
        <v>0</v>
      </c>
      <c r="AO46" s="280">
        <f t="shared" si="14"/>
        <v>533350</v>
      </c>
      <c r="AP46" s="367">
        <f t="shared" si="15"/>
        <v>701360</v>
      </c>
      <c r="AQ46" s="363">
        <f t="shared" si="15"/>
        <v>0</v>
      </c>
      <c r="AR46" s="280">
        <f t="shared" si="16"/>
        <v>701360</v>
      </c>
      <c r="AS46" s="367">
        <f t="shared" si="42"/>
        <v>1044506.81</v>
      </c>
      <c r="AT46" s="363">
        <f t="shared" si="17"/>
        <v>0</v>
      </c>
      <c r="AU46" s="280">
        <f t="shared" si="18"/>
        <v>1044506.81</v>
      </c>
      <c r="AV46" s="588">
        <f t="shared" si="19"/>
        <v>0</v>
      </c>
      <c r="AW46" s="367">
        <f t="shared" ref="AW46:BT46" si="97">SUM(AW47:AW48)</f>
        <v>0</v>
      </c>
      <c r="AX46" s="363">
        <f t="shared" si="97"/>
        <v>0</v>
      </c>
      <c r="AY46" s="363">
        <f t="shared" si="97"/>
        <v>132670</v>
      </c>
      <c r="AZ46" s="363">
        <f t="shared" si="97"/>
        <v>0</v>
      </c>
      <c r="BA46" s="363">
        <f t="shared" si="97"/>
        <v>122670</v>
      </c>
      <c r="BB46" s="369">
        <f t="shared" si="97"/>
        <v>0</v>
      </c>
      <c r="BC46" s="367">
        <f t="shared" si="97"/>
        <v>112670</v>
      </c>
      <c r="BD46" s="363">
        <f t="shared" si="97"/>
        <v>0</v>
      </c>
      <c r="BE46" s="363">
        <f t="shared" si="97"/>
        <v>102670</v>
      </c>
      <c r="BF46" s="363">
        <f t="shared" si="97"/>
        <v>0</v>
      </c>
      <c r="BG46" s="363">
        <f t="shared" si="97"/>
        <v>62670</v>
      </c>
      <c r="BH46" s="369">
        <f t="shared" si="97"/>
        <v>0</v>
      </c>
      <c r="BI46" s="367">
        <f t="shared" si="97"/>
        <v>62670</v>
      </c>
      <c r="BJ46" s="363">
        <f t="shared" si="97"/>
        <v>0</v>
      </c>
      <c r="BK46" s="363">
        <f t="shared" si="97"/>
        <v>52670</v>
      </c>
      <c r="BL46" s="363">
        <f t="shared" si="97"/>
        <v>0</v>
      </c>
      <c r="BM46" s="363">
        <f t="shared" si="97"/>
        <v>52670</v>
      </c>
      <c r="BN46" s="369">
        <f t="shared" si="97"/>
        <v>0</v>
      </c>
      <c r="BO46" s="367">
        <f t="shared" si="97"/>
        <v>82670</v>
      </c>
      <c r="BP46" s="363">
        <f t="shared" si="97"/>
        <v>0</v>
      </c>
      <c r="BQ46" s="363">
        <f t="shared" si="97"/>
        <v>122670</v>
      </c>
      <c r="BR46" s="363">
        <f t="shared" si="97"/>
        <v>0</v>
      </c>
      <c r="BS46" s="363">
        <f t="shared" si="97"/>
        <v>137806.81</v>
      </c>
      <c r="BT46" s="280">
        <f t="shared" si="97"/>
        <v>0</v>
      </c>
    </row>
    <row r="47" spans="1:74" s="313" customFormat="1" ht="25.5" outlineLevel="1">
      <c r="A47" s="287">
        <v>37</v>
      </c>
      <c r="B47" s="933"/>
      <c r="C47" s="840"/>
      <c r="D47" s="841"/>
      <c r="E47" s="839"/>
      <c r="F47" s="821" t="s">
        <v>7</v>
      </c>
      <c r="G47" s="314">
        <v>4</v>
      </c>
      <c r="H47" s="739" t="s">
        <v>71</v>
      </c>
      <c r="I47" s="739">
        <v>244</v>
      </c>
      <c r="J47" s="740">
        <v>223</v>
      </c>
      <c r="K47" s="533" t="s">
        <v>246</v>
      </c>
      <c r="L47" s="341">
        <v>1016987.56</v>
      </c>
      <c r="M47" s="318"/>
      <c r="N47" s="318"/>
      <c r="O47" s="318">
        <f t="shared" si="41"/>
        <v>1016987.56</v>
      </c>
      <c r="P47" s="559"/>
      <c r="Q47" s="336">
        <v>1092480.0900000001</v>
      </c>
      <c r="R47" s="559"/>
      <c r="S47" s="336">
        <v>1100951.1299999999</v>
      </c>
      <c r="T47" s="559"/>
      <c r="U47" s="335"/>
      <c r="V47" s="596" t="s">
        <v>444</v>
      </c>
      <c r="W47" s="610" t="s">
        <v>443</v>
      </c>
      <c r="X47" s="597" t="s">
        <v>381</v>
      </c>
      <c r="Z47" s="336">
        <f t="shared" si="5"/>
        <v>250000</v>
      </c>
      <c r="AA47" s="337">
        <f t="shared" si="5"/>
        <v>0</v>
      </c>
      <c r="AB47" s="338">
        <f t="shared" si="6"/>
        <v>250000</v>
      </c>
      <c r="AC47" s="336">
        <f t="shared" si="7"/>
        <v>270000</v>
      </c>
      <c r="AD47" s="337">
        <f t="shared" si="7"/>
        <v>0</v>
      </c>
      <c r="AE47" s="338">
        <f t="shared" si="8"/>
        <v>270000</v>
      </c>
      <c r="AF47" s="336">
        <f t="shared" si="9"/>
        <v>160000</v>
      </c>
      <c r="AG47" s="337">
        <f t="shared" si="9"/>
        <v>0</v>
      </c>
      <c r="AH47" s="338">
        <f t="shared" si="10"/>
        <v>160000</v>
      </c>
      <c r="AI47" s="336">
        <f t="shared" si="11"/>
        <v>336987.56</v>
      </c>
      <c r="AJ47" s="337">
        <f t="shared" si="11"/>
        <v>0</v>
      </c>
      <c r="AK47" s="338">
        <f t="shared" si="12"/>
        <v>336987.56</v>
      </c>
      <c r="AL47" s="342"/>
      <c r="AM47" s="336">
        <f t="shared" si="13"/>
        <v>520000</v>
      </c>
      <c r="AN47" s="339">
        <f t="shared" si="13"/>
        <v>0</v>
      </c>
      <c r="AO47" s="340">
        <f t="shared" si="14"/>
        <v>520000</v>
      </c>
      <c r="AP47" s="336">
        <f t="shared" si="15"/>
        <v>680000</v>
      </c>
      <c r="AQ47" s="339">
        <f t="shared" si="15"/>
        <v>0</v>
      </c>
      <c r="AR47" s="340">
        <f t="shared" si="16"/>
        <v>680000</v>
      </c>
      <c r="AS47" s="341">
        <f t="shared" si="42"/>
        <v>1016987.56</v>
      </c>
      <c r="AT47" s="339">
        <f t="shared" si="17"/>
        <v>0</v>
      </c>
      <c r="AU47" s="340">
        <f t="shared" si="18"/>
        <v>1016987.56</v>
      </c>
      <c r="AV47" s="589">
        <f t="shared" si="19"/>
        <v>0</v>
      </c>
      <c r="AW47" s="343"/>
      <c r="AX47" s="344"/>
      <c r="AY47" s="345">
        <v>130000</v>
      </c>
      <c r="AZ47" s="344"/>
      <c r="BA47" s="345">
        <v>120000</v>
      </c>
      <c r="BB47" s="346"/>
      <c r="BC47" s="347">
        <v>110000</v>
      </c>
      <c r="BD47" s="348"/>
      <c r="BE47" s="349">
        <v>100000</v>
      </c>
      <c r="BF47" s="348"/>
      <c r="BG47" s="349">
        <v>60000</v>
      </c>
      <c r="BH47" s="350"/>
      <c r="BI47" s="351">
        <v>60000</v>
      </c>
      <c r="BJ47" s="352"/>
      <c r="BK47" s="337">
        <v>50000</v>
      </c>
      <c r="BL47" s="352"/>
      <c r="BM47" s="337">
        <v>50000</v>
      </c>
      <c r="BN47" s="353"/>
      <c r="BO47" s="354">
        <v>80000</v>
      </c>
      <c r="BP47" s="355"/>
      <c r="BQ47" s="356">
        <v>120000</v>
      </c>
      <c r="BR47" s="355"/>
      <c r="BS47" s="356">
        <f>130000+6987.56</f>
        <v>136987.56</v>
      </c>
      <c r="BT47" s="357"/>
    </row>
    <row r="48" spans="1:74" s="313" customFormat="1" ht="25.5" outlineLevel="1">
      <c r="A48" s="287">
        <v>38</v>
      </c>
      <c r="B48" s="933"/>
      <c r="C48" s="840"/>
      <c r="D48" s="841"/>
      <c r="E48" s="839"/>
      <c r="F48" s="821" t="s">
        <v>7</v>
      </c>
      <c r="G48" s="314">
        <v>4</v>
      </c>
      <c r="H48" s="739" t="s">
        <v>71</v>
      </c>
      <c r="I48" s="739">
        <v>244</v>
      </c>
      <c r="J48" s="740">
        <v>223</v>
      </c>
      <c r="K48" s="533" t="s">
        <v>252</v>
      </c>
      <c r="L48" s="341">
        <v>27519.25</v>
      </c>
      <c r="M48" s="318"/>
      <c r="N48" s="318"/>
      <c r="O48" s="318">
        <f t="shared" si="41"/>
        <v>27519.25</v>
      </c>
      <c r="P48" s="559"/>
      <c r="Q48" s="336">
        <v>28653.78</v>
      </c>
      <c r="R48" s="559"/>
      <c r="S48" s="336">
        <v>28851.01</v>
      </c>
      <c r="T48" s="559"/>
      <c r="U48" s="335"/>
      <c r="V48" s="596" t="s">
        <v>444</v>
      </c>
      <c r="W48" s="610" t="s">
        <v>443</v>
      </c>
      <c r="X48" s="597" t="s">
        <v>381</v>
      </c>
      <c r="Z48" s="336">
        <f t="shared" si="5"/>
        <v>5340</v>
      </c>
      <c r="AA48" s="337">
        <f t="shared" si="5"/>
        <v>0</v>
      </c>
      <c r="AB48" s="338">
        <f t="shared" si="6"/>
        <v>5340</v>
      </c>
      <c r="AC48" s="336">
        <f t="shared" si="7"/>
        <v>8010</v>
      </c>
      <c r="AD48" s="337">
        <f t="shared" si="7"/>
        <v>0</v>
      </c>
      <c r="AE48" s="338">
        <f t="shared" si="8"/>
        <v>8010</v>
      </c>
      <c r="AF48" s="336">
        <f t="shared" si="9"/>
        <v>8010</v>
      </c>
      <c r="AG48" s="337">
        <f t="shared" si="9"/>
        <v>0</v>
      </c>
      <c r="AH48" s="338">
        <f t="shared" si="10"/>
        <v>8010</v>
      </c>
      <c r="AI48" s="336">
        <f t="shared" si="11"/>
        <v>6159.25</v>
      </c>
      <c r="AJ48" s="337">
        <f t="shared" si="11"/>
        <v>0</v>
      </c>
      <c r="AK48" s="338">
        <f t="shared" si="12"/>
        <v>6159.25</v>
      </c>
      <c r="AL48" s="342"/>
      <c r="AM48" s="336">
        <f t="shared" si="13"/>
        <v>13350</v>
      </c>
      <c r="AN48" s="339">
        <f t="shared" si="13"/>
        <v>0</v>
      </c>
      <c r="AO48" s="340">
        <f t="shared" si="14"/>
        <v>13350</v>
      </c>
      <c r="AP48" s="336">
        <f t="shared" si="15"/>
        <v>21360</v>
      </c>
      <c r="AQ48" s="339">
        <f t="shared" si="15"/>
        <v>0</v>
      </c>
      <c r="AR48" s="340">
        <f t="shared" si="16"/>
        <v>21360</v>
      </c>
      <c r="AS48" s="341">
        <f t="shared" si="42"/>
        <v>27519.25</v>
      </c>
      <c r="AT48" s="339">
        <f t="shared" si="17"/>
        <v>0</v>
      </c>
      <c r="AU48" s="340">
        <f t="shared" si="18"/>
        <v>27519.25</v>
      </c>
      <c r="AV48" s="589">
        <f t="shared" si="19"/>
        <v>0</v>
      </c>
      <c r="AW48" s="343"/>
      <c r="AX48" s="344"/>
      <c r="AY48" s="345">
        <v>2670</v>
      </c>
      <c r="AZ48" s="344"/>
      <c r="BA48" s="345">
        <v>2670</v>
      </c>
      <c r="BB48" s="346"/>
      <c r="BC48" s="347">
        <v>2670</v>
      </c>
      <c r="BD48" s="348"/>
      <c r="BE48" s="349">
        <v>2670</v>
      </c>
      <c r="BF48" s="348"/>
      <c r="BG48" s="349">
        <v>2670</v>
      </c>
      <c r="BH48" s="350"/>
      <c r="BI48" s="351">
        <v>2670</v>
      </c>
      <c r="BJ48" s="352"/>
      <c r="BK48" s="337">
        <v>2670</v>
      </c>
      <c r="BL48" s="352"/>
      <c r="BM48" s="337">
        <v>2670</v>
      </c>
      <c r="BN48" s="353"/>
      <c r="BO48" s="354">
        <v>2670</v>
      </c>
      <c r="BP48" s="355"/>
      <c r="BQ48" s="356">
        <v>2670</v>
      </c>
      <c r="BR48" s="355"/>
      <c r="BS48" s="356">
        <v>819.25</v>
      </c>
      <c r="BT48" s="357"/>
    </row>
    <row r="49" spans="1:72" s="358" customFormat="1" ht="31.5" customHeight="1">
      <c r="A49" s="287">
        <v>39</v>
      </c>
      <c r="B49" s="933"/>
      <c r="C49" s="850" t="s">
        <v>377</v>
      </c>
      <c r="D49" s="838"/>
      <c r="E49" s="836" t="s">
        <v>201</v>
      </c>
      <c r="F49" s="820" t="s">
        <v>7</v>
      </c>
      <c r="G49" s="360">
        <v>4</v>
      </c>
      <c r="H49" s="360" t="s">
        <v>71</v>
      </c>
      <c r="I49" s="360">
        <v>244</v>
      </c>
      <c r="J49" s="361">
        <v>224</v>
      </c>
      <c r="K49" s="532" t="s">
        <v>151</v>
      </c>
      <c r="L49" s="544">
        <f>L50</f>
        <v>12428476.800000001</v>
      </c>
      <c r="M49" s="363"/>
      <c r="N49" s="363"/>
      <c r="O49" s="363">
        <f t="shared" si="41"/>
        <v>12428476.800000001</v>
      </c>
      <c r="P49" s="557">
        <f>12428476.8-L49</f>
        <v>0</v>
      </c>
      <c r="Q49" s="544">
        <f>Q50</f>
        <v>3668142.76</v>
      </c>
      <c r="R49" s="557"/>
      <c r="S49" s="544">
        <f t="shared" ref="S49" si="98">S50</f>
        <v>3648174.72</v>
      </c>
      <c r="T49" s="557"/>
      <c r="U49" s="365"/>
      <c r="V49" s="366"/>
      <c r="W49" s="366"/>
      <c r="X49" s="366"/>
      <c r="Z49" s="367">
        <f>AW49+AY49+BA49</f>
        <v>2071412.8</v>
      </c>
      <c r="AA49" s="363">
        <f>AX49+AZ49+BB49</f>
        <v>0</v>
      </c>
      <c r="AB49" s="280">
        <f>Z49-AA49</f>
        <v>2071412.8</v>
      </c>
      <c r="AC49" s="367">
        <f>BC49+BE49+BG49</f>
        <v>3107119.2</v>
      </c>
      <c r="AD49" s="363">
        <f>BD49+BF49+BH49</f>
        <v>0</v>
      </c>
      <c r="AE49" s="280">
        <f>AC49-AD49</f>
        <v>3107119.2</v>
      </c>
      <c r="AF49" s="367">
        <f>BI49+BK49+BM49</f>
        <v>3107119.2</v>
      </c>
      <c r="AG49" s="363">
        <f>BJ49+BL49+BN49</f>
        <v>0</v>
      </c>
      <c r="AH49" s="280">
        <f>AF49-AG49</f>
        <v>3107119.2</v>
      </c>
      <c r="AI49" s="367">
        <f>BO49+BQ49+BS49</f>
        <v>0</v>
      </c>
      <c r="AJ49" s="363">
        <f>BP49+BR49+BT49</f>
        <v>0</v>
      </c>
      <c r="AK49" s="280">
        <f>AI49-AJ49</f>
        <v>0</v>
      </c>
      <c r="AL49" s="368"/>
      <c r="AM49" s="367">
        <f>Z49+AC49</f>
        <v>5178532</v>
      </c>
      <c r="AN49" s="363">
        <f>AA49+AD49</f>
        <v>0</v>
      </c>
      <c r="AO49" s="280">
        <f>AM49-AN49</f>
        <v>5178532</v>
      </c>
      <c r="AP49" s="367">
        <f>Z49+AC49+AF49</f>
        <v>8285651.2000000002</v>
      </c>
      <c r="AQ49" s="363">
        <f>AA49+AD49+AG49</f>
        <v>0</v>
      </c>
      <c r="AR49" s="280">
        <f>AP49-AQ49</f>
        <v>8285651.2000000002</v>
      </c>
      <c r="AS49" s="367">
        <f>Z49+AC49+AF49+AI49</f>
        <v>8285651.2000000002</v>
      </c>
      <c r="AT49" s="363">
        <f>AA49+AD49+AG49+AJ49</f>
        <v>0</v>
      </c>
      <c r="AU49" s="280">
        <f>AS49-AT49</f>
        <v>8285651.2000000002</v>
      </c>
      <c r="AV49" s="588">
        <f t="shared" si="19"/>
        <v>4142825.6</v>
      </c>
      <c r="AW49" s="367">
        <f t="shared" ref="AW49:BT49" si="99">AW50</f>
        <v>0</v>
      </c>
      <c r="AX49" s="363">
        <f t="shared" si="99"/>
        <v>0</v>
      </c>
      <c r="AY49" s="363">
        <f t="shared" si="99"/>
        <v>1035706.4</v>
      </c>
      <c r="AZ49" s="363">
        <f t="shared" si="99"/>
        <v>0</v>
      </c>
      <c r="BA49" s="363">
        <f t="shared" si="99"/>
        <v>1035706.4</v>
      </c>
      <c r="BB49" s="369">
        <f t="shared" si="99"/>
        <v>0</v>
      </c>
      <c r="BC49" s="367">
        <f t="shared" si="99"/>
        <v>1035706.4</v>
      </c>
      <c r="BD49" s="363">
        <f t="shared" si="99"/>
        <v>0</v>
      </c>
      <c r="BE49" s="363">
        <f t="shared" si="99"/>
        <v>1035706.4</v>
      </c>
      <c r="BF49" s="363">
        <f t="shared" si="99"/>
        <v>0</v>
      </c>
      <c r="BG49" s="363">
        <f t="shared" si="99"/>
        <v>1035706.4</v>
      </c>
      <c r="BH49" s="369">
        <f t="shared" si="99"/>
        <v>0</v>
      </c>
      <c r="BI49" s="367">
        <f t="shared" si="99"/>
        <v>1035706.4</v>
      </c>
      <c r="BJ49" s="363">
        <f t="shared" si="99"/>
        <v>0</v>
      </c>
      <c r="BK49" s="363">
        <f t="shared" si="99"/>
        <v>1035706.4</v>
      </c>
      <c r="BL49" s="363">
        <f t="shared" si="99"/>
        <v>0</v>
      </c>
      <c r="BM49" s="363">
        <f t="shared" si="99"/>
        <v>1035706.4</v>
      </c>
      <c r="BN49" s="369">
        <f t="shared" si="99"/>
        <v>0</v>
      </c>
      <c r="BO49" s="367">
        <f t="shared" si="99"/>
        <v>0</v>
      </c>
      <c r="BP49" s="363">
        <f t="shared" si="99"/>
        <v>0</v>
      </c>
      <c r="BQ49" s="363">
        <f t="shared" si="99"/>
        <v>0</v>
      </c>
      <c r="BR49" s="363">
        <f t="shared" si="99"/>
        <v>0</v>
      </c>
      <c r="BS49" s="363">
        <f t="shared" si="99"/>
        <v>0</v>
      </c>
      <c r="BT49" s="280">
        <f t="shared" si="99"/>
        <v>0</v>
      </c>
    </row>
    <row r="50" spans="1:72" s="313" customFormat="1" ht="38.25" outlineLevel="1">
      <c r="A50" s="287">
        <v>40</v>
      </c>
      <c r="B50" s="933"/>
      <c r="C50" s="840"/>
      <c r="D50" s="841"/>
      <c r="E50" s="839"/>
      <c r="F50" s="821" t="s">
        <v>7</v>
      </c>
      <c r="G50" s="314">
        <v>4</v>
      </c>
      <c r="H50" s="739" t="s">
        <v>71</v>
      </c>
      <c r="I50" s="739">
        <v>244</v>
      </c>
      <c r="J50" s="740">
        <v>224</v>
      </c>
      <c r="K50" s="533" t="s">
        <v>264</v>
      </c>
      <c r="L50" s="509">
        <v>12428476.800000001</v>
      </c>
      <c r="M50" s="318"/>
      <c r="N50" s="318"/>
      <c r="O50" s="318">
        <f t="shared" si="41"/>
        <v>12428476.800000001</v>
      </c>
      <c r="P50" s="559"/>
      <c r="Q50" s="509">
        <v>3668142.76</v>
      </c>
      <c r="R50" s="560"/>
      <c r="S50" s="509">
        <v>3648174.72</v>
      </c>
      <c r="T50" s="559"/>
      <c r="U50" s="335"/>
      <c r="V50" s="597" t="s">
        <v>265</v>
      </c>
      <c r="W50" s="597" t="s">
        <v>414</v>
      </c>
      <c r="X50" s="597" t="s">
        <v>417</v>
      </c>
      <c r="Z50" s="336">
        <f>AW50+AY50+BA50</f>
        <v>2071412.8</v>
      </c>
      <c r="AA50" s="337">
        <f>AX50+AZ50+BB50</f>
        <v>0</v>
      </c>
      <c r="AB50" s="338">
        <f>Z50-AA50</f>
        <v>2071412.8</v>
      </c>
      <c r="AC50" s="336">
        <f>BC50+BE50+BG50</f>
        <v>3107119.2</v>
      </c>
      <c r="AD50" s="337">
        <f>BD50+BF50+BH50</f>
        <v>0</v>
      </c>
      <c r="AE50" s="338">
        <f>AC50-AD50</f>
        <v>3107119.2</v>
      </c>
      <c r="AF50" s="336">
        <f>BI50+BK50+BM50</f>
        <v>3107119.2</v>
      </c>
      <c r="AG50" s="337">
        <f>BJ50+BL50+BN50</f>
        <v>0</v>
      </c>
      <c r="AH50" s="338">
        <f>AF50-AG50</f>
        <v>3107119.2</v>
      </c>
      <c r="AI50" s="336">
        <f>BO50+BQ50+BS50</f>
        <v>0</v>
      </c>
      <c r="AJ50" s="337">
        <f>BP50+BR50+BT50</f>
        <v>0</v>
      </c>
      <c r="AK50" s="338">
        <f>AI50-AJ50</f>
        <v>0</v>
      </c>
      <c r="AL50" s="342"/>
      <c r="AM50" s="336">
        <f>Z50+AC50</f>
        <v>5178532</v>
      </c>
      <c r="AN50" s="339">
        <f>AA50+AD50</f>
        <v>0</v>
      </c>
      <c r="AO50" s="340">
        <f>AM50-AN50</f>
        <v>5178532</v>
      </c>
      <c r="AP50" s="336">
        <f>Z50+AC50+AF50</f>
        <v>8285651.2000000002</v>
      </c>
      <c r="AQ50" s="339">
        <f>AA50+AD50+AG50</f>
        <v>0</v>
      </c>
      <c r="AR50" s="340">
        <f>AP50-AQ50</f>
        <v>8285651.2000000002</v>
      </c>
      <c r="AS50" s="341">
        <f>Z50+AC50+AF50+AI50</f>
        <v>8285651.2000000002</v>
      </c>
      <c r="AT50" s="339">
        <f>AA50+AD50+AG50+AJ50</f>
        <v>0</v>
      </c>
      <c r="AU50" s="340">
        <f>AS50-AT50</f>
        <v>8285651.2000000002</v>
      </c>
      <c r="AV50" s="589">
        <f t="shared" si="19"/>
        <v>4142825.6</v>
      </c>
      <c r="AW50" s="343"/>
      <c r="AX50" s="344"/>
      <c r="AY50" s="345">
        <v>1035706.4</v>
      </c>
      <c r="AZ50" s="344"/>
      <c r="BA50" s="345">
        <v>1035706.4</v>
      </c>
      <c r="BB50" s="346"/>
      <c r="BC50" s="347">
        <v>1035706.4</v>
      </c>
      <c r="BD50" s="348"/>
      <c r="BE50" s="349">
        <v>1035706.4</v>
      </c>
      <c r="BF50" s="348"/>
      <c r="BG50" s="349">
        <v>1035706.4</v>
      </c>
      <c r="BH50" s="350"/>
      <c r="BI50" s="351">
        <v>1035706.4</v>
      </c>
      <c r="BJ50" s="352"/>
      <c r="BK50" s="337">
        <v>1035706.4</v>
      </c>
      <c r="BL50" s="352"/>
      <c r="BM50" s="337">
        <v>1035706.4</v>
      </c>
      <c r="BN50" s="353"/>
      <c r="BO50" s="354"/>
      <c r="BP50" s="355"/>
      <c r="BQ50" s="356"/>
      <c r="BR50" s="355"/>
      <c r="BS50" s="356"/>
      <c r="BT50" s="357"/>
    </row>
    <row r="51" spans="1:72" s="358" customFormat="1" ht="31.5" customHeight="1">
      <c r="A51" s="287">
        <v>41</v>
      </c>
      <c r="B51" s="933"/>
      <c r="C51" s="850" t="s">
        <v>377</v>
      </c>
      <c r="D51" s="838" t="s">
        <v>206</v>
      </c>
      <c r="E51" s="836" t="s">
        <v>201</v>
      </c>
      <c r="F51" s="820" t="s">
        <v>7</v>
      </c>
      <c r="G51" s="360">
        <v>4</v>
      </c>
      <c r="H51" s="360" t="s">
        <v>71</v>
      </c>
      <c r="I51" s="360">
        <v>244</v>
      </c>
      <c r="J51" s="361">
        <v>225</v>
      </c>
      <c r="K51" s="532" t="s">
        <v>149</v>
      </c>
      <c r="L51" s="367">
        <f>SUM(L52:L54)</f>
        <v>77583.179999999993</v>
      </c>
      <c r="M51" s="363"/>
      <c r="N51" s="363"/>
      <c r="O51" s="363">
        <f t="shared" si="41"/>
        <v>77583.179999999993</v>
      </c>
      <c r="P51" s="557"/>
      <c r="Q51" s="367">
        <f>SUM(Q52:Q54)</f>
        <v>81611.22</v>
      </c>
      <c r="R51" s="557"/>
      <c r="S51" s="367">
        <f>SUM(S52:S54)</f>
        <v>81611.22</v>
      </c>
      <c r="T51" s="557"/>
      <c r="U51" s="365"/>
      <c r="V51" s="366"/>
      <c r="W51" s="366"/>
      <c r="X51" s="366"/>
      <c r="Z51" s="367">
        <f t="shared" si="5"/>
        <v>16380.54</v>
      </c>
      <c r="AA51" s="363">
        <f t="shared" si="5"/>
        <v>0</v>
      </c>
      <c r="AB51" s="280">
        <f t="shared" si="6"/>
        <v>16380.54</v>
      </c>
      <c r="AC51" s="367">
        <f t="shared" si="7"/>
        <v>30570.81</v>
      </c>
      <c r="AD51" s="363">
        <f t="shared" si="7"/>
        <v>0</v>
      </c>
      <c r="AE51" s="280">
        <f t="shared" si="8"/>
        <v>30570.81</v>
      </c>
      <c r="AF51" s="367">
        <f t="shared" si="9"/>
        <v>7570.81</v>
      </c>
      <c r="AG51" s="363">
        <f t="shared" si="9"/>
        <v>0</v>
      </c>
      <c r="AH51" s="280">
        <f t="shared" si="10"/>
        <v>7570.81</v>
      </c>
      <c r="AI51" s="367">
        <f t="shared" si="11"/>
        <v>20761.080000000002</v>
      </c>
      <c r="AJ51" s="363">
        <f t="shared" si="11"/>
        <v>0</v>
      </c>
      <c r="AK51" s="280">
        <f t="shared" si="12"/>
        <v>20761.080000000002</v>
      </c>
      <c r="AL51" s="368"/>
      <c r="AM51" s="367">
        <f t="shared" si="13"/>
        <v>46951.35</v>
      </c>
      <c r="AN51" s="363">
        <f t="shared" si="13"/>
        <v>0</v>
      </c>
      <c r="AO51" s="280">
        <f t="shared" si="14"/>
        <v>46951.35</v>
      </c>
      <c r="AP51" s="367">
        <f t="shared" si="15"/>
        <v>54522.16</v>
      </c>
      <c r="AQ51" s="363">
        <f t="shared" si="15"/>
        <v>0</v>
      </c>
      <c r="AR51" s="280">
        <f t="shared" si="16"/>
        <v>54522.16</v>
      </c>
      <c r="AS51" s="367">
        <f t="shared" si="42"/>
        <v>75283.240000000005</v>
      </c>
      <c r="AT51" s="363">
        <f t="shared" si="17"/>
        <v>0</v>
      </c>
      <c r="AU51" s="280">
        <f t="shared" si="18"/>
        <v>75283.240000000005</v>
      </c>
      <c r="AV51" s="588">
        <f t="shared" si="19"/>
        <v>2299.94</v>
      </c>
      <c r="AW51" s="367">
        <f t="shared" ref="AW51:BT51" si="100">SUM(AW52:AW54)</f>
        <v>0</v>
      </c>
      <c r="AX51" s="363">
        <f t="shared" si="100"/>
        <v>0</v>
      </c>
      <c r="AY51" s="363">
        <f t="shared" si="100"/>
        <v>6190.27</v>
      </c>
      <c r="AZ51" s="363">
        <f t="shared" si="100"/>
        <v>0</v>
      </c>
      <c r="BA51" s="363">
        <f t="shared" si="100"/>
        <v>10190.27</v>
      </c>
      <c r="BB51" s="369">
        <f t="shared" si="100"/>
        <v>0</v>
      </c>
      <c r="BC51" s="367">
        <f t="shared" si="100"/>
        <v>10190.27</v>
      </c>
      <c r="BD51" s="363">
        <f t="shared" si="100"/>
        <v>0</v>
      </c>
      <c r="BE51" s="363">
        <f t="shared" si="100"/>
        <v>10190.27</v>
      </c>
      <c r="BF51" s="363">
        <f t="shared" si="100"/>
        <v>0</v>
      </c>
      <c r="BG51" s="363">
        <f t="shared" si="100"/>
        <v>10190.27</v>
      </c>
      <c r="BH51" s="369">
        <f t="shared" si="100"/>
        <v>0</v>
      </c>
      <c r="BI51" s="367">
        <f t="shared" si="100"/>
        <v>5190.2700000000004</v>
      </c>
      <c r="BJ51" s="363">
        <f t="shared" si="100"/>
        <v>0</v>
      </c>
      <c r="BK51" s="363">
        <f t="shared" si="100"/>
        <v>1190.27</v>
      </c>
      <c r="BL51" s="363">
        <f t="shared" si="100"/>
        <v>0</v>
      </c>
      <c r="BM51" s="363">
        <f t="shared" si="100"/>
        <v>1190.27</v>
      </c>
      <c r="BN51" s="369">
        <f t="shared" si="100"/>
        <v>0</v>
      </c>
      <c r="BO51" s="367">
        <f t="shared" si="100"/>
        <v>5190.2700000000004</v>
      </c>
      <c r="BP51" s="363">
        <f t="shared" si="100"/>
        <v>0</v>
      </c>
      <c r="BQ51" s="363">
        <f t="shared" si="100"/>
        <v>5190.2700000000004</v>
      </c>
      <c r="BR51" s="363">
        <f t="shared" si="100"/>
        <v>0</v>
      </c>
      <c r="BS51" s="363">
        <f t="shared" si="100"/>
        <v>10380.540000000001</v>
      </c>
      <c r="BT51" s="280">
        <f t="shared" si="100"/>
        <v>0</v>
      </c>
    </row>
    <row r="52" spans="1:72" s="313" customFormat="1" ht="63.75" outlineLevel="1">
      <c r="A52" s="287">
        <v>42</v>
      </c>
      <c r="B52" s="933"/>
      <c r="C52" s="840"/>
      <c r="D52" s="853" t="s">
        <v>588</v>
      </c>
      <c r="E52" s="839"/>
      <c r="F52" s="821" t="s">
        <v>7</v>
      </c>
      <c r="G52" s="314">
        <v>4</v>
      </c>
      <c r="H52" s="739" t="s">
        <v>71</v>
      </c>
      <c r="I52" s="739">
        <v>244</v>
      </c>
      <c r="J52" s="740">
        <v>225</v>
      </c>
      <c r="K52" s="533" t="s">
        <v>262</v>
      </c>
      <c r="L52" s="341">
        <f>18311.28-4028.04</f>
        <v>14283.24</v>
      </c>
      <c r="M52" s="318"/>
      <c r="N52" s="318"/>
      <c r="O52" s="318">
        <f t="shared" si="41"/>
        <v>14283.24</v>
      </c>
      <c r="P52" s="559"/>
      <c r="Q52" s="341">
        <v>18311.28</v>
      </c>
      <c r="R52" s="559"/>
      <c r="S52" s="341">
        <v>18311.28</v>
      </c>
      <c r="T52" s="559"/>
      <c r="U52" s="335"/>
      <c r="V52" s="596" t="s">
        <v>253</v>
      </c>
      <c r="W52" s="597" t="s">
        <v>394</v>
      </c>
      <c r="X52" s="597" t="s">
        <v>381</v>
      </c>
      <c r="Z52" s="336">
        <f t="shared" ref="Z52:AA91" si="101">AW52+AY52+BA52</f>
        <v>2380.54</v>
      </c>
      <c r="AA52" s="337">
        <f t="shared" si="101"/>
        <v>0</v>
      </c>
      <c r="AB52" s="338">
        <f t="shared" si="6"/>
        <v>2380.54</v>
      </c>
      <c r="AC52" s="336">
        <f t="shared" ref="AC52:AD91" si="102">BC52+BE52+BG52</f>
        <v>3570.81</v>
      </c>
      <c r="AD52" s="337">
        <f t="shared" si="102"/>
        <v>0</v>
      </c>
      <c r="AE52" s="338">
        <f t="shared" si="8"/>
        <v>3570.81</v>
      </c>
      <c r="AF52" s="336">
        <f t="shared" ref="AF52:AG91" si="103">BI52+BK52+BM52</f>
        <v>3570.81</v>
      </c>
      <c r="AG52" s="337">
        <f t="shared" si="103"/>
        <v>0</v>
      </c>
      <c r="AH52" s="338">
        <f t="shared" si="10"/>
        <v>3570.81</v>
      </c>
      <c r="AI52" s="336">
        <f t="shared" ref="AI52:AJ91" si="104">BO52+BQ52+BS52</f>
        <v>4761.08</v>
      </c>
      <c r="AJ52" s="337">
        <f t="shared" si="104"/>
        <v>0</v>
      </c>
      <c r="AK52" s="338">
        <f t="shared" si="12"/>
        <v>4761.08</v>
      </c>
      <c r="AL52" s="342"/>
      <c r="AM52" s="336">
        <f t="shared" ref="AM52:AN91" si="105">Z52+AC52</f>
        <v>5951.35</v>
      </c>
      <c r="AN52" s="339">
        <f t="shared" si="105"/>
        <v>0</v>
      </c>
      <c r="AO52" s="340">
        <f t="shared" si="14"/>
        <v>5951.35</v>
      </c>
      <c r="AP52" s="336">
        <f t="shared" ref="AP52:AQ91" si="106">Z52+AC52+AF52</f>
        <v>9522.16</v>
      </c>
      <c r="AQ52" s="339">
        <f t="shared" si="106"/>
        <v>0</v>
      </c>
      <c r="AR52" s="340">
        <f t="shared" si="16"/>
        <v>9522.16</v>
      </c>
      <c r="AS52" s="341">
        <f t="shared" si="42"/>
        <v>14283.24</v>
      </c>
      <c r="AT52" s="339">
        <f t="shared" si="17"/>
        <v>0</v>
      </c>
      <c r="AU52" s="340">
        <f t="shared" si="18"/>
        <v>14283.24</v>
      </c>
      <c r="AV52" s="589">
        <f t="shared" si="19"/>
        <v>0</v>
      </c>
      <c r="AW52" s="343"/>
      <c r="AX52" s="344"/>
      <c r="AY52" s="345">
        <v>1190.27</v>
      </c>
      <c r="AZ52" s="344"/>
      <c r="BA52" s="345">
        <v>1190.27</v>
      </c>
      <c r="BB52" s="346"/>
      <c r="BC52" s="347">
        <v>1190.27</v>
      </c>
      <c r="BD52" s="348"/>
      <c r="BE52" s="349">
        <v>1190.27</v>
      </c>
      <c r="BF52" s="348"/>
      <c r="BG52" s="349">
        <v>1190.27</v>
      </c>
      <c r="BH52" s="350"/>
      <c r="BI52" s="351">
        <v>1190.27</v>
      </c>
      <c r="BJ52" s="352"/>
      <c r="BK52" s="337">
        <v>1190.27</v>
      </c>
      <c r="BL52" s="352"/>
      <c r="BM52" s="337">
        <v>1190.27</v>
      </c>
      <c r="BN52" s="353"/>
      <c r="BO52" s="354">
        <v>1190.27</v>
      </c>
      <c r="BP52" s="355"/>
      <c r="BQ52" s="356">
        <v>1190.27</v>
      </c>
      <c r="BR52" s="355"/>
      <c r="BS52" s="356">
        <f>1190.27*2</f>
        <v>2380.54</v>
      </c>
      <c r="BT52" s="357"/>
    </row>
    <row r="53" spans="1:72" s="313" customFormat="1" ht="76.5" outlineLevel="1">
      <c r="A53" s="287">
        <v>43</v>
      </c>
      <c r="B53" s="933"/>
      <c r="C53" s="840"/>
      <c r="D53" s="853" t="s">
        <v>588</v>
      </c>
      <c r="E53" s="839"/>
      <c r="F53" s="821" t="s">
        <v>7</v>
      </c>
      <c r="G53" s="314">
        <v>4</v>
      </c>
      <c r="H53" s="739" t="s">
        <v>71</v>
      </c>
      <c r="I53" s="739">
        <v>244</v>
      </c>
      <c r="J53" s="740">
        <v>225</v>
      </c>
      <c r="K53" s="533" t="s">
        <v>263</v>
      </c>
      <c r="L53" s="341">
        <v>25199.88</v>
      </c>
      <c r="M53" s="318"/>
      <c r="N53" s="318"/>
      <c r="O53" s="318">
        <f t="shared" si="41"/>
        <v>25199.88</v>
      </c>
      <c r="P53" s="559"/>
      <c r="Q53" s="341">
        <v>25199.88</v>
      </c>
      <c r="R53" s="559"/>
      <c r="S53" s="341">
        <v>25199.88</v>
      </c>
      <c r="T53" s="559"/>
      <c r="U53" s="335"/>
      <c r="V53" s="597" t="s">
        <v>255</v>
      </c>
      <c r="W53" s="597" t="s">
        <v>452</v>
      </c>
      <c r="X53" s="597" t="s">
        <v>453</v>
      </c>
      <c r="Z53" s="336">
        <f t="shared" si="101"/>
        <v>10000</v>
      </c>
      <c r="AA53" s="337">
        <f t="shared" si="101"/>
        <v>0</v>
      </c>
      <c r="AB53" s="338">
        <f t="shared" si="6"/>
        <v>10000</v>
      </c>
      <c r="AC53" s="336">
        <f t="shared" si="102"/>
        <v>15000</v>
      </c>
      <c r="AD53" s="337">
        <f t="shared" si="102"/>
        <v>0</v>
      </c>
      <c r="AE53" s="338">
        <f t="shared" si="8"/>
        <v>15000</v>
      </c>
      <c r="AF53" s="336">
        <f t="shared" si="103"/>
        <v>0</v>
      </c>
      <c r="AG53" s="337">
        <f t="shared" si="103"/>
        <v>0</v>
      </c>
      <c r="AH53" s="338">
        <f t="shared" si="10"/>
        <v>0</v>
      </c>
      <c r="AI53" s="336">
        <f t="shared" si="104"/>
        <v>0</v>
      </c>
      <c r="AJ53" s="337">
        <f t="shared" si="104"/>
        <v>0</v>
      </c>
      <c r="AK53" s="338">
        <f t="shared" si="12"/>
        <v>0</v>
      </c>
      <c r="AL53" s="342"/>
      <c r="AM53" s="336">
        <f t="shared" si="105"/>
        <v>25000</v>
      </c>
      <c r="AN53" s="339">
        <f t="shared" si="105"/>
        <v>0</v>
      </c>
      <c r="AO53" s="340">
        <f t="shared" si="14"/>
        <v>25000</v>
      </c>
      <c r="AP53" s="336">
        <f t="shared" si="106"/>
        <v>25000</v>
      </c>
      <c r="AQ53" s="339">
        <f t="shared" si="106"/>
        <v>0</v>
      </c>
      <c r="AR53" s="340">
        <f t="shared" si="16"/>
        <v>25000</v>
      </c>
      <c r="AS53" s="341">
        <f t="shared" si="42"/>
        <v>25000</v>
      </c>
      <c r="AT53" s="339">
        <f t="shared" si="17"/>
        <v>0</v>
      </c>
      <c r="AU53" s="340">
        <f t="shared" si="18"/>
        <v>25000</v>
      </c>
      <c r="AV53" s="589">
        <f t="shared" si="19"/>
        <v>199.88</v>
      </c>
      <c r="AW53" s="343"/>
      <c r="AX53" s="344"/>
      <c r="AY53" s="345">
        <v>5000</v>
      </c>
      <c r="AZ53" s="344"/>
      <c r="BA53" s="345">
        <v>5000</v>
      </c>
      <c r="BB53" s="346"/>
      <c r="BC53" s="347">
        <v>5000</v>
      </c>
      <c r="BD53" s="348"/>
      <c r="BE53" s="349">
        <v>5000</v>
      </c>
      <c r="BF53" s="348"/>
      <c r="BG53" s="349">
        <v>5000</v>
      </c>
      <c r="BH53" s="350"/>
      <c r="BI53" s="351"/>
      <c r="BJ53" s="352"/>
      <c r="BK53" s="337"/>
      <c r="BL53" s="352"/>
      <c r="BM53" s="337"/>
      <c r="BN53" s="353"/>
      <c r="BO53" s="354"/>
      <c r="BP53" s="355"/>
      <c r="BQ53" s="356"/>
      <c r="BR53" s="355"/>
      <c r="BS53" s="356"/>
      <c r="BT53" s="357"/>
    </row>
    <row r="54" spans="1:72" s="313" customFormat="1" ht="63.75" outlineLevel="1">
      <c r="A54" s="287">
        <v>44</v>
      </c>
      <c r="B54" s="933"/>
      <c r="C54" s="840"/>
      <c r="D54" s="853" t="s">
        <v>216</v>
      </c>
      <c r="E54" s="839"/>
      <c r="F54" s="821" t="s">
        <v>7</v>
      </c>
      <c r="G54" s="314">
        <v>4</v>
      </c>
      <c r="H54" s="739" t="s">
        <v>71</v>
      </c>
      <c r="I54" s="739">
        <v>244</v>
      </c>
      <c r="J54" s="740">
        <v>225</v>
      </c>
      <c r="K54" s="533" t="s">
        <v>361</v>
      </c>
      <c r="L54" s="341">
        <v>38100.06</v>
      </c>
      <c r="M54" s="318"/>
      <c r="N54" s="318"/>
      <c r="O54" s="318">
        <f t="shared" si="41"/>
        <v>38100.06</v>
      </c>
      <c r="P54" s="559"/>
      <c r="Q54" s="341">
        <v>38100.06</v>
      </c>
      <c r="R54" s="559"/>
      <c r="S54" s="341">
        <v>38100.06</v>
      </c>
      <c r="T54" s="559"/>
      <c r="U54" s="335"/>
      <c r="V54" s="597" t="s">
        <v>258</v>
      </c>
      <c r="W54" s="597" t="s">
        <v>454</v>
      </c>
      <c r="X54" s="597" t="s">
        <v>455</v>
      </c>
      <c r="Z54" s="336">
        <f t="shared" si="101"/>
        <v>4000</v>
      </c>
      <c r="AA54" s="337">
        <f t="shared" si="101"/>
        <v>0</v>
      </c>
      <c r="AB54" s="338">
        <f t="shared" si="6"/>
        <v>4000</v>
      </c>
      <c r="AC54" s="336">
        <f t="shared" si="102"/>
        <v>12000</v>
      </c>
      <c r="AD54" s="337">
        <f t="shared" si="102"/>
        <v>0</v>
      </c>
      <c r="AE54" s="338">
        <f t="shared" si="8"/>
        <v>12000</v>
      </c>
      <c r="AF54" s="336">
        <f t="shared" si="103"/>
        <v>4000</v>
      </c>
      <c r="AG54" s="337">
        <f t="shared" si="103"/>
        <v>0</v>
      </c>
      <c r="AH54" s="338">
        <f t="shared" si="10"/>
        <v>4000</v>
      </c>
      <c r="AI54" s="336">
        <f t="shared" si="104"/>
        <v>16000</v>
      </c>
      <c r="AJ54" s="337">
        <f t="shared" si="104"/>
        <v>0</v>
      </c>
      <c r="AK54" s="338">
        <f t="shared" si="12"/>
        <v>16000</v>
      </c>
      <c r="AL54" s="342"/>
      <c r="AM54" s="336">
        <f t="shared" si="105"/>
        <v>16000</v>
      </c>
      <c r="AN54" s="339">
        <f t="shared" si="105"/>
        <v>0</v>
      </c>
      <c r="AO54" s="340">
        <f t="shared" si="14"/>
        <v>16000</v>
      </c>
      <c r="AP54" s="336">
        <f t="shared" si="106"/>
        <v>20000</v>
      </c>
      <c r="AQ54" s="339">
        <f t="shared" si="106"/>
        <v>0</v>
      </c>
      <c r="AR54" s="340">
        <f t="shared" si="16"/>
        <v>20000</v>
      </c>
      <c r="AS54" s="341">
        <f t="shared" si="42"/>
        <v>36000</v>
      </c>
      <c r="AT54" s="339">
        <f t="shared" si="17"/>
        <v>0</v>
      </c>
      <c r="AU54" s="340">
        <f t="shared" si="18"/>
        <v>36000</v>
      </c>
      <c r="AV54" s="589">
        <f t="shared" si="19"/>
        <v>2100.06</v>
      </c>
      <c r="AW54" s="343"/>
      <c r="AX54" s="344"/>
      <c r="AY54" s="345"/>
      <c r="AZ54" s="344"/>
      <c r="BA54" s="345">
        <v>4000</v>
      </c>
      <c r="BB54" s="346"/>
      <c r="BC54" s="347">
        <v>4000</v>
      </c>
      <c r="BD54" s="348"/>
      <c r="BE54" s="349">
        <v>4000</v>
      </c>
      <c r="BF54" s="348"/>
      <c r="BG54" s="349">
        <v>4000</v>
      </c>
      <c r="BH54" s="350"/>
      <c r="BI54" s="351">
        <v>4000</v>
      </c>
      <c r="BJ54" s="352"/>
      <c r="BK54" s="337"/>
      <c r="BL54" s="352"/>
      <c r="BM54" s="337"/>
      <c r="BN54" s="353"/>
      <c r="BO54" s="354">
        <v>4000</v>
      </c>
      <c r="BP54" s="355"/>
      <c r="BQ54" s="356">
        <v>4000</v>
      </c>
      <c r="BR54" s="355"/>
      <c r="BS54" s="356">
        <f>4000*2</f>
        <v>8000</v>
      </c>
      <c r="BT54" s="357"/>
    </row>
    <row r="55" spans="1:72" s="358" customFormat="1" ht="31.5" customHeight="1">
      <c r="A55" s="287">
        <v>45</v>
      </c>
      <c r="B55" s="933"/>
      <c r="C55" s="850" t="s">
        <v>377</v>
      </c>
      <c r="D55" s="853" t="s">
        <v>207</v>
      </c>
      <c r="E55" s="836" t="s">
        <v>201</v>
      </c>
      <c r="F55" s="820" t="s">
        <v>7</v>
      </c>
      <c r="G55" s="360">
        <v>4</v>
      </c>
      <c r="H55" s="360" t="s">
        <v>71</v>
      </c>
      <c r="I55" s="360">
        <v>244</v>
      </c>
      <c r="J55" s="361">
        <v>225</v>
      </c>
      <c r="K55" s="532" t="s">
        <v>148</v>
      </c>
      <c r="L55" s="367">
        <f>L56</f>
        <v>535089.69999999995</v>
      </c>
      <c r="M55" s="363"/>
      <c r="N55" s="363"/>
      <c r="O55" s="363">
        <f t="shared" si="41"/>
        <v>535089.69999999995</v>
      </c>
      <c r="P55" s="557"/>
      <c r="Q55" s="367">
        <f>Q56</f>
        <v>538687.53</v>
      </c>
      <c r="R55" s="557"/>
      <c r="S55" s="367">
        <f>S56</f>
        <v>538687.52</v>
      </c>
      <c r="T55" s="557"/>
      <c r="U55" s="365"/>
      <c r="V55" s="366">
        <f>L183</f>
        <v>95000</v>
      </c>
      <c r="W55" s="366"/>
      <c r="X55" s="391">
        <f>L55/(L55+V55)</f>
        <v>0.84919999999999995</v>
      </c>
      <c r="Z55" s="367">
        <f t="shared" si="101"/>
        <v>53494.18</v>
      </c>
      <c r="AA55" s="363">
        <f t="shared" si="101"/>
        <v>0</v>
      </c>
      <c r="AB55" s="280">
        <f t="shared" si="6"/>
        <v>53494.18</v>
      </c>
      <c r="AC55" s="367">
        <f t="shared" si="102"/>
        <v>101255.88</v>
      </c>
      <c r="AD55" s="363">
        <f t="shared" si="102"/>
        <v>0</v>
      </c>
      <c r="AE55" s="280">
        <f t="shared" si="8"/>
        <v>101255.88</v>
      </c>
      <c r="AF55" s="367">
        <f t="shared" si="103"/>
        <v>99092.04</v>
      </c>
      <c r="AG55" s="363">
        <f t="shared" si="103"/>
        <v>0</v>
      </c>
      <c r="AH55" s="280">
        <f t="shared" si="10"/>
        <v>99092.04</v>
      </c>
      <c r="AI55" s="367">
        <f t="shared" si="104"/>
        <v>0</v>
      </c>
      <c r="AJ55" s="363">
        <f t="shared" si="104"/>
        <v>0</v>
      </c>
      <c r="AK55" s="280">
        <f t="shared" si="12"/>
        <v>0</v>
      </c>
      <c r="AL55" s="368"/>
      <c r="AM55" s="367">
        <f t="shared" si="105"/>
        <v>154750.06</v>
      </c>
      <c r="AN55" s="363">
        <f t="shared" si="105"/>
        <v>0</v>
      </c>
      <c r="AO55" s="280">
        <f t="shared" si="14"/>
        <v>154750.06</v>
      </c>
      <c r="AP55" s="367">
        <f t="shared" si="106"/>
        <v>253842.1</v>
      </c>
      <c r="AQ55" s="363">
        <f t="shared" si="106"/>
        <v>0</v>
      </c>
      <c r="AR55" s="280">
        <f t="shared" si="16"/>
        <v>253842.1</v>
      </c>
      <c r="AS55" s="367">
        <f t="shared" si="42"/>
        <v>253842.1</v>
      </c>
      <c r="AT55" s="363">
        <f t="shared" si="17"/>
        <v>0</v>
      </c>
      <c r="AU55" s="280">
        <f t="shared" si="18"/>
        <v>253842.1</v>
      </c>
      <c r="AV55" s="588">
        <f t="shared" si="19"/>
        <v>281247.59999999998</v>
      </c>
      <c r="AW55" s="367">
        <f t="shared" ref="AW55:BT55" si="107">AW56</f>
        <v>0</v>
      </c>
      <c r="AX55" s="363">
        <f t="shared" si="107"/>
        <v>0</v>
      </c>
      <c r="AY55" s="363">
        <f t="shared" si="107"/>
        <v>22339.96</v>
      </c>
      <c r="AZ55" s="363">
        <f t="shared" si="107"/>
        <v>0</v>
      </c>
      <c r="BA55" s="363">
        <f t="shared" si="107"/>
        <v>31154.22</v>
      </c>
      <c r="BB55" s="369">
        <f t="shared" si="107"/>
        <v>0</v>
      </c>
      <c r="BC55" s="367">
        <f t="shared" si="107"/>
        <v>35050.83</v>
      </c>
      <c r="BD55" s="363">
        <f t="shared" si="107"/>
        <v>0</v>
      </c>
      <c r="BE55" s="363">
        <f t="shared" si="107"/>
        <v>35050.83</v>
      </c>
      <c r="BF55" s="363">
        <f t="shared" si="107"/>
        <v>0</v>
      </c>
      <c r="BG55" s="363">
        <f t="shared" si="107"/>
        <v>31154.22</v>
      </c>
      <c r="BH55" s="369">
        <f t="shared" si="107"/>
        <v>0</v>
      </c>
      <c r="BI55" s="367">
        <f t="shared" si="107"/>
        <v>33561.5</v>
      </c>
      <c r="BJ55" s="363">
        <f t="shared" si="107"/>
        <v>0</v>
      </c>
      <c r="BK55" s="363">
        <f t="shared" si="107"/>
        <v>32765.27</v>
      </c>
      <c r="BL55" s="363">
        <f t="shared" si="107"/>
        <v>0</v>
      </c>
      <c r="BM55" s="363">
        <f t="shared" si="107"/>
        <v>32765.27</v>
      </c>
      <c r="BN55" s="369">
        <f t="shared" si="107"/>
        <v>0</v>
      </c>
      <c r="BO55" s="367">
        <f t="shared" si="107"/>
        <v>0</v>
      </c>
      <c r="BP55" s="363">
        <f t="shared" si="107"/>
        <v>0</v>
      </c>
      <c r="BQ55" s="363">
        <f t="shared" si="107"/>
        <v>0</v>
      </c>
      <c r="BR55" s="363">
        <f t="shared" si="107"/>
        <v>0</v>
      </c>
      <c r="BS55" s="363">
        <f t="shared" si="107"/>
        <v>0</v>
      </c>
      <c r="BT55" s="280">
        <f t="shared" si="107"/>
        <v>0</v>
      </c>
    </row>
    <row r="56" spans="1:72" s="313" customFormat="1" ht="25.5" outlineLevel="1">
      <c r="A56" s="287">
        <v>46</v>
      </c>
      <c r="B56" s="933"/>
      <c r="C56" s="840"/>
      <c r="D56" s="853" t="s">
        <v>207</v>
      </c>
      <c r="E56" s="839"/>
      <c r="F56" s="821" t="s">
        <v>7</v>
      </c>
      <c r="G56" s="314">
        <v>4</v>
      </c>
      <c r="H56" s="739" t="s">
        <v>71</v>
      </c>
      <c r="I56" s="739">
        <v>244</v>
      </c>
      <c r="J56" s="740">
        <v>225</v>
      </c>
      <c r="K56" s="533" t="s">
        <v>209</v>
      </c>
      <c r="L56" s="341">
        <v>535089.69999999995</v>
      </c>
      <c r="M56" s="318"/>
      <c r="N56" s="318"/>
      <c r="O56" s="318">
        <f t="shared" si="41"/>
        <v>535089.69999999995</v>
      </c>
      <c r="P56" s="559"/>
      <c r="Q56" s="336">
        <v>538687.53</v>
      </c>
      <c r="R56" s="559"/>
      <c r="S56" s="336">
        <v>538687.52</v>
      </c>
      <c r="T56" s="559"/>
      <c r="U56" s="335"/>
      <c r="V56" s="596" t="s">
        <v>208</v>
      </c>
      <c r="W56" s="610" t="s">
        <v>398</v>
      </c>
      <c r="X56" s="597" t="s">
        <v>397</v>
      </c>
      <c r="Z56" s="336">
        <f t="shared" si="101"/>
        <v>53494.18</v>
      </c>
      <c r="AA56" s="337">
        <f t="shared" si="101"/>
        <v>0</v>
      </c>
      <c r="AB56" s="338">
        <f t="shared" si="6"/>
        <v>53494.18</v>
      </c>
      <c r="AC56" s="336">
        <f t="shared" si="102"/>
        <v>101255.88</v>
      </c>
      <c r="AD56" s="337">
        <f t="shared" si="102"/>
        <v>0</v>
      </c>
      <c r="AE56" s="338">
        <f t="shared" si="8"/>
        <v>101255.88</v>
      </c>
      <c r="AF56" s="336">
        <f t="shared" si="103"/>
        <v>99092.04</v>
      </c>
      <c r="AG56" s="337">
        <f t="shared" si="103"/>
        <v>0</v>
      </c>
      <c r="AH56" s="338">
        <f t="shared" si="10"/>
        <v>99092.04</v>
      </c>
      <c r="AI56" s="336">
        <f t="shared" si="104"/>
        <v>0</v>
      </c>
      <c r="AJ56" s="337">
        <f t="shared" si="104"/>
        <v>0</v>
      </c>
      <c r="AK56" s="338">
        <f t="shared" si="12"/>
        <v>0</v>
      </c>
      <c r="AL56" s="342"/>
      <c r="AM56" s="336">
        <f t="shared" si="105"/>
        <v>154750.06</v>
      </c>
      <c r="AN56" s="339">
        <f t="shared" si="105"/>
        <v>0</v>
      </c>
      <c r="AO56" s="340">
        <f t="shared" si="14"/>
        <v>154750.06</v>
      </c>
      <c r="AP56" s="336">
        <f t="shared" si="106"/>
        <v>253842.1</v>
      </c>
      <c r="AQ56" s="339">
        <f t="shared" si="106"/>
        <v>0</v>
      </c>
      <c r="AR56" s="340">
        <f t="shared" si="16"/>
        <v>253842.1</v>
      </c>
      <c r="AS56" s="809">
        <f t="shared" si="42"/>
        <v>253842.1</v>
      </c>
      <c r="AT56" s="339">
        <f t="shared" si="17"/>
        <v>0</v>
      </c>
      <c r="AU56" s="340">
        <f t="shared" si="18"/>
        <v>253842.1</v>
      </c>
      <c r="AV56" s="589">
        <f t="shared" si="19"/>
        <v>281247.59999999998</v>
      </c>
      <c r="AW56" s="343"/>
      <c r="AX56" s="344"/>
      <c r="AY56" s="345">
        <f>925.05*1.61*15</f>
        <v>22339.96</v>
      </c>
      <c r="AZ56" s="344"/>
      <c r="BA56" s="345">
        <f>925.05*1.61*19+354.9*1.61*5</f>
        <v>31154.22</v>
      </c>
      <c r="BB56" s="346"/>
      <c r="BC56" s="347">
        <f>925.05*1.61*22+354.9*1.61*4</f>
        <v>35050.83</v>
      </c>
      <c r="BD56" s="348"/>
      <c r="BE56" s="349">
        <f>925.05*1.61*22+354.9*1.61*4</f>
        <v>35050.83</v>
      </c>
      <c r="BF56" s="348"/>
      <c r="BG56" s="349">
        <f>925.05*1.61*19+354.9*1.61*5</f>
        <v>31154.22</v>
      </c>
      <c r="BH56" s="350"/>
      <c r="BI56" s="351">
        <f>925.05*1.61*21+354.9*1.61*4</f>
        <v>33561.5</v>
      </c>
      <c r="BJ56" s="352"/>
      <c r="BK56" s="337">
        <f>925.05*1.61*22</f>
        <v>32765.27</v>
      </c>
      <c r="BL56" s="352"/>
      <c r="BM56" s="337">
        <f>925.05*1.61*22</f>
        <v>32765.27</v>
      </c>
      <c r="BN56" s="353"/>
      <c r="BO56" s="354"/>
      <c r="BP56" s="355"/>
      <c r="BQ56" s="356"/>
      <c r="BR56" s="355"/>
      <c r="BS56" s="356"/>
      <c r="BT56" s="357"/>
    </row>
    <row r="57" spans="1:72" s="358" customFormat="1" ht="47.25" customHeight="1">
      <c r="A57" s="287">
        <v>47</v>
      </c>
      <c r="B57" s="933"/>
      <c r="C57" s="850" t="s">
        <v>377</v>
      </c>
      <c r="D57" s="838"/>
      <c r="E57" s="836" t="s">
        <v>201</v>
      </c>
      <c r="F57" s="820" t="s">
        <v>7</v>
      </c>
      <c r="G57" s="360">
        <v>4</v>
      </c>
      <c r="H57" s="360" t="s">
        <v>71</v>
      </c>
      <c r="I57" s="360">
        <v>244</v>
      </c>
      <c r="J57" s="361">
        <v>225</v>
      </c>
      <c r="K57" s="532" t="s">
        <v>364</v>
      </c>
      <c r="L57" s="367">
        <f>SUM(L58:L61)</f>
        <v>27290.76</v>
      </c>
      <c r="M57" s="363"/>
      <c r="N57" s="363"/>
      <c r="O57" s="363">
        <f t="shared" si="41"/>
        <v>27290.76</v>
      </c>
      <c r="P57" s="571"/>
      <c r="Q57" s="367">
        <f>SUM(Q58:Q61)</f>
        <v>27290.76</v>
      </c>
      <c r="R57" s="557"/>
      <c r="S57" s="367">
        <f>SUM(S58:S61)</f>
        <v>27290.76</v>
      </c>
      <c r="T57" s="557"/>
      <c r="U57" s="365"/>
      <c r="V57" s="366"/>
      <c r="W57" s="366"/>
      <c r="X57" s="391"/>
      <c r="Z57" s="367">
        <f>AW57+AY57+BA57</f>
        <v>6822.69</v>
      </c>
      <c r="AA57" s="363">
        <f>AX57+AZ57+BB57</f>
        <v>0</v>
      </c>
      <c r="AB57" s="280">
        <f>Z57-AA57</f>
        <v>6822.69</v>
      </c>
      <c r="AC57" s="367">
        <f>BC57+BE57+BG57</f>
        <v>6822.69</v>
      </c>
      <c r="AD57" s="363">
        <f>BD57+BF57+BH57</f>
        <v>0</v>
      </c>
      <c r="AE57" s="280">
        <f>AC57-AD57</f>
        <v>6822.69</v>
      </c>
      <c r="AF57" s="367">
        <f>BI57+BK57+BM57</f>
        <v>6822.69</v>
      </c>
      <c r="AG57" s="363">
        <f>BJ57+BL57+BN57</f>
        <v>0</v>
      </c>
      <c r="AH57" s="280">
        <f>AF57-AG57</f>
        <v>6822.69</v>
      </c>
      <c r="AI57" s="367">
        <f>BO57+BQ57+BS57</f>
        <v>6822.69</v>
      </c>
      <c r="AJ57" s="363">
        <f>BP57+BR57+BT57</f>
        <v>0</v>
      </c>
      <c r="AK57" s="280">
        <f>AI57-AJ57</f>
        <v>6822.69</v>
      </c>
      <c r="AL57" s="368"/>
      <c r="AM57" s="367">
        <f>Z57+AC57</f>
        <v>13645.38</v>
      </c>
      <c r="AN57" s="363">
        <f>AA57+AD57</f>
        <v>0</v>
      </c>
      <c r="AO57" s="280">
        <f>AM57-AN57</f>
        <v>13645.38</v>
      </c>
      <c r="AP57" s="367">
        <f>Z57+AC57+AF57</f>
        <v>20468.07</v>
      </c>
      <c r="AQ57" s="363">
        <f>AA57+AD57+AG57</f>
        <v>0</v>
      </c>
      <c r="AR57" s="280">
        <f>AP57-AQ57</f>
        <v>20468.07</v>
      </c>
      <c r="AS57" s="367">
        <f>Z57+AC57+AF57+AI57</f>
        <v>27290.76</v>
      </c>
      <c r="AT57" s="363">
        <f>AA57+AD57+AG57+AJ57</f>
        <v>0</v>
      </c>
      <c r="AU57" s="280">
        <f>AS57-AT57</f>
        <v>27290.76</v>
      </c>
      <c r="AV57" s="588">
        <f t="shared" si="19"/>
        <v>0</v>
      </c>
      <c r="AW57" s="367">
        <f>SUM(AW58:AW61)</f>
        <v>0</v>
      </c>
      <c r="AX57" s="367">
        <f t="shared" ref="AX57:BT57" si="108">SUM(AX58:AX61)</f>
        <v>0</v>
      </c>
      <c r="AY57" s="367">
        <f t="shared" si="108"/>
        <v>6822.69</v>
      </c>
      <c r="AZ57" s="367">
        <f t="shared" si="108"/>
        <v>0</v>
      </c>
      <c r="BA57" s="367">
        <f t="shared" si="108"/>
        <v>0</v>
      </c>
      <c r="BB57" s="367">
        <f t="shared" si="108"/>
        <v>0</v>
      </c>
      <c r="BC57" s="367">
        <f t="shared" si="108"/>
        <v>6822.69</v>
      </c>
      <c r="BD57" s="367">
        <f t="shared" si="108"/>
        <v>0</v>
      </c>
      <c r="BE57" s="367">
        <f t="shared" si="108"/>
        <v>0</v>
      </c>
      <c r="BF57" s="367">
        <f t="shared" si="108"/>
        <v>0</v>
      </c>
      <c r="BG57" s="367">
        <f t="shared" si="108"/>
        <v>0</v>
      </c>
      <c r="BH57" s="367">
        <f t="shared" si="108"/>
        <v>0</v>
      </c>
      <c r="BI57" s="367">
        <f t="shared" si="108"/>
        <v>0</v>
      </c>
      <c r="BJ57" s="367">
        <f t="shared" si="108"/>
        <v>0</v>
      </c>
      <c r="BK57" s="367">
        <f t="shared" si="108"/>
        <v>0</v>
      </c>
      <c r="BL57" s="367">
        <f t="shared" si="108"/>
        <v>0</v>
      </c>
      <c r="BM57" s="367">
        <f t="shared" si="108"/>
        <v>6822.69</v>
      </c>
      <c r="BN57" s="367">
        <f t="shared" si="108"/>
        <v>0</v>
      </c>
      <c r="BO57" s="367">
        <f t="shared" si="108"/>
        <v>0</v>
      </c>
      <c r="BP57" s="367">
        <f t="shared" si="108"/>
        <v>0</v>
      </c>
      <c r="BQ57" s="367">
        <f t="shared" si="108"/>
        <v>6822.69</v>
      </c>
      <c r="BR57" s="367">
        <f t="shared" si="108"/>
        <v>0</v>
      </c>
      <c r="BS57" s="367">
        <f t="shared" si="108"/>
        <v>0</v>
      </c>
      <c r="BT57" s="367">
        <f t="shared" si="108"/>
        <v>0</v>
      </c>
    </row>
    <row r="58" spans="1:72" s="313" customFormat="1" ht="51" outlineLevel="1">
      <c r="A58" s="287">
        <v>48</v>
      </c>
      <c r="B58" s="933"/>
      <c r="C58" s="840"/>
      <c r="D58" s="853" t="s">
        <v>216</v>
      </c>
      <c r="E58" s="839"/>
      <c r="F58" s="821" t="s">
        <v>7</v>
      </c>
      <c r="G58" s="314">
        <v>4</v>
      </c>
      <c r="H58" s="739" t="s">
        <v>71</v>
      </c>
      <c r="I58" s="739">
        <v>244</v>
      </c>
      <c r="J58" s="740">
        <v>225</v>
      </c>
      <c r="K58" s="533" t="s">
        <v>362</v>
      </c>
      <c r="L58" s="341">
        <v>6822.69</v>
      </c>
      <c r="M58" s="318"/>
      <c r="N58" s="318"/>
      <c r="O58" s="318">
        <f t="shared" si="41"/>
        <v>6822.69</v>
      </c>
      <c r="P58" s="570"/>
      <c r="Q58" s="509">
        <v>6822.69</v>
      </c>
      <c r="R58" s="559"/>
      <c r="S58" s="542">
        <v>6822.69</v>
      </c>
      <c r="T58" s="559"/>
      <c r="U58" s="335"/>
      <c r="V58" s="320" t="s">
        <v>254</v>
      </c>
      <c r="W58" s="388"/>
      <c r="X58" s="388"/>
      <c r="Z58" s="336">
        <f t="shared" ref="Z58:AA61" si="109">AW58+AY58+BA58</f>
        <v>6822.69</v>
      </c>
      <c r="AA58" s="337">
        <f t="shared" si="109"/>
        <v>0</v>
      </c>
      <c r="AB58" s="338">
        <f>Z58-AA58</f>
        <v>6822.69</v>
      </c>
      <c r="AC58" s="336">
        <f t="shared" ref="AC58:AD61" si="110">BC58+BE58+BG58</f>
        <v>0</v>
      </c>
      <c r="AD58" s="337">
        <f t="shared" si="110"/>
        <v>0</v>
      </c>
      <c r="AE58" s="338">
        <f>AC58-AD58</f>
        <v>0</v>
      </c>
      <c r="AF58" s="336">
        <f t="shared" ref="AF58:AG61" si="111">BI58+BK58+BM58</f>
        <v>0</v>
      </c>
      <c r="AG58" s="337">
        <f t="shared" si="111"/>
        <v>0</v>
      </c>
      <c r="AH58" s="338">
        <f>AF58-AG58</f>
        <v>0</v>
      </c>
      <c r="AI58" s="336">
        <f t="shared" ref="AI58:AJ61" si="112">BO58+BQ58+BS58</f>
        <v>0</v>
      </c>
      <c r="AJ58" s="337">
        <f t="shared" si="112"/>
        <v>0</v>
      </c>
      <c r="AK58" s="338">
        <f>AI58-AJ58</f>
        <v>0</v>
      </c>
      <c r="AL58" s="342"/>
      <c r="AM58" s="336">
        <f t="shared" ref="AM58:AN61" si="113">Z58+AC58</f>
        <v>6822.69</v>
      </c>
      <c r="AN58" s="339">
        <f t="shared" si="113"/>
        <v>0</v>
      </c>
      <c r="AO58" s="340">
        <f>AM58-AN58</f>
        <v>6822.69</v>
      </c>
      <c r="AP58" s="336">
        <f t="shared" ref="AP58:AQ61" si="114">Z58+AC58+AF58</f>
        <v>6822.69</v>
      </c>
      <c r="AQ58" s="339">
        <f t="shared" si="114"/>
        <v>0</v>
      </c>
      <c r="AR58" s="340">
        <f>AP58-AQ58</f>
        <v>6822.69</v>
      </c>
      <c r="AS58" s="341">
        <f t="shared" ref="AS58:AT61" si="115">Z58+AC58+AF58+AI58</f>
        <v>6822.69</v>
      </c>
      <c r="AT58" s="339">
        <f t="shared" si="115"/>
        <v>0</v>
      </c>
      <c r="AU58" s="340">
        <f>AS58-AT58</f>
        <v>6822.69</v>
      </c>
      <c r="AV58" s="589">
        <f t="shared" si="19"/>
        <v>0</v>
      </c>
      <c r="AW58" s="343"/>
      <c r="AX58" s="344"/>
      <c r="AY58" s="345">
        <f>35*170 + 7*124.67</f>
        <v>6822.69</v>
      </c>
      <c r="AZ58" s="344"/>
      <c r="BA58" s="345"/>
      <c r="BB58" s="346"/>
      <c r="BC58" s="347"/>
      <c r="BD58" s="348"/>
      <c r="BE58" s="349"/>
      <c r="BF58" s="348"/>
      <c r="BG58" s="349"/>
      <c r="BH58" s="350"/>
      <c r="BI58" s="351"/>
      <c r="BJ58" s="352"/>
      <c r="BK58" s="337"/>
      <c r="BL58" s="352"/>
      <c r="BM58" s="337"/>
      <c r="BN58" s="353"/>
      <c r="BO58" s="354"/>
      <c r="BP58" s="355"/>
      <c r="BQ58" s="356"/>
      <c r="BR58" s="355"/>
      <c r="BS58" s="356"/>
      <c r="BT58" s="357"/>
    </row>
    <row r="59" spans="1:72" s="313" customFormat="1" ht="51" outlineLevel="1">
      <c r="A59" s="287">
        <v>49</v>
      </c>
      <c r="B59" s="933"/>
      <c r="C59" s="840"/>
      <c r="D59" s="853" t="s">
        <v>216</v>
      </c>
      <c r="E59" s="839"/>
      <c r="F59" s="821" t="s">
        <v>7</v>
      </c>
      <c r="G59" s="314">
        <v>4</v>
      </c>
      <c r="H59" s="739" t="s">
        <v>71</v>
      </c>
      <c r="I59" s="739">
        <v>244</v>
      </c>
      <c r="J59" s="740">
        <v>225</v>
      </c>
      <c r="K59" s="533" t="s">
        <v>574</v>
      </c>
      <c r="L59" s="341">
        <v>6822.69</v>
      </c>
      <c r="M59" s="318"/>
      <c r="N59" s="318"/>
      <c r="O59" s="318">
        <f t="shared" si="41"/>
        <v>6822.69</v>
      </c>
      <c r="P59" s="570"/>
      <c r="Q59" s="509">
        <v>6822.69</v>
      </c>
      <c r="R59" s="559"/>
      <c r="S59" s="542">
        <v>6822.69</v>
      </c>
      <c r="T59" s="559"/>
      <c r="U59" s="335"/>
      <c r="V59" s="320" t="s">
        <v>254</v>
      </c>
      <c r="W59" s="388" t="s">
        <v>256</v>
      </c>
      <c r="X59" s="388" t="s">
        <v>257</v>
      </c>
      <c r="Z59" s="336">
        <f t="shared" si="109"/>
        <v>0</v>
      </c>
      <c r="AA59" s="337">
        <f t="shared" si="109"/>
        <v>0</v>
      </c>
      <c r="AB59" s="338">
        <f t="shared" ref="AB59" si="116">Z59-AA59</f>
        <v>0</v>
      </c>
      <c r="AC59" s="336">
        <f t="shared" si="110"/>
        <v>6822.69</v>
      </c>
      <c r="AD59" s="337">
        <f t="shared" si="110"/>
        <v>0</v>
      </c>
      <c r="AE59" s="338">
        <f t="shared" ref="AE59" si="117">AC59-AD59</f>
        <v>6822.69</v>
      </c>
      <c r="AF59" s="336">
        <f t="shared" si="111"/>
        <v>0</v>
      </c>
      <c r="AG59" s="337">
        <f t="shared" si="111"/>
        <v>0</v>
      </c>
      <c r="AH59" s="338">
        <f t="shared" ref="AH59" si="118">AF59-AG59</f>
        <v>0</v>
      </c>
      <c r="AI59" s="336">
        <f t="shared" si="112"/>
        <v>0</v>
      </c>
      <c r="AJ59" s="337">
        <f t="shared" si="112"/>
        <v>0</v>
      </c>
      <c r="AK59" s="338">
        <f t="shared" ref="AK59" si="119">AI59-AJ59</f>
        <v>0</v>
      </c>
      <c r="AL59" s="342"/>
      <c r="AM59" s="336">
        <f t="shared" si="113"/>
        <v>6822.69</v>
      </c>
      <c r="AN59" s="339">
        <f t="shared" si="113"/>
        <v>0</v>
      </c>
      <c r="AO59" s="340">
        <f t="shared" ref="AO59" si="120">AM59-AN59</f>
        <v>6822.69</v>
      </c>
      <c r="AP59" s="336">
        <f t="shared" si="114"/>
        <v>6822.69</v>
      </c>
      <c r="AQ59" s="339">
        <f t="shared" si="114"/>
        <v>0</v>
      </c>
      <c r="AR59" s="340">
        <f t="shared" ref="AR59" si="121">AP59-AQ59</f>
        <v>6822.69</v>
      </c>
      <c r="AS59" s="341">
        <f t="shared" si="115"/>
        <v>6822.69</v>
      </c>
      <c r="AT59" s="339">
        <f t="shared" si="115"/>
        <v>0</v>
      </c>
      <c r="AU59" s="340">
        <f t="shared" ref="AU59" si="122">AS59-AT59</f>
        <v>6822.69</v>
      </c>
      <c r="AV59" s="589">
        <f t="shared" si="19"/>
        <v>0</v>
      </c>
      <c r="AW59" s="343"/>
      <c r="AX59" s="344"/>
      <c r="AY59" s="345"/>
      <c r="AZ59" s="344"/>
      <c r="BA59" s="345"/>
      <c r="BB59" s="346"/>
      <c r="BC59" s="347">
        <f>35*170 + 7*124.67</f>
        <v>6822.69</v>
      </c>
      <c r="BD59" s="348"/>
      <c r="BE59" s="349"/>
      <c r="BF59" s="348"/>
      <c r="BG59" s="349"/>
      <c r="BH59" s="350"/>
      <c r="BI59" s="351"/>
      <c r="BJ59" s="352"/>
      <c r="BK59" s="337"/>
      <c r="BL59" s="352"/>
      <c r="BM59" s="337"/>
      <c r="BN59" s="353"/>
      <c r="BO59" s="354"/>
      <c r="BP59" s="355"/>
      <c r="BQ59" s="356"/>
      <c r="BR59" s="355"/>
      <c r="BS59" s="356"/>
      <c r="BT59" s="357"/>
    </row>
    <row r="60" spans="1:72" s="313" customFormat="1" ht="51" outlineLevel="1">
      <c r="A60" s="287">
        <v>50</v>
      </c>
      <c r="B60" s="933"/>
      <c r="C60" s="840"/>
      <c r="D60" s="853" t="s">
        <v>216</v>
      </c>
      <c r="E60" s="839"/>
      <c r="F60" s="821" t="s">
        <v>7</v>
      </c>
      <c r="G60" s="314">
        <v>4</v>
      </c>
      <c r="H60" s="739" t="s">
        <v>71</v>
      </c>
      <c r="I60" s="739">
        <v>244</v>
      </c>
      <c r="J60" s="740">
        <v>225</v>
      </c>
      <c r="K60" s="533" t="s">
        <v>363</v>
      </c>
      <c r="L60" s="341">
        <v>6822.69</v>
      </c>
      <c r="M60" s="318"/>
      <c r="N60" s="318"/>
      <c r="O60" s="318">
        <f t="shared" si="41"/>
        <v>6822.69</v>
      </c>
      <c r="P60" s="570"/>
      <c r="Q60" s="509">
        <v>6822.69</v>
      </c>
      <c r="R60" s="559"/>
      <c r="S60" s="542">
        <v>6822.69</v>
      </c>
      <c r="T60" s="559"/>
      <c r="U60" s="335"/>
      <c r="V60" s="320" t="s">
        <v>254</v>
      </c>
      <c r="W60" s="388"/>
      <c r="X60" s="388"/>
      <c r="Z60" s="336">
        <f t="shared" si="109"/>
        <v>0</v>
      </c>
      <c r="AA60" s="337">
        <f t="shared" si="109"/>
        <v>0</v>
      </c>
      <c r="AB60" s="338">
        <f>Z60-AA60</f>
        <v>0</v>
      </c>
      <c r="AC60" s="336">
        <f t="shared" si="110"/>
        <v>0</v>
      </c>
      <c r="AD60" s="337">
        <f t="shared" si="110"/>
        <v>0</v>
      </c>
      <c r="AE60" s="338">
        <f>AC60-AD60</f>
        <v>0</v>
      </c>
      <c r="AF60" s="336">
        <f t="shared" si="111"/>
        <v>6822.69</v>
      </c>
      <c r="AG60" s="337">
        <f t="shared" si="111"/>
        <v>0</v>
      </c>
      <c r="AH60" s="338">
        <f>AF60-AG60</f>
        <v>6822.69</v>
      </c>
      <c r="AI60" s="336">
        <f t="shared" si="112"/>
        <v>0</v>
      </c>
      <c r="AJ60" s="337">
        <f t="shared" si="112"/>
        <v>0</v>
      </c>
      <c r="AK60" s="338">
        <f>AI60-AJ60</f>
        <v>0</v>
      </c>
      <c r="AL60" s="342"/>
      <c r="AM60" s="336">
        <f t="shared" si="113"/>
        <v>0</v>
      </c>
      <c r="AN60" s="339">
        <f t="shared" si="113"/>
        <v>0</v>
      </c>
      <c r="AO60" s="340">
        <f>AM60-AN60</f>
        <v>0</v>
      </c>
      <c r="AP60" s="336">
        <f t="shared" si="114"/>
        <v>6822.69</v>
      </c>
      <c r="AQ60" s="339">
        <f t="shared" si="114"/>
        <v>0</v>
      </c>
      <c r="AR60" s="340">
        <f>AP60-AQ60</f>
        <v>6822.69</v>
      </c>
      <c r="AS60" s="341">
        <f t="shared" si="115"/>
        <v>6822.69</v>
      </c>
      <c r="AT60" s="339">
        <f t="shared" si="115"/>
        <v>0</v>
      </c>
      <c r="AU60" s="340">
        <f>AS60-AT60</f>
        <v>6822.69</v>
      </c>
      <c r="AV60" s="589">
        <f t="shared" si="19"/>
        <v>0</v>
      </c>
      <c r="AW60" s="343"/>
      <c r="AX60" s="344"/>
      <c r="AY60" s="345"/>
      <c r="AZ60" s="344"/>
      <c r="BA60" s="345"/>
      <c r="BB60" s="346"/>
      <c r="BC60" s="347"/>
      <c r="BD60" s="348"/>
      <c r="BE60" s="349"/>
      <c r="BF60" s="348"/>
      <c r="BG60" s="349"/>
      <c r="BH60" s="350"/>
      <c r="BI60" s="351"/>
      <c r="BJ60" s="352"/>
      <c r="BK60" s="337"/>
      <c r="BL60" s="352"/>
      <c r="BM60" s="337">
        <f>35*170 + 7*124.67</f>
        <v>6822.69</v>
      </c>
      <c r="BN60" s="353"/>
      <c r="BO60" s="354"/>
      <c r="BP60" s="355"/>
      <c r="BQ60" s="356"/>
      <c r="BR60" s="355"/>
      <c r="BS60" s="356"/>
      <c r="BT60" s="357"/>
    </row>
    <row r="61" spans="1:72" s="313" customFormat="1" ht="51" outlineLevel="1">
      <c r="A61" s="287">
        <v>51</v>
      </c>
      <c r="B61" s="933"/>
      <c r="C61" s="840"/>
      <c r="D61" s="853" t="s">
        <v>216</v>
      </c>
      <c r="E61" s="839"/>
      <c r="F61" s="821" t="s">
        <v>7</v>
      </c>
      <c r="G61" s="314">
        <v>4</v>
      </c>
      <c r="H61" s="739" t="s">
        <v>71</v>
      </c>
      <c r="I61" s="739">
        <v>244</v>
      </c>
      <c r="J61" s="740">
        <v>225</v>
      </c>
      <c r="K61" s="533" t="s">
        <v>261</v>
      </c>
      <c r="L61" s="341">
        <v>6822.69</v>
      </c>
      <c r="M61" s="318"/>
      <c r="N61" s="318"/>
      <c r="O61" s="318">
        <f t="shared" si="41"/>
        <v>6822.69</v>
      </c>
      <c r="P61" s="570"/>
      <c r="Q61" s="509">
        <v>6822.69</v>
      </c>
      <c r="R61" s="559"/>
      <c r="S61" s="542">
        <v>6822.69</v>
      </c>
      <c r="T61" s="559"/>
      <c r="U61" s="335"/>
      <c r="V61" s="320" t="s">
        <v>254</v>
      </c>
      <c r="W61" s="388"/>
      <c r="X61" s="388"/>
      <c r="Z61" s="336">
        <f t="shared" si="109"/>
        <v>0</v>
      </c>
      <c r="AA61" s="337">
        <f t="shared" si="109"/>
        <v>0</v>
      </c>
      <c r="AB61" s="338">
        <f>Z61-AA61</f>
        <v>0</v>
      </c>
      <c r="AC61" s="336">
        <f t="shared" si="110"/>
        <v>0</v>
      </c>
      <c r="AD61" s="337">
        <f t="shared" si="110"/>
        <v>0</v>
      </c>
      <c r="AE61" s="338">
        <f>AC61-AD61</f>
        <v>0</v>
      </c>
      <c r="AF61" s="336">
        <f t="shared" si="111"/>
        <v>0</v>
      </c>
      <c r="AG61" s="337">
        <f t="shared" si="111"/>
        <v>0</v>
      </c>
      <c r="AH61" s="338">
        <f>AF61-AG61</f>
        <v>0</v>
      </c>
      <c r="AI61" s="336">
        <f t="shared" si="112"/>
        <v>6822.69</v>
      </c>
      <c r="AJ61" s="337">
        <f t="shared" si="112"/>
        <v>0</v>
      </c>
      <c r="AK61" s="338">
        <f>AI61-AJ61</f>
        <v>6822.69</v>
      </c>
      <c r="AL61" s="342"/>
      <c r="AM61" s="336">
        <f t="shared" si="113"/>
        <v>0</v>
      </c>
      <c r="AN61" s="339">
        <f t="shared" si="113"/>
        <v>0</v>
      </c>
      <c r="AO61" s="340">
        <f>AM61-AN61</f>
        <v>0</v>
      </c>
      <c r="AP61" s="336">
        <f t="shared" si="114"/>
        <v>0</v>
      </c>
      <c r="AQ61" s="339">
        <f t="shared" si="114"/>
        <v>0</v>
      </c>
      <c r="AR61" s="340">
        <f>AP61-AQ61</f>
        <v>0</v>
      </c>
      <c r="AS61" s="341">
        <f t="shared" si="115"/>
        <v>6822.69</v>
      </c>
      <c r="AT61" s="339">
        <f t="shared" si="115"/>
        <v>0</v>
      </c>
      <c r="AU61" s="340">
        <f>AS61-AT61</f>
        <v>6822.69</v>
      </c>
      <c r="AV61" s="589">
        <f t="shared" si="19"/>
        <v>0</v>
      </c>
      <c r="AW61" s="343"/>
      <c r="AX61" s="344"/>
      <c r="AY61" s="345"/>
      <c r="AZ61" s="344"/>
      <c r="BA61" s="345"/>
      <c r="BB61" s="346"/>
      <c r="BC61" s="347"/>
      <c r="BD61" s="348"/>
      <c r="BE61" s="349"/>
      <c r="BF61" s="348"/>
      <c r="BG61" s="349"/>
      <c r="BH61" s="350"/>
      <c r="BI61" s="351"/>
      <c r="BJ61" s="352"/>
      <c r="BK61" s="337"/>
      <c r="BL61" s="352"/>
      <c r="BM61" s="337"/>
      <c r="BN61" s="353"/>
      <c r="BO61" s="354"/>
      <c r="BP61" s="355"/>
      <c r="BQ61" s="356">
        <f>35*170 + 7*124.67</f>
        <v>6822.69</v>
      </c>
      <c r="BR61" s="355"/>
      <c r="BS61" s="356"/>
      <c r="BT61" s="357"/>
    </row>
    <row r="62" spans="1:72" s="358" customFormat="1" ht="31.5" customHeight="1">
      <c r="A62" s="287">
        <v>52</v>
      </c>
      <c r="B62" s="933"/>
      <c r="C62" s="850" t="s">
        <v>377</v>
      </c>
      <c r="D62" s="853" t="s">
        <v>207</v>
      </c>
      <c r="E62" s="836" t="s">
        <v>201</v>
      </c>
      <c r="F62" s="820" t="s">
        <v>7</v>
      </c>
      <c r="G62" s="360">
        <v>4</v>
      </c>
      <c r="H62" s="360" t="s">
        <v>71</v>
      </c>
      <c r="I62" s="360">
        <v>244</v>
      </c>
      <c r="J62" s="361">
        <v>226</v>
      </c>
      <c r="K62" s="532" t="s">
        <v>150</v>
      </c>
      <c r="L62" s="367">
        <f>L63</f>
        <v>297533.71000000002</v>
      </c>
      <c r="M62" s="363"/>
      <c r="N62" s="363"/>
      <c r="O62" s="363">
        <f t="shared" si="41"/>
        <v>297533.71000000002</v>
      </c>
      <c r="P62" s="557"/>
      <c r="Q62" s="367">
        <f>Q63</f>
        <v>215351.84</v>
      </c>
      <c r="R62" s="557"/>
      <c r="S62" s="367">
        <f>S63</f>
        <v>185247.25</v>
      </c>
      <c r="T62" s="557"/>
      <c r="U62" s="365"/>
      <c r="V62" s="366">
        <f>L190</f>
        <v>358197.09</v>
      </c>
      <c r="W62" s="366"/>
      <c r="X62" s="391">
        <f>L62/(L62+V62)</f>
        <v>0.45369999999999999</v>
      </c>
      <c r="Z62" s="367">
        <f>AW62+AY62+BA62</f>
        <v>73200</v>
      </c>
      <c r="AA62" s="363">
        <f>AX62+AZ62+BB62</f>
        <v>0</v>
      </c>
      <c r="AB62" s="280">
        <f>Z62-AA62</f>
        <v>73200</v>
      </c>
      <c r="AC62" s="367">
        <f>BC62+BE62+BG62</f>
        <v>152400</v>
      </c>
      <c r="AD62" s="363">
        <f>BD62+BF62+BH62</f>
        <v>0</v>
      </c>
      <c r="AE62" s="280">
        <f>AC62-AD62</f>
        <v>152400</v>
      </c>
      <c r="AF62" s="367">
        <f>BI62+BK62+BM62</f>
        <v>71933.710000000006</v>
      </c>
      <c r="AG62" s="363">
        <f>BJ62+BL62+BN62</f>
        <v>0</v>
      </c>
      <c r="AH62" s="280">
        <f>AF62-AG62</f>
        <v>71933.710000000006</v>
      </c>
      <c r="AI62" s="367">
        <f>BO62+BQ62+BS62</f>
        <v>0</v>
      </c>
      <c r="AJ62" s="363">
        <f>BP62+BR62+BT62</f>
        <v>0</v>
      </c>
      <c r="AK62" s="280">
        <f>AI62-AJ62</f>
        <v>0</v>
      </c>
      <c r="AL62" s="368"/>
      <c r="AM62" s="367">
        <f>Z62+AC62</f>
        <v>225600</v>
      </c>
      <c r="AN62" s="363">
        <f>AA62+AD62</f>
        <v>0</v>
      </c>
      <c r="AO62" s="280">
        <f>AM62-AN62</f>
        <v>225600</v>
      </c>
      <c r="AP62" s="367">
        <f>Z62+AC62+AF62</f>
        <v>297533.71000000002</v>
      </c>
      <c r="AQ62" s="363">
        <f>AA62+AD62+AG62</f>
        <v>0</v>
      </c>
      <c r="AR62" s="280">
        <f>AP62-AQ62</f>
        <v>297533.71000000002</v>
      </c>
      <c r="AS62" s="367">
        <f>Z62+AC62+AF62+AI62</f>
        <v>297533.71000000002</v>
      </c>
      <c r="AT62" s="363">
        <f>AA62+AD62+AG62+AJ62</f>
        <v>0</v>
      </c>
      <c r="AU62" s="280">
        <f>AS62-AT62</f>
        <v>297533.71000000002</v>
      </c>
      <c r="AV62" s="588">
        <f t="shared" si="19"/>
        <v>0</v>
      </c>
      <c r="AW62" s="367">
        <f>SUM(AW63)</f>
        <v>0</v>
      </c>
      <c r="AX62" s="363">
        <f t="shared" ref="AX62:BT62" si="123">SUM(AX63)</f>
        <v>0</v>
      </c>
      <c r="AY62" s="363">
        <f t="shared" si="123"/>
        <v>27000</v>
      </c>
      <c r="AZ62" s="363">
        <f t="shared" si="123"/>
        <v>0</v>
      </c>
      <c r="BA62" s="363">
        <f t="shared" si="123"/>
        <v>46200</v>
      </c>
      <c r="BB62" s="369">
        <f t="shared" si="123"/>
        <v>0</v>
      </c>
      <c r="BC62" s="367">
        <f t="shared" si="123"/>
        <v>51600</v>
      </c>
      <c r="BD62" s="363">
        <f t="shared" si="123"/>
        <v>0</v>
      </c>
      <c r="BE62" s="363">
        <f t="shared" si="123"/>
        <v>51600</v>
      </c>
      <c r="BF62" s="363">
        <f t="shared" si="123"/>
        <v>0</v>
      </c>
      <c r="BG62" s="363">
        <f t="shared" si="123"/>
        <v>49200</v>
      </c>
      <c r="BH62" s="369">
        <f t="shared" si="123"/>
        <v>0</v>
      </c>
      <c r="BI62" s="367">
        <f t="shared" si="123"/>
        <v>49800</v>
      </c>
      <c r="BJ62" s="363">
        <f t="shared" si="123"/>
        <v>0</v>
      </c>
      <c r="BK62" s="363">
        <f t="shared" si="123"/>
        <v>22133.71</v>
      </c>
      <c r="BL62" s="363">
        <f t="shared" si="123"/>
        <v>0</v>
      </c>
      <c r="BM62" s="363">
        <f t="shared" si="123"/>
        <v>0</v>
      </c>
      <c r="BN62" s="369">
        <f t="shared" si="123"/>
        <v>0</v>
      </c>
      <c r="BO62" s="367">
        <f t="shared" si="123"/>
        <v>0</v>
      </c>
      <c r="BP62" s="363">
        <f t="shared" si="123"/>
        <v>0</v>
      </c>
      <c r="BQ62" s="363">
        <f t="shared" si="123"/>
        <v>0</v>
      </c>
      <c r="BR62" s="363">
        <f t="shared" si="123"/>
        <v>0</v>
      </c>
      <c r="BS62" s="363">
        <f t="shared" si="123"/>
        <v>0</v>
      </c>
      <c r="BT62" s="280">
        <f t="shared" si="123"/>
        <v>0</v>
      </c>
    </row>
    <row r="63" spans="1:72" s="313" customFormat="1" ht="51" outlineLevel="1">
      <c r="A63" s="287">
        <v>53</v>
      </c>
      <c r="B63" s="933"/>
      <c r="C63" s="840"/>
      <c r="D63" s="853" t="s">
        <v>207</v>
      </c>
      <c r="E63" s="839"/>
      <c r="F63" s="821" t="s">
        <v>7</v>
      </c>
      <c r="G63" s="314">
        <v>4</v>
      </c>
      <c r="H63" s="739" t="s">
        <v>71</v>
      </c>
      <c r="I63" s="739">
        <v>244</v>
      </c>
      <c r="J63" s="740">
        <v>226</v>
      </c>
      <c r="K63" s="533" t="s">
        <v>267</v>
      </c>
      <c r="L63" s="341">
        <v>297533.71000000002</v>
      </c>
      <c r="M63" s="318"/>
      <c r="N63" s="318"/>
      <c r="O63" s="318">
        <f t="shared" si="41"/>
        <v>297533.71000000002</v>
      </c>
      <c r="P63" s="559"/>
      <c r="Q63" s="336">
        <v>215351.84</v>
      </c>
      <c r="R63" s="559"/>
      <c r="S63" s="336">
        <v>185247.25</v>
      </c>
      <c r="T63" s="559"/>
      <c r="U63" s="335"/>
      <c r="V63" s="596" t="s">
        <v>268</v>
      </c>
      <c r="W63" s="597" t="s">
        <v>465</v>
      </c>
      <c r="X63" s="597" t="s">
        <v>416</v>
      </c>
      <c r="Z63" s="336">
        <f>AW63+AY63+BA63</f>
        <v>73200</v>
      </c>
      <c r="AA63" s="337">
        <f>AX63+AZ63+BB63</f>
        <v>0</v>
      </c>
      <c r="AB63" s="338">
        <f>Z63-AA63</f>
        <v>73200</v>
      </c>
      <c r="AC63" s="336">
        <f>BC63+BE63+BG63</f>
        <v>152400</v>
      </c>
      <c r="AD63" s="337">
        <f>BD63+BF63+BH63</f>
        <v>0</v>
      </c>
      <c r="AE63" s="338">
        <f>AC63-AD63</f>
        <v>152400</v>
      </c>
      <c r="AF63" s="336">
        <f>BI63+BK63+BM63</f>
        <v>71933.710000000006</v>
      </c>
      <c r="AG63" s="337">
        <f>BJ63+BL63+BN63</f>
        <v>0</v>
      </c>
      <c r="AH63" s="338">
        <f>AF63-AG63</f>
        <v>71933.710000000006</v>
      </c>
      <c r="AI63" s="336">
        <f>BO63+BQ63+BS63</f>
        <v>0</v>
      </c>
      <c r="AJ63" s="337">
        <f>BP63+BR63+BT63</f>
        <v>0</v>
      </c>
      <c r="AK63" s="338">
        <f>AI63-AJ63</f>
        <v>0</v>
      </c>
      <c r="AL63" s="342"/>
      <c r="AM63" s="336">
        <f>Z63+AC63</f>
        <v>225600</v>
      </c>
      <c r="AN63" s="339">
        <f>AA63+AD63</f>
        <v>0</v>
      </c>
      <c r="AO63" s="340">
        <f>AM63-AN63</f>
        <v>225600</v>
      </c>
      <c r="AP63" s="336">
        <f>Z63+AC63+AF63</f>
        <v>297533.71000000002</v>
      </c>
      <c r="AQ63" s="339">
        <f>AA63+AD63+AG63</f>
        <v>0</v>
      </c>
      <c r="AR63" s="340">
        <f>AP63-AQ63</f>
        <v>297533.71000000002</v>
      </c>
      <c r="AS63" s="341">
        <f>Z63+AC63+AF63+AI63</f>
        <v>297533.71000000002</v>
      </c>
      <c r="AT63" s="339">
        <f>AA63+AD63+AG63+AJ63</f>
        <v>0</v>
      </c>
      <c r="AU63" s="340">
        <f>AS63-AT63</f>
        <v>297533.71000000002</v>
      </c>
      <c r="AV63" s="589">
        <f t="shared" si="19"/>
        <v>0</v>
      </c>
      <c r="AW63" s="343"/>
      <c r="AX63" s="344"/>
      <c r="AY63" s="345">
        <f>150*12*15</f>
        <v>27000</v>
      </c>
      <c r="AZ63" s="344"/>
      <c r="BA63" s="345">
        <f>150*12*23+150*4*8</f>
        <v>46200</v>
      </c>
      <c r="BB63" s="346"/>
      <c r="BC63" s="347">
        <f>150*12*26+150*4*8</f>
        <v>51600</v>
      </c>
      <c r="BD63" s="348"/>
      <c r="BE63" s="349">
        <f>150*12*26+150*4*8</f>
        <v>51600</v>
      </c>
      <c r="BF63" s="348"/>
      <c r="BG63" s="349">
        <f>150*12*24+150*5*8</f>
        <v>49200</v>
      </c>
      <c r="BH63" s="350"/>
      <c r="BI63" s="351">
        <f>150*12*25+150*4*8</f>
        <v>49800</v>
      </c>
      <c r="BJ63" s="352"/>
      <c r="BK63" s="351">
        <f>(150*12*27+150*4*8)-31266.29</f>
        <v>22133.71</v>
      </c>
      <c r="BL63" s="352"/>
      <c r="BM63" s="337"/>
      <c r="BN63" s="353"/>
      <c r="BO63" s="354"/>
      <c r="BP63" s="355"/>
      <c r="BQ63" s="356"/>
      <c r="BR63" s="355"/>
      <c r="BS63" s="356"/>
      <c r="BT63" s="357"/>
    </row>
    <row r="64" spans="1:72" s="358" customFormat="1" ht="60" customHeight="1">
      <c r="A64" s="287">
        <v>54</v>
      </c>
      <c r="B64" s="933"/>
      <c r="C64" s="850" t="s">
        <v>377</v>
      </c>
      <c r="D64" s="838"/>
      <c r="E64" s="836" t="s">
        <v>201</v>
      </c>
      <c r="F64" s="820" t="s">
        <v>7</v>
      </c>
      <c r="G64" s="360">
        <v>4</v>
      </c>
      <c r="H64" s="360" t="s">
        <v>71</v>
      </c>
      <c r="I64" s="360">
        <v>244</v>
      </c>
      <c r="J64" s="361">
        <v>226</v>
      </c>
      <c r="K64" s="532" t="s">
        <v>170</v>
      </c>
      <c r="L64" s="367">
        <f>SUM(L65:L74)</f>
        <v>419234.9</v>
      </c>
      <c r="M64" s="363"/>
      <c r="N64" s="363"/>
      <c r="O64" s="363">
        <f t="shared" si="41"/>
        <v>419234.9</v>
      </c>
      <c r="P64" s="557"/>
      <c r="Q64" s="367">
        <f>SUM(Q65:Q74)</f>
        <v>515206.86</v>
      </c>
      <c r="R64" s="557"/>
      <c r="S64" s="367">
        <f>SUM(S65:S74)</f>
        <v>515206.86</v>
      </c>
      <c r="T64" s="557"/>
      <c r="U64" s="365"/>
      <c r="V64" s="366"/>
      <c r="W64" s="366"/>
      <c r="X64" s="366"/>
      <c r="Z64" s="367">
        <f t="shared" si="101"/>
        <v>75225.2</v>
      </c>
      <c r="AA64" s="363">
        <f t="shared" si="101"/>
        <v>0</v>
      </c>
      <c r="AB64" s="280">
        <f t="shared" si="6"/>
        <v>75225.2</v>
      </c>
      <c r="AC64" s="367">
        <f t="shared" si="102"/>
        <v>98896.44</v>
      </c>
      <c r="AD64" s="363">
        <f t="shared" si="102"/>
        <v>0</v>
      </c>
      <c r="AE64" s="280">
        <f t="shared" si="8"/>
        <v>98896.44</v>
      </c>
      <c r="AF64" s="367">
        <f t="shared" si="103"/>
        <v>68896.44</v>
      </c>
      <c r="AG64" s="363">
        <f t="shared" si="103"/>
        <v>0</v>
      </c>
      <c r="AH64" s="280">
        <f t="shared" si="10"/>
        <v>68896.44</v>
      </c>
      <c r="AI64" s="367">
        <f t="shared" si="104"/>
        <v>93603.520000000004</v>
      </c>
      <c r="AJ64" s="363">
        <f t="shared" si="104"/>
        <v>0</v>
      </c>
      <c r="AK64" s="280">
        <f t="shared" si="12"/>
        <v>93603.520000000004</v>
      </c>
      <c r="AL64" s="368"/>
      <c r="AM64" s="367">
        <f t="shared" si="105"/>
        <v>174121.64</v>
      </c>
      <c r="AN64" s="363">
        <f t="shared" si="105"/>
        <v>0</v>
      </c>
      <c r="AO64" s="280">
        <f t="shared" si="14"/>
        <v>174121.64</v>
      </c>
      <c r="AP64" s="367">
        <f t="shared" si="106"/>
        <v>243018.08</v>
      </c>
      <c r="AQ64" s="363">
        <f t="shared" si="106"/>
        <v>0</v>
      </c>
      <c r="AR64" s="280">
        <f t="shared" si="16"/>
        <v>243018.08</v>
      </c>
      <c r="AS64" s="367">
        <f t="shared" si="42"/>
        <v>336621.6</v>
      </c>
      <c r="AT64" s="363">
        <f t="shared" si="17"/>
        <v>0</v>
      </c>
      <c r="AU64" s="280">
        <f t="shared" si="18"/>
        <v>336621.6</v>
      </c>
      <c r="AV64" s="588">
        <f t="shared" si="19"/>
        <v>82613.3</v>
      </c>
      <c r="AW64" s="367">
        <f t="shared" ref="AW64:BT64" si="124">SUM(AW65:AW74)</f>
        <v>0</v>
      </c>
      <c r="AX64" s="363">
        <f t="shared" si="124"/>
        <v>0</v>
      </c>
      <c r="AY64" s="363">
        <f t="shared" si="124"/>
        <v>42453.32</v>
      </c>
      <c r="AZ64" s="363">
        <f t="shared" si="124"/>
        <v>0</v>
      </c>
      <c r="BA64" s="363">
        <f t="shared" si="124"/>
        <v>32771.879999999997</v>
      </c>
      <c r="BB64" s="369">
        <f t="shared" si="124"/>
        <v>0</v>
      </c>
      <c r="BC64" s="367">
        <f t="shared" si="124"/>
        <v>32989.68</v>
      </c>
      <c r="BD64" s="363">
        <f t="shared" si="124"/>
        <v>0</v>
      </c>
      <c r="BE64" s="363">
        <f t="shared" si="124"/>
        <v>32917.08</v>
      </c>
      <c r="BF64" s="363">
        <f t="shared" si="124"/>
        <v>0</v>
      </c>
      <c r="BG64" s="363">
        <f t="shared" si="124"/>
        <v>32989.68</v>
      </c>
      <c r="BH64" s="369">
        <f t="shared" si="124"/>
        <v>0</v>
      </c>
      <c r="BI64" s="367">
        <f t="shared" si="124"/>
        <v>32917.08</v>
      </c>
      <c r="BJ64" s="363">
        <f t="shared" si="124"/>
        <v>0</v>
      </c>
      <c r="BK64" s="363">
        <f t="shared" si="124"/>
        <v>17989.68</v>
      </c>
      <c r="BL64" s="363">
        <f t="shared" si="124"/>
        <v>0</v>
      </c>
      <c r="BM64" s="363">
        <f t="shared" si="124"/>
        <v>17989.68</v>
      </c>
      <c r="BN64" s="369">
        <f t="shared" si="124"/>
        <v>0</v>
      </c>
      <c r="BO64" s="367">
        <f t="shared" si="124"/>
        <v>39707.08</v>
      </c>
      <c r="BP64" s="363">
        <f t="shared" si="124"/>
        <v>0</v>
      </c>
      <c r="BQ64" s="363">
        <f t="shared" si="124"/>
        <v>17989.68</v>
      </c>
      <c r="BR64" s="363">
        <f t="shared" si="124"/>
        <v>0</v>
      </c>
      <c r="BS64" s="363">
        <f t="shared" si="124"/>
        <v>35906.76</v>
      </c>
      <c r="BT64" s="280">
        <f t="shared" si="124"/>
        <v>0</v>
      </c>
    </row>
    <row r="65" spans="1:72" s="313" customFormat="1" ht="63.75" outlineLevel="1">
      <c r="A65" s="287">
        <v>55</v>
      </c>
      <c r="B65" s="933" t="s">
        <v>469</v>
      </c>
      <c r="C65" s="840"/>
      <c r="D65" s="841"/>
      <c r="E65" s="839"/>
      <c r="F65" s="821" t="s">
        <v>7</v>
      </c>
      <c r="G65" s="314">
        <v>4</v>
      </c>
      <c r="H65" s="739" t="s">
        <v>71</v>
      </c>
      <c r="I65" s="739">
        <v>244</v>
      </c>
      <c r="J65" s="740">
        <v>226</v>
      </c>
      <c r="K65" s="533" t="s">
        <v>447</v>
      </c>
      <c r="L65" s="341">
        <f>17950.7+7386.7</f>
        <v>25337.4</v>
      </c>
      <c r="M65" s="318"/>
      <c r="N65" s="318"/>
      <c r="O65" s="318">
        <f t="shared" si="41"/>
        <v>25337.4</v>
      </c>
      <c r="P65" s="559"/>
      <c r="Q65" s="336">
        <v>17950.7</v>
      </c>
      <c r="R65" s="559"/>
      <c r="S65" s="336">
        <v>17950.7</v>
      </c>
      <c r="T65" s="559"/>
      <c r="U65" s="335"/>
      <c r="V65" s="801" t="s">
        <v>448</v>
      </c>
      <c r="W65" s="801" t="s">
        <v>474</v>
      </c>
      <c r="X65" s="801" t="s">
        <v>446</v>
      </c>
      <c r="Z65" s="336">
        <f t="shared" si="101"/>
        <v>3121.8</v>
      </c>
      <c r="AA65" s="337">
        <f t="shared" si="101"/>
        <v>0</v>
      </c>
      <c r="AB65" s="338">
        <f t="shared" si="6"/>
        <v>3121.8</v>
      </c>
      <c r="AC65" s="336">
        <f t="shared" si="102"/>
        <v>6679.2</v>
      </c>
      <c r="AD65" s="337">
        <f t="shared" si="102"/>
        <v>0</v>
      </c>
      <c r="AE65" s="338">
        <f t="shared" si="8"/>
        <v>6679.2</v>
      </c>
      <c r="AF65" s="336">
        <f t="shared" si="103"/>
        <v>6679.2</v>
      </c>
      <c r="AG65" s="337">
        <f t="shared" si="103"/>
        <v>0</v>
      </c>
      <c r="AH65" s="338">
        <f t="shared" si="10"/>
        <v>6679.2</v>
      </c>
      <c r="AI65" s="336">
        <f t="shared" si="104"/>
        <v>8857.2000000000007</v>
      </c>
      <c r="AJ65" s="337">
        <f t="shared" si="104"/>
        <v>0</v>
      </c>
      <c r="AK65" s="338">
        <f t="shared" si="12"/>
        <v>8857.2000000000007</v>
      </c>
      <c r="AL65" s="342"/>
      <c r="AM65" s="336">
        <f t="shared" si="105"/>
        <v>9801</v>
      </c>
      <c r="AN65" s="339">
        <f t="shared" si="105"/>
        <v>0</v>
      </c>
      <c r="AO65" s="340">
        <f t="shared" si="14"/>
        <v>9801</v>
      </c>
      <c r="AP65" s="336">
        <f t="shared" si="106"/>
        <v>16480.2</v>
      </c>
      <c r="AQ65" s="339">
        <f t="shared" si="106"/>
        <v>0</v>
      </c>
      <c r="AR65" s="340">
        <f t="shared" si="16"/>
        <v>16480.2</v>
      </c>
      <c r="AS65" s="341">
        <f t="shared" si="42"/>
        <v>25337.4</v>
      </c>
      <c r="AT65" s="339">
        <f t="shared" si="17"/>
        <v>0</v>
      </c>
      <c r="AU65" s="340">
        <f t="shared" si="18"/>
        <v>25337.4</v>
      </c>
      <c r="AV65" s="803">
        <f t="shared" si="19"/>
        <v>0</v>
      </c>
      <c r="AW65" s="343"/>
      <c r="AX65" s="344"/>
      <c r="AY65" s="345">
        <f>180*6.05</f>
        <v>1089</v>
      </c>
      <c r="AZ65" s="344"/>
      <c r="BA65" s="345">
        <f>336*6.05</f>
        <v>2032.8</v>
      </c>
      <c r="BB65" s="346"/>
      <c r="BC65" s="347">
        <f>372*6.05</f>
        <v>2250.6</v>
      </c>
      <c r="BD65" s="348"/>
      <c r="BE65" s="349">
        <f>360*6.05</f>
        <v>2178</v>
      </c>
      <c r="BF65" s="348"/>
      <c r="BG65" s="349">
        <f>372*6.05</f>
        <v>2250.6</v>
      </c>
      <c r="BH65" s="350"/>
      <c r="BI65" s="351">
        <f>360*6.05</f>
        <v>2178</v>
      </c>
      <c r="BJ65" s="352"/>
      <c r="BK65" s="337">
        <f>372*6.05</f>
        <v>2250.6</v>
      </c>
      <c r="BL65" s="352"/>
      <c r="BM65" s="337">
        <f>372*6.05</f>
        <v>2250.6</v>
      </c>
      <c r="BN65" s="353"/>
      <c r="BO65" s="354">
        <f>360*6.05</f>
        <v>2178</v>
      </c>
      <c r="BP65" s="355"/>
      <c r="BQ65" s="356">
        <f>372*6.05</f>
        <v>2250.6</v>
      </c>
      <c r="BR65" s="355"/>
      <c r="BS65" s="356">
        <f>360*6.05+372*6.05</f>
        <v>4428.6000000000004</v>
      </c>
      <c r="BT65" s="357"/>
    </row>
    <row r="66" spans="1:72" s="313" customFormat="1" ht="38.25" outlineLevel="1">
      <c r="A66" s="287">
        <v>56</v>
      </c>
      <c r="B66" s="933"/>
      <c r="C66" s="840"/>
      <c r="D66" s="841"/>
      <c r="E66" s="839"/>
      <c r="F66" s="821" t="s">
        <v>7</v>
      </c>
      <c r="G66" s="314">
        <v>4</v>
      </c>
      <c r="H66" s="739" t="s">
        <v>71</v>
      </c>
      <c r="I66" s="739">
        <v>244</v>
      </c>
      <c r="J66" s="740">
        <v>226</v>
      </c>
      <c r="K66" s="533" t="s">
        <v>343</v>
      </c>
      <c r="L66" s="341">
        <v>52171.199999999997</v>
      </c>
      <c r="M66" s="318"/>
      <c r="N66" s="318"/>
      <c r="O66" s="318">
        <f t="shared" si="41"/>
        <v>52171.199999999997</v>
      </c>
      <c r="P66" s="559"/>
      <c r="Q66" s="336">
        <v>52171.199999999997</v>
      </c>
      <c r="R66" s="559"/>
      <c r="S66" s="336">
        <v>52171.199999999997</v>
      </c>
      <c r="T66" s="559"/>
      <c r="U66" s="335"/>
      <c r="V66" s="596" t="s">
        <v>253</v>
      </c>
      <c r="W66" s="597" t="s">
        <v>395</v>
      </c>
      <c r="X66" s="597" t="s">
        <v>381</v>
      </c>
      <c r="Z66" s="336">
        <f>AW66+AY66+BA66</f>
        <v>8695.2000000000007</v>
      </c>
      <c r="AA66" s="337">
        <f>AX66+AZ66+BB66</f>
        <v>0</v>
      </c>
      <c r="AB66" s="338">
        <f>Z66-AA66</f>
        <v>8695.2000000000007</v>
      </c>
      <c r="AC66" s="336">
        <f>BC66+BE66+BG66</f>
        <v>13042.8</v>
      </c>
      <c r="AD66" s="337">
        <f>BD66+BF66+BH66</f>
        <v>0</v>
      </c>
      <c r="AE66" s="338">
        <f>AC66-AD66</f>
        <v>13042.8</v>
      </c>
      <c r="AF66" s="336">
        <f>BI66+BK66+BM66</f>
        <v>13042.8</v>
      </c>
      <c r="AG66" s="337">
        <f>BJ66+BL66+BN66</f>
        <v>0</v>
      </c>
      <c r="AH66" s="338">
        <f>AF66-AG66</f>
        <v>13042.8</v>
      </c>
      <c r="AI66" s="336">
        <f>BO66+BQ66+BS66</f>
        <v>17390.400000000001</v>
      </c>
      <c r="AJ66" s="337">
        <f>BP66+BR66+BT66</f>
        <v>0</v>
      </c>
      <c r="AK66" s="338">
        <f>AI66-AJ66</f>
        <v>17390.400000000001</v>
      </c>
      <c r="AL66" s="342"/>
      <c r="AM66" s="336">
        <f>Z66+AC66</f>
        <v>21738</v>
      </c>
      <c r="AN66" s="339">
        <f>AA66+AD66</f>
        <v>0</v>
      </c>
      <c r="AO66" s="340">
        <f>AM66-AN66</f>
        <v>21738</v>
      </c>
      <c r="AP66" s="336">
        <f>Z66+AC66+AF66</f>
        <v>34780.800000000003</v>
      </c>
      <c r="AQ66" s="339">
        <f>AA66+AD66+AG66</f>
        <v>0</v>
      </c>
      <c r="AR66" s="340">
        <f>AP66-AQ66</f>
        <v>34780.800000000003</v>
      </c>
      <c r="AS66" s="341">
        <f>Z66+AC66+AF66+AI66</f>
        <v>52171.199999999997</v>
      </c>
      <c r="AT66" s="339">
        <f>AA66+AD66+AG66+AJ66</f>
        <v>0</v>
      </c>
      <c r="AU66" s="340">
        <f>AS66-AT66</f>
        <v>52171.199999999997</v>
      </c>
      <c r="AV66" s="589">
        <f t="shared" si="19"/>
        <v>0</v>
      </c>
      <c r="AW66" s="343"/>
      <c r="AX66" s="344"/>
      <c r="AY66" s="345">
        <v>4347.6000000000004</v>
      </c>
      <c r="AZ66" s="344"/>
      <c r="BA66" s="345">
        <v>4347.6000000000004</v>
      </c>
      <c r="BB66" s="346"/>
      <c r="BC66" s="347">
        <v>4347.6000000000004</v>
      </c>
      <c r="BD66" s="348"/>
      <c r="BE66" s="349">
        <v>4347.6000000000004</v>
      </c>
      <c r="BF66" s="348"/>
      <c r="BG66" s="349">
        <v>4347.6000000000004</v>
      </c>
      <c r="BH66" s="350"/>
      <c r="BI66" s="351">
        <v>4347.6000000000004</v>
      </c>
      <c r="BJ66" s="352"/>
      <c r="BK66" s="337">
        <v>4347.6000000000004</v>
      </c>
      <c r="BL66" s="352"/>
      <c r="BM66" s="337">
        <v>4347.6000000000004</v>
      </c>
      <c r="BN66" s="353"/>
      <c r="BO66" s="354">
        <v>4347.6000000000004</v>
      </c>
      <c r="BP66" s="355"/>
      <c r="BQ66" s="356">
        <v>4347.6000000000004</v>
      </c>
      <c r="BR66" s="355"/>
      <c r="BS66" s="356">
        <f>4347.6*2</f>
        <v>8695.2000000000007</v>
      </c>
      <c r="BT66" s="357"/>
    </row>
    <row r="67" spans="1:72" s="313" customFormat="1" ht="25.5" outlineLevel="1">
      <c r="A67" s="287">
        <v>57</v>
      </c>
      <c r="B67" s="933" t="s">
        <v>469</v>
      </c>
      <c r="C67" s="840"/>
      <c r="D67" s="841"/>
      <c r="E67" s="839"/>
      <c r="F67" s="821" t="s">
        <v>7</v>
      </c>
      <c r="G67" s="314">
        <v>4</v>
      </c>
      <c r="H67" s="739" t="s">
        <v>71</v>
      </c>
      <c r="I67" s="739">
        <v>244</v>
      </c>
      <c r="J67" s="740">
        <v>226</v>
      </c>
      <c r="K67" s="533" t="s">
        <v>344</v>
      </c>
      <c r="L67" s="341">
        <f>21790-7386.7</f>
        <v>14403.3</v>
      </c>
      <c r="M67" s="318"/>
      <c r="N67" s="318"/>
      <c r="O67" s="318">
        <f t="shared" si="41"/>
        <v>14403.3</v>
      </c>
      <c r="P67" s="559"/>
      <c r="Q67" s="336">
        <v>21790</v>
      </c>
      <c r="R67" s="559"/>
      <c r="S67" s="336">
        <v>21790</v>
      </c>
      <c r="T67" s="559"/>
      <c r="U67" s="335"/>
      <c r="V67" s="320" t="s">
        <v>255</v>
      </c>
      <c r="W67" s="388" t="s">
        <v>333</v>
      </c>
      <c r="X67" s="388" t="s">
        <v>334</v>
      </c>
      <c r="Z67" s="336">
        <f>AW67+AY67+BA67</f>
        <v>0</v>
      </c>
      <c r="AA67" s="337">
        <f>AX67+AZ67+BB67</f>
        <v>0</v>
      </c>
      <c r="AB67" s="338">
        <f>Z67-AA67</f>
        <v>0</v>
      </c>
      <c r="AC67" s="336">
        <f>BC67+BE67+BG67</f>
        <v>0</v>
      </c>
      <c r="AD67" s="337">
        <f>BD67+BF67+BH67</f>
        <v>0</v>
      </c>
      <c r="AE67" s="338">
        <f>AC67-AD67</f>
        <v>0</v>
      </c>
      <c r="AF67" s="336">
        <f>BI67+BK67+BM67</f>
        <v>0</v>
      </c>
      <c r="AG67" s="337">
        <f>BJ67+BL67+BN67</f>
        <v>0</v>
      </c>
      <c r="AH67" s="338">
        <f>AF67-AG67</f>
        <v>0</v>
      </c>
      <c r="AI67" s="336">
        <f>BO67+BQ67+BS67</f>
        <v>21790</v>
      </c>
      <c r="AJ67" s="337">
        <f>BP67+BR67+BT67</f>
        <v>0</v>
      </c>
      <c r="AK67" s="338">
        <f>AI67-AJ67</f>
        <v>21790</v>
      </c>
      <c r="AL67" s="342"/>
      <c r="AM67" s="336">
        <f>Z67+AC67</f>
        <v>0</v>
      </c>
      <c r="AN67" s="339">
        <f>AA67+AD67</f>
        <v>0</v>
      </c>
      <c r="AO67" s="340">
        <f>AM67-AN67</f>
        <v>0</v>
      </c>
      <c r="AP67" s="336">
        <f>Z67+AC67+AF67</f>
        <v>0</v>
      </c>
      <c r="AQ67" s="339">
        <f>AA67+AD67+AG67</f>
        <v>0</v>
      </c>
      <c r="AR67" s="340">
        <f>AP67-AQ67</f>
        <v>0</v>
      </c>
      <c r="AS67" s="341">
        <f>Z67+AC67+AF67+AI67</f>
        <v>21790</v>
      </c>
      <c r="AT67" s="339">
        <f>AA67+AD67+AG67+AJ67</f>
        <v>0</v>
      </c>
      <c r="AU67" s="340">
        <f>AS67-AT67</f>
        <v>21790</v>
      </c>
      <c r="AV67" s="589">
        <f t="shared" si="19"/>
        <v>-7386.7</v>
      </c>
      <c r="AW67" s="343"/>
      <c r="AX67" s="344"/>
      <c r="AY67" s="345"/>
      <c r="AZ67" s="344"/>
      <c r="BA67" s="345"/>
      <c r="BB67" s="346"/>
      <c r="BC67" s="347"/>
      <c r="BD67" s="348"/>
      <c r="BE67" s="349"/>
      <c r="BF67" s="348"/>
      <c r="BG67" s="349"/>
      <c r="BH67" s="350"/>
      <c r="BI67" s="351"/>
      <c r="BJ67" s="352"/>
      <c r="BK67" s="337"/>
      <c r="BL67" s="352"/>
      <c r="BM67" s="337"/>
      <c r="BN67" s="353"/>
      <c r="BO67" s="354">
        <v>21790</v>
      </c>
      <c r="BP67" s="355"/>
      <c r="BQ67" s="356"/>
      <c r="BR67" s="355"/>
      <c r="BS67" s="356"/>
      <c r="BT67" s="357"/>
    </row>
    <row r="68" spans="1:72" s="313" customFormat="1" ht="25.5" outlineLevel="1">
      <c r="A68" s="287">
        <v>58</v>
      </c>
      <c r="B68" s="933"/>
      <c r="C68" s="840"/>
      <c r="D68" s="841"/>
      <c r="E68" s="839"/>
      <c r="F68" s="821" t="s">
        <v>7</v>
      </c>
      <c r="G68" s="314">
        <v>4</v>
      </c>
      <c r="H68" s="739" t="s">
        <v>71</v>
      </c>
      <c r="I68" s="739">
        <v>244</v>
      </c>
      <c r="J68" s="740">
        <v>226</v>
      </c>
      <c r="K68" s="533" t="s">
        <v>345</v>
      </c>
      <c r="L68" s="341">
        <v>0</v>
      </c>
      <c r="M68" s="318"/>
      <c r="N68" s="318"/>
      <c r="O68" s="318">
        <f t="shared" si="41"/>
        <v>0</v>
      </c>
      <c r="P68" s="559"/>
      <c r="Q68" s="336">
        <v>100000</v>
      </c>
      <c r="R68" s="559"/>
      <c r="S68" s="336">
        <v>100000</v>
      </c>
      <c r="T68" s="559"/>
      <c r="U68" s="335"/>
      <c r="V68" s="320" t="s">
        <v>327</v>
      </c>
      <c r="W68" s="388" t="s">
        <v>328</v>
      </c>
      <c r="X68" s="388" t="s">
        <v>329</v>
      </c>
      <c r="Z68" s="336">
        <f t="shared" si="101"/>
        <v>0</v>
      </c>
      <c r="AA68" s="337">
        <f t="shared" si="101"/>
        <v>0</v>
      </c>
      <c r="AB68" s="338">
        <f t="shared" si="6"/>
        <v>0</v>
      </c>
      <c r="AC68" s="336">
        <f t="shared" si="102"/>
        <v>0</v>
      </c>
      <c r="AD68" s="337">
        <f t="shared" si="102"/>
        <v>0</v>
      </c>
      <c r="AE68" s="338">
        <f t="shared" si="8"/>
        <v>0</v>
      </c>
      <c r="AF68" s="336">
        <f t="shared" si="103"/>
        <v>0</v>
      </c>
      <c r="AG68" s="337">
        <f t="shared" si="103"/>
        <v>0</v>
      </c>
      <c r="AH68" s="338">
        <f t="shared" si="10"/>
        <v>0</v>
      </c>
      <c r="AI68" s="336">
        <f t="shared" si="104"/>
        <v>0</v>
      </c>
      <c r="AJ68" s="337">
        <f t="shared" si="104"/>
        <v>0</v>
      </c>
      <c r="AK68" s="338">
        <f t="shared" si="12"/>
        <v>0</v>
      </c>
      <c r="AL68" s="342"/>
      <c r="AM68" s="336">
        <f t="shared" si="105"/>
        <v>0</v>
      </c>
      <c r="AN68" s="339">
        <f t="shared" si="105"/>
        <v>0</v>
      </c>
      <c r="AO68" s="340">
        <f t="shared" si="14"/>
        <v>0</v>
      </c>
      <c r="AP68" s="336">
        <f t="shared" si="106"/>
        <v>0</v>
      </c>
      <c r="AQ68" s="339">
        <f t="shared" si="106"/>
        <v>0</v>
      </c>
      <c r="AR68" s="340">
        <f t="shared" si="16"/>
        <v>0</v>
      </c>
      <c r="AS68" s="341">
        <f t="shared" si="42"/>
        <v>0</v>
      </c>
      <c r="AT68" s="339">
        <f t="shared" si="17"/>
        <v>0</v>
      </c>
      <c r="AU68" s="340">
        <f t="shared" si="18"/>
        <v>0</v>
      </c>
      <c r="AV68" s="589">
        <f t="shared" si="19"/>
        <v>0</v>
      </c>
      <c r="AW68" s="343"/>
      <c r="AX68" s="344"/>
      <c r="AY68" s="345"/>
      <c r="AZ68" s="344"/>
      <c r="BA68" s="345"/>
      <c r="BB68" s="346"/>
      <c r="BC68" s="347"/>
      <c r="BD68" s="348"/>
      <c r="BE68" s="349"/>
      <c r="BF68" s="348"/>
      <c r="BG68" s="349"/>
      <c r="BH68" s="350"/>
      <c r="BI68" s="351"/>
      <c r="BJ68" s="352"/>
      <c r="BK68" s="337"/>
      <c r="BL68" s="352"/>
      <c r="BM68" s="337"/>
      <c r="BN68" s="353"/>
      <c r="BO68" s="354"/>
      <c r="BP68" s="355"/>
      <c r="BQ68" s="356"/>
      <c r="BR68" s="355"/>
      <c r="BS68" s="356"/>
      <c r="BT68" s="357"/>
    </row>
    <row r="69" spans="1:72" s="313" customFormat="1" ht="25.5" outlineLevel="1">
      <c r="A69" s="287">
        <v>59</v>
      </c>
      <c r="B69" s="933"/>
      <c r="C69" s="840"/>
      <c r="D69" s="841"/>
      <c r="E69" s="839"/>
      <c r="F69" s="821" t="s">
        <v>7</v>
      </c>
      <c r="G69" s="314">
        <v>4</v>
      </c>
      <c r="H69" s="739" t="s">
        <v>71</v>
      </c>
      <c r="I69" s="739">
        <v>244</v>
      </c>
      <c r="J69" s="740">
        <v>226</v>
      </c>
      <c r="K69" s="533" t="s">
        <v>346</v>
      </c>
      <c r="L69" s="341">
        <f>15000*12</f>
        <v>180000</v>
      </c>
      <c r="M69" s="318"/>
      <c r="N69" s="318"/>
      <c r="O69" s="318">
        <f t="shared" si="41"/>
        <v>180000</v>
      </c>
      <c r="P69" s="559"/>
      <c r="Q69" s="336">
        <v>180000</v>
      </c>
      <c r="R69" s="559"/>
      <c r="S69" s="336">
        <v>180000</v>
      </c>
      <c r="T69" s="559"/>
      <c r="U69" s="335"/>
      <c r="V69" s="596" t="s">
        <v>341</v>
      </c>
      <c r="W69" s="597" t="s">
        <v>425</v>
      </c>
      <c r="X69" s="597" t="s">
        <v>426</v>
      </c>
      <c r="Z69" s="336">
        <f t="shared" si="101"/>
        <v>30000</v>
      </c>
      <c r="AA69" s="337">
        <f t="shared" si="101"/>
        <v>0</v>
      </c>
      <c r="AB69" s="338">
        <f>Z69-AA69</f>
        <v>30000</v>
      </c>
      <c r="AC69" s="336">
        <f t="shared" si="102"/>
        <v>45000</v>
      </c>
      <c r="AD69" s="337">
        <f t="shared" si="102"/>
        <v>0</v>
      </c>
      <c r="AE69" s="338">
        <f>AC69-AD69</f>
        <v>45000</v>
      </c>
      <c r="AF69" s="336">
        <f t="shared" si="103"/>
        <v>15000</v>
      </c>
      <c r="AG69" s="337">
        <f t="shared" si="103"/>
        <v>0</v>
      </c>
      <c r="AH69" s="338">
        <f>AF69-AG69</f>
        <v>15000</v>
      </c>
      <c r="AI69" s="336">
        <f t="shared" si="104"/>
        <v>0</v>
      </c>
      <c r="AJ69" s="337">
        <f t="shared" si="104"/>
        <v>0</v>
      </c>
      <c r="AK69" s="338">
        <f>AI69-AJ69</f>
        <v>0</v>
      </c>
      <c r="AL69" s="342"/>
      <c r="AM69" s="336">
        <f t="shared" si="105"/>
        <v>75000</v>
      </c>
      <c r="AN69" s="339">
        <f t="shared" si="105"/>
        <v>0</v>
      </c>
      <c r="AO69" s="340">
        <f>AM69-AN69</f>
        <v>75000</v>
      </c>
      <c r="AP69" s="336">
        <f t="shared" si="106"/>
        <v>90000</v>
      </c>
      <c r="AQ69" s="339">
        <f t="shared" si="106"/>
        <v>0</v>
      </c>
      <c r="AR69" s="340">
        <f>AP69-AQ69</f>
        <v>90000</v>
      </c>
      <c r="AS69" s="341">
        <f t="shared" si="42"/>
        <v>90000</v>
      </c>
      <c r="AT69" s="339">
        <f t="shared" si="42"/>
        <v>0</v>
      </c>
      <c r="AU69" s="340">
        <f>AS69-AT69</f>
        <v>90000</v>
      </c>
      <c r="AV69" s="589">
        <f t="shared" si="19"/>
        <v>90000</v>
      </c>
      <c r="AW69" s="343"/>
      <c r="AX69" s="344"/>
      <c r="AY69" s="345">
        <v>15000</v>
      </c>
      <c r="AZ69" s="344"/>
      <c r="BA69" s="345">
        <v>15000</v>
      </c>
      <c r="BB69" s="346"/>
      <c r="BC69" s="347">
        <v>15000</v>
      </c>
      <c r="BD69" s="348"/>
      <c r="BE69" s="349">
        <v>15000</v>
      </c>
      <c r="BF69" s="348"/>
      <c r="BG69" s="349">
        <v>15000</v>
      </c>
      <c r="BH69" s="350"/>
      <c r="BI69" s="351">
        <v>15000</v>
      </c>
      <c r="BJ69" s="352"/>
      <c r="BK69" s="337"/>
      <c r="BL69" s="352"/>
      <c r="BM69" s="337"/>
      <c r="BN69" s="353"/>
      <c r="BO69" s="354"/>
      <c r="BP69" s="355"/>
      <c r="BQ69" s="356"/>
      <c r="BR69" s="355"/>
      <c r="BS69" s="356"/>
      <c r="BT69" s="357"/>
    </row>
    <row r="70" spans="1:72" s="313" customFormat="1" ht="38.25" outlineLevel="1">
      <c r="A70" s="287">
        <v>60</v>
      </c>
      <c r="B70" s="933"/>
      <c r="C70" s="840"/>
      <c r="D70" s="841"/>
      <c r="E70" s="839"/>
      <c r="F70" s="821" t="s">
        <v>7</v>
      </c>
      <c r="G70" s="314">
        <v>4</v>
      </c>
      <c r="H70" s="739" t="s">
        <v>71</v>
      </c>
      <c r="I70" s="739">
        <v>244</v>
      </c>
      <c r="J70" s="740">
        <v>226</v>
      </c>
      <c r="K70" s="533" t="s">
        <v>371</v>
      </c>
      <c r="L70" s="341">
        <f>9933.32+691.92</f>
        <v>10625.24</v>
      </c>
      <c r="M70" s="318"/>
      <c r="N70" s="318"/>
      <c r="O70" s="318">
        <f t="shared" si="41"/>
        <v>10625.24</v>
      </c>
      <c r="P70" s="559"/>
      <c r="Q70" s="336">
        <v>9933.32</v>
      </c>
      <c r="R70" s="559"/>
      <c r="S70" s="336">
        <v>9933.32</v>
      </c>
      <c r="T70" s="559"/>
      <c r="U70" s="335"/>
      <c r="V70" s="388" t="s">
        <v>384</v>
      </c>
      <c r="W70" s="320"/>
      <c r="X70" s="320"/>
      <c r="Z70" s="336">
        <f t="shared" si="101"/>
        <v>10625.24</v>
      </c>
      <c r="AA70" s="337">
        <f t="shared" si="101"/>
        <v>0</v>
      </c>
      <c r="AB70" s="338">
        <f>Z70-AA70</f>
        <v>10625.24</v>
      </c>
      <c r="AC70" s="336">
        <f t="shared" si="102"/>
        <v>0</v>
      </c>
      <c r="AD70" s="337">
        <f t="shared" si="102"/>
        <v>0</v>
      </c>
      <c r="AE70" s="338">
        <f>AC70-AD70</f>
        <v>0</v>
      </c>
      <c r="AF70" s="336">
        <f t="shared" si="103"/>
        <v>0</v>
      </c>
      <c r="AG70" s="337">
        <f t="shared" si="103"/>
        <v>0</v>
      </c>
      <c r="AH70" s="338">
        <f>AF70-AG70</f>
        <v>0</v>
      </c>
      <c r="AI70" s="336">
        <f t="shared" si="104"/>
        <v>0</v>
      </c>
      <c r="AJ70" s="337">
        <f t="shared" si="104"/>
        <v>0</v>
      </c>
      <c r="AK70" s="338">
        <f>AI70-AJ70</f>
        <v>0</v>
      </c>
      <c r="AL70" s="342"/>
      <c r="AM70" s="336">
        <f t="shared" si="105"/>
        <v>10625.24</v>
      </c>
      <c r="AN70" s="339">
        <f t="shared" si="105"/>
        <v>0</v>
      </c>
      <c r="AO70" s="340">
        <f>AM70-AN70</f>
        <v>10625.24</v>
      </c>
      <c r="AP70" s="336">
        <f t="shared" si="106"/>
        <v>10625.24</v>
      </c>
      <c r="AQ70" s="339">
        <f t="shared" si="106"/>
        <v>0</v>
      </c>
      <c r="AR70" s="340">
        <f>AP70-AQ70</f>
        <v>10625.24</v>
      </c>
      <c r="AS70" s="341">
        <f t="shared" ref="AS70:AT82" si="125">Z70+AC70+AF70+AI70</f>
        <v>10625.24</v>
      </c>
      <c r="AT70" s="339">
        <f t="shared" si="125"/>
        <v>0</v>
      </c>
      <c r="AU70" s="340">
        <f>AS70-AT70</f>
        <v>10625.24</v>
      </c>
      <c r="AV70" s="589">
        <f t="shared" si="19"/>
        <v>0</v>
      </c>
      <c r="AW70" s="343"/>
      <c r="AX70" s="344"/>
      <c r="AY70" s="345">
        <f>9933.32+691.92</f>
        <v>10625.24</v>
      </c>
      <c r="AZ70" s="344"/>
      <c r="BA70" s="345"/>
      <c r="BB70" s="346"/>
      <c r="BC70" s="347"/>
      <c r="BD70" s="348"/>
      <c r="BE70" s="349"/>
      <c r="BF70" s="348"/>
      <c r="BG70" s="349"/>
      <c r="BH70" s="350"/>
      <c r="BI70" s="351"/>
      <c r="BJ70" s="352"/>
      <c r="BK70" s="337"/>
      <c r="BL70" s="352"/>
      <c r="BM70" s="337"/>
      <c r="BN70" s="353"/>
      <c r="BO70" s="354"/>
      <c r="BP70" s="355"/>
      <c r="BQ70" s="356"/>
      <c r="BR70" s="355"/>
      <c r="BS70" s="356"/>
      <c r="BT70" s="357"/>
    </row>
    <row r="71" spans="1:72" s="313" customFormat="1" ht="38.25" outlineLevel="1">
      <c r="A71" s="287">
        <v>61</v>
      </c>
      <c r="B71" s="933"/>
      <c r="C71" s="840"/>
      <c r="D71" s="841"/>
      <c r="E71" s="839"/>
      <c r="F71" s="821" t="s">
        <v>7</v>
      </c>
      <c r="G71" s="314">
        <v>4</v>
      </c>
      <c r="H71" s="739" t="s">
        <v>71</v>
      </c>
      <c r="I71" s="739">
        <v>244</v>
      </c>
      <c r="J71" s="740">
        <v>226</v>
      </c>
      <c r="K71" s="533" t="s">
        <v>396</v>
      </c>
      <c r="L71" s="341">
        <f>8333.33*12</f>
        <v>99999.96</v>
      </c>
      <c r="M71" s="318"/>
      <c r="N71" s="318"/>
      <c r="O71" s="318">
        <f t="shared" si="41"/>
        <v>99999.96</v>
      </c>
      <c r="P71" s="559"/>
      <c r="Q71" s="336">
        <v>99999.96</v>
      </c>
      <c r="R71" s="559"/>
      <c r="S71" s="336">
        <v>99999.96</v>
      </c>
      <c r="T71" s="559"/>
      <c r="U71" s="335"/>
      <c r="V71" s="596" t="s">
        <v>331</v>
      </c>
      <c r="W71" s="597" t="s">
        <v>386</v>
      </c>
      <c r="X71" s="597" t="s">
        <v>381</v>
      </c>
      <c r="Z71" s="336">
        <f t="shared" si="101"/>
        <v>16666.66</v>
      </c>
      <c r="AA71" s="337">
        <f t="shared" si="101"/>
        <v>0</v>
      </c>
      <c r="AB71" s="338">
        <f>Z71-AA71</f>
        <v>16666.66</v>
      </c>
      <c r="AC71" s="336">
        <f t="shared" si="102"/>
        <v>24999.99</v>
      </c>
      <c r="AD71" s="337">
        <f t="shared" si="102"/>
        <v>0</v>
      </c>
      <c r="AE71" s="338">
        <f>AC71-AD71</f>
        <v>24999.99</v>
      </c>
      <c r="AF71" s="336">
        <f t="shared" si="103"/>
        <v>24999.99</v>
      </c>
      <c r="AG71" s="337">
        <f t="shared" si="103"/>
        <v>0</v>
      </c>
      <c r="AH71" s="338">
        <f>AF71-AG71</f>
        <v>24999.99</v>
      </c>
      <c r="AI71" s="336">
        <f t="shared" si="104"/>
        <v>33333.32</v>
      </c>
      <c r="AJ71" s="337">
        <f t="shared" si="104"/>
        <v>0</v>
      </c>
      <c r="AK71" s="338">
        <f>AI71-AJ71</f>
        <v>33333.32</v>
      </c>
      <c r="AL71" s="342"/>
      <c r="AM71" s="336">
        <f t="shared" si="105"/>
        <v>41666.65</v>
      </c>
      <c r="AN71" s="339">
        <f t="shared" si="105"/>
        <v>0</v>
      </c>
      <c r="AO71" s="340">
        <f>AM71-AN71</f>
        <v>41666.65</v>
      </c>
      <c r="AP71" s="336">
        <f t="shared" si="106"/>
        <v>66666.64</v>
      </c>
      <c r="AQ71" s="339">
        <f t="shared" si="106"/>
        <v>0</v>
      </c>
      <c r="AR71" s="340">
        <f>AP71-AQ71</f>
        <v>66666.64</v>
      </c>
      <c r="AS71" s="341">
        <f t="shared" si="125"/>
        <v>99999.96</v>
      </c>
      <c r="AT71" s="339">
        <f t="shared" si="125"/>
        <v>0</v>
      </c>
      <c r="AU71" s="340">
        <f>AS71-AT71</f>
        <v>99999.96</v>
      </c>
      <c r="AV71" s="589">
        <f t="shared" si="19"/>
        <v>0</v>
      </c>
      <c r="AW71" s="343"/>
      <c r="AX71" s="344"/>
      <c r="AY71" s="345">
        <v>8333.33</v>
      </c>
      <c r="AZ71" s="344"/>
      <c r="BA71" s="345">
        <v>8333.33</v>
      </c>
      <c r="BB71" s="346"/>
      <c r="BC71" s="347">
        <v>8333.33</v>
      </c>
      <c r="BD71" s="348"/>
      <c r="BE71" s="349">
        <v>8333.33</v>
      </c>
      <c r="BF71" s="348"/>
      <c r="BG71" s="349">
        <v>8333.33</v>
      </c>
      <c r="BH71" s="350"/>
      <c r="BI71" s="351">
        <v>8333.33</v>
      </c>
      <c r="BJ71" s="352"/>
      <c r="BK71" s="337">
        <v>8333.33</v>
      </c>
      <c r="BL71" s="352"/>
      <c r="BM71" s="337">
        <v>8333.33</v>
      </c>
      <c r="BN71" s="353"/>
      <c r="BO71" s="354">
        <v>8333.33</v>
      </c>
      <c r="BP71" s="355"/>
      <c r="BQ71" s="356">
        <v>8333.33</v>
      </c>
      <c r="BR71" s="355"/>
      <c r="BS71" s="356">
        <f>8333.33*2</f>
        <v>16666.66</v>
      </c>
      <c r="BT71" s="357"/>
    </row>
    <row r="72" spans="1:72" s="313" customFormat="1" ht="38.25" outlineLevel="1">
      <c r="A72" s="287">
        <v>62</v>
      </c>
      <c r="B72" s="933"/>
      <c r="C72" s="840"/>
      <c r="D72" s="841"/>
      <c r="E72" s="839"/>
      <c r="F72" s="821" t="s">
        <v>7</v>
      </c>
      <c r="G72" s="314">
        <v>4</v>
      </c>
      <c r="H72" s="739" t="s">
        <v>71</v>
      </c>
      <c r="I72" s="739">
        <v>244</v>
      </c>
      <c r="J72" s="740">
        <v>226</v>
      </c>
      <c r="K72" s="533" t="s">
        <v>347</v>
      </c>
      <c r="L72" s="341">
        <v>0</v>
      </c>
      <c r="M72" s="318"/>
      <c r="N72" s="318"/>
      <c r="O72" s="318">
        <f t="shared" si="41"/>
        <v>0</v>
      </c>
      <c r="P72" s="559"/>
      <c r="Q72" s="336">
        <v>0</v>
      </c>
      <c r="R72" s="559"/>
      <c r="S72" s="336">
        <v>0</v>
      </c>
      <c r="T72" s="559"/>
      <c r="U72" s="335"/>
      <c r="V72" s="320" t="s">
        <v>338</v>
      </c>
      <c r="W72" s="388" t="s">
        <v>339</v>
      </c>
      <c r="X72" s="388" t="s">
        <v>340</v>
      </c>
      <c r="Z72" s="336">
        <f t="shared" si="101"/>
        <v>0</v>
      </c>
      <c r="AA72" s="337">
        <f t="shared" si="101"/>
        <v>0</v>
      </c>
      <c r="AB72" s="338">
        <f>Z72-AA72</f>
        <v>0</v>
      </c>
      <c r="AC72" s="336">
        <f t="shared" si="102"/>
        <v>0</v>
      </c>
      <c r="AD72" s="337">
        <f t="shared" si="102"/>
        <v>0</v>
      </c>
      <c r="AE72" s="338">
        <f>AC72-AD72</f>
        <v>0</v>
      </c>
      <c r="AF72" s="336">
        <f t="shared" si="103"/>
        <v>0</v>
      </c>
      <c r="AG72" s="337">
        <f t="shared" si="103"/>
        <v>0</v>
      </c>
      <c r="AH72" s="338">
        <f>AF72-AG72</f>
        <v>0</v>
      </c>
      <c r="AI72" s="336">
        <f t="shared" si="104"/>
        <v>0</v>
      </c>
      <c r="AJ72" s="337">
        <f t="shared" si="104"/>
        <v>0</v>
      </c>
      <c r="AK72" s="338">
        <f>AI72-AJ72</f>
        <v>0</v>
      </c>
      <c r="AL72" s="342"/>
      <c r="AM72" s="336">
        <f t="shared" si="105"/>
        <v>0</v>
      </c>
      <c r="AN72" s="339">
        <f t="shared" si="105"/>
        <v>0</v>
      </c>
      <c r="AO72" s="340">
        <f>AM72-AN72</f>
        <v>0</v>
      </c>
      <c r="AP72" s="336">
        <f t="shared" si="106"/>
        <v>0</v>
      </c>
      <c r="AQ72" s="339">
        <f t="shared" si="106"/>
        <v>0</v>
      </c>
      <c r="AR72" s="340">
        <f>AP72-AQ72</f>
        <v>0</v>
      </c>
      <c r="AS72" s="341">
        <f t="shared" si="125"/>
        <v>0</v>
      </c>
      <c r="AT72" s="339">
        <f t="shared" si="125"/>
        <v>0</v>
      </c>
      <c r="AU72" s="340">
        <f>AS72-AT72</f>
        <v>0</v>
      </c>
      <c r="AV72" s="589">
        <f t="shared" si="19"/>
        <v>0</v>
      </c>
      <c r="AW72" s="343"/>
      <c r="AX72" s="344"/>
      <c r="AY72" s="345"/>
      <c r="AZ72" s="344"/>
      <c r="BA72" s="345"/>
      <c r="BB72" s="346"/>
      <c r="BC72" s="347"/>
      <c r="BD72" s="348"/>
      <c r="BE72" s="349"/>
      <c r="BF72" s="348"/>
      <c r="BG72" s="349"/>
      <c r="BH72" s="350"/>
      <c r="BI72" s="351"/>
      <c r="BJ72" s="352"/>
      <c r="BK72" s="337"/>
      <c r="BL72" s="352"/>
      <c r="BM72" s="337"/>
      <c r="BN72" s="353"/>
      <c r="BO72" s="354"/>
      <c r="BP72" s="355"/>
      <c r="BQ72" s="356"/>
      <c r="BR72" s="355"/>
      <c r="BS72" s="356"/>
      <c r="BT72" s="357"/>
    </row>
    <row r="73" spans="1:72" s="313" customFormat="1" ht="38.25" outlineLevel="1">
      <c r="A73" s="287">
        <v>63</v>
      </c>
      <c r="B73" s="933"/>
      <c r="C73" s="840"/>
      <c r="D73" s="841"/>
      <c r="E73" s="839"/>
      <c r="F73" s="821" t="s">
        <v>7</v>
      </c>
      <c r="G73" s="314">
        <v>4</v>
      </c>
      <c r="H73" s="739" t="s">
        <v>71</v>
      </c>
      <c r="I73" s="739">
        <v>244</v>
      </c>
      <c r="J73" s="740">
        <v>226</v>
      </c>
      <c r="K73" s="533" t="s">
        <v>352</v>
      </c>
      <c r="L73" s="341">
        <f>33361.68+4028.04-691.92</f>
        <v>36697.800000000003</v>
      </c>
      <c r="M73" s="318"/>
      <c r="N73" s="318"/>
      <c r="O73" s="318">
        <f t="shared" si="41"/>
        <v>36697.800000000003</v>
      </c>
      <c r="P73" s="559"/>
      <c r="Q73" s="336">
        <v>33361.68</v>
      </c>
      <c r="R73" s="559"/>
      <c r="S73" s="336">
        <v>33361.68</v>
      </c>
      <c r="T73" s="559"/>
      <c r="U73" s="335"/>
      <c r="V73" s="596" t="s">
        <v>253</v>
      </c>
      <c r="W73" s="597" t="s">
        <v>394</v>
      </c>
      <c r="X73" s="597" t="s">
        <v>381</v>
      </c>
      <c r="Z73" s="336">
        <f t="shared" si="101"/>
        <v>6116.3</v>
      </c>
      <c r="AA73" s="337">
        <f t="shared" si="101"/>
        <v>0</v>
      </c>
      <c r="AB73" s="338">
        <f t="shared" si="6"/>
        <v>6116.3</v>
      </c>
      <c r="AC73" s="336">
        <f t="shared" si="102"/>
        <v>9174.4500000000007</v>
      </c>
      <c r="AD73" s="337">
        <f t="shared" si="102"/>
        <v>0</v>
      </c>
      <c r="AE73" s="338">
        <f t="shared" si="8"/>
        <v>9174.4500000000007</v>
      </c>
      <c r="AF73" s="336">
        <f t="shared" si="103"/>
        <v>9174.4500000000007</v>
      </c>
      <c r="AG73" s="337">
        <f t="shared" si="103"/>
        <v>0</v>
      </c>
      <c r="AH73" s="338">
        <f t="shared" si="10"/>
        <v>9174.4500000000007</v>
      </c>
      <c r="AI73" s="336">
        <f t="shared" si="104"/>
        <v>12232.6</v>
      </c>
      <c r="AJ73" s="337">
        <f t="shared" si="104"/>
        <v>0</v>
      </c>
      <c r="AK73" s="338">
        <f t="shared" si="12"/>
        <v>12232.6</v>
      </c>
      <c r="AL73" s="342"/>
      <c r="AM73" s="336">
        <f t="shared" si="105"/>
        <v>15290.75</v>
      </c>
      <c r="AN73" s="339">
        <f t="shared" si="105"/>
        <v>0</v>
      </c>
      <c r="AO73" s="340">
        <f t="shared" si="14"/>
        <v>15290.75</v>
      </c>
      <c r="AP73" s="336">
        <f t="shared" si="106"/>
        <v>24465.200000000001</v>
      </c>
      <c r="AQ73" s="339">
        <f t="shared" si="106"/>
        <v>0</v>
      </c>
      <c r="AR73" s="340">
        <f t="shared" si="16"/>
        <v>24465.200000000001</v>
      </c>
      <c r="AS73" s="341">
        <f t="shared" si="125"/>
        <v>36697.800000000003</v>
      </c>
      <c r="AT73" s="339">
        <f t="shared" si="17"/>
        <v>0</v>
      </c>
      <c r="AU73" s="340">
        <f t="shared" si="18"/>
        <v>36697.800000000003</v>
      </c>
      <c r="AV73" s="589">
        <f t="shared" si="19"/>
        <v>0</v>
      </c>
      <c r="AW73" s="343"/>
      <c r="AX73" s="344"/>
      <c r="AY73" s="345">
        <f>104.24+2171.99+781.92</f>
        <v>3058.15</v>
      </c>
      <c r="AZ73" s="344"/>
      <c r="BA73" s="345">
        <f>104.24+2171.99+781.92</f>
        <v>3058.15</v>
      </c>
      <c r="BB73" s="346"/>
      <c r="BC73" s="347">
        <f>104.24+2171.99+781.92</f>
        <v>3058.15</v>
      </c>
      <c r="BD73" s="348"/>
      <c r="BE73" s="349">
        <f>104.24+2171.99+781.92</f>
        <v>3058.15</v>
      </c>
      <c r="BF73" s="348"/>
      <c r="BG73" s="349">
        <f>104.24+2171.99+781.92</f>
        <v>3058.15</v>
      </c>
      <c r="BH73" s="350"/>
      <c r="BI73" s="351">
        <f>104.24+2171.99+781.92</f>
        <v>3058.15</v>
      </c>
      <c r="BJ73" s="352"/>
      <c r="BK73" s="337">
        <f>104.24+2171.99+781.92</f>
        <v>3058.15</v>
      </c>
      <c r="BL73" s="352"/>
      <c r="BM73" s="337">
        <f>104.24+2171.99+781.92</f>
        <v>3058.15</v>
      </c>
      <c r="BN73" s="353"/>
      <c r="BO73" s="354">
        <f>104.24+2171.99+781.92</f>
        <v>3058.15</v>
      </c>
      <c r="BP73" s="355"/>
      <c r="BQ73" s="356">
        <f>104.24+2171.99+781.92</f>
        <v>3058.15</v>
      </c>
      <c r="BR73" s="355"/>
      <c r="BS73" s="356">
        <f>(104.24+2171.99+781.92)*2</f>
        <v>6116.3</v>
      </c>
      <c r="BT73" s="357"/>
    </row>
    <row r="74" spans="1:72" s="313" customFormat="1" ht="25.5" outlineLevel="1">
      <c r="A74" s="287">
        <v>64</v>
      </c>
      <c r="B74" s="933"/>
      <c r="C74" s="840"/>
      <c r="D74" s="841"/>
      <c r="E74" s="839"/>
      <c r="F74" s="821" t="s">
        <v>7</v>
      </c>
      <c r="G74" s="314">
        <v>4</v>
      </c>
      <c r="H74" s="739" t="s">
        <v>71</v>
      </c>
      <c r="I74" s="739">
        <v>244</v>
      </c>
      <c r="J74" s="740">
        <v>226</v>
      </c>
      <c r="K74" s="534" t="s">
        <v>353</v>
      </c>
      <c r="L74" s="341"/>
      <c r="M74" s="318"/>
      <c r="N74" s="318"/>
      <c r="O74" s="318">
        <f t="shared" si="41"/>
        <v>0</v>
      </c>
      <c r="P74" s="559"/>
      <c r="Q74" s="336"/>
      <c r="R74" s="559"/>
      <c r="S74" s="336"/>
      <c r="T74" s="559"/>
      <c r="U74" s="335"/>
      <c r="V74" s="320" t="s">
        <v>335</v>
      </c>
      <c r="W74" s="388" t="s">
        <v>336</v>
      </c>
      <c r="X74" s="388" t="s">
        <v>337</v>
      </c>
      <c r="Z74" s="336">
        <f>AW74+AY74+BA74</f>
        <v>0</v>
      </c>
      <c r="AA74" s="337">
        <f>AX74+AZ74+BB74</f>
        <v>0</v>
      </c>
      <c r="AB74" s="338">
        <f>Z74-AA74</f>
        <v>0</v>
      </c>
      <c r="AC74" s="336">
        <f>BC74+BE74+BG74</f>
        <v>0</v>
      </c>
      <c r="AD74" s="337">
        <f>BD74+BF74+BH74</f>
        <v>0</v>
      </c>
      <c r="AE74" s="338">
        <f>AC74-AD74</f>
        <v>0</v>
      </c>
      <c r="AF74" s="336">
        <f>BI74+BK74+BM74</f>
        <v>0</v>
      </c>
      <c r="AG74" s="337">
        <f>BJ74+BL74+BN74</f>
        <v>0</v>
      </c>
      <c r="AH74" s="338">
        <f>AF74-AG74</f>
        <v>0</v>
      </c>
      <c r="AI74" s="336">
        <f>BO74+BQ74+BS74</f>
        <v>0</v>
      </c>
      <c r="AJ74" s="337">
        <f>BP74+BR74+BT74</f>
        <v>0</v>
      </c>
      <c r="AK74" s="338">
        <f>AI74-AJ74</f>
        <v>0</v>
      </c>
      <c r="AL74" s="342"/>
      <c r="AM74" s="336">
        <f>Z74+AC74</f>
        <v>0</v>
      </c>
      <c r="AN74" s="339">
        <f>AA74+AD74</f>
        <v>0</v>
      </c>
      <c r="AO74" s="340">
        <f>AM74-AN74</f>
        <v>0</v>
      </c>
      <c r="AP74" s="336">
        <f>Z74+AC74+AF74</f>
        <v>0</v>
      </c>
      <c r="AQ74" s="339">
        <f>AA74+AD74+AG74</f>
        <v>0</v>
      </c>
      <c r="AR74" s="340">
        <f>AP74-AQ74</f>
        <v>0</v>
      </c>
      <c r="AS74" s="341">
        <f>Z74+AC74+AF74+AI74</f>
        <v>0</v>
      </c>
      <c r="AT74" s="339">
        <f>AA74+AD74+AG74+AJ74</f>
        <v>0</v>
      </c>
      <c r="AU74" s="340">
        <f>AS74-AT74</f>
        <v>0</v>
      </c>
      <c r="AV74" s="589">
        <f t="shared" si="19"/>
        <v>0</v>
      </c>
      <c r="AW74" s="343"/>
      <c r="AX74" s="344"/>
      <c r="AY74" s="345"/>
      <c r="AZ74" s="344"/>
      <c r="BA74" s="345"/>
      <c r="BB74" s="346"/>
      <c r="BC74" s="347"/>
      <c r="BD74" s="348"/>
      <c r="BE74" s="349"/>
      <c r="BF74" s="348"/>
      <c r="BG74" s="349"/>
      <c r="BH74" s="350"/>
      <c r="BI74" s="351"/>
      <c r="BJ74" s="352"/>
      <c r="BK74" s="337"/>
      <c r="BL74" s="352"/>
      <c r="BM74" s="337"/>
      <c r="BN74" s="353"/>
      <c r="BO74" s="354"/>
      <c r="BP74" s="355"/>
      <c r="BQ74" s="356"/>
      <c r="BR74" s="355"/>
      <c r="BS74" s="356"/>
      <c r="BT74" s="357"/>
    </row>
    <row r="75" spans="1:72" s="965" customFormat="1" ht="48.75" customHeight="1">
      <c r="A75" s="287">
        <v>65</v>
      </c>
      <c r="B75" s="952"/>
      <c r="C75" s="953" t="s">
        <v>377</v>
      </c>
      <c r="D75" s="954"/>
      <c r="E75" s="955" t="s">
        <v>201</v>
      </c>
      <c r="F75" s="956" t="s">
        <v>7</v>
      </c>
      <c r="G75" s="957">
        <v>4</v>
      </c>
      <c r="H75" s="957" t="s">
        <v>266</v>
      </c>
      <c r="I75" s="957">
        <v>244</v>
      </c>
      <c r="J75" s="958">
        <v>226</v>
      </c>
      <c r="K75" s="959" t="s">
        <v>307</v>
      </c>
      <c r="L75" s="960">
        <v>2100099.31</v>
      </c>
      <c r="M75" s="961"/>
      <c r="N75" s="961"/>
      <c r="O75" s="961">
        <f t="shared" si="41"/>
        <v>2100099.31</v>
      </c>
      <c r="P75" s="962"/>
      <c r="Q75" s="960">
        <f>Q84</f>
        <v>2256788.4500000002</v>
      </c>
      <c r="R75" s="962"/>
      <c r="S75" s="960">
        <f>S84</f>
        <v>2150208.7400000002</v>
      </c>
      <c r="T75" s="962"/>
      <c r="U75" s="963"/>
      <c r="V75" s="964"/>
      <c r="W75" s="964"/>
      <c r="X75" s="964"/>
      <c r="Z75" s="960">
        <f t="shared" si="101"/>
        <v>899757.18</v>
      </c>
      <c r="AA75" s="961">
        <f t="shared" si="101"/>
        <v>0</v>
      </c>
      <c r="AB75" s="966">
        <f t="shared" si="6"/>
        <v>899757.18</v>
      </c>
      <c r="AC75" s="960">
        <f t="shared" si="102"/>
        <v>0</v>
      </c>
      <c r="AD75" s="961">
        <f t="shared" si="102"/>
        <v>0</v>
      </c>
      <c r="AE75" s="966">
        <f t="shared" si="8"/>
        <v>0</v>
      </c>
      <c r="AF75" s="960">
        <f t="shared" si="103"/>
        <v>340187.83</v>
      </c>
      <c r="AG75" s="961">
        <f t="shared" si="103"/>
        <v>0</v>
      </c>
      <c r="AH75" s="966">
        <f t="shared" si="10"/>
        <v>340187.83</v>
      </c>
      <c r="AI75" s="960">
        <f t="shared" si="104"/>
        <v>860154.3</v>
      </c>
      <c r="AJ75" s="961">
        <f t="shared" si="104"/>
        <v>0</v>
      </c>
      <c r="AK75" s="966">
        <f t="shared" si="12"/>
        <v>860154.3</v>
      </c>
      <c r="AL75" s="967"/>
      <c r="AM75" s="960">
        <f t="shared" si="105"/>
        <v>899757.18</v>
      </c>
      <c r="AN75" s="961">
        <f t="shared" si="105"/>
        <v>0</v>
      </c>
      <c r="AO75" s="966">
        <f t="shared" si="14"/>
        <v>899757.18</v>
      </c>
      <c r="AP75" s="960">
        <f t="shared" si="106"/>
        <v>1239945.01</v>
      </c>
      <c r="AQ75" s="961">
        <f t="shared" si="106"/>
        <v>0</v>
      </c>
      <c r="AR75" s="966">
        <f t="shared" si="16"/>
        <v>1239945.01</v>
      </c>
      <c r="AS75" s="960">
        <f t="shared" si="125"/>
        <v>2100099.31</v>
      </c>
      <c r="AT75" s="961">
        <f t="shared" si="17"/>
        <v>0</v>
      </c>
      <c r="AU75" s="966">
        <f t="shared" si="18"/>
        <v>2100099.31</v>
      </c>
      <c r="AV75" s="968">
        <f t="shared" si="19"/>
        <v>0</v>
      </c>
      <c r="AW75" s="960">
        <f t="shared" ref="AW75:BT75" si="126">SUM(AW83,AW76,AW90,AW93,AW102,AW106)</f>
        <v>0</v>
      </c>
      <c r="AX75" s="961">
        <f t="shared" si="126"/>
        <v>0</v>
      </c>
      <c r="AY75" s="961">
        <f t="shared" si="126"/>
        <v>559569.35</v>
      </c>
      <c r="AZ75" s="961">
        <f t="shared" si="126"/>
        <v>0</v>
      </c>
      <c r="BA75" s="961">
        <f t="shared" si="126"/>
        <v>340187.83</v>
      </c>
      <c r="BB75" s="969">
        <f t="shared" si="126"/>
        <v>0</v>
      </c>
      <c r="BC75" s="960">
        <f t="shared" si="126"/>
        <v>0</v>
      </c>
      <c r="BD75" s="961">
        <f t="shared" si="126"/>
        <v>0</v>
      </c>
      <c r="BE75" s="961">
        <f t="shared" si="126"/>
        <v>0</v>
      </c>
      <c r="BF75" s="961">
        <f t="shared" si="126"/>
        <v>0</v>
      </c>
      <c r="BG75" s="961">
        <f t="shared" si="126"/>
        <v>0</v>
      </c>
      <c r="BH75" s="969">
        <f t="shared" si="126"/>
        <v>0</v>
      </c>
      <c r="BI75" s="960">
        <f t="shared" si="126"/>
        <v>0</v>
      </c>
      <c r="BJ75" s="961">
        <f t="shared" si="126"/>
        <v>0</v>
      </c>
      <c r="BK75" s="961">
        <f t="shared" si="126"/>
        <v>100000</v>
      </c>
      <c r="BL75" s="961">
        <f t="shared" si="126"/>
        <v>0</v>
      </c>
      <c r="BM75" s="961">
        <f t="shared" si="126"/>
        <v>240187.83</v>
      </c>
      <c r="BN75" s="969">
        <f t="shared" si="126"/>
        <v>0</v>
      </c>
      <c r="BO75" s="960">
        <f t="shared" si="126"/>
        <v>233059.9</v>
      </c>
      <c r="BP75" s="961">
        <f t="shared" si="126"/>
        <v>0</v>
      </c>
      <c r="BQ75" s="961">
        <f t="shared" si="126"/>
        <v>534034.63</v>
      </c>
      <c r="BR75" s="961">
        <f t="shared" si="126"/>
        <v>0</v>
      </c>
      <c r="BS75" s="961">
        <f t="shared" si="126"/>
        <v>93059.77</v>
      </c>
      <c r="BT75" s="966">
        <f t="shared" si="126"/>
        <v>0</v>
      </c>
    </row>
    <row r="76" spans="1:72" s="459" customFormat="1" ht="97.5" outlineLevel="1">
      <c r="A76" s="287">
        <v>66</v>
      </c>
      <c r="B76" s="939"/>
      <c r="C76" s="922" t="s">
        <v>378</v>
      </c>
      <c r="D76" s="854" t="s">
        <v>273</v>
      </c>
      <c r="E76" s="855"/>
      <c r="F76" s="923" t="s">
        <v>7</v>
      </c>
      <c r="G76" s="462">
        <v>4</v>
      </c>
      <c r="H76" s="741" t="s">
        <v>70</v>
      </c>
      <c r="I76" s="741">
        <v>244</v>
      </c>
      <c r="J76" s="742">
        <v>226</v>
      </c>
      <c r="K76" s="535" t="s">
        <v>492</v>
      </c>
      <c r="L76" s="464">
        <f>SUM(L77:L82)</f>
        <v>340187.83</v>
      </c>
      <c r="M76" s="352"/>
      <c r="N76" s="352"/>
      <c r="O76" s="352">
        <f t="shared" ref="O76:O149" si="127">L76+N76</f>
        <v>340187.83</v>
      </c>
      <c r="P76" s="924"/>
      <c r="Q76" s="464"/>
      <c r="R76" s="924"/>
      <c r="S76" s="464"/>
      <c r="T76" s="924"/>
      <c r="U76" s="925"/>
      <c r="V76" s="926"/>
      <c r="W76" s="926"/>
      <c r="X76" s="926"/>
      <c r="Y76" s="927"/>
      <c r="Z76" s="928">
        <f t="shared" si="101"/>
        <v>340187.83</v>
      </c>
      <c r="AA76" s="929">
        <f t="shared" si="101"/>
        <v>0</v>
      </c>
      <c r="AB76" s="930">
        <f t="shared" ref="AB76:AB151" si="128">Z76-AA76</f>
        <v>340187.83</v>
      </c>
      <c r="AC76" s="928">
        <f t="shared" si="102"/>
        <v>0</v>
      </c>
      <c r="AD76" s="929">
        <f t="shared" si="102"/>
        <v>0</v>
      </c>
      <c r="AE76" s="930">
        <f t="shared" ref="AE76:AE151" si="129">AC76-AD76</f>
        <v>0</v>
      </c>
      <c r="AF76" s="928">
        <f t="shared" si="103"/>
        <v>0</v>
      </c>
      <c r="AG76" s="929">
        <f t="shared" si="103"/>
        <v>0</v>
      </c>
      <c r="AH76" s="930">
        <f t="shared" ref="AH76:AH151" si="130">AF76-AG76</f>
        <v>0</v>
      </c>
      <c r="AI76" s="928">
        <f t="shared" si="104"/>
        <v>0</v>
      </c>
      <c r="AJ76" s="929">
        <f t="shared" si="104"/>
        <v>0</v>
      </c>
      <c r="AK76" s="930">
        <f t="shared" ref="AK76:AK151" si="131">AI76-AJ76</f>
        <v>0</v>
      </c>
      <c r="AL76" s="931"/>
      <c r="AM76" s="464">
        <f t="shared" si="105"/>
        <v>340187.83</v>
      </c>
      <c r="AN76" s="352">
        <f t="shared" si="105"/>
        <v>0</v>
      </c>
      <c r="AO76" s="465">
        <f t="shared" ref="AO76:AO151" si="132">AM76-AN76</f>
        <v>340187.83</v>
      </c>
      <c r="AP76" s="464">
        <f t="shared" si="106"/>
        <v>340187.83</v>
      </c>
      <c r="AQ76" s="352">
        <f t="shared" si="106"/>
        <v>0</v>
      </c>
      <c r="AR76" s="465">
        <f t="shared" ref="AR76:AR151" si="133">AP76-AQ76</f>
        <v>340187.83</v>
      </c>
      <c r="AS76" s="464">
        <f t="shared" si="125"/>
        <v>340187.83</v>
      </c>
      <c r="AT76" s="352">
        <f t="shared" si="125"/>
        <v>0</v>
      </c>
      <c r="AU76" s="465">
        <f t="shared" ref="AU76:AU151" si="134">AS76-AT76</f>
        <v>340187.83</v>
      </c>
      <c r="AV76" s="600">
        <f t="shared" ref="AV76:AV158" si="135">L76-AS76</f>
        <v>0</v>
      </c>
      <c r="AW76" s="464">
        <f t="shared" ref="AW76:BT76" si="136">SUM(AW77:AW82)</f>
        <v>0</v>
      </c>
      <c r="AX76" s="352">
        <f t="shared" si="136"/>
        <v>0</v>
      </c>
      <c r="AY76" s="352">
        <f t="shared" si="136"/>
        <v>0</v>
      </c>
      <c r="AZ76" s="352">
        <f t="shared" si="136"/>
        <v>0</v>
      </c>
      <c r="BA76" s="352">
        <f t="shared" si="136"/>
        <v>340187.83</v>
      </c>
      <c r="BB76" s="353">
        <f t="shared" si="136"/>
        <v>0</v>
      </c>
      <c r="BC76" s="464">
        <f t="shared" si="136"/>
        <v>0</v>
      </c>
      <c r="BD76" s="352">
        <f t="shared" si="136"/>
        <v>0</v>
      </c>
      <c r="BE76" s="352">
        <f t="shared" si="136"/>
        <v>0</v>
      </c>
      <c r="BF76" s="352">
        <f t="shared" si="136"/>
        <v>0</v>
      </c>
      <c r="BG76" s="352">
        <f t="shared" si="136"/>
        <v>0</v>
      </c>
      <c r="BH76" s="353">
        <f t="shared" si="136"/>
        <v>0</v>
      </c>
      <c r="BI76" s="464">
        <f t="shared" si="136"/>
        <v>0</v>
      </c>
      <c r="BJ76" s="352">
        <f t="shared" si="136"/>
        <v>0</v>
      </c>
      <c r="BK76" s="352">
        <f t="shared" si="136"/>
        <v>0</v>
      </c>
      <c r="BL76" s="352">
        <f t="shared" si="136"/>
        <v>0</v>
      </c>
      <c r="BM76" s="352">
        <f t="shared" si="136"/>
        <v>0</v>
      </c>
      <c r="BN76" s="353">
        <f t="shared" si="136"/>
        <v>0</v>
      </c>
      <c r="BO76" s="464">
        <f t="shared" si="136"/>
        <v>0</v>
      </c>
      <c r="BP76" s="352">
        <f t="shared" si="136"/>
        <v>0</v>
      </c>
      <c r="BQ76" s="352">
        <f t="shared" si="136"/>
        <v>0</v>
      </c>
      <c r="BR76" s="352">
        <f t="shared" si="136"/>
        <v>0</v>
      </c>
      <c r="BS76" s="352">
        <f t="shared" si="136"/>
        <v>0</v>
      </c>
      <c r="BT76" s="465">
        <f t="shared" si="136"/>
        <v>0</v>
      </c>
    </row>
    <row r="77" spans="1:72" s="399" customFormat="1" ht="38.25" customHeight="1" outlineLevel="2">
      <c r="A77" s="287">
        <v>68</v>
      </c>
      <c r="B77" s="933"/>
      <c r="C77" s="859"/>
      <c r="D77" s="841" t="s">
        <v>273</v>
      </c>
      <c r="E77" s="860"/>
      <c r="F77" s="829" t="s">
        <v>7</v>
      </c>
      <c r="G77" s="400">
        <v>4</v>
      </c>
      <c r="H77" s="747" t="s">
        <v>70</v>
      </c>
      <c r="I77" s="747">
        <v>244</v>
      </c>
      <c r="J77" s="748">
        <v>226</v>
      </c>
      <c r="K77" s="538" t="s">
        <v>493</v>
      </c>
      <c r="L77" s="412">
        <v>36399</v>
      </c>
      <c r="M77" s="403"/>
      <c r="N77" s="403"/>
      <c r="O77" s="403">
        <f t="shared" ref="O77" si="137">L77+N77</f>
        <v>36399</v>
      </c>
      <c r="P77" s="565"/>
      <c r="Q77" s="406"/>
      <c r="R77" s="565"/>
      <c r="S77" s="406"/>
      <c r="T77" s="565"/>
      <c r="U77" s="428"/>
      <c r="V77" s="597" t="s">
        <v>494</v>
      </c>
      <c r="W77" s="597" t="s">
        <v>539</v>
      </c>
      <c r="X77" s="597" t="s">
        <v>540</v>
      </c>
      <c r="Z77" s="406">
        <f t="shared" ref="Z77" si="138">AW77+AY77+BA77</f>
        <v>36399</v>
      </c>
      <c r="AA77" s="407">
        <f t="shared" ref="AA77" si="139">AX77+AZ77+BB77</f>
        <v>0</v>
      </c>
      <c r="AB77" s="408">
        <f t="shared" ref="AB77" si="140">Z77-AA77</f>
        <v>36399</v>
      </c>
      <c r="AC77" s="406">
        <f t="shared" ref="AC77" si="141">BC77+BE77+BG77</f>
        <v>0</v>
      </c>
      <c r="AD77" s="407">
        <f t="shared" ref="AD77" si="142">BD77+BF77+BH77</f>
        <v>0</v>
      </c>
      <c r="AE77" s="408">
        <f t="shared" ref="AE77" si="143">AC77-AD77</f>
        <v>0</v>
      </c>
      <c r="AF77" s="406">
        <f t="shared" ref="AF77" si="144">BI77+BK77+BM77</f>
        <v>0</v>
      </c>
      <c r="AG77" s="407">
        <f t="shared" ref="AG77" si="145">BJ77+BL77+BN77</f>
        <v>0</v>
      </c>
      <c r="AH77" s="408">
        <f t="shared" ref="AH77" si="146">AF77-AG77</f>
        <v>0</v>
      </c>
      <c r="AI77" s="406">
        <f t="shared" ref="AI77" si="147">BO77+BQ77+BS77</f>
        <v>0</v>
      </c>
      <c r="AJ77" s="407">
        <f t="shared" ref="AJ77" si="148">BP77+BR77+BT77</f>
        <v>0</v>
      </c>
      <c r="AK77" s="408">
        <f t="shared" ref="AK77" si="149">AI77-AJ77</f>
        <v>0</v>
      </c>
      <c r="AL77" s="409"/>
      <c r="AM77" s="406">
        <f t="shared" ref="AM77" si="150">Z77+AC77</f>
        <v>36399</v>
      </c>
      <c r="AN77" s="410">
        <f t="shared" ref="AN77" si="151">AA77+AD77</f>
        <v>0</v>
      </c>
      <c r="AO77" s="411">
        <f t="shared" ref="AO77" si="152">AM77-AN77</f>
        <v>36399</v>
      </c>
      <c r="AP77" s="406">
        <f t="shared" ref="AP77" si="153">Z77+AC77+AF77</f>
        <v>36399</v>
      </c>
      <c r="AQ77" s="410">
        <f t="shared" ref="AQ77" si="154">AA77+AD77+AG77</f>
        <v>0</v>
      </c>
      <c r="AR77" s="411">
        <f t="shared" ref="AR77" si="155">AP77-AQ77</f>
        <v>36399</v>
      </c>
      <c r="AS77" s="412">
        <f t="shared" ref="AS77" si="156">Z77+AC77+AF77+AI77</f>
        <v>36399</v>
      </c>
      <c r="AT77" s="410">
        <f t="shared" ref="AT77" si="157">AA77+AD77+AG77+AJ77</f>
        <v>0</v>
      </c>
      <c r="AU77" s="411">
        <f t="shared" ref="AU77" si="158">AS77-AT77</f>
        <v>36399</v>
      </c>
      <c r="AV77" s="603">
        <f t="shared" ref="AV77" si="159">L77-AS77</f>
        <v>0</v>
      </c>
      <c r="AW77" s="413"/>
      <c r="AX77" s="414"/>
      <c r="AY77" s="415"/>
      <c r="AZ77" s="414"/>
      <c r="BA77" s="415">
        <v>36399</v>
      </c>
      <c r="BB77" s="416"/>
      <c r="BC77" s="417"/>
      <c r="BD77" s="418"/>
      <c r="BE77" s="419"/>
      <c r="BF77" s="418"/>
      <c r="BG77" s="419"/>
      <c r="BH77" s="420"/>
      <c r="BI77" s="421"/>
      <c r="BJ77" s="422"/>
      <c r="BK77" s="407"/>
      <c r="BL77" s="422"/>
      <c r="BM77" s="407"/>
      <c r="BN77" s="423"/>
      <c r="BO77" s="424"/>
      <c r="BP77" s="425"/>
      <c r="BQ77" s="426"/>
      <c r="BR77" s="425"/>
      <c r="BS77" s="426"/>
      <c r="BT77" s="427"/>
    </row>
    <row r="78" spans="1:72" s="399" customFormat="1" ht="38.25" customHeight="1" outlineLevel="2">
      <c r="A78" s="287">
        <v>69</v>
      </c>
      <c r="B78" s="933"/>
      <c r="C78" s="859"/>
      <c r="D78" s="841" t="s">
        <v>273</v>
      </c>
      <c r="E78" s="860"/>
      <c r="F78" s="829" t="s">
        <v>7</v>
      </c>
      <c r="G78" s="400">
        <v>4</v>
      </c>
      <c r="H78" s="747" t="s">
        <v>70</v>
      </c>
      <c r="I78" s="747">
        <v>244</v>
      </c>
      <c r="J78" s="748">
        <v>226</v>
      </c>
      <c r="K78" s="538" t="s">
        <v>504</v>
      </c>
      <c r="L78" s="412">
        <v>126600</v>
      </c>
      <c r="M78" s="403"/>
      <c r="N78" s="403"/>
      <c r="O78" s="403">
        <f t="shared" ref="O78" si="160">L78+N78</f>
        <v>126600</v>
      </c>
      <c r="P78" s="565"/>
      <c r="Q78" s="406"/>
      <c r="R78" s="565"/>
      <c r="S78" s="406"/>
      <c r="T78" s="565"/>
      <c r="U78" s="428"/>
      <c r="V78" s="597" t="s">
        <v>592</v>
      </c>
      <c r="W78" s="597" t="s">
        <v>593</v>
      </c>
      <c r="X78" s="597" t="s">
        <v>594</v>
      </c>
      <c r="Z78" s="406">
        <f t="shared" ref="Z78" si="161">AW78+AY78+BA78</f>
        <v>126600</v>
      </c>
      <c r="AA78" s="407">
        <f t="shared" ref="AA78" si="162">AX78+AZ78+BB78</f>
        <v>0</v>
      </c>
      <c r="AB78" s="408">
        <f t="shared" ref="AB78" si="163">Z78-AA78</f>
        <v>126600</v>
      </c>
      <c r="AC78" s="406">
        <f t="shared" ref="AC78" si="164">BC78+BE78+BG78</f>
        <v>0</v>
      </c>
      <c r="AD78" s="407">
        <f t="shared" ref="AD78" si="165">BD78+BF78+BH78</f>
        <v>0</v>
      </c>
      <c r="AE78" s="408">
        <f t="shared" ref="AE78" si="166">AC78-AD78</f>
        <v>0</v>
      </c>
      <c r="AF78" s="406">
        <f t="shared" ref="AF78" si="167">BI78+BK78+BM78</f>
        <v>0</v>
      </c>
      <c r="AG78" s="407">
        <f t="shared" ref="AG78" si="168">BJ78+BL78+BN78</f>
        <v>0</v>
      </c>
      <c r="AH78" s="408">
        <f t="shared" ref="AH78" si="169">AF78-AG78</f>
        <v>0</v>
      </c>
      <c r="AI78" s="406">
        <f t="shared" ref="AI78" si="170">BO78+BQ78+BS78</f>
        <v>0</v>
      </c>
      <c r="AJ78" s="407">
        <f t="shared" ref="AJ78" si="171">BP78+BR78+BT78</f>
        <v>0</v>
      </c>
      <c r="AK78" s="408">
        <f t="shared" ref="AK78" si="172">AI78-AJ78</f>
        <v>0</v>
      </c>
      <c r="AL78" s="409"/>
      <c r="AM78" s="406">
        <f t="shared" ref="AM78" si="173">Z78+AC78</f>
        <v>126600</v>
      </c>
      <c r="AN78" s="410">
        <f t="shared" ref="AN78" si="174">AA78+AD78</f>
        <v>0</v>
      </c>
      <c r="AO78" s="411">
        <f t="shared" ref="AO78" si="175">AM78-AN78</f>
        <v>126600</v>
      </c>
      <c r="AP78" s="406">
        <f t="shared" ref="AP78" si="176">Z78+AC78+AF78</f>
        <v>126600</v>
      </c>
      <c r="AQ78" s="410">
        <f t="shared" ref="AQ78" si="177">AA78+AD78+AG78</f>
        <v>0</v>
      </c>
      <c r="AR78" s="411">
        <f t="shared" ref="AR78" si="178">AP78-AQ78</f>
        <v>126600</v>
      </c>
      <c r="AS78" s="412">
        <f t="shared" ref="AS78" si="179">Z78+AC78+AF78+AI78</f>
        <v>126600</v>
      </c>
      <c r="AT78" s="410">
        <f t="shared" ref="AT78" si="180">AA78+AD78+AG78+AJ78</f>
        <v>0</v>
      </c>
      <c r="AU78" s="411">
        <f t="shared" ref="AU78" si="181">AS78-AT78</f>
        <v>126600</v>
      </c>
      <c r="AV78" s="603">
        <f t="shared" ref="AV78" si="182">L78-AS78</f>
        <v>0</v>
      </c>
      <c r="AW78" s="413"/>
      <c r="AX78" s="414"/>
      <c r="AY78" s="415"/>
      <c r="AZ78" s="414"/>
      <c r="BA78" s="415">
        <v>126600</v>
      </c>
      <c r="BB78" s="416"/>
      <c r="BC78" s="417"/>
      <c r="BD78" s="418"/>
      <c r="BE78" s="419"/>
      <c r="BF78" s="418"/>
      <c r="BG78" s="419"/>
      <c r="BH78" s="420"/>
      <c r="BI78" s="421"/>
      <c r="BJ78" s="422"/>
      <c r="BK78" s="407"/>
      <c r="BL78" s="422"/>
      <c r="BM78" s="407"/>
      <c r="BN78" s="423"/>
      <c r="BO78" s="424"/>
      <c r="BP78" s="425"/>
      <c r="BQ78" s="426"/>
      <c r="BR78" s="425"/>
      <c r="BS78" s="426"/>
      <c r="BT78" s="427"/>
    </row>
    <row r="79" spans="1:72" s="399" customFormat="1" ht="38.25" customHeight="1" outlineLevel="2">
      <c r="A79" s="287">
        <v>69</v>
      </c>
      <c r="B79" s="933"/>
      <c r="C79" s="859"/>
      <c r="D79" s="841" t="s">
        <v>273</v>
      </c>
      <c r="E79" s="860"/>
      <c r="F79" s="829" t="s">
        <v>7</v>
      </c>
      <c r="G79" s="400">
        <v>4</v>
      </c>
      <c r="H79" s="747" t="s">
        <v>70</v>
      </c>
      <c r="I79" s="747">
        <v>244</v>
      </c>
      <c r="J79" s="748">
        <v>226</v>
      </c>
      <c r="K79" s="538" t="s">
        <v>543</v>
      </c>
      <c r="L79" s="412">
        <v>53200</v>
      </c>
      <c r="M79" s="403"/>
      <c r="N79" s="403"/>
      <c r="O79" s="403">
        <f t="shared" ref="O79" si="183">L79+N79</f>
        <v>53200</v>
      </c>
      <c r="P79" s="565"/>
      <c r="Q79" s="406"/>
      <c r="R79" s="565"/>
      <c r="S79" s="406"/>
      <c r="T79" s="565"/>
      <c r="U79" s="428"/>
      <c r="V79" s="596" t="s">
        <v>544</v>
      </c>
      <c r="W79" s="597" t="s">
        <v>481</v>
      </c>
      <c r="X79" s="405"/>
      <c r="Z79" s="406">
        <f t="shared" ref="Z79" si="184">AW79+AY79+BA79</f>
        <v>53200</v>
      </c>
      <c r="AA79" s="407">
        <f t="shared" ref="AA79" si="185">AX79+AZ79+BB79</f>
        <v>0</v>
      </c>
      <c r="AB79" s="408">
        <f t="shared" ref="AB79" si="186">Z79-AA79</f>
        <v>53200</v>
      </c>
      <c r="AC79" s="406">
        <f t="shared" ref="AC79" si="187">BC79+BE79+BG79</f>
        <v>0</v>
      </c>
      <c r="AD79" s="407">
        <f t="shared" ref="AD79" si="188">BD79+BF79+BH79</f>
        <v>0</v>
      </c>
      <c r="AE79" s="408">
        <f t="shared" ref="AE79" si="189">AC79-AD79</f>
        <v>0</v>
      </c>
      <c r="AF79" s="406">
        <f t="shared" ref="AF79" si="190">BI79+BK79+BM79</f>
        <v>0</v>
      </c>
      <c r="AG79" s="407">
        <f t="shared" ref="AG79" si="191">BJ79+BL79+BN79</f>
        <v>0</v>
      </c>
      <c r="AH79" s="408">
        <f t="shared" ref="AH79" si="192">AF79-AG79</f>
        <v>0</v>
      </c>
      <c r="AI79" s="406">
        <f t="shared" ref="AI79" si="193">BO79+BQ79+BS79</f>
        <v>0</v>
      </c>
      <c r="AJ79" s="407">
        <f t="shared" ref="AJ79" si="194">BP79+BR79+BT79</f>
        <v>0</v>
      </c>
      <c r="AK79" s="408">
        <f t="shared" ref="AK79" si="195">AI79-AJ79</f>
        <v>0</v>
      </c>
      <c r="AL79" s="409"/>
      <c r="AM79" s="406">
        <f t="shared" ref="AM79" si="196">Z79+AC79</f>
        <v>53200</v>
      </c>
      <c r="AN79" s="410">
        <f t="shared" ref="AN79" si="197">AA79+AD79</f>
        <v>0</v>
      </c>
      <c r="AO79" s="411">
        <f t="shared" ref="AO79" si="198">AM79-AN79</f>
        <v>53200</v>
      </c>
      <c r="AP79" s="406">
        <f t="shared" ref="AP79" si="199">Z79+AC79+AF79</f>
        <v>53200</v>
      </c>
      <c r="AQ79" s="410">
        <f t="shared" ref="AQ79" si="200">AA79+AD79+AG79</f>
        <v>0</v>
      </c>
      <c r="AR79" s="411">
        <f t="shared" ref="AR79" si="201">AP79-AQ79</f>
        <v>53200</v>
      </c>
      <c r="AS79" s="412">
        <f t="shared" ref="AS79" si="202">Z79+AC79+AF79+AI79</f>
        <v>53200</v>
      </c>
      <c r="AT79" s="410">
        <f t="shared" ref="AT79" si="203">AA79+AD79+AG79+AJ79</f>
        <v>0</v>
      </c>
      <c r="AU79" s="411">
        <f t="shared" ref="AU79" si="204">AS79-AT79</f>
        <v>53200</v>
      </c>
      <c r="AV79" s="603">
        <f t="shared" ref="AV79" si="205">L79-AS79</f>
        <v>0</v>
      </c>
      <c r="AW79" s="413"/>
      <c r="AX79" s="414"/>
      <c r="AY79" s="415"/>
      <c r="AZ79" s="414"/>
      <c r="BA79" s="415">
        <v>53200</v>
      </c>
      <c r="BB79" s="416"/>
      <c r="BC79" s="417"/>
      <c r="BD79" s="418"/>
      <c r="BE79" s="419"/>
      <c r="BF79" s="418"/>
      <c r="BG79" s="419"/>
      <c r="BH79" s="420"/>
      <c r="BI79" s="421"/>
      <c r="BJ79" s="422"/>
      <c r="BK79" s="407"/>
      <c r="BL79" s="422"/>
      <c r="BM79" s="407"/>
      <c r="BN79" s="423"/>
      <c r="BO79" s="424"/>
      <c r="BP79" s="425"/>
      <c r="BQ79" s="426"/>
      <c r="BR79" s="425"/>
      <c r="BS79" s="426"/>
      <c r="BT79" s="427"/>
    </row>
    <row r="80" spans="1:72" s="399" customFormat="1" ht="38.25" customHeight="1" outlineLevel="2">
      <c r="A80" s="287">
        <v>69</v>
      </c>
      <c r="B80" s="933"/>
      <c r="C80" s="859"/>
      <c r="D80" s="841" t="s">
        <v>273</v>
      </c>
      <c r="E80" s="860"/>
      <c r="F80" s="829" t="s">
        <v>7</v>
      </c>
      <c r="G80" s="400">
        <v>4</v>
      </c>
      <c r="H80" s="747" t="s">
        <v>70</v>
      </c>
      <c r="I80" s="747">
        <v>244</v>
      </c>
      <c r="J80" s="748">
        <v>226</v>
      </c>
      <c r="K80" s="538" t="s">
        <v>545</v>
      </c>
      <c r="L80" s="412">
        <v>95800</v>
      </c>
      <c r="M80" s="403"/>
      <c r="N80" s="403"/>
      <c r="O80" s="403">
        <f t="shared" ref="O80" si="206">L80+N80</f>
        <v>95800</v>
      </c>
      <c r="P80" s="565"/>
      <c r="Q80" s="406"/>
      <c r="R80" s="565"/>
      <c r="S80" s="406"/>
      <c r="T80" s="565"/>
      <c r="U80" s="428"/>
      <c r="V80" s="596" t="s">
        <v>544</v>
      </c>
      <c r="W80" s="597" t="s">
        <v>481</v>
      </c>
      <c r="X80" s="405"/>
      <c r="Z80" s="406">
        <f t="shared" ref="Z80" si="207">AW80+AY80+BA80</f>
        <v>95800</v>
      </c>
      <c r="AA80" s="407">
        <f t="shared" ref="AA80" si="208">AX80+AZ80+BB80</f>
        <v>0</v>
      </c>
      <c r="AB80" s="408">
        <f t="shared" ref="AB80" si="209">Z80-AA80</f>
        <v>95800</v>
      </c>
      <c r="AC80" s="406">
        <f t="shared" ref="AC80" si="210">BC80+BE80+BG80</f>
        <v>0</v>
      </c>
      <c r="AD80" s="407">
        <f t="shared" ref="AD80" si="211">BD80+BF80+BH80</f>
        <v>0</v>
      </c>
      <c r="AE80" s="408">
        <f t="shared" ref="AE80" si="212">AC80-AD80</f>
        <v>0</v>
      </c>
      <c r="AF80" s="406">
        <f t="shared" ref="AF80" si="213">BI80+BK80+BM80</f>
        <v>0</v>
      </c>
      <c r="AG80" s="407">
        <f t="shared" ref="AG80" si="214">BJ80+BL80+BN80</f>
        <v>0</v>
      </c>
      <c r="AH80" s="408">
        <f t="shared" ref="AH80" si="215">AF80-AG80</f>
        <v>0</v>
      </c>
      <c r="AI80" s="406">
        <f t="shared" ref="AI80" si="216">BO80+BQ80+BS80</f>
        <v>0</v>
      </c>
      <c r="AJ80" s="407">
        <f t="shared" ref="AJ80" si="217">BP80+BR80+BT80</f>
        <v>0</v>
      </c>
      <c r="AK80" s="408">
        <f t="shared" ref="AK80" si="218">AI80-AJ80</f>
        <v>0</v>
      </c>
      <c r="AL80" s="409"/>
      <c r="AM80" s="406">
        <f t="shared" ref="AM80" si="219">Z80+AC80</f>
        <v>95800</v>
      </c>
      <c r="AN80" s="410">
        <f t="shared" ref="AN80" si="220">AA80+AD80</f>
        <v>0</v>
      </c>
      <c r="AO80" s="411">
        <f t="shared" ref="AO80" si="221">AM80-AN80</f>
        <v>95800</v>
      </c>
      <c r="AP80" s="406">
        <f t="shared" ref="AP80" si="222">Z80+AC80+AF80</f>
        <v>95800</v>
      </c>
      <c r="AQ80" s="410">
        <f t="shared" ref="AQ80" si="223">AA80+AD80+AG80</f>
        <v>0</v>
      </c>
      <c r="AR80" s="411">
        <f t="shared" ref="AR80" si="224">AP80-AQ80</f>
        <v>95800</v>
      </c>
      <c r="AS80" s="412">
        <f t="shared" ref="AS80" si="225">Z80+AC80+AF80+AI80</f>
        <v>95800</v>
      </c>
      <c r="AT80" s="410">
        <f t="shared" ref="AT80" si="226">AA80+AD80+AG80+AJ80</f>
        <v>0</v>
      </c>
      <c r="AU80" s="411">
        <f t="shared" ref="AU80" si="227">AS80-AT80</f>
        <v>95800</v>
      </c>
      <c r="AV80" s="603">
        <f t="shared" ref="AV80" si="228">L80-AS80</f>
        <v>0</v>
      </c>
      <c r="AW80" s="413"/>
      <c r="AX80" s="414"/>
      <c r="AY80" s="415"/>
      <c r="AZ80" s="414"/>
      <c r="BA80" s="415">
        <v>95800</v>
      </c>
      <c r="BB80" s="416"/>
      <c r="BC80" s="417"/>
      <c r="BD80" s="418"/>
      <c r="BE80" s="419"/>
      <c r="BF80" s="418"/>
      <c r="BG80" s="419"/>
      <c r="BH80" s="420"/>
      <c r="BI80" s="421"/>
      <c r="BJ80" s="422"/>
      <c r="BK80" s="407"/>
      <c r="BL80" s="422"/>
      <c r="BM80" s="407"/>
      <c r="BN80" s="423"/>
      <c r="BO80" s="424"/>
      <c r="BP80" s="425"/>
      <c r="BQ80" s="426"/>
      <c r="BR80" s="425"/>
      <c r="BS80" s="426"/>
      <c r="BT80" s="427"/>
    </row>
    <row r="81" spans="1:72" s="399" customFormat="1" ht="38.25" customHeight="1" outlineLevel="2">
      <c r="A81" s="287">
        <v>69</v>
      </c>
      <c r="B81" s="933"/>
      <c r="C81" s="859"/>
      <c r="D81" s="841" t="s">
        <v>273</v>
      </c>
      <c r="E81" s="860"/>
      <c r="F81" s="829" t="s">
        <v>7</v>
      </c>
      <c r="G81" s="400">
        <v>4</v>
      </c>
      <c r="H81" s="747" t="s">
        <v>70</v>
      </c>
      <c r="I81" s="747">
        <v>244</v>
      </c>
      <c r="J81" s="748">
        <v>226</v>
      </c>
      <c r="K81" s="538" t="s">
        <v>552</v>
      </c>
      <c r="L81" s="412">
        <v>28188.83</v>
      </c>
      <c r="M81" s="403"/>
      <c r="N81" s="403"/>
      <c r="O81" s="403">
        <f t="shared" ref="O81" si="229">L81+N81</f>
        <v>28188.83</v>
      </c>
      <c r="P81" s="565"/>
      <c r="Q81" s="406"/>
      <c r="R81" s="565"/>
      <c r="S81" s="406"/>
      <c r="T81" s="565"/>
      <c r="U81" s="428"/>
      <c r="V81" s="596" t="s">
        <v>553</v>
      </c>
      <c r="W81" s="597" t="s">
        <v>481</v>
      </c>
      <c r="X81" s="405"/>
      <c r="Z81" s="406">
        <f t="shared" ref="Z81" si="230">AW81+AY81+BA81</f>
        <v>28188.83</v>
      </c>
      <c r="AA81" s="407">
        <f t="shared" ref="AA81" si="231">AX81+AZ81+BB81</f>
        <v>0</v>
      </c>
      <c r="AB81" s="408">
        <f t="shared" ref="AB81" si="232">Z81-AA81</f>
        <v>28188.83</v>
      </c>
      <c r="AC81" s="406">
        <f t="shared" ref="AC81" si="233">BC81+BE81+BG81</f>
        <v>0</v>
      </c>
      <c r="AD81" s="407">
        <f t="shared" ref="AD81" si="234">BD81+BF81+BH81</f>
        <v>0</v>
      </c>
      <c r="AE81" s="408">
        <f t="shared" ref="AE81" si="235">AC81-AD81</f>
        <v>0</v>
      </c>
      <c r="AF81" s="406">
        <f t="shared" ref="AF81" si="236">BI81+BK81+BM81</f>
        <v>0</v>
      </c>
      <c r="AG81" s="407">
        <f t="shared" ref="AG81" si="237">BJ81+BL81+BN81</f>
        <v>0</v>
      </c>
      <c r="AH81" s="408">
        <f t="shared" ref="AH81" si="238">AF81-AG81</f>
        <v>0</v>
      </c>
      <c r="AI81" s="406">
        <f t="shared" ref="AI81" si="239">BO81+BQ81+BS81</f>
        <v>0</v>
      </c>
      <c r="AJ81" s="407">
        <f t="shared" ref="AJ81" si="240">BP81+BR81+BT81</f>
        <v>0</v>
      </c>
      <c r="AK81" s="408">
        <f t="shared" ref="AK81" si="241">AI81-AJ81</f>
        <v>0</v>
      </c>
      <c r="AL81" s="409"/>
      <c r="AM81" s="406">
        <f t="shared" ref="AM81" si="242">Z81+AC81</f>
        <v>28188.83</v>
      </c>
      <c r="AN81" s="410">
        <f t="shared" ref="AN81" si="243">AA81+AD81</f>
        <v>0</v>
      </c>
      <c r="AO81" s="411">
        <f t="shared" ref="AO81" si="244">AM81-AN81</f>
        <v>28188.83</v>
      </c>
      <c r="AP81" s="406">
        <f t="shared" ref="AP81" si="245">Z81+AC81+AF81</f>
        <v>28188.83</v>
      </c>
      <c r="AQ81" s="410">
        <f t="shared" ref="AQ81" si="246">AA81+AD81+AG81</f>
        <v>0</v>
      </c>
      <c r="AR81" s="411">
        <f t="shared" ref="AR81" si="247">AP81-AQ81</f>
        <v>28188.83</v>
      </c>
      <c r="AS81" s="412">
        <f t="shared" ref="AS81" si="248">Z81+AC81+AF81+AI81</f>
        <v>28188.83</v>
      </c>
      <c r="AT81" s="410">
        <f t="shared" ref="AT81" si="249">AA81+AD81+AG81+AJ81</f>
        <v>0</v>
      </c>
      <c r="AU81" s="411">
        <f t="shared" ref="AU81" si="250">AS81-AT81</f>
        <v>28188.83</v>
      </c>
      <c r="AV81" s="603">
        <f t="shared" ref="AV81" si="251">L81-AS81</f>
        <v>0</v>
      </c>
      <c r="AW81" s="413"/>
      <c r="AX81" s="414"/>
      <c r="AY81" s="415"/>
      <c r="AZ81" s="414"/>
      <c r="BA81" s="415">
        <v>28188.83</v>
      </c>
      <c r="BB81" s="416"/>
      <c r="BC81" s="417"/>
      <c r="BD81" s="418"/>
      <c r="BE81" s="419"/>
      <c r="BF81" s="418"/>
      <c r="BG81" s="419"/>
      <c r="BH81" s="420"/>
      <c r="BI81" s="421"/>
      <c r="BJ81" s="422"/>
      <c r="BK81" s="407"/>
      <c r="BL81" s="422"/>
      <c r="BM81" s="407"/>
      <c r="BN81" s="423"/>
      <c r="BO81" s="424"/>
      <c r="BP81" s="425"/>
      <c r="BQ81" s="426"/>
      <c r="BR81" s="425"/>
      <c r="BS81" s="426"/>
      <c r="BT81" s="427"/>
    </row>
    <row r="82" spans="1:72" s="430" customFormat="1" ht="25.5" customHeight="1" outlineLevel="2">
      <c r="A82" s="287">
        <v>70</v>
      </c>
      <c r="B82" s="933"/>
      <c r="C82" s="743"/>
      <c r="D82" s="856" t="s">
        <v>273</v>
      </c>
      <c r="E82" s="857"/>
      <c r="F82" s="827" t="s">
        <v>7</v>
      </c>
      <c r="G82" s="431">
        <v>4</v>
      </c>
      <c r="H82" s="474" t="s">
        <v>70</v>
      </c>
      <c r="I82" s="743">
        <v>244</v>
      </c>
      <c r="J82" s="744">
        <v>226</v>
      </c>
      <c r="K82" s="536" t="s">
        <v>284</v>
      </c>
      <c r="L82" s="443"/>
      <c r="M82" s="434"/>
      <c r="N82" s="434"/>
      <c r="O82" s="434">
        <f t="shared" si="127"/>
        <v>0</v>
      </c>
      <c r="P82" s="563"/>
      <c r="Q82" s="437"/>
      <c r="R82" s="563"/>
      <c r="S82" s="437"/>
      <c r="T82" s="563"/>
      <c r="U82" s="467"/>
      <c r="V82" s="436"/>
      <c r="W82" s="436"/>
      <c r="X82" s="436"/>
      <c r="Z82" s="437">
        <f t="shared" si="101"/>
        <v>0</v>
      </c>
      <c r="AA82" s="438">
        <f t="shared" si="101"/>
        <v>0</v>
      </c>
      <c r="AB82" s="439">
        <f t="shared" si="128"/>
        <v>0</v>
      </c>
      <c r="AC82" s="437">
        <f t="shared" si="102"/>
        <v>0</v>
      </c>
      <c r="AD82" s="438">
        <f t="shared" si="102"/>
        <v>0</v>
      </c>
      <c r="AE82" s="439">
        <f t="shared" si="129"/>
        <v>0</v>
      </c>
      <c r="AF82" s="437">
        <f t="shared" si="103"/>
        <v>0</v>
      </c>
      <c r="AG82" s="438">
        <f t="shared" si="103"/>
        <v>0</v>
      </c>
      <c r="AH82" s="439">
        <f t="shared" si="130"/>
        <v>0</v>
      </c>
      <c r="AI82" s="437">
        <f t="shared" si="104"/>
        <v>0</v>
      </c>
      <c r="AJ82" s="438">
        <f t="shared" si="104"/>
        <v>0</v>
      </c>
      <c r="AK82" s="439">
        <f t="shared" si="131"/>
        <v>0</v>
      </c>
      <c r="AL82" s="440"/>
      <c r="AM82" s="437">
        <f t="shared" si="105"/>
        <v>0</v>
      </c>
      <c r="AN82" s="441">
        <f t="shared" si="105"/>
        <v>0</v>
      </c>
      <c r="AO82" s="442">
        <f t="shared" si="132"/>
        <v>0</v>
      </c>
      <c r="AP82" s="437">
        <f t="shared" si="106"/>
        <v>0</v>
      </c>
      <c r="AQ82" s="441">
        <f t="shared" si="106"/>
        <v>0</v>
      </c>
      <c r="AR82" s="442">
        <f t="shared" si="133"/>
        <v>0</v>
      </c>
      <c r="AS82" s="443">
        <f t="shared" si="125"/>
        <v>0</v>
      </c>
      <c r="AT82" s="441">
        <f t="shared" si="125"/>
        <v>0</v>
      </c>
      <c r="AU82" s="442">
        <f t="shared" si="134"/>
        <v>0</v>
      </c>
      <c r="AV82" s="601">
        <f t="shared" si="135"/>
        <v>0</v>
      </c>
      <c r="AW82" s="444"/>
      <c r="AX82" s="445"/>
      <c r="AY82" s="446"/>
      <c r="AZ82" s="445"/>
      <c r="BA82" s="446"/>
      <c r="BB82" s="447"/>
      <c r="BC82" s="448"/>
      <c r="BD82" s="449"/>
      <c r="BE82" s="450"/>
      <c r="BF82" s="449"/>
      <c r="BG82" s="450"/>
      <c r="BH82" s="451"/>
      <c r="BI82" s="452"/>
      <c r="BJ82" s="453"/>
      <c r="BK82" s="438"/>
      <c r="BL82" s="453"/>
      <c r="BM82" s="438"/>
      <c r="BN82" s="454"/>
      <c r="BO82" s="455"/>
      <c r="BP82" s="456"/>
      <c r="BQ82" s="457"/>
      <c r="BR82" s="456"/>
      <c r="BS82" s="457"/>
      <c r="BT82" s="458"/>
    </row>
    <row r="83" spans="1:72" s="459" customFormat="1" ht="54" customHeight="1" outlineLevel="1">
      <c r="A83" s="287">
        <v>71</v>
      </c>
      <c r="B83" s="933"/>
      <c r="C83" s="850" t="s">
        <v>378</v>
      </c>
      <c r="D83" s="854" t="s">
        <v>271</v>
      </c>
      <c r="E83" s="855"/>
      <c r="F83" s="826" t="s">
        <v>7</v>
      </c>
      <c r="G83" s="462">
        <v>4</v>
      </c>
      <c r="H83" s="741" t="s">
        <v>70</v>
      </c>
      <c r="I83" s="741">
        <v>244</v>
      </c>
      <c r="J83" s="742">
        <v>226</v>
      </c>
      <c r="K83" s="907" t="s">
        <v>491</v>
      </c>
      <c r="L83" s="464">
        <v>559569.35</v>
      </c>
      <c r="M83" s="352"/>
      <c r="N83" s="352"/>
      <c r="O83" s="352">
        <f t="shared" ref="O83:O89" si="252">L83+N83</f>
        <v>559569.35</v>
      </c>
      <c r="P83" s="561"/>
      <c r="Q83" s="464">
        <f>Q84</f>
        <v>2256788.4500000002</v>
      </c>
      <c r="R83" s="561"/>
      <c r="S83" s="464">
        <f>S84</f>
        <v>2150208.7400000002</v>
      </c>
      <c r="T83" s="561"/>
      <c r="U83" s="393"/>
      <c r="V83" s="394"/>
      <c r="W83" s="394"/>
      <c r="X83" s="394"/>
      <c r="Y83" s="392"/>
      <c r="Z83" s="395">
        <f t="shared" ref="Z83:AA89" si="253">AW83+AY83+BA83</f>
        <v>559569.35</v>
      </c>
      <c r="AA83" s="396">
        <f t="shared" si="253"/>
        <v>0</v>
      </c>
      <c r="AB83" s="397">
        <f t="shared" ref="AB83:AB89" si="254">Z83-AA83</f>
        <v>559569.35</v>
      </c>
      <c r="AC83" s="395">
        <f t="shared" ref="AC83:AD89" si="255">BC83+BE83+BG83</f>
        <v>0</v>
      </c>
      <c r="AD83" s="396">
        <f t="shared" si="255"/>
        <v>0</v>
      </c>
      <c r="AE83" s="397">
        <f t="shared" ref="AE83:AE89" si="256">AC83-AD83</f>
        <v>0</v>
      </c>
      <c r="AF83" s="395">
        <f t="shared" ref="AF83:AG89" si="257">BI83+BK83+BM83</f>
        <v>0</v>
      </c>
      <c r="AG83" s="396">
        <f t="shared" si="257"/>
        <v>0</v>
      </c>
      <c r="AH83" s="397">
        <f t="shared" ref="AH83:AH89" si="258">AF83-AG83</f>
        <v>0</v>
      </c>
      <c r="AI83" s="395">
        <f t="shared" ref="AI83:AJ89" si="259">BO83+BQ83+BS83</f>
        <v>0</v>
      </c>
      <c r="AJ83" s="396">
        <f t="shared" si="259"/>
        <v>0</v>
      </c>
      <c r="AK83" s="397">
        <f t="shared" ref="AK83:AK89" si="260">AI83-AJ83</f>
        <v>0</v>
      </c>
      <c r="AL83" s="398"/>
      <c r="AM83" s="464">
        <f t="shared" ref="AM83:AN89" si="261">Z83+AC83</f>
        <v>559569.35</v>
      </c>
      <c r="AN83" s="352">
        <f t="shared" si="261"/>
        <v>0</v>
      </c>
      <c r="AO83" s="465">
        <f t="shared" ref="AO83:AO89" si="262">AM83-AN83</f>
        <v>559569.35</v>
      </c>
      <c r="AP83" s="464">
        <f t="shared" ref="AP83:AQ89" si="263">Z83+AC83+AF83</f>
        <v>559569.35</v>
      </c>
      <c r="AQ83" s="352">
        <f t="shared" si="263"/>
        <v>0</v>
      </c>
      <c r="AR83" s="465">
        <f t="shared" ref="AR83:AR89" si="264">AP83-AQ83</f>
        <v>559569.35</v>
      </c>
      <c r="AS83" s="464">
        <f t="shared" ref="AS83:AT89" si="265">Z83+AC83+AF83+AI83</f>
        <v>559569.35</v>
      </c>
      <c r="AT83" s="352">
        <f t="shared" si="265"/>
        <v>0</v>
      </c>
      <c r="AU83" s="465">
        <f t="shared" ref="AU83:AU89" si="266">AS83-AT83</f>
        <v>559569.35</v>
      </c>
      <c r="AV83" s="600">
        <f t="shared" ref="AV83:AV89" si="267">L83-AS83</f>
        <v>0</v>
      </c>
      <c r="AW83" s="464">
        <f t="shared" ref="AW83:BT83" si="268">SUM(AW84:AW89)</f>
        <v>0</v>
      </c>
      <c r="AX83" s="352">
        <f t="shared" si="268"/>
        <v>0</v>
      </c>
      <c r="AY83" s="352">
        <f t="shared" si="268"/>
        <v>559569.35</v>
      </c>
      <c r="AZ83" s="352">
        <f t="shared" si="268"/>
        <v>0</v>
      </c>
      <c r="BA83" s="352">
        <f t="shared" si="268"/>
        <v>0</v>
      </c>
      <c r="BB83" s="353">
        <f t="shared" si="268"/>
        <v>0</v>
      </c>
      <c r="BC83" s="464">
        <f t="shared" si="268"/>
        <v>0</v>
      </c>
      <c r="BD83" s="352">
        <f t="shared" si="268"/>
        <v>0</v>
      </c>
      <c r="BE83" s="352">
        <f t="shared" si="268"/>
        <v>0</v>
      </c>
      <c r="BF83" s="352">
        <f t="shared" si="268"/>
        <v>0</v>
      </c>
      <c r="BG83" s="352">
        <f t="shared" si="268"/>
        <v>0</v>
      </c>
      <c r="BH83" s="353">
        <f t="shared" si="268"/>
        <v>0</v>
      </c>
      <c r="BI83" s="464">
        <f t="shared" si="268"/>
        <v>0</v>
      </c>
      <c r="BJ83" s="352">
        <f t="shared" si="268"/>
        <v>0</v>
      </c>
      <c r="BK83" s="352">
        <f t="shared" si="268"/>
        <v>0</v>
      </c>
      <c r="BL83" s="352">
        <f t="shared" si="268"/>
        <v>0</v>
      </c>
      <c r="BM83" s="352">
        <f t="shared" si="268"/>
        <v>0</v>
      </c>
      <c r="BN83" s="353">
        <f t="shared" si="268"/>
        <v>0</v>
      </c>
      <c r="BO83" s="464">
        <f t="shared" si="268"/>
        <v>0</v>
      </c>
      <c r="BP83" s="352">
        <f t="shared" si="268"/>
        <v>0</v>
      </c>
      <c r="BQ83" s="352">
        <f t="shared" si="268"/>
        <v>0</v>
      </c>
      <c r="BR83" s="352">
        <f t="shared" si="268"/>
        <v>0</v>
      </c>
      <c r="BS83" s="352">
        <f t="shared" si="268"/>
        <v>0</v>
      </c>
      <c r="BT83" s="465">
        <f t="shared" si="268"/>
        <v>0</v>
      </c>
    </row>
    <row r="84" spans="1:72" s="313" customFormat="1" ht="38.25" customHeight="1" outlineLevel="2">
      <c r="A84" s="287">
        <v>72</v>
      </c>
      <c r="B84" s="933"/>
      <c r="C84" s="840"/>
      <c r="D84" s="841" t="s">
        <v>271</v>
      </c>
      <c r="E84" s="839"/>
      <c r="F84" s="821" t="s">
        <v>7</v>
      </c>
      <c r="G84" s="314">
        <v>4</v>
      </c>
      <c r="H84" s="739" t="s">
        <v>70</v>
      </c>
      <c r="I84" s="739">
        <v>244</v>
      </c>
      <c r="J84" s="740">
        <v>226</v>
      </c>
      <c r="K84" s="533" t="s">
        <v>285</v>
      </c>
      <c r="L84" s="1004">
        <v>340187.83</v>
      </c>
      <c r="M84" s="318"/>
      <c r="N84" s="318"/>
      <c r="O84" s="318">
        <f t="shared" si="252"/>
        <v>340187.83</v>
      </c>
      <c r="P84" s="562"/>
      <c r="Q84" s="336">
        <v>2256788.4500000002</v>
      </c>
      <c r="R84" s="562"/>
      <c r="S84" s="336">
        <v>2150208.7400000002</v>
      </c>
      <c r="T84" s="562"/>
      <c r="U84" s="466"/>
      <c r="V84" s="320"/>
      <c r="W84" s="320"/>
      <c r="X84" s="320"/>
      <c r="Z84" s="336">
        <f t="shared" si="253"/>
        <v>340187.83</v>
      </c>
      <c r="AA84" s="337">
        <f t="shared" si="253"/>
        <v>0</v>
      </c>
      <c r="AB84" s="338">
        <f t="shared" si="254"/>
        <v>340187.83</v>
      </c>
      <c r="AC84" s="336">
        <f t="shared" si="255"/>
        <v>0</v>
      </c>
      <c r="AD84" s="337">
        <f t="shared" si="255"/>
        <v>0</v>
      </c>
      <c r="AE84" s="338">
        <f t="shared" si="256"/>
        <v>0</v>
      </c>
      <c r="AF84" s="336">
        <f t="shared" si="257"/>
        <v>0</v>
      </c>
      <c r="AG84" s="337">
        <f t="shared" si="257"/>
        <v>0</v>
      </c>
      <c r="AH84" s="338">
        <f t="shared" si="258"/>
        <v>0</v>
      </c>
      <c r="AI84" s="336">
        <f t="shared" si="259"/>
        <v>0</v>
      </c>
      <c r="AJ84" s="337">
        <f t="shared" si="259"/>
        <v>0</v>
      </c>
      <c r="AK84" s="338">
        <f t="shared" si="260"/>
        <v>0</v>
      </c>
      <c r="AL84" s="342"/>
      <c r="AM84" s="336">
        <f t="shared" si="261"/>
        <v>340187.83</v>
      </c>
      <c r="AN84" s="339">
        <f t="shared" si="261"/>
        <v>0</v>
      </c>
      <c r="AO84" s="340">
        <f t="shared" si="262"/>
        <v>340187.83</v>
      </c>
      <c r="AP84" s="336">
        <f t="shared" si="263"/>
        <v>340187.83</v>
      </c>
      <c r="AQ84" s="339">
        <f t="shared" si="263"/>
        <v>0</v>
      </c>
      <c r="AR84" s="340">
        <f t="shared" si="264"/>
        <v>340187.83</v>
      </c>
      <c r="AS84" s="341">
        <f t="shared" si="265"/>
        <v>340187.83</v>
      </c>
      <c r="AT84" s="339">
        <f t="shared" si="265"/>
        <v>0</v>
      </c>
      <c r="AU84" s="340">
        <f t="shared" si="266"/>
        <v>340187.83</v>
      </c>
      <c r="AV84" s="589">
        <f t="shared" si="267"/>
        <v>0</v>
      </c>
      <c r="AW84" s="343"/>
      <c r="AX84" s="344"/>
      <c r="AY84" s="345">
        <v>340187.83</v>
      </c>
      <c r="AZ84" s="344"/>
      <c r="BA84" s="345"/>
      <c r="BB84" s="346"/>
      <c r="BC84" s="347"/>
      <c r="BD84" s="348"/>
      <c r="BE84" s="349"/>
      <c r="BF84" s="348"/>
      <c r="BG84" s="349"/>
      <c r="BH84" s="350"/>
      <c r="BI84" s="351"/>
      <c r="BJ84" s="352"/>
      <c r="BK84" s="337"/>
      <c r="BL84" s="352"/>
      <c r="BM84" s="337"/>
      <c r="BN84" s="353"/>
      <c r="BO84" s="354"/>
      <c r="BP84" s="355"/>
      <c r="BQ84" s="356"/>
      <c r="BR84" s="355"/>
      <c r="BS84" s="356"/>
      <c r="BT84" s="357"/>
    </row>
    <row r="85" spans="1:72" s="313" customFormat="1" ht="25.5" customHeight="1" outlineLevel="2">
      <c r="A85" s="287">
        <v>73</v>
      </c>
      <c r="B85" s="933"/>
      <c r="C85" s="840"/>
      <c r="D85" s="841" t="s">
        <v>271</v>
      </c>
      <c r="E85" s="839"/>
      <c r="F85" s="821" t="s">
        <v>7</v>
      </c>
      <c r="G85" s="314">
        <v>4</v>
      </c>
      <c r="H85" s="739" t="s">
        <v>70</v>
      </c>
      <c r="I85" s="739">
        <v>244</v>
      </c>
      <c r="J85" s="740">
        <v>226</v>
      </c>
      <c r="K85" s="533" t="s">
        <v>286</v>
      </c>
      <c r="L85" s="1004">
        <v>112266.67</v>
      </c>
      <c r="M85" s="318"/>
      <c r="N85" s="318"/>
      <c r="O85" s="318">
        <f t="shared" si="252"/>
        <v>112266.67</v>
      </c>
      <c r="P85" s="562"/>
      <c r="Q85" s="336"/>
      <c r="R85" s="562"/>
      <c r="S85" s="336"/>
      <c r="T85" s="562"/>
      <c r="U85" s="466"/>
      <c r="V85" s="320"/>
      <c r="W85" s="320"/>
      <c r="X85" s="320"/>
      <c r="Z85" s="336">
        <f t="shared" si="253"/>
        <v>112266.67</v>
      </c>
      <c r="AA85" s="337">
        <f t="shared" si="253"/>
        <v>0</v>
      </c>
      <c r="AB85" s="338">
        <f t="shared" si="254"/>
        <v>112266.67</v>
      </c>
      <c r="AC85" s="336">
        <f t="shared" si="255"/>
        <v>0</v>
      </c>
      <c r="AD85" s="337">
        <f t="shared" si="255"/>
        <v>0</v>
      </c>
      <c r="AE85" s="338">
        <f t="shared" si="256"/>
        <v>0</v>
      </c>
      <c r="AF85" s="336">
        <f t="shared" si="257"/>
        <v>0</v>
      </c>
      <c r="AG85" s="337">
        <f t="shared" si="257"/>
        <v>0</v>
      </c>
      <c r="AH85" s="338">
        <f t="shared" si="258"/>
        <v>0</v>
      </c>
      <c r="AI85" s="336">
        <f t="shared" si="259"/>
        <v>0</v>
      </c>
      <c r="AJ85" s="337">
        <f t="shared" si="259"/>
        <v>0</v>
      </c>
      <c r="AK85" s="338">
        <f t="shared" si="260"/>
        <v>0</v>
      </c>
      <c r="AL85" s="342"/>
      <c r="AM85" s="336">
        <f t="shared" si="261"/>
        <v>112266.67</v>
      </c>
      <c r="AN85" s="339">
        <f t="shared" si="261"/>
        <v>0</v>
      </c>
      <c r="AO85" s="340">
        <f t="shared" si="262"/>
        <v>112266.67</v>
      </c>
      <c r="AP85" s="336">
        <f t="shared" si="263"/>
        <v>112266.67</v>
      </c>
      <c r="AQ85" s="339">
        <f t="shared" si="263"/>
        <v>0</v>
      </c>
      <c r="AR85" s="340">
        <f t="shared" si="264"/>
        <v>112266.67</v>
      </c>
      <c r="AS85" s="341">
        <f t="shared" si="265"/>
        <v>112266.67</v>
      </c>
      <c r="AT85" s="339">
        <f t="shared" si="265"/>
        <v>0</v>
      </c>
      <c r="AU85" s="340">
        <f t="shared" si="266"/>
        <v>112266.67</v>
      </c>
      <c r="AV85" s="589">
        <f t="shared" si="267"/>
        <v>0</v>
      </c>
      <c r="AW85" s="343"/>
      <c r="AX85" s="344"/>
      <c r="AY85" s="345">
        <v>112266.67</v>
      </c>
      <c r="AZ85" s="344"/>
      <c r="BA85" s="345"/>
      <c r="BB85" s="346"/>
      <c r="BC85" s="347"/>
      <c r="BD85" s="348"/>
      <c r="BE85" s="349"/>
      <c r="BF85" s="348"/>
      <c r="BG85" s="349"/>
      <c r="BH85" s="350"/>
      <c r="BI85" s="351"/>
      <c r="BJ85" s="352"/>
      <c r="BK85" s="337"/>
      <c r="BL85" s="352"/>
      <c r="BM85" s="337"/>
      <c r="BN85" s="353"/>
      <c r="BO85" s="354"/>
      <c r="BP85" s="355"/>
      <c r="BQ85" s="356"/>
      <c r="BR85" s="355"/>
      <c r="BS85" s="356"/>
      <c r="BT85" s="357"/>
    </row>
    <row r="86" spans="1:72" s="313" customFormat="1" ht="25.5" customHeight="1" outlineLevel="2">
      <c r="A86" s="287">
        <v>74</v>
      </c>
      <c r="B86" s="933"/>
      <c r="C86" s="840"/>
      <c r="D86" s="841" t="s">
        <v>271</v>
      </c>
      <c r="E86" s="839"/>
      <c r="F86" s="821" t="s">
        <v>7</v>
      </c>
      <c r="G86" s="314">
        <v>4</v>
      </c>
      <c r="H86" s="739" t="s">
        <v>70</v>
      </c>
      <c r="I86" s="739">
        <v>244</v>
      </c>
      <c r="J86" s="740">
        <v>226</v>
      </c>
      <c r="K86" s="533" t="s">
        <v>287</v>
      </c>
      <c r="L86" s="1004">
        <v>74054.95</v>
      </c>
      <c r="M86" s="318"/>
      <c r="N86" s="318"/>
      <c r="O86" s="318">
        <f t="shared" si="252"/>
        <v>74054.95</v>
      </c>
      <c r="P86" s="562"/>
      <c r="Q86" s="336"/>
      <c r="R86" s="562"/>
      <c r="S86" s="336"/>
      <c r="T86" s="562"/>
      <c r="U86" s="466"/>
      <c r="V86" s="320"/>
      <c r="W86" s="320"/>
      <c r="X86" s="320"/>
      <c r="Z86" s="336">
        <f t="shared" si="253"/>
        <v>74054.95</v>
      </c>
      <c r="AA86" s="337">
        <f t="shared" si="253"/>
        <v>0</v>
      </c>
      <c r="AB86" s="338">
        <f t="shared" si="254"/>
        <v>74054.95</v>
      </c>
      <c r="AC86" s="336">
        <f t="shared" si="255"/>
        <v>0</v>
      </c>
      <c r="AD86" s="337">
        <f t="shared" si="255"/>
        <v>0</v>
      </c>
      <c r="AE86" s="338">
        <f t="shared" si="256"/>
        <v>0</v>
      </c>
      <c r="AF86" s="336">
        <f t="shared" si="257"/>
        <v>0</v>
      </c>
      <c r="AG86" s="337">
        <f t="shared" si="257"/>
        <v>0</v>
      </c>
      <c r="AH86" s="338">
        <f t="shared" si="258"/>
        <v>0</v>
      </c>
      <c r="AI86" s="336">
        <f t="shared" si="259"/>
        <v>0</v>
      </c>
      <c r="AJ86" s="337">
        <f t="shared" si="259"/>
        <v>0</v>
      </c>
      <c r="AK86" s="338">
        <f t="shared" si="260"/>
        <v>0</v>
      </c>
      <c r="AL86" s="342"/>
      <c r="AM86" s="336">
        <f t="shared" si="261"/>
        <v>74054.95</v>
      </c>
      <c r="AN86" s="339">
        <f t="shared" si="261"/>
        <v>0</v>
      </c>
      <c r="AO86" s="340">
        <f t="shared" si="262"/>
        <v>74054.95</v>
      </c>
      <c r="AP86" s="336">
        <f t="shared" si="263"/>
        <v>74054.95</v>
      </c>
      <c r="AQ86" s="339">
        <f t="shared" si="263"/>
        <v>0</v>
      </c>
      <c r="AR86" s="340">
        <f t="shared" si="264"/>
        <v>74054.95</v>
      </c>
      <c r="AS86" s="341">
        <f t="shared" si="265"/>
        <v>74054.95</v>
      </c>
      <c r="AT86" s="339">
        <f t="shared" si="265"/>
        <v>0</v>
      </c>
      <c r="AU86" s="340">
        <f t="shared" si="266"/>
        <v>74054.95</v>
      </c>
      <c r="AV86" s="589">
        <f t="shared" si="267"/>
        <v>0</v>
      </c>
      <c r="AW86" s="343"/>
      <c r="AX86" s="344"/>
      <c r="AY86" s="345">
        <v>74054.95</v>
      </c>
      <c r="AZ86" s="344"/>
      <c r="BA86" s="345"/>
      <c r="BB86" s="346"/>
      <c r="BC86" s="347"/>
      <c r="BD86" s="348"/>
      <c r="BE86" s="349"/>
      <c r="BF86" s="348"/>
      <c r="BG86" s="349"/>
      <c r="BH86" s="350"/>
      <c r="BI86" s="351"/>
      <c r="BJ86" s="352"/>
      <c r="BK86" s="337"/>
      <c r="BL86" s="352"/>
      <c r="BM86" s="337"/>
      <c r="BN86" s="353"/>
      <c r="BO86" s="354"/>
      <c r="BP86" s="355"/>
      <c r="BQ86" s="356"/>
      <c r="BR86" s="355"/>
      <c r="BS86" s="356"/>
      <c r="BT86" s="357"/>
    </row>
    <row r="87" spans="1:72" s="313" customFormat="1" ht="25.5" customHeight="1" outlineLevel="2">
      <c r="A87" s="287">
        <v>75</v>
      </c>
      <c r="B87" s="933"/>
      <c r="C87" s="840"/>
      <c r="D87" s="841" t="s">
        <v>271</v>
      </c>
      <c r="E87" s="839"/>
      <c r="F87" s="821" t="s">
        <v>7</v>
      </c>
      <c r="G87" s="314">
        <v>4</v>
      </c>
      <c r="H87" s="739" t="s">
        <v>70</v>
      </c>
      <c r="I87" s="739">
        <v>244</v>
      </c>
      <c r="J87" s="740">
        <v>226</v>
      </c>
      <c r="K87" s="533" t="s">
        <v>288</v>
      </c>
      <c r="L87" s="1004">
        <v>5000</v>
      </c>
      <c r="M87" s="318"/>
      <c r="N87" s="318"/>
      <c r="O87" s="318">
        <f t="shared" si="252"/>
        <v>5000</v>
      </c>
      <c r="P87" s="562"/>
      <c r="Q87" s="336"/>
      <c r="R87" s="562"/>
      <c r="S87" s="336"/>
      <c r="T87" s="562"/>
      <c r="U87" s="466"/>
      <c r="V87" s="320"/>
      <c r="W87" s="320"/>
      <c r="X87" s="320"/>
      <c r="Z87" s="336">
        <f t="shared" si="253"/>
        <v>5000</v>
      </c>
      <c r="AA87" s="337">
        <f t="shared" si="253"/>
        <v>0</v>
      </c>
      <c r="AB87" s="338">
        <f t="shared" si="254"/>
        <v>5000</v>
      </c>
      <c r="AC87" s="336">
        <f t="shared" si="255"/>
        <v>0</v>
      </c>
      <c r="AD87" s="337">
        <f t="shared" si="255"/>
        <v>0</v>
      </c>
      <c r="AE87" s="338">
        <f t="shared" si="256"/>
        <v>0</v>
      </c>
      <c r="AF87" s="336">
        <f t="shared" si="257"/>
        <v>0</v>
      </c>
      <c r="AG87" s="337">
        <f t="shared" si="257"/>
        <v>0</v>
      </c>
      <c r="AH87" s="338">
        <f t="shared" si="258"/>
        <v>0</v>
      </c>
      <c r="AI87" s="336">
        <f t="shared" si="259"/>
        <v>0</v>
      </c>
      <c r="AJ87" s="337">
        <f t="shared" si="259"/>
        <v>0</v>
      </c>
      <c r="AK87" s="338">
        <f t="shared" si="260"/>
        <v>0</v>
      </c>
      <c r="AL87" s="342"/>
      <c r="AM87" s="336">
        <f t="shared" si="261"/>
        <v>5000</v>
      </c>
      <c r="AN87" s="339">
        <f t="shared" si="261"/>
        <v>0</v>
      </c>
      <c r="AO87" s="340">
        <f t="shared" si="262"/>
        <v>5000</v>
      </c>
      <c r="AP87" s="336">
        <f t="shared" si="263"/>
        <v>5000</v>
      </c>
      <c r="AQ87" s="339">
        <f t="shared" si="263"/>
        <v>0</v>
      </c>
      <c r="AR87" s="340">
        <f t="shared" si="264"/>
        <v>5000</v>
      </c>
      <c r="AS87" s="341">
        <f t="shared" si="265"/>
        <v>5000</v>
      </c>
      <c r="AT87" s="339">
        <f t="shared" si="265"/>
        <v>0</v>
      </c>
      <c r="AU87" s="340">
        <f t="shared" si="266"/>
        <v>5000</v>
      </c>
      <c r="AV87" s="589">
        <f t="shared" si="267"/>
        <v>0</v>
      </c>
      <c r="AW87" s="343"/>
      <c r="AX87" s="344"/>
      <c r="AY87" s="345">
        <v>5000</v>
      </c>
      <c r="AZ87" s="344"/>
      <c r="BA87" s="345"/>
      <c r="BB87" s="346"/>
      <c r="BC87" s="347"/>
      <c r="BD87" s="348"/>
      <c r="BE87" s="349"/>
      <c r="BF87" s="348"/>
      <c r="BG87" s="349"/>
      <c r="BH87" s="350"/>
      <c r="BI87" s="351"/>
      <c r="BJ87" s="352"/>
      <c r="BK87" s="337"/>
      <c r="BL87" s="352"/>
      <c r="BM87" s="337"/>
      <c r="BN87" s="353"/>
      <c r="BO87" s="354"/>
      <c r="BP87" s="355"/>
      <c r="BQ87" s="356"/>
      <c r="BR87" s="355"/>
      <c r="BS87" s="356"/>
      <c r="BT87" s="357"/>
    </row>
    <row r="88" spans="1:72" s="313" customFormat="1" ht="25.5" customHeight="1" outlineLevel="2">
      <c r="A88" s="287">
        <v>76</v>
      </c>
      <c r="B88" s="933"/>
      <c r="C88" s="840"/>
      <c r="D88" s="841" t="s">
        <v>271</v>
      </c>
      <c r="E88" s="839"/>
      <c r="F88" s="821" t="s">
        <v>7</v>
      </c>
      <c r="G88" s="314">
        <v>4</v>
      </c>
      <c r="H88" s="739" t="s">
        <v>70</v>
      </c>
      <c r="I88" s="739">
        <v>244</v>
      </c>
      <c r="J88" s="740">
        <v>226</v>
      </c>
      <c r="K88" s="533" t="s">
        <v>289</v>
      </c>
      <c r="L88" s="1004">
        <v>28059.9</v>
      </c>
      <c r="M88" s="318"/>
      <c r="N88" s="318"/>
      <c r="O88" s="318">
        <f t="shared" si="252"/>
        <v>28059.9</v>
      </c>
      <c r="P88" s="562"/>
      <c r="Q88" s="336"/>
      <c r="R88" s="562"/>
      <c r="S88" s="336"/>
      <c r="T88" s="562"/>
      <c r="U88" s="466"/>
      <c r="V88" s="320"/>
      <c r="W88" s="320"/>
      <c r="X88" s="320"/>
      <c r="Z88" s="336">
        <f t="shared" si="253"/>
        <v>28059.9</v>
      </c>
      <c r="AA88" s="337">
        <f t="shared" si="253"/>
        <v>0</v>
      </c>
      <c r="AB88" s="338">
        <f t="shared" si="254"/>
        <v>28059.9</v>
      </c>
      <c r="AC88" s="336">
        <f t="shared" si="255"/>
        <v>0</v>
      </c>
      <c r="AD88" s="337">
        <f t="shared" si="255"/>
        <v>0</v>
      </c>
      <c r="AE88" s="338">
        <f t="shared" si="256"/>
        <v>0</v>
      </c>
      <c r="AF88" s="336">
        <f t="shared" si="257"/>
        <v>0</v>
      </c>
      <c r="AG88" s="337">
        <f t="shared" si="257"/>
        <v>0</v>
      </c>
      <c r="AH88" s="338">
        <f t="shared" si="258"/>
        <v>0</v>
      </c>
      <c r="AI88" s="336">
        <f t="shared" si="259"/>
        <v>0</v>
      </c>
      <c r="AJ88" s="337">
        <f t="shared" si="259"/>
        <v>0</v>
      </c>
      <c r="AK88" s="338">
        <f t="shared" si="260"/>
        <v>0</v>
      </c>
      <c r="AL88" s="342"/>
      <c r="AM88" s="336">
        <f t="shared" si="261"/>
        <v>28059.9</v>
      </c>
      <c r="AN88" s="339">
        <f t="shared" si="261"/>
        <v>0</v>
      </c>
      <c r="AO88" s="340">
        <f t="shared" si="262"/>
        <v>28059.9</v>
      </c>
      <c r="AP88" s="336">
        <f t="shared" si="263"/>
        <v>28059.9</v>
      </c>
      <c r="AQ88" s="339">
        <f t="shared" si="263"/>
        <v>0</v>
      </c>
      <c r="AR88" s="340">
        <f t="shared" si="264"/>
        <v>28059.9</v>
      </c>
      <c r="AS88" s="341">
        <f t="shared" si="265"/>
        <v>28059.9</v>
      </c>
      <c r="AT88" s="339">
        <f t="shared" si="265"/>
        <v>0</v>
      </c>
      <c r="AU88" s="340">
        <f t="shared" si="266"/>
        <v>28059.9</v>
      </c>
      <c r="AV88" s="589">
        <f t="shared" si="267"/>
        <v>0</v>
      </c>
      <c r="AW88" s="343"/>
      <c r="AX88" s="344"/>
      <c r="AY88" s="345">
        <v>28059.9</v>
      </c>
      <c r="AZ88" s="344"/>
      <c r="BA88" s="345"/>
      <c r="BB88" s="346"/>
      <c r="BC88" s="347"/>
      <c r="BD88" s="348"/>
      <c r="BE88" s="349"/>
      <c r="BF88" s="348"/>
      <c r="BG88" s="349"/>
      <c r="BH88" s="350"/>
      <c r="BI88" s="351"/>
      <c r="BJ88" s="352"/>
      <c r="BK88" s="337"/>
      <c r="BL88" s="352"/>
      <c r="BM88" s="337"/>
      <c r="BN88" s="353"/>
      <c r="BO88" s="354"/>
      <c r="BP88" s="355"/>
      <c r="BQ88" s="356"/>
      <c r="BR88" s="355"/>
      <c r="BS88" s="356"/>
      <c r="BT88" s="357"/>
    </row>
    <row r="89" spans="1:72" s="430" customFormat="1" ht="25.5" customHeight="1" outlineLevel="2">
      <c r="A89" s="287">
        <v>77</v>
      </c>
      <c r="B89" s="933"/>
      <c r="C89" s="743"/>
      <c r="D89" s="856" t="s">
        <v>271</v>
      </c>
      <c r="E89" s="857"/>
      <c r="F89" s="827" t="s">
        <v>7</v>
      </c>
      <c r="G89" s="431">
        <v>4</v>
      </c>
      <c r="H89" s="474" t="s">
        <v>70</v>
      </c>
      <c r="I89" s="743">
        <v>244</v>
      </c>
      <c r="J89" s="744">
        <v>226</v>
      </c>
      <c r="K89" s="536" t="s">
        <v>284</v>
      </c>
      <c r="L89" s="443"/>
      <c r="M89" s="434"/>
      <c r="N89" s="434"/>
      <c r="O89" s="434">
        <f t="shared" si="252"/>
        <v>0</v>
      </c>
      <c r="P89" s="563"/>
      <c r="Q89" s="437"/>
      <c r="R89" s="563"/>
      <c r="S89" s="437"/>
      <c r="T89" s="563"/>
      <c r="U89" s="467"/>
      <c r="V89" s="436"/>
      <c r="W89" s="436"/>
      <c r="X89" s="436"/>
      <c r="Z89" s="437">
        <f t="shared" si="253"/>
        <v>0</v>
      </c>
      <c r="AA89" s="438">
        <f t="shared" si="253"/>
        <v>0</v>
      </c>
      <c r="AB89" s="439">
        <f t="shared" si="254"/>
        <v>0</v>
      </c>
      <c r="AC89" s="437">
        <f t="shared" si="255"/>
        <v>0</v>
      </c>
      <c r="AD89" s="438">
        <f t="shared" si="255"/>
        <v>0</v>
      </c>
      <c r="AE89" s="439">
        <f t="shared" si="256"/>
        <v>0</v>
      </c>
      <c r="AF89" s="437">
        <f t="shared" si="257"/>
        <v>0</v>
      </c>
      <c r="AG89" s="438">
        <f t="shared" si="257"/>
        <v>0</v>
      </c>
      <c r="AH89" s="439">
        <f t="shared" si="258"/>
        <v>0</v>
      </c>
      <c r="AI89" s="437">
        <f t="shared" si="259"/>
        <v>0</v>
      </c>
      <c r="AJ89" s="438">
        <f t="shared" si="259"/>
        <v>0</v>
      </c>
      <c r="AK89" s="439">
        <f t="shared" si="260"/>
        <v>0</v>
      </c>
      <c r="AL89" s="440"/>
      <c r="AM89" s="437">
        <f t="shared" si="261"/>
        <v>0</v>
      </c>
      <c r="AN89" s="441">
        <f t="shared" si="261"/>
        <v>0</v>
      </c>
      <c r="AO89" s="442">
        <f t="shared" si="262"/>
        <v>0</v>
      </c>
      <c r="AP89" s="437">
        <f t="shared" si="263"/>
        <v>0</v>
      </c>
      <c r="AQ89" s="441">
        <f t="shared" si="263"/>
        <v>0</v>
      </c>
      <c r="AR89" s="442">
        <f t="shared" si="264"/>
        <v>0</v>
      </c>
      <c r="AS89" s="443">
        <f t="shared" si="265"/>
        <v>0</v>
      </c>
      <c r="AT89" s="441">
        <f t="shared" si="265"/>
        <v>0</v>
      </c>
      <c r="AU89" s="442">
        <f t="shared" si="266"/>
        <v>0</v>
      </c>
      <c r="AV89" s="601">
        <f t="shared" si="267"/>
        <v>0</v>
      </c>
      <c r="AW89" s="444"/>
      <c r="AX89" s="445"/>
      <c r="AY89" s="446"/>
      <c r="AZ89" s="445"/>
      <c r="BA89" s="446"/>
      <c r="BB89" s="447"/>
      <c r="BC89" s="448"/>
      <c r="BD89" s="449"/>
      <c r="BE89" s="450"/>
      <c r="BF89" s="449"/>
      <c r="BG89" s="450"/>
      <c r="BH89" s="451"/>
      <c r="BI89" s="452"/>
      <c r="BJ89" s="453"/>
      <c r="BK89" s="438"/>
      <c r="BL89" s="453"/>
      <c r="BM89" s="438"/>
      <c r="BN89" s="454"/>
      <c r="BO89" s="455"/>
      <c r="BP89" s="456"/>
      <c r="BQ89" s="457"/>
      <c r="BR89" s="456"/>
      <c r="BS89" s="457"/>
      <c r="BT89" s="458"/>
    </row>
    <row r="90" spans="1:72" s="459" customFormat="1" ht="66.75" customHeight="1" outlineLevel="1">
      <c r="A90" s="287">
        <v>78</v>
      </c>
      <c r="B90" s="933"/>
      <c r="C90" s="850" t="s">
        <v>378</v>
      </c>
      <c r="D90" s="854" t="s">
        <v>272</v>
      </c>
      <c r="E90" s="855"/>
      <c r="F90" s="826" t="s">
        <v>7</v>
      </c>
      <c r="G90" s="462">
        <v>4</v>
      </c>
      <c r="H90" s="741" t="s">
        <v>70</v>
      </c>
      <c r="I90" s="741">
        <v>244</v>
      </c>
      <c r="J90" s="742">
        <v>226</v>
      </c>
      <c r="K90" s="535" t="s">
        <v>278</v>
      </c>
      <c r="L90" s="464">
        <v>340187.83</v>
      </c>
      <c r="M90" s="352"/>
      <c r="N90" s="352"/>
      <c r="O90" s="352">
        <f t="shared" si="127"/>
        <v>340187.83</v>
      </c>
      <c r="P90" s="561"/>
      <c r="Q90" s="464"/>
      <c r="R90" s="561"/>
      <c r="S90" s="464"/>
      <c r="T90" s="561"/>
      <c r="U90" s="393"/>
      <c r="V90" s="394"/>
      <c r="W90" s="394"/>
      <c r="X90" s="394"/>
      <c r="Y90" s="392"/>
      <c r="Z90" s="395">
        <f t="shared" si="101"/>
        <v>0</v>
      </c>
      <c r="AA90" s="396">
        <f t="shared" si="101"/>
        <v>0</v>
      </c>
      <c r="AB90" s="397">
        <f t="shared" si="128"/>
        <v>0</v>
      </c>
      <c r="AC90" s="395">
        <f t="shared" si="102"/>
        <v>0</v>
      </c>
      <c r="AD90" s="396">
        <f t="shared" si="102"/>
        <v>0</v>
      </c>
      <c r="AE90" s="397">
        <f t="shared" si="129"/>
        <v>0</v>
      </c>
      <c r="AF90" s="395">
        <f t="shared" si="103"/>
        <v>340187.83</v>
      </c>
      <c r="AG90" s="396">
        <f t="shared" si="103"/>
        <v>0</v>
      </c>
      <c r="AH90" s="397">
        <f t="shared" si="130"/>
        <v>340187.83</v>
      </c>
      <c r="AI90" s="395">
        <f t="shared" si="104"/>
        <v>0</v>
      </c>
      <c r="AJ90" s="396">
        <f t="shared" si="104"/>
        <v>0</v>
      </c>
      <c r="AK90" s="397">
        <f t="shared" si="131"/>
        <v>0</v>
      </c>
      <c r="AL90" s="398"/>
      <c r="AM90" s="464">
        <f t="shared" si="105"/>
        <v>0</v>
      </c>
      <c r="AN90" s="352">
        <f t="shared" si="105"/>
        <v>0</v>
      </c>
      <c r="AO90" s="465">
        <f t="shared" si="132"/>
        <v>0</v>
      </c>
      <c r="AP90" s="464">
        <f t="shared" si="106"/>
        <v>340187.83</v>
      </c>
      <c r="AQ90" s="352">
        <f t="shared" si="106"/>
        <v>0</v>
      </c>
      <c r="AR90" s="465">
        <f t="shared" si="133"/>
        <v>340187.83</v>
      </c>
      <c r="AS90" s="464">
        <f t="shared" ref="AS90:AT134" si="269">Z90+AC90+AF90+AI90</f>
        <v>340187.83</v>
      </c>
      <c r="AT90" s="352">
        <f t="shared" si="269"/>
        <v>0</v>
      </c>
      <c r="AU90" s="465">
        <f t="shared" si="134"/>
        <v>340187.83</v>
      </c>
      <c r="AV90" s="600">
        <f t="shared" si="135"/>
        <v>0</v>
      </c>
      <c r="AW90" s="464">
        <f t="shared" ref="AW90:BT90" si="270">SUM(AW91:AW92)</f>
        <v>0</v>
      </c>
      <c r="AX90" s="352">
        <f t="shared" si="270"/>
        <v>0</v>
      </c>
      <c r="AY90" s="352">
        <f t="shared" si="270"/>
        <v>0</v>
      </c>
      <c r="AZ90" s="352">
        <f t="shared" si="270"/>
        <v>0</v>
      </c>
      <c r="BA90" s="352">
        <f t="shared" si="270"/>
        <v>0</v>
      </c>
      <c r="BB90" s="353">
        <f t="shared" si="270"/>
        <v>0</v>
      </c>
      <c r="BC90" s="464">
        <f t="shared" si="270"/>
        <v>0</v>
      </c>
      <c r="BD90" s="352">
        <f t="shared" si="270"/>
        <v>0</v>
      </c>
      <c r="BE90" s="352">
        <f t="shared" si="270"/>
        <v>0</v>
      </c>
      <c r="BF90" s="352">
        <f t="shared" si="270"/>
        <v>0</v>
      </c>
      <c r="BG90" s="352">
        <f t="shared" si="270"/>
        <v>0</v>
      </c>
      <c r="BH90" s="353">
        <f t="shared" si="270"/>
        <v>0</v>
      </c>
      <c r="BI90" s="464">
        <f t="shared" si="270"/>
        <v>0</v>
      </c>
      <c r="BJ90" s="352">
        <f t="shared" si="270"/>
        <v>0</v>
      </c>
      <c r="BK90" s="352">
        <f t="shared" si="270"/>
        <v>100000</v>
      </c>
      <c r="BL90" s="352">
        <f t="shared" si="270"/>
        <v>0</v>
      </c>
      <c r="BM90" s="352">
        <f t="shared" si="270"/>
        <v>240187.83</v>
      </c>
      <c r="BN90" s="353">
        <f t="shared" si="270"/>
        <v>0</v>
      </c>
      <c r="BO90" s="464">
        <f t="shared" si="270"/>
        <v>0</v>
      </c>
      <c r="BP90" s="352">
        <f t="shared" si="270"/>
        <v>0</v>
      </c>
      <c r="BQ90" s="352">
        <f t="shared" si="270"/>
        <v>0</v>
      </c>
      <c r="BR90" s="352">
        <f t="shared" si="270"/>
        <v>0</v>
      </c>
      <c r="BS90" s="352">
        <f t="shared" si="270"/>
        <v>0</v>
      </c>
      <c r="BT90" s="465">
        <f t="shared" si="270"/>
        <v>0</v>
      </c>
    </row>
    <row r="91" spans="1:72" s="313" customFormat="1" ht="38.25" customHeight="1" outlineLevel="2">
      <c r="A91" s="287">
        <v>79</v>
      </c>
      <c r="B91" s="933"/>
      <c r="C91" s="840"/>
      <c r="D91" s="841" t="s">
        <v>272</v>
      </c>
      <c r="E91" s="839"/>
      <c r="F91" s="821" t="s">
        <v>7</v>
      </c>
      <c r="G91" s="314">
        <v>4</v>
      </c>
      <c r="H91" s="739" t="s">
        <v>70</v>
      </c>
      <c r="I91" s="739">
        <v>244</v>
      </c>
      <c r="J91" s="740">
        <v>226</v>
      </c>
      <c r="K91" s="533" t="s">
        <v>291</v>
      </c>
      <c r="L91" s="1004">
        <v>340187.83</v>
      </c>
      <c r="M91" s="318"/>
      <c r="N91" s="318"/>
      <c r="O91" s="318">
        <f t="shared" si="127"/>
        <v>340187.83</v>
      </c>
      <c r="P91" s="562"/>
      <c r="Q91" s="336"/>
      <c r="R91" s="562"/>
      <c r="S91" s="336"/>
      <c r="T91" s="562"/>
      <c r="U91" s="466"/>
      <c r="V91" s="320"/>
      <c r="W91" s="320"/>
      <c r="X91" s="320"/>
      <c r="Z91" s="336">
        <f t="shared" si="101"/>
        <v>0</v>
      </c>
      <c r="AA91" s="337">
        <f t="shared" si="101"/>
        <v>0</v>
      </c>
      <c r="AB91" s="338">
        <f t="shared" si="128"/>
        <v>0</v>
      </c>
      <c r="AC91" s="336">
        <f t="shared" si="102"/>
        <v>0</v>
      </c>
      <c r="AD91" s="337">
        <f t="shared" si="102"/>
        <v>0</v>
      </c>
      <c r="AE91" s="338">
        <f t="shared" si="129"/>
        <v>0</v>
      </c>
      <c r="AF91" s="336">
        <f t="shared" si="103"/>
        <v>340187.83</v>
      </c>
      <c r="AG91" s="337">
        <f t="shared" si="103"/>
        <v>0</v>
      </c>
      <c r="AH91" s="338">
        <f t="shared" si="130"/>
        <v>340187.83</v>
      </c>
      <c r="AI91" s="336">
        <f t="shared" si="104"/>
        <v>0</v>
      </c>
      <c r="AJ91" s="337">
        <f t="shared" si="104"/>
        <v>0</v>
      </c>
      <c r="AK91" s="338">
        <f t="shared" si="131"/>
        <v>0</v>
      </c>
      <c r="AL91" s="342"/>
      <c r="AM91" s="336">
        <f t="shared" si="105"/>
        <v>0</v>
      </c>
      <c r="AN91" s="339">
        <f t="shared" si="105"/>
        <v>0</v>
      </c>
      <c r="AO91" s="340">
        <f t="shared" si="132"/>
        <v>0</v>
      </c>
      <c r="AP91" s="336">
        <f t="shared" si="106"/>
        <v>340187.83</v>
      </c>
      <c r="AQ91" s="339">
        <f t="shared" si="106"/>
        <v>0</v>
      </c>
      <c r="AR91" s="340">
        <f t="shared" si="133"/>
        <v>340187.83</v>
      </c>
      <c r="AS91" s="341">
        <f t="shared" si="269"/>
        <v>340187.83</v>
      </c>
      <c r="AT91" s="339">
        <f t="shared" si="269"/>
        <v>0</v>
      </c>
      <c r="AU91" s="340">
        <f t="shared" si="134"/>
        <v>340187.83</v>
      </c>
      <c r="AV91" s="589">
        <f t="shared" si="135"/>
        <v>0</v>
      </c>
      <c r="AW91" s="343"/>
      <c r="AX91" s="344"/>
      <c r="AY91" s="345"/>
      <c r="AZ91" s="344"/>
      <c r="BA91" s="345"/>
      <c r="BB91" s="346"/>
      <c r="BC91" s="347"/>
      <c r="BD91" s="348"/>
      <c r="BE91" s="349"/>
      <c r="BF91" s="348"/>
      <c r="BG91" s="349"/>
      <c r="BH91" s="350"/>
      <c r="BI91" s="351"/>
      <c r="BJ91" s="352"/>
      <c r="BK91" s="337">
        <v>100000</v>
      </c>
      <c r="BL91" s="352"/>
      <c r="BM91" s="337">
        <v>240187.83</v>
      </c>
      <c r="BN91" s="353"/>
      <c r="BO91" s="354"/>
      <c r="BP91" s="355"/>
      <c r="BQ91" s="356"/>
      <c r="BR91" s="355"/>
      <c r="BS91" s="356"/>
      <c r="BT91" s="357"/>
    </row>
    <row r="92" spans="1:72" s="430" customFormat="1" ht="25.5" customHeight="1" outlineLevel="2">
      <c r="A92" s="287">
        <v>80</v>
      </c>
      <c r="B92" s="933"/>
      <c r="C92" s="743"/>
      <c r="D92" s="856" t="s">
        <v>272</v>
      </c>
      <c r="E92" s="857"/>
      <c r="F92" s="827" t="s">
        <v>7</v>
      </c>
      <c r="G92" s="431">
        <v>4</v>
      </c>
      <c r="H92" s="474" t="s">
        <v>70</v>
      </c>
      <c r="I92" s="743">
        <v>244</v>
      </c>
      <c r="J92" s="744">
        <v>226</v>
      </c>
      <c r="K92" s="536" t="s">
        <v>284</v>
      </c>
      <c r="L92" s="443"/>
      <c r="M92" s="434"/>
      <c r="N92" s="434"/>
      <c r="O92" s="434">
        <f t="shared" si="127"/>
        <v>0</v>
      </c>
      <c r="P92" s="563"/>
      <c r="Q92" s="437"/>
      <c r="R92" s="563"/>
      <c r="S92" s="437"/>
      <c r="T92" s="563"/>
      <c r="U92" s="467"/>
      <c r="V92" s="436"/>
      <c r="W92" s="436"/>
      <c r="X92" s="436"/>
      <c r="Z92" s="437">
        <f t="shared" ref="Z92:AA132" si="271">AW92+AY92+BA92</f>
        <v>0</v>
      </c>
      <c r="AA92" s="438">
        <f t="shared" si="271"/>
        <v>0</v>
      </c>
      <c r="AB92" s="439">
        <f t="shared" si="128"/>
        <v>0</v>
      </c>
      <c r="AC92" s="437">
        <f t="shared" ref="AC92:AD132" si="272">BC92+BE92+BG92</f>
        <v>0</v>
      </c>
      <c r="AD92" s="438">
        <f t="shared" si="272"/>
        <v>0</v>
      </c>
      <c r="AE92" s="439">
        <f t="shared" si="129"/>
        <v>0</v>
      </c>
      <c r="AF92" s="437">
        <f t="shared" ref="AF92:AG132" si="273">BI92+BK92+BM92</f>
        <v>0</v>
      </c>
      <c r="AG92" s="438">
        <f t="shared" si="273"/>
        <v>0</v>
      </c>
      <c r="AH92" s="439">
        <f t="shared" si="130"/>
        <v>0</v>
      </c>
      <c r="AI92" s="437">
        <f t="shared" ref="AI92:AJ132" si="274">BO92+BQ92+BS92</f>
        <v>0</v>
      </c>
      <c r="AJ92" s="438">
        <f t="shared" si="274"/>
        <v>0</v>
      </c>
      <c r="AK92" s="439">
        <f t="shared" si="131"/>
        <v>0</v>
      </c>
      <c r="AL92" s="440"/>
      <c r="AM92" s="437">
        <f t="shared" ref="AM92:AN132" si="275">Z92+AC92</f>
        <v>0</v>
      </c>
      <c r="AN92" s="441">
        <f t="shared" si="275"/>
        <v>0</v>
      </c>
      <c r="AO92" s="442">
        <f t="shared" si="132"/>
        <v>0</v>
      </c>
      <c r="AP92" s="437">
        <f t="shared" ref="AP92:AQ132" si="276">Z92+AC92+AF92</f>
        <v>0</v>
      </c>
      <c r="AQ92" s="441">
        <f t="shared" si="276"/>
        <v>0</v>
      </c>
      <c r="AR92" s="442">
        <f t="shared" si="133"/>
        <v>0</v>
      </c>
      <c r="AS92" s="443">
        <f t="shared" si="269"/>
        <v>0</v>
      </c>
      <c r="AT92" s="441">
        <f t="shared" si="269"/>
        <v>0</v>
      </c>
      <c r="AU92" s="442">
        <f t="shared" si="134"/>
        <v>0</v>
      </c>
      <c r="AV92" s="601">
        <f t="shared" si="135"/>
        <v>0</v>
      </c>
      <c r="AW92" s="444"/>
      <c r="AX92" s="445"/>
      <c r="AY92" s="446"/>
      <c r="AZ92" s="445"/>
      <c r="BA92" s="446"/>
      <c r="BB92" s="447"/>
      <c r="BC92" s="448"/>
      <c r="BD92" s="449"/>
      <c r="BE92" s="450"/>
      <c r="BF92" s="449"/>
      <c r="BG92" s="450"/>
      <c r="BH92" s="451"/>
      <c r="BI92" s="452"/>
      <c r="BJ92" s="453"/>
      <c r="BK92" s="438"/>
      <c r="BL92" s="453"/>
      <c r="BM92" s="438"/>
      <c r="BN92" s="454"/>
      <c r="BO92" s="455"/>
      <c r="BP92" s="456"/>
      <c r="BQ92" s="457"/>
      <c r="BR92" s="456"/>
      <c r="BS92" s="457"/>
      <c r="BT92" s="458"/>
    </row>
    <row r="93" spans="1:72" s="468" customFormat="1" ht="66.75" customHeight="1" outlineLevel="1">
      <c r="A93" s="287">
        <v>81</v>
      </c>
      <c r="B93" s="933"/>
      <c r="C93" s="850" t="s">
        <v>378</v>
      </c>
      <c r="D93" s="854" t="s">
        <v>276</v>
      </c>
      <c r="E93" s="858"/>
      <c r="F93" s="828" t="s">
        <v>7</v>
      </c>
      <c r="G93" s="469">
        <v>4</v>
      </c>
      <c r="H93" s="745" t="s">
        <v>70</v>
      </c>
      <c r="I93" s="745">
        <v>244</v>
      </c>
      <c r="J93" s="746">
        <v>226</v>
      </c>
      <c r="K93" s="537" t="s">
        <v>281</v>
      </c>
      <c r="L93" s="472">
        <v>421906.7</v>
      </c>
      <c r="M93" s="422"/>
      <c r="N93" s="422"/>
      <c r="O93" s="422">
        <f t="shared" si="127"/>
        <v>421906.7</v>
      </c>
      <c r="P93" s="564">
        <v>741617.76</v>
      </c>
      <c r="Q93" s="472"/>
      <c r="R93" s="564"/>
      <c r="S93" s="472"/>
      <c r="T93" s="564"/>
      <c r="U93" s="393"/>
      <c r="V93" s="394"/>
      <c r="W93" s="394"/>
      <c r="X93" s="394"/>
      <c r="Y93" s="392"/>
      <c r="Z93" s="395">
        <f t="shared" si="271"/>
        <v>0</v>
      </c>
      <c r="AA93" s="396">
        <f t="shared" si="271"/>
        <v>0</v>
      </c>
      <c r="AB93" s="397">
        <f t="shared" si="128"/>
        <v>0</v>
      </c>
      <c r="AC93" s="395">
        <f t="shared" si="272"/>
        <v>0</v>
      </c>
      <c r="AD93" s="396">
        <f t="shared" si="272"/>
        <v>0</v>
      </c>
      <c r="AE93" s="397">
        <f t="shared" si="129"/>
        <v>0</v>
      </c>
      <c r="AF93" s="395">
        <f t="shared" si="273"/>
        <v>0</v>
      </c>
      <c r="AG93" s="396">
        <f t="shared" si="273"/>
        <v>0</v>
      </c>
      <c r="AH93" s="397">
        <f t="shared" si="130"/>
        <v>0</v>
      </c>
      <c r="AI93" s="395">
        <f t="shared" si="274"/>
        <v>421906.7</v>
      </c>
      <c r="AJ93" s="396">
        <f t="shared" si="274"/>
        <v>0</v>
      </c>
      <c r="AK93" s="397">
        <f t="shared" si="131"/>
        <v>421906.7</v>
      </c>
      <c r="AL93" s="398"/>
      <c r="AM93" s="472">
        <f t="shared" si="275"/>
        <v>0</v>
      </c>
      <c r="AN93" s="422">
        <f t="shared" si="275"/>
        <v>0</v>
      </c>
      <c r="AO93" s="473">
        <f t="shared" si="132"/>
        <v>0</v>
      </c>
      <c r="AP93" s="472">
        <f t="shared" si="276"/>
        <v>0</v>
      </c>
      <c r="AQ93" s="422">
        <f t="shared" si="276"/>
        <v>0</v>
      </c>
      <c r="AR93" s="473">
        <f t="shared" si="133"/>
        <v>0</v>
      </c>
      <c r="AS93" s="472">
        <f t="shared" si="269"/>
        <v>421906.7</v>
      </c>
      <c r="AT93" s="422">
        <f t="shared" si="269"/>
        <v>0</v>
      </c>
      <c r="AU93" s="473">
        <f t="shared" si="134"/>
        <v>421906.7</v>
      </c>
      <c r="AV93" s="602">
        <f t="shared" si="135"/>
        <v>0</v>
      </c>
      <c r="AW93" s="472">
        <f t="shared" ref="AW93:BT93" si="277">SUM(AW94:AW101)</f>
        <v>0</v>
      </c>
      <c r="AX93" s="422">
        <f t="shared" si="277"/>
        <v>0</v>
      </c>
      <c r="AY93" s="422">
        <f t="shared" si="277"/>
        <v>0</v>
      </c>
      <c r="AZ93" s="422">
        <f t="shared" si="277"/>
        <v>0</v>
      </c>
      <c r="BA93" s="422">
        <f t="shared" si="277"/>
        <v>0</v>
      </c>
      <c r="BB93" s="423">
        <f t="shared" si="277"/>
        <v>0</v>
      </c>
      <c r="BC93" s="472">
        <f t="shared" si="277"/>
        <v>0</v>
      </c>
      <c r="BD93" s="422">
        <f t="shared" si="277"/>
        <v>0</v>
      </c>
      <c r="BE93" s="422">
        <f t="shared" si="277"/>
        <v>0</v>
      </c>
      <c r="BF93" s="422">
        <f t="shared" si="277"/>
        <v>0</v>
      </c>
      <c r="BG93" s="422">
        <f t="shared" si="277"/>
        <v>0</v>
      </c>
      <c r="BH93" s="423">
        <f t="shared" si="277"/>
        <v>0</v>
      </c>
      <c r="BI93" s="472">
        <f t="shared" si="277"/>
        <v>0</v>
      </c>
      <c r="BJ93" s="422">
        <f t="shared" si="277"/>
        <v>0</v>
      </c>
      <c r="BK93" s="422">
        <f t="shared" si="277"/>
        <v>0</v>
      </c>
      <c r="BL93" s="422">
        <f t="shared" si="277"/>
        <v>0</v>
      </c>
      <c r="BM93" s="422">
        <f t="shared" si="277"/>
        <v>0</v>
      </c>
      <c r="BN93" s="423">
        <f t="shared" si="277"/>
        <v>0</v>
      </c>
      <c r="BO93" s="472">
        <f t="shared" si="277"/>
        <v>233059.9</v>
      </c>
      <c r="BP93" s="422">
        <f t="shared" si="277"/>
        <v>0</v>
      </c>
      <c r="BQ93" s="422">
        <f t="shared" si="277"/>
        <v>188846.8</v>
      </c>
      <c r="BR93" s="422">
        <f t="shared" si="277"/>
        <v>0</v>
      </c>
      <c r="BS93" s="422">
        <f t="shared" si="277"/>
        <v>0</v>
      </c>
      <c r="BT93" s="473">
        <f t="shared" si="277"/>
        <v>0</v>
      </c>
    </row>
    <row r="94" spans="1:72" s="399" customFormat="1" ht="25.5" customHeight="1" outlineLevel="2">
      <c r="A94" s="287">
        <v>82</v>
      </c>
      <c r="B94" s="933"/>
      <c r="C94" s="859"/>
      <c r="D94" s="841" t="s">
        <v>276</v>
      </c>
      <c r="E94" s="860"/>
      <c r="F94" s="829" t="s">
        <v>7</v>
      </c>
      <c r="G94" s="400">
        <v>4</v>
      </c>
      <c r="H94" s="747" t="s">
        <v>70</v>
      </c>
      <c r="I94" s="747">
        <v>244</v>
      </c>
      <c r="J94" s="748">
        <v>226</v>
      </c>
      <c r="K94" s="538" t="s">
        <v>292</v>
      </c>
      <c r="L94" s="1004">
        <v>388846.8</v>
      </c>
      <c r="M94" s="403"/>
      <c r="N94" s="403"/>
      <c r="O94" s="403">
        <f t="shared" si="127"/>
        <v>388846.8</v>
      </c>
      <c r="P94" s="565">
        <v>0</v>
      </c>
      <c r="Q94" s="406"/>
      <c r="R94" s="565"/>
      <c r="S94" s="406"/>
      <c r="T94" s="565"/>
      <c r="U94" s="428"/>
      <c r="V94" s="405"/>
      <c r="W94" s="405"/>
      <c r="X94" s="405"/>
      <c r="Z94" s="406">
        <f t="shared" si="271"/>
        <v>0</v>
      </c>
      <c r="AA94" s="407">
        <f t="shared" si="271"/>
        <v>0</v>
      </c>
      <c r="AB94" s="408">
        <f t="shared" si="128"/>
        <v>0</v>
      </c>
      <c r="AC94" s="406">
        <f t="shared" si="272"/>
        <v>0</v>
      </c>
      <c r="AD94" s="407">
        <f t="shared" si="272"/>
        <v>0</v>
      </c>
      <c r="AE94" s="408">
        <f t="shared" si="129"/>
        <v>0</v>
      </c>
      <c r="AF94" s="406">
        <f t="shared" si="273"/>
        <v>0</v>
      </c>
      <c r="AG94" s="407">
        <f t="shared" si="273"/>
        <v>0</v>
      </c>
      <c r="AH94" s="408">
        <f t="shared" si="130"/>
        <v>0</v>
      </c>
      <c r="AI94" s="406">
        <f t="shared" si="274"/>
        <v>388846.8</v>
      </c>
      <c r="AJ94" s="407">
        <f t="shared" si="274"/>
        <v>0</v>
      </c>
      <c r="AK94" s="408">
        <f t="shared" si="131"/>
        <v>388846.8</v>
      </c>
      <c r="AL94" s="409"/>
      <c r="AM94" s="406">
        <f t="shared" si="275"/>
        <v>0</v>
      </c>
      <c r="AN94" s="410">
        <f t="shared" si="275"/>
        <v>0</v>
      </c>
      <c r="AO94" s="411">
        <f t="shared" si="132"/>
        <v>0</v>
      </c>
      <c r="AP94" s="406">
        <f t="shared" si="276"/>
        <v>0</v>
      </c>
      <c r="AQ94" s="410">
        <f t="shared" si="276"/>
        <v>0</v>
      </c>
      <c r="AR94" s="411">
        <f t="shared" si="133"/>
        <v>0</v>
      </c>
      <c r="AS94" s="412">
        <f t="shared" si="269"/>
        <v>388846.8</v>
      </c>
      <c r="AT94" s="410">
        <f t="shared" si="269"/>
        <v>0</v>
      </c>
      <c r="AU94" s="411">
        <f t="shared" si="134"/>
        <v>388846.8</v>
      </c>
      <c r="AV94" s="603">
        <f t="shared" si="135"/>
        <v>0</v>
      </c>
      <c r="AW94" s="413"/>
      <c r="AX94" s="414"/>
      <c r="AY94" s="415"/>
      <c r="AZ94" s="414"/>
      <c r="BA94" s="415"/>
      <c r="BB94" s="416"/>
      <c r="BC94" s="417"/>
      <c r="BD94" s="418"/>
      <c r="BE94" s="419"/>
      <c r="BF94" s="418"/>
      <c r="BG94" s="419"/>
      <c r="BH94" s="420"/>
      <c r="BI94" s="421"/>
      <c r="BJ94" s="422"/>
      <c r="BK94" s="407"/>
      <c r="BL94" s="422"/>
      <c r="BM94" s="407"/>
      <c r="BN94" s="423"/>
      <c r="BO94" s="424">
        <v>200000</v>
      </c>
      <c r="BP94" s="425"/>
      <c r="BQ94" s="426">
        <v>188846.8</v>
      </c>
      <c r="BR94" s="425"/>
      <c r="BS94" s="426"/>
      <c r="BT94" s="427"/>
    </row>
    <row r="95" spans="1:72" s="399" customFormat="1" ht="25.5" customHeight="1" outlineLevel="2">
      <c r="A95" s="287">
        <v>83</v>
      </c>
      <c r="B95" s="933"/>
      <c r="C95" s="859"/>
      <c r="D95" s="841" t="s">
        <v>276</v>
      </c>
      <c r="E95" s="860"/>
      <c r="F95" s="829" t="s">
        <v>7</v>
      </c>
      <c r="G95" s="400">
        <v>4</v>
      </c>
      <c r="H95" s="747" t="s">
        <v>70</v>
      </c>
      <c r="I95" s="747">
        <v>244</v>
      </c>
      <c r="J95" s="748">
        <v>226</v>
      </c>
      <c r="K95" s="538" t="s">
        <v>293</v>
      </c>
      <c r="L95" s="1004">
        <v>0</v>
      </c>
      <c r="M95" s="403"/>
      <c r="N95" s="403"/>
      <c r="O95" s="403">
        <f t="shared" si="127"/>
        <v>0</v>
      </c>
      <c r="P95" s="565">
        <v>165393.4</v>
      </c>
      <c r="Q95" s="406"/>
      <c r="R95" s="565"/>
      <c r="S95" s="406"/>
      <c r="T95" s="565"/>
      <c r="U95" s="428"/>
      <c r="V95" s="405"/>
      <c r="W95" s="405"/>
      <c r="X95" s="405"/>
      <c r="Z95" s="406">
        <f t="shared" si="271"/>
        <v>0</v>
      </c>
      <c r="AA95" s="407">
        <f t="shared" si="271"/>
        <v>0</v>
      </c>
      <c r="AB95" s="408">
        <f t="shared" si="128"/>
        <v>0</v>
      </c>
      <c r="AC95" s="406">
        <f t="shared" si="272"/>
        <v>0</v>
      </c>
      <c r="AD95" s="407">
        <f t="shared" si="272"/>
        <v>0</v>
      </c>
      <c r="AE95" s="408">
        <f t="shared" si="129"/>
        <v>0</v>
      </c>
      <c r="AF95" s="406">
        <f t="shared" si="273"/>
        <v>0</v>
      </c>
      <c r="AG95" s="407">
        <f t="shared" si="273"/>
        <v>0</v>
      </c>
      <c r="AH95" s="408">
        <f t="shared" si="130"/>
        <v>0</v>
      </c>
      <c r="AI95" s="406">
        <f t="shared" si="274"/>
        <v>0</v>
      </c>
      <c r="AJ95" s="407">
        <f t="shared" si="274"/>
        <v>0</v>
      </c>
      <c r="AK95" s="408">
        <f t="shared" si="131"/>
        <v>0</v>
      </c>
      <c r="AL95" s="409"/>
      <c r="AM95" s="406">
        <f t="shared" si="275"/>
        <v>0</v>
      </c>
      <c r="AN95" s="410">
        <f t="shared" si="275"/>
        <v>0</v>
      </c>
      <c r="AO95" s="411">
        <f t="shared" si="132"/>
        <v>0</v>
      </c>
      <c r="AP95" s="406">
        <f t="shared" si="276"/>
        <v>0</v>
      </c>
      <c r="AQ95" s="410">
        <f t="shared" si="276"/>
        <v>0</v>
      </c>
      <c r="AR95" s="411">
        <f t="shared" si="133"/>
        <v>0</v>
      </c>
      <c r="AS95" s="412">
        <f t="shared" si="269"/>
        <v>0</v>
      </c>
      <c r="AT95" s="410">
        <f t="shared" si="269"/>
        <v>0</v>
      </c>
      <c r="AU95" s="411">
        <f t="shared" si="134"/>
        <v>0</v>
      </c>
      <c r="AV95" s="603">
        <f t="shared" si="135"/>
        <v>0</v>
      </c>
      <c r="AW95" s="413"/>
      <c r="AX95" s="414"/>
      <c r="AY95" s="415"/>
      <c r="AZ95" s="414"/>
      <c r="BA95" s="415"/>
      <c r="BB95" s="416"/>
      <c r="BC95" s="417"/>
      <c r="BD95" s="418"/>
      <c r="BE95" s="419"/>
      <c r="BF95" s="418"/>
      <c r="BG95" s="419"/>
      <c r="BH95" s="420"/>
      <c r="BI95" s="421"/>
      <c r="BJ95" s="422"/>
      <c r="BK95" s="407"/>
      <c r="BL95" s="422"/>
      <c r="BM95" s="407"/>
      <c r="BN95" s="423"/>
      <c r="BO95" s="424"/>
      <c r="BP95" s="425"/>
      <c r="BQ95" s="426"/>
      <c r="BR95" s="425"/>
      <c r="BS95" s="426"/>
      <c r="BT95" s="427"/>
    </row>
    <row r="96" spans="1:72" s="399" customFormat="1" ht="25.5" customHeight="1" outlineLevel="2">
      <c r="A96" s="287">
        <v>84</v>
      </c>
      <c r="B96" s="933"/>
      <c r="C96" s="859"/>
      <c r="D96" s="841" t="s">
        <v>276</v>
      </c>
      <c r="E96" s="860"/>
      <c r="F96" s="829" t="s">
        <v>7</v>
      </c>
      <c r="G96" s="400">
        <v>4</v>
      </c>
      <c r="H96" s="747" t="s">
        <v>70</v>
      </c>
      <c r="I96" s="747">
        <v>244</v>
      </c>
      <c r="J96" s="748">
        <v>226</v>
      </c>
      <c r="K96" s="538" t="s">
        <v>294</v>
      </c>
      <c r="L96" s="1004">
        <v>0</v>
      </c>
      <c r="M96" s="403"/>
      <c r="N96" s="403"/>
      <c r="O96" s="403">
        <f t="shared" si="127"/>
        <v>0</v>
      </c>
      <c r="P96" s="565">
        <v>246736.08</v>
      </c>
      <c r="Q96" s="406"/>
      <c r="R96" s="565"/>
      <c r="S96" s="406"/>
      <c r="T96" s="565"/>
      <c r="U96" s="428"/>
      <c r="V96" s="405"/>
      <c r="W96" s="405"/>
      <c r="X96" s="405"/>
      <c r="Z96" s="406">
        <f t="shared" si="271"/>
        <v>0</v>
      </c>
      <c r="AA96" s="407">
        <f t="shared" si="271"/>
        <v>0</v>
      </c>
      <c r="AB96" s="408">
        <f t="shared" si="128"/>
        <v>0</v>
      </c>
      <c r="AC96" s="406">
        <f t="shared" si="272"/>
        <v>0</v>
      </c>
      <c r="AD96" s="407">
        <f t="shared" si="272"/>
        <v>0</v>
      </c>
      <c r="AE96" s="408">
        <f t="shared" si="129"/>
        <v>0</v>
      </c>
      <c r="AF96" s="406">
        <f t="shared" si="273"/>
        <v>0</v>
      </c>
      <c r="AG96" s="407">
        <f t="shared" si="273"/>
        <v>0</v>
      </c>
      <c r="AH96" s="408">
        <f t="shared" si="130"/>
        <v>0</v>
      </c>
      <c r="AI96" s="406">
        <f t="shared" si="274"/>
        <v>0</v>
      </c>
      <c r="AJ96" s="407">
        <f t="shared" si="274"/>
        <v>0</v>
      </c>
      <c r="AK96" s="408">
        <f t="shared" si="131"/>
        <v>0</v>
      </c>
      <c r="AL96" s="409"/>
      <c r="AM96" s="406">
        <f t="shared" si="275"/>
        <v>0</v>
      </c>
      <c r="AN96" s="410">
        <f t="shared" si="275"/>
        <v>0</v>
      </c>
      <c r="AO96" s="411">
        <f t="shared" si="132"/>
        <v>0</v>
      </c>
      <c r="AP96" s="406">
        <f t="shared" si="276"/>
        <v>0</v>
      </c>
      <c r="AQ96" s="410">
        <f t="shared" si="276"/>
        <v>0</v>
      </c>
      <c r="AR96" s="411">
        <f t="shared" si="133"/>
        <v>0</v>
      </c>
      <c r="AS96" s="412">
        <f t="shared" si="269"/>
        <v>0</v>
      </c>
      <c r="AT96" s="410">
        <f t="shared" si="269"/>
        <v>0</v>
      </c>
      <c r="AU96" s="411">
        <f t="shared" si="134"/>
        <v>0</v>
      </c>
      <c r="AV96" s="603">
        <f t="shared" si="135"/>
        <v>0</v>
      </c>
      <c r="AW96" s="413"/>
      <c r="AX96" s="414"/>
      <c r="AY96" s="415"/>
      <c r="AZ96" s="414"/>
      <c r="BA96" s="415"/>
      <c r="BB96" s="416"/>
      <c r="BC96" s="417"/>
      <c r="BD96" s="418"/>
      <c r="BE96" s="419"/>
      <c r="BF96" s="418"/>
      <c r="BG96" s="419"/>
      <c r="BH96" s="420"/>
      <c r="BI96" s="421"/>
      <c r="BJ96" s="422"/>
      <c r="BK96" s="407"/>
      <c r="BL96" s="422"/>
      <c r="BM96" s="407"/>
      <c r="BN96" s="423"/>
      <c r="BO96" s="424"/>
      <c r="BP96" s="425"/>
      <c r="BQ96" s="426"/>
      <c r="BR96" s="425"/>
      <c r="BS96" s="426"/>
      <c r="BT96" s="427"/>
    </row>
    <row r="97" spans="1:72" s="399" customFormat="1" ht="25.5" customHeight="1" outlineLevel="2">
      <c r="A97" s="287">
        <v>85</v>
      </c>
      <c r="B97" s="933"/>
      <c r="C97" s="859"/>
      <c r="D97" s="841" t="s">
        <v>276</v>
      </c>
      <c r="E97" s="860"/>
      <c r="F97" s="829" t="s">
        <v>7</v>
      </c>
      <c r="G97" s="400">
        <v>4</v>
      </c>
      <c r="H97" s="747" t="s">
        <v>70</v>
      </c>
      <c r="I97" s="747">
        <v>244</v>
      </c>
      <c r="J97" s="748">
        <v>226</v>
      </c>
      <c r="K97" s="538" t="s">
        <v>295</v>
      </c>
      <c r="L97" s="1004">
        <v>0</v>
      </c>
      <c r="M97" s="403"/>
      <c r="N97" s="403"/>
      <c r="O97" s="403">
        <f t="shared" si="127"/>
        <v>0</v>
      </c>
      <c r="P97" s="565">
        <v>299886.7</v>
      </c>
      <c r="Q97" s="406"/>
      <c r="R97" s="565"/>
      <c r="S97" s="406"/>
      <c r="T97" s="565"/>
      <c r="U97" s="428"/>
      <c r="V97" s="405"/>
      <c r="W97" s="405"/>
      <c r="X97" s="405"/>
      <c r="Z97" s="406">
        <f t="shared" si="271"/>
        <v>0</v>
      </c>
      <c r="AA97" s="407">
        <f t="shared" si="271"/>
        <v>0</v>
      </c>
      <c r="AB97" s="408">
        <f t="shared" si="128"/>
        <v>0</v>
      </c>
      <c r="AC97" s="406">
        <f t="shared" si="272"/>
        <v>0</v>
      </c>
      <c r="AD97" s="407">
        <f t="shared" si="272"/>
        <v>0</v>
      </c>
      <c r="AE97" s="408">
        <f t="shared" si="129"/>
        <v>0</v>
      </c>
      <c r="AF97" s="406">
        <f t="shared" si="273"/>
        <v>0</v>
      </c>
      <c r="AG97" s="407">
        <f t="shared" si="273"/>
        <v>0</v>
      </c>
      <c r="AH97" s="408">
        <f t="shared" si="130"/>
        <v>0</v>
      </c>
      <c r="AI97" s="406">
        <f t="shared" si="274"/>
        <v>0</v>
      </c>
      <c r="AJ97" s="407">
        <f t="shared" si="274"/>
        <v>0</v>
      </c>
      <c r="AK97" s="408">
        <f t="shared" si="131"/>
        <v>0</v>
      </c>
      <c r="AL97" s="409"/>
      <c r="AM97" s="406">
        <f t="shared" si="275"/>
        <v>0</v>
      </c>
      <c r="AN97" s="410">
        <f t="shared" si="275"/>
        <v>0</v>
      </c>
      <c r="AO97" s="411">
        <f t="shared" si="132"/>
        <v>0</v>
      </c>
      <c r="AP97" s="406">
        <f t="shared" si="276"/>
        <v>0</v>
      </c>
      <c r="AQ97" s="410">
        <f t="shared" si="276"/>
        <v>0</v>
      </c>
      <c r="AR97" s="411">
        <f t="shared" si="133"/>
        <v>0</v>
      </c>
      <c r="AS97" s="412">
        <f t="shared" si="269"/>
        <v>0</v>
      </c>
      <c r="AT97" s="410">
        <f t="shared" si="269"/>
        <v>0</v>
      </c>
      <c r="AU97" s="411">
        <f t="shared" si="134"/>
        <v>0</v>
      </c>
      <c r="AV97" s="603">
        <f t="shared" si="135"/>
        <v>0</v>
      </c>
      <c r="AW97" s="413"/>
      <c r="AX97" s="414"/>
      <c r="AY97" s="415"/>
      <c r="AZ97" s="414"/>
      <c r="BA97" s="415"/>
      <c r="BB97" s="416"/>
      <c r="BC97" s="417"/>
      <c r="BD97" s="418"/>
      <c r="BE97" s="419"/>
      <c r="BF97" s="418"/>
      <c r="BG97" s="419"/>
      <c r="BH97" s="420"/>
      <c r="BI97" s="421"/>
      <c r="BJ97" s="422"/>
      <c r="BK97" s="407"/>
      <c r="BL97" s="422"/>
      <c r="BM97" s="407"/>
      <c r="BN97" s="423"/>
      <c r="BO97" s="424"/>
      <c r="BP97" s="425"/>
      <c r="BQ97" s="426"/>
      <c r="BR97" s="425"/>
      <c r="BS97" s="426"/>
      <c r="BT97" s="427"/>
    </row>
    <row r="98" spans="1:72" s="399" customFormat="1" ht="25.5" customHeight="1" outlineLevel="2">
      <c r="A98" s="287">
        <v>86</v>
      </c>
      <c r="B98" s="933"/>
      <c r="C98" s="859"/>
      <c r="D98" s="841" t="s">
        <v>276</v>
      </c>
      <c r="E98" s="860"/>
      <c r="F98" s="829" t="s">
        <v>7</v>
      </c>
      <c r="G98" s="400">
        <v>4</v>
      </c>
      <c r="H98" s="747" t="s">
        <v>70</v>
      </c>
      <c r="I98" s="747">
        <v>244</v>
      </c>
      <c r="J98" s="748">
        <v>226</v>
      </c>
      <c r="K98" s="538" t="s">
        <v>296</v>
      </c>
      <c r="L98" s="1004">
        <v>28059.9</v>
      </c>
      <c r="M98" s="403"/>
      <c r="N98" s="403"/>
      <c r="O98" s="403">
        <f t="shared" si="127"/>
        <v>28059.9</v>
      </c>
      <c r="P98" s="565">
        <v>27268.25</v>
      </c>
      <c r="Q98" s="406"/>
      <c r="R98" s="565"/>
      <c r="S98" s="406"/>
      <c r="T98" s="565"/>
      <c r="U98" s="428"/>
      <c r="V98" s="405"/>
      <c r="W98" s="405"/>
      <c r="X98" s="405"/>
      <c r="Z98" s="406">
        <f t="shared" si="271"/>
        <v>0</v>
      </c>
      <c r="AA98" s="407">
        <f t="shared" si="271"/>
        <v>0</v>
      </c>
      <c r="AB98" s="408">
        <f t="shared" si="128"/>
        <v>0</v>
      </c>
      <c r="AC98" s="406">
        <f t="shared" si="272"/>
        <v>0</v>
      </c>
      <c r="AD98" s="407">
        <f t="shared" si="272"/>
        <v>0</v>
      </c>
      <c r="AE98" s="408">
        <f t="shared" si="129"/>
        <v>0</v>
      </c>
      <c r="AF98" s="406">
        <f t="shared" si="273"/>
        <v>0</v>
      </c>
      <c r="AG98" s="407">
        <f t="shared" si="273"/>
        <v>0</v>
      </c>
      <c r="AH98" s="408">
        <f t="shared" si="130"/>
        <v>0</v>
      </c>
      <c r="AI98" s="406">
        <f t="shared" si="274"/>
        <v>28059.9</v>
      </c>
      <c r="AJ98" s="407">
        <f t="shared" si="274"/>
        <v>0</v>
      </c>
      <c r="AK98" s="408">
        <f t="shared" si="131"/>
        <v>28059.9</v>
      </c>
      <c r="AL98" s="409"/>
      <c r="AM98" s="406">
        <f t="shared" si="275"/>
        <v>0</v>
      </c>
      <c r="AN98" s="410">
        <f t="shared" si="275"/>
        <v>0</v>
      </c>
      <c r="AO98" s="411">
        <f t="shared" si="132"/>
        <v>0</v>
      </c>
      <c r="AP98" s="406">
        <f t="shared" si="276"/>
        <v>0</v>
      </c>
      <c r="AQ98" s="410">
        <f t="shared" si="276"/>
        <v>0</v>
      </c>
      <c r="AR98" s="411">
        <f t="shared" si="133"/>
        <v>0</v>
      </c>
      <c r="AS98" s="412">
        <f t="shared" si="269"/>
        <v>28059.9</v>
      </c>
      <c r="AT98" s="410">
        <f t="shared" si="269"/>
        <v>0</v>
      </c>
      <c r="AU98" s="411">
        <f t="shared" si="134"/>
        <v>28059.9</v>
      </c>
      <c r="AV98" s="603">
        <f t="shared" si="135"/>
        <v>0</v>
      </c>
      <c r="AW98" s="413"/>
      <c r="AX98" s="414"/>
      <c r="AY98" s="415"/>
      <c r="AZ98" s="414"/>
      <c r="BA98" s="415"/>
      <c r="BB98" s="416"/>
      <c r="BC98" s="417"/>
      <c r="BD98" s="418"/>
      <c r="BE98" s="419"/>
      <c r="BF98" s="418"/>
      <c r="BG98" s="419"/>
      <c r="BH98" s="420"/>
      <c r="BI98" s="421"/>
      <c r="BJ98" s="422"/>
      <c r="BK98" s="407"/>
      <c r="BL98" s="422"/>
      <c r="BM98" s="407"/>
      <c r="BN98" s="423"/>
      <c r="BO98" s="424">
        <v>28059.9</v>
      </c>
      <c r="BP98" s="425"/>
      <c r="BQ98" s="426"/>
      <c r="BR98" s="425"/>
      <c r="BS98" s="426"/>
      <c r="BT98" s="427"/>
    </row>
    <row r="99" spans="1:72" s="399" customFormat="1" ht="25.5" customHeight="1" outlineLevel="2">
      <c r="A99" s="287">
        <v>87</v>
      </c>
      <c r="B99" s="933"/>
      <c r="C99" s="859"/>
      <c r="D99" s="841" t="s">
        <v>276</v>
      </c>
      <c r="E99" s="860"/>
      <c r="F99" s="829" t="s">
        <v>7</v>
      </c>
      <c r="G99" s="400">
        <v>4</v>
      </c>
      <c r="H99" s="747" t="s">
        <v>70</v>
      </c>
      <c r="I99" s="747">
        <v>244</v>
      </c>
      <c r="J99" s="748">
        <v>226</v>
      </c>
      <c r="K99" s="538" t="s">
        <v>288</v>
      </c>
      <c r="L99" s="1004">
        <v>5000</v>
      </c>
      <c r="M99" s="403"/>
      <c r="N99" s="403"/>
      <c r="O99" s="403">
        <f t="shared" si="127"/>
        <v>5000</v>
      </c>
      <c r="P99" s="565">
        <v>0</v>
      </c>
      <c r="Q99" s="406"/>
      <c r="R99" s="565"/>
      <c r="S99" s="406"/>
      <c r="T99" s="565"/>
      <c r="U99" s="428"/>
      <c r="V99" s="405"/>
      <c r="W99" s="405"/>
      <c r="X99" s="405"/>
      <c r="Z99" s="406">
        <f t="shared" si="271"/>
        <v>0</v>
      </c>
      <c r="AA99" s="407">
        <f t="shared" si="271"/>
        <v>0</v>
      </c>
      <c r="AB99" s="408">
        <f t="shared" si="128"/>
        <v>0</v>
      </c>
      <c r="AC99" s="406">
        <f t="shared" si="272"/>
        <v>0</v>
      </c>
      <c r="AD99" s="407">
        <f t="shared" si="272"/>
        <v>0</v>
      </c>
      <c r="AE99" s="408">
        <f t="shared" si="129"/>
        <v>0</v>
      </c>
      <c r="AF99" s="406">
        <f t="shared" si="273"/>
        <v>0</v>
      </c>
      <c r="AG99" s="407">
        <f t="shared" si="273"/>
        <v>0</v>
      </c>
      <c r="AH99" s="408">
        <f t="shared" si="130"/>
        <v>0</v>
      </c>
      <c r="AI99" s="406">
        <f t="shared" si="274"/>
        <v>5000</v>
      </c>
      <c r="AJ99" s="407">
        <f t="shared" si="274"/>
        <v>0</v>
      </c>
      <c r="AK99" s="408">
        <f t="shared" si="131"/>
        <v>5000</v>
      </c>
      <c r="AL99" s="409"/>
      <c r="AM99" s="406">
        <f t="shared" si="275"/>
        <v>0</v>
      </c>
      <c r="AN99" s="410">
        <f t="shared" si="275"/>
        <v>0</v>
      </c>
      <c r="AO99" s="411">
        <f t="shared" si="132"/>
        <v>0</v>
      </c>
      <c r="AP99" s="406">
        <f t="shared" si="276"/>
        <v>0</v>
      </c>
      <c r="AQ99" s="410">
        <f t="shared" si="276"/>
        <v>0</v>
      </c>
      <c r="AR99" s="411">
        <f t="shared" si="133"/>
        <v>0</v>
      </c>
      <c r="AS99" s="412">
        <f t="shared" si="269"/>
        <v>5000</v>
      </c>
      <c r="AT99" s="410">
        <f t="shared" si="269"/>
        <v>0</v>
      </c>
      <c r="AU99" s="411">
        <f t="shared" si="134"/>
        <v>5000</v>
      </c>
      <c r="AV99" s="603">
        <f t="shared" si="135"/>
        <v>0</v>
      </c>
      <c r="AW99" s="413"/>
      <c r="AX99" s="414"/>
      <c r="AY99" s="415"/>
      <c r="AZ99" s="414"/>
      <c r="BA99" s="415"/>
      <c r="BB99" s="416"/>
      <c r="BC99" s="417"/>
      <c r="BD99" s="418"/>
      <c r="BE99" s="419"/>
      <c r="BF99" s="418"/>
      <c r="BG99" s="419"/>
      <c r="BH99" s="420"/>
      <c r="BI99" s="421"/>
      <c r="BJ99" s="422"/>
      <c r="BK99" s="407"/>
      <c r="BL99" s="422"/>
      <c r="BM99" s="407"/>
      <c r="BN99" s="423"/>
      <c r="BO99" s="424">
        <v>5000</v>
      </c>
      <c r="BP99" s="425"/>
      <c r="BQ99" s="426"/>
      <c r="BR99" s="425"/>
      <c r="BS99" s="426"/>
      <c r="BT99" s="427"/>
    </row>
    <row r="100" spans="1:72" s="399" customFormat="1" ht="25.5" customHeight="1" outlineLevel="2">
      <c r="A100" s="287">
        <v>88</v>
      </c>
      <c r="B100" s="933"/>
      <c r="C100" s="859"/>
      <c r="D100" s="841" t="s">
        <v>276</v>
      </c>
      <c r="E100" s="860"/>
      <c r="F100" s="829" t="s">
        <v>7</v>
      </c>
      <c r="G100" s="400">
        <v>4</v>
      </c>
      <c r="H100" s="747" t="s">
        <v>70</v>
      </c>
      <c r="I100" s="747">
        <v>244</v>
      </c>
      <c r="J100" s="748">
        <v>226</v>
      </c>
      <c r="K100" s="538" t="s">
        <v>297</v>
      </c>
      <c r="L100" s="1004">
        <v>0</v>
      </c>
      <c r="M100" s="403"/>
      <c r="N100" s="403"/>
      <c r="O100" s="403">
        <f t="shared" si="127"/>
        <v>0</v>
      </c>
      <c r="P100" s="565">
        <v>2333.33</v>
      </c>
      <c r="Q100" s="406"/>
      <c r="R100" s="565"/>
      <c r="S100" s="406"/>
      <c r="T100" s="565"/>
      <c r="U100" s="428"/>
      <c r="V100" s="405"/>
      <c r="W100" s="405"/>
      <c r="X100" s="405"/>
      <c r="Z100" s="406">
        <f t="shared" si="271"/>
        <v>0</v>
      </c>
      <c r="AA100" s="407">
        <f t="shared" si="271"/>
        <v>0</v>
      </c>
      <c r="AB100" s="408">
        <f t="shared" si="128"/>
        <v>0</v>
      </c>
      <c r="AC100" s="406">
        <f t="shared" si="272"/>
        <v>0</v>
      </c>
      <c r="AD100" s="407">
        <f t="shared" si="272"/>
        <v>0</v>
      </c>
      <c r="AE100" s="408">
        <f t="shared" si="129"/>
        <v>0</v>
      </c>
      <c r="AF100" s="406">
        <f t="shared" si="273"/>
        <v>0</v>
      </c>
      <c r="AG100" s="407">
        <f t="shared" si="273"/>
        <v>0</v>
      </c>
      <c r="AH100" s="408">
        <f t="shared" si="130"/>
        <v>0</v>
      </c>
      <c r="AI100" s="406">
        <f t="shared" si="274"/>
        <v>0</v>
      </c>
      <c r="AJ100" s="407">
        <f t="shared" si="274"/>
        <v>0</v>
      </c>
      <c r="AK100" s="408">
        <f t="shared" si="131"/>
        <v>0</v>
      </c>
      <c r="AL100" s="409"/>
      <c r="AM100" s="406">
        <f t="shared" si="275"/>
        <v>0</v>
      </c>
      <c r="AN100" s="410">
        <f t="shared" si="275"/>
        <v>0</v>
      </c>
      <c r="AO100" s="411">
        <f t="shared" si="132"/>
        <v>0</v>
      </c>
      <c r="AP100" s="406">
        <f t="shared" si="276"/>
        <v>0</v>
      </c>
      <c r="AQ100" s="410">
        <f t="shared" si="276"/>
        <v>0</v>
      </c>
      <c r="AR100" s="411">
        <f t="shared" si="133"/>
        <v>0</v>
      </c>
      <c r="AS100" s="412">
        <f t="shared" si="269"/>
        <v>0</v>
      </c>
      <c r="AT100" s="410">
        <f t="shared" si="269"/>
        <v>0</v>
      </c>
      <c r="AU100" s="411">
        <f t="shared" si="134"/>
        <v>0</v>
      </c>
      <c r="AV100" s="603">
        <f t="shared" si="135"/>
        <v>0</v>
      </c>
      <c r="AW100" s="413"/>
      <c r="AX100" s="414"/>
      <c r="AY100" s="415"/>
      <c r="AZ100" s="414"/>
      <c r="BA100" s="415"/>
      <c r="BB100" s="416"/>
      <c r="BC100" s="417"/>
      <c r="BD100" s="418"/>
      <c r="BE100" s="419"/>
      <c r="BF100" s="418"/>
      <c r="BG100" s="419"/>
      <c r="BH100" s="420"/>
      <c r="BI100" s="421"/>
      <c r="BJ100" s="422"/>
      <c r="BK100" s="407"/>
      <c r="BL100" s="422"/>
      <c r="BM100" s="407"/>
      <c r="BN100" s="423"/>
      <c r="BO100" s="424"/>
      <c r="BP100" s="425"/>
      <c r="BQ100" s="426"/>
      <c r="BR100" s="425"/>
      <c r="BS100" s="426"/>
      <c r="BT100" s="427"/>
    </row>
    <row r="101" spans="1:72" s="430" customFormat="1" ht="25.5" customHeight="1" outlineLevel="2">
      <c r="A101" s="287">
        <v>89</v>
      </c>
      <c r="B101" s="933"/>
      <c r="C101" s="743"/>
      <c r="D101" s="856" t="s">
        <v>276</v>
      </c>
      <c r="E101" s="857"/>
      <c r="F101" s="827" t="s">
        <v>7</v>
      </c>
      <c r="G101" s="431">
        <v>4</v>
      </c>
      <c r="H101" s="474" t="s">
        <v>70</v>
      </c>
      <c r="I101" s="743">
        <v>244</v>
      </c>
      <c r="J101" s="744">
        <v>226</v>
      </c>
      <c r="K101" s="536" t="s">
        <v>284</v>
      </c>
      <c r="L101" s="443"/>
      <c r="M101" s="434"/>
      <c r="N101" s="434"/>
      <c r="O101" s="434">
        <f t="shared" si="127"/>
        <v>0</v>
      </c>
      <c r="P101" s="563"/>
      <c r="Q101" s="437"/>
      <c r="R101" s="563"/>
      <c r="S101" s="437"/>
      <c r="T101" s="563"/>
      <c r="U101" s="467"/>
      <c r="V101" s="436"/>
      <c r="W101" s="436"/>
      <c r="X101" s="436"/>
      <c r="Z101" s="437">
        <f t="shared" si="271"/>
        <v>0</v>
      </c>
      <c r="AA101" s="438">
        <f t="shared" si="271"/>
        <v>0</v>
      </c>
      <c r="AB101" s="439">
        <f t="shared" si="128"/>
        <v>0</v>
      </c>
      <c r="AC101" s="437">
        <f t="shared" si="272"/>
        <v>0</v>
      </c>
      <c r="AD101" s="438">
        <f t="shared" si="272"/>
        <v>0</v>
      </c>
      <c r="AE101" s="439">
        <f t="shared" si="129"/>
        <v>0</v>
      </c>
      <c r="AF101" s="437">
        <f t="shared" si="273"/>
        <v>0</v>
      </c>
      <c r="AG101" s="438">
        <f t="shared" si="273"/>
        <v>0</v>
      </c>
      <c r="AH101" s="439">
        <f t="shared" si="130"/>
        <v>0</v>
      </c>
      <c r="AI101" s="437">
        <f t="shared" si="274"/>
        <v>0</v>
      </c>
      <c r="AJ101" s="438">
        <f t="shared" si="274"/>
        <v>0</v>
      </c>
      <c r="AK101" s="439">
        <f t="shared" si="131"/>
        <v>0</v>
      </c>
      <c r="AL101" s="440"/>
      <c r="AM101" s="437">
        <f t="shared" si="275"/>
        <v>0</v>
      </c>
      <c r="AN101" s="441">
        <f t="shared" si="275"/>
        <v>0</v>
      </c>
      <c r="AO101" s="442">
        <f t="shared" si="132"/>
        <v>0</v>
      </c>
      <c r="AP101" s="437">
        <f t="shared" si="276"/>
        <v>0</v>
      </c>
      <c r="AQ101" s="441">
        <f t="shared" si="276"/>
        <v>0</v>
      </c>
      <c r="AR101" s="442">
        <f t="shared" si="133"/>
        <v>0</v>
      </c>
      <c r="AS101" s="443">
        <f t="shared" si="269"/>
        <v>0</v>
      </c>
      <c r="AT101" s="441">
        <f t="shared" si="269"/>
        <v>0</v>
      </c>
      <c r="AU101" s="442">
        <f t="shared" si="134"/>
        <v>0</v>
      </c>
      <c r="AV101" s="601">
        <f t="shared" si="135"/>
        <v>0</v>
      </c>
      <c r="AW101" s="444"/>
      <c r="AX101" s="445"/>
      <c r="AY101" s="446"/>
      <c r="AZ101" s="445"/>
      <c r="BA101" s="446"/>
      <c r="BB101" s="447"/>
      <c r="BC101" s="448"/>
      <c r="BD101" s="449"/>
      <c r="BE101" s="450"/>
      <c r="BF101" s="449"/>
      <c r="BG101" s="450"/>
      <c r="BH101" s="451"/>
      <c r="BI101" s="452"/>
      <c r="BJ101" s="453"/>
      <c r="BK101" s="438"/>
      <c r="BL101" s="453"/>
      <c r="BM101" s="438"/>
      <c r="BN101" s="454"/>
      <c r="BO101" s="455"/>
      <c r="BP101" s="456"/>
      <c r="BQ101" s="457"/>
      <c r="BR101" s="456"/>
      <c r="BS101" s="457"/>
      <c r="BT101" s="458"/>
    </row>
    <row r="102" spans="1:72" s="459" customFormat="1" ht="66.75" customHeight="1" outlineLevel="1">
      <c r="A102" s="287">
        <v>90</v>
      </c>
      <c r="B102" s="933"/>
      <c r="C102" s="850" t="s">
        <v>378</v>
      </c>
      <c r="D102" s="854" t="s">
        <v>274</v>
      </c>
      <c r="E102" s="855"/>
      <c r="F102" s="826" t="s">
        <v>7</v>
      </c>
      <c r="G102" s="462">
        <v>4</v>
      </c>
      <c r="H102" s="741" t="s">
        <v>70</v>
      </c>
      <c r="I102" s="741">
        <v>244</v>
      </c>
      <c r="J102" s="742">
        <v>226</v>
      </c>
      <c r="K102" s="535" t="s">
        <v>283</v>
      </c>
      <c r="L102" s="464">
        <v>345187.83</v>
      </c>
      <c r="M102" s="352"/>
      <c r="N102" s="352"/>
      <c r="O102" s="352">
        <f t="shared" si="127"/>
        <v>345187.83</v>
      </c>
      <c r="P102" s="561"/>
      <c r="Q102" s="464"/>
      <c r="R102" s="561"/>
      <c r="S102" s="464"/>
      <c r="T102" s="561"/>
      <c r="U102" s="393"/>
      <c r="V102" s="394"/>
      <c r="W102" s="394"/>
      <c r="X102" s="394"/>
      <c r="Y102" s="392"/>
      <c r="Z102" s="395">
        <f t="shared" si="271"/>
        <v>0</v>
      </c>
      <c r="AA102" s="396">
        <f t="shared" si="271"/>
        <v>0</v>
      </c>
      <c r="AB102" s="397">
        <f t="shared" si="128"/>
        <v>0</v>
      </c>
      <c r="AC102" s="395">
        <f t="shared" si="272"/>
        <v>0</v>
      </c>
      <c r="AD102" s="396">
        <f t="shared" si="272"/>
        <v>0</v>
      </c>
      <c r="AE102" s="397">
        <f t="shared" si="129"/>
        <v>0</v>
      </c>
      <c r="AF102" s="395">
        <f t="shared" si="273"/>
        <v>0</v>
      </c>
      <c r="AG102" s="396">
        <f t="shared" si="273"/>
        <v>0</v>
      </c>
      <c r="AH102" s="397">
        <f t="shared" si="130"/>
        <v>0</v>
      </c>
      <c r="AI102" s="395">
        <f t="shared" si="274"/>
        <v>345187.83</v>
      </c>
      <c r="AJ102" s="396">
        <f t="shared" si="274"/>
        <v>0</v>
      </c>
      <c r="AK102" s="397">
        <f t="shared" si="131"/>
        <v>345187.83</v>
      </c>
      <c r="AL102" s="398"/>
      <c r="AM102" s="464">
        <f t="shared" si="275"/>
        <v>0</v>
      </c>
      <c r="AN102" s="352">
        <f t="shared" si="275"/>
        <v>0</v>
      </c>
      <c r="AO102" s="465">
        <f t="shared" si="132"/>
        <v>0</v>
      </c>
      <c r="AP102" s="464">
        <f t="shared" si="276"/>
        <v>0</v>
      </c>
      <c r="AQ102" s="352">
        <f t="shared" si="276"/>
        <v>0</v>
      </c>
      <c r="AR102" s="465">
        <f t="shared" si="133"/>
        <v>0</v>
      </c>
      <c r="AS102" s="464">
        <f t="shared" si="269"/>
        <v>345187.83</v>
      </c>
      <c r="AT102" s="352">
        <f t="shared" si="269"/>
        <v>0</v>
      </c>
      <c r="AU102" s="465">
        <f t="shared" si="134"/>
        <v>345187.83</v>
      </c>
      <c r="AV102" s="600">
        <f t="shared" si="135"/>
        <v>0</v>
      </c>
      <c r="AW102" s="464">
        <f t="shared" ref="AW102:BT102" si="278">SUM(AW103:AW105)</f>
        <v>0</v>
      </c>
      <c r="AX102" s="352">
        <f t="shared" si="278"/>
        <v>0</v>
      </c>
      <c r="AY102" s="352">
        <f t="shared" si="278"/>
        <v>0</v>
      </c>
      <c r="AZ102" s="352">
        <f t="shared" si="278"/>
        <v>0</v>
      </c>
      <c r="BA102" s="352">
        <f t="shared" si="278"/>
        <v>0</v>
      </c>
      <c r="BB102" s="353">
        <f t="shared" si="278"/>
        <v>0</v>
      </c>
      <c r="BC102" s="464">
        <f t="shared" si="278"/>
        <v>0</v>
      </c>
      <c r="BD102" s="352">
        <f t="shared" si="278"/>
        <v>0</v>
      </c>
      <c r="BE102" s="352">
        <f t="shared" si="278"/>
        <v>0</v>
      </c>
      <c r="BF102" s="352">
        <f t="shared" si="278"/>
        <v>0</v>
      </c>
      <c r="BG102" s="352">
        <f t="shared" si="278"/>
        <v>0</v>
      </c>
      <c r="BH102" s="353">
        <f t="shared" si="278"/>
        <v>0</v>
      </c>
      <c r="BI102" s="464">
        <f t="shared" si="278"/>
        <v>0</v>
      </c>
      <c r="BJ102" s="352">
        <f t="shared" si="278"/>
        <v>0</v>
      </c>
      <c r="BK102" s="352">
        <f t="shared" si="278"/>
        <v>0</v>
      </c>
      <c r="BL102" s="352">
        <f t="shared" si="278"/>
        <v>0</v>
      </c>
      <c r="BM102" s="352">
        <f t="shared" si="278"/>
        <v>0</v>
      </c>
      <c r="BN102" s="353">
        <f t="shared" si="278"/>
        <v>0</v>
      </c>
      <c r="BO102" s="464">
        <f t="shared" si="278"/>
        <v>0</v>
      </c>
      <c r="BP102" s="352">
        <f t="shared" si="278"/>
        <v>0</v>
      </c>
      <c r="BQ102" s="352">
        <f t="shared" si="278"/>
        <v>345187.83</v>
      </c>
      <c r="BR102" s="352">
        <f t="shared" si="278"/>
        <v>0</v>
      </c>
      <c r="BS102" s="352">
        <f t="shared" si="278"/>
        <v>0</v>
      </c>
      <c r="BT102" s="465">
        <f t="shared" si="278"/>
        <v>0</v>
      </c>
    </row>
    <row r="103" spans="1:72" s="313" customFormat="1" ht="38.25" customHeight="1" outlineLevel="2">
      <c r="A103" s="287">
        <v>91</v>
      </c>
      <c r="B103" s="933"/>
      <c r="C103" s="840"/>
      <c r="D103" s="841" t="s">
        <v>274</v>
      </c>
      <c r="E103" s="839"/>
      <c r="F103" s="821" t="s">
        <v>7</v>
      </c>
      <c r="G103" s="314">
        <v>4</v>
      </c>
      <c r="H103" s="739" t="s">
        <v>70</v>
      </c>
      <c r="I103" s="739">
        <v>244</v>
      </c>
      <c r="J103" s="740">
        <v>226</v>
      </c>
      <c r="K103" s="533" t="s">
        <v>290</v>
      </c>
      <c r="L103" s="1004">
        <v>340187.83</v>
      </c>
      <c r="M103" s="318"/>
      <c r="N103" s="318"/>
      <c r="O103" s="318">
        <f t="shared" si="127"/>
        <v>340187.83</v>
      </c>
      <c r="P103" s="562"/>
      <c r="Q103" s="336"/>
      <c r="R103" s="562"/>
      <c r="S103" s="336"/>
      <c r="T103" s="562"/>
      <c r="U103" s="466"/>
      <c r="V103" s="320"/>
      <c r="W103" s="320"/>
      <c r="X103" s="320"/>
      <c r="Z103" s="336">
        <f t="shared" si="271"/>
        <v>0</v>
      </c>
      <c r="AA103" s="337">
        <f t="shared" si="271"/>
        <v>0</v>
      </c>
      <c r="AB103" s="338">
        <f t="shared" si="128"/>
        <v>0</v>
      </c>
      <c r="AC103" s="336">
        <f t="shared" si="272"/>
        <v>0</v>
      </c>
      <c r="AD103" s="337">
        <f t="shared" si="272"/>
        <v>0</v>
      </c>
      <c r="AE103" s="338">
        <f t="shared" si="129"/>
        <v>0</v>
      </c>
      <c r="AF103" s="336">
        <f t="shared" si="273"/>
        <v>0</v>
      </c>
      <c r="AG103" s="337">
        <f t="shared" si="273"/>
        <v>0</v>
      </c>
      <c r="AH103" s="338">
        <f t="shared" si="130"/>
        <v>0</v>
      </c>
      <c r="AI103" s="336">
        <f t="shared" si="274"/>
        <v>340187.83</v>
      </c>
      <c r="AJ103" s="337">
        <f t="shared" si="274"/>
        <v>0</v>
      </c>
      <c r="AK103" s="338">
        <f t="shared" si="131"/>
        <v>340187.83</v>
      </c>
      <c r="AL103" s="342"/>
      <c r="AM103" s="336">
        <f t="shared" si="275"/>
        <v>0</v>
      </c>
      <c r="AN103" s="339">
        <f t="shared" si="275"/>
        <v>0</v>
      </c>
      <c r="AO103" s="340">
        <f t="shared" si="132"/>
        <v>0</v>
      </c>
      <c r="AP103" s="336">
        <f t="shared" si="276"/>
        <v>0</v>
      </c>
      <c r="AQ103" s="339">
        <f t="shared" si="276"/>
        <v>0</v>
      </c>
      <c r="AR103" s="340">
        <f t="shared" si="133"/>
        <v>0</v>
      </c>
      <c r="AS103" s="341">
        <f t="shared" si="269"/>
        <v>340187.83</v>
      </c>
      <c r="AT103" s="339">
        <f t="shared" si="269"/>
        <v>0</v>
      </c>
      <c r="AU103" s="340">
        <f t="shared" si="134"/>
        <v>340187.83</v>
      </c>
      <c r="AV103" s="589">
        <f t="shared" si="135"/>
        <v>0</v>
      </c>
      <c r="AW103" s="343"/>
      <c r="AX103" s="344"/>
      <c r="AY103" s="345"/>
      <c r="AZ103" s="344"/>
      <c r="BA103" s="345"/>
      <c r="BB103" s="346"/>
      <c r="BC103" s="347"/>
      <c r="BD103" s="348"/>
      <c r="BE103" s="349"/>
      <c r="BF103" s="348"/>
      <c r="BG103" s="349"/>
      <c r="BH103" s="350"/>
      <c r="BI103" s="351"/>
      <c r="BJ103" s="352"/>
      <c r="BK103" s="337"/>
      <c r="BL103" s="352"/>
      <c r="BM103" s="337"/>
      <c r="BN103" s="353"/>
      <c r="BO103" s="354"/>
      <c r="BP103" s="355"/>
      <c r="BQ103" s="356">
        <v>340187.83</v>
      </c>
      <c r="BR103" s="355"/>
      <c r="BS103" s="356"/>
      <c r="BT103" s="357"/>
    </row>
    <row r="104" spans="1:72" s="313" customFormat="1" ht="25.5" customHeight="1" outlineLevel="2">
      <c r="A104" s="287">
        <v>92</v>
      </c>
      <c r="B104" s="933"/>
      <c r="C104" s="840"/>
      <c r="D104" s="841" t="s">
        <v>274</v>
      </c>
      <c r="E104" s="839"/>
      <c r="F104" s="821" t="s">
        <v>7</v>
      </c>
      <c r="G104" s="314">
        <v>4</v>
      </c>
      <c r="H104" s="739" t="s">
        <v>70</v>
      </c>
      <c r="I104" s="739">
        <v>244</v>
      </c>
      <c r="J104" s="740">
        <v>226</v>
      </c>
      <c r="K104" s="533" t="s">
        <v>288</v>
      </c>
      <c r="L104" s="1004">
        <v>5000</v>
      </c>
      <c r="M104" s="318"/>
      <c r="N104" s="318"/>
      <c r="O104" s="318">
        <f t="shared" si="127"/>
        <v>5000</v>
      </c>
      <c r="P104" s="562"/>
      <c r="Q104" s="336"/>
      <c r="R104" s="562"/>
      <c r="S104" s="336"/>
      <c r="T104" s="562"/>
      <c r="U104" s="466"/>
      <c r="V104" s="320"/>
      <c r="W104" s="320"/>
      <c r="X104" s="320"/>
      <c r="Z104" s="336">
        <f t="shared" si="271"/>
        <v>0</v>
      </c>
      <c r="AA104" s="337">
        <f t="shared" si="271"/>
        <v>0</v>
      </c>
      <c r="AB104" s="338">
        <f t="shared" si="128"/>
        <v>0</v>
      </c>
      <c r="AC104" s="336">
        <f t="shared" si="272"/>
        <v>0</v>
      </c>
      <c r="AD104" s="337">
        <f t="shared" si="272"/>
        <v>0</v>
      </c>
      <c r="AE104" s="338">
        <f t="shared" si="129"/>
        <v>0</v>
      </c>
      <c r="AF104" s="336">
        <f t="shared" si="273"/>
        <v>0</v>
      </c>
      <c r="AG104" s="337">
        <f t="shared" si="273"/>
        <v>0</v>
      </c>
      <c r="AH104" s="338">
        <f t="shared" si="130"/>
        <v>0</v>
      </c>
      <c r="AI104" s="336">
        <f t="shared" si="274"/>
        <v>5000</v>
      </c>
      <c r="AJ104" s="337">
        <f t="shared" si="274"/>
        <v>0</v>
      </c>
      <c r="AK104" s="338">
        <f t="shared" si="131"/>
        <v>5000</v>
      </c>
      <c r="AL104" s="342"/>
      <c r="AM104" s="336">
        <f t="shared" si="275"/>
        <v>0</v>
      </c>
      <c r="AN104" s="339">
        <f t="shared" si="275"/>
        <v>0</v>
      </c>
      <c r="AO104" s="340">
        <f t="shared" si="132"/>
        <v>0</v>
      </c>
      <c r="AP104" s="336">
        <f t="shared" si="276"/>
        <v>0</v>
      </c>
      <c r="AQ104" s="339">
        <f t="shared" si="276"/>
        <v>0</v>
      </c>
      <c r="AR104" s="340">
        <f t="shared" si="133"/>
        <v>0</v>
      </c>
      <c r="AS104" s="341">
        <f t="shared" si="269"/>
        <v>5000</v>
      </c>
      <c r="AT104" s="339">
        <f t="shared" si="269"/>
        <v>0</v>
      </c>
      <c r="AU104" s="340">
        <f t="shared" si="134"/>
        <v>5000</v>
      </c>
      <c r="AV104" s="589">
        <f t="shared" si="135"/>
        <v>0</v>
      </c>
      <c r="AW104" s="343"/>
      <c r="AX104" s="344"/>
      <c r="AY104" s="345"/>
      <c r="AZ104" s="344"/>
      <c r="BA104" s="345"/>
      <c r="BB104" s="346"/>
      <c r="BC104" s="347"/>
      <c r="BD104" s="348"/>
      <c r="BE104" s="349"/>
      <c r="BF104" s="348"/>
      <c r="BG104" s="349"/>
      <c r="BH104" s="350"/>
      <c r="BI104" s="351"/>
      <c r="BJ104" s="352"/>
      <c r="BK104" s="337"/>
      <c r="BL104" s="352"/>
      <c r="BM104" s="337"/>
      <c r="BN104" s="353"/>
      <c r="BO104" s="354"/>
      <c r="BP104" s="355"/>
      <c r="BQ104" s="356">
        <v>5000</v>
      </c>
      <c r="BR104" s="355"/>
      <c r="BS104" s="356"/>
      <c r="BT104" s="357"/>
    </row>
    <row r="105" spans="1:72" s="430" customFormat="1" ht="25.5" customHeight="1" outlineLevel="2">
      <c r="A105" s="287">
        <v>93</v>
      </c>
      <c r="B105" s="933"/>
      <c r="C105" s="743"/>
      <c r="D105" s="856" t="s">
        <v>274</v>
      </c>
      <c r="E105" s="857"/>
      <c r="F105" s="827" t="s">
        <v>7</v>
      </c>
      <c r="G105" s="431">
        <v>4</v>
      </c>
      <c r="H105" s="474" t="s">
        <v>70</v>
      </c>
      <c r="I105" s="743">
        <v>244</v>
      </c>
      <c r="J105" s="744">
        <v>226</v>
      </c>
      <c r="K105" s="536" t="s">
        <v>284</v>
      </c>
      <c r="L105" s="443"/>
      <c r="M105" s="434"/>
      <c r="N105" s="434"/>
      <c r="O105" s="434">
        <f t="shared" si="127"/>
        <v>0</v>
      </c>
      <c r="P105" s="563"/>
      <c r="Q105" s="437"/>
      <c r="R105" s="563"/>
      <c r="S105" s="437"/>
      <c r="T105" s="563"/>
      <c r="U105" s="467"/>
      <c r="V105" s="436"/>
      <c r="W105" s="436"/>
      <c r="X105" s="436"/>
      <c r="Z105" s="437">
        <f t="shared" si="271"/>
        <v>0</v>
      </c>
      <c r="AA105" s="438">
        <f t="shared" si="271"/>
        <v>0</v>
      </c>
      <c r="AB105" s="439">
        <f t="shared" si="128"/>
        <v>0</v>
      </c>
      <c r="AC105" s="437">
        <f t="shared" si="272"/>
        <v>0</v>
      </c>
      <c r="AD105" s="438">
        <f t="shared" si="272"/>
        <v>0</v>
      </c>
      <c r="AE105" s="439">
        <f t="shared" si="129"/>
        <v>0</v>
      </c>
      <c r="AF105" s="437">
        <f t="shared" si="273"/>
        <v>0</v>
      </c>
      <c r="AG105" s="438">
        <f t="shared" si="273"/>
        <v>0</v>
      </c>
      <c r="AH105" s="439">
        <f t="shared" si="130"/>
        <v>0</v>
      </c>
      <c r="AI105" s="437">
        <f t="shared" si="274"/>
        <v>0</v>
      </c>
      <c r="AJ105" s="438">
        <f t="shared" si="274"/>
        <v>0</v>
      </c>
      <c r="AK105" s="439">
        <f t="shared" si="131"/>
        <v>0</v>
      </c>
      <c r="AL105" s="440"/>
      <c r="AM105" s="437">
        <f t="shared" si="275"/>
        <v>0</v>
      </c>
      <c r="AN105" s="441">
        <f t="shared" si="275"/>
        <v>0</v>
      </c>
      <c r="AO105" s="442">
        <f t="shared" si="132"/>
        <v>0</v>
      </c>
      <c r="AP105" s="437">
        <f t="shared" si="276"/>
        <v>0</v>
      </c>
      <c r="AQ105" s="441">
        <f t="shared" si="276"/>
        <v>0</v>
      </c>
      <c r="AR105" s="442">
        <f t="shared" si="133"/>
        <v>0</v>
      </c>
      <c r="AS105" s="443">
        <f t="shared" si="269"/>
        <v>0</v>
      </c>
      <c r="AT105" s="441">
        <f t="shared" si="269"/>
        <v>0</v>
      </c>
      <c r="AU105" s="442">
        <f t="shared" si="134"/>
        <v>0</v>
      </c>
      <c r="AV105" s="601">
        <f t="shared" si="135"/>
        <v>0</v>
      </c>
      <c r="AW105" s="444"/>
      <c r="AX105" s="445"/>
      <c r="AY105" s="446"/>
      <c r="AZ105" s="445"/>
      <c r="BA105" s="446"/>
      <c r="BB105" s="447"/>
      <c r="BC105" s="448"/>
      <c r="BD105" s="449"/>
      <c r="BE105" s="450"/>
      <c r="BF105" s="449"/>
      <c r="BG105" s="450"/>
      <c r="BH105" s="451"/>
      <c r="BI105" s="452"/>
      <c r="BJ105" s="453"/>
      <c r="BK105" s="438"/>
      <c r="BL105" s="453"/>
      <c r="BM105" s="438"/>
      <c r="BN105" s="454"/>
      <c r="BO105" s="455"/>
      <c r="BP105" s="456"/>
      <c r="BQ105" s="457"/>
      <c r="BR105" s="456"/>
      <c r="BS105" s="457"/>
      <c r="BT105" s="458"/>
    </row>
    <row r="106" spans="1:72" s="468" customFormat="1" ht="72.75" customHeight="1" outlineLevel="1">
      <c r="A106" s="287">
        <v>94</v>
      </c>
      <c r="B106" s="933"/>
      <c r="C106" s="850" t="s">
        <v>378</v>
      </c>
      <c r="D106" s="854" t="s">
        <v>277</v>
      </c>
      <c r="E106" s="858"/>
      <c r="F106" s="828" t="s">
        <v>7</v>
      </c>
      <c r="G106" s="469">
        <v>4</v>
      </c>
      <c r="H106" s="745" t="s">
        <v>70</v>
      </c>
      <c r="I106" s="745">
        <v>244</v>
      </c>
      <c r="J106" s="746">
        <v>226</v>
      </c>
      <c r="K106" s="537" t="s">
        <v>282</v>
      </c>
      <c r="L106" s="472">
        <v>93059.77</v>
      </c>
      <c r="M106" s="422"/>
      <c r="N106" s="422"/>
      <c r="O106" s="422">
        <f t="shared" si="127"/>
        <v>93059.77</v>
      </c>
      <c r="P106" s="564"/>
      <c r="Q106" s="472"/>
      <c r="R106" s="564"/>
      <c r="S106" s="472"/>
      <c r="T106" s="564"/>
      <c r="U106" s="393"/>
      <c r="V106" s="394"/>
      <c r="W106" s="394"/>
      <c r="X106" s="394"/>
      <c r="Y106" s="392"/>
      <c r="Z106" s="395">
        <f t="shared" si="271"/>
        <v>0</v>
      </c>
      <c r="AA106" s="396">
        <f t="shared" si="271"/>
        <v>0</v>
      </c>
      <c r="AB106" s="397">
        <f t="shared" si="128"/>
        <v>0</v>
      </c>
      <c r="AC106" s="395">
        <f t="shared" si="272"/>
        <v>0</v>
      </c>
      <c r="AD106" s="396">
        <f t="shared" si="272"/>
        <v>0</v>
      </c>
      <c r="AE106" s="397">
        <f t="shared" si="129"/>
        <v>0</v>
      </c>
      <c r="AF106" s="395">
        <f t="shared" si="273"/>
        <v>0</v>
      </c>
      <c r="AG106" s="396">
        <f t="shared" si="273"/>
        <v>0</v>
      </c>
      <c r="AH106" s="397">
        <f t="shared" si="130"/>
        <v>0</v>
      </c>
      <c r="AI106" s="395">
        <f t="shared" si="274"/>
        <v>93059.77</v>
      </c>
      <c r="AJ106" s="396">
        <f t="shared" si="274"/>
        <v>0</v>
      </c>
      <c r="AK106" s="397">
        <f t="shared" si="131"/>
        <v>93059.77</v>
      </c>
      <c r="AL106" s="398"/>
      <c r="AM106" s="472">
        <f t="shared" si="275"/>
        <v>0</v>
      </c>
      <c r="AN106" s="422">
        <f t="shared" si="275"/>
        <v>0</v>
      </c>
      <c r="AO106" s="473">
        <f t="shared" si="132"/>
        <v>0</v>
      </c>
      <c r="AP106" s="472">
        <f t="shared" si="276"/>
        <v>0</v>
      </c>
      <c r="AQ106" s="422">
        <f t="shared" si="276"/>
        <v>0</v>
      </c>
      <c r="AR106" s="473">
        <f t="shared" si="133"/>
        <v>0</v>
      </c>
      <c r="AS106" s="472">
        <f t="shared" si="269"/>
        <v>93059.77</v>
      </c>
      <c r="AT106" s="422">
        <f t="shared" si="269"/>
        <v>0</v>
      </c>
      <c r="AU106" s="473">
        <f t="shared" si="134"/>
        <v>93059.77</v>
      </c>
      <c r="AV106" s="602">
        <f t="shared" si="135"/>
        <v>0</v>
      </c>
      <c r="AW106" s="472">
        <f t="shared" ref="AW106:BT106" si="279">SUM(AW107:AW110)</f>
        <v>0</v>
      </c>
      <c r="AX106" s="422">
        <f t="shared" si="279"/>
        <v>0</v>
      </c>
      <c r="AY106" s="422">
        <f t="shared" si="279"/>
        <v>0</v>
      </c>
      <c r="AZ106" s="422">
        <f t="shared" si="279"/>
        <v>0</v>
      </c>
      <c r="BA106" s="422">
        <f t="shared" si="279"/>
        <v>0</v>
      </c>
      <c r="BB106" s="423">
        <f t="shared" si="279"/>
        <v>0</v>
      </c>
      <c r="BC106" s="472">
        <f t="shared" si="279"/>
        <v>0</v>
      </c>
      <c r="BD106" s="422">
        <f t="shared" si="279"/>
        <v>0</v>
      </c>
      <c r="BE106" s="422">
        <f t="shared" si="279"/>
        <v>0</v>
      </c>
      <c r="BF106" s="422">
        <f t="shared" si="279"/>
        <v>0</v>
      </c>
      <c r="BG106" s="422">
        <f t="shared" si="279"/>
        <v>0</v>
      </c>
      <c r="BH106" s="423">
        <f t="shared" si="279"/>
        <v>0</v>
      </c>
      <c r="BI106" s="472">
        <f t="shared" si="279"/>
        <v>0</v>
      </c>
      <c r="BJ106" s="422">
        <f t="shared" si="279"/>
        <v>0</v>
      </c>
      <c r="BK106" s="422">
        <f t="shared" si="279"/>
        <v>0</v>
      </c>
      <c r="BL106" s="422">
        <f t="shared" si="279"/>
        <v>0</v>
      </c>
      <c r="BM106" s="422">
        <f t="shared" si="279"/>
        <v>0</v>
      </c>
      <c r="BN106" s="423">
        <f t="shared" si="279"/>
        <v>0</v>
      </c>
      <c r="BO106" s="472">
        <f t="shared" si="279"/>
        <v>0</v>
      </c>
      <c r="BP106" s="422">
        <f t="shared" si="279"/>
        <v>0</v>
      </c>
      <c r="BQ106" s="422">
        <f t="shared" si="279"/>
        <v>0</v>
      </c>
      <c r="BR106" s="422">
        <f t="shared" si="279"/>
        <v>0</v>
      </c>
      <c r="BS106" s="422">
        <f t="shared" si="279"/>
        <v>93059.77</v>
      </c>
      <c r="BT106" s="473">
        <f t="shared" si="279"/>
        <v>0</v>
      </c>
    </row>
    <row r="107" spans="1:72" s="399" customFormat="1" ht="25.5" customHeight="1" outlineLevel="2">
      <c r="A107" s="287">
        <v>95</v>
      </c>
      <c r="B107" s="933"/>
      <c r="C107" s="859"/>
      <c r="D107" s="841" t="s">
        <v>277</v>
      </c>
      <c r="E107" s="860"/>
      <c r="F107" s="829" t="s">
        <v>7</v>
      </c>
      <c r="G107" s="400">
        <v>4</v>
      </c>
      <c r="H107" s="747" t="s">
        <v>70</v>
      </c>
      <c r="I107" s="747">
        <v>244</v>
      </c>
      <c r="J107" s="748">
        <v>226</v>
      </c>
      <c r="K107" s="538" t="s">
        <v>298</v>
      </c>
      <c r="L107" s="1004">
        <v>5666.67</v>
      </c>
      <c r="M107" s="403"/>
      <c r="N107" s="403"/>
      <c r="O107" s="403">
        <f t="shared" si="127"/>
        <v>5666.67</v>
      </c>
      <c r="P107" s="566"/>
      <c r="Q107" s="406"/>
      <c r="R107" s="566"/>
      <c r="S107" s="406"/>
      <c r="T107" s="566"/>
      <c r="U107" s="404"/>
      <c r="V107" s="405"/>
      <c r="W107" s="405"/>
      <c r="X107" s="405"/>
      <c r="Z107" s="406">
        <f t="shared" si="271"/>
        <v>0</v>
      </c>
      <c r="AA107" s="407">
        <f t="shared" si="271"/>
        <v>0</v>
      </c>
      <c r="AB107" s="408">
        <f t="shared" si="128"/>
        <v>0</v>
      </c>
      <c r="AC107" s="406">
        <f t="shared" si="272"/>
        <v>0</v>
      </c>
      <c r="AD107" s="407">
        <f t="shared" si="272"/>
        <v>0</v>
      </c>
      <c r="AE107" s="408">
        <f t="shared" si="129"/>
        <v>0</v>
      </c>
      <c r="AF107" s="406">
        <f t="shared" si="273"/>
        <v>0</v>
      </c>
      <c r="AG107" s="407">
        <f t="shared" si="273"/>
        <v>0</v>
      </c>
      <c r="AH107" s="408">
        <f t="shared" si="130"/>
        <v>0</v>
      </c>
      <c r="AI107" s="406">
        <f t="shared" si="274"/>
        <v>5666.67</v>
      </c>
      <c r="AJ107" s="407">
        <f t="shared" si="274"/>
        <v>0</v>
      </c>
      <c r="AK107" s="408">
        <f t="shared" si="131"/>
        <v>5666.67</v>
      </c>
      <c r="AL107" s="409"/>
      <c r="AM107" s="406">
        <f t="shared" si="275"/>
        <v>0</v>
      </c>
      <c r="AN107" s="410">
        <f t="shared" si="275"/>
        <v>0</v>
      </c>
      <c r="AO107" s="411">
        <f t="shared" si="132"/>
        <v>0</v>
      </c>
      <c r="AP107" s="406">
        <f t="shared" si="276"/>
        <v>0</v>
      </c>
      <c r="AQ107" s="410">
        <f t="shared" si="276"/>
        <v>0</v>
      </c>
      <c r="AR107" s="411">
        <f t="shared" si="133"/>
        <v>0</v>
      </c>
      <c r="AS107" s="412">
        <f t="shared" si="269"/>
        <v>5666.67</v>
      </c>
      <c r="AT107" s="410">
        <f t="shared" si="269"/>
        <v>0</v>
      </c>
      <c r="AU107" s="411">
        <f t="shared" si="134"/>
        <v>5666.67</v>
      </c>
      <c r="AV107" s="603">
        <f t="shared" si="135"/>
        <v>0</v>
      </c>
      <c r="AW107" s="413"/>
      <c r="AX107" s="414"/>
      <c r="AY107" s="415"/>
      <c r="AZ107" s="414"/>
      <c r="BA107" s="415"/>
      <c r="BB107" s="416"/>
      <c r="BC107" s="417"/>
      <c r="BD107" s="418"/>
      <c r="BE107" s="419"/>
      <c r="BF107" s="418"/>
      <c r="BG107" s="419"/>
      <c r="BH107" s="420"/>
      <c r="BI107" s="421"/>
      <c r="BJ107" s="422"/>
      <c r="BK107" s="407"/>
      <c r="BL107" s="422"/>
      <c r="BM107" s="407"/>
      <c r="BN107" s="423"/>
      <c r="BO107" s="424"/>
      <c r="BP107" s="425"/>
      <c r="BQ107" s="426"/>
      <c r="BR107" s="425"/>
      <c r="BS107" s="426">
        <v>5666.67</v>
      </c>
      <c r="BT107" s="427"/>
    </row>
    <row r="108" spans="1:72" s="399" customFormat="1" ht="25.5" customHeight="1" outlineLevel="2">
      <c r="A108" s="287">
        <v>96</v>
      </c>
      <c r="B108" s="933"/>
      <c r="C108" s="859"/>
      <c r="D108" s="841" t="s">
        <v>277</v>
      </c>
      <c r="E108" s="860"/>
      <c r="F108" s="829" t="s">
        <v>7</v>
      </c>
      <c r="G108" s="400">
        <v>4</v>
      </c>
      <c r="H108" s="747" t="s">
        <v>70</v>
      </c>
      <c r="I108" s="747">
        <v>244</v>
      </c>
      <c r="J108" s="748">
        <v>226</v>
      </c>
      <c r="K108" s="538" t="s">
        <v>299</v>
      </c>
      <c r="L108" s="1004">
        <v>28059.9</v>
      </c>
      <c r="M108" s="403"/>
      <c r="N108" s="403"/>
      <c r="O108" s="403">
        <f t="shared" si="127"/>
        <v>28059.9</v>
      </c>
      <c r="P108" s="566"/>
      <c r="Q108" s="406"/>
      <c r="R108" s="566"/>
      <c r="S108" s="406"/>
      <c r="T108" s="566"/>
      <c r="U108" s="404"/>
      <c r="V108" s="405"/>
      <c r="W108" s="405"/>
      <c r="X108" s="405"/>
      <c r="Z108" s="406">
        <f t="shared" si="271"/>
        <v>0</v>
      </c>
      <c r="AA108" s="407">
        <f t="shared" si="271"/>
        <v>0</v>
      </c>
      <c r="AB108" s="408">
        <f t="shared" si="128"/>
        <v>0</v>
      </c>
      <c r="AC108" s="406">
        <f t="shared" si="272"/>
        <v>0</v>
      </c>
      <c r="AD108" s="407">
        <f t="shared" si="272"/>
        <v>0</v>
      </c>
      <c r="AE108" s="408">
        <f t="shared" si="129"/>
        <v>0</v>
      </c>
      <c r="AF108" s="406">
        <f t="shared" si="273"/>
        <v>0</v>
      </c>
      <c r="AG108" s="407">
        <f t="shared" si="273"/>
        <v>0</v>
      </c>
      <c r="AH108" s="408">
        <f t="shared" si="130"/>
        <v>0</v>
      </c>
      <c r="AI108" s="406">
        <f t="shared" si="274"/>
        <v>28059.9</v>
      </c>
      <c r="AJ108" s="407">
        <f t="shared" si="274"/>
        <v>0</v>
      </c>
      <c r="AK108" s="408">
        <f t="shared" si="131"/>
        <v>28059.9</v>
      </c>
      <c r="AL108" s="409"/>
      <c r="AM108" s="406">
        <f t="shared" si="275"/>
        <v>0</v>
      </c>
      <c r="AN108" s="410">
        <f t="shared" si="275"/>
        <v>0</v>
      </c>
      <c r="AO108" s="411">
        <f t="shared" si="132"/>
        <v>0</v>
      </c>
      <c r="AP108" s="406">
        <f t="shared" si="276"/>
        <v>0</v>
      </c>
      <c r="AQ108" s="410">
        <f t="shared" si="276"/>
        <v>0</v>
      </c>
      <c r="AR108" s="411">
        <f t="shared" si="133"/>
        <v>0</v>
      </c>
      <c r="AS108" s="412">
        <f t="shared" si="269"/>
        <v>28059.9</v>
      </c>
      <c r="AT108" s="410">
        <f t="shared" si="269"/>
        <v>0</v>
      </c>
      <c r="AU108" s="411">
        <f t="shared" si="134"/>
        <v>28059.9</v>
      </c>
      <c r="AV108" s="603">
        <f t="shared" si="135"/>
        <v>0</v>
      </c>
      <c r="AW108" s="413"/>
      <c r="AX108" s="414"/>
      <c r="AY108" s="415"/>
      <c r="AZ108" s="414"/>
      <c r="BA108" s="415"/>
      <c r="BB108" s="416"/>
      <c r="BC108" s="417"/>
      <c r="BD108" s="418"/>
      <c r="BE108" s="419"/>
      <c r="BF108" s="418"/>
      <c r="BG108" s="419"/>
      <c r="BH108" s="420"/>
      <c r="BI108" s="421"/>
      <c r="BJ108" s="422"/>
      <c r="BK108" s="407"/>
      <c r="BL108" s="422"/>
      <c r="BM108" s="407"/>
      <c r="BN108" s="423"/>
      <c r="BO108" s="424"/>
      <c r="BP108" s="425"/>
      <c r="BQ108" s="426"/>
      <c r="BR108" s="425"/>
      <c r="BS108" s="426">
        <v>28059.9</v>
      </c>
      <c r="BT108" s="427"/>
    </row>
    <row r="109" spans="1:72" s="399" customFormat="1" ht="25.5" customHeight="1" outlineLevel="2">
      <c r="A109" s="287">
        <v>97</v>
      </c>
      <c r="B109" s="933"/>
      <c r="C109" s="859"/>
      <c r="D109" s="841" t="s">
        <v>277</v>
      </c>
      <c r="E109" s="860"/>
      <c r="F109" s="829" t="s">
        <v>7</v>
      </c>
      <c r="G109" s="400">
        <v>4</v>
      </c>
      <c r="H109" s="747" t="s">
        <v>70</v>
      </c>
      <c r="I109" s="747">
        <v>244</v>
      </c>
      <c r="J109" s="748">
        <v>226</v>
      </c>
      <c r="K109" s="538" t="s">
        <v>300</v>
      </c>
      <c r="L109" s="1004">
        <v>59333.2</v>
      </c>
      <c r="M109" s="403"/>
      <c r="N109" s="403"/>
      <c r="O109" s="403">
        <f t="shared" si="127"/>
        <v>59333.2</v>
      </c>
      <c r="P109" s="566"/>
      <c r="Q109" s="406"/>
      <c r="R109" s="566"/>
      <c r="S109" s="406"/>
      <c r="T109" s="566"/>
      <c r="U109" s="404"/>
      <c r="V109" s="405"/>
      <c r="W109" s="405"/>
      <c r="X109" s="405"/>
      <c r="Z109" s="406">
        <f t="shared" si="271"/>
        <v>0</v>
      </c>
      <c r="AA109" s="407">
        <f t="shared" si="271"/>
        <v>0</v>
      </c>
      <c r="AB109" s="408">
        <f t="shared" si="128"/>
        <v>0</v>
      </c>
      <c r="AC109" s="406">
        <f t="shared" si="272"/>
        <v>0</v>
      </c>
      <c r="AD109" s="407">
        <f t="shared" si="272"/>
        <v>0</v>
      </c>
      <c r="AE109" s="408">
        <f t="shared" si="129"/>
        <v>0</v>
      </c>
      <c r="AF109" s="406">
        <f t="shared" si="273"/>
        <v>0</v>
      </c>
      <c r="AG109" s="407">
        <f t="shared" si="273"/>
        <v>0</v>
      </c>
      <c r="AH109" s="408">
        <f t="shared" si="130"/>
        <v>0</v>
      </c>
      <c r="AI109" s="406">
        <f t="shared" si="274"/>
        <v>59333.2</v>
      </c>
      <c r="AJ109" s="407">
        <f t="shared" si="274"/>
        <v>0</v>
      </c>
      <c r="AK109" s="408">
        <f t="shared" si="131"/>
        <v>59333.2</v>
      </c>
      <c r="AL109" s="409"/>
      <c r="AM109" s="406">
        <f t="shared" si="275"/>
        <v>0</v>
      </c>
      <c r="AN109" s="410">
        <f t="shared" si="275"/>
        <v>0</v>
      </c>
      <c r="AO109" s="411">
        <f t="shared" si="132"/>
        <v>0</v>
      </c>
      <c r="AP109" s="406">
        <f t="shared" si="276"/>
        <v>0</v>
      </c>
      <c r="AQ109" s="410">
        <f t="shared" si="276"/>
        <v>0</v>
      </c>
      <c r="AR109" s="411">
        <f t="shared" si="133"/>
        <v>0</v>
      </c>
      <c r="AS109" s="412">
        <f t="shared" si="269"/>
        <v>59333.2</v>
      </c>
      <c r="AT109" s="410">
        <f t="shared" si="269"/>
        <v>0</v>
      </c>
      <c r="AU109" s="411">
        <f t="shared" si="134"/>
        <v>59333.2</v>
      </c>
      <c r="AV109" s="603">
        <f t="shared" si="135"/>
        <v>0</v>
      </c>
      <c r="AW109" s="413"/>
      <c r="AX109" s="414"/>
      <c r="AY109" s="415"/>
      <c r="AZ109" s="414"/>
      <c r="BA109" s="415"/>
      <c r="BB109" s="416"/>
      <c r="BC109" s="417"/>
      <c r="BD109" s="418"/>
      <c r="BE109" s="419"/>
      <c r="BF109" s="418"/>
      <c r="BG109" s="419"/>
      <c r="BH109" s="420"/>
      <c r="BI109" s="421"/>
      <c r="BJ109" s="422"/>
      <c r="BK109" s="407"/>
      <c r="BL109" s="422"/>
      <c r="BM109" s="407"/>
      <c r="BN109" s="423"/>
      <c r="BO109" s="424"/>
      <c r="BP109" s="425"/>
      <c r="BQ109" s="426"/>
      <c r="BR109" s="425"/>
      <c r="BS109" s="426">
        <v>59333.2</v>
      </c>
      <c r="BT109" s="427"/>
    </row>
    <row r="110" spans="1:72" s="430" customFormat="1" ht="25.5" customHeight="1" outlineLevel="2">
      <c r="A110" s="287">
        <v>98</v>
      </c>
      <c r="B110" s="933"/>
      <c r="C110" s="743"/>
      <c r="D110" s="856" t="s">
        <v>277</v>
      </c>
      <c r="E110" s="857"/>
      <c r="F110" s="827" t="s">
        <v>7</v>
      </c>
      <c r="G110" s="431">
        <v>4</v>
      </c>
      <c r="H110" s="474" t="s">
        <v>70</v>
      </c>
      <c r="I110" s="743">
        <v>244</v>
      </c>
      <c r="J110" s="744">
        <v>226</v>
      </c>
      <c r="K110" s="536" t="s">
        <v>284</v>
      </c>
      <c r="L110" s="443"/>
      <c r="M110" s="434"/>
      <c r="N110" s="434"/>
      <c r="O110" s="434">
        <f t="shared" si="127"/>
        <v>0</v>
      </c>
      <c r="P110" s="567"/>
      <c r="Q110" s="437"/>
      <c r="R110" s="567"/>
      <c r="S110" s="437"/>
      <c r="T110" s="567"/>
      <c r="U110" s="435"/>
      <c r="V110" s="436"/>
      <c r="W110" s="436"/>
      <c r="X110" s="436"/>
      <c r="Z110" s="437">
        <f t="shared" si="271"/>
        <v>0</v>
      </c>
      <c r="AA110" s="438">
        <f t="shared" si="271"/>
        <v>0</v>
      </c>
      <c r="AB110" s="439">
        <f t="shared" si="128"/>
        <v>0</v>
      </c>
      <c r="AC110" s="437">
        <f t="shared" si="272"/>
        <v>0</v>
      </c>
      <c r="AD110" s="438">
        <f t="shared" si="272"/>
        <v>0</v>
      </c>
      <c r="AE110" s="439">
        <f t="shared" si="129"/>
        <v>0</v>
      </c>
      <c r="AF110" s="437">
        <f t="shared" si="273"/>
        <v>0</v>
      </c>
      <c r="AG110" s="438">
        <f t="shared" si="273"/>
        <v>0</v>
      </c>
      <c r="AH110" s="439">
        <f t="shared" si="130"/>
        <v>0</v>
      </c>
      <c r="AI110" s="437">
        <f t="shared" si="274"/>
        <v>0</v>
      </c>
      <c r="AJ110" s="438">
        <f t="shared" si="274"/>
        <v>0</v>
      </c>
      <c r="AK110" s="439">
        <f t="shared" si="131"/>
        <v>0</v>
      </c>
      <c r="AL110" s="440"/>
      <c r="AM110" s="437">
        <f t="shared" si="275"/>
        <v>0</v>
      </c>
      <c r="AN110" s="441">
        <f t="shared" si="275"/>
        <v>0</v>
      </c>
      <c r="AO110" s="442">
        <f t="shared" si="132"/>
        <v>0</v>
      </c>
      <c r="AP110" s="437">
        <f t="shared" si="276"/>
        <v>0</v>
      </c>
      <c r="AQ110" s="441">
        <f t="shared" si="276"/>
        <v>0</v>
      </c>
      <c r="AR110" s="442">
        <f t="shared" si="133"/>
        <v>0</v>
      </c>
      <c r="AS110" s="443">
        <f t="shared" si="269"/>
        <v>0</v>
      </c>
      <c r="AT110" s="441">
        <f t="shared" si="269"/>
        <v>0</v>
      </c>
      <c r="AU110" s="442">
        <f t="shared" si="134"/>
        <v>0</v>
      </c>
      <c r="AV110" s="601">
        <f t="shared" si="135"/>
        <v>0</v>
      </c>
      <c r="AW110" s="444"/>
      <c r="AX110" s="445"/>
      <c r="AY110" s="446"/>
      <c r="AZ110" s="445"/>
      <c r="BA110" s="446"/>
      <c r="BB110" s="447"/>
      <c r="BC110" s="448"/>
      <c r="BD110" s="449"/>
      <c r="BE110" s="450"/>
      <c r="BF110" s="449"/>
      <c r="BG110" s="450"/>
      <c r="BH110" s="451"/>
      <c r="BI110" s="452"/>
      <c r="BJ110" s="453"/>
      <c r="BK110" s="438"/>
      <c r="BL110" s="453"/>
      <c r="BM110" s="438"/>
      <c r="BN110" s="454"/>
      <c r="BO110" s="455"/>
      <c r="BP110" s="456"/>
      <c r="BQ110" s="457"/>
      <c r="BR110" s="456"/>
      <c r="BS110" s="457"/>
      <c r="BT110" s="458"/>
    </row>
    <row r="111" spans="1:72" s="965" customFormat="1" ht="51" customHeight="1">
      <c r="A111" s="287">
        <v>99</v>
      </c>
      <c r="B111" s="952"/>
      <c r="C111" s="953" t="s">
        <v>377</v>
      </c>
      <c r="D111" s="954"/>
      <c r="E111" s="955" t="s">
        <v>201</v>
      </c>
      <c r="F111" s="956" t="s">
        <v>7</v>
      </c>
      <c r="G111" s="957">
        <v>4</v>
      </c>
      <c r="H111" s="957" t="s">
        <v>266</v>
      </c>
      <c r="I111" s="957">
        <v>244</v>
      </c>
      <c r="J111" s="958">
        <v>346</v>
      </c>
      <c r="K111" s="959" t="s">
        <v>306</v>
      </c>
      <c r="L111" s="960">
        <v>359298.91</v>
      </c>
      <c r="M111" s="961"/>
      <c r="N111" s="961"/>
      <c r="O111" s="961">
        <f t="shared" si="127"/>
        <v>359298.91</v>
      </c>
      <c r="P111" s="962"/>
      <c r="Q111" s="960">
        <f>Q124</f>
        <v>379130.88</v>
      </c>
      <c r="R111" s="962">
        <f>R124</f>
        <v>0</v>
      </c>
      <c r="S111" s="960">
        <f>S124</f>
        <v>485710.59</v>
      </c>
      <c r="T111" s="962"/>
      <c r="U111" s="963"/>
      <c r="V111" s="964"/>
      <c r="W111" s="964"/>
      <c r="X111" s="964"/>
      <c r="Z111" s="960">
        <f t="shared" si="271"/>
        <v>159594.81</v>
      </c>
      <c r="AA111" s="961">
        <f t="shared" si="271"/>
        <v>0</v>
      </c>
      <c r="AB111" s="966">
        <f t="shared" si="128"/>
        <v>159594.81</v>
      </c>
      <c r="AC111" s="960">
        <f t="shared" si="272"/>
        <v>58255.15</v>
      </c>
      <c r="AD111" s="961">
        <f t="shared" si="272"/>
        <v>0</v>
      </c>
      <c r="AE111" s="966">
        <f t="shared" si="129"/>
        <v>58255.15</v>
      </c>
      <c r="AF111" s="960">
        <f t="shared" si="273"/>
        <v>27459.5</v>
      </c>
      <c r="AG111" s="961">
        <f t="shared" si="273"/>
        <v>0</v>
      </c>
      <c r="AH111" s="966">
        <f t="shared" si="130"/>
        <v>27459.5</v>
      </c>
      <c r="AI111" s="960">
        <f t="shared" si="274"/>
        <v>132954.44</v>
      </c>
      <c r="AJ111" s="961">
        <f t="shared" si="274"/>
        <v>0</v>
      </c>
      <c r="AK111" s="966">
        <f t="shared" si="131"/>
        <v>132954.44</v>
      </c>
      <c r="AL111" s="967"/>
      <c r="AM111" s="960">
        <f t="shared" si="275"/>
        <v>217849.96</v>
      </c>
      <c r="AN111" s="961">
        <f t="shared" si="275"/>
        <v>0</v>
      </c>
      <c r="AO111" s="966">
        <f t="shared" si="132"/>
        <v>217849.96</v>
      </c>
      <c r="AP111" s="960">
        <f t="shared" si="276"/>
        <v>245309.46</v>
      </c>
      <c r="AQ111" s="961">
        <f t="shared" si="276"/>
        <v>0</v>
      </c>
      <c r="AR111" s="966">
        <f t="shared" si="133"/>
        <v>245309.46</v>
      </c>
      <c r="AS111" s="960">
        <f t="shared" si="269"/>
        <v>378263.9</v>
      </c>
      <c r="AT111" s="961">
        <f t="shared" si="269"/>
        <v>0</v>
      </c>
      <c r="AU111" s="966">
        <f t="shared" si="134"/>
        <v>378263.9</v>
      </c>
      <c r="AV111" s="968">
        <f t="shared" si="135"/>
        <v>-18964.990000000002</v>
      </c>
      <c r="AW111" s="960">
        <f t="shared" ref="AW111:BT111" si="280">SUM(AW124,AW112,AW127,AW130,AW133,AW136)</f>
        <v>0</v>
      </c>
      <c r="AX111" s="961">
        <f t="shared" si="280"/>
        <v>0</v>
      </c>
      <c r="AY111" s="961">
        <f t="shared" si="280"/>
        <v>151004.81</v>
      </c>
      <c r="AZ111" s="961">
        <f t="shared" si="280"/>
        <v>0</v>
      </c>
      <c r="BA111" s="961">
        <f t="shared" si="280"/>
        <v>8590</v>
      </c>
      <c r="BB111" s="969">
        <f t="shared" si="280"/>
        <v>0</v>
      </c>
      <c r="BC111" s="960">
        <f t="shared" si="280"/>
        <v>58255.15</v>
      </c>
      <c r="BD111" s="961">
        <f t="shared" si="280"/>
        <v>0</v>
      </c>
      <c r="BE111" s="961">
        <f t="shared" si="280"/>
        <v>0</v>
      </c>
      <c r="BF111" s="961">
        <f t="shared" si="280"/>
        <v>0</v>
      </c>
      <c r="BG111" s="961">
        <f t="shared" si="280"/>
        <v>0</v>
      </c>
      <c r="BH111" s="969">
        <f t="shared" si="280"/>
        <v>0</v>
      </c>
      <c r="BI111" s="960">
        <f t="shared" si="280"/>
        <v>0</v>
      </c>
      <c r="BJ111" s="961">
        <f t="shared" si="280"/>
        <v>0</v>
      </c>
      <c r="BK111" s="961">
        <f t="shared" si="280"/>
        <v>10000</v>
      </c>
      <c r="BL111" s="961">
        <f t="shared" si="280"/>
        <v>0</v>
      </c>
      <c r="BM111" s="961">
        <f t="shared" si="280"/>
        <v>17459.5</v>
      </c>
      <c r="BN111" s="969">
        <f t="shared" si="280"/>
        <v>0</v>
      </c>
      <c r="BO111" s="960">
        <f t="shared" si="280"/>
        <v>20000</v>
      </c>
      <c r="BP111" s="961">
        <f t="shared" si="280"/>
        <v>0</v>
      </c>
      <c r="BQ111" s="961">
        <f t="shared" si="280"/>
        <v>78871.14</v>
      </c>
      <c r="BR111" s="961">
        <f t="shared" si="280"/>
        <v>0</v>
      </c>
      <c r="BS111" s="961">
        <f t="shared" si="280"/>
        <v>34083.300000000003</v>
      </c>
      <c r="BT111" s="966">
        <f t="shared" si="280"/>
        <v>0</v>
      </c>
    </row>
    <row r="112" spans="1:72" s="459" customFormat="1" ht="97.5" outlineLevel="1">
      <c r="A112" s="287">
        <v>100</v>
      </c>
      <c r="B112" s="933"/>
      <c r="C112" s="850" t="s">
        <v>378</v>
      </c>
      <c r="D112" s="854" t="s">
        <v>273</v>
      </c>
      <c r="E112" s="855"/>
      <c r="F112" s="923" t="s">
        <v>7</v>
      </c>
      <c r="G112" s="462">
        <v>4</v>
      </c>
      <c r="H112" s="741" t="s">
        <v>70</v>
      </c>
      <c r="I112" s="741">
        <v>244</v>
      </c>
      <c r="J112" s="742">
        <v>346</v>
      </c>
      <c r="K112" s="535" t="s">
        <v>492</v>
      </c>
      <c r="L112" s="464">
        <v>64879.15</v>
      </c>
      <c r="M112" s="352"/>
      <c r="N112" s="352"/>
      <c r="O112" s="352">
        <f t="shared" si="127"/>
        <v>64879.15</v>
      </c>
      <c r="P112" s="924"/>
      <c r="Q112" s="464"/>
      <c r="R112" s="924"/>
      <c r="S112" s="464"/>
      <c r="T112" s="924"/>
      <c r="U112" s="925"/>
      <c r="V112" s="926"/>
      <c r="W112" s="926"/>
      <c r="X112" s="926"/>
      <c r="Y112" s="927"/>
      <c r="Z112" s="928">
        <f t="shared" si="271"/>
        <v>25588.99</v>
      </c>
      <c r="AA112" s="929">
        <f t="shared" si="271"/>
        <v>0</v>
      </c>
      <c r="AB112" s="930">
        <f t="shared" si="128"/>
        <v>25588.99</v>
      </c>
      <c r="AC112" s="928">
        <f t="shared" si="272"/>
        <v>58255.15</v>
      </c>
      <c r="AD112" s="929">
        <f t="shared" si="272"/>
        <v>0</v>
      </c>
      <c r="AE112" s="930">
        <f t="shared" si="129"/>
        <v>58255.15</v>
      </c>
      <c r="AF112" s="928">
        <f t="shared" si="273"/>
        <v>0</v>
      </c>
      <c r="AG112" s="929">
        <f t="shared" si="273"/>
        <v>0</v>
      </c>
      <c r="AH112" s="930">
        <f t="shared" si="130"/>
        <v>0</v>
      </c>
      <c r="AI112" s="928">
        <f t="shared" si="274"/>
        <v>0</v>
      </c>
      <c r="AJ112" s="929">
        <f t="shared" si="274"/>
        <v>0</v>
      </c>
      <c r="AK112" s="930">
        <f t="shared" si="131"/>
        <v>0</v>
      </c>
      <c r="AL112" s="931"/>
      <c r="AM112" s="464">
        <f t="shared" si="275"/>
        <v>83844.14</v>
      </c>
      <c r="AN112" s="352">
        <f t="shared" si="275"/>
        <v>0</v>
      </c>
      <c r="AO112" s="465">
        <f t="shared" si="132"/>
        <v>83844.14</v>
      </c>
      <c r="AP112" s="464">
        <f t="shared" si="276"/>
        <v>83844.14</v>
      </c>
      <c r="AQ112" s="352">
        <f t="shared" si="276"/>
        <v>0</v>
      </c>
      <c r="AR112" s="465">
        <f t="shared" si="133"/>
        <v>83844.14</v>
      </c>
      <c r="AS112" s="464">
        <f t="shared" si="269"/>
        <v>83844.14</v>
      </c>
      <c r="AT112" s="352">
        <f t="shared" si="269"/>
        <v>0</v>
      </c>
      <c r="AU112" s="465">
        <f t="shared" si="134"/>
        <v>83844.14</v>
      </c>
      <c r="AV112" s="600">
        <f t="shared" si="135"/>
        <v>-18964.990000000002</v>
      </c>
      <c r="AW112" s="464">
        <f t="shared" ref="AW112:BT112" si="281">SUM(AW113:AW123)</f>
        <v>0</v>
      </c>
      <c r="AX112" s="352">
        <f t="shared" si="281"/>
        <v>0</v>
      </c>
      <c r="AY112" s="352">
        <f t="shared" si="281"/>
        <v>16998.990000000002</v>
      </c>
      <c r="AZ112" s="352">
        <f t="shared" si="281"/>
        <v>0</v>
      </c>
      <c r="BA112" s="352">
        <f t="shared" si="281"/>
        <v>8590</v>
      </c>
      <c r="BB112" s="353">
        <f t="shared" si="281"/>
        <v>0</v>
      </c>
      <c r="BC112" s="464">
        <f t="shared" si="281"/>
        <v>58255.15</v>
      </c>
      <c r="BD112" s="352">
        <f t="shared" si="281"/>
        <v>0</v>
      </c>
      <c r="BE112" s="352">
        <f t="shared" si="281"/>
        <v>0</v>
      </c>
      <c r="BF112" s="352">
        <f t="shared" si="281"/>
        <v>0</v>
      </c>
      <c r="BG112" s="352">
        <f t="shared" si="281"/>
        <v>0</v>
      </c>
      <c r="BH112" s="353">
        <f t="shared" si="281"/>
        <v>0</v>
      </c>
      <c r="BI112" s="464">
        <f t="shared" si="281"/>
        <v>0</v>
      </c>
      <c r="BJ112" s="352">
        <f t="shared" si="281"/>
        <v>0</v>
      </c>
      <c r="BK112" s="352">
        <f t="shared" si="281"/>
        <v>0</v>
      </c>
      <c r="BL112" s="352">
        <f t="shared" si="281"/>
        <v>0</v>
      </c>
      <c r="BM112" s="352">
        <f t="shared" si="281"/>
        <v>0</v>
      </c>
      <c r="BN112" s="353">
        <f t="shared" si="281"/>
        <v>0</v>
      </c>
      <c r="BO112" s="464">
        <f t="shared" si="281"/>
        <v>0</v>
      </c>
      <c r="BP112" s="352">
        <f t="shared" si="281"/>
        <v>0</v>
      </c>
      <c r="BQ112" s="352">
        <f t="shared" si="281"/>
        <v>0</v>
      </c>
      <c r="BR112" s="352">
        <f t="shared" si="281"/>
        <v>0</v>
      </c>
      <c r="BS112" s="352">
        <f t="shared" si="281"/>
        <v>0</v>
      </c>
      <c r="BT112" s="465">
        <f t="shared" si="281"/>
        <v>0</v>
      </c>
    </row>
    <row r="113" spans="1:72" s="313" customFormat="1" ht="25.5" customHeight="1" outlineLevel="2">
      <c r="A113" s="287">
        <v>101</v>
      </c>
      <c r="B113" s="933"/>
      <c r="C113" s="840"/>
      <c r="D113" s="841" t="s">
        <v>273</v>
      </c>
      <c r="E113" s="839"/>
      <c r="F113" s="821" t="s">
        <v>7</v>
      </c>
      <c r="G113" s="314">
        <v>4</v>
      </c>
      <c r="H113" s="739" t="s">
        <v>70</v>
      </c>
      <c r="I113" s="739">
        <v>244</v>
      </c>
      <c r="J113" s="740">
        <v>346</v>
      </c>
      <c r="K113" s="1005" t="s">
        <v>565</v>
      </c>
      <c r="L113" s="1004">
        <f>64879.15-SUM(L114:L123)</f>
        <v>39310.160000000003</v>
      </c>
      <c r="M113" s="318"/>
      <c r="N113" s="318"/>
      <c r="O113" s="318">
        <f t="shared" si="127"/>
        <v>39310.160000000003</v>
      </c>
      <c r="P113" s="562"/>
      <c r="Q113" s="336"/>
      <c r="R113" s="562"/>
      <c r="S113" s="336"/>
      <c r="T113" s="562"/>
      <c r="U113" s="466"/>
      <c r="V113" s="320"/>
      <c r="W113" s="320"/>
      <c r="X113" s="388" t="s">
        <v>573</v>
      </c>
      <c r="Z113" s="336">
        <f t="shared" si="271"/>
        <v>0</v>
      </c>
      <c r="AA113" s="337">
        <f t="shared" si="271"/>
        <v>0</v>
      </c>
      <c r="AB113" s="338">
        <f t="shared" si="128"/>
        <v>0</v>
      </c>
      <c r="AC113" s="336">
        <f t="shared" si="272"/>
        <v>58255.15</v>
      </c>
      <c r="AD113" s="337">
        <f t="shared" si="272"/>
        <v>0</v>
      </c>
      <c r="AE113" s="338">
        <f t="shared" si="129"/>
        <v>58255.15</v>
      </c>
      <c r="AF113" s="336">
        <f t="shared" si="273"/>
        <v>0</v>
      </c>
      <c r="AG113" s="337">
        <f t="shared" si="273"/>
        <v>0</v>
      </c>
      <c r="AH113" s="338">
        <f t="shared" si="130"/>
        <v>0</v>
      </c>
      <c r="AI113" s="336">
        <f t="shared" si="274"/>
        <v>0</v>
      </c>
      <c r="AJ113" s="337">
        <f t="shared" si="274"/>
        <v>0</v>
      </c>
      <c r="AK113" s="338">
        <f t="shared" si="131"/>
        <v>0</v>
      </c>
      <c r="AL113" s="342"/>
      <c r="AM113" s="336">
        <f t="shared" si="275"/>
        <v>58255.15</v>
      </c>
      <c r="AN113" s="339">
        <f t="shared" si="275"/>
        <v>0</v>
      </c>
      <c r="AO113" s="340">
        <f t="shared" si="132"/>
        <v>58255.15</v>
      </c>
      <c r="AP113" s="336">
        <f t="shared" si="276"/>
        <v>58255.15</v>
      </c>
      <c r="AQ113" s="339">
        <f t="shared" si="276"/>
        <v>0</v>
      </c>
      <c r="AR113" s="340">
        <f t="shared" si="133"/>
        <v>58255.15</v>
      </c>
      <c r="AS113" s="341">
        <f t="shared" si="269"/>
        <v>58255.15</v>
      </c>
      <c r="AT113" s="339">
        <f t="shared" si="269"/>
        <v>0</v>
      </c>
      <c r="AU113" s="340">
        <f t="shared" si="134"/>
        <v>58255.15</v>
      </c>
      <c r="AV113" s="589">
        <f t="shared" si="135"/>
        <v>-18944.990000000002</v>
      </c>
      <c r="AW113" s="343"/>
      <c r="AX113" s="344"/>
      <c r="AY113" s="345"/>
      <c r="AZ113" s="344"/>
      <c r="BA113" s="345"/>
      <c r="BB113" s="346"/>
      <c r="BC113" s="347">
        <f>64879.15-275-2874-3475</f>
        <v>58255.15</v>
      </c>
      <c r="BD113" s="348"/>
      <c r="BE113" s="349"/>
      <c r="BF113" s="348"/>
      <c r="BG113" s="349"/>
      <c r="BH113" s="350"/>
      <c r="BI113" s="351"/>
      <c r="BJ113" s="352"/>
      <c r="BK113" s="337"/>
      <c r="BL113" s="352"/>
      <c r="BM113" s="337"/>
      <c r="BN113" s="353"/>
      <c r="BO113" s="354"/>
      <c r="BP113" s="355"/>
      <c r="BQ113" s="356"/>
      <c r="BR113" s="355"/>
      <c r="BS113" s="356"/>
      <c r="BT113" s="357"/>
    </row>
    <row r="114" spans="1:72" s="313" customFormat="1" ht="25.5" customHeight="1" outlineLevel="2">
      <c r="A114" s="287">
        <v>102</v>
      </c>
      <c r="B114" s="933"/>
      <c r="C114" s="840"/>
      <c r="D114" s="841" t="s">
        <v>273</v>
      </c>
      <c r="E114" s="839"/>
      <c r="F114" s="821" t="s">
        <v>7</v>
      </c>
      <c r="G114" s="314">
        <v>4</v>
      </c>
      <c r="H114" s="739" t="s">
        <v>70</v>
      </c>
      <c r="I114" s="739">
        <v>244</v>
      </c>
      <c r="J114" s="740">
        <v>346</v>
      </c>
      <c r="K114" s="533" t="s">
        <v>486</v>
      </c>
      <c r="L114" s="341">
        <v>275</v>
      </c>
      <c r="M114" s="318"/>
      <c r="N114" s="318"/>
      <c r="O114" s="318">
        <f>L114+N114</f>
        <v>275</v>
      </c>
      <c r="P114" s="562"/>
      <c r="Q114" s="336"/>
      <c r="R114" s="562"/>
      <c r="S114" s="336"/>
      <c r="T114" s="562"/>
      <c r="U114" s="466"/>
      <c r="V114" s="597" t="s">
        <v>483</v>
      </c>
      <c r="W114" s="597" t="s">
        <v>484</v>
      </c>
      <c r="X114" s="320" t="s">
        <v>557</v>
      </c>
      <c r="Z114" s="336">
        <f>AW114+AY114+BA114</f>
        <v>275</v>
      </c>
      <c r="AA114" s="337">
        <f>AX114+AZ114+BB114</f>
        <v>0</v>
      </c>
      <c r="AB114" s="338">
        <f>Z114-AA114</f>
        <v>275</v>
      </c>
      <c r="AC114" s="336">
        <f>BC114+BE114+BG114</f>
        <v>0</v>
      </c>
      <c r="AD114" s="337">
        <f>BD114+BF114+BH114</f>
        <v>0</v>
      </c>
      <c r="AE114" s="338">
        <f>AC114-AD114</f>
        <v>0</v>
      </c>
      <c r="AF114" s="336">
        <f>BI114+BK114+BM114</f>
        <v>0</v>
      </c>
      <c r="AG114" s="337">
        <f>BJ114+BL114+BN114</f>
        <v>0</v>
      </c>
      <c r="AH114" s="338">
        <f>AF114-AG114</f>
        <v>0</v>
      </c>
      <c r="AI114" s="336">
        <f>BO114+BQ114+BS114</f>
        <v>0</v>
      </c>
      <c r="AJ114" s="337">
        <f>BP114+BR114+BT114</f>
        <v>0</v>
      </c>
      <c r="AK114" s="338">
        <f>AI114-AJ114</f>
        <v>0</v>
      </c>
      <c r="AL114" s="342"/>
      <c r="AM114" s="336">
        <f>Z114+AC114</f>
        <v>275</v>
      </c>
      <c r="AN114" s="339">
        <f>AA114+AD114</f>
        <v>0</v>
      </c>
      <c r="AO114" s="340">
        <f>AM114-AN114</f>
        <v>275</v>
      </c>
      <c r="AP114" s="336">
        <f>Z114+AC114+AF114</f>
        <v>275</v>
      </c>
      <c r="AQ114" s="339">
        <f>AA114+AD114+AG114</f>
        <v>0</v>
      </c>
      <c r="AR114" s="340">
        <f>AP114-AQ114</f>
        <v>275</v>
      </c>
      <c r="AS114" s="341">
        <f>Z114+AC114+AF114+AI114</f>
        <v>275</v>
      </c>
      <c r="AT114" s="339">
        <f>AA114+AD114+AG114+AJ114</f>
        <v>0</v>
      </c>
      <c r="AU114" s="340">
        <f>AS114-AT114</f>
        <v>275</v>
      </c>
      <c r="AV114" s="589">
        <f>L114-AS114</f>
        <v>0</v>
      </c>
      <c r="AW114" s="343"/>
      <c r="AX114" s="344"/>
      <c r="AY114" s="345">
        <v>275</v>
      </c>
      <c r="AZ114" s="344"/>
      <c r="BA114" s="345"/>
      <c r="BB114" s="346"/>
      <c r="BC114" s="347"/>
      <c r="BD114" s="348"/>
      <c r="BE114" s="349"/>
      <c r="BF114" s="348"/>
      <c r="BG114" s="349"/>
      <c r="BH114" s="350"/>
      <c r="BI114" s="351"/>
      <c r="BJ114" s="352"/>
      <c r="BK114" s="337"/>
      <c r="BL114" s="352"/>
      <c r="BM114" s="337"/>
      <c r="BN114" s="353"/>
      <c r="BO114" s="354"/>
      <c r="BP114" s="355"/>
      <c r="BQ114" s="356"/>
      <c r="BR114" s="355"/>
      <c r="BS114" s="356"/>
      <c r="BT114" s="357"/>
    </row>
    <row r="115" spans="1:72" s="313" customFormat="1" ht="25.5" customHeight="1" outlineLevel="2">
      <c r="A115" s="287">
        <v>103</v>
      </c>
      <c r="B115" s="933"/>
      <c r="C115" s="840"/>
      <c r="D115" s="841" t="s">
        <v>273</v>
      </c>
      <c r="E115" s="839"/>
      <c r="F115" s="821" t="s">
        <v>7</v>
      </c>
      <c r="G115" s="314">
        <v>4</v>
      </c>
      <c r="H115" s="739" t="s">
        <v>70</v>
      </c>
      <c r="I115" s="739">
        <v>244</v>
      </c>
      <c r="J115" s="740">
        <v>346</v>
      </c>
      <c r="K115" s="533" t="s">
        <v>487</v>
      </c>
      <c r="L115" s="341">
        <v>2874</v>
      </c>
      <c r="M115" s="318"/>
      <c r="N115" s="318"/>
      <c r="O115" s="318">
        <f t="shared" ref="O115" si="282">L115+N115</f>
        <v>2874</v>
      </c>
      <c r="P115" s="562"/>
      <c r="Q115" s="336"/>
      <c r="R115" s="562"/>
      <c r="S115" s="336"/>
      <c r="T115" s="562"/>
      <c r="U115" s="466"/>
      <c r="V115" s="597" t="s">
        <v>483</v>
      </c>
      <c r="W115" s="597" t="s">
        <v>485</v>
      </c>
      <c r="X115" s="320" t="s">
        <v>557</v>
      </c>
      <c r="Z115" s="336">
        <f t="shared" ref="Z115" si="283">AW115+AY115+BA115</f>
        <v>2874</v>
      </c>
      <c r="AA115" s="337">
        <f t="shared" ref="AA115" si="284">AX115+AZ115+BB115</f>
        <v>0</v>
      </c>
      <c r="AB115" s="338">
        <f t="shared" ref="AB115" si="285">Z115-AA115</f>
        <v>2874</v>
      </c>
      <c r="AC115" s="336">
        <f t="shared" ref="AC115" si="286">BC115+BE115+BG115</f>
        <v>0</v>
      </c>
      <c r="AD115" s="337">
        <f t="shared" ref="AD115" si="287">BD115+BF115+BH115</f>
        <v>0</v>
      </c>
      <c r="AE115" s="338">
        <f t="shared" ref="AE115" si="288">AC115-AD115</f>
        <v>0</v>
      </c>
      <c r="AF115" s="336">
        <f t="shared" ref="AF115" si="289">BI115+BK115+BM115</f>
        <v>0</v>
      </c>
      <c r="AG115" s="337">
        <f t="shared" ref="AG115" si="290">BJ115+BL115+BN115</f>
        <v>0</v>
      </c>
      <c r="AH115" s="338">
        <f t="shared" ref="AH115" si="291">AF115-AG115</f>
        <v>0</v>
      </c>
      <c r="AI115" s="336">
        <f t="shared" ref="AI115" si="292">BO115+BQ115+BS115</f>
        <v>0</v>
      </c>
      <c r="AJ115" s="337">
        <f t="shared" ref="AJ115" si="293">BP115+BR115+BT115</f>
        <v>0</v>
      </c>
      <c r="AK115" s="338">
        <f t="shared" ref="AK115" si="294">AI115-AJ115</f>
        <v>0</v>
      </c>
      <c r="AL115" s="342"/>
      <c r="AM115" s="336">
        <f t="shared" ref="AM115" si="295">Z115+AC115</f>
        <v>2874</v>
      </c>
      <c r="AN115" s="339">
        <f t="shared" ref="AN115" si="296">AA115+AD115</f>
        <v>0</v>
      </c>
      <c r="AO115" s="340">
        <f t="shared" ref="AO115" si="297">AM115-AN115</f>
        <v>2874</v>
      </c>
      <c r="AP115" s="336">
        <f t="shared" ref="AP115" si="298">Z115+AC115+AF115</f>
        <v>2874</v>
      </c>
      <c r="AQ115" s="339">
        <f t="shared" ref="AQ115" si="299">AA115+AD115+AG115</f>
        <v>0</v>
      </c>
      <c r="AR115" s="340">
        <f t="shared" ref="AR115" si="300">AP115-AQ115</f>
        <v>2874</v>
      </c>
      <c r="AS115" s="341">
        <f t="shared" ref="AS115" si="301">Z115+AC115+AF115+AI115</f>
        <v>2874</v>
      </c>
      <c r="AT115" s="339">
        <f t="shared" ref="AT115" si="302">AA115+AD115+AG115+AJ115</f>
        <v>0</v>
      </c>
      <c r="AU115" s="340">
        <f t="shared" ref="AU115" si="303">AS115-AT115</f>
        <v>2874</v>
      </c>
      <c r="AV115" s="589">
        <f t="shared" ref="AV115" si="304">L115-AS115</f>
        <v>0</v>
      </c>
      <c r="AW115" s="343"/>
      <c r="AX115" s="344"/>
      <c r="AY115" s="345">
        <v>2874</v>
      </c>
      <c r="AZ115" s="344"/>
      <c r="BA115" s="345"/>
      <c r="BB115" s="346"/>
      <c r="BC115" s="347"/>
      <c r="BD115" s="348"/>
      <c r="BE115" s="349"/>
      <c r="BF115" s="348"/>
      <c r="BG115" s="349"/>
      <c r="BH115" s="350"/>
      <c r="BI115" s="351"/>
      <c r="BJ115" s="352"/>
      <c r="BK115" s="337"/>
      <c r="BL115" s="352"/>
      <c r="BM115" s="337"/>
      <c r="BN115" s="353"/>
      <c r="BO115" s="354"/>
      <c r="BP115" s="355"/>
      <c r="BQ115" s="356"/>
      <c r="BR115" s="355"/>
      <c r="BS115" s="356"/>
      <c r="BT115" s="357"/>
    </row>
    <row r="116" spans="1:72" s="313" customFormat="1" ht="51" outlineLevel="2">
      <c r="A116" s="287">
        <v>104</v>
      </c>
      <c r="B116" s="933"/>
      <c r="C116" s="840"/>
      <c r="D116" s="841" t="s">
        <v>273</v>
      </c>
      <c r="E116" s="839"/>
      <c r="F116" s="821" t="s">
        <v>7</v>
      </c>
      <c r="G116" s="314">
        <v>4</v>
      </c>
      <c r="H116" s="739" t="s">
        <v>70</v>
      </c>
      <c r="I116" s="739">
        <v>244</v>
      </c>
      <c r="J116" s="740">
        <v>346</v>
      </c>
      <c r="K116" s="533" t="s">
        <v>497</v>
      </c>
      <c r="L116" s="341">
        <v>3475</v>
      </c>
      <c r="M116" s="318"/>
      <c r="N116" s="318"/>
      <c r="O116" s="318">
        <f t="shared" ref="O116" si="305">L116+N116</f>
        <v>3475</v>
      </c>
      <c r="P116" s="562"/>
      <c r="Q116" s="336"/>
      <c r="R116" s="562"/>
      <c r="S116" s="336"/>
      <c r="T116" s="562"/>
      <c r="U116" s="466"/>
      <c r="V116" s="597" t="s">
        <v>495</v>
      </c>
      <c r="W116" s="597" t="s">
        <v>496</v>
      </c>
      <c r="X116" s="320" t="s">
        <v>557</v>
      </c>
      <c r="Z116" s="336">
        <f t="shared" ref="Z116" si="306">AW116+AY116+BA116</f>
        <v>3475</v>
      </c>
      <c r="AA116" s="337">
        <f t="shared" ref="AA116" si="307">AX116+AZ116+BB116</f>
        <v>0</v>
      </c>
      <c r="AB116" s="338">
        <f t="shared" ref="AB116" si="308">Z116-AA116</f>
        <v>3475</v>
      </c>
      <c r="AC116" s="336">
        <f t="shared" ref="AC116" si="309">BC116+BE116+BG116</f>
        <v>0</v>
      </c>
      <c r="AD116" s="337">
        <f t="shared" ref="AD116" si="310">BD116+BF116+BH116</f>
        <v>0</v>
      </c>
      <c r="AE116" s="338">
        <f t="shared" ref="AE116" si="311">AC116-AD116</f>
        <v>0</v>
      </c>
      <c r="AF116" s="336">
        <f t="shared" ref="AF116" si="312">BI116+BK116+BM116</f>
        <v>0</v>
      </c>
      <c r="AG116" s="337">
        <f t="shared" ref="AG116" si="313">BJ116+BL116+BN116</f>
        <v>0</v>
      </c>
      <c r="AH116" s="338">
        <f t="shared" ref="AH116" si="314">AF116-AG116</f>
        <v>0</v>
      </c>
      <c r="AI116" s="336">
        <f t="shared" ref="AI116" si="315">BO116+BQ116+BS116</f>
        <v>0</v>
      </c>
      <c r="AJ116" s="337">
        <f t="shared" ref="AJ116" si="316">BP116+BR116+BT116</f>
        <v>0</v>
      </c>
      <c r="AK116" s="338">
        <f t="shared" ref="AK116" si="317">AI116-AJ116</f>
        <v>0</v>
      </c>
      <c r="AL116" s="342"/>
      <c r="AM116" s="336">
        <f t="shared" ref="AM116" si="318">Z116+AC116</f>
        <v>3475</v>
      </c>
      <c r="AN116" s="339">
        <f t="shared" ref="AN116" si="319">AA116+AD116</f>
        <v>0</v>
      </c>
      <c r="AO116" s="340">
        <f t="shared" ref="AO116" si="320">AM116-AN116</f>
        <v>3475</v>
      </c>
      <c r="AP116" s="336">
        <f t="shared" ref="AP116" si="321">Z116+AC116+AF116</f>
        <v>3475</v>
      </c>
      <c r="AQ116" s="339">
        <f t="shared" ref="AQ116" si="322">AA116+AD116+AG116</f>
        <v>0</v>
      </c>
      <c r="AR116" s="340">
        <f t="shared" ref="AR116" si="323">AP116-AQ116</f>
        <v>3475</v>
      </c>
      <c r="AS116" s="341">
        <f t="shared" ref="AS116" si="324">Z116+AC116+AF116+AI116</f>
        <v>3475</v>
      </c>
      <c r="AT116" s="339">
        <f t="shared" ref="AT116" si="325">AA116+AD116+AG116+AJ116</f>
        <v>0</v>
      </c>
      <c r="AU116" s="340">
        <f t="shared" ref="AU116" si="326">AS116-AT116</f>
        <v>3475</v>
      </c>
      <c r="AV116" s="589">
        <f t="shared" ref="AV116" si="327">L116-AS116</f>
        <v>0</v>
      </c>
      <c r="AW116" s="343"/>
      <c r="AX116" s="344"/>
      <c r="AY116" s="345">
        <v>3475</v>
      </c>
      <c r="AZ116" s="344"/>
      <c r="BA116" s="345"/>
      <c r="BB116" s="346"/>
      <c r="BC116" s="347"/>
      <c r="BD116" s="348"/>
      <c r="BE116" s="349"/>
      <c r="BF116" s="348"/>
      <c r="BG116" s="349"/>
      <c r="BH116" s="350"/>
      <c r="BI116" s="351"/>
      <c r="BJ116" s="352"/>
      <c r="BK116" s="337"/>
      <c r="BL116" s="352"/>
      <c r="BM116" s="337"/>
      <c r="BN116" s="353"/>
      <c r="BO116" s="354"/>
      <c r="BP116" s="355"/>
      <c r="BQ116" s="356"/>
      <c r="BR116" s="355"/>
      <c r="BS116" s="356"/>
      <c r="BT116" s="357"/>
    </row>
    <row r="117" spans="1:72" s="313" customFormat="1" ht="89.25" outlineLevel="2">
      <c r="A117" s="287">
        <v>104</v>
      </c>
      <c r="B117" s="933"/>
      <c r="C117" s="840"/>
      <c r="D117" s="841" t="s">
        <v>273</v>
      </c>
      <c r="E117" s="839"/>
      <c r="F117" s="821" t="s">
        <v>7</v>
      </c>
      <c r="G117" s="314">
        <v>4</v>
      </c>
      <c r="H117" s="739" t="s">
        <v>70</v>
      </c>
      <c r="I117" s="739">
        <v>244</v>
      </c>
      <c r="J117" s="740">
        <v>346</v>
      </c>
      <c r="K117" s="533" t="s">
        <v>554</v>
      </c>
      <c r="L117" s="341">
        <f>5425+40</f>
        <v>5465</v>
      </c>
      <c r="M117" s="318"/>
      <c r="N117" s="318"/>
      <c r="O117" s="318">
        <f t="shared" ref="O117" si="328">L117+N117</f>
        <v>5465</v>
      </c>
      <c r="P117" s="562"/>
      <c r="Q117" s="336"/>
      <c r="R117" s="562"/>
      <c r="S117" s="336"/>
      <c r="T117" s="562"/>
      <c r="U117" s="466"/>
      <c r="V117" s="597" t="s">
        <v>555</v>
      </c>
      <c r="W117" s="597" t="s">
        <v>556</v>
      </c>
      <c r="X117" s="320" t="s">
        <v>557</v>
      </c>
      <c r="Z117" s="336">
        <f t="shared" ref="Z117" si="329">AW117+AY117+BA117</f>
        <v>5465</v>
      </c>
      <c r="AA117" s="337">
        <f t="shared" ref="AA117" si="330">AX117+AZ117+BB117</f>
        <v>0</v>
      </c>
      <c r="AB117" s="338">
        <f t="shared" ref="AB117" si="331">Z117-AA117</f>
        <v>5465</v>
      </c>
      <c r="AC117" s="336">
        <f t="shared" ref="AC117" si="332">BC117+BE117+BG117</f>
        <v>0</v>
      </c>
      <c r="AD117" s="337">
        <f t="shared" ref="AD117" si="333">BD117+BF117+BH117</f>
        <v>0</v>
      </c>
      <c r="AE117" s="338">
        <f t="shared" ref="AE117" si="334">AC117-AD117</f>
        <v>0</v>
      </c>
      <c r="AF117" s="336">
        <f t="shared" ref="AF117" si="335">BI117+BK117+BM117</f>
        <v>0</v>
      </c>
      <c r="AG117" s="337">
        <f t="shared" ref="AG117" si="336">BJ117+BL117+BN117</f>
        <v>0</v>
      </c>
      <c r="AH117" s="338">
        <f t="shared" ref="AH117" si="337">AF117-AG117</f>
        <v>0</v>
      </c>
      <c r="AI117" s="336">
        <f t="shared" ref="AI117" si="338">BO117+BQ117+BS117</f>
        <v>0</v>
      </c>
      <c r="AJ117" s="337">
        <f t="shared" ref="AJ117" si="339">BP117+BR117+BT117</f>
        <v>0</v>
      </c>
      <c r="AK117" s="338">
        <f t="shared" ref="AK117" si="340">AI117-AJ117</f>
        <v>0</v>
      </c>
      <c r="AL117" s="342"/>
      <c r="AM117" s="336">
        <f t="shared" ref="AM117" si="341">Z117+AC117</f>
        <v>5465</v>
      </c>
      <c r="AN117" s="339">
        <f t="shared" ref="AN117" si="342">AA117+AD117</f>
        <v>0</v>
      </c>
      <c r="AO117" s="340">
        <f t="shared" ref="AO117" si="343">AM117-AN117</f>
        <v>5465</v>
      </c>
      <c r="AP117" s="336">
        <f t="shared" ref="AP117" si="344">Z117+AC117+AF117</f>
        <v>5465</v>
      </c>
      <c r="AQ117" s="339">
        <f t="shared" ref="AQ117" si="345">AA117+AD117+AG117</f>
        <v>0</v>
      </c>
      <c r="AR117" s="340">
        <f t="shared" ref="AR117" si="346">AP117-AQ117</f>
        <v>5465</v>
      </c>
      <c r="AS117" s="341">
        <f t="shared" ref="AS117" si="347">Z117+AC117+AF117+AI117</f>
        <v>5465</v>
      </c>
      <c r="AT117" s="339">
        <f t="shared" ref="AT117" si="348">AA117+AD117+AG117+AJ117</f>
        <v>0</v>
      </c>
      <c r="AU117" s="340">
        <f t="shared" ref="AU117" si="349">AS117-AT117</f>
        <v>5465</v>
      </c>
      <c r="AV117" s="589">
        <f t="shared" ref="AV117" si="350">L117-AS117</f>
        <v>0</v>
      </c>
      <c r="AW117" s="343"/>
      <c r="AX117" s="344"/>
      <c r="AY117" s="345">
        <v>5465</v>
      </c>
      <c r="AZ117" s="344"/>
      <c r="BA117" s="345"/>
      <c r="BB117" s="346"/>
      <c r="BC117" s="347"/>
      <c r="BD117" s="348"/>
      <c r="BE117" s="349"/>
      <c r="BF117" s="348"/>
      <c r="BG117" s="349"/>
      <c r="BH117" s="350"/>
      <c r="BI117" s="351"/>
      <c r="BJ117" s="352"/>
      <c r="BK117" s="337"/>
      <c r="BL117" s="352"/>
      <c r="BM117" s="337"/>
      <c r="BN117" s="353"/>
      <c r="BO117" s="354"/>
      <c r="BP117" s="355"/>
      <c r="BQ117" s="356"/>
      <c r="BR117" s="355"/>
      <c r="BS117" s="356"/>
      <c r="BT117" s="357"/>
    </row>
    <row r="118" spans="1:72" s="313" customFormat="1" ht="76.5" outlineLevel="2">
      <c r="A118" s="287">
        <v>104</v>
      </c>
      <c r="B118" s="933"/>
      <c r="C118" s="840"/>
      <c r="D118" s="841" t="s">
        <v>273</v>
      </c>
      <c r="E118" s="839"/>
      <c r="F118" s="821" t="s">
        <v>7</v>
      </c>
      <c r="G118" s="314">
        <v>4</v>
      </c>
      <c r="H118" s="739" t="s">
        <v>70</v>
      </c>
      <c r="I118" s="739">
        <v>244</v>
      </c>
      <c r="J118" s="740">
        <v>346</v>
      </c>
      <c r="K118" s="533" t="s">
        <v>560</v>
      </c>
      <c r="L118" s="510">
        <v>4713.99</v>
      </c>
      <c r="M118" s="318"/>
      <c r="N118" s="318"/>
      <c r="O118" s="318">
        <f t="shared" ref="O118" si="351">L118+N118</f>
        <v>4713.99</v>
      </c>
      <c r="P118" s="562"/>
      <c r="Q118" s="336"/>
      <c r="R118" s="562"/>
      <c r="S118" s="336"/>
      <c r="T118" s="562"/>
      <c r="U118" s="466"/>
      <c r="V118" s="597" t="s">
        <v>558</v>
      </c>
      <c r="W118" s="597" t="s">
        <v>559</v>
      </c>
      <c r="X118" s="388" t="s">
        <v>561</v>
      </c>
      <c r="Z118" s="336">
        <f t="shared" ref="Z118" si="352">AW118+AY118+BA118</f>
        <v>4713.99</v>
      </c>
      <c r="AA118" s="337">
        <f t="shared" ref="AA118" si="353">AX118+AZ118+BB118</f>
        <v>0</v>
      </c>
      <c r="AB118" s="338">
        <f t="shared" ref="AB118" si="354">Z118-AA118</f>
        <v>4713.99</v>
      </c>
      <c r="AC118" s="336">
        <f t="shared" ref="AC118" si="355">BC118+BE118+BG118</f>
        <v>0</v>
      </c>
      <c r="AD118" s="337">
        <f t="shared" ref="AD118" si="356">BD118+BF118+BH118</f>
        <v>0</v>
      </c>
      <c r="AE118" s="338">
        <f t="shared" ref="AE118" si="357">AC118-AD118</f>
        <v>0</v>
      </c>
      <c r="AF118" s="336">
        <f t="shared" ref="AF118" si="358">BI118+BK118+BM118</f>
        <v>0</v>
      </c>
      <c r="AG118" s="337">
        <f t="shared" ref="AG118" si="359">BJ118+BL118+BN118</f>
        <v>0</v>
      </c>
      <c r="AH118" s="338">
        <f t="shared" ref="AH118" si="360">AF118-AG118</f>
        <v>0</v>
      </c>
      <c r="AI118" s="336">
        <f t="shared" ref="AI118" si="361">BO118+BQ118+BS118</f>
        <v>0</v>
      </c>
      <c r="AJ118" s="337">
        <f t="shared" ref="AJ118" si="362">BP118+BR118+BT118</f>
        <v>0</v>
      </c>
      <c r="AK118" s="338">
        <f t="shared" ref="AK118" si="363">AI118-AJ118</f>
        <v>0</v>
      </c>
      <c r="AL118" s="342"/>
      <c r="AM118" s="336">
        <f t="shared" ref="AM118" si="364">Z118+AC118</f>
        <v>4713.99</v>
      </c>
      <c r="AN118" s="339">
        <f t="shared" ref="AN118" si="365">AA118+AD118</f>
        <v>0</v>
      </c>
      <c r="AO118" s="340">
        <f t="shared" ref="AO118" si="366">AM118-AN118</f>
        <v>4713.99</v>
      </c>
      <c r="AP118" s="336">
        <f t="shared" ref="AP118" si="367">Z118+AC118+AF118</f>
        <v>4713.99</v>
      </c>
      <c r="AQ118" s="339">
        <f t="shared" ref="AQ118" si="368">AA118+AD118+AG118</f>
        <v>0</v>
      </c>
      <c r="AR118" s="340">
        <f t="shared" ref="AR118" si="369">AP118-AQ118</f>
        <v>4713.99</v>
      </c>
      <c r="AS118" s="341">
        <f t="shared" ref="AS118" si="370">Z118+AC118+AF118+AI118</f>
        <v>4713.99</v>
      </c>
      <c r="AT118" s="339">
        <f t="shared" ref="AT118" si="371">AA118+AD118+AG118+AJ118</f>
        <v>0</v>
      </c>
      <c r="AU118" s="340">
        <f t="shared" ref="AU118" si="372">AS118-AT118</f>
        <v>4713.99</v>
      </c>
      <c r="AV118" s="589">
        <f t="shared" ref="AV118" si="373">L118-AS118</f>
        <v>0</v>
      </c>
      <c r="AW118" s="343"/>
      <c r="AX118" s="344"/>
      <c r="AY118" s="630">
        <v>4713.99</v>
      </c>
      <c r="AZ118" s="344"/>
      <c r="BA118" s="345"/>
      <c r="BB118" s="346"/>
      <c r="BC118" s="347"/>
      <c r="BD118" s="348"/>
      <c r="BE118" s="349"/>
      <c r="BF118" s="348"/>
      <c r="BG118" s="349"/>
      <c r="BH118" s="350"/>
      <c r="BI118" s="351"/>
      <c r="BJ118" s="352"/>
      <c r="BK118" s="337"/>
      <c r="BL118" s="352"/>
      <c r="BM118" s="337"/>
      <c r="BN118" s="353"/>
      <c r="BO118" s="354"/>
      <c r="BP118" s="355"/>
      <c r="BQ118" s="356"/>
      <c r="BR118" s="355"/>
      <c r="BS118" s="356"/>
      <c r="BT118" s="357"/>
    </row>
    <row r="119" spans="1:72" s="313" customFormat="1" ht="25.5" outlineLevel="2">
      <c r="A119" s="287">
        <v>104</v>
      </c>
      <c r="B119" s="933"/>
      <c r="C119" s="840"/>
      <c r="D119" s="841" t="s">
        <v>273</v>
      </c>
      <c r="E119" s="839"/>
      <c r="F119" s="821" t="s">
        <v>7</v>
      </c>
      <c r="G119" s="314">
        <v>4</v>
      </c>
      <c r="H119" s="739" t="s">
        <v>70</v>
      </c>
      <c r="I119" s="739">
        <v>244</v>
      </c>
      <c r="J119" s="740">
        <v>346</v>
      </c>
      <c r="K119" s="533" t="s">
        <v>562</v>
      </c>
      <c r="L119" s="341">
        <v>196</v>
      </c>
      <c r="M119" s="318"/>
      <c r="N119" s="318"/>
      <c r="O119" s="318">
        <f t="shared" ref="O119" si="374">L119+N119</f>
        <v>196</v>
      </c>
      <c r="P119" s="562"/>
      <c r="Q119" s="336"/>
      <c r="R119" s="562"/>
      <c r="S119" s="336"/>
      <c r="T119" s="562"/>
      <c r="U119" s="466"/>
      <c r="V119" s="597" t="s">
        <v>483</v>
      </c>
      <c r="W119" s="597" t="s">
        <v>563</v>
      </c>
      <c r="X119" s="320" t="s">
        <v>557</v>
      </c>
      <c r="Z119" s="336">
        <f t="shared" ref="Z119" si="375">AW119+AY119+BA119</f>
        <v>196</v>
      </c>
      <c r="AA119" s="337">
        <f t="shared" ref="AA119" si="376">AX119+AZ119+BB119</f>
        <v>0</v>
      </c>
      <c r="AB119" s="338">
        <f t="shared" ref="AB119" si="377">Z119-AA119</f>
        <v>196</v>
      </c>
      <c r="AC119" s="336">
        <f t="shared" ref="AC119" si="378">BC119+BE119+BG119</f>
        <v>0</v>
      </c>
      <c r="AD119" s="337">
        <f t="shared" ref="AD119" si="379">BD119+BF119+BH119</f>
        <v>0</v>
      </c>
      <c r="AE119" s="338">
        <f t="shared" ref="AE119" si="380">AC119-AD119</f>
        <v>0</v>
      </c>
      <c r="AF119" s="336">
        <f t="shared" ref="AF119" si="381">BI119+BK119+BM119</f>
        <v>0</v>
      </c>
      <c r="AG119" s="337">
        <f t="shared" ref="AG119" si="382">BJ119+BL119+BN119</f>
        <v>0</v>
      </c>
      <c r="AH119" s="338">
        <f t="shared" ref="AH119" si="383">AF119-AG119</f>
        <v>0</v>
      </c>
      <c r="AI119" s="336">
        <f t="shared" ref="AI119" si="384">BO119+BQ119+BS119</f>
        <v>0</v>
      </c>
      <c r="AJ119" s="337">
        <f t="shared" ref="AJ119" si="385">BP119+BR119+BT119</f>
        <v>0</v>
      </c>
      <c r="AK119" s="338">
        <f t="shared" ref="AK119" si="386">AI119-AJ119</f>
        <v>0</v>
      </c>
      <c r="AL119" s="342"/>
      <c r="AM119" s="336">
        <f t="shared" ref="AM119" si="387">Z119+AC119</f>
        <v>196</v>
      </c>
      <c r="AN119" s="339">
        <f t="shared" ref="AN119" si="388">AA119+AD119</f>
        <v>0</v>
      </c>
      <c r="AO119" s="340">
        <f t="shared" ref="AO119" si="389">AM119-AN119</f>
        <v>196</v>
      </c>
      <c r="AP119" s="336">
        <f t="shared" ref="AP119" si="390">Z119+AC119+AF119</f>
        <v>196</v>
      </c>
      <c r="AQ119" s="339">
        <f t="shared" ref="AQ119" si="391">AA119+AD119+AG119</f>
        <v>0</v>
      </c>
      <c r="AR119" s="340">
        <f t="shared" ref="AR119" si="392">AP119-AQ119</f>
        <v>196</v>
      </c>
      <c r="AS119" s="341">
        <f t="shared" ref="AS119" si="393">Z119+AC119+AF119+AI119</f>
        <v>196</v>
      </c>
      <c r="AT119" s="339">
        <f t="shared" ref="AT119" si="394">AA119+AD119+AG119+AJ119</f>
        <v>0</v>
      </c>
      <c r="AU119" s="340">
        <f t="shared" ref="AU119" si="395">AS119-AT119</f>
        <v>196</v>
      </c>
      <c r="AV119" s="589">
        <f t="shared" ref="AV119" si="396">L119-AS119</f>
        <v>0</v>
      </c>
      <c r="AW119" s="343"/>
      <c r="AX119" s="344"/>
      <c r="AY119" s="345">
        <v>196</v>
      </c>
      <c r="AZ119" s="344"/>
      <c r="BA119" s="345"/>
      <c r="BB119" s="346"/>
      <c r="BC119" s="347"/>
      <c r="BD119" s="348"/>
      <c r="BE119" s="349"/>
      <c r="BF119" s="348"/>
      <c r="BG119" s="349"/>
      <c r="BH119" s="350"/>
      <c r="BI119" s="351"/>
      <c r="BJ119" s="352"/>
      <c r="BK119" s="337"/>
      <c r="BL119" s="352"/>
      <c r="BM119" s="337"/>
      <c r="BN119" s="353"/>
      <c r="BO119" s="354"/>
      <c r="BP119" s="355"/>
      <c r="BQ119" s="356"/>
      <c r="BR119" s="355"/>
      <c r="BS119" s="356"/>
      <c r="BT119" s="357"/>
    </row>
    <row r="120" spans="1:72" s="313" customFormat="1" ht="25.5" outlineLevel="2">
      <c r="A120" s="287">
        <v>104</v>
      </c>
      <c r="B120" s="933"/>
      <c r="C120" s="840"/>
      <c r="D120" s="841" t="s">
        <v>273</v>
      </c>
      <c r="E120" s="839"/>
      <c r="F120" s="821" t="s">
        <v>7</v>
      </c>
      <c r="G120" s="314">
        <v>4</v>
      </c>
      <c r="H120" s="739" t="s">
        <v>70</v>
      </c>
      <c r="I120" s="739">
        <v>244</v>
      </c>
      <c r="J120" s="740">
        <v>346</v>
      </c>
      <c r="K120" s="533" t="s">
        <v>564</v>
      </c>
      <c r="L120" s="341">
        <v>598</v>
      </c>
      <c r="M120" s="318"/>
      <c r="N120" s="318"/>
      <c r="O120" s="318">
        <f t="shared" ref="O120" si="397">L120+N120</f>
        <v>598</v>
      </c>
      <c r="P120" s="562"/>
      <c r="Q120" s="336"/>
      <c r="R120" s="562"/>
      <c r="S120" s="336"/>
      <c r="T120" s="562"/>
      <c r="U120" s="466"/>
      <c r="V120" s="597" t="s">
        <v>483</v>
      </c>
      <c r="W120" s="597" t="s">
        <v>566</v>
      </c>
      <c r="X120" s="320" t="s">
        <v>557</v>
      </c>
      <c r="Z120" s="336">
        <f t="shared" ref="Z120" si="398">AW120+AY120+BA120</f>
        <v>598</v>
      </c>
      <c r="AA120" s="337">
        <f t="shared" ref="AA120" si="399">AX120+AZ120+BB120</f>
        <v>0</v>
      </c>
      <c r="AB120" s="338">
        <f t="shared" ref="AB120" si="400">Z120-AA120</f>
        <v>598</v>
      </c>
      <c r="AC120" s="336">
        <f t="shared" ref="AC120" si="401">BC120+BE120+BG120</f>
        <v>0</v>
      </c>
      <c r="AD120" s="337">
        <f t="shared" ref="AD120" si="402">BD120+BF120+BH120</f>
        <v>0</v>
      </c>
      <c r="AE120" s="338">
        <f t="shared" ref="AE120" si="403">AC120-AD120</f>
        <v>0</v>
      </c>
      <c r="AF120" s="336">
        <f t="shared" ref="AF120" si="404">BI120+BK120+BM120</f>
        <v>0</v>
      </c>
      <c r="AG120" s="337">
        <f t="shared" ref="AG120" si="405">BJ120+BL120+BN120</f>
        <v>0</v>
      </c>
      <c r="AH120" s="338">
        <f t="shared" ref="AH120" si="406">AF120-AG120</f>
        <v>0</v>
      </c>
      <c r="AI120" s="336">
        <f t="shared" ref="AI120" si="407">BO120+BQ120+BS120</f>
        <v>0</v>
      </c>
      <c r="AJ120" s="337">
        <f t="shared" ref="AJ120" si="408">BP120+BR120+BT120</f>
        <v>0</v>
      </c>
      <c r="AK120" s="338">
        <f t="shared" ref="AK120" si="409">AI120-AJ120</f>
        <v>0</v>
      </c>
      <c r="AL120" s="342"/>
      <c r="AM120" s="336">
        <f t="shared" ref="AM120" si="410">Z120+AC120</f>
        <v>598</v>
      </c>
      <c r="AN120" s="339">
        <f t="shared" ref="AN120" si="411">AA120+AD120</f>
        <v>0</v>
      </c>
      <c r="AO120" s="340">
        <f t="shared" ref="AO120" si="412">AM120-AN120</f>
        <v>598</v>
      </c>
      <c r="AP120" s="336">
        <f t="shared" ref="AP120" si="413">Z120+AC120+AF120</f>
        <v>598</v>
      </c>
      <c r="AQ120" s="339">
        <f t="shared" ref="AQ120" si="414">AA120+AD120+AG120</f>
        <v>0</v>
      </c>
      <c r="AR120" s="340">
        <f t="shared" ref="AR120" si="415">AP120-AQ120</f>
        <v>598</v>
      </c>
      <c r="AS120" s="341">
        <f t="shared" ref="AS120" si="416">Z120+AC120+AF120+AI120</f>
        <v>598</v>
      </c>
      <c r="AT120" s="339">
        <f t="shared" ref="AT120" si="417">AA120+AD120+AG120+AJ120</f>
        <v>0</v>
      </c>
      <c r="AU120" s="340">
        <f t="shared" ref="AU120" si="418">AS120-AT120</f>
        <v>598</v>
      </c>
      <c r="AV120" s="589">
        <f t="shared" ref="AV120" si="419">L120-AS120</f>
        <v>0</v>
      </c>
      <c r="AW120" s="343"/>
      <c r="AX120" s="344"/>
      <c r="AY120" s="345"/>
      <c r="AZ120" s="344"/>
      <c r="BA120" s="345">
        <v>598</v>
      </c>
      <c r="BB120" s="346"/>
      <c r="BC120" s="347"/>
      <c r="BD120" s="348"/>
      <c r="BE120" s="349"/>
      <c r="BF120" s="348"/>
      <c r="BG120" s="349"/>
      <c r="BH120" s="350"/>
      <c r="BI120" s="351"/>
      <c r="BJ120" s="352"/>
      <c r="BK120" s="337"/>
      <c r="BL120" s="352"/>
      <c r="BM120" s="337"/>
      <c r="BN120" s="353"/>
      <c r="BO120" s="354"/>
      <c r="BP120" s="355"/>
      <c r="BQ120" s="356"/>
      <c r="BR120" s="355"/>
      <c r="BS120" s="356"/>
      <c r="BT120" s="357"/>
    </row>
    <row r="121" spans="1:72" s="313" customFormat="1" ht="51" outlineLevel="2">
      <c r="A121" s="287">
        <v>104</v>
      </c>
      <c r="B121" s="933"/>
      <c r="C121" s="840"/>
      <c r="D121" s="841" t="s">
        <v>273</v>
      </c>
      <c r="E121" s="839"/>
      <c r="F121" s="821" t="s">
        <v>7</v>
      </c>
      <c r="G121" s="314">
        <v>4</v>
      </c>
      <c r="H121" s="739" t="s">
        <v>70</v>
      </c>
      <c r="I121" s="739">
        <v>244</v>
      </c>
      <c r="J121" s="740">
        <v>346</v>
      </c>
      <c r="K121" s="533" t="s">
        <v>569</v>
      </c>
      <c r="L121" s="341">
        <v>3995</v>
      </c>
      <c r="M121" s="318"/>
      <c r="N121" s="318"/>
      <c r="O121" s="318">
        <f t="shared" ref="O121" si="420">L121+N121</f>
        <v>3995</v>
      </c>
      <c r="P121" s="562"/>
      <c r="Q121" s="336"/>
      <c r="R121" s="562"/>
      <c r="S121" s="336"/>
      <c r="T121" s="562"/>
      <c r="U121" s="466"/>
      <c r="V121" s="597" t="s">
        <v>570</v>
      </c>
      <c r="W121" s="597" t="s">
        <v>571</v>
      </c>
      <c r="X121" s="388" t="s">
        <v>572</v>
      </c>
      <c r="Z121" s="336">
        <f t="shared" ref="Z121" si="421">AW121+AY121+BA121</f>
        <v>3995</v>
      </c>
      <c r="AA121" s="337">
        <f t="shared" ref="AA121" si="422">AX121+AZ121+BB121</f>
        <v>0</v>
      </c>
      <c r="AB121" s="338">
        <f t="shared" ref="AB121" si="423">Z121-AA121</f>
        <v>3995</v>
      </c>
      <c r="AC121" s="336">
        <f t="shared" ref="AC121" si="424">BC121+BE121+BG121</f>
        <v>0</v>
      </c>
      <c r="AD121" s="337">
        <f t="shared" ref="AD121" si="425">BD121+BF121+BH121</f>
        <v>0</v>
      </c>
      <c r="AE121" s="338">
        <f t="shared" ref="AE121" si="426">AC121-AD121</f>
        <v>0</v>
      </c>
      <c r="AF121" s="336">
        <f t="shared" ref="AF121" si="427">BI121+BK121+BM121</f>
        <v>0</v>
      </c>
      <c r="AG121" s="337">
        <f t="shared" ref="AG121" si="428">BJ121+BL121+BN121</f>
        <v>0</v>
      </c>
      <c r="AH121" s="338">
        <f t="shared" ref="AH121" si="429">AF121-AG121</f>
        <v>0</v>
      </c>
      <c r="AI121" s="336">
        <f t="shared" ref="AI121" si="430">BO121+BQ121+BS121</f>
        <v>0</v>
      </c>
      <c r="AJ121" s="337">
        <f t="shared" ref="AJ121" si="431">BP121+BR121+BT121</f>
        <v>0</v>
      </c>
      <c r="AK121" s="338">
        <f t="shared" ref="AK121" si="432">AI121-AJ121</f>
        <v>0</v>
      </c>
      <c r="AL121" s="342"/>
      <c r="AM121" s="336">
        <f t="shared" ref="AM121" si="433">Z121+AC121</f>
        <v>3995</v>
      </c>
      <c r="AN121" s="339">
        <f t="shared" ref="AN121" si="434">AA121+AD121</f>
        <v>0</v>
      </c>
      <c r="AO121" s="340">
        <f t="shared" ref="AO121" si="435">AM121-AN121</f>
        <v>3995</v>
      </c>
      <c r="AP121" s="336">
        <f t="shared" ref="AP121" si="436">Z121+AC121+AF121</f>
        <v>3995</v>
      </c>
      <c r="AQ121" s="339">
        <f t="shared" ref="AQ121" si="437">AA121+AD121+AG121</f>
        <v>0</v>
      </c>
      <c r="AR121" s="340">
        <f t="shared" ref="AR121" si="438">AP121-AQ121</f>
        <v>3995</v>
      </c>
      <c r="AS121" s="341">
        <f t="shared" ref="AS121" si="439">Z121+AC121+AF121+AI121</f>
        <v>3995</v>
      </c>
      <c r="AT121" s="339">
        <f t="shared" ref="AT121" si="440">AA121+AD121+AG121+AJ121</f>
        <v>0</v>
      </c>
      <c r="AU121" s="340">
        <f t="shared" ref="AU121" si="441">AS121-AT121</f>
        <v>3995</v>
      </c>
      <c r="AV121" s="589">
        <f t="shared" ref="AV121" si="442">L121-AS121</f>
        <v>0</v>
      </c>
      <c r="AW121" s="343"/>
      <c r="AX121" s="344"/>
      <c r="AY121" s="345"/>
      <c r="AZ121" s="344"/>
      <c r="BA121" s="345">
        <v>3995</v>
      </c>
      <c r="BB121" s="346"/>
      <c r="BC121" s="347"/>
      <c r="BD121" s="348"/>
      <c r="BE121" s="349"/>
      <c r="BF121" s="348"/>
      <c r="BG121" s="349"/>
      <c r="BH121" s="350"/>
      <c r="BI121" s="351"/>
      <c r="BJ121" s="352"/>
      <c r="BK121" s="337"/>
      <c r="BL121" s="352"/>
      <c r="BM121" s="337"/>
      <c r="BN121" s="353"/>
      <c r="BO121" s="354"/>
      <c r="BP121" s="355"/>
      <c r="BQ121" s="356"/>
      <c r="BR121" s="355"/>
      <c r="BS121" s="356"/>
      <c r="BT121" s="357"/>
    </row>
    <row r="122" spans="1:72" s="313" customFormat="1" ht="63.75" outlineLevel="2">
      <c r="A122" s="287">
        <v>104</v>
      </c>
      <c r="B122" s="933"/>
      <c r="C122" s="840"/>
      <c r="D122" s="841" t="s">
        <v>273</v>
      </c>
      <c r="E122" s="839"/>
      <c r="F122" s="821" t="s">
        <v>7</v>
      </c>
      <c r="G122" s="314">
        <v>4</v>
      </c>
      <c r="H122" s="739" t="s">
        <v>70</v>
      </c>
      <c r="I122" s="739">
        <v>244</v>
      </c>
      <c r="J122" s="740">
        <v>346</v>
      </c>
      <c r="K122" s="533" t="s">
        <v>583</v>
      </c>
      <c r="L122" s="341">
        <v>3977</v>
      </c>
      <c r="M122" s="318"/>
      <c r="N122" s="318"/>
      <c r="O122" s="318">
        <f t="shared" ref="O122" si="443">L122+N122</f>
        <v>3977</v>
      </c>
      <c r="P122" s="562"/>
      <c r="Q122" s="336"/>
      <c r="R122" s="562"/>
      <c r="S122" s="336"/>
      <c r="T122" s="562"/>
      <c r="U122" s="466"/>
      <c r="V122" s="597" t="s">
        <v>582</v>
      </c>
      <c r="W122" s="597" t="s">
        <v>581</v>
      </c>
      <c r="X122" s="320" t="s">
        <v>557</v>
      </c>
      <c r="Z122" s="336">
        <f t="shared" ref="Z122" si="444">AW122+AY122+BA122</f>
        <v>3997</v>
      </c>
      <c r="AA122" s="337">
        <f t="shared" ref="AA122" si="445">AX122+AZ122+BB122</f>
        <v>0</v>
      </c>
      <c r="AB122" s="338">
        <f t="shared" ref="AB122" si="446">Z122-AA122</f>
        <v>3997</v>
      </c>
      <c r="AC122" s="336">
        <f t="shared" ref="AC122" si="447">BC122+BE122+BG122</f>
        <v>0</v>
      </c>
      <c r="AD122" s="337">
        <f t="shared" ref="AD122" si="448">BD122+BF122+BH122</f>
        <v>0</v>
      </c>
      <c r="AE122" s="338">
        <f t="shared" ref="AE122" si="449">AC122-AD122</f>
        <v>0</v>
      </c>
      <c r="AF122" s="336">
        <f t="shared" ref="AF122" si="450">BI122+BK122+BM122</f>
        <v>0</v>
      </c>
      <c r="AG122" s="337">
        <f t="shared" ref="AG122" si="451">BJ122+BL122+BN122</f>
        <v>0</v>
      </c>
      <c r="AH122" s="338">
        <f t="shared" ref="AH122" si="452">AF122-AG122</f>
        <v>0</v>
      </c>
      <c r="AI122" s="336">
        <f t="shared" ref="AI122" si="453">BO122+BQ122+BS122</f>
        <v>0</v>
      </c>
      <c r="AJ122" s="337">
        <f t="shared" ref="AJ122" si="454">BP122+BR122+BT122</f>
        <v>0</v>
      </c>
      <c r="AK122" s="338">
        <f t="shared" ref="AK122" si="455">AI122-AJ122</f>
        <v>0</v>
      </c>
      <c r="AL122" s="342"/>
      <c r="AM122" s="336">
        <f t="shared" ref="AM122" si="456">Z122+AC122</f>
        <v>3997</v>
      </c>
      <c r="AN122" s="339">
        <f t="shared" ref="AN122" si="457">AA122+AD122</f>
        <v>0</v>
      </c>
      <c r="AO122" s="340">
        <f t="shared" ref="AO122" si="458">AM122-AN122</f>
        <v>3997</v>
      </c>
      <c r="AP122" s="336">
        <f t="shared" ref="AP122" si="459">Z122+AC122+AF122</f>
        <v>3997</v>
      </c>
      <c r="AQ122" s="339">
        <f t="shared" ref="AQ122" si="460">AA122+AD122+AG122</f>
        <v>0</v>
      </c>
      <c r="AR122" s="340">
        <f t="shared" ref="AR122" si="461">AP122-AQ122</f>
        <v>3997</v>
      </c>
      <c r="AS122" s="341">
        <f t="shared" ref="AS122" si="462">Z122+AC122+AF122+AI122</f>
        <v>3997</v>
      </c>
      <c r="AT122" s="339">
        <f t="shared" ref="AT122" si="463">AA122+AD122+AG122+AJ122</f>
        <v>0</v>
      </c>
      <c r="AU122" s="340">
        <f t="shared" ref="AU122" si="464">AS122-AT122</f>
        <v>3997</v>
      </c>
      <c r="AV122" s="589">
        <f t="shared" ref="AV122" si="465">L122-AS122</f>
        <v>-20</v>
      </c>
      <c r="AW122" s="343"/>
      <c r="AX122" s="344"/>
      <c r="AY122" s="345"/>
      <c r="AZ122" s="344"/>
      <c r="BA122" s="345">
        <v>3997</v>
      </c>
      <c r="BB122" s="346"/>
      <c r="BC122" s="347"/>
      <c r="BD122" s="348"/>
      <c r="BE122" s="349"/>
      <c r="BF122" s="348"/>
      <c r="BG122" s="349"/>
      <c r="BH122" s="350"/>
      <c r="BI122" s="351"/>
      <c r="BJ122" s="352"/>
      <c r="BK122" s="337"/>
      <c r="BL122" s="352"/>
      <c r="BM122" s="337"/>
      <c r="BN122" s="353"/>
      <c r="BO122" s="354"/>
      <c r="BP122" s="355"/>
      <c r="BQ122" s="356"/>
      <c r="BR122" s="355"/>
      <c r="BS122" s="356"/>
      <c r="BT122" s="357"/>
    </row>
    <row r="123" spans="1:72" s="430" customFormat="1" ht="25.5" customHeight="1" outlineLevel="2">
      <c r="A123" s="287">
        <v>105</v>
      </c>
      <c r="B123" s="933"/>
      <c r="C123" s="743"/>
      <c r="D123" s="856" t="s">
        <v>273</v>
      </c>
      <c r="E123" s="857"/>
      <c r="F123" s="827" t="s">
        <v>7</v>
      </c>
      <c r="G123" s="431">
        <v>4</v>
      </c>
      <c r="H123" s="474" t="s">
        <v>70</v>
      </c>
      <c r="I123" s="743">
        <v>244</v>
      </c>
      <c r="J123" s="744">
        <v>346</v>
      </c>
      <c r="K123" s="536" t="s">
        <v>284</v>
      </c>
      <c r="L123" s="443"/>
      <c r="M123" s="434"/>
      <c r="N123" s="434"/>
      <c r="O123" s="434">
        <f t="shared" si="127"/>
        <v>0</v>
      </c>
      <c r="P123" s="563"/>
      <c r="Q123" s="437"/>
      <c r="R123" s="563"/>
      <c r="S123" s="437"/>
      <c r="T123" s="563"/>
      <c r="U123" s="467"/>
      <c r="V123" s="436"/>
      <c r="W123" s="436"/>
      <c r="X123" s="436"/>
      <c r="Z123" s="437">
        <f t="shared" si="271"/>
        <v>0</v>
      </c>
      <c r="AA123" s="438">
        <f t="shared" si="271"/>
        <v>0</v>
      </c>
      <c r="AB123" s="439">
        <f t="shared" si="128"/>
        <v>0</v>
      </c>
      <c r="AC123" s="437">
        <f t="shared" si="272"/>
        <v>0</v>
      </c>
      <c r="AD123" s="438">
        <f t="shared" si="272"/>
        <v>0</v>
      </c>
      <c r="AE123" s="439">
        <f t="shared" si="129"/>
        <v>0</v>
      </c>
      <c r="AF123" s="437">
        <f t="shared" si="273"/>
        <v>0</v>
      </c>
      <c r="AG123" s="438">
        <f t="shared" si="273"/>
        <v>0</v>
      </c>
      <c r="AH123" s="439">
        <f t="shared" si="130"/>
        <v>0</v>
      </c>
      <c r="AI123" s="437">
        <f t="shared" si="274"/>
        <v>0</v>
      </c>
      <c r="AJ123" s="438">
        <f t="shared" si="274"/>
        <v>0</v>
      </c>
      <c r="AK123" s="439">
        <f t="shared" si="131"/>
        <v>0</v>
      </c>
      <c r="AL123" s="440"/>
      <c r="AM123" s="437">
        <f t="shared" si="275"/>
        <v>0</v>
      </c>
      <c r="AN123" s="441">
        <f t="shared" si="275"/>
        <v>0</v>
      </c>
      <c r="AO123" s="442">
        <f t="shared" si="132"/>
        <v>0</v>
      </c>
      <c r="AP123" s="437">
        <f t="shared" si="276"/>
        <v>0</v>
      </c>
      <c r="AQ123" s="441">
        <f t="shared" si="276"/>
        <v>0</v>
      </c>
      <c r="AR123" s="442">
        <f t="shared" si="133"/>
        <v>0</v>
      </c>
      <c r="AS123" s="443">
        <f t="shared" si="269"/>
        <v>0</v>
      </c>
      <c r="AT123" s="441">
        <f t="shared" si="269"/>
        <v>0</v>
      </c>
      <c r="AU123" s="442">
        <f t="shared" si="134"/>
        <v>0</v>
      </c>
      <c r="AV123" s="601">
        <f t="shared" si="135"/>
        <v>0</v>
      </c>
      <c r="AW123" s="444"/>
      <c r="AX123" s="445"/>
      <c r="AY123" s="446"/>
      <c r="AZ123" s="445"/>
      <c r="BA123" s="446"/>
      <c r="BB123" s="447"/>
      <c r="BC123" s="448"/>
      <c r="BD123" s="449"/>
      <c r="BE123" s="450"/>
      <c r="BF123" s="449"/>
      <c r="BG123" s="450"/>
      <c r="BH123" s="451"/>
      <c r="BI123" s="452"/>
      <c r="BJ123" s="453"/>
      <c r="BK123" s="438"/>
      <c r="BL123" s="453"/>
      <c r="BM123" s="438"/>
      <c r="BN123" s="454"/>
      <c r="BO123" s="455"/>
      <c r="BP123" s="456"/>
      <c r="BQ123" s="457"/>
      <c r="BR123" s="456"/>
      <c r="BS123" s="457"/>
      <c r="BT123" s="458"/>
    </row>
    <row r="124" spans="1:72" s="921" customFormat="1" ht="54" customHeight="1" outlineLevel="1">
      <c r="A124" s="287">
        <v>106</v>
      </c>
      <c r="B124" s="933"/>
      <c r="C124" s="850" t="s">
        <v>378</v>
      </c>
      <c r="D124" s="854" t="s">
        <v>271</v>
      </c>
      <c r="E124" s="902"/>
      <c r="F124" s="903" t="s">
        <v>7</v>
      </c>
      <c r="G124" s="904">
        <v>4</v>
      </c>
      <c r="H124" s="905" t="s">
        <v>70</v>
      </c>
      <c r="I124" s="905">
        <v>244</v>
      </c>
      <c r="J124" s="906">
        <v>346</v>
      </c>
      <c r="K124" s="907" t="s">
        <v>491</v>
      </c>
      <c r="L124" s="908">
        <v>134005.82</v>
      </c>
      <c r="M124" s="909"/>
      <c r="N124" s="909"/>
      <c r="O124" s="909">
        <f>L124+N124</f>
        <v>134005.82</v>
      </c>
      <c r="P124" s="910"/>
      <c r="Q124" s="908">
        <f>Q125</f>
        <v>379130.88</v>
      </c>
      <c r="R124" s="910"/>
      <c r="S124" s="908">
        <f>S125</f>
        <v>485710.59</v>
      </c>
      <c r="T124" s="910"/>
      <c r="U124" s="911"/>
      <c r="V124" s="912"/>
      <c r="W124" s="912"/>
      <c r="X124" s="912"/>
      <c r="Y124" s="913"/>
      <c r="Z124" s="914">
        <f t="shared" ref="Z124:AA126" si="466">AW124+AY124+BA124</f>
        <v>134005.82</v>
      </c>
      <c r="AA124" s="915">
        <f t="shared" si="466"/>
        <v>0</v>
      </c>
      <c r="AB124" s="916">
        <f>Z124-AA124</f>
        <v>134005.82</v>
      </c>
      <c r="AC124" s="914">
        <f t="shared" ref="AC124:AD126" si="467">BC124+BE124+BG124</f>
        <v>0</v>
      </c>
      <c r="AD124" s="915">
        <f t="shared" si="467"/>
        <v>0</v>
      </c>
      <c r="AE124" s="916">
        <f>AC124-AD124</f>
        <v>0</v>
      </c>
      <c r="AF124" s="914">
        <f t="shared" ref="AF124:AG126" si="468">BI124+BK124+BM124</f>
        <v>0</v>
      </c>
      <c r="AG124" s="915">
        <f t="shared" si="468"/>
        <v>0</v>
      </c>
      <c r="AH124" s="916">
        <f>AF124-AG124</f>
        <v>0</v>
      </c>
      <c r="AI124" s="914">
        <f t="shared" ref="AI124:AJ126" si="469">BO124+BQ124+BS124</f>
        <v>0</v>
      </c>
      <c r="AJ124" s="915">
        <f t="shared" si="469"/>
        <v>0</v>
      </c>
      <c r="AK124" s="916">
        <f>AI124-AJ124</f>
        <v>0</v>
      </c>
      <c r="AL124" s="917"/>
      <c r="AM124" s="908">
        <f t="shared" ref="AM124:AN126" si="470">Z124+AC124</f>
        <v>134005.82</v>
      </c>
      <c r="AN124" s="909">
        <f t="shared" si="470"/>
        <v>0</v>
      </c>
      <c r="AO124" s="918">
        <f>AM124-AN124</f>
        <v>134005.82</v>
      </c>
      <c r="AP124" s="908">
        <f t="shared" ref="AP124:AQ126" si="471">Z124+AC124+AF124</f>
        <v>134005.82</v>
      </c>
      <c r="AQ124" s="909">
        <f t="shared" si="471"/>
        <v>0</v>
      </c>
      <c r="AR124" s="918">
        <f>AP124-AQ124</f>
        <v>134005.82</v>
      </c>
      <c r="AS124" s="908">
        <f t="shared" ref="AS124:AT126" si="472">Z124+AC124+AF124+AI124</f>
        <v>134005.82</v>
      </c>
      <c r="AT124" s="909">
        <f t="shared" si="472"/>
        <v>0</v>
      </c>
      <c r="AU124" s="918">
        <f>AS124-AT124</f>
        <v>134005.82</v>
      </c>
      <c r="AV124" s="919">
        <f>L124-AS124</f>
        <v>0</v>
      </c>
      <c r="AW124" s="908">
        <f t="shared" ref="AW124:BT124" si="473">SUM(AW125:AW126)</f>
        <v>0</v>
      </c>
      <c r="AX124" s="909">
        <f t="shared" si="473"/>
        <v>0</v>
      </c>
      <c r="AY124" s="909">
        <f t="shared" si="473"/>
        <v>134005.82</v>
      </c>
      <c r="AZ124" s="909">
        <f t="shared" si="473"/>
        <v>0</v>
      </c>
      <c r="BA124" s="909">
        <f t="shared" si="473"/>
        <v>0</v>
      </c>
      <c r="BB124" s="920">
        <f t="shared" si="473"/>
        <v>0</v>
      </c>
      <c r="BC124" s="908">
        <f t="shared" si="473"/>
        <v>0</v>
      </c>
      <c r="BD124" s="909">
        <f t="shared" si="473"/>
        <v>0</v>
      </c>
      <c r="BE124" s="909">
        <f t="shared" si="473"/>
        <v>0</v>
      </c>
      <c r="BF124" s="909">
        <f t="shared" si="473"/>
        <v>0</v>
      </c>
      <c r="BG124" s="909">
        <f t="shared" si="473"/>
        <v>0</v>
      </c>
      <c r="BH124" s="920">
        <f t="shared" si="473"/>
        <v>0</v>
      </c>
      <c r="BI124" s="908">
        <f t="shared" si="473"/>
        <v>0</v>
      </c>
      <c r="BJ124" s="909">
        <f t="shared" si="473"/>
        <v>0</v>
      </c>
      <c r="BK124" s="909">
        <f t="shared" si="473"/>
        <v>0</v>
      </c>
      <c r="BL124" s="909">
        <f t="shared" si="473"/>
        <v>0</v>
      </c>
      <c r="BM124" s="909">
        <f t="shared" si="473"/>
        <v>0</v>
      </c>
      <c r="BN124" s="920">
        <f t="shared" si="473"/>
        <v>0</v>
      </c>
      <c r="BO124" s="908">
        <f t="shared" si="473"/>
        <v>0</v>
      </c>
      <c r="BP124" s="909">
        <f t="shared" si="473"/>
        <v>0</v>
      </c>
      <c r="BQ124" s="909">
        <f t="shared" si="473"/>
        <v>0</v>
      </c>
      <c r="BR124" s="909">
        <f t="shared" si="473"/>
        <v>0</v>
      </c>
      <c r="BS124" s="909">
        <f t="shared" si="473"/>
        <v>0</v>
      </c>
      <c r="BT124" s="918">
        <f t="shared" si="473"/>
        <v>0</v>
      </c>
    </row>
    <row r="125" spans="1:72" s="313" customFormat="1" ht="25.5" customHeight="1" outlineLevel="2">
      <c r="A125" s="287">
        <v>107</v>
      </c>
      <c r="B125" s="933"/>
      <c r="C125" s="840"/>
      <c r="D125" s="841" t="s">
        <v>271</v>
      </c>
      <c r="E125" s="839"/>
      <c r="F125" s="821" t="s">
        <v>7</v>
      </c>
      <c r="G125" s="314">
        <v>4</v>
      </c>
      <c r="H125" s="739" t="s">
        <v>70</v>
      </c>
      <c r="I125" s="739">
        <v>244</v>
      </c>
      <c r="J125" s="740">
        <v>346</v>
      </c>
      <c r="K125" s="533" t="s">
        <v>301</v>
      </c>
      <c r="L125" s="1004">
        <v>134005.82</v>
      </c>
      <c r="M125" s="318"/>
      <c r="N125" s="318"/>
      <c r="O125" s="318">
        <f>L125+N125</f>
        <v>134005.82</v>
      </c>
      <c r="P125" s="562"/>
      <c r="Q125" s="336">
        <v>379130.88</v>
      </c>
      <c r="R125" s="562">
        <v>0</v>
      </c>
      <c r="S125" s="336">
        <v>485710.59</v>
      </c>
      <c r="T125" s="562"/>
      <c r="U125" s="466"/>
      <c r="V125" s="320"/>
      <c r="W125" s="320"/>
      <c r="X125" s="320"/>
      <c r="Z125" s="336">
        <f t="shared" si="466"/>
        <v>134005.82</v>
      </c>
      <c r="AA125" s="337">
        <f t="shared" si="466"/>
        <v>0</v>
      </c>
      <c r="AB125" s="338">
        <f>Z125-AA125</f>
        <v>134005.82</v>
      </c>
      <c r="AC125" s="336">
        <f t="shared" si="467"/>
        <v>0</v>
      </c>
      <c r="AD125" s="337">
        <f t="shared" si="467"/>
        <v>0</v>
      </c>
      <c r="AE125" s="338">
        <f>AC125-AD125</f>
        <v>0</v>
      </c>
      <c r="AF125" s="336">
        <f t="shared" si="468"/>
        <v>0</v>
      </c>
      <c r="AG125" s="337">
        <f t="shared" si="468"/>
        <v>0</v>
      </c>
      <c r="AH125" s="338">
        <f>AF125-AG125</f>
        <v>0</v>
      </c>
      <c r="AI125" s="336">
        <f t="shared" si="469"/>
        <v>0</v>
      </c>
      <c r="AJ125" s="337">
        <f t="shared" si="469"/>
        <v>0</v>
      </c>
      <c r="AK125" s="338">
        <f>AI125-AJ125</f>
        <v>0</v>
      </c>
      <c r="AL125" s="342"/>
      <c r="AM125" s="336">
        <f t="shared" si="470"/>
        <v>134005.82</v>
      </c>
      <c r="AN125" s="339">
        <f t="shared" si="470"/>
        <v>0</v>
      </c>
      <c r="AO125" s="340">
        <f>AM125-AN125</f>
        <v>134005.82</v>
      </c>
      <c r="AP125" s="336">
        <f t="shared" si="471"/>
        <v>134005.82</v>
      </c>
      <c r="AQ125" s="339">
        <f t="shared" si="471"/>
        <v>0</v>
      </c>
      <c r="AR125" s="340">
        <f>AP125-AQ125</f>
        <v>134005.82</v>
      </c>
      <c r="AS125" s="341">
        <f t="shared" si="472"/>
        <v>134005.82</v>
      </c>
      <c r="AT125" s="339">
        <f t="shared" si="472"/>
        <v>0</v>
      </c>
      <c r="AU125" s="340">
        <f>AS125-AT125</f>
        <v>134005.82</v>
      </c>
      <c r="AV125" s="589">
        <f>L125-AS125</f>
        <v>0</v>
      </c>
      <c r="AW125" s="343"/>
      <c r="AX125" s="344"/>
      <c r="AY125" s="345">
        <v>134005.82</v>
      </c>
      <c r="AZ125" s="344"/>
      <c r="BA125" s="345"/>
      <c r="BB125" s="346"/>
      <c r="BC125" s="347"/>
      <c r="BD125" s="348"/>
      <c r="BE125" s="349"/>
      <c r="BF125" s="348"/>
      <c r="BG125" s="349"/>
      <c r="BH125" s="350"/>
      <c r="BI125" s="351"/>
      <c r="BJ125" s="352"/>
      <c r="BK125" s="337"/>
      <c r="BL125" s="352"/>
      <c r="BM125" s="337"/>
      <c r="BN125" s="353"/>
      <c r="BO125" s="354"/>
      <c r="BP125" s="355"/>
      <c r="BQ125" s="356"/>
      <c r="BR125" s="355"/>
      <c r="BS125" s="356"/>
      <c r="BT125" s="357"/>
    </row>
    <row r="126" spans="1:72" s="430" customFormat="1" ht="25.5" customHeight="1" outlineLevel="2">
      <c r="A126" s="287">
        <v>108</v>
      </c>
      <c r="B126" s="933"/>
      <c r="C126" s="743"/>
      <c r="D126" s="856" t="s">
        <v>271</v>
      </c>
      <c r="E126" s="857"/>
      <c r="F126" s="827" t="s">
        <v>7</v>
      </c>
      <c r="G126" s="431">
        <v>4</v>
      </c>
      <c r="H126" s="474" t="s">
        <v>70</v>
      </c>
      <c r="I126" s="743">
        <v>244</v>
      </c>
      <c r="J126" s="744">
        <v>346</v>
      </c>
      <c r="K126" s="536" t="s">
        <v>284</v>
      </c>
      <c r="L126" s="443"/>
      <c r="M126" s="434"/>
      <c r="N126" s="434"/>
      <c r="O126" s="434">
        <f>L126+N126</f>
        <v>0</v>
      </c>
      <c r="P126" s="563"/>
      <c r="Q126" s="437"/>
      <c r="R126" s="563"/>
      <c r="S126" s="437"/>
      <c r="T126" s="563"/>
      <c r="U126" s="467"/>
      <c r="V126" s="436"/>
      <c r="W126" s="436"/>
      <c r="X126" s="436"/>
      <c r="Z126" s="437">
        <f t="shared" si="466"/>
        <v>0</v>
      </c>
      <c r="AA126" s="438">
        <f t="shared" si="466"/>
        <v>0</v>
      </c>
      <c r="AB126" s="439">
        <f>Z126-AA126</f>
        <v>0</v>
      </c>
      <c r="AC126" s="437">
        <f t="shared" si="467"/>
        <v>0</v>
      </c>
      <c r="AD126" s="438">
        <f t="shared" si="467"/>
        <v>0</v>
      </c>
      <c r="AE126" s="439">
        <f>AC126-AD126</f>
        <v>0</v>
      </c>
      <c r="AF126" s="437">
        <f t="shared" si="468"/>
        <v>0</v>
      </c>
      <c r="AG126" s="438">
        <f t="shared" si="468"/>
        <v>0</v>
      </c>
      <c r="AH126" s="439">
        <f>AF126-AG126</f>
        <v>0</v>
      </c>
      <c r="AI126" s="437">
        <f t="shared" si="469"/>
        <v>0</v>
      </c>
      <c r="AJ126" s="438">
        <f t="shared" si="469"/>
        <v>0</v>
      </c>
      <c r="AK126" s="439">
        <f>AI126-AJ126</f>
        <v>0</v>
      </c>
      <c r="AL126" s="440"/>
      <c r="AM126" s="437">
        <f t="shared" si="470"/>
        <v>0</v>
      </c>
      <c r="AN126" s="441">
        <f t="shared" si="470"/>
        <v>0</v>
      </c>
      <c r="AO126" s="442">
        <f>AM126-AN126</f>
        <v>0</v>
      </c>
      <c r="AP126" s="437">
        <f t="shared" si="471"/>
        <v>0</v>
      </c>
      <c r="AQ126" s="441">
        <f t="shared" si="471"/>
        <v>0</v>
      </c>
      <c r="AR126" s="442">
        <f>AP126-AQ126</f>
        <v>0</v>
      </c>
      <c r="AS126" s="443">
        <f t="shared" si="472"/>
        <v>0</v>
      </c>
      <c r="AT126" s="441">
        <f t="shared" si="472"/>
        <v>0</v>
      </c>
      <c r="AU126" s="442">
        <f>AS126-AT126</f>
        <v>0</v>
      </c>
      <c r="AV126" s="601">
        <f>L126-AS126</f>
        <v>0</v>
      </c>
      <c r="AW126" s="444"/>
      <c r="AX126" s="445"/>
      <c r="AY126" s="446"/>
      <c r="AZ126" s="445"/>
      <c r="BA126" s="446"/>
      <c r="BB126" s="447"/>
      <c r="BC126" s="448"/>
      <c r="BD126" s="449"/>
      <c r="BE126" s="450"/>
      <c r="BF126" s="449"/>
      <c r="BG126" s="450"/>
      <c r="BH126" s="451"/>
      <c r="BI126" s="452"/>
      <c r="BJ126" s="453"/>
      <c r="BK126" s="438"/>
      <c r="BL126" s="453"/>
      <c r="BM126" s="438"/>
      <c r="BN126" s="454"/>
      <c r="BO126" s="455"/>
      <c r="BP126" s="456"/>
      <c r="BQ126" s="457"/>
      <c r="BR126" s="456"/>
      <c r="BS126" s="457"/>
      <c r="BT126" s="458"/>
    </row>
    <row r="127" spans="1:72" s="459" customFormat="1" ht="66.75" customHeight="1" outlineLevel="1">
      <c r="A127" s="287">
        <v>109</v>
      </c>
      <c r="B127" s="933"/>
      <c r="C127" s="850" t="s">
        <v>378</v>
      </c>
      <c r="D127" s="854" t="s">
        <v>272</v>
      </c>
      <c r="E127" s="855"/>
      <c r="F127" s="826" t="s">
        <v>7</v>
      </c>
      <c r="G127" s="462">
        <v>4</v>
      </c>
      <c r="H127" s="741" t="s">
        <v>70</v>
      </c>
      <c r="I127" s="741">
        <v>244</v>
      </c>
      <c r="J127" s="742">
        <v>346</v>
      </c>
      <c r="K127" s="535" t="s">
        <v>278</v>
      </c>
      <c r="L127" s="464">
        <v>27459.5</v>
      </c>
      <c r="M127" s="352"/>
      <c r="N127" s="352"/>
      <c r="O127" s="352">
        <f t="shared" si="127"/>
        <v>27459.5</v>
      </c>
      <c r="P127" s="561"/>
      <c r="Q127" s="464"/>
      <c r="R127" s="561"/>
      <c r="S127" s="464"/>
      <c r="T127" s="561"/>
      <c r="U127" s="393"/>
      <c r="V127" s="394"/>
      <c r="W127" s="394"/>
      <c r="X127" s="394"/>
      <c r="Y127" s="392"/>
      <c r="Z127" s="395">
        <f t="shared" si="271"/>
        <v>0</v>
      </c>
      <c r="AA127" s="396">
        <f t="shared" si="271"/>
        <v>0</v>
      </c>
      <c r="AB127" s="397">
        <f t="shared" si="128"/>
        <v>0</v>
      </c>
      <c r="AC127" s="395">
        <f t="shared" si="272"/>
        <v>0</v>
      </c>
      <c r="AD127" s="396">
        <f t="shared" si="272"/>
        <v>0</v>
      </c>
      <c r="AE127" s="397">
        <f t="shared" si="129"/>
        <v>0</v>
      </c>
      <c r="AF127" s="395">
        <f t="shared" si="273"/>
        <v>27459.5</v>
      </c>
      <c r="AG127" s="396">
        <f t="shared" si="273"/>
        <v>0</v>
      </c>
      <c r="AH127" s="397">
        <f t="shared" si="130"/>
        <v>27459.5</v>
      </c>
      <c r="AI127" s="395">
        <f t="shared" si="274"/>
        <v>0</v>
      </c>
      <c r="AJ127" s="396">
        <f t="shared" si="274"/>
        <v>0</v>
      </c>
      <c r="AK127" s="397">
        <f t="shared" si="131"/>
        <v>0</v>
      </c>
      <c r="AL127" s="398"/>
      <c r="AM127" s="464">
        <f t="shared" si="275"/>
        <v>0</v>
      </c>
      <c r="AN127" s="352">
        <f t="shared" si="275"/>
        <v>0</v>
      </c>
      <c r="AO127" s="465">
        <f t="shared" si="132"/>
        <v>0</v>
      </c>
      <c r="AP127" s="464">
        <f t="shared" si="276"/>
        <v>27459.5</v>
      </c>
      <c r="AQ127" s="352">
        <f t="shared" si="276"/>
        <v>0</v>
      </c>
      <c r="AR127" s="465">
        <f t="shared" si="133"/>
        <v>27459.5</v>
      </c>
      <c r="AS127" s="464">
        <f t="shared" si="269"/>
        <v>27459.5</v>
      </c>
      <c r="AT127" s="352">
        <f t="shared" si="269"/>
        <v>0</v>
      </c>
      <c r="AU127" s="465">
        <f t="shared" si="134"/>
        <v>27459.5</v>
      </c>
      <c r="AV127" s="600">
        <f t="shared" si="135"/>
        <v>0</v>
      </c>
      <c r="AW127" s="464">
        <f t="shared" ref="AW127:BT127" si="474">SUM(AW128:AW129)</f>
        <v>0</v>
      </c>
      <c r="AX127" s="352">
        <f t="shared" si="474"/>
        <v>0</v>
      </c>
      <c r="AY127" s="352">
        <f t="shared" si="474"/>
        <v>0</v>
      </c>
      <c r="AZ127" s="352">
        <f t="shared" si="474"/>
        <v>0</v>
      </c>
      <c r="BA127" s="352">
        <f t="shared" si="474"/>
        <v>0</v>
      </c>
      <c r="BB127" s="353">
        <f t="shared" si="474"/>
        <v>0</v>
      </c>
      <c r="BC127" s="464">
        <f t="shared" si="474"/>
        <v>0</v>
      </c>
      <c r="BD127" s="352">
        <f t="shared" si="474"/>
        <v>0</v>
      </c>
      <c r="BE127" s="352">
        <f t="shared" si="474"/>
        <v>0</v>
      </c>
      <c r="BF127" s="352">
        <f t="shared" si="474"/>
        <v>0</v>
      </c>
      <c r="BG127" s="352">
        <f t="shared" si="474"/>
        <v>0</v>
      </c>
      <c r="BH127" s="353">
        <f t="shared" si="474"/>
        <v>0</v>
      </c>
      <c r="BI127" s="464">
        <f t="shared" si="474"/>
        <v>0</v>
      </c>
      <c r="BJ127" s="352">
        <f t="shared" si="474"/>
        <v>0</v>
      </c>
      <c r="BK127" s="352">
        <f t="shared" si="474"/>
        <v>10000</v>
      </c>
      <c r="BL127" s="352">
        <f t="shared" si="474"/>
        <v>0</v>
      </c>
      <c r="BM127" s="352">
        <f t="shared" si="474"/>
        <v>17459.5</v>
      </c>
      <c r="BN127" s="353">
        <f t="shared" si="474"/>
        <v>0</v>
      </c>
      <c r="BO127" s="464">
        <f t="shared" si="474"/>
        <v>0</v>
      </c>
      <c r="BP127" s="352">
        <f t="shared" si="474"/>
        <v>0</v>
      </c>
      <c r="BQ127" s="352">
        <f t="shared" si="474"/>
        <v>0</v>
      </c>
      <c r="BR127" s="352">
        <f t="shared" si="474"/>
        <v>0</v>
      </c>
      <c r="BS127" s="352">
        <f t="shared" si="474"/>
        <v>0</v>
      </c>
      <c r="BT127" s="465">
        <f t="shared" si="474"/>
        <v>0</v>
      </c>
    </row>
    <row r="128" spans="1:72" s="313" customFormat="1" ht="25.5" customHeight="1" outlineLevel="2">
      <c r="A128" s="287">
        <v>110</v>
      </c>
      <c r="B128" s="933"/>
      <c r="C128" s="840"/>
      <c r="D128" s="841" t="s">
        <v>272</v>
      </c>
      <c r="E128" s="839"/>
      <c r="F128" s="821" t="s">
        <v>7</v>
      </c>
      <c r="G128" s="314">
        <v>4</v>
      </c>
      <c r="H128" s="739" t="s">
        <v>70</v>
      </c>
      <c r="I128" s="739">
        <v>244</v>
      </c>
      <c r="J128" s="740">
        <v>346</v>
      </c>
      <c r="K128" s="533" t="s">
        <v>301</v>
      </c>
      <c r="L128" s="1004">
        <f>27459.5</f>
        <v>27459.5</v>
      </c>
      <c r="M128" s="318"/>
      <c r="N128" s="318"/>
      <c r="O128" s="318">
        <f t="shared" si="127"/>
        <v>27459.5</v>
      </c>
      <c r="P128" s="562"/>
      <c r="Q128" s="336"/>
      <c r="R128" s="562"/>
      <c r="S128" s="336"/>
      <c r="T128" s="562"/>
      <c r="U128" s="466"/>
      <c r="V128" s="320"/>
      <c r="W128" s="320"/>
      <c r="X128" s="320"/>
      <c r="Z128" s="336">
        <f t="shared" si="271"/>
        <v>0</v>
      </c>
      <c r="AA128" s="337">
        <f t="shared" si="271"/>
        <v>0</v>
      </c>
      <c r="AB128" s="338">
        <f t="shared" si="128"/>
        <v>0</v>
      </c>
      <c r="AC128" s="336">
        <f t="shared" si="272"/>
        <v>0</v>
      </c>
      <c r="AD128" s="337">
        <f t="shared" si="272"/>
        <v>0</v>
      </c>
      <c r="AE128" s="338">
        <f t="shared" si="129"/>
        <v>0</v>
      </c>
      <c r="AF128" s="336">
        <f t="shared" si="273"/>
        <v>27459.5</v>
      </c>
      <c r="AG128" s="337">
        <f t="shared" si="273"/>
        <v>0</v>
      </c>
      <c r="AH128" s="338">
        <f t="shared" si="130"/>
        <v>27459.5</v>
      </c>
      <c r="AI128" s="336">
        <f t="shared" si="274"/>
        <v>0</v>
      </c>
      <c r="AJ128" s="337">
        <f t="shared" si="274"/>
        <v>0</v>
      </c>
      <c r="AK128" s="338">
        <f t="shared" si="131"/>
        <v>0</v>
      </c>
      <c r="AL128" s="342"/>
      <c r="AM128" s="336">
        <f t="shared" si="275"/>
        <v>0</v>
      </c>
      <c r="AN128" s="339">
        <f t="shared" si="275"/>
        <v>0</v>
      </c>
      <c r="AO128" s="340">
        <f t="shared" si="132"/>
        <v>0</v>
      </c>
      <c r="AP128" s="336">
        <f t="shared" si="276"/>
        <v>27459.5</v>
      </c>
      <c r="AQ128" s="339">
        <f t="shared" si="276"/>
        <v>0</v>
      </c>
      <c r="AR128" s="340">
        <f t="shared" si="133"/>
        <v>27459.5</v>
      </c>
      <c r="AS128" s="341">
        <f t="shared" si="269"/>
        <v>27459.5</v>
      </c>
      <c r="AT128" s="339">
        <f t="shared" si="269"/>
        <v>0</v>
      </c>
      <c r="AU128" s="340">
        <f t="shared" si="134"/>
        <v>27459.5</v>
      </c>
      <c r="AV128" s="589">
        <f t="shared" si="135"/>
        <v>0</v>
      </c>
      <c r="AW128" s="343"/>
      <c r="AX128" s="344"/>
      <c r="AY128" s="345"/>
      <c r="AZ128" s="344"/>
      <c r="BA128" s="345"/>
      <c r="BB128" s="346"/>
      <c r="BC128" s="347"/>
      <c r="BD128" s="348"/>
      <c r="BE128" s="349"/>
      <c r="BF128" s="348"/>
      <c r="BG128" s="349"/>
      <c r="BH128" s="350"/>
      <c r="BI128" s="351"/>
      <c r="BJ128" s="352"/>
      <c r="BK128" s="337">
        <v>10000</v>
      </c>
      <c r="BL128" s="352"/>
      <c r="BM128" s="337">
        <v>17459.5</v>
      </c>
      <c r="BN128" s="353"/>
      <c r="BO128" s="354"/>
      <c r="BP128" s="355"/>
      <c r="BQ128" s="356"/>
      <c r="BR128" s="355"/>
      <c r="BS128" s="356"/>
      <c r="BT128" s="357"/>
    </row>
    <row r="129" spans="1:72" s="430" customFormat="1" ht="25.5" customHeight="1" outlineLevel="2">
      <c r="A129" s="287">
        <v>111</v>
      </c>
      <c r="B129" s="933"/>
      <c r="C129" s="743"/>
      <c r="D129" s="856" t="s">
        <v>272</v>
      </c>
      <c r="E129" s="857"/>
      <c r="F129" s="827" t="s">
        <v>7</v>
      </c>
      <c r="G129" s="431">
        <v>4</v>
      </c>
      <c r="H129" s="474" t="s">
        <v>70</v>
      </c>
      <c r="I129" s="743">
        <v>244</v>
      </c>
      <c r="J129" s="744">
        <v>346</v>
      </c>
      <c r="K129" s="536" t="s">
        <v>284</v>
      </c>
      <c r="L129" s="443"/>
      <c r="M129" s="434"/>
      <c r="N129" s="434"/>
      <c r="O129" s="434">
        <f t="shared" si="127"/>
        <v>0</v>
      </c>
      <c r="P129" s="563"/>
      <c r="Q129" s="437"/>
      <c r="R129" s="563"/>
      <c r="S129" s="437"/>
      <c r="T129" s="563"/>
      <c r="U129" s="467"/>
      <c r="V129" s="436"/>
      <c r="W129" s="436"/>
      <c r="X129" s="436"/>
      <c r="Z129" s="437">
        <f t="shared" si="271"/>
        <v>0</v>
      </c>
      <c r="AA129" s="438">
        <f t="shared" si="271"/>
        <v>0</v>
      </c>
      <c r="AB129" s="439">
        <f t="shared" si="128"/>
        <v>0</v>
      </c>
      <c r="AC129" s="437">
        <f t="shared" si="272"/>
        <v>0</v>
      </c>
      <c r="AD129" s="438">
        <f t="shared" si="272"/>
        <v>0</v>
      </c>
      <c r="AE129" s="439">
        <f t="shared" si="129"/>
        <v>0</v>
      </c>
      <c r="AF129" s="437">
        <f t="shared" si="273"/>
        <v>0</v>
      </c>
      <c r="AG129" s="438">
        <f t="shared" si="273"/>
        <v>0</v>
      </c>
      <c r="AH129" s="439">
        <f t="shared" si="130"/>
        <v>0</v>
      </c>
      <c r="AI129" s="437">
        <f t="shared" si="274"/>
        <v>0</v>
      </c>
      <c r="AJ129" s="438">
        <f t="shared" si="274"/>
        <v>0</v>
      </c>
      <c r="AK129" s="439">
        <f t="shared" si="131"/>
        <v>0</v>
      </c>
      <c r="AL129" s="440"/>
      <c r="AM129" s="437">
        <f t="shared" si="275"/>
        <v>0</v>
      </c>
      <c r="AN129" s="441">
        <f t="shared" si="275"/>
        <v>0</v>
      </c>
      <c r="AO129" s="442">
        <f t="shared" si="132"/>
        <v>0</v>
      </c>
      <c r="AP129" s="437">
        <f t="shared" si="276"/>
        <v>0</v>
      </c>
      <c r="AQ129" s="441">
        <f t="shared" si="276"/>
        <v>0</v>
      </c>
      <c r="AR129" s="442">
        <f t="shared" si="133"/>
        <v>0</v>
      </c>
      <c r="AS129" s="443">
        <f t="shared" si="269"/>
        <v>0</v>
      </c>
      <c r="AT129" s="441">
        <f t="shared" si="269"/>
        <v>0</v>
      </c>
      <c r="AU129" s="442">
        <f t="shared" si="134"/>
        <v>0</v>
      </c>
      <c r="AV129" s="601">
        <f t="shared" si="135"/>
        <v>0</v>
      </c>
      <c r="AW129" s="444"/>
      <c r="AX129" s="445"/>
      <c r="AY129" s="446"/>
      <c r="AZ129" s="445"/>
      <c r="BA129" s="446"/>
      <c r="BB129" s="447"/>
      <c r="BC129" s="448"/>
      <c r="BD129" s="449"/>
      <c r="BE129" s="450"/>
      <c r="BF129" s="449"/>
      <c r="BG129" s="450"/>
      <c r="BH129" s="451"/>
      <c r="BI129" s="452"/>
      <c r="BJ129" s="453"/>
      <c r="BK129" s="438"/>
      <c r="BL129" s="453"/>
      <c r="BM129" s="438"/>
      <c r="BN129" s="454"/>
      <c r="BO129" s="455"/>
      <c r="BP129" s="456"/>
      <c r="BQ129" s="457"/>
      <c r="BR129" s="456"/>
      <c r="BS129" s="457"/>
      <c r="BT129" s="458"/>
    </row>
    <row r="130" spans="1:72" s="468" customFormat="1" ht="66.75" customHeight="1" outlineLevel="1">
      <c r="A130" s="287">
        <v>112</v>
      </c>
      <c r="B130" s="933"/>
      <c r="C130" s="850" t="s">
        <v>378</v>
      </c>
      <c r="D130" s="854" t="s">
        <v>276</v>
      </c>
      <c r="E130" s="858"/>
      <c r="F130" s="828" t="s">
        <v>7</v>
      </c>
      <c r="G130" s="469">
        <v>4</v>
      </c>
      <c r="H130" s="745" t="s">
        <v>70</v>
      </c>
      <c r="I130" s="745">
        <v>244</v>
      </c>
      <c r="J130" s="746">
        <v>346</v>
      </c>
      <c r="K130" s="537" t="s">
        <v>488</v>
      </c>
      <c r="L130" s="472">
        <v>40774.18</v>
      </c>
      <c r="M130" s="422"/>
      <c r="N130" s="422"/>
      <c r="O130" s="422">
        <f t="shared" si="127"/>
        <v>40774.18</v>
      </c>
      <c r="P130" s="564"/>
      <c r="Q130" s="472"/>
      <c r="R130" s="564"/>
      <c r="S130" s="472"/>
      <c r="T130" s="564"/>
      <c r="U130" s="393"/>
      <c r="V130" s="394"/>
      <c r="W130" s="394"/>
      <c r="X130" s="394"/>
      <c r="Y130" s="392"/>
      <c r="Z130" s="395">
        <f t="shared" si="271"/>
        <v>0</v>
      </c>
      <c r="AA130" s="396">
        <f t="shared" si="271"/>
        <v>0</v>
      </c>
      <c r="AB130" s="397">
        <f t="shared" si="128"/>
        <v>0</v>
      </c>
      <c r="AC130" s="395">
        <f t="shared" si="272"/>
        <v>0</v>
      </c>
      <c r="AD130" s="396">
        <f t="shared" si="272"/>
        <v>0</v>
      </c>
      <c r="AE130" s="397">
        <f t="shared" si="129"/>
        <v>0</v>
      </c>
      <c r="AF130" s="395">
        <f t="shared" si="273"/>
        <v>0</v>
      </c>
      <c r="AG130" s="396">
        <f t="shared" si="273"/>
        <v>0</v>
      </c>
      <c r="AH130" s="397">
        <f t="shared" si="130"/>
        <v>0</v>
      </c>
      <c r="AI130" s="395">
        <f t="shared" si="274"/>
        <v>40774.18</v>
      </c>
      <c r="AJ130" s="396">
        <f t="shared" si="274"/>
        <v>0</v>
      </c>
      <c r="AK130" s="397">
        <f t="shared" si="131"/>
        <v>40774.18</v>
      </c>
      <c r="AL130" s="398"/>
      <c r="AM130" s="472">
        <f t="shared" si="275"/>
        <v>0</v>
      </c>
      <c r="AN130" s="422">
        <f t="shared" si="275"/>
        <v>0</v>
      </c>
      <c r="AO130" s="473">
        <f t="shared" si="132"/>
        <v>0</v>
      </c>
      <c r="AP130" s="472">
        <f t="shared" si="276"/>
        <v>0</v>
      </c>
      <c r="AQ130" s="422">
        <f t="shared" si="276"/>
        <v>0</v>
      </c>
      <c r="AR130" s="473">
        <f t="shared" si="133"/>
        <v>0</v>
      </c>
      <c r="AS130" s="472">
        <f t="shared" si="269"/>
        <v>40774.18</v>
      </c>
      <c r="AT130" s="422">
        <f t="shared" si="269"/>
        <v>0</v>
      </c>
      <c r="AU130" s="473">
        <f t="shared" si="134"/>
        <v>40774.18</v>
      </c>
      <c r="AV130" s="602">
        <f t="shared" si="135"/>
        <v>0</v>
      </c>
      <c r="AW130" s="472">
        <f t="shared" ref="AW130:BT130" si="475">SUM(AW131:AW132)</f>
        <v>0</v>
      </c>
      <c r="AX130" s="422">
        <f t="shared" si="475"/>
        <v>0</v>
      </c>
      <c r="AY130" s="422">
        <f t="shared" si="475"/>
        <v>0</v>
      </c>
      <c r="AZ130" s="422">
        <f t="shared" si="475"/>
        <v>0</v>
      </c>
      <c r="BA130" s="422">
        <f t="shared" si="475"/>
        <v>0</v>
      </c>
      <c r="BB130" s="423">
        <f t="shared" si="475"/>
        <v>0</v>
      </c>
      <c r="BC130" s="472">
        <f t="shared" si="475"/>
        <v>0</v>
      </c>
      <c r="BD130" s="422">
        <f t="shared" si="475"/>
        <v>0</v>
      </c>
      <c r="BE130" s="422">
        <f t="shared" si="475"/>
        <v>0</v>
      </c>
      <c r="BF130" s="422">
        <f t="shared" si="475"/>
        <v>0</v>
      </c>
      <c r="BG130" s="422">
        <f t="shared" si="475"/>
        <v>0</v>
      </c>
      <c r="BH130" s="423">
        <f t="shared" si="475"/>
        <v>0</v>
      </c>
      <c r="BI130" s="472">
        <f t="shared" si="475"/>
        <v>0</v>
      </c>
      <c r="BJ130" s="422">
        <f t="shared" si="475"/>
        <v>0</v>
      </c>
      <c r="BK130" s="422">
        <f t="shared" si="475"/>
        <v>0</v>
      </c>
      <c r="BL130" s="422">
        <f t="shared" si="475"/>
        <v>0</v>
      </c>
      <c r="BM130" s="422">
        <f t="shared" si="475"/>
        <v>0</v>
      </c>
      <c r="BN130" s="423">
        <f t="shared" si="475"/>
        <v>0</v>
      </c>
      <c r="BO130" s="472">
        <f t="shared" si="475"/>
        <v>20000</v>
      </c>
      <c r="BP130" s="422">
        <f t="shared" si="475"/>
        <v>0</v>
      </c>
      <c r="BQ130" s="422">
        <f t="shared" si="475"/>
        <v>20774.18</v>
      </c>
      <c r="BR130" s="422">
        <f t="shared" si="475"/>
        <v>0</v>
      </c>
      <c r="BS130" s="422">
        <f t="shared" si="475"/>
        <v>0</v>
      </c>
      <c r="BT130" s="473">
        <f t="shared" si="475"/>
        <v>0</v>
      </c>
    </row>
    <row r="131" spans="1:72" s="399" customFormat="1" ht="25.5" customHeight="1" outlineLevel="2">
      <c r="A131" s="287">
        <v>113</v>
      </c>
      <c r="B131" s="933"/>
      <c r="C131" s="859"/>
      <c r="D131" s="841" t="s">
        <v>276</v>
      </c>
      <c r="E131" s="860"/>
      <c r="F131" s="829" t="s">
        <v>7</v>
      </c>
      <c r="G131" s="400">
        <v>4</v>
      </c>
      <c r="H131" s="747" t="s">
        <v>70</v>
      </c>
      <c r="I131" s="747">
        <v>244</v>
      </c>
      <c r="J131" s="748">
        <v>346</v>
      </c>
      <c r="K131" s="538" t="s">
        <v>301</v>
      </c>
      <c r="L131" s="1004">
        <v>40774.18</v>
      </c>
      <c r="M131" s="403"/>
      <c r="N131" s="403"/>
      <c r="O131" s="403">
        <f t="shared" si="127"/>
        <v>40774.18</v>
      </c>
      <c r="P131" s="565"/>
      <c r="Q131" s="406"/>
      <c r="R131" s="565"/>
      <c r="S131" s="406"/>
      <c r="T131" s="565"/>
      <c r="U131" s="428"/>
      <c r="V131" s="405"/>
      <c r="W131" s="405"/>
      <c r="X131" s="405"/>
      <c r="Z131" s="406">
        <f t="shared" si="271"/>
        <v>0</v>
      </c>
      <c r="AA131" s="407">
        <f t="shared" si="271"/>
        <v>0</v>
      </c>
      <c r="AB131" s="408">
        <f t="shared" si="128"/>
        <v>0</v>
      </c>
      <c r="AC131" s="406">
        <f t="shared" si="272"/>
        <v>0</v>
      </c>
      <c r="AD131" s="407">
        <f t="shared" si="272"/>
        <v>0</v>
      </c>
      <c r="AE131" s="408">
        <f t="shared" si="129"/>
        <v>0</v>
      </c>
      <c r="AF131" s="406">
        <f t="shared" si="273"/>
        <v>0</v>
      </c>
      <c r="AG131" s="407">
        <f t="shared" si="273"/>
        <v>0</v>
      </c>
      <c r="AH131" s="408">
        <f t="shared" si="130"/>
        <v>0</v>
      </c>
      <c r="AI131" s="406">
        <f t="shared" si="274"/>
        <v>40774.18</v>
      </c>
      <c r="AJ131" s="407">
        <f t="shared" si="274"/>
        <v>0</v>
      </c>
      <c r="AK131" s="408">
        <f t="shared" si="131"/>
        <v>40774.18</v>
      </c>
      <c r="AL131" s="409"/>
      <c r="AM131" s="406">
        <f t="shared" si="275"/>
        <v>0</v>
      </c>
      <c r="AN131" s="410">
        <f t="shared" si="275"/>
        <v>0</v>
      </c>
      <c r="AO131" s="411">
        <f t="shared" si="132"/>
        <v>0</v>
      </c>
      <c r="AP131" s="406">
        <f t="shared" si="276"/>
        <v>0</v>
      </c>
      <c r="AQ131" s="410">
        <f t="shared" si="276"/>
        <v>0</v>
      </c>
      <c r="AR131" s="411">
        <f t="shared" si="133"/>
        <v>0</v>
      </c>
      <c r="AS131" s="412">
        <f t="shared" si="269"/>
        <v>40774.18</v>
      </c>
      <c r="AT131" s="410">
        <f t="shared" si="269"/>
        <v>0</v>
      </c>
      <c r="AU131" s="411">
        <f t="shared" si="134"/>
        <v>40774.18</v>
      </c>
      <c r="AV131" s="603">
        <f t="shared" si="135"/>
        <v>0</v>
      </c>
      <c r="AW131" s="413"/>
      <c r="AX131" s="414"/>
      <c r="AY131" s="415"/>
      <c r="AZ131" s="414"/>
      <c r="BA131" s="415"/>
      <c r="BB131" s="416"/>
      <c r="BC131" s="417"/>
      <c r="BD131" s="418"/>
      <c r="BE131" s="419"/>
      <c r="BF131" s="418"/>
      <c r="BG131" s="419"/>
      <c r="BH131" s="420"/>
      <c r="BI131" s="421"/>
      <c r="BJ131" s="422"/>
      <c r="BK131" s="407"/>
      <c r="BL131" s="422"/>
      <c r="BM131" s="407"/>
      <c r="BN131" s="423"/>
      <c r="BO131" s="424">
        <v>20000</v>
      </c>
      <c r="BP131" s="425"/>
      <c r="BQ131" s="426">
        <v>20774.18</v>
      </c>
      <c r="BR131" s="425"/>
      <c r="BS131" s="426"/>
      <c r="BT131" s="427"/>
    </row>
    <row r="132" spans="1:72" s="430" customFormat="1" ht="25.5" customHeight="1" outlineLevel="2">
      <c r="A132" s="287">
        <v>114</v>
      </c>
      <c r="B132" s="933"/>
      <c r="C132" s="743"/>
      <c r="D132" s="856" t="s">
        <v>276</v>
      </c>
      <c r="E132" s="857"/>
      <c r="F132" s="827" t="s">
        <v>7</v>
      </c>
      <c r="G132" s="431">
        <v>4</v>
      </c>
      <c r="H132" s="474" t="s">
        <v>70</v>
      </c>
      <c r="I132" s="743">
        <v>244</v>
      </c>
      <c r="J132" s="744">
        <v>346</v>
      </c>
      <c r="K132" s="536" t="s">
        <v>284</v>
      </c>
      <c r="L132" s="443"/>
      <c r="M132" s="434"/>
      <c r="N132" s="434"/>
      <c r="O132" s="434">
        <f t="shared" si="127"/>
        <v>0</v>
      </c>
      <c r="P132" s="563"/>
      <c r="Q132" s="437"/>
      <c r="R132" s="563"/>
      <c r="S132" s="437"/>
      <c r="T132" s="563"/>
      <c r="U132" s="467"/>
      <c r="V132" s="436"/>
      <c r="W132" s="436"/>
      <c r="X132" s="436"/>
      <c r="Z132" s="437">
        <f t="shared" si="271"/>
        <v>0</v>
      </c>
      <c r="AA132" s="438">
        <f t="shared" si="271"/>
        <v>0</v>
      </c>
      <c r="AB132" s="439">
        <f t="shared" si="128"/>
        <v>0</v>
      </c>
      <c r="AC132" s="437">
        <f t="shared" si="272"/>
        <v>0</v>
      </c>
      <c r="AD132" s="438">
        <f t="shared" si="272"/>
        <v>0</v>
      </c>
      <c r="AE132" s="439">
        <f t="shared" si="129"/>
        <v>0</v>
      </c>
      <c r="AF132" s="437">
        <f t="shared" si="273"/>
        <v>0</v>
      </c>
      <c r="AG132" s="438">
        <f t="shared" si="273"/>
        <v>0</v>
      </c>
      <c r="AH132" s="439">
        <f t="shared" si="130"/>
        <v>0</v>
      </c>
      <c r="AI132" s="437">
        <f t="shared" si="274"/>
        <v>0</v>
      </c>
      <c r="AJ132" s="438">
        <f t="shared" si="274"/>
        <v>0</v>
      </c>
      <c r="AK132" s="439">
        <f t="shared" si="131"/>
        <v>0</v>
      </c>
      <c r="AL132" s="440"/>
      <c r="AM132" s="437">
        <f t="shared" si="275"/>
        <v>0</v>
      </c>
      <c r="AN132" s="441">
        <f t="shared" si="275"/>
        <v>0</v>
      </c>
      <c r="AO132" s="442">
        <f t="shared" si="132"/>
        <v>0</v>
      </c>
      <c r="AP132" s="437">
        <f t="shared" si="276"/>
        <v>0</v>
      </c>
      <c r="AQ132" s="441">
        <f t="shared" si="276"/>
        <v>0</v>
      </c>
      <c r="AR132" s="442">
        <f t="shared" si="133"/>
        <v>0</v>
      </c>
      <c r="AS132" s="443">
        <f t="shared" si="269"/>
        <v>0</v>
      </c>
      <c r="AT132" s="441">
        <f t="shared" si="269"/>
        <v>0</v>
      </c>
      <c r="AU132" s="442">
        <f t="shared" si="134"/>
        <v>0</v>
      </c>
      <c r="AV132" s="601">
        <f t="shared" si="135"/>
        <v>0</v>
      </c>
      <c r="AW132" s="444"/>
      <c r="AX132" s="445"/>
      <c r="AY132" s="446"/>
      <c r="AZ132" s="445"/>
      <c r="BA132" s="446"/>
      <c r="BB132" s="447"/>
      <c r="BC132" s="448"/>
      <c r="BD132" s="449"/>
      <c r="BE132" s="450"/>
      <c r="BF132" s="449"/>
      <c r="BG132" s="450"/>
      <c r="BH132" s="451"/>
      <c r="BI132" s="452"/>
      <c r="BJ132" s="453"/>
      <c r="BK132" s="438"/>
      <c r="BL132" s="453"/>
      <c r="BM132" s="438"/>
      <c r="BN132" s="454"/>
      <c r="BO132" s="455"/>
      <c r="BP132" s="456"/>
      <c r="BQ132" s="457"/>
      <c r="BR132" s="456"/>
      <c r="BS132" s="457"/>
      <c r="BT132" s="458"/>
    </row>
    <row r="133" spans="1:72" s="459" customFormat="1" ht="66.75" customHeight="1" outlineLevel="1">
      <c r="A133" s="287">
        <v>115</v>
      </c>
      <c r="B133" s="933"/>
      <c r="C133" s="850" t="s">
        <v>378</v>
      </c>
      <c r="D133" s="854" t="s">
        <v>274</v>
      </c>
      <c r="E133" s="855"/>
      <c r="F133" s="826" t="s">
        <v>7</v>
      </c>
      <c r="G133" s="462">
        <v>4</v>
      </c>
      <c r="H133" s="741" t="s">
        <v>70</v>
      </c>
      <c r="I133" s="741">
        <v>244</v>
      </c>
      <c r="J133" s="742">
        <v>346</v>
      </c>
      <c r="K133" s="535" t="s">
        <v>283</v>
      </c>
      <c r="L133" s="464">
        <v>58096.959999999999</v>
      </c>
      <c r="M133" s="352"/>
      <c r="N133" s="352"/>
      <c r="O133" s="352">
        <f t="shared" si="127"/>
        <v>58096.959999999999</v>
      </c>
      <c r="P133" s="561"/>
      <c r="Q133" s="464"/>
      <c r="R133" s="561"/>
      <c r="S133" s="464"/>
      <c r="T133" s="561"/>
      <c r="U133" s="393"/>
      <c r="V133" s="394"/>
      <c r="W133" s="394"/>
      <c r="X133" s="394"/>
      <c r="Y133" s="392"/>
      <c r="Z133" s="395">
        <f t="shared" ref="Z133:AA148" si="476">AW133+AY133+BA133</f>
        <v>0</v>
      </c>
      <c r="AA133" s="396">
        <f t="shared" si="476"/>
        <v>0</v>
      </c>
      <c r="AB133" s="397">
        <f t="shared" si="128"/>
        <v>0</v>
      </c>
      <c r="AC133" s="395">
        <f t="shared" ref="AC133:AD148" si="477">BC133+BE133+BG133</f>
        <v>0</v>
      </c>
      <c r="AD133" s="396">
        <f t="shared" si="477"/>
        <v>0</v>
      </c>
      <c r="AE133" s="397">
        <f t="shared" si="129"/>
        <v>0</v>
      </c>
      <c r="AF133" s="395">
        <f t="shared" ref="AF133:AG148" si="478">BI133+BK133+BM133</f>
        <v>0</v>
      </c>
      <c r="AG133" s="396">
        <f t="shared" si="478"/>
        <v>0</v>
      </c>
      <c r="AH133" s="397">
        <f t="shared" si="130"/>
        <v>0</v>
      </c>
      <c r="AI133" s="395">
        <f t="shared" ref="AI133:AJ148" si="479">BO133+BQ133+BS133</f>
        <v>58096.959999999999</v>
      </c>
      <c r="AJ133" s="396">
        <f t="shared" si="479"/>
        <v>0</v>
      </c>
      <c r="AK133" s="397">
        <f t="shared" si="131"/>
        <v>58096.959999999999</v>
      </c>
      <c r="AL133" s="398"/>
      <c r="AM133" s="464">
        <f t="shared" ref="AM133:AN148" si="480">Z133+AC133</f>
        <v>0</v>
      </c>
      <c r="AN133" s="352">
        <f t="shared" si="480"/>
        <v>0</v>
      </c>
      <c r="AO133" s="465">
        <f t="shared" si="132"/>
        <v>0</v>
      </c>
      <c r="AP133" s="464">
        <f t="shared" ref="AP133:AQ148" si="481">Z133+AC133+AF133</f>
        <v>0</v>
      </c>
      <c r="AQ133" s="352">
        <f t="shared" si="481"/>
        <v>0</v>
      </c>
      <c r="AR133" s="465">
        <f t="shared" si="133"/>
        <v>0</v>
      </c>
      <c r="AS133" s="464">
        <f t="shared" si="269"/>
        <v>58096.959999999999</v>
      </c>
      <c r="AT133" s="352">
        <f t="shared" si="269"/>
        <v>0</v>
      </c>
      <c r="AU133" s="465">
        <f t="shared" si="134"/>
        <v>58096.959999999999</v>
      </c>
      <c r="AV133" s="600">
        <f t="shared" si="135"/>
        <v>0</v>
      </c>
      <c r="AW133" s="464">
        <f t="shared" ref="AW133:BT133" si="482">SUM(AW134:AW135)</f>
        <v>0</v>
      </c>
      <c r="AX133" s="352">
        <f t="shared" si="482"/>
        <v>0</v>
      </c>
      <c r="AY133" s="352">
        <f t="shared" si="482"/>
        <v>0</v>
      </c>
      <c r="AZ133" s="352">
        <f t="shared" si="482"/>
        <v>0</v>
      </c>
      <c r="BA133" s="352">
        <f t="shared" si="482"/>
        <v>0</v>
      </c>
      <c r="BB133" s="353">
        <f t="shared" si="482"/>
        <v>0</v>
      </c>
      <c r="BC133" s="464">
        <f t="shared" si="482"/>
        <v>0</v>
      </c>
      <c r="BD133" s="352">
        <f t="shared" si="482"/>
        <v>0</v>
      </c>
      <c r="BE133" s="352">
        <f t="shared" si="482"/>
        <v>0</v>
      </c>
      <c r="BF133" s="352">
        <f t="shared" si="482"/>
        <v>0</v>
      </c>
      <c r="BG133" s="352">
        <f t="shared" si="482"/>
        <v>0</v>
      </c>
      <c r="BH133" s="353">
        <f t="shared" si="482"/>
        <v>0</v>
      </c>
      <c r="BI133" s="464">
        <f t="shared" si="482"/>
        <v>0</v>
      </c>
      <c r="BJ133" s="352">
        <f t="shared" si="482"/>
        <v>0</v>
      </c>
      <c r="BK133" s="352">
        <f t="shared" si="482"/>
        <v>0</v>
      </c>
      <c r="BL133" s="352">
        <f t="shared" si="482"/>
        <v>0</v>
      </c>
      <c r="BM133" s="352">
        <f t="shared" si="482"/>
        <v>0</v>
      </c>
      <c r="BN133" s="353">
        <f t="shared" si="482"/>
        <v>0</v>
      </c>
      <c r="BO133" s="464">
        <f t="shared" si="482"/>
        <v>0</v>
      </c>
      <c r="BP133" s="352">
        <f t="shared" si="482"/>
        <v>0</v>
      </c>
      <c r="BQ133" s="352">
        <f t="shared" si="482"/>
        <v>58096.959999999999</v>
      </c>
      <c r="BR133" s="352">
        <f t="shared" si="482"/>
        <v>0</v>
      </c>
      <c r="BS133" s="352">
        <f t="shared" si="482"/>
        <v>0</v>
      </c>
      <c r="BT133" s="465">
        <f t="shared" si="482"/>
        <v>0</v>
      </c>
    </row>
    <row r="134" spans="1:72" s="313" customFormat="1" ht="25.5" customHeight="1" outlineLevel="2">
      <c r="A134" s="287">
        <v>116</v>
      </c>
      <c r="B134" s="933"/>
      <c r="C134" s="840"/>
      <c r="D134" s="841" t="s">
        <v>274</v>
      </c>
      <c r="E134" s="839"/>
      <c r="F134" s="821" t="s">
        <v>7</v>
      </c>
      <c r="G134" s="314">
        <v>4</v>
      </c>
      <c r="H134" s="739" t="s">
        <v>70</v>
      </c>
      <c r="I134" s="739">
        <v>244</v>
      </c>
      <c r="J134" s="740">
        <v>346</v>
      </c>
      <c r="K134" s="533" t="s">
        <v>301</v>
      </c>
      <c r="L134" s="1004">
        <v>58096.959999999999</v>
      </c>
      <c r="M134" s="318"/>
      <c r="N134" s="318"/>
      <c r="O134" s="318">
        <f t="shared" si="127"/>
        <v>58096.959999999999</v>
      </c>
      <c r="P134" s="562"/>
      <c r="Q134" s="336"/>
      <c r="R134" s="562"/>
      <c r="S134" s="336"/>
      <c r="T134" s="562"/>
      <c r="U134" s="466"/>
      <c r="V134" s="320"/>
      <c r="W134" s="320"/>
      <c r="X134" s="320"/>
      <c r="Z134" s="336">
        <f t="shared" si="476"/>
        <v>0</v>
      </c>
      <c r="AA134" s="337">
        <f t="shared" si="476"/>
        <v>0</v>
      </c>
      <c r="AB134" s="338">
        <f t="shared" si="128"/>
        <v>0</v>
      </c>
      <c r="AC134" s="336">
        <f t="shared" si="477"/>
        <v>0</v>
      </c>
      <c r="AD134" s="337">
        <f t="shared" si="477"/>
        <v>0</v>
      </c>
      <c r="AE134" s="338">
        <f t="shared" si="129"/>
        <v>0</v>
      </c>
      <c r="AF134" s="336">
        <f t="shared" si="478"/>
        <v>0</v>
      </c>
      <c r="AG134" s="337">
        <f t="shared" si="478"/>
        <v>0</v>
      </c>
      <c r="AH134" s="338">
        <f t="shared" si="130"/>
        <v>0</v>
      </c>
      <c r="AI134" s="336">
        <f t="shared" si="479"/>
        <v>58096.959999999999</v>
      </c>
      <c r="AJ134" s="337">
        <f t="shared" si="479"/>
        <v>0</v>
      </c>
      <c r="AK134" s="338">
        <f t="shared" si="131"/>
        <v>58096.959999999999</v>
      </c>
      <c r="AL134" s="342"/>
      <c r="AM134" s="336">
        <f t="shared" si="480"/>
        <v>0</v>
      </c>
      <c r="AN134" s="339">
        <f t="shared" si="480"/>
        <v>0</v>
      </c>
      <c r="AO134" s="340">
        <f t="shared" si="132"/>
        <v>0</v>
      </c>
      <c r="AP134" s="336">
        <f t="shared" si="481"/>
        <v>0</v>
      </c>
      <c r="AQ134" s="339">
        <f t="shared" si="481"/>
        <v>0</v>
      </c>
      <c r="AR134" s="340">
        <f t="shared" si="133"/>
        <v>0</v>
      </c>
      <c r="AS134" s="341">
        <f t="shared" si="269"/>
        <v>58096.959999999999</v>
      </c>
      <c r="AT134" s="339">
        <f t="shared" si="269"/>
        <v>0</v>
      </c>
      <c r="AU134" s="340">
        <f t="shared" si="134"/>
        <v>58096.959999999999</v>
      </c>
      <c r="AV134" s="589">
        <f t="shared" si="135"/>
        <v>0</v>
      </c>
      <c r="AW134" s="343"/>
      <c r="AX134" s="344"/>
      <c r="AY134" s="345"/>
      <c r="AZ134" s="344"/>
      <c r="BA134" s="345"/>
      <c r="BB134" s="346"/>
      <c r="BC134" s="347"/>
      <c r="BD134" s="348"/>
      <c r="BE134" s="349"/>
      <c r="BF134" s="348"/>
      <c r="BG134" s="349"/>
      <c r="BH134" s="350"/>
      <c r="BI134" s="351"/>
      <c r="BJ134" s="352"/>
      <c r="BK134" s="337"/>
      <c r="BL134" s="352"/>
      <c r="BM134" s="337"/>
      <c r="BN134" s="353"/>
      <c r="BO134" s="354"/>
      <c r="BP134" s="355"/>
      <c r="BQ134" s="356">
        <v>58096.959999999999</v>
      </c>
      <c r="BR134" s="355"/>
      <c r="BS134" s="356"/>
      <c r="BT134" s="357"/>
    </row>
    <row r="135" spans="1:72" s="430" customFormat="1" ht="25.5" customHeight="1" outlineLevel="2">
      <c r="A135" s="287">
        <v>117</v>
      </c>
      <c r="B135" s="933"/>
      <c r="C135" s="743"/>
      <c r="D135" s="856" t="s">
        <v>274</v>
      </c>
      <c r="E135" s="857"/>
      <c r="F135" s="827" t="s">
        <v>7</v>
      </c>
      <c r="G135" s="431">
        <v>4</v>
      </c>
      <c r="H135" s="474" t="s">
        <v>70</v>
      </c>
      <c r="I135" s="743">
        <v>244</v>
      </c>
      <c r="J135" s="744">
        <v>346</v>
      </c>
      <c r="K135" s="536" t="s">
        <v>284</v>
      </c>
      <c r="L135" s="443"/>
      <c r="M135" s="434"/>
      <c r="N135" s="434"/>
      <c r="O135" s="434">
        <f t="shared" si="127"/>
        <v>0</v>
      </c>
      <c r="P135" s="563"/>
      <c r="Q135" s="437"/>
      <c r="R135" s="563"/>
      <c r="S135" s="437"/>
      <c r="T135" s="563"/>
      <c r="U135" s="467"/>
      <c r="V135" s="436"/>
      <c r="W135" s="436"/>
      <c r="X135" s="436"/>
      <c r="Z135" s="437">
        <f t="shared" si="476"/>
        <v>0</v>
      </c>
      <c r="AA135" s="438">
        <f t="shared" si="476"/>
        <v>0</v>
      </c>
      <c r="AB135" s="439">
        <f t="shared" si="128"/>
        <v>0</v>
      </c>
      <c r="AC135" s="437">
        <f t="shared" si="477"/>
        <v>0</v>
      </c>
      <c r="AD135" s="438">
        <f t="shared" si="477"/>
        <v>0</v>
      </c>
      <c r="AE135" s="439">
        <f t="shared" si="129"/>
        <v>0</v>
      </c>
      <c r="AF135" s="437">
        <f t="shared" si="478"/>
        <v>0</v>
      </c>
      <c r="AG135" s="438">
        <f t="shared" si="478"/>
        <v>0</v>
      </c>
      <c r="AH135" s="439">
        <f t="shared" si="130"/>
        <v>0</v>
      </c>
      <c r="AI135" s="437">
        <f t="shared" si="479"/>
        <v>0</v>
      </c>
      <c r="AJ135" s="438">
        <f t="shared" si="479"/>
        <v>0</v>
      </c>
      <c r="AK135" s="439">
        <f t="shared" si="131"/>
        <v>0</v>
      </c>
      <c r="AL135" s="440"/>
      <c r="AM135" s="437">
        <f t="shared" si="480"/>
        <v>0</v>
      </c>
      <c r="AN135" s="441">
        <f t="shared" si="480"/>
        <v>0</v>
      </c>
      <c r="AO135" s="442">
        <f t="shared" si="132"/>
        <v>0</v>
      </c>
      <c r="AP135" s="437">
        <f t="shared" si="481"/>
        <v>0</v>
      </c>
      <c r="AQ135" s="441">
        <f t="shared" si="481"/>
        <v>0</v>
      </c>
      <c r="AR135" s="442">
        <f t="shared" si="133"/>
        <v>0</v>
      </c>
      <c r="AS135" s="443">
        <f t="shared" ref="AS135:AT149" si="483">Z135+AC135+AF135+AI135</f>
        <v>0</v>
      </c>
      <c r="AT135" s="441">
        <f t="shared" si="483"/>
        <v>0</v>
      </c>
      <c r="AU135" s="442">
        <f t="shared" si="134"/>
        <v>0</v>
      </c>
      <c r="AV135" s="601">
        <f t="shared" si="135"/>
        <v>0</v>
      </c>
      <c r="AW135" s="444"/>
      <c r="AX135" s="445"/>
      <c r="AY135" s="446"/>
      <c r="AZ135" s="445"/>
      <c r="BA135" s="446"/>
      <c r="BB135" s="447"/>
      <c r="BC135" s="448"/>
      <c r="BD135" s="449"/>
      <c r="BE135" s="450"/>
      <c r="BF135" s="449"/>
      <c r="BG135" s="450"/>
      <c r="BH135" s="451"/>
      <c r="BI135" s="452"/>
      <c r="BJ135" s="453"/>
      <c r="BK135" s="438"/>
      <c r="BL135" s="453"/>
      <c r="BM135" s="438"/>
      <c r="BN135" s="454"/>
      <c r="BO135" s="455"/>
      <c r="BP135" s="456"/>
      <c r="BQ135" s="457"/>
      <c r="BR135" s="456"/>
      <c r="BS135" s="457"/>
      <c r="BT135" s="458"/>
    </row>
    <row r="136" spans="1:72" s="468" customFormat="1" ht="72.75" customHeight="1" outlineLevel="1">
      <c r="A136" s="287">
        <v>118</v>
      </c>
      <c r="B136" s="933"/>
      <c r="C136" s="850" t="s">
        <v>378</v>
      </c>
      <c r="D136" s="854" t="s">
        <v>277</v>
      </c>
      <c r="E136" s="858"/>
      <c r="F136" s="828" t="s">
        <v>7</v>
      </c>
      <c r="G136" s="469">
        <v>4</v>
      </c>
      <c r="H136" s="745" t="s">
        <v>70</v>
      </c>
      <c r="I136" s="745">
        <v>244</v>
      </c>
      <c r="J136" s="746">
        <v>346</v>
      </c>
      <c r="K136" s="537" t="s">
        <v>282</v>
      </c>
      <c r="L136" s="472">
        <v>34083.300000000003</v>
      </c>
      <c r="M136" s="422"/>
      <c r="N136" s="422"/>
      <c r="O136" s="422">
        <f t="shared" si="127"/>
        <v>34083.300000000003</v>
      </c>
      <c r="P136" s="564"/>
      <c r="Q136" s="472"/>
      <c r="R136" s="564"/>
      <c r="S136" s="472"/>
      <c r="T136" s="564"/>
      <c r="U136" s="393"/>
      <c r="V136" s="394"/>
      <c r="W136" s="394"/>
      <c r="X136" s="394"/>
      <c r="Y136" s="392"/>
      <c r="Z136" s="395">
        <f t="shared" si="476"/>
        <v>0</v>
      </c>
      <c r="AA136" s="396">
        <f t="shared" si="476"/>
        <v>0</v>
      </c>
      <c r="AB136" s="397">
        <f t="shared" si="128"/>
        <v>0</v>
      </c>
      <c r="AC136" s="395">
        <f t="shared" si="477"/>
        <v>0</v>
      </c>
      <c r="AD136" s="396">
        <f t="shared" si="477"/>
        <v>0</v>
      </c>
      <c r="AE136" s="397">
        <f t="shared" si="129"/>
        <v>0</v>
      </c>
      <c r="AF136" s="395">
        <f t="shared" si="478"/>
        <v>0</v>
      </c>
      <c r="AG136" s="396">
        <f t="shared" si="478"/>
        <v>0</v>
      </c>
      <c r="AH136" s="397">
        <f t="shared" si="130"/>
        <v>0</v>
      </c>
      <c r="AI136" s="395">
        <f t="shared" si="479"/>
        <v>34083.300000000003</v>
      </c>
      <c r="AJ136" s="396">
        <f t="shared" si="479"/>
        <v>0</v>
      </c>
      <c r="AK136" s="397">
        <f t="shared" si="131"/>
        <v>34083.300000000003</v>
      </c>
      <c r="AL136" s="398"/>
      <c r="AM136" s="472">
        <f t="shared" si="480"/>
        <v>0</v>
      </c>
      <c r="AN136" s="422">
        <f t="shared" si="480"/>
        <v>0</v>
      </c>
      <c r="AO136" s="473">
        <f t="shared" si="132"/>
        <v>0</v>
      </c>
      <c r="AP136" s="472">
        <f t="shared" si="481"/>
        <v>0</v>
      </c>
      <c r="AQ136" s="422">
        <f t="shared" si="481"/>
        <v>0</v>
      </c>
      <c r="AR136" s="473">
        <f t="shared" si="133"/>
        <v>0</v>
      </c>
      <c r="AS136" s="472">
        <f t="shared" si="483"/>
        <v>34083.300000000003</v>
      </c>
      <c r="AT136" s="422">
        <f t="shared" si="483"/>
        <v>0</v>
      </c>
      <c r="AU136" s="473">
        <f t="shared" si="134"/>
        <v>34083.300000000003</v>
      </c>
      <c r="AV136" s="602">
        <f t="shared" si="135"/>
        <v>0</v>
      </c>
      <c r="AW136" s="472">
        <f t="shared" ref="AW136:BT136" si="484">SUM(AW137:AW138)</f>
        <v>0</v>
      </c>
      <c r="AX136" s="422">
        <f t="shared" si="484"/>
        <v>0</v>
      </c>
      <c r="AY136" s="422">
        <f t="shared" si="484"/>
        <v>0</v>
      </c>
      <c r="AZ136" s="422">
        <f t="shared" si="484"/>
        <v>0</v>
      </c>
      <c r="BA136" s="422">
        <f t="shared" si="484"/>
        <v>0</v>
      </c>
      <c r="BB136" s="423">
        <f t="shared" si="484"/>
        <v>0</v>
      </c>
      <c r="BC136" s="472">
        <f t="shared" si="484"/>
        <v>0</v>
      </c>
      <c r="BD136" s="422">
        <f t="shared" si="484"/>
        <v>0</v>
      </c>
      <c r="BE136" s="422">
        <f t="shared" si="484"/>
        <v>0</v>
      </c>
      <c r="BF136" s="422">
        <f t="shared" si="484"/>
        <v>0</v>
      </c>
      <c r="BG136" s="422">
        <f t="shared" si="484"/>
        <v>0</v>
      </c>
      <c r="BH136" s="423">
        <f t="shared" si="484"/>
        <v>0</v>
      </c>
      <c r="BI136" s="472">
        <f t="shared" si="484"/>
        <v>0</v>
      </c>
      <c r="BJ136" s="422">
        <f t="shared" si="484"/>
        <v>0</v>
      </c>
      <c r="BK136" s="422">
        <f t="shared" si="484"/>
        <v>0</v>
      </c>
      <c r="BL136" s="422">
        <f t="shared" si="484"/>
        <v>0</v>
      </c>
      <c r="BM136" s="422">
        <f t="shared" si="484"/>
        <v>0</v>
      </c>
      <c r="BN136" s="423">
        <f t="shared" si="484"/>
        <v>0</v>
      </c>
      <c r="BO136" s="472">
        <f t="shared" si="484"/>
        <v>0</v>
      </c>
      <c r="BP136" s="422">
        <f t="shared" si="484"/>
        <v>0</v>
      </c>
      <c r="BQ136" s="422">
        <f t="shared" si="484"/>
        <v>0</v>
      </c>
      <c r="BR136" s="422">
        <f t="shared" si="484"/>
        <v>0</v>
      </c>
      <c r="BS136" s="422">
        <f t="shared" si="484"/>
        <v>34083.300000000003</v>
      </c>
      <c r="BT136" s="473">
        <f t="shared" si="484"/>
        <v>0</v>
      </c>
    </row>
    <row r="137" spans="1:72" s="399" customFormat="1" ht="25.5" customHeight="1" outlineLevel="2">
      <c r="A137" s="287">
        <v>119</v>
      </c>
      <c r="B137" s="933"/>
      <c r="C137" s="859"/>
      <c r="D137" s="841" t="s">
        <v>277</v>
      </c>
      <c r="E137" s="860"/>
      <c r="F137" s="829" t="s">
        <v>7</v>
      </c>
      <c r="G137" s="400">
        <v>4</v>
      </c>
      <c r="H137" s="747" t="s">
        <v>70</v>
      </c>
      <c r="I137" s="747">
        <v>244</v>
      </c>
      <c r="J137" s="748">
        <v>346</v>
      </c>
      <c r="K137" s="538" t="s">
        <v>301</v>
      </c>
      <c r="L137" s="1004">
        <v>34083.300000000003</v>
      </c>
      <c r="M137" s="403"/>
      <c r="N137" s="403"/>
      <c r="O137" s="403">
        <f t="shared" si="127"/>
        <v>34083.300000000003</v>
      </c>
      <c r="P137" s="566"/>
      <c r="Q137" s="406"/>
      <c r="R137" s="566"/>
      <c r="S137" s="406"/>
      <c r="T137" s="566"/>
      <c r="U137" s="404"/>
      <c r="V137" s="405"/>
      <c r="W137" s="405"/>
      <c r="X137" s="405"/>
      <c r="Z137" s="406">
        <f t="shared" si="476"/>
        <v>0</v>
      </c>
      <c r="AA137" s="407">
        <f t="shared" si="476"/>
        <v>0</v>
      </c>
      <c r="AB137" s="408">
        <f t="shared" si="128"/>
        <v>0</v>
      </c>
      <c r="AC137" s="406">
        <f t="shared" si="477"/>
        <v>0</v>
      </c>
      <c r="AD137" s="407">
        <f t="shared" si="477"/>
        <v>0</v>
      </c>
      <c r="AE137" s="408">
        <f t="shared" si="129"/>
        <v>0</v>
      </c>
      <c r="AF137" s="406">
        <f t="shared" si="478"/>
        <v>0</v>
      </c>
      <c r="AG137" s="407">
        <f t="shared" si="478"/>
        <v>0</v>
      </c>
      <c r="AH137" s="408">
        <f t="shared" si="130"/>
        <v>0</v>
      </c>
      <c r="AI137" s="406">
        <f t="shared" si="479"/>
        <v>34083.300000000003</v>
      </c>
      <c r="AJ137" s="407">
        <f t="shared" si="479"/>
        <v>0</v>
      </c>
      <c r="AK137" s="408">
        <f t="shared" si="131"/>
        <v>34083.300000000003</v>
      </c>
      <c r="AL137" s="409"/>
      <c r="AM137" s="406">
        <f t="shared" si="480"/>
        <v>0</v>
      </c>
      <c r="AN137" s="410">
        <f t="shared" si="480"/>
        <v>0</v>
      </c>
      <c r="AO137" s="411">
        <f t="shared" si="132"/>
        <v>0</v>
      </c>
      <c r="AP137" s="406">
        <f t="shared" si="481"/>
        <v>0</v>
      </c>
      <c r="AQ137" s="410">
        <f t="shared" si="481"/>
        <v>0</v>
      </c>
      <c r="AR137" s="411">
        <f t="shared" si="133"/>
        <v>0</v>
      </c>
      <c r="AS137" s="412">
        <f t="shared" si="483"/>
        <v>34083.300000000003</v>
      </c>
      <c r="AT137" s="410">
        <f t="shared" si="483"/>
        <v>0</v>
      </c>
      <c r="AU137" s="411">
        <f t="shared" si="134"/>
        <v>34083.300000000003</v>
      </c>
      <c r="AV137" s="603">
        <f t="shared" si="135"/>
        <v>0</v>
      </c>
      <c r="AW137" s="413"/>
      <c r="AX137" s="414"/>
      <c r="AY137" s="415"/>
      <c r="AZ137" s="414"/>
      <c r="BA137" s="415"/>
      <c r="BB137" s="416"/>
      <c r="BC137" s="417"/>
      <c r="BD137" s="418"/>
      <c r="BE137" s="419"/>
      <c r="BF137" s="418"/>
      <c r="BG137" s="419"/>
      <c r="BH137" s="420"/>
      <c r="BI137" s="421"/>
      <c r="BJ137" s="422"/>
      <c r="BK137" s="407"/>
      <c r="BL137" s="422"/>
      <c r="BM137" s="407"/>
      <c r="BN137" s="423"/>
      <c r="BO137" s="424"/>
      <c r="BP137" s="425"/>
      <c r="BQ137" s="426"/>
      <c r="BR137" s="425"/>
      <c r="BS137" s="426">
        <v>34083.300000000003</v>
      </c>
      <c r="BT137" s="427"/>
    </row>
    <row r="138" spans="1:72" s="430" customFormat="1" ht="25.5" customHeight="1" outlineLevel="2">
      <c r="A138" s="287">
        <v>120</v>
      </c>
      <c r="B138" s="933"/>
      <c r="C138" s="743"/>
      <c r="D138" s="856" t="s">
        <v>277</v>
      </c>
      <c r="E138" s="857"/>
      <c r="F138" s="827" t="s">
        <v>7</v>
      </c>
      <c r="G138" s="431">
        <v>4</v>
      </c>
      <c r="H138" s="474" t="s">
        <v>70</v>
      </c>
      <c r="I138" s="743">
        <v>244</v>
      </c>
      <c r="J138" s="744">
        <v>346</v>
      </c>
      <c r="K138" s="536" t="s">
        <v>284</v>
      </c>
      <c r="L138" s="443"/>
      <c r="M138" s="434"/>
      <c r="N138" s="434"/>
      <c r="O138" s="434">
        <f t="shared" si="127"/>
        <v>0</v>
      </c>
      <c r="P138" s="567"/>
      <c r="Q138" s="437"/>
      <c r="R138" s="567"/>
      <c r="S138" s="437"/>
      <c r="T138" s="567"/>
      <c r="U138" s="435"/>
      <c r="V138" s="436"/>
      <c r="W138" s="436"/>
      <c r="X138" s="436"/>
      <c r="Z138" s="437">
        <f t="shared" si="476"/>
        <v>0</v>
      </c>
      <c r="AA138" s="438">
        <f t="shared" si="476"/>
        <v>0</v>
      </c>
      <c r="AB138" s="439">
        <f t="shared" si="128"/>
        <v>0</v>
      </c>
      <c r="AC138" s="437">
        <f t="shared" si="477"/>
        <v>0</v>
      </c>
      <c r="AD138" s="438">
        <f t="shared" si="477"/>
        <v>0</v>
      </c>
      <c r="AE138" s="439">
        <f t="shared" si="129"/>
        <v>0</v>
      </c>
      <c r="AF138" s="437">
        <f t="shared" si="478"/>
        <v>0</v>
      </c>
      <c r="AG138" s="438">
        <f t="shared" si="478"/>
        <v>0</v>
      </c>
      <c r="AH138" s="439">
        <f t="shared" si="130"/>
        <v>0</v>
      </c>
      <c r="AI138" s="437">
        <f t="shared" si="479"/>
        <v>0</v>
      </c>
      <c r="AJ138" s="438">
        <f t="shared" si="479"/>
        <v>0</v>
      </c>
      <c r="AK138" s="439">
        <f t="shared" si="131"/>
        <v>0</v>
      </c>
      <c r="AL138" s="440"/>
      <c r="AM138" s="437">
        <f t="shared" si="480"/>
        <v>0</v>
      </c>
      <c r="AN138" s="441">
        <f t="shared" si="480"/>
        <v>0</v>
      </c>
      <c r="AO138" s="442">
        <f t="shared" si="132"/>
        <v>0</v>
      </c>
      <c r="AP138" s="437">
        <f t="shared" si="481"/>
        <v>0</v>
      </c>
      <c r="AQ138" s="441">
        <f t="shared" si="481"/>
        <v>0</v>
      </c>
      <c r="AR138" s="442">
        <f t="shared" si="133"/>
        <v>0</v>
      </c>
      <c r="AS138" s="443">
        <f t="shared" si="483"/>
        <v>0</v>
      </c>
      <c r="AT138" s="441">
        <f t="shared" si="483"/>
        <v>0</v>
      </c>
      <c r="AU138" s="442">
        <f t="shared" si="134"/>
        <v>0</v>
      </c>
      <c r="AV138" s="601">
        <f t="shared" si="135"/>
        <v>0</v>
      </c>
      <c r="AW138" s="444"/>
      <c r="AX138" s="445"/>
      <c r="AY138" s="446"/>
      <c r="AZ138" s="445"/>
      <c r="BA138" s="446"/>
      <c r="BB138" s="447"/>
      <c r="BC138" s="448"/>
      <c r="BD138" s="449"/>
      <c r="BE138" s="450"/>
      <c r="BF138" s="449"/>
      <c r="BG138" s="450"/>
      <c r="BH138" s="451"/>
      <c r="BI138" s="452"/>
      <c r="BJ138" s="453"/>
      <c r="BK138" s="438"/>
      <c r="BL138" s="453"/>
      <c r="BM138" s="438"/>
      <c r="BN138" s="454"/>
      <c r="BO138" s="455"/>
      <c r="BP138" s="456"/>
      <c r="BQ138" s="457"/>
      <c r="BR138" s="456"/>
      <c r="BS138" s="457"/>
      <c r="BT138" s="458"/>
    </row>
    <row r="139" spans="1:72" s="358" customFormat="1" ht="31.5" customHeight="1">
      <c r="A139" s="287">
        <v>121</v>
      </c>
      <c r="B139" s="933"/>
      <c r="C139" s="850" t="s">
        <v>377</v>
      </c>
      <c r="D139" s="838"/>
      <c r="E139" s="836" t="s">
        <v>201</v>
      </c>
      <c r="F139" s="820" t="s">
        <v>7</v>
      </c>
      <c r="G139" s="360">
        <v>4</v>
      </c>
      <c r="H139" s="360" t="s">
        <v>71</v>
      </c>
      <c r="I139" s="360">
        <v>244</v>
      </c>
      <c r="J139" s="361">
        <v>346</v>
      </c>
      <c r="K139" s="532" t="s">
        <v>16</v>
      </c>
      <c r="L139" s="367">
        <f>L140</f>
        <v>65398.55</v>
      </c>
      <c r="M139" s="363"/>
      <c r="N139" s="363"/>
      <c r="O139" s="363">
        <f t="shared" si="127"/>
        <v>65398.55</v>
      </c>
      <c r="P139" s="557"/>
      <c r="Q139" s="367">
        <f>Q140</f>
        <v>0</v>
      </c>
      <c r="R139" s="557">
        <f t="shared" ref="R139:S139" si="485">R140</f>
        <v>0</v>
      </c>
      <c r="S139" s="367">
        <f t="shared" si="485"/>
        <v>0</v>
      </c>
      <c r="T139" s="557"/>
      <c r="U139" s="365"/>
      <c r="V139" s="366"/>
      <c r="W139" s="366"/>
      <c r="X139" s="366"/>
      <c r="Z139" s="367">
        <f t="shared" si="476"/>
        <v>25000</v>
      </c>
      <c r="AA139" s="363">
        <f t="shared" si="476"/>
        <v>31640</v>
      </c>
      <c r="AB139" s="280">
        <f t="shared" si="128"/>
        <v>-6640</v>
      </c>
      <c r="AC139" s="367">
        <f t="shared" si="477"/>
        <v>0</v>
      </c>
      <c r="AD139" s="363">
        <f t="shared" si="477"/>
        <v>0</v>
      </c>
      <c r="AE139" s="280">
        <f t="shared" si="129"/>
        <v>0</v>
      </c>
      <c r="AF139" s="367">
        <f t="shared" si="478"/>
        <v>0</v>
      </c>
      <c r="AG139" s="363">
        <f t="shared" si="478"/>
        <v>0</v>
      </c>
      <c r="AH139" s="280">
        <f t="shared" si="130"/>
        <v>0</v>
      </c>
      <c r="AI139" s="367">
        <f t="shared" si="479"/>
        <v>40398.550000000003</v>
      </c>
      <c r="AJ139" s="363">
        <f t="shared" si="479"/>
        <v>0</v>
      </c>
      <c r="AK139" s="280">
        <f t="shared" si="131"/>
        <v>40398.550000000003</v>
      </c>
      <c r="AL139" s="368"/>
      <c r="AM139" s="367">
        <f t="shared" si="480"/>
        <v>25000</v>
      </c>
      <c r="AN139" s="363">
        <f t="shared" si="480"/>
        <v>31640</v>
      </c>
      <c r="AO139" s="280">
        <f t="shared" si="132"/>
        <v>-6640</v>
      </c>
      <c r="AP139" s="367">
        <f t="shared" si="481"/>
        <v>25000</v>
      </c>
      <c r="AQ139" s="363">
        <f t="shared" si="481"/>
        <v>31640</v>
      </c>
      <c r="AR139" s="280">
        <f t="shared" si="133"/>
        <v>-6640</v>
      </c>
      <c r="AS139" s="367">
        <f t="shared" si="483"/>
        <v>65398.55</v>
      </c>
      <c r="AT139" s="363">
        <f t="shared" si="483"/>
        <v>31640</v>
      </c>
      <c r="AU139" s="280">
        <f t="shared" si="134"/>
        <v>33758.550000000003</v>
      </c>
      <c r="AV139" s="588">
        <f t="shared" si="135"/>
        <v>0</v>
      </c>
      <c r="AW139" s="367">
        <f t="shared" ref="AW139:BT139" si="486">SUM(AW140:AW140)</f>
        <v>0</v>
      </c>
      <c r="AX139" s="363">
        <f t="shared" si="486"/>
        <v>0</v>
      </c>
      <c r="AY139" s="363">
        <f t="shared" si="486"/>
        <v>25000</v>
      </c>
      <c r="AZ139" s="363">
        <f t="shared" si="486"/>
        <v>31640</v>
      </c>
      <c r="BA139" s="363">
        <f t="shared" si="486"/>
        <v>0</v>
      </c>
      <c r="BB139" s="369">
        <f t="shared" si="486"/>
        <v>0</v>
      </c>
      <c r="BC139" s="367">
        <f t="shared" si="486"/>
        <v>0</v>
      </c>
      <c r="BD139" s="363">
        <f t="shared" si="486"/>
        <v>0</v>
      </c>
      <c r="BE139" s="363">
        <f t="shared" si="486"/>
        <v>0</v>
      </c>
      <c r="BF139" s="363">
        <f t="shared" si="486"/>
        <v>0</v>
      </c>
      <c r="BG139" s="363">
        <f t="shared" si="486"/>
        <v>0</v>
      </c>
      <c r="BH139" s="369">
        <f t="shared" si="486"/>
        <v>0</v>
      </c>
      <c r="BI139" s="367">
        <f t="shared" si="486"/>
        <v>0</v>
      </c>
      <c r="BJ139" s="363">
        <f t="shared" si="486"/>
        <v>0</v>
      </c>
      <c r="BK139" s="363">
        <f t="shared" si="486"/>
        <v>0</v>
      </c>
      <c r="BL139" s="363">
        <f t="shared" si="486"/>
        <v>0</v>
      </c>
      <c r="BM139" s="363">
        <f t="shared" si="486"/>
        <v>0</v>
      </c>
      <c r="BN139" s="369">
        <f t="shared" si="486"/>
        <v>0</v>
      </c>
      <c r="BO139" s="367">
        <f t="shared" si="486"/>
        <v>40398.550000000003</v>
      </c>
      <c r="BP139" s="363">
        <f t="shared" si="486"/>
        <v>0</v>
      </c>
      <c r="BQ139" s="363">
        <f t="shared" si="486"/>
        <v>0</v>
      </c>
      <c r="BR139" s="363">
        <f t="shared" si="486"/>
        <v>0</v>
      </c>
      <c r="BS139" s="363">
        <f t="shared" si="486"/>
        <v>0</v>
      </c>
      <c r="BT139" s="280">
        <f t="shared" si="486"/>
        <v>0</v>
      </c>
    </row>
    <row r="140" spans="1:72" s="313" customFormat="1" ht="25.5" outlineLevel="1">
      <c r="A140" s="287">
        <v>122</v>
      </c>
      <c r="B140" s="933"/>
      <c r="C140" s="840"/>
      <c r="D140" s="841"/>
      <c r="E140" s="839"/>
      <c r="F140" s="821" t="s">
        <v>7</v>
      </c>
      <c r="G140" s="314">
        <v>4</v>
      </c>
      <c r="H140" s="739" t="s">
        <v>71</v>
      </c>
      <c r="I140" s="739">
        <v>244</v>
      </c>
      <c r="J140" s="740">
        <v>346</v>
      </c>
      <c r="K140" s="533" t="s">
        <v>312</v>
      </c>
      <c r="L140" s="341">
        <v>65398.55</v>
      </c>
      <c r="M140" s="318"/>
      <c r="N140" s="318"/>
      <c r="O140" s="318">
        <f t="shared" si="127"/>
        <v>65398.55</v>
      </c>
      <c r="P140" s="559"/>
      <c r="Q140" s="341">
        <v>0</v>
      </c>
      <c r="R140" s="559"/>
      <c r="S140" s="341">
        <v>0</v>
      </c>
      <c r="T140" s="559"/>
      <c r="U140" s="335"/>
      <c r="V140" s="597" t="s">
        <v>456</v>
      </c>
      <c r="W140" s="597" t="s">
        <v>457</v>
      </c>
      <c r="X140" s="597" t="s">
        <v>458</v>
      </c>
      <c r="Z140" s="336">
        <f t="shared" si="476"/>
        <v>25000</v>
      </c>
      <c r="AA140" s="337">
        <f t="shared" si="476"/>
        <v>31640</v>
      </c>
      <c r="AB140" s="338">
        <f t="shared" si="128"/>
        <v>-6640</v>
      </c>
      <c r="AC140" s="336">
        <f t="shared" si="477"/>
        <v>0</v>
      </c>
      <c r="AD140" s="337">
        <f t="shared" si="477"/>
        <v>0</v>
      </c>
      <c r="AE140" s="338">
        <f t="shared" si="129"/>
        <v>0</v>
      </c>
      <c r="AF140" s="336">
        <f t="shared" si="478"/>
        <v>0</v>
      </c>
      <c r="AG140" s="337">
        <f t="shared" si="478"/>
        <v>0</v>
      </c>
      <c r="AH140" s="338">
        <f t="shared" si="130"/>
        <v>0</v>
      </c>
      <c r="AI140" s="336">
        <f t="shared" si="479"/>
        <v>40398.550000000003</v>
      </c>
      <c r="AJ140" s="337">
        <f t="shared" si="479"/>
        <v>0</v>
      </c>
      <c r="AK140" s="338">
        <f t="shared" si="131"/>
        <v>40398.550000000003</v>
      </c>
      <c r="AL140" s="342"/>
      <c r="AM140" s="336">
        <f t="shared" si="480"/>
        <v>25000</v>
      </c>
      <c r="AN140" s="339">
        <f t="shared" si="480"/>
        <v>31640</v>
      </c>
      <c r="AO140" s="340">
        <f t="shared" si="132"/>
        <v>-6640</v>
      </c>
      <c r="AP140" s="336">
        <f t="shared" si="481"/>
        <v>25000</v>
      </c>
      <c r="AQ140" s="339">
        <f t="shared" si="481"/>
        <v>31640</v>
      </c>
      <c r="AR140" s="340">
        <f t="shared" si="133"/>
        <v>-6640</v>
      </c>
      <c r="AS140" s="341">
        <f t="shared" si="483"/>
        <v>65398.55</v>
      </c>
      <c r="AT140" s="339">
        <f t="shared" si="483"/>
        <v>31640</v>
      </c>
      <c r="AU140" s="340">
        <f t="shared" si="134"/>
        <v>33758.550000000003</v>
      </c>
      <c r="AV140" s="589">
        <f t="shared" si="135"/>
        <v>0</v>
      </c>
      <c r="AW140" s="343"/>
      <c r="AX140" s="344"/>
      <c r="AY140" s="345">
        <v>25000</v>
      </c>
      <c r="AZ140" s="629">
        <v>31640</v>
      </c>
      <c r="BA140" s="345"/>
      <c r="BB140" s="346"/>
      <c r="BC140" s="347"/>
      <c r="BD140" s="348"/>
      <c r="BE140" s="349"/>
      <c r="BF140" s="348"/>
      <c r="BG140" s="349"/>
      <c r="BH140" s="350"/>
      <c r="BI140" s="351"/>
      <c r="BJ140" s="352"/>
      <c r="BK140" s="337"/>
      <c r="BL140" s="352"/>
      <c r="BM140" s="337"/>
      <c r="BN140" s="353"/>
      <c r="BO140" s="354">
        <v>40398.550000000003</v>
      </c>
      <c r="BP140" s="355"/>
      <c r="BQ140" s="356"/>
      <c r="BR140" s="355"/>
      <c r="BS140" s="356"/>
      <c r="BT140" s="357"/>
    </row>
    <row r="141" spans="1:72" s="358" customFormat="1" ht="31.5">
      <c r="A141" s="287">
        <v>123</v>
      </c>
      <c r="B141" s="933"/>
      <c r="C141" s="837"/>
      <c r="D141" s="838"/>
      <c r="E141" s="836" t="s">
        <v>201</v>
      </c>
      <c r="F141" s="820" t="s">
        <v>7</v>
      </c>
      <c r="G141" s="360">
        <v>4</v>
      </c>
      <c r="H141" s="360" t="s">
        <v>71</v>
      </c>
      <c r="I141" s="360">
        <v>244</v>
      </c>
      <c r="J141" s="489">
        <v>345</v>
      </c>
      <c r="K141" s="532" t="s">
        <v>311</v>
      </c>
      <c r="L141" s="367">
        <v>12502</v>
      </c>
      <c r="M141" s="363"/>
      <c r="N141" s="363"/>
      <c r="O141" s="363">
        <f t="shared" si="127"/>
        <v>12502</v>
      </c>
      <c r="P141" s="557"/>
      <c r="Q141" s="367">
        <v>0</v>
      </c>
      <c r="R141" s="557"/>
      <c r="S141" s="367">
        <v>0</v>
      </c>
      <c r="T141" s="557"/>
      <c r="U141" s="365"/>
      <c r="V141" s="320"/>
      <c r="W141" s="320"/>
      <c r="X141" s="320"/>
      <c r="Z141" s="367">
        <f t="shared" si="476"/>
        <v>0</v>
      </c>
      <c r="AA141" s="363">
        <f t="shared" si="476"/>
        <v>0</v>
      </c>
      <c r="AB141" s="280">
        <f t="shared" si="128"/>
        <v>0</v>
      </c>
      <c r="AC141" s="367">
        <f t="shared" si="477"/>
        <v>0</v>
      </c>
      <c r="AD141" s="363">
        <f t="shared" si="477"/>
        <v>0</v>
      </c>
      <c r="AE141" s="280">
        <f t="shared" si="129"/>
        <v>0</v>
      </c>
      <c r="AF141" s="367">
        <f t="shared" si="478"/>
        <v>0</v>
      </c>
      <c r="AG141" s="363">
        <f t="shared" si="478"/>
        <v>0</v>
      </c>
      <c r="AH141" s="280">
        <f t="shared" si="130"/>
        <v>0</v>
      </c>
      <c r="AI141" s="367">
        <f t="shared" si="479"/>
        <v>12502</v>
      </c>
      <c r="AJ141" s="363">
        <f t="shared" si="479"/>
        <v>0</v>
      </c>
      <c r="AK141" s="280">
        <f t="shared" si="131"/>
        <v>12502</v>
      </c>
      <c r="AL141" s="368"/>
      <c r="AM141" s="367">
        <f t="shared" si="480"/>
        <v>0</v>
      </c>
      <c r="AN141" s="363">
        <f t="shared" si="480"/>
        <v>0</v>
      </c>
      <c r="AO141" s="280">
        <f t="shared" si="132"/>
        <v>0</v>
      </c>
      <c r="AP141" s="367">
        <f t="shared" si="481"/>
        <v>0</v>
      </c>
      <c r="AQ141" s="363">
        <f t="shared" si="481"/>
        <v>0</v>
      </c>
      <c r="AR141" s="280">
        <f t="shared" si="133"/>
        <v>0</v>
      </c>
      <c r="AS141" s="367">
        <f t="shared" si="483"/>
        <v>12502</v>
      </c>
      <c r="AT141" s="363">
        <f t="shared" si="483"/>
        <v>0</v>
      </c>
      <c r="AU141" s="280">
        <f t="shared" si="134"/>
        <v>12502</v>
      </c>
      <c r="AV141" s="588">
        <f t="shared" si="135"/>
        <v>0</v>
      </c>
      <c r="AW141" s="367"/>
      <c r="AX141" s="363"/>
      <c r="AY141" s="363"/>
      <c r="AZ141" s="363"/>
      <c r="BA141" s="363"/>
      <c r="BB141" s="369"/>
      <c r="BC141" s="367"/>
      <c r="BD141" s="363"/>
      <c r="BE141" s="363"/>
      <c r="BF141" s="363"/>
      <c r="BG141" s="363"/>
      <c r="BH141" s="369"/>
      <c r="BI141" s="367"/>
      <c r="BJ141" s="363"/>
      <c r="BK141" s="363"/>
      <c r="BL141" s="363"/>
      <c r="BM141" s="363"/>
      <c r="BN141" s="369"/>
      <c r="BO141" s="367"/>
      <c r="BP141" s="363"/>
      <c r="BQ141" s="363">
        <v>12502</v>
      </c>
      <c r="BR141" s="363"/>
      <c r="BS141" s="363"/>
      <c r="BT141" s="280"/>
    </row>
    <row r="142" spans="1:72" s="358" customFormat="1" ht="31.5">
      <c r="A142" s="287">
        <v>124</v>
      </c>
      <c r="B142" s="933"/>
      <c r="C142" s="837"/>
      <c r="D142" s="853" t="s">
        <v>216</v>
      </c>
      <c r="E142" s="836" t="s">
        <v>201</v>
      </c>
      <c r="F142" s="820" t="s">
        <v>7</v>
      </c>
      <c r="G142" s="360">
        <v>4</v>
      </c>
      <c r="H142" s="360" t="s">
        <v>71</v>
      </c>
      <c r="I142" s="360">
        <v>851</v>
      </c>
      <c r="J142" s="361">
        <v>291</v>
      </c>
      <c r="K142" s="532" t="s">
        <v>28</v>
      </c>
      <c r="L142" s="367">
        <f>119325-19888</f>
        <v>99437</v>
      </c>
      <c r="M142" s="363"/>
      <c r="N142" s="363"/>
      <c r="O142" s="363">
        <f t="shared" si="127"/>
        <v>99437</v>
      </c>
      <c r="P142" s="557"/>
      <c r="Q142" s="367">
        <v>0</v>
      </c>
      <c r="R142" s="557"/>
      <c r="S142" s="367">
        <v>0</v>
      </c>
      <c r="T142" s="557"/>
      <c r="U142" s="365"/>
      <c r="V142" s="366"/>
      <c r="W142" s="366"/>
      <c r="X142" s="366"/>
      <c r="Z142" s="367">
        <f t="shared" si="476"/>
        <v>99437</v>
      </c>
      <c r="AA142" s="363">
        <f t="shared" si="476"/>
        <v>0</v>
      </c>
      <c r="AB142" s="280">
        <f t="shared" si="128"/>
        <v>99437</v>
      </c>
      <c r="AC142" s="367">
        <f t="shared" si="477"/>
        <v>0</v>
      </c>
      <c r="AD142" s="363">
        <f t="shared" si="477"/>
        <v>0</v>
      </c>
      <c r="AE142" s="280">
        <f t="shared" si="129"/>
        <v>0</v>
      </c>
      <c r="AF142" s="367">
        <f t="shared" si="478"/>
        <v>0</v>
      </c>
      <c r="AG142" s="363">
        <f t="shared" si="478"/>
        <v>0</v>
      </c>
      <c r="AH142" s="280">
        <f t="shared" si="130"/>
        <v>0</v>
      </c>
      <c r="AI142" s="367">
        <f t="shared" si="479"/>
        <v>0</v>
      </c>
      <c r="AJ142" s="363">
        <f t="shared" si="479"/>
        <v>0</v>
      </c>
      <c r="AK142" s="280">
        <f t="shared" si="131"/>
        <v>0</v>
      </c>
      <c r="AL142" s="368"/>
      <c r="AM142" s="367">
        <f t="shared" si="480"/>
        <v>99437</v>
      </c>
      <c r="AN142" s="363">
        <f t="shared" si="480"/>
        <v>0</v>
      </c>
      <c r="AO142" s="280">
        <f t="shared" si="132"/>
        <v>99437</v>
      </c>
      <c r="AP142" s="367">
        <f t="shared" si="481"/>
        <v>99437</v>
      </c>
      <c r="AQ142" s="363">
        <f t="shared" si="481"/>
        <v>0</v>
      </c>
      <c r="AR142" s="280">
        <f t="shared" si="133"/>
        <v>99437</v>
      </c>
      <c r="AS142" s="367">
        <f t="shared" si="483"/>
        <v>99437</v>
      </c>
      <c r="AT142" s="363">
        <f t="shared" si="483"/>
        <v>0</v>
      </c>
      <c r="AU142" s="280">
        <f t="shared" si="134"/>
        <v>99437</v>
      </c>
      <c r="AV142" s="588">
        <f t="shared" si="135"/>
        <v>0</v>
      </c>
      <c r="AW142" s="367">
        <v>99437</v>
      </c>
      <c r="AX142" s="363"/>
      <c r="AY142" s="363"/>
      <c r="AZ142" s="363"/>
      <c r="BA142" s="363"/>
      <c r="BB142" s="369"/>
      <c r="BC142" s="367"/>
      <c r="BD142" s="363"/>
      <c r="BE142" s="363"/>
      <c r="BF142" s="363"/>
      <c r="BG142" s="363"/>
      <c r="BH142" s="369"/>
      <c r="BI142" s="367"/>
      <c r="BJ142" s="363"/>
      <c r="BK142" s="363"/>
      <c r="BL142" s="363"/>
      <c r="BM142" s="363"/>
      <c r="BN142" s="369"/>
      <c r="BO142" s="367"/>
      <c r="BP142" s="363"/>
      <c r="BQ142" s="363"/>
      <c r="BR142" s="363"/>
      <c r="BS142" s="363"/>
      <c r="BT142" s="280"/>
    </row>
    <row r="143" spans="1:72" s="358" customFormat="1" ht="31.5">
      <c r="A143" s="287">
        <v>125</v>
      </c>
      <c r="B143" s="933"/>
      <c r="C143" s="837"/>
      <c r="D143" s="838"/>
      <c r="E143" s="836" t="s">
        <v>201</v>
      </c>
      <c r="F143" s="820" t="s">
        <v>7</v>
      </c>
      <c r="G143" s="360">
        <v>4</v>
      </c>
      <c r="H143" s="360" t="s">
        <v>71</v>
      </c>
      <c r="I143" s="360">
        <v>853</v>
      </c>
      <c r="J143" s="361">
        <v>297</v>
      </c>
      <c r="K143" s="532" t="s">
        <v>38</v>
      </c>
      <c r="L143" s="544">
        <v>47779.58</v>
      </c>
      <c r="M143" s="363"/>
      <c r="N143" s="363"/>
      <c r="O143" s="363">
        <f t="shared" si="127"/>
        <v>47779.58</v>
      </c>
      <c r="P143" s="557">
        <f>62938.83-L143-L210</f>
        <v>7733.24</v>
      </c>
      <c r="Q143" s="544">
        <v>26356.95</v>
      </c>
      <c r="R143" s="544"/>
      <c r="S143" s="544">
        <v>26256.63</v>
      </c>
      <c r="T143" s="557"/>
      <c r="U143" s="365"/>
      <c r="V143" s="366"/>
      <c r="W143" s="366"/>
      <c r="X143" s="366"/>
      <c r="Z143" s="367">
        <f t="shared" si="476"/>
        <v>0</v>
      </c>
      <c r="AA143" s="363">
        <f t="shared" si="476"/>
        <v>0</v>
      </c>
      <c r="AB143" s="280">
        <f t="shared" si="128"/>
        <v>0</v>
      </c>
      <c r="AC143" s="367">
        <f t="shared" si="477"/>
        <v>0</v>
      </c>
      <c r="AD143" s="363">
        <f t="shared" si="477"/>
        <v>0</v>
      </c>
      <c r="AE143" s="280">
        <f t="shared" si="129"/>
        <v>0</v>
      </c>
      <c r="AF143" s="367">
        <f t="shared" si="478"/>
        <v>0</v>
      </c>
      <c r="AG143" s="363">
        <f t="shared" si="478"/>
        <v>0</v>
      </c>
      <c r="AH143" s="280">
        <f t="shared" si="130"/>
        <v>0</v>
      </c>
      <c r="AI143" s="367">
        <f t="shared" si="479"/>
        <v>47779.58</v>
      </c>
      <c r="AJ143" s="363">
        <f t="shared" si="479"/>
        <v>0</v>
      </c>
      <c r="AK143" s="280">
        <f t="shared" si="131"/>
        <v>47779.58</v>
      </c>
      <c r="AL143" s="368"/>
      <c r="AM143" s="367">
        <f t="shared" si="480"/>
        <v>0</v>
      </c>
      <c r="AN143" s="363">
        <f t="shared" si="480"/>
        <v>0</v>
      </c>
      <c r="AO143" s="280">
        <f t="shared" si="132"/>
        <v>0</v>
      </c>
      <c r="AP143" s="367">
        <f t="shared" si="481"/>
        <v>0</v>
      </c>
      <c r="AQ143" s="363">
        <f t="shared" si="481"/>
        <v>0</v>
      </c>
      <c r="AR143" s="280">
        <f t="shared" si="133"/>
        <v>0</v>
      </c>
      <c r="AS143" s="367">
        <f t="shared" si="483"/>
        <v>47779.58</v>
      </c>
      <c r="AT143" s="363">
        <f t="shared" si="483"/>
        <v>0</v>
      </c>
      <c r="AU143" s="280">
        <f t="shared" si="134"/>
        <v>47779.58</v>
      </c>
      <c r="AV143" s="588">
        <f t="shared" si="135"/>
        <v>0</v>
      </c>
      <c r="AW143" s="367"/>
      <c r="AX143" s="363"/>
      <c r="AY143" s="363"/>
      <c r="AZ143" s="363"/>
      <c r="BA143" s="363"/>
      <c r="BB143" s="369"/>
      <c r="BC143" s="367"/>
      <c r="BD143" s="363"/>
      <c r="BE143" s="363"/>
      <c r="BF143" s="363"/>
      <c r="BG143" s="363"/>
      <c r="BH143" s="369"/>
      <c r="BI143" s="367"/>
      <c r="BJ143" s="363"/>
      <c r="BK143" s="363"/>
      <c r="BL143" s="363"/>
      <c r="BM143" s="363"/>
      <c r="BN143" s="369"/>
      <c r="BO143" s="367"/>
      <c r="BP143" s="363"/>
      <c r="BQ143" s="363"/>
      <c r="BR143" s="363"/>
      <c r="BS143" s="363">
        <v>47779.58</v>
      </c>
      <c r="BT143" s="280"/>
    </row>
    <row r="144" spans="1:72" s="358" customFormat="1" ht="47.25">
      <c r="A144" s="287">
        <v>126</v>
      </c>
      <c r="B144" s="933"/>
      <c r="C144" s="837" t="s">
        <v>377</v>
      </c>
      <c r="D144" s="838"/>
      <c r="E144" s="836" t="s">
        <v>201</v>
      </c>
      <c r="F144" s="830" t="s">
        <v>30</v>
      </c>
      <c r="G144" s="360">
        <v>4</v>
      </c>
      <c r="H144" s="506" t="s">
        <v>47</v>
      </c>
      <c r="I144" s="360">
        <v>244</v>
      </c>
      <c r="J144" s="361">
        <v>310</v>
      </c>
      <c r="K144" s="362" t="s">
        <v>302</v>
      </c>
      <c r="L144" s="367">
        <f>L145</f>
        <v>306800</v>
      </c>
      <c r="M144" s="363"/>
      <c r="N144" s="363"/>
      <c r="O144" s="363">
        <f t="shared" si="127"/>
        <v>306800</v>
      </c>
      <c r="P144" s="557"/>
      <c r="Q144" s="367">
        <v>0</v>
      </c>
      <c r="R144" s="557"/>
      <c r="S144" s="367">
        <v>0</v>
      </c>
      <c r="T144" s="557"/>
      <c r="U144" s="365"/>
      <c r="V144" s="366"/>
      <c r="W144" s="366"/>
      <c r="X144" s="366"/>
      <c r="Z144" s="367">
        <f t="shared" si="476"/>
        <v>0</v>
      </c>
      <c r="AA144" s="363">
        <f t="shared" si="476"/>
        <v>0</v>
      </c>
      <c r="AB144" s="280">
        <f t="shared" si="128"/>
        <v>0</v>
      </c>
      <c r="AC144" s="367">
        <f t="shared" si="477"/>
        <v>306800</v>
      </c>
      <c r="AD144" s="363">
        <f t="shared" si="477"/>
        <v>0</v>
      </c>
      <c r="AE144" s="280">
        <f t="shared" si="129"/>
        <v>306800</v>
      </c>
      <c r="AF144" s="367">
        <f t="shared" si="478"/>
        <v>0</v>
      </c>
      <c r="AG144" s="363">
        <f t="shared" si="478"/>
        <v>0</v>
      </c>
      <c r="AH144" s="280">
        <f t="shared" si="130"/>
        <v>0</v>
      </c>
      <c r="AI144" s="367">
        <f t="shared" si="479"/>
        <v>0</v>
      </c>
      <c r="AJ144" s="363">
        <f t="shared" si="479"/>
        <v>0</v>
      </c>
      <c r="AK144" s="280">
        <f t="shared" si="131"/>
        <v>0</v>
      </c>
      <c r="AL144" s="368"/>
      <c r="AM144" s="367">
        <f t="shared" si="480"/>
        <v>306800</v>
      </c>
      <c r="AN144" s="363">
        <f t="shared" si="480"/>
        <v>0</v>
      </c>
      <c r="AO144" s="280">
        <f t="shared" si="132"/>
        <v>306800</v>
      </c>
      <c r="AP144" s="367">
        <f t="shared" si="481"/>
        <v>306800</v>
      </c>
      <c r="AQ144" s="363">
        <f t="shared" si="481"/>
        <v>0</v>
      </c>
      <c r="AR144" s="280">
        <f t="shared" si="133"/>
        <v>306800</v>
      </c>
      <c r="AS144" s="367">
        <f t="shared" si="483"/>
        <v>306800</v>
      </c>
      <c r="AT144" s="363">
        <f t="shared" si="483"/>
        <v>0</v>
      </c>
      <c r="AU144" s="280">
        <f t="shared" si="134"/>
        <v>306800</v>
      </c>
      <c r="AV144" s="588">
        <f t="shared" si="135"/>
        <v>0</v>
      </c>
      <c r="AW144" s="367">
        <f t="shared" ref="AW144:BT144" si="487">SUM(AW145:AW145)</f>
        <v>0</v>
      </c>
      <c r="AX144" s="363">
        <f t="shared" si="487"/>
        <v>0</v>
      </c>
      <c r="AY144" s="363">
        <f t="shared" si="487"/>
        <v>0</v>
      </c>
      <c r="AZ144" s="363">
        <f t="shared" si="487"/>
        <v>0</v>
      </c>
      <c r="BA144" s="363">
        <f t="shared" si="487"/>
        <v>0</v>
      </c>
      <c r="BB144" s="369">
        <f t="shared" si="487"/>
        <v>0</v>
      </c>
      <c r="BC144" s="367">
        <f t="shared" si="487"/>
        <v>0</v>
      </c>
      <c r="BD144" s="363">
        <f t="shared" si="487"/>
        <v>0</v>
      </c>
      <c r="BE144" s="363">
        <f t="shared" si="487"/>
        <v>0</v>
      </c>
      <c r="BF144" s="363">
        <f t="shared" si="487"/>
        <v>0</v>
      </c>
      <c r="BG144" s="363">
        <f t="shared" si="487"/>
        <v>306800</v>
      </c>
      <c r="BH144" s="369">
        <f t="shared" si="487"/>
        <v>0</v>
      </c>
      <c r="BI144" s="367">
        <f t="shared" si="487"/>
        <v>0</v>
      </c>
      <c r="BJ144" s="363">
        <f t="shared" si="487"/>
        <v>0</v>
      </c>
      <c r="BK144" s="363">
        <f t="shared" si="487"/>
        <v>0</v>
      </c>
      <c r="BL144" s="363">
        <f t="shared" si="487"/>
        <v>0</v>
      </c>
      <c r="BM144" s="363">
        <f t="shared" si="487"/>
        <v>0</v>
      </c>
      <c r="BN144" s="369">
        <f t="shared" si="487"/>
        <v>0</v>
      </c>
      <c r="BO144" s="367">
        <f t="shared" si="487"/>
        <v>0</v>
      </c>
      <c r="BP144" s="363">
        <f t="shared" si="487"/>
        <v>0</v>
      </c>
      <c r="BQ144" s="363">
        <f t="shared" si="487"/>
        <v>0</v>
      </c>
      <c r="BR144" s="363">
        <f t="shared" si="487"/>
        <v>0</v>
      </c>
      <c r="BS144" s="363">
        <f t="shared" si="487"/>
        <v>0</v>
      </c>
      <c r="BT144" s="280">
        <f t="shared" si="487"/>
        <v>0</v>
      </c>
    </row>
    <row r="145" spans="1:72" s="313" customFormat="1" ht="25.5" outlineLevel="1">
      <c r="A145" s="287">
        <v>127</v>
      </c>
      <c r="B145" s="940">
        <v>340900</v>
      </c>
      <c r="C145" s="840"/>
      <c r="D145" s="841"/>
      <c r="E145" s="839"/>
      <c r="F145" s="821" t="s">
        <v>30</v>
      </c>
      <c r="G145" s="314">
        <v>4</v>
      </c>
      <c r="H145" s="739" t="s">
        <v>47</v>
      </c>
      <c r="I145" s="739">
        <v>244</v>
      </c>
      <c r="J145" s="740">
        <v>310</v>
      </c>
      <c r="K145" s="317" t="s">
        <v>303</v>
      </c>
      <c r="L145" s="412">
        <v>306800</v>
      </c>
      <c r="M145" s="403"/>
      <c r="N145" s="403"/>
      <c r="O145" s="403">
        <f t="shared" si="127"/>
        <v>306800</v>
      </c>
      <c r="P145" s="566"/>
      <c r="Q145" s="406">
        <v>0</v>
      </c>
      <c r="R145" s="566"/>
      <c r="S145" s="406">
        <v>0</v>
      </c>
      <c r="T145" s="566"/>
      <c r="U145" s="335"/>
      <c r="V145" s="320"/>
      <c r="W145" s="320"/>
      <c r="X145" s="320"/>
      <c r="Z145" s="336">
        <f t="shared" si="476"/>
        <v>0</v>
      </c>
      <c r="AA145" s="337">
        <f t="shared" si="476"/>
        <v>0</v>
      </c>
      <c r="AB145" s="338">
        <f t="shared" si="128"/>
        <v>0</v>
      </c>
      <c r="AC145" s="336">
        <f t="shared" si="477"/>
        <v>306800</v>
      </c>
      <c r="AD145" s="337">
        <f t="shared" si="477"/>
        <v>0</v>
      </c>
      <c r="AE145" s="338">
        <f t="shared" si="129"/>
        <v>306800</v>
      </c>
      <c r="AF145" s="336">
        <f t="shared" si="478"/>
        <v>0</v>
      </c>
      <c r="AG145" s="337">
        <f t="shared" si="478"/>
        <v>0</v>
      </c>
      <c r="AH145" s="338">
        <f t="shared" si="130"/>
        <v>0</v>
      </c>
      <c r="AI145" s="336">
        <f t="shared" si="479"/>
        <v>0</v>
      </c>
      <c r="AJ145" s="337">
        <f t="shared" si="479"/>
        <v>0</v>
      </c>
      <c r="AK145" s="338">
        <f t="shared" si="131"/>
        <v>0</v>
      </c>
      <c r="AL145" s="342"/>
      <c r="AM145" s="336">
        <f t="shared" si="480"/>
        <v>306800</v>
      </c>
      <c r="AN145" s="339">
        <f t="shared" si="480"/>
        <v>0</v>
      </c>
      <c r="AO145" s="340">
        <f t="shared" si="132"/>
        <v>306800</v>
      </c>
      <c r="AP145" s="336">
        <f t="shared" si="481"/>
        <v>306800</v>
      </c>
      <c r="AQ145" s="339">
        <f t="shared" si="481"/>
        <v>0</v>
      </c>
      <c r="AR145" s="340">
        <f t="shared" si="133"/>
        <v>306800</v>
      </c>
      <c r="AS145" s="341">
        <f t="shared" si="483"/>
        <v>306800</v>
      </c>
      <c r="AT145" s="339">
        <f t="shared" si="483"/>
        <v>0</v>
      </c>
      <c r="AU145" s="340">
        <f t="shared" si="134"/>
        <v>306800</v>
      </c>
      <c r="AV145" s="589">
        <f t="shared" si="135"/>
        <v>0</v>
      </c>
      <c r="AW145" s="343"/>
      <c r="AX145" s="344"/>
      <c r="AY145" s="345"/>
      <c r="AZ145" s="344"/>
      <c r="BA145" s="345"/>
      <c r="BB145" s="346"/>
      <c r="BC145" s="347"/>
      <c r="BD145" s="348"/>
      <c r="BE145" s="349"/>
      <c r="BF145" s="348"/>
      <c r="BG145" s="349">
        <v>306800</v>
      </c>
      <c r="BH145" s="350"/>
      <c r="BI145" s="351"/>
      <c r="BJ145" s="352"/>
      <c r="BK145" s="337"/>
      <c r="BL145" s="352"/>
      <c r="BM145" s="337"/>
      <c r="BN145" s="353"/>
      <c r="BO145" s="354"/>
      <c r="BP145" s="355"/>
      <c r="BQ145" s="356"/>
      <c r="BR145" s="355"/>
      <c r="BS145" s="356"/>
      <c r="BT145" s="357"/>
    </row>
    <row r="146" spans="1:72" s="358" customFormat="1" ht="47.25">
      <c r="A146" s="287">
        <v>128</v>
      </c>
      <c r="B146" s="933"/>
      <c r="C146" s="837" t="s">
        <v>377</v>
      </c>
      <c r="D146" s="838"/>
      <c r="E146" s="836" t="s">
        <v>201</v>
      </c>
      <c r="F146" s="830" t="s">
        <v>31</v>
      </c>
      <c r="G146" s="360">
        <v>4</v>
      </c>
      <c r="H146" s="506" t="s">
        <v>47</v>
      </c>
      <c r="I146" s="360">
        <v>244</v>
      </c>
      <c r="J146" s="361">
        <v>310</v>
      </c>
      <c r="K146" s="362" t="s">
        <v>302</v>
      </c>
      <c r="L146" s="367">
        <f>L147</f>
        <v>715900</v>
      </c>
      <c r="M146" s="363"/>
      <c r="N146" s="363"/>
      <c r="O146" s="363">
        <f t="shared" si="127"/>
        <v>715900</v>
      </c>
      <c r="P146" s="557"/>
      <c r="Q146" s="367">
        <v>0</v>
      </c>
      <c r="R146" s="557"/>
      <c r="S146" s="367">
        <v>0</v>
      </c>
      <c r="T146" s="557"/>
      <c r="U146" s="365"/>
      <c r="V146" s="366"/>
      <c r="W146" s="366"/>
      <c r="X146" s="366"/>
      <c r="Z146" s="367">
        <f t="shared" si="476"/>
        <v>0</v>
      </c>
      <c r="AA146" s="363">
        <f t="shared" si="476"/>
        <v>0</v>
      </c>
      <c r="AB146" s="280">
        <f t="shared" si="128"/>
        <v>0</v>
      </c>
      <c r="AC146" s="367">
        <f t="shared" si="477"/>
        <v>715900</v>
      </c>
      <c r="AD146" s="363">
        <f t="shared" si="477"/>
        <v>0</v>
      </c>
      <c r="AE146" s="280">
        <f t="shared" si="129"/>
        <v>715900</v>
      </c>
      <c r="AF146" s="367">
        <f t="shared" si="478"/>
        <v>0</v>
      </c>
      <c r="AG146" s="363">
        <f t="shared" si="478"/>
        <v>0</v>
      </c>
      <c r="AH146" s="280">
        <f t="shared" si="130"/>
        <v>0</v>
      </c>
      <c r="AI146" s="367">
        <f t="shared" si="479"/>
        <v>0</v>
      </c>
      <c r="AJ146" s="363">
        <f t="shared" si="479"/>
        <v>0</v>
      </c>
      <c r="AK146" s="280">
        <f t="shared" si="131"/>
        <v>0</v>
      </c>
      <c r="AL146" s="368"/>
      <c r="AM146" s="367">
        <f t="shared" si="480"/>
        <v>715900</v>
      </c>
      <c r="AN146" s="363">
        <f t="shared" si="480"/>
        <v>0</v>
      </c>
      <c r="AO146" s="280">
        <f t="shared" si="132"/>
        <v>715900</v>
      </c>
      <c r="AP146" s="367">
        <f t="shared" si="481"/>
        <v>715900</v>
      </c>
      <c r="AQ146" s="363">
        <f t="shared" si="481"/>
        <v>0</v>
      </c>
      <c r="AR146" s="280">
        <f t="shared" si="133"/>
        <v>715900</v>
      </c>
      <c r="AS146" s="367">
        <f t="shared" si="483"/>
        <v>715900</v>
      </c>
      <c r="AT146" s="363">
        <f t="shared" si="483"/>
        <v>0</v>
      </c>
      <c r="AU146" s="280">
        <f t="shared" si="134"/>
        <v>715900</v>
      </c>
      <c r="AV146" s="588">
        <f t="shared" si="135"/>
        <v>0</v>
      </c>
      <c r="AW146" s="367">
        <f t="shared" ref="AW146:BT146" si="488">SUM(AW147:AW147)</f>
        <v>0</v>
      </c>
      <c r="AX146" s="363">
        <f t="shared" si="488"/>
        <v>0</v>
      </c>
      <c r="AY146" s="363">
        <f t="shared" si="488"/>
        <v>0</v>
      </c>
      <c r="AZ146" s="363">
        <f t="shared" si="488"/>
        <v>0</v>
      </c>
      <c r="BA146" s="363">
        <f t="shared" si="488"/>
        <v>0</v>
      </c>
      <c r="BB146" s="369">
        <f t="shared" si="488"/>
        <v>0</v>
      </c>
      <c r="BC146" s="367">
        <f t="shared" si="488"/>
        <v>0</v>
      </c>
      <c r="BD146" s="363">
        <f t="shared" si="488"/>
        <v>0</v>
      </c>
      <c r="BE146" s="363">
        <f t="shared" si="488"/>
        <v>0</v>
      </c>
      <c r="BF146" s="363">
        <f t="shared" si="488"/>
        <v>0</v>
      </c>
      <c r="BG146" s="363">
        <f t="shared" si="488"/>
        <v>715900</v>
      </c>
      <c r="BH146" s="369">
        <f t="shared" si="488"/>
        <v>0</v>
      </c>
      <c r="BI146" s="367">
        <f t="shared" si="488"/>
        <v>0</v>
      </c>
      <c r="BJ146" s="363">
        <f t="shared" si="488"/>
        <v>0</v>
      </c>
      <c r="BK146" s="363">
        <f t="shared" si="488"/>
        <v>0</v>
      </c>
      <c r="BL146" s="363">
        <f t="shared" si="488"/>
        <v>0</v>
      </c>
      <c r="BM146" s="363">
        <f t="shared" si="488"/>
        <v>0</v>
      </c>
      <c r="BN146" s="369">
        <f t="shared" si="488"/>
        <v>0</v>
      </c>
      <c r="BO146" s="367">
        <f t="shared" si="488"/>
        <v>0</v>
      </c>
      <c r="BP146" s="363">
        <f t="shared" si="488"/>
        <v>0</v>
      </c>
      <c r="BQ146" s="363">
        <f t="shared" si="488"/>
        <v>0</v>
      </c>
      <c r="BR146" s="363">
        <f t="shared" si="488"/>
        <v>0</v>
      </c>
      <c r="BS146" s="363">
        <f t="shared" si="488"/>
        <v>0</v>
      </c>
      <c r="BT146" s="280">
        <f t="shared" si="488"/>
        <v>0</v>
      </c>
    </row>
    <row r="147" spans="1:72" s="313" customFormat="1" ht="25.5" outlineLevel="1">
      <c r="A147" s="287">
        <v>129</v>
      </c>
      <c r="B147" s="940">
        <v>795400</v>
      </c>
      <c r="C147" s="840"/>
      <c r="D147" s="841"/>
      <c r="E147" s="839"/>
      <c r="F147" s="821" t="s">
        <v>31</v>
      </c>
      <c r="G147" s="314">
        <v>4</v>
      </c>
      <c r="H147" s="739" t="s">
        <v>47</v>
      </c>
      <c r="I147" s="739">
        <v>244</v>
      </c>
      <c r="J147" s="740">
        <v>310</v>
      </c>
      <c r="K147" s="317" t="s">
        <v>303</v>
      </c>
      <c r="L147" s="412">
        <v>715900</v>
      </c>
      <c r="M147" s="403"/>
      <c r="N147" s="403"/>
      <c r="O147" s="403">
        <f t="shared" si="127"/>
        <v>715900</v>
      </c>
      <c r="P147" s="566"/>
      <c r="Q147" s="406">
        <v>0</v>
      </c>
      <c r="R147" s="566"/>
      <c r="S147" s="406">
        <v>0</v>
      </c>
      <c r="T147" s="566"/>
      <c r="U147" s="335"/>
      <c r="V147" s="320"/>
      <c r="W147" s="320"/>
      <c r="X147" s="320"/>
      <c r="Z147" s="336">
        <f t="shared" si="476"/>
        <v>0</v>
      </c>
      <c r="AA147" s="337">
        <f t="shared" si="476"/>
        <v>0</v>
      </c>
      <c r="AB147" s="338">
        <f t="shared" si="128"/>
        <v>0</v>
      </c>
      <c r="AC147" s="336">
        <f t="shared" si="477"/>
        <v>715900</v>
      </c>
      <c r="AD147" s="337">
        <f t="shared" si="477"/>
        <v>0</v>
      </c>
      <c r="AE147" s="338">
        <f t="shared" si="129"/>
        <v>715900</v>
      </c>
      <c r="AF147" s="336">
        <f t="shared" si="478"/>
        <v>0</v>
      </c>
      <c r="AG147" s="337">
        <f t="shared" si="478"/>
        <v>0</v>
      </c>
      <c r="AH147" s="338">
        <f t="shared" si="130"/>
        <v>0</v>
      </c>
      <c r="AI147" s="336">
        <f t="shared" si="479"/>
        <v>0</v>
      </c>
      <c r="AJ147" s="337">
        <f t="shared" si="479"/>
        <v>0</v>
      </c>
      <c r="AK147" s="338">
        <f t="shared" si="131"/>
        <v>0</v>
      </c>
      <c r="AL147" s="342"/>
      <c r="AM147" s="336">
        <f t="shared" si="480"/>
        <v>715900</v>
      </c>
      <c r="AN147" s="339">
        <f t="shared" si="480"/>
        <v>0</v>
      </c>
      <c r="AO147" s="340">
        <f t="shared" si="132"/>
        <v>715900</v>
      </c>
      <c r="AP147" s="336">
        <f t="shared" si="481"/>
        <v>715900</v>
      </c>
      <c r="AQ147" s="339">
        <f t="shared" si="481"/>
        <v>0</v>
      </c>
      <c r="AR147" s="340">
        <f t="shared" si="133"/>
        <v>715900</v>
      </c>
      <c r="AS147" s="341">
        <f t="shared" si="483"/>
        <v>715900</v>
      </c>
      <c r="AT147" s="339">
        <f t="shared" si="483"/>
        <v>0</v>
      </c>
      <c r="AU147" s="340">
        <f t="shared" si="134"/>
        <v>715900</v>
      </c>
      <c r="AV147" s="589">
        <f t="shared" si="135"/>
        <v>0</v>
      </c>
      <c r="AW147" s="343"/>
      <c r="AX147" s="344"/>
      <c r="AY147" s="345"/>
      <c r="AZ147" s="344"/>
      <c r="BA147" s="345"/>
      <c r="BB147" s="346"/>
      <c r="BC147" s="347"/>
      <c r="BD147" s="348"/>
      <c r="BE147" s="349"/>
      <c r="BF147" s="348"/>
      <c r="BG147" s="349">
        <v>715900</v>
      </c>
      <c r="BH147" s="350"/>
      <c r="BI147" s="351"/>
      <c r="BJ147" s="352"/>
      <c r="BK147" s="337"/>
      <c r="BL147" s="352"/>
      <c r="BM147" s="337"/>
      <c r="BN147" s="353"/>
      <c r="BO147" s="354"/>
      <c r="BP147" s="355"/>
      <c r="BQ147" s="356"/>
      <c r="BR147" s="355"/>
      <c r="BS147" s="356"/>
      <c r="BT147" s="357"/>
    </row>
    <row r="148" spans="1:72" s="358" customFormat="1" ht="47.25">
      <c r="A148" s="287">
        <v>130</v>
      </c>
      <c r="B148" s="933"/>
      <c r="C148" s="837" t="s">
        <v>377</v>
      </c>
      <c r="D148" s="838"/>
      <c r="E148" s="836" t="s">
        <v>201</v>
      </c>
      <c r="F148" s="830" t="s">
        <v>7</v>
      </c>
      <c r="G148" s="360">
        <v>4</v>
      </c>
      <c r="H148" s="506" t="s">
        <v>47</v>
      </c>
      <c r="I148" s="360">
        <v>244</v>
      </c>
      <c r="J148" s="361">
        <v>310</v>
      </c>
      <c r="K148" s="362" t="s">
        <v>302</v>
      </c>
      <c r="L148" s="367">
        <f>L149</f>
        <v>53826.32</v>
      </c>
      <c r="M148" s="363"/>
      <c r="N148" s="363"/>
      <c r="O148" s="363">
        <f t="shared" si="127"/>
        <v>53826.32</v>
      </c>
      <c r="P148" s="557"/>
      <c r="Q148" s="367">
        <v>0</v>
      </c>
      <c r="R148" s="557"/>
      <c r="S148" s="367">
        <v>0</v>
      </c>
      <c r="T148" s="557"/>
      <c r="U148" s="365"/>
      <c r="V148" s="366"/>
      <c r="W148" s="366"/>
      <c r="X148" s="366"/>
      <c r="Z148" s="367">
        <f t="shared" si="476"/>
        <v>0</v>
      </c>
      <c r="AA148" s="363">
        <f t="shared" si="476"/>
        <v>0</v>
      </c>
      <c r="AB148" s="280">
        <f t="shared" si="128"/>
        <v>0</v>
      </c>
      <c r="AC148" s="367">
        <f t="shared" si="477"/>
        <v>53826.32</v>
      </c>
      <c r="AD148" s="363">
        <f t="shared" si="477"/>
        <v>0</v>
      </c>
      <c r="AE148" s="280">
        <f t="shared" si="129"/>
        <v>53826.32</v>
      </c>
      <c r="AF148" s="367">
        <f t="shared" si="478"/>
        <v>0</v>
      </c>
      <c r="AG148" s="363">
        <f t="shared" si="478"/>
        <v>0</v>
      </c>
      <c r="AH148" s="280">
        <f t="shared" si="130"/>
        <v>0</v>
      </c>
      <c r="AI148" s="367">
        <f t="shared" si="479"/>
        <v>0</v>
      </c>
      <c r="AJ148" s="363">
        <f t="shared" si="479"/>
        <v>0</v>
      </c>
      <c r="AK148" s="280">
        <f t="shared" si="131"/>
        <v>0</v>
      </c>
      <c r="AL148" s="368"/>
      <c r="AM148" s="367">
        <f t="shared" si="480"/>
        <v>53826.32</v>
      </c>
      <c r="AN148" s="363">
        <f t="shared" si="480"/>
        <v>0</v>
      </c>
      <c r="AO148" s="280">
        <f t="shared" si="132"/>
        <v>53826.32</v>
      </c>
      <c r="AP148" s="367">
        <f t="shared" si="481"/>
        <v>53826.32</v>
      </c>
      <c r="AQ148" s="363">
        <f t="shared" si="481"/>
        <v>0</v>
      </c>
      <c r="AR148" s="280">
        <f t="shared" si="133"/>
        <v>53826.32</v>
      </c>
      <c r="AS148" s="367">
        <f t="shared" si="483"/>
        <v>53826.32</v>
      </c>
      <c r="AT148" s="363">
        <f t="shared" si="483"/>
        <v>0</v>
      </c>
      <c r="AU148" s="280">
        <f t="shared" si="134"/>
        <v>53826.32</v>
      </c>
      <c r="AV148" s="588">
        <f t="shared" si="135"/>
        <v>0</v>
      </c>
      <c r="AW148" s="367">
        <f t="shared" ref="AW148:BT148" si="489">SUM(AW149:AW149)</f>
        <v>0</v>
      </c>
      <c r="AX148" s="363">
        <f t="shared" si="489"/>
        <v>0</v>
      </c>
      <c r="AY148" s="363">
        <f t="shared" si="489"/>
        <v>0</v>
      </c>
      <c r="AZ148" s="363">
        <f t="shared" si="489"/>
        <v>0</v>
      </c>
      <c r="BA148" s="363">
        <f t="shared" si="489"/>
        <v>0</v>
      </c>
      <c r="BB148" s="369">
        <f t="shared" si="489"/>
        <v>0</v>
      </c>
      <c r="BC148" s="367">
        <f t="shared" si="489"/>
        <v>0</v>
      </c>
      <c r="BD148" s="363">
        <f t="shared" si="489"/>
        <v>0</v>
      </c>
      <c r="BE148" s="363">
        <f t="shared" si="489"/>
        <v>0</v>
      </c>
      <c r="BF148" s="363">
        <f t="shared" si="489"/>
        <v>0</v>
      </c>
      <c r="BG148" s="363">
        <f t="shared" si="489"/>
        <v>53826.32</v>
      </c>
      <c r="BH148" s="369">
        <f t="shared" si="489"/>
        <v>0</v>
      </c>
      <c r="BI148" s="367">
        <f t="shared" si="489"/>
        <v>0</v>
      </c>
      <c r="BJ148" s="363">
        <f t="shared" si="489"/>
        <v>0</v>
      </c>
      <c r="BK148" s="363">
        <f t="shared" si="489"/>
        <v>0</v>
      </c>
      <c r="BL148" s="363">
        <f t="shared" si="489"/>
        <v>0</v>
      </c>
      <c r="BM148" s="363">
        <f t="shared" si="489"/>
        <v>0</v>
      </c>
      <c r="BN148" s="369">
        <f t="shared" si="489"/>
        <v>0</v>
      </c>
      <c r="BO148" s="367">
        <f t="shared" si="489"/>
        <v>0</v>
      </c>
      <c r="BP148" s="363">
        <f t="shared" si="489"/>
        <v>0</v>
      </c>
      <c r="BQ148" s="363">
        <f t="shared" si="489"/>
        <v>0</v>
      </c>
      <c r="BR148" s="363">
        <f t="shared" si="489"/>
        <v>0</v>
      </c>
      <c r="BS148" s="363">
        <f t="shared" si="489"/>
        <v>0</v>
      </c>
      <c r="BT148" s="280">
        <f t="shared" si="489"/>
        <v>0</v>
      </c>
    </row>
    <row r="149" spans="1:72" s="313" customFormat="1" ht="25.5" outlineLevel="1">
      <c r="A149" s="287">
        <v>131</v>
      </c>
      <c r="B149" s="940">
        <v>59805.26</v>
      </c>
      <c r="C149" s="840"/>
      <c r="D149" s="841"/>
      <c r="E149" s="839"/>
      <c r="F149" s="821" t="s">
        <v>7</v>
      </c>
      <c r="G149" s="314">
        <v>4</v>
      </c>
      <c r="H149" s="739" t="s">
        <v>47</v>
      </c>
      <c r="I149" s="739">
        <v>244</v>
      </c>
      <c r="J149" s="740">
        <v>310</v>
      </c>
      <c r="K149" s="317" t="s">
        <v>303</v>
      </c>
      <c r="L149" s="412">
        <v>53826.32</v>
      </c>
      <c r="M149" s="403"/>
      <c r="N149" s="403"/>
      <c r="O149" s="403">
        <f t="shared" si="127"/>
        <v>53826.32</v>
      </c>
      <c r="P149" s="566"/>
      <c r="Q149" s="406">
        <v>0</v>
      </c>
      <c r="R149" s="566"/>
      <c r="S149" s="406">
        <v>0</v>
      </c>
      <c r="T149" s="566"/>
      <c r="U149" s="335"/>
      <c r="V149" s="320"/>
      <c r="W149" s="320"/>
      <c r="X149" s="320"/>
      <c r="Z149" s="336">
        <f t="shared" ref="Z149:AA149" si="490">AW149+AY149+BA149</f>
        <v>0</v>
      </c>
      <c r="AA149" s="337">
        <f t="shared" si="490"/>
        <v>0</v>
      </c>
      <c r="AB149" s="338">
        <f t="shared" si="128"/>
        <v>0</v>
      </c>
      <c r="AC149" s="336">
        <f t="shared" ref="AC149:AD149" si="491">BC149+BE149+BG149</f>
        <v>53826.32</v>
      </c>
      <c r="AD149" s="337">
        <f t="shared" si="491"/>
        <v>0</v>
      </c>
      <c r="AE149" s="338">
        <f t="shared" si="129"/>
        <v>53826.32</v>
      </c>
      <c r="AF149" s="336">
        <f t="shared" ref="AF149:AG149" si="492">BI149+BK149+BM149</f>
        <v>0</v>
      </c>
      <c r="AG149" s="337">
        <f t="shared" si="492"/>
        <v>0</v>
      </c>
      <c r="AH149" s="338">
        <f t="shared" si="130"/>
        <v>0</v>
      </c>
      <c r="AI149" s="336">
        <f t="shared" ref="AI149:AJ149" si="493">BO149+BQ149+BS149</f>
        <v>0</v>
      </c>
      <c r="AJ149" s="337">
        <f t="shared" si="493"/>
        <v>0</v>
      </c>
      <c r="AK149" s="338">
        <f t="shared" si="131"/>
        <v>0</v>
      </c>
      <c r="AL149" s="342"/>
      <c r="AM149" s="336">
        <f t="shared" ref="AM149:AN149" si="494">Z149+AC149</f>
        <v>53826.32</v>
      </c>
      <c r="AN149" s="339">
        <f t="shared" si="494"/>
        <v>0</v>
      </c>
      <c r="AO149" s="340">
        <f t="shared" si="132"/>
        <v>53826.32</v>
      </c>
      <c r="AP149" s="336">
        <f t="shared" ref="AP149:AQ149" si="495">Z149+AC149+AF149</f>
        <v>53826.32</v>
      </c>
      <c r="AQ149" s="339">
        <f t="shared" si="495"/>
        <v>0</v>
      </c>
      <c r="AR149" s="340">
        <f t="shared" si="133"/>
        <v>53826.32</v>
      </c>
      <c r="AS149" s="341">
        <f t="shared" si="483"/>
        <v>53826.32</v>
      </c>
      <c r="AT149" s="339">
        <f t="shared" si="483"/>
        <v>0</v>
      </c>
      <c r="AU149" s="340">
        <f t="shared" si="134"/>
        <v>53826.32</v>
      </c>
      <c r="AV149" s="589">
        <f t="shared" si="135"/>
        <v>0</v>
      </c>
      <c r="AW149" s="343"/>
      <c r="AX149" s="344"/>
      <c r="AY149" s="345"/>
      <c r="AZ149" s="344"/>
      <c r="BA149" s="345"/>
      <c r="BB149" s="346"/>
      <c r="BC149" s="347"/>
      <c r="BD149" s="348"/>
      <c r="BE149" s="349"/>
      <c r="BF149" s="348"/>
      <c r="BG149" s="349">
        <v>53826.32</v>
      </c>
      <c r="BH149" s="350"/>
      <c r="BI149" s="351"/>
      <c r="BJ149" s="352"/>
      <c r="BK149" s="337"/>
      <c r="BL149" s="352"/>
      <c r="BM149" s="337"/>
      <c r="BN149" s="353"/>
      <c r="BO149" s="354"/>
      <c r="BP149" s="355"/>
      <c r="BQ149" s="356"/>
      <c r="BR149" s="355"/>
      <c r="BS149" s="356"/>
      <c r="BT149" s="357"/>
    </row>
    <row r="150" spans="1:72" s="86" customFormat="1" ht="15.75" customHeight="1" thickBot="1">
      <c r="A150" s="287">
        <v>132</v>
      </c>
      <c r="B150" s="933"/>
      <c r="C150" s="861"/>
      <c r="D150" s="862"/>
      <c r="E150" s="287" t="s">
        <v>201</v>
      </c>
      <c r="F150" s="521" t="s">
        <v>17</v>
      </c>
      <c r="G150" s="521"/>
      <c r="H150" s="521"/>
      <c r="I150" s="521"/>
      <c r="J150" s="521"/>
      <c r="K150" s="868" t="s">
        <v>17</v>
      </c>
      <c r="L150" s="549">
        <f t="shared" ref="L150:U150" si="496">SUM(L12,L13,L14,L15,L16,L17,L22,L26,L27,L28,L33,L34,L35,L36,L37,L43,L46,L49,L51,L55,L57,L62,L64,L75,L111,L139,L141,L142,L143,L144,L146,L148)</f>
        <v>50522159.640000001</v>
      </c>
      <c r="M150" s="550">
        <f t="shared" si="496"/>
        <v>0</v>
      </c>
      <c r="N150" s="550">
        <f t="shared" si="496"/>
        <v>0</v>
      </c>
      <c r="O150" s="550">
        <f t="shared" si="496"/>
        <v>50522159.640000001</v>
      </c>
      <c r="P150" s="568">
        <f t="shared" si="496"/>
        <v>17681355.059999999</v>
      </c>
      <c r="Q150" s="549">
        <f t="shared" si="496"/>
        <v>42206072.039999999</v>
      </c>
      <c r="R150" s="568">
        <f t="shared" si="496"/>
        <v>0</v>
      </c>
      <c r="S150" s="549">
        <f t="shared" si="496"/>
        <v>41798874.439999998</v>
      </c>
      <c r="T150" s="568">
        <f t="shared" si="496"/>
        <v>0</v>
      </c>
      <c r="U150" s="334">
        <f t="shared" si="496"/>
        <v>0</v>
      </c>
      <c r="V150" s="305"/>
      <c r="W150" s="305"/>
      <c r="X150" s="305"/>
      <c r="Z150" s="264" t="e">
        <f>SUM(Z12,Z13,Z14,Z15,Z16,Z17,Z27,Z28,Z33,Z34,Z35,#REF!,Z36,Z37,Z43,Z46,Z49,Z51,Z55,Z57,Z62,Z64,Z75,Z111,Z139,Z141,Z142,Z143,Z144,Z146,Z148)</f>
        <v>#REF!</v>
      </c>
      <c r="AA150" s="13" t="e">
        <f>SUM(AA12,AA13,AA14,AA15,AA16,AA17,AA27,AA28,AA33,AA34,AA35,#REF!,AA36,AA37,AA43,AA46,AA49,AA51,AA55,AA57,AA62,AA64,AA75,AA111,AA139,AA141,AA142,AA143,AA144,AA146,AA148)</f>
        <v>#REF!</v>
      </c>
      <c r="AB150" s="258" t="e">
        <f>SUM(AB12,AB13,AB14,AB15,AB16,AB17,AB27,AB28,AB33,AB34,AB35,#REF!,AB36,AB37,AB43,AB46,AB49,AB51,AB55,AB57,AB62,AB64,AB75,AB111,AB139,AB141,AB142,AB143,AB144,AB146,AB148)</f>
        <v>#REF!</v>
      </c>
      <c r="AC150" s="264" t="e">
        <f>SUM(AC12,AC13,AC14,AC15,AC16,AC17,AC27,AC28,AC33,AC34,AC35,#REF!,AC36,AC37,AC43,AC46,AC49,AC51,AC55,AC57,AC62,AC64,AC75,AC111,AC139,AC141,AC142,AC143,AC144,AC146,AC148)</f>
        <v>#REF!</v>
      </c>
      <c r="AD150" s="13" t="e">
        <f>SUM(AD12,AD13,AD14,AD15,AD16,AD17,AD27,AD28,AD33,AD34,AD35,#REF!,AD36,AD37,AD43,AD46,AD49,AD51,AD55,AD57,AD62,AD64,AD75,AD111,AD139,AD141,AD142,AD143,AD144,AD146,AD148)</f>
        <v>#REF!</v>
      </c>
      <c r="AE150" s="258" t="e">
        <f>SUM(AE12,AE13,AE14,AE15,AE16,AE17,AE27,AE28,AE33,AE34,AE35,#REF!,AE36,AE37,AE43,AE46,AE49,AE51,AE55,AE57,AE62,AE64,AE75,AE111,AE139,AE141,AE142,AE143,AE144,AE146,AE148)</f>
        <v>#REF!</v>
      </c>
      <c r="AF150" s="264" t="e">
        <f>SUM(AF12,AF13,AF14,AF15,AF16,AF17,AF27,AF28,AF33,AF34,AF35,#REF!,AF36,AF37,AF43,AF46,AF49,AF51,AF55,AF57,AF62,AF64,AF75,AF111,AF139,AF141,AF142,AF143,AF144,AF146,AF148)</f>
        <v>#REF!</v>
      </c>
      <c r="AG150" s="13" t="e">
        <f>SUM(AG12,AG13,AG14,AG15,AG16,AG17,AG27,AG28,AG33,AG34,AG35,#REF!,AG36,AG37,AG43,AG46,AG49,AG51,AG55,AG57,AG62,AG64,AG75,AG111,AG139,AG141,AG142,AG143,AG144,AG146,AG148)</f>
        <v>#REF!</v>
      </c>
      <c r="AH150" s="258" t="e">
        <f>SUM(AH12,AH13,AH14,AH15,AH16,AH17,AH27,AH28,AH33,AH34,AH35,#REF!,AH36,AH37,AH43,AH46,AH49,AH51,AH55,AH57,AH62,AH64,AH75,AH111,AH139,AH141,AH142,AH143,AH144,AH146,AH148)</f>
        <v>#REF!</v>
      </c>
      <c r="AI150" s="264" t="e">
        <f>SUM(AI12,AI13,AI14,AI15,AI16,AI17,AI27,AI28,AI33,AI34,AI35,#REF!,AI36,AI37,AI43,AI46,AI49,AI51,AI55,AI57,AI62,AI64,AI75,AI111,AI139,AI141,AI142,AI143,AI144,AI146,AI148)</f>
        <v>#REF!</v>
      </c>
      <c r="AJ150" s="13" t="e">
        <f>SUM(AJ12,AJ13,AJ14,AJ15,AJ16,AJ17,AJ27,AJ28,AJ33,AJ34,AJ35,#REF!,AJ36,AJ37,AJ43,AJ46,AJ49,AJ51,AJ55,AJ57,AJ62,AJ64,AJ75,AJ111,AJ139,AJ141,AJ142,AJ143,AJ144,AJ146,AJ148)</f>
        <v>#REF!</v>
      </c>
      <c r="AK150" s="258" t="e">
        <f>SUM(AK12,AK13,AK14,AK15,AK16,AK17,AK27,AK28,AK33,AK34,AK35,#REF!,AK36,AK37,AK43,AK46,AK49,AK51,AK55,AK57,AK62,AK64,AK75,AK111,AK139,AK141,AK142,AK143,AK144,AK146,AK148)</f>
        <v>#REF!</v>
      </c>
      <c r="AL150" s="278">
        <f t="shared" ref="AL150:BS150" si="497">SUM(AL12,AL13,AL14,AL15,AL16,AL17,AL22,AL26,AL27,AL28,AL33,AL34,AL35,AL36,AL37,AL43,AL46,AL49,AL51,AL55,AL57,AL62,AL64,AL75,AL111,AL139,AL141,AL142,AL143,AL144,AL146,AL148)</f>
        <v>0</v>
      </c>
      <c r="AM150" s="264">
        <f t="shared" si="497"/>
        <v>36609856.979999997</v>
      </c>
      <c r="AN150" s="13">
        <f t="shared" si="497"/>
        <v>214205.58</v>
      </c>
      <c r="AO150" s="258">
        <f t="shared" si="497"/>
        <v>36395651.399999999</v>
      </c>
      <c r="AP150" s="264">
        <f t="shared" si="497"/>
        <v>44436081.689999998</v>
      </c>
      <c r="AQ150" s="13">
        <f t="shared" si="497"/>
        <v>325205.58</v>
      </c>
      <c r="AR150" s="258">
        <f t="shared" si="497"/>
        <v>44110876.109999999</v>
      </c>
      <c r="AS150" s="549">
        <f t="shared" si="497"/>
        <v>46210572.600000001</v>
      </c>
      <c r="AT150" s="549">
        <f t="shared" si="497"/>
        <v>399205.58</v>
      </c>
      <c r="AU150" s="258">
        <f t="shared" si="497"/>
        <v>45811367.020000003</v>
      </c>
      <c r="AV150" s="604">
        <f t="shared" si="497"/>
        <v>4311587.04</v>
      </c>
      <c r="AW150" s="278">
        <f t="shared" si="497"/>
        <v>1498437</v>
      </c>
      <c r="AX150" s="278">
        <f t="shared" si="497"/>
        <v>0</v>
      </c>
      <c r="AY150" s="278">
        <f t="shared" si="497"/>
        <v>4891631.8</v>
      </c>
      <c r="AZ150" s="278">
        <f t="shared" si="497"/>
        <v>103205.58</v>
      </c>
      <c r="BA150" s="278">
        <f t="shared" si="497"/>
        <v>7566940.0099999998</v>
      </c>
      <c r="BB150" s="278">
        <f t="shared" si="497"/>
        <v>0</v>
      </c>
      <c r="BC150" s="278">
        <f t="shared" si="497"/>
        <v>5433420.0199999996</v>
      </c>
      <c r="BD150" s="278">
        <f t="shared" si="497"/>
        <v>37000</v>
      </c>
      <c r="BE150" s="278">
        <f t="shared" si="497"/>
        <v>4500169.58</v>
      </c>
      <c r="BF150" s="278">
        <f t="shared" si="497"/>
        <v>37000</v>
      </c>
      <c r="BG150" s="278">
        <f t="shared" si="497"/>
        <v>12719258.57</v>
      </c>
      <c r="BH150" s="278">
        <f t="shared" si="497"/>
        <v>37000</v>
      </c>
      <c r="BI150" s="278">
        <f t="shared" si="497"/>
        <v>4569066.6900000004</v>
      </c>
      <c r="BJ150" s="278">
        <f t="shared" si="497"/>
        <v>37000</v>
      </c>
      <c r="BK150" s="278">
        <f t="shared" si="497"/>
        <v>1885677.9</v>
      </c>
      <c r="BL150" s="278">
        <f t="shared" si="497"/>
        <v>37000</v>
      </c>
      <c r="BM150" s="278">
        <f t="shared" si="497"/>
        <v>1371480.12</v>
      </c>
      <c r="BN150" s="278">
        <f t="shared" si="497"/>
        <v>37000</v>
      </c>
      <c r="BO150" s="278">
        <f t="shared" si="497"/>
        <v>499720.8</v>
      </c>
      <c r="BP150" s="278">
        <f t="shared" si="497"/>
        <v>37000</v>
      </c>
      <c r="BQ150" s="278">
        <f t="shared" si="497"/>
        <v>838195.41</v>
      </c>
      <c r="BR150" s="278">
        <f t="shared" si="497"/>
        <v>37000</v>
      </c>
      <c r="BS150" s="278">
        <f t="shared" si="497"/>
        <v>436574.7</v>
      </c>
      <c r="BT150" s="278"/>
    </row>
    <row r="151" spans="1:72" s="32" customFormat="1" ht="15.75" customHeight="1">
      <c r="A151" s="287">
        <v>133</v>
      </c>
      <c r="B151" s="943"/>
      <c r="C151" s="55"/>
      <c r="D151" s="944"/>
      <c r="E151" s="942"/>
      <c r="F151" s="209"/>
      <c r="G151" s="209"/>
      <c r="H151" s="209"/>
      <c r="I151" s="209"/>
      <c r="J151" s="209"/>
      <c r="K151" s="209" t="s">
        <v>204</v>
      </c>
      <c r="L151" s="996">
        <v>50522159.640000001</v>
      </c>
      <c r="M151" s="917"/>
      <c r="N151" s="917"/>
      <c r="O151" s="998">
        <v>50522159.640000001</v>
      </c>
      <c r="P151" s="945"/>
      <c r="Q151" s="996">
        <v>42206072.039999999</v>
      </c>
      <c r="R151" s="945"/>
      <c r="S151" s="996">
        <v>41798874.439999998</v>
      </c>
      <c r="T151" s="945"/>
      <c r="U151" s="946"/>
      <c r="V151" s="14"/>
      <c r="W151" s="14"/>
      <c r="X151" s="14"/>
      <c r="Z151" s="947">
        <f>AW151+AY151+BA151</f>
        <v>12910420.439999999</v>
      </c>
      <c r="AA151" s="917">
        <f>AX151+AZ151+BB151</f>
        <v>0</v>
      </c>
      <c r="AB151" s="948">
        <f t="shared" si="128"/>
        <v>12910420.439999999</v>
      </c>
      <c r="AC151" s="947">
        <f>BC151+BE151+BG151</f>
        <v>22170227.27</v>
      </c>
      <c r="AD151" s="917">
        <f>BD151+BF151+BH151</f>
        <v>0</v>
      </c>
      <c r="AE151" s="948">
        <f t="shared" si="129"/>
        <v>22170227.27</v>
      </c>
      <c r="AF151" s="947">
        <f>BI151+BK151+BM151</f>
        <v>9451200.7699999996</v>
      </c>
      <c r="AG151" s="917">
        <f>BJ151+BL151+BN151</f>
        <v>0</v>
      </c>
      <c r="AH151" s="948">
        <f t="shared" si="130"/>
        <v>9451200.7699999996</v>
      </c>
      <c r="AI151" s="947">
        <f>BO151+BQ151+BS151</f>
        <v>6043144.4100000001</v>
      </c>
      <c r="AJ151" s="917">
        <f>BP151+BR151+BT151</f>
        <v>0</v>
      </c>
      <c r="AK151" s="948">
        <f t="shared" si="131"/>
        <v>6043144.4100000001</v>
      </c>
      <c r="AL151" s="917"/>
      <c r="AM151" s="947">
        <f>Z151+AC151</f>
        <v>35080647.710000001</v>
      </c>
      <c r="AN151" s="917">
        <f>AA151+AD151</f>
        <v>0</v>
      </c>
      <c r="AO151" s="948">
        <f t="shared" si="132"/>
        <v>35080647.710000001</v>
      </c>
      <c r="AP151" s="947">
        <f>Z151+AC151+AF151</f>
        <v>44531848.479999997</v>
      </c>
      <c r="AQ151" s="917">
        <f>AA151+AD151+AG151</f>
        <v>0</v>
      </c>
      <c r="AR151" s="948">
        <f t="shared" si="133"/>
        <v>44531848.479999997</v>
      </c>
      <c r="AS151" s="947">
        <f>Z151+AC151+AF151+AI151</f>
        <v>50574992.890000001</v>
      </c>
      <c r="AT151" s="917">
        <f>AA151+AD151+AG151+AJ151</f>
        <v>0</v>
      </c>
      <c r="AU151" s="948">
        <f t="shared" si="134"/>
        <v>50574992.890000001</v>
      </c>
      <c r="AV151" s="278"/>
      <c r="AW151" s="277">
        <v>1498437</v>
      </c>
      <c r="AX151" s="277"/>
      <c r="AY151" s="277">
        <v>4852718.38</v>
      </c>
      <c r="AZ151" s="277"/>
      <c r="BA151" s="277">
        <v>6559265.0599999996</v>
      </c>
      <c r="BB151" s="277"/>
      <c r="BC151" s="277">
        <v>5725270.2599999998</v>
      </c>
      <c r="BD151" s="277"/>
      <c r="BE151" s="277">
        <v>4459231.41</v>
      </c>
      <c r="BF151" s="277"/>
      <c r="BG151" s="277">
        <v>11985725.6</v>
      </c>
      <c r="BH151" s="277"/>
      <c r="BI151" s="277">
        <v>4519128.5199999996</v>
      </c>
      <c r="BJ151" s="277"/>
      <c r="BK151" s="277">
        <v>2646468.16</v>
      </c>
      <c r="BL151" s="277"/>
      <c r="BM151" s="277">
        <v>2285604.09</v>
      </c>
      <c r="BN151" s="277"/>
      <c r="BO151" s="277">
        <v>1514774.59</v>
      </c>
      <c r="BP151" s="277"/>
      <c r="BQ151" s="277">
        <v>1923859.03</v>
      </c>
      <c r="BR151" s="277"/>
      <c r="BS151" s="277">
        <v>2604510.79</v>
      </c>
      <c r="BT151" s="917"/>
    </row>
    <row r="152" spans="1:72" s="31" customFormat="1" ht="15.75" customHeight="1" thickBot="1">
      <c r="A152" s="287">
        <v>134</v>
      </c>
      <c r="B152" s="933"/>
      <c r="C152" s="845"/>
      <c r="D152" s="849"/>
      <c r="E152" s="287"/>
      <c r="F152" s="209"/>
      <c r="G152" s="209"/>
      <c r="H152" s="209"/>
      <c r="I152" s="209"/>
      <c r="J152" s="209"/>
      <c r="K152" s="209" t="s">
        <v>368</v>
      </c>
      <c r="L152" s="277">
        <f>L151-L150</f>
        <v>0</v>
      </c>
      <c r="M152" s="211"/>
      <c r="N152" s="211"/>
      <c r="O152" s="970">
        <f>O151-O150</f>
        <v>0</v>
      </c>
      <c r="P152" s="330"/>
      <c r="Q152" s="277">
        <f>Q151-Q150</f>
        <v>0</v>
      </c>
      <c r="R152" s="330"/>
      <c r="S152" s="277">
        <f>S151-S150</f>
        <v>0</v>
      </c>
      <c r="T152" s="330"/>
      <c r="U152" s="334"/>
      <c r="V152" s="611" t="s">
        <v>385</v>
      </c>
      <c r="W152" s="7"/>
      <c r="X152" s="613">
        <f>Z152+AC152+AF152+AI152</f>
        <v>50522159.640000001</v>
      </c>
      <c r="Z152" s="612">
        <v>13660420.439999999</v>
      </c>
      <c r="AA152" s="264"/>
      <c r="AB152" s="264"/>
      <c r="AC152" s="612">
        <v>22920227.27</v>
      </c>
      <c r="AD152" s="264"/>
      <c r="AE152" s="264"/>
      <c r="AF152" s="612">
        <v>7951200.7699999996</v>
      </c>
      <c r="AG152" s="264"/>
      <c r="AH152" s="264"/>
      <c r="AI152" s="612">
        <v>5990311.1600000001</v>
      </c>
      <c r="AJ152" s="264"/>
      <c r="AK152" s="264"/>
      <c r="AL152" s="211"/>
      <c r="AM152" s="265"/>
      <c r="AN152" s="211"/>
      <c r="AO152" s="259"/>
      <c r="AP152" s="265"/>
      <c r="AQ152" s="211"/>
      <c r="AR152" s="259"/>
      <c r="AS152" s="265"/>
      <c r="AT152" s="211"/>
      <c r="AU152" s="259"/>
      <c r="AV152" s="604"/>
      <c r="AW152" s="951">
        <f>AW151-AW150</f>
        <v>0</v>
      </c>
      <c r="AX152" s="951">
        <f t="shared" ref="AX152:BS152" si="498">AX151-AX150</f>
        <v>0</v>
      </c>
      <c r="AY152" s="951">
        <f t="shared" si="498"/>
        <v>-38913.42</v>
      </c>
      <c r="AZ152" s="951">
        <f t="shared" si="498"/>
        <v>-103205.58</v>
      </c>
      <c r="BA152" s="951">
        <f t="shared" si="498"/>
        <v>-1007674.95</v>
      </c>
      <c r="BB152" s="951">
        <f t="shared" si="498"/>
        <v>0</v>
      </c>
      <c r="BC152" s="951">
        <f t="shared" si="498"/>
        <v>291850.23999999999</v>
      </c>
      <c r="BD152" s="951">
        <f t="shared" si="498"/>
        <v>-37000</v>
      </c>
      <c r="BE152" s="951">
        <f t="shared" si="498"/>
        <v>-40938.17</v>
      </c>
      <c r="BF152" s="951">
        <f t="shared" si="498"/>
        <v>-37000</v>
      </c>
      <c r="BG152" s="951">
        <f t="shared" si="498"/>
        <v>-733532.97</v>
      </c>
      <c r="BH152" s="951">
        <f t="shared" si="498"/>
        <v>-37000</v>
      </c>
      <c r="BI152" s="951">
        <f t="shared" si="498"/>
        <v>-49938.17</v>
      </c>
      <c r="BJ152" s="951">
        <f t="shared" si="498"/>
        <v>-37000</v>
      </c>
      <c r="BK152" s="951">
        <f t="shared" si="498"/>
        <v>760790.26</v>
      </c>
      <c r="BL152" s="951">
        <f t="shared" si="498"/>
        <v>-37000</v>
      </c>
      <c r="BM152" s="951">
        <f t="shared" si="498"/>
        <v>914123.97</v>
      </c>
      <c r="BN152" s="951">
        <f t="shared" si="498"/>
        <v>-37000</v>
      </c>
      <c r="BO152" s="951">
        <f t="shared" si="498"/>
        <v>1015053.79</v>
      </c>
      <c r="BP152" s="951">
        <f t="shared" si="498"/>
        <v>-37000</v>
      </c>
      <c r="BQ152" s="951">
        <f t="shared" si="498"/>
        <v>1085663.6200000001</v>
      </c>
      <c r="BR152" s="951">
        <f t="shared" si="498"/>
        <v>-37000</v>
      </c>
      <c r="BS152" s="951">
        <f t="shared" si="498"/>
        <v>2167936.09</v>
      </c>
      <c r="BT152" s="211"/>
    </row>
    <row r="153" spans="1:72" s="31" customFormat="1" ht="15.75" customHeight="1">
      <c r="A153" s="287">
        <v>135</v>
      </c>
      <c r="B153" s="933"/>
      <c r="C153" s="845"/>
      <c r="D153" s="849"/>
      <c r="E153" s="287" t="s">
        <v>201</v>
      </c>
      <c r="F153" s="209"/>
      <c r="G153" s="209"/>
      <c r="H153" s="209"/>
      <c r="I153" s="209"/>
      <c r="J153" s="209"/>
      <c r="K153" s="209"/>
      <c r="L153" s="277"/>
      <c r="M153" s="211"/>
      <c r="N153" s="211"/>
      <c r="O153" s="211"/>
      <c r="P153" s="330"/>
      <c r="Q153" s="211"/>
      <c r="R153" s="330"/>
      <c r="S153" s="211"/>
      <c r="T153" s="330"/>
      <c r="U153" s="334"/>
      <c r="V153" s="611"/>
      <c r="W153" s="7"/>
      <c r="X153" s="613"/>
      <c r="Z153" s="730"/>
      <c r="AA153" s="278"/>
      <c r="AB153" s="278"/>
      <c r="AC153" s="730"/>
      <c r="AD153" s="278"/>
      <c r="AE153" s="278"/>
      <c r="AF153" s="730"/>
      <c r="AG153" s="278"/>
      <c r="AH153" s="278"/>
      <c r="AI153" s="730"/>
      <c r="AJ153" s="278"/>
      <c r="AK153" s="278"/>
      <c r="AL153" s="211"/>
      <c r="AM153" s="265"/>
      <c r="AN153" s="211"/>
      <c r="AO153" s="259"/>
      <c r="AP153" s="265"/>
      <c r="AQ153" s="211"/>
      <c r="AR153" s="259"/>
      <c r="AS153" s="265"/>
      <c r="AT153" s="211"/>
      <c r="AU153" s="259"/>
      <c r="AV153" s="604"/>
      <c r="AW153" s="211"/>
      <c r="AX153" s="211"/>
      <c r="AY153" s="211"/>
      <c r="AZ153" s="211"/>
      <c r="BA153" s="211"/>
      <c r="BB153" s="211"/>
      <c r="BC153" s="211"/>
      <c r="BD153" s="211"/>
      <c r="BE153" s="211"/>
      <c r="BF153" s="211"/>
      <c r="BG153" s="211"/>
      <c r="BH153" s="211"/>
      <c r="BI153" s="211"/>
      <c r="BJ153" s="211"/>
      <c r="BK153" s="211"/>
      <c r="BL153" s="211"/>
      <c r="BM153" s="211"/>
      <c r="BN153" s="211"/>
      <c r="BO153" s="211"/>
      <c r="BP153" s="211"/>
      <c r="BQ153" s="211"/>
      <c r="BR153" s="211"/>
      <c r="BS153" s="211"/>
      <c r="BT153" s="211"/>
    </row>
    <row r="154" spans="1:72" s="31" customFormat="1" ht="23.25" customHeight="1" thickBot="1">
      <c r="A154" s="287">
        <v>136</v>
      </c>
      <c r="B154" s="933"/>
      <c r="C154" s="845"/>
      <c r="D154" s="849"/>
      <c r="E154" s="287" t="s">
        <v>201</v>
      </c>
      <c r="F154" s="372" t="s">
        <v>218</v>
      </c>
      <c r="G154" s="309"/>
      <c r="H154" s="309"/>
      <c r="I154" s="309"/>
      <c r="J154" s="309"/>
      <c r="K154" s="309"/>
      <c r="L154" s="216"/>
      <c r="M154" s="216"/>
      <c r="N154" s="216"/>
      <c r="O154" s="216"/>
      <c r="P154" s="331"/>
      <c r="Q154" s="216"/>
      <c r="R154" s="331"/>
      <c r="S154" s="216"/>
      <c r="T154" s="331"/>
      <c r="U154" s="334"/>
      <c r="V154" s="614"/>
      <c r="W154" s="7"/>
      <c r="X154" s="7" t="e">
        <f>Z154+AC154+AF154+AI154</f>
        <v>#REF!</v>
      </c>
      <c r="Y154" s="215"/>
      <c r="Z154" s="267" t="e">
        <f>Z152-Z150</f>
        <v>#REF!</v>
      </c>
      <c r="AA154" s="216"/>
      <c r="AB154" s="260"/>
      <c r="AC154" s="267" t="e">
        <f>AC152-AC150</f>
        <v>#REF!</v>
      </c>
      <c r="AD154" s="216"/>
      <c r="AE154" s="260"/>
      <c r="AF154" s="267" t="e">
        <f>AF152-AF150</f>
        <v>#REF!</v>
      </c>
      <c r="AG154" s="216"/>
      <c r="AH154" s="260"/>
      <c r="AI154" s="267" t="e">
        <f>AI152-AI150</f>
        <v>#REF!</v>
      </c>
      <c r="AJ154" s="216"/>
      <c r="AK154" s="260"/>
      <c r="AL154" s="216"/>
      <c r="AM154" s="266"/>
      <c r="AN154" s="216"/>
      <c r="AO154" s="260"/>
      <c r="AP154" s="266"/>
      <c r="AQ154" s="216"/>
      <c r="AR154" s="260"/>
      <c r="AS154" s="266">
        <v>0</v>
      </c>
      <c r="AT154" s="216"/>
      <c r="AU154" s="260"/>
      <c r="AV154" s="606">
        <f t="shared" si="135"/>
        <v>0</v>
      </c>
      <c r="AW154" s="216"/>
      <c r="AX154" s="216"/>
      <c r="AY154" s="216"/>
      <c r="AZ154" s="216"/>
      <c r="BA154" s="216"/>
      <c r="BB154" s="216"/>
      <c r="BC154" s="216"/>
      <c r="BD154" s="216"/>
      <c r="BE154" s="216"/>
      <c r="BF154" s="216"/>
      <c r="BG154" s="216"/>
      <c r="BH154" s="216"/>
      <c r="BI154" s="216"/>
      <c r="BJ154" s="216"/>
      <c r="BK154" s="216"/>
      <c r="BL154" s="216"/>
      <c r="BM154" s="216"/>
      <c r="BN154" s="216"/>
      <c r="BO154" s="216"/>
      <c r="BP154" s="216"/>
      <c r="BQ154" s="216"/>
      <c r="BR154" s="216"/>
      <c r="BS154" s="216"/>
      <c r="BT154" s="216"/>
    </row>
    <row r="155" spans="1:72" s="358" customFormat="1" ht="31.5" customHeight="1">
      <c r="A155" s="287">
        <v>137</v>
      </c>
      <c r="B155" s="933"/>
      <c r="C155" s="850" t="s">
        <v>377</v>
      </c>
      <c r="D155" s="838"/>
      <c r="E155" s="836" t="s">
        <v>201</v>
      </c>
      <c r="F155" s="820" t="s">
        <v>415</v>
      </c>
      <c r="G155" s="360">
        <v>5</v>
      </c>
      <c r="H155" s="360" t="s">
        <v>72</v>
      </c>
      <c r="I155" s="360">
        <v>244</v>
      </c>
      <c r="J155" s="361">
        <v>226</v>
      </c>
      <c r="K155" s="532" t="s">
        <v>15</v>
      </c>
      <c r="L155" s="551">
        <v>52833.25</v>
      </c>
      <c r="M155" s="552"/>
      <c r="N155" s="552"/>
      <c r="O155" s="552">
        <f t="shared" ref="O155:O156" si="499">L155+N155</f>
        <v>52833.25</v>
      </c>
      <c r="P155" s="569"/>
      <c r="Q155" s="551">
        <v>0</v>
      </c>
      <c r="R155" s="573"/>
      <c r="S155" s="553">
        <v>0</v>
      </c>
      <c r="T155" s="573"/>
      <c r="U155" s="365"/>
      <c r="V155" s="366"/>
      <c r="W155" s="366"/>
      <c r="X155" s="366"/>
      <c r="Z155" s="367">
        <f t="shared" ref="Z155:AA159" si="500">AW155+AY155+BA155</f>
        <v>0</v>
      </c>
      <c r="AA155" s="363">
        <f t="shared" si="500"/>
        <v>0</v>
      </c>
      <c r="AB155" s="280">
        <f t="shared" ref="AB155:AB159" si="501">Z155-AA155</f>
        <v>0</v>
      </c>
      <c r="AC155" s="367">
        <f t="shared" ref="AC155:AD159" si="502">BC155+BE155+BG155</f>
        <v>0</v>
      </c>
      <c r="AD155" s="363">
        <f t="shared" si="502"/>
        <v>0</v>
      </c>
      <c r="AE155" s="280">
        <f t="shared" ref="AE155:AE159" si="503">AC155-AD155</f>
        <v>0</v>
      </c>
      <c r="AF155" s="367">
        <f t="shared" ref="AF155:AG159" si="504">BI155+BK155+BM155</f>
        <v>0</v>
      </c>
      <c r="AG155" s="363">
        <f t="shared" si="504"/>
        <v>0</v>
      </c>
      <c r="AH155" s="280">
        <f t="shared" ref="AH155:AH159" si="505">AF155-AG155</f>
        <v>0</v>
      </c>
      <c r="AI155" s="367">
        <f t="shared" ref="AI155:AJ159" si="506">BO155+BQ155+BS155</f>
        <v>52833.25</v>
      </c>
      <c r="AJ155" s="363">
        <f t="shared" si="506"/>
        <v>0</v>
      </c>
      <c r="AK155" s="280">
        <f t="shared" ref="AK155:AK159" si="507">AI155-AJ155</f>
        <v>52833.25</v>
      </c>
      <c r="AL155" s="368"/>
      <c r="AM155" s="367">
        <f t="shared" ref="AM155:AN159" si="508">Z155+AC155</f>
        <v>0</v>
      </c>
      <c r="AN155" s="363">
        <f t="shared" si="508"/>
        <v>0</v>
      </c>
      <c r="AO155" s="280">
        <f t="shared" ref="AO155:AO159" si="509">AM155-AN155</f>
        <v>0</v>
      </c>
      <c r="AP155" s="367">
        <f t="shared" ref="AP155:AQ159" si="510">Z155+AC155+AF155</f>
        <v>0</v>
      </c>
      <c r="AQ155" s="363">
        <f t="shared" si="510"/>
        <v>0</v>
      </c>
      <c r="AR155" s="280">
        <f t="shared" ref="AR155:AR159" si="511">AP155-AQ155</f>
        <v>0</v>
      </c>
      <c r="AS155" s="367">
        <f t="shared" ref="AS155:AT159" si="512">Z155+AC155+AF155+AI155</f>
        <v>52833.25</v>
      </c>
      <c r="AT155" s="363">
        <f t="shared" si="512"/>
        <v>0</v>
      </c>
      <c r="AU155" s="280">
        <f t="shared" ref="AU155:AU159" si="513">AS155-AT155</f>
        <v>52833.25</v>
      </c>
      <c r="AV155" s="588">
        <f t="shared" si="135"/>
        <v>0</v>
      </c>
      <c r="AW155" s="367">
        <f t="shared" ref="AW155:BT155" si="514">SUM(AW156:AW156)</f>
        <v>0</v>
      </c>
      <c r="AX155" s="363">
        <f t="shared" si="514"/>
        <v>0</v>
      </c>
      <c r="AY155" s="363">
        <f t="shared" si="514"/>
        <v>0</v>
      </c>
      <c r="AZ155" s="363">
        <f t="shared" si="514"/>
        <v>0</v>
      </c>
      <c r="BA155" s="363">
        <f t="shared" si="514"/>
        <v>0</v>
      </c>
      <c r="BB155" s="369">
        <f t="shared" si="514"/>
        <v>0</v>
      </c>
      <c r="BC155" s="367">
        <f t="shared" si="514"/>
        <v>0</v>
      </c>
      <c r="BD155" s="363">
        <f t="shared" si="514"/>
        <v>0</v>
      </c>
      <c r="BE155" s="363">
        <f t="shared" si="514"/>
        <v>0</v>
      </c>
      <c r="BF155" s="363">
        <f t="shared" si="514"/>
        <v>0</v>
      </c>
      <c r="BG155" s="363">
        <f t="shared" si="514"/>
        <v>0</v>
      </c>
      <c r="BH155" s="369">
        <f t="shared" si="514"/>
        <v>0</v>
      </c>
      <c r="BI155" s="367">
        <f t="shared" si="514"/>
        <v>0</v>
      </c>
      <c r="BJ155" s="363">
        <f t="shared" si="514"/>
        <v>0</v>
      </c>
      <c r="BK155" s="363">
        <f t="shared" si="514"/>
        <v>0</v>
      </c>
      <c r="BL155" s="363">
        <f t="shared" si="514"/>
        <v>0</v>
      </c>
      <c r="BM155" s="363">
        <f t="shared" si="514"/>
        <v>0</v>
      </c>
      <c r="BN155" s="369">
        <f t="shared" si="514"/>
        <v>0</v>
      </c>
      <c r="BO155" s="367">
        <f t="shared" si="514"/>
        <v>52833.25</v>
      </c>
      <c r="BP155" s="363">
        <f t="shared" si="514"/>
        <v>0</v>
      </c>
      <c r="BQ155" s="363">
        <f t="shared" si="514"/>
        <v>0</v>
      </c>
      <c r="BR155" s="363">
        <f t="shared" si="514"/>
        <v>0</v>
      </c>
      <c r="BS155" s="363">
        <f t="shared" si="514"/>
        <v>0</v>
      </c>
      <c r="BT155" s="280">
        <f t="shared" si="514"/>
        <v>0</v>
      </c>
    </row>
    <row r="156" spans="1:72" s="313" customFormat="1" ht="38.25" outlineLevel="1">
      <c r="A156" s="287">
        <v>138</v>
      </c>
      <c r="B156" s="933"/>
      <c r="C156" s="840"/>
      <c r="D156" s="841"/>
      <c r="E156" s="839"/>
      <c r="F156" s="821" t="s">
        <v>415</v>
      </c>
      <c r="G156" s="314">
        <v>5</v>
      </c>
      <c r="H156" s="739" t="s">
        <v>72</v>
      </c>
      <c r="I156" s="739">
        <v>244</v>
      </c>
      <c r="J156" s="740">
        <v>226</v>
      </c>
      <c r="K156" s="533" t="s">
        <v>367</v>
      </c>
      <c r="L156" s="341">
        <v>52833.25</v>
      </c>
      <c r="M156" s="318"/>
      <c r="N156" s="318"/>
      <c r="O156" s="318">
        <f t="shared" si="499"/>
        <v>52833.25</v>
      </c>
      <c r="P156" s="570"/>
      <c r="Q156" s="336">
        <v>0</v>
      </c>
      <c r="R156" s="559"/>
      <c r="S156" s="541">
        <v>0</v>
      </c>
      <c r="T156" s="559"/>
      <c r="U156" s="335"/>
      <c r="V156" s="320" t="s">
        <v>358</v>
      </c>
      <c r="W156" s="388" t="s">
        <v>359</v>
      </c>
      <c r="X156" s="388" t="s">
        <v>360</v>
      </c>
      <c r="Z156" s="336">
        <f>AW156+AY156+BA156</f>
        <v>0</v>
      </c>
      <c r="AA156" s="337">
        <f>AX156+AZ156+BB156</f>
        <v>0</v>
      </c>
      <c r="AB156" s="338">
        <f>Z156-AA156</f>
        <v>0</v>
      </c>
      <c r="AC156" s="336">
        <f>BC156+BE156+BG156</f>
        <v>0</v>
      </c>
      <c r="AD156" s="337">
        <f>BD156+BF156+BH156</f>
        <v>0</v>
      </c>
      <c r="AE156" s="338">
        <f>AC156-AD156</f>
        <v>0</v>
      </c>
      <c r="AF156" s="336">
        <f>BI156+BK156+BM156</f>
        <v>0</v>
      </c>
      <c r="AG156" s="337">
        <f>BJ156+BL156+BN156</f>
        <v>0</v>
      </c>
      <c r="AH156" s="338">
        <f>AF156-AG156</f>
        <v>0</v>
      </c>
      <c r="AI156" s="336">
        <f>BO156+BQ156+BS156</f>
        <v>52833.25</v>
      </c>
      <c r="AJ156" s="337">
        <f>BP156+BR156+BT156</f>
        <v>0</v>
      </c>
      <c r="AK156" s="338">
        <f>AI156-AJ156</f>
        <v>52833.25</v>
      </c>
      <c r="AL156" s="342"/>
      <c r="AM156" s="336">
        <f>Z156+AC156</f>
        <v>0</v>
      </c>
      <c r="AN156" s="339">
        <f>AA156+AD156</f>
        <v>0</v>
      </c>
      <c r="AO156" s="340">
        <f>AM156-AN156</f>
        <v>0</v>
      </c>
      <c r="AP156" s="336">
        <f>Z156+AC156+AF156</f>
        <v>0</v>
      </c>
      <c r="AQ156" s="339">
        <f>AA156+AD156+AG156</f>
        <v>0</v>
      </c>
      <c r="AR156" s="340">
        <f>AP156-AQ156</f>
        <v>0</v>
      </c>
      <c r="AS156" s="341">
        <f>Z156+AC156+AF156+AI156</f>
        <v>52833.25</v>
      </c>
      <c r="AT156" s="339">
        <f>AA156+AD156+AG156+AJ156</f>
        <v>0</v>
      </c>
      <c r="AU156" s="340">
        <f>AS156-AT156</f>
        <v>52833.25</v>
      </c>
      <c r="AV156" s="589">
        <f t="shared" si="135"/>
        <v>0</v>
      </c>
      <c r="AW156" s="343"/>
      <c r="AX156" s="344"/>
      <c r="AY156" s="345"/>
      <c r="AZ156" s="344"/>
      <c r="BA156" s="345"/>
      <c r="BB156" s="346"/>
      <c r="BC156" s="347"/>
      <c r="BD156" s="348"/>
      <c r="BE156" s="349"/>
      <c r="BF156" s="348"/>
      <c r="BG156" s="349"/>
      <c r="BH156" s="350"/>
      <c r="BI156" s="351"/>
      <c r="BJ156" s="352"/>
      <c r="BK156" s="337"/>
      <c r="BL156" s="352"/>
      <c r="BM156" s="337"/>
      <c r="BN156" s="353"/>
      <c r="BO156" s="354">
        <v>52833.25</v>
      </c>
      <c r="BP156" s="355"/>
      <c r="BQ156" s="356"/>
      <c r="BR156" s="355"/>
      <c r="BS156" s="356"/>
      <c r="BT156" s="357"/>
    </row>
    <row r="157" spans="1:72" s="31" customFormat="1" ht="15.75">
      <c r="A157" s="287">
        <v>139</v>
      </c>
      <c r="B157" s="933"/>
      <c r="C157" s="845"/>
      <c r="D157" s="849"/>
      <c r="E157" s="287" t="s">
        <v>201</v>
      </c>
      <c r="F157" s="521"/>
      <c r="G157" s="521"/>
      <c r="H157" s="521"/>
      <c r="I157" s="521"/>
      <c r="J157" s="521"/>
      <c r="K157" s="868" t="s">
        <v>17</v>
      </c>
      <c r="L157" s="264">
        <f>SUM(L155)</f>
        <v>52833.25</v>
      </c>
      <c r="M157" s="13">
        <f>SUM(M155)</f>
        <v>0</v>
      </c>
      <c r="N157" s="13">
        <f>SUM(N155)</f>
        <v>0</v>
      </c>
      <c r="O157" s="13">
        <f t="shared" ref="O157:S157" si="515">SUM(O155)</f>
        <v>52833.25</v>
      </c>
      <c r="P157" s="13">
        <f t="shared" si="515"/>
        <v>0</v>
      </c>
      <c r="Q157" s="13">
        <f t="shared" si="515"/>
        <v>0</v>
      </c>
      <c r="R157" s="13">
        <f t="shared" si="515"/>
        <v>0</v>
      </c>
      <c r="S157" s="13">
        <f t="shared" si="515"/>
        <v>0</v>
      </c>
      <c r="T157" s="559">
        <f>SUM(T155)</f>
        <v>0</v>
      </c>
      <c r="U157" s="334"/>
      <c r="V157" s="7"/>
      <c r="W157" s="7"/>
      <c r="X157" s="7"/>
      <c r="Z157" s="264">
        <f t="shared" ref="Z157:AK157" si="516">SUM(Z155)</f>
        <v>0</v>
      </c>
      <c r="AA157" s="254">
        <f t="shared" si="516"/>
        <v>0</v>
      </c>
      <c r="AB157" s="270">
        <f t="shared" si="516"/>
        <v>0</v>
      </c>
      <c r="AC157" s="264">
        <f t="shared" si="516"/>
        <v>0</v>
      </c>
      <c r="AD157" s="254">
        <f t="shared" si="516"/>
        <v>0</v>
      </c>
      <c r="AE157" s="270">
        <f t="shared" si="516"/>
        <v>0</v>
      </c>
      <c r="AF157" s="264">
        <f t="shared" si="516"/>
        <v>0</v>
      </c>
      <c r="AG157" s="254">
        <f t="shared" si="516"/>
        <v>0</v>
      </c>
      <c r="AH157" s="270">
        <f t="shared" si="516"/>
        <v>0</v>
      </c>
      <c r="AI157" s="264">
        <f t="shared" si="516"/>
        <v>52833.25</v>
      </c>
      <c r="AJ157" s="254">
        <f t="shared" si="516"/>
        <v>0</v>
      </c>
      <c r="AK157" s="270">
        <f t="shared" si="516"/>
        <v>52833.25</v>
      </c>
      <c r="AL157" s="278"/>
      <c r="AM157" s="264">
        <f t="shared" si="508"/>
        <v>0</v>
      </c>
      <c r="AN157" s="248">
        <f t="shared" si="508"/>
        <v>0</v>
      </c>
      <c r="AO157" s="281">
        <f t="shared" si="509"/>
        <v>0</v>
      </c>
      <c r="AP157" s="264">
        <f t="shared" si="510"/>
        <v>0</v>
      </c>
      <c r="AQ157" s="248">
        <f t="shared" si="510"/>
        <v>0</v>
      </c>
      <c r="AR157" s="281">
        <f t="shared" si="511"/>
        <v>0</v>
      </c>
      <c r="AS157" s="263">
        <f t="shared" si="512"/>
        <v>52833.25</v>
      </c>
      <c r="AT157" s="248">
        <f t="shared" si="512"/>
        <v>0</v>
      </c>
      <c r="AU157" s="281">
        <f t="shared" si="513"/>
        <v>52833.25</v>
      </c>
      <c r="AV157" s="604">
        <f t="shared" si="135"/>
        <v>0</v>
      </c>
      <c r="AW157" s="278"/>
      <c r="AX157" s="278"/>
      <c r="AY157" s="278"/>
      <c r="AZ157" s="278"/>
      <c r="BA157" s="278"/>
      <c r="BB157" s="278"/>
      <c r="BC157" s="278"/>
      <c r="BD157" s="278"/>
      <c r="BE157" s="278"/>
      <c r="BF157" s="278"/>
      <c r="BG157" s="278"/>
      <c r="BH157" s="278"/>
      <c r="BI157" s="278"/>
      <c r="BJ157" s="278"/>
      <c r="BK157" s="278"/>
      <c r="BL157" s="278"/>
      <c r="BM157" s="278"/>
      <c r="BN157" s="278"/>
      <c r="BO157" s="278"/>
      <c r="BP157" s="278"/>
      <c r="BQ157" s="278"/>
      <c r="BR157" s="278"/>
      <c r="BS157" s="278"/>
      <c r="BT157" s="278"/>
    </row>
    <row r="158" spans="1:72" s="31" customFormat="1" ht="16.5" customHeight="1" thickBot="1">
      <c r="A158" s="287">
        <v>140</v>
      </c>
      <c r="B158" s="933"/>
      <c r="C158" s="845"/>
      <c r="D158" s="849"/>
      <c r="E158" s="287" t="s">
        <v>201</v>
      </c>
      <c r="F158" s="521"/>
      <c r="G158" s="521"/>
      <c r="H158" s="521"/>
      <c r="I158" s="521"/>
      <c r="J158" s="521"/>
      <c r="K158" s="868" t="s">
        <v>21</v>
      </c>
      <c r="L158" s="545">
        <f t="shared" ref="L158:S158" si="517">L150+L157</f>
        <v>50574992.890000001</v>
      </c>
      <c r="M158" s="546">
        <f t="shared" si="517"/>
        <v>0</v>
      </c>
      <c r="N158" s="546">
        <f t="shared" si="517"/>
        <v>0</v>
      </c>
      <c r="O158" s="546">
        <f t="shared" si="517"/>
        <v>50574992.890000001</v>
      </c>
      <c r="P158" s="572">
        <f t="shared" si="517"/>
        <v>17681355.059999999</v>
      </c>
      <c r="Q158" s="545">
        <f t="shared" si="517"/>
        <v>42206072.039999999</v>
      </c>
      <c r="R158" s="545">
        <f t="shared" si="517"/>
        <v>0</v>
      </c>
      <c r="S158" s="545">
        <f t="shared" si="517"/>
        <v>41798874.439999998</v>
      </c>
      <c r="T158" s="568">
        <f>T150+T157</f>
        <v>0</v>
      </c>
      <c r="U158" s="334"/>
      <c r="V158" s="7"/>
      <c r="W158" s="7"/>
      <c r="X158" s="7"/>
      <c r="Z158" s="263" t="e">
        <f t="shared" ref="Z158:AK158" si="518">Z150+Z157</f>
        <v>#REF!</v>
      </c>
      <c r="AA158" s="253" t="e">
        <f t="shared" si="518"/>
        <v>#REF!</v>
      </c>
      <c r="AB158" s="269" t="e">
        <f t="shared" si="518"/>
        <v>#REF!</v>
      </c>
      <c r="AC158" s="263" t="e">
        <f t="shared" si="518"/>
        <v>#REF!</v>
      </c>
      <c r="AD158" s="253" t="e">
        <f t="shared" si="518"/>
        <v>#REF!</v>
      </c>
      <c r="AE158" s="269" t="e">
        <f t="shared" si="518"/>
        <v>#REF!</v>
      </c>
      <c r="AF158" s="263" t="e">
        <f t="shared" si="518"/>
        <v>#REF!</v>
      </c>
      <c r="AG158" s="253" t="e">
        <f t="shared" si="518"/>
        <v>#REF!</v>
      </c>
      <c r="AH158" s="269" t="e">
        <f t="shared" si="518"/>
        <v>#REF!</v>
      </c>
      <c r="AI158" s="263" t="e">
        <f t="shared" si="518"/>
        <v>#REF!</v>
      </c>
      <c r="AJ158" s="253" t="e">
        <f t="shared" si="518"/>
        <v>#REF!</v>
      </c>
      <c r="AK158" s="269" t="e">
        <f t="shared" si="518"/>
        <v>#REF!</v>
      </c>
      <c r="AL158" s="210"/>
      <c r="AM158" s="263" t="e">
        <f t="shared" si="508"/>
        <v>#REF!</v>
      </c>
      <c r="AN158" s="247" t="e">
        <f t="shared" si="508"/>
        <v>#REF!</v>
      </c>
      <c r="AO158" s="280" t="e">
        <f t="shared" si="509"/>
        <v>#REF!</v>
      </c>
      <c r="AP158" s="263" t="e">
        <f t="shared" si="510"/>
        <v>#REF!</v>
      </c>
      <c r="AQ158" s="247" t="e">
        <f t="shared" si="510"/>
        <v>#REF!</v>
      </c>
      <c r="AR158" s="280" t="e">
        <f t="shared" si="511"/>
        <v>#REF!</v>
      </c>
      <c r="AS158" s="263" t="e">
        <f t="shared" si="512"/>
        <v>#REF!</v>
      </c>
      <c r="AT158" s="247" t="e">
        <f t="shared" si="512"/>
        <v>#REF!</v>
      </c>
      <c r="AU158" s="280" t="e">
        <f t="shared" si="513"/>
        <v>#REF!</v>
      </c>
      <c r="AV158" s="607" t="e">
        <f t="shared" si="135"/>
        <v>#REF!</v>
      </c>
      <c r="AW158" s="210"/>
      <c r="AX158" s="210"/>
      <c r="AY158" s="210"/>
      <c r="AZ158" s="210"/>
      <c r="BA158" s="210"/>
      <c r="BB158" s="210"/>
      <c r="BC158" s="210"/>
      <c r="BD158" s="210"/>
      <c r="BE158" s="210"/>
      <c r="BF158" s="210"/>
      <c r="BG158" s="210"/>
      <c r="BH158" s="210"/>
      <c r="BI158" s="210"/>
      <c r="BJ158" s="210"/>
      <c r="BK158" s="210"/>
      <c r="BL158" s="210"/>
      <c r="BM158" s="210"/>
      <c r="BN158" s="210"/>
      <c r="BO158" s="210"/>
      <c r="BP158" s="210"/>
      <c r="BQ158" s="210"/>
      <c r="BR158" s="210"/>
      <c r="BS158" s="210"/>
      <c r="BT158" s="210"/>
    </row>
    <row r="159" spans="1:72" s="31" customFormat="1" ht="16.5" customHeight="1">
      <c r="A159" s="287">
        <v>141</v>
      </c>
      <c r="B159" s="933"/>
      <c r="C159" s="845"/>
      <c r="D159" s="849"/>
      <c r="E159" s="287"/>
      <c r="F159" s="310"/>
      <c r="G159" s="310"/>
      <c r="H159" s="310"/>
      <c r="I159" s="310"/>
      <c r="J159" s="310"/>
      <c r="K159" s="209" t="s">
        <v>204</v>
      </c>
      <c r="L159" s="277">
        <v>50574992.890000001</v>
      </c>
      <c r="M159" s="210"/>
      <c r="N159" s="210"/>
      <c r="O159" s="210"/>
      <c r="P159" s="330"/>
      <c r="Q159" s="277">
        <v>42206072.039999999</v>
      </c>
      <c r="R159" s="808">
        <v>0</v>
      </c>
      <c r="S159" s="277">
        <v>41798874.439999998</v>
      </c>
      <c r="T159" s="330"/>
      <c r="U159" s="334"/>
      <c r="V159" s="7"/>
      <c r="W159" s="7"/>
      <c r="X159" s="7"/>
      <c r="Z159" s="267">
        <f t="shared" si="500"/>
        <v>0</v>
      </c>
      <c r="AA159" s="256">
        <f t="shared" si="500"/>
        <v>0</v>
      </c>
      <c r="AB159" s="272">
        <f t="shared" si="501"/>
        <v>0</v>
      </c>
      <c r="AC159" s="267">
        <f t="shared" si="502"/>
        <v>0</v>
      </c>
      <c r="AD159" s="256">
        <f t="shared" si="502"/>
        <v>0</v>
      </c>
      <c r="AE159" s="272">
        <f t="shared" si="503"/>
        <v>0</v>
      </c>
      <c r="AF159" s="267">
        <f t="shared" si="504"/>
        <v>0</v>
      </c>
      <c r="AG159" s="256">
        <f t="shared" si="504"/>
        <v>0</v>
      </c>
      <c r="AH159" s="272">
        <f t="shared" si="505"/>
        <v>0</v>
      </c>
      <c r="AI159" s="267">
        <f t="shared" si="506"/>
        <v>0</v>
      </c>
      <c r="AJ159" s="256">
        <f t="shared" si="506"/>
        <v>0</v>
      </c>
      <c r="AK159" s="272">
        <f t="shared" si="507"/>
        <v>0</v>
      </c>
      <c r="AL159" s="210"/>
      <c r="AM159" s="267">
        <f t="shared" si="508"/>
        <v>0</v>
      </c>
      <c r="AN159" s="250">
        <f t="shared" si="508"/>
        <v>0</v>
      </c>
      <c r="AO159" s="283">
        <f t="shared" si="509"/>
        <v>0</v>
      </c>
      <c r="AP159" s="267">
        <f t="shared" si="510"/>
        <v>0</v>
      </c>
      <c r="AQ159" s="250">
        <f t="shared" si="510"/>
        <v>0</v>
      </c>
      <c r="AR159" s="283">
        <f t="shared" si="511"/>
        <v>0</v>
      </c>
      <c r="AS159" s="267">
        <f t="shared" si="512"/>
        <v>0</v>
      </c>
      <c r="AT159" s="250">
        <f t="shared" si="512"/>
        <v>0</v>
      </c>
      <c r="AU159" s="283">
        <f t="shared" si="513"/>
        <v>0</v>
      </c>
      <c r="AV159" s="607"/>
      <c r="AW159" s="210"/>
      <c r="AX159" s="210"/>
      <c r="AY159" s="210"/>
      <c r="AZ159" s="210"/>
      <c r="BA159" s="210"/>
      <c r="BB159" s="210"/>
      <c r="BC159" s="210"/>
      <c r="BD159" s="210"/>
      <c r="BE159" s="210"/>
      <c r="BF159" s="210"/>
      <c r="BG159" s="210"/>
      <c r="BH159" s="210"/>
      <c r="BI159" s="210"/>
      <c r="BJ159" s="210"/>
      <c r="BK159" s="210"/>
      <c r="BL159" s="210"/>
      <c r="BM159" s="210"/>
      <c r="BN159" s="210"/>
      <c r="BO159" s="210"/>
      <c r="BP159" s="210"/>
      <c r="BQ159" s="210"/>
      <c r="BR159" s="210"/>
      <c r="BS159" s="210"/>
      <c r="BT159" s="210"/>
    </row>
    <row r="160" spans="1:72" s="31" customFormat="1" ht="16.5" customHeight="1">
      <c r="A160" s="287">
        <v>142</v>
      </c>
      <c r="B160" s="933"/>
      <c r="C160" s="845"/>
      <c r="D160" s="849"/>
      <c r="E160" s="287"/>
      <c r="F160" s="310"/>
      <c r="G160" s="310"/>
      <c r="H160" s="310"/>
      <c r="I160" s="310"/>
      <c r="J160" s="310"/>
      <c r="K160" s="209" t="s">
        <v>368</v>
      </c>
      <c r="L160" s="277">
        <f>L159-L158</f>
        <v>0</v>
      </c>
      <c r="M160" s="277"/>
      <c r="N160" s="277"/>
      <c r="O160" s="277"/>
      <c r="P160" s="277">
        <f t="shared" ref="P160:R160" si="519">P159-P158</f>
        <v>-17681355.059999999</v>
      </c>
      <c r="Q160" s="277">
        <f t="shared" si="519"/>
        <v>0</v>
      </c>
      <c r="R160" s="277">
        <f t="shared" si="519"/>
        <v>0</v>
      </c>
      <c r="S160" s="277">
        <f>S159-S158</f>
        <v>0</v>
      </c>
      <c r="T160" s="330"/>
      <c r="U160" s="334"/>
      <c r="V160" s="7"/>
      <c r="W160" s="7"/>
      <c r="X160" s="7"/>
      <c r="Z160" s="267"/>
      <c r="AA160" s="256"/>
      <c r="AB160" s="272"/>
      <c r="AC160" s="267"/>
      <c r="AD160" s="256"/>
      <c r="AE160" s="272"/>
      <c r="AF160" s="267"/>
      <c r="AG160" s="256"/>
      <c r="AH160" s="272"/>
      <c r="AI160" s="267"/>
      <c r="AJ160" s="256"/>
      <c r="AK160" s="272"/>
      <c r="AL160" s="210"/>
      <c r="AM160" s="267"/>
      <c r="AN160" s="250"/>
      <c r="AO160" s="283"/>
      <c r="AP160" s="267"/>
      <c r="AQ160" s="250"/>
      <c r="AR160" s="283"/>
      <c r="AS160" s="267"/>
      <c r="AT160" s="250"/>
      <c r="AU160" s="283"/>
      <c r="AV160" s="607"/>
      <c r="AW160" s="210"/>
      <c r="AX160" s="210"/>
      <c r="AY160" s="210"/>
      <c r="AZ160" s="210"/>
      <c r="BA160" s="210"/>
      <c r="BB160" s="210"/>
      <c r="BC160" s="210"/>
      <c r="BD160" s="210"/>
      <c r="BE160" s="210"/>
      <c r="BF160" s="210"/>
      <c r="BG160" s="210"/>
      <c r="BH160" s="210"/>
      <c r="BI160" s="210"/>
      <c r="BJ160" s="210"/>
      <c r="BK160" s="210"/>
      <c r="BL160" s="210"/>
      <c r="BM160" s="210"/>
      <c r="BN160" s="210"/>
      <c r="BO160" s="210"/>
      <c r="BP160" s="210"/>
      <c r="BQ160" s="210"/>
      <c r="BR160" s="210"/>
      <c r="BS160" s="210"/>
      <c r="BT160" s="210"/>
    </row>
    <row r="161" spans="1:72" s="31" customFormat="1" ht="16.5" customHeight="1">
      <c r="A161" s="287">
        <v>143</v>
      </c>
      <c r="B161" s="933"/>
      <c r="C161" s="845"/>
      <c r="D161" s="849"/>
      <c r="E161" s="287" t="s">
        <v>201</v>
      </c>
      <c r="F161" s="310"/>
      <c r="G161" s="310"/>
      <c r="H161" s="310"/>
      <c r="I161" s="310"/>
      <c r="J161" s="310"/>
      <c r="K161" s="209"/>
      <c r="L161" s="277"/>
      <c r="M161" s="277"/>
      <c r="N161" s="277"/>
      <c r="O161" s="277"/>
      <c r="P161" s="277"/>
      <c r="Q161" s="277"/>
      <c r="R161" s="277"/>
      <c r="S161" s="277"/>
      <c r="T161" s="330"/>
      <c r="U161" s="334"/>
      <c r="V161" s="7"/>
      <c r="W161" s="7"/>
      <c r="X161" s="7"/>
      <c r="Z161" s="267"/>
      <c r="AA161" s="256"/>
      <c r="AB161" s="272"/>
      <c r="AC161" s="267"/>
      <c r="AD161" s="256"/>
      <c r="AE161" s="272"/>
      <c r="AF161" s="267"/>
      <c r="AG161" s="256"/>
      <c r="AH161" s="272"/>
      <c r="AI161" s="267"/>
      <c r="AJ161" s="256"/>
      <c r="AK161" s="272"/>
      <c r="AL161" s="210"/>
      <c r="AM161" s="267"/>
      <c r="AN161" s="250"/>
      <c r="AO161" s="283"/>
      <c r="AP161" s="267"/>
      <c r="AQ161" s="250"/>
      <c r="AR161" s="283"/>
      <c r="AS161" s="267"/>
      <c r="AT161" s="250"/>
      <c r="AU161" s="283"/>
      <c r="AV161" s="607"/>
      <c r="AW161" s="210"/>
      <c r="AX161" s="210"/>
      <c r="AY161" s="210"/>
      <c r="AZ161" s="210"/>
      <c r="BA161" s="210"/>
      <c r="BB161" s="210"/>
      <c r="BC161" s="210"/>
      <c r="BD161" s="210"/>
      <c r="BE161" s="210"/>
      <c r="BF161" s="210"/>
      <c r="BG161" s="210"/>
      <c r="BH161" s="210"/>
      <c r="BI161" s="210"/>
      <c r="BJ161" s="210"/>
      <c r="BK161" s="210"/>
      <c r="BL161" s="210"/>
      <c r="BM161" s="210"/>
      <c r="BN161" s="210"/>
      <c r="BO161" s="210"/>
      <c r="BP161" s="210"/>
      <c r="BQ161" s="210"/>
      <c r="BR161" s="210"/>
      <c r="BS161" s="210"/>
      <c r="BT161" s="210"/>
    </row>
    <row r="162" spans="1:72" s="31" customFormat="1" ht="21" thickBot="1">
      <c r="A162" s="287">
        <v>144</v>
      </c>
      <c r="B162" s="933"/>
      <c r="C162" s="845"/>
      <c r="D162" s="849"/>
      <c r="E162" s="287" t="s">
        <v>201</v>
      </c>
      <c r="F162" s="371" t="s">
        <v>217</v>
      </c>
      <c r="G162" s="311"/>
      <c r="H162" s="311"/>
      <c r="I162" s="311"/>
      <c r="J162" s="311"/>
      <c r="K162" s="311"/>
      <c r="L162" s="216"/>
      <c r="M162" s="216"/>
      <c r="N162" s="216"/>
      <c r="O162" s="216"/>
      <c r="P162" s="331"/>
      <c r="Q162" s="216"/>
      <c r="R162" s="331"/>
      <c r="S162" s="216"/>
      <c r="T162" s="331"/>
      <c r="U162" s="334"/>
      <c r="V162" s="7"/>
      <c r="W162" s="7"/>
      <c r="X162" s="7"/>
      <c r="Z162" s="266"/>
      <c r="AA162" s="255"/>
      <c r="AB162" s="271"/>
      <c r="AC162" s="266"/>
      <c r="AD162" s="255"/>
      <c r="AE162" s="271"/>
      <c r="AF162" s="266"/>
      <c r="AG162" s="255"/>
      <c r="AH162" s="271"/>
      <c r="AI162" s="266"/>
      <c r="AJ162" s="255"/>
      <c r="AK162" s="271"/>
      <c r="AL162" s="216"/>
      <c r="AM162" s="266"/>
      <c r="AN162" s="249"/>
      <c r="AO162" s="282"/>
      <c r="AP162" s="266"/>
      <c r="AQ162" s="249"/>
      <c r="AR162" s="282">
        <f t="shared" ref="AR162:AR245" si="520">AP162-AQ162</f>
        <v>0</v>
      </c>
      <c r="AS162" s="266">
        <f t="shared" ref="AS162:AT182" si="521">Z162+AC162+AF162+AI162</f>
        <v>0</v>
      </c>
      <c r="AT162" s="249">
        <f t="shared" si="521"/>
        <v>0</v>
      </c>
      <c r="AU162" s="282">
        <f t="shared" ref="AU162:AU245" si="522">AS162-AT162</f>
        <v>0</v>
      </c>
      <c r="AV162" s="606">
        <f t="shared" ref="AV162:AV183" si="523">L162-AS162</f>
        <v>0</v>
      </c>
      <c r="AW162" s="216"/>
      <c r="AX162" s="216"/>
      <c r="AY162" s="216"/>
      <c r="AZ162" s="216"/>
      <c r="BA162" s="216"/>
      <c r="BB162" s="216"/>
      <c r="BC162" s="216"/>
      <c r="BD162" s="216"/>
      <c r="BE162" s="216"/>
      <c r="BF162" s="216"/>
      <c r="BG162" s="216"/>
      <c r="BH162" s="216"/>
      <c r="BI162" s="216"/>
      <c r="BJ162" s="216"/>
      <c r="BK162" s="216"/>
      <c r="BL162" s="216"/>
      <c r="BM162" s="216"/>
      <c r="BN162" s="216"/>
      <c r="BO162" s="216"/>
      <c r="BP162" s="216"/>
      <c r="BQ162" s="216"/>
      <c r="BR162" s="216"/>
      <c r="BS162" s="216"/>
      <c r="BT162" s="216"/>
    </row>
    <row r="163" spans="1:72" s="512" customFormat="1" ht="31.5">
      <c r="A163" s="287">
        <v>145</v>
      </c>
      <c r="B163" s="933"/>
      <c r="C163" s="863"/>
      <c r="D163" s="864"/>
      <c r="E163" s="865" t="s">
        <v>201</v>
      </c>
      <c r="F163" s="831" t="s">
        <v>23</v>
      </c>
      <c r="G163" s="514">
        <v>2</v>
      </c>
      <c r="H163" s="514" t="s">
        <v>69</v>
      </c>
      <c r="I163" s="514">
        <v>111</v>
      </c>
      <c r="J163" s="515">
        <v>211</v>
      </c>
      <c r="K163" s="555" t="s">
        <v>8</v>
      </c>
      <c r="L163" s="580">
        <f>4950667.96+M163</f>
        <v>5063110.87</v>
      </c>
      <c r="M163" s="581">
        <v>112442.91</v>
      </c>
      <c r="N163" s="581"/>
      <c r="O163" s="581">
        <f t="shared" ref="O163:O243" si="524">L163+N163</f>
        <v>5063110.87</v>
      </c>
      <c r="P163" s="582"/>
      <c r="Q163" s="580">
        <v>4950667.96</v>
      </c>
      <c r="R163" s="583"/>
      <c r="S163" s="584">
        <v>4950667.96</v>
      </c>
      <c r="T163" s="574"/>
      <c r="U163" s="516"/>
      <c r="V163" s="517"/>
      <c r="W163" s="517"/>
      <c r="X163" s="517"/>
      <c r="Z163" s="518">
        <f t="shared" ref="Z163:AA182" si="525">AW163+AY163+BA163</f>
        <v>4950667.96</v>
      </c>
      <c r="AA163" s="251">
        <f t="shared" si="525"/>
        <v>0</v>
      </c>
      <c r="AB163" s="519">
        <f t="shared" ref="AB163:AB243" si="526">Z163-AA163</f>
        <v>4950667.96</v>
      </c>
      <c r="AC163" s="518">
        <f t="shared" ref="AC163:AD182" si="527">BC163+BE163+BG163</f>
        <v>0</v>
      </c>
      <c r="AD163" s="251">
        <f t="shared" si="527"/>
        <v>0</v>
      </c>
      <c r="AE163" s="519">
        <f t="shared" ref="AE163:AE243" si="528">AC163-AD163</f>
        <v>0</v>
      </c>
      <c r="AF163" s="518">
        <f t="shared" ref="AF163:AG182" si="529">BI163+BK163+BM163</f>
        <v>0</v>
      </c>
      <c r="AG163" s="251">
        <f t="shared" si="529"/>
        <v>0</v>
      </c>
      <c r="AH163" s="519">
        <f t="shared" ref="AH163:AH243" si="530">AF163-AG163</f>
        <v>0</v>
      </c>
      <c r="AI163" s="518">
        <f t="shared" ref="AI163:AJ182" si="531">BO163+BQ163+BS163</f>
        <v>0</v>
      </c>
      <c r="AJ163" s="251">
        <f t="shared" si="531"/>
        <v>0</v>
      </c>
      <c r="AK163" s="519">
        <f t="shared" ref="AK163:AK243" si="532">AI163-AJ163</f>
        <v>0</v>
      </c>
      <c r="AL163" s="520"/>
      <c r="AM163" s="518">
        <f t="shared" ref="AM163:AN182" si="533">Z163+AC163</f>
        <v>4950667.96</v>
      </c>
      <c r="AN163" s="251">
        <f t="shared" si="533"/>
        <v>0</v>
      </c>
      <c r="AO163" s="519">
        <f t="shared" ref="AO163:AO245" si="534">AM163-AN163</f>
        <v>4950667.96</v>
      </c>
      <c r="AP163" s="518">
        <f t="shared" ref="AP163:AQ182" si="535">Z163+AC163+AF163</f>
        <v>4950667.96</v>
      </c>
      <c r="AQ163" s="251">
        <f t="shared" si="535"/>
        <v>0</v>
      </c>
      <c r="AR163" s="519">
        <f t="shared" si="520"/>
        <v>4950667.96</v>
      </c>
      <c r="AS163" s="518">
        <f>Z163+AC163+AF163+AI163</f>
        <v>4950667.96</v>
      </c>
      <c r="AT163" s="251">
        <f t="shared" si="521"/>
        <v>0</v>
      </c>
      <c r="AU163" s="519">
        <f t="shared" si="522"/>
        <v>4950667.96</v>
      </c>
      <c r="AV163" s="595">
        <f t="shared" si="523"/>
        <v>112442.91</v>
      </c>
      <c r="AW163" s="518">
        <v>4950667.96</v>
      </c>
      <c r="AX163" s="251"/>
      <c r="AY163" s="251"/>
      <c r="AZ163" s="251"/>
      <c r="BA163" s="251"/>
      <c r="BB163" s="301"/>
      <c r="BC163" s="518"/>
      <c r="BD163" s="251"/>
      <c r="BE163" s="251"/>
      <c r="BF163" s="251"/>
      <c r="BG163" s="251"/>
      <c r="BH163" s="301"/>
      <c r="BI163" s="518"/>
      <c r="BJ163" s="251"/>
      <c r="BK163" s="251"/>
      <c r="BL163" s="251"/>
      <c r="BM163" s="251"/>
      <c r="BN163" s="301"/>
      <c r="BO163" s="518"/>
      <c r="BP163" s="251"/>
      <c r="BQ163" s="251"/>
      <c r="BR163" s="251"/>
      <c r="BS163" s="251"/>
      <c r="BT163" s="519"/>
    </row>
    <row r="164" spans="1:72" s="358" customFormat="1" ht="94.5" customHeight="1">
      <c r="A164" s="287">
        <v>146</v>
      </c>
      <c r="B164" s="933"/>
      <c r="C164" s="850" t="s">
        <v>377</v>
      </c>
      <c r="D164" s="838"/>
      <c r="E164" s="836" t="s">
        <v>201</v>
      </c>
      <c r="F164" s="820" t="s">
        <v>23</v>
      </c>
      <c r="G164" s="360">
        <v>2</v>
      </c>
      <c r="H164" s="360" t="s">
        <v>71</v>
      </c>
      <c r="I164" s="360">
        <v>111</v>
      </c>
      <c r="J164" s="361">
        <v>211</v>
      </c>
      <c r="K164" s="532" t="s">
        <v>324</v>
      </c>
      <c r="L164" s="367">
        <f>L165</f>
        <v>4000</v>
      </c>
      <c r="M164" s="363"/>
      <c r="N164" s="363"/>
      <c r="O164" s="363">
        <f t="shared" si="524"/>
        <v>4000</v>
      </c>
      <c r="P164" s="571"/>
      <c r="Q164" s="367">
        <f>Q165</f>
        <v>1000</v>
      </c>
      <c r="R164" s="557"/>
      <c r="S164" s="367">
        <f>S165</f>
        <v>0</v>
      </c>
      <c r="T164" s="557"/>
      <c r="U164" s="365"/>
      <c r="V164" s="366"/>
      <c r="W164" s="366"/>
      <c r="X164" s="366"/>
      <c r="Z164" s="367">
        <f t="shared" si="525"/>
        <v>1000</v>
      </c>
      <c r="AA164" s="363">
        <f t="shared" si="525"/>
        <v>0</v>
      </c>
      <c r="AB164" s="280">
        <f t="shared" si="526"/>
        <v>1000</v>
      </c>
      <c r="AC164" s="367">
        <f t="shared" si="527"/>
        <v>1000</v>
      </c>
      <c r="AD164" s="363">
        <f t="shared" si="527"/>
        <v>0</v>
      </c>
      <c r="AE164" s="280">
        <f t="shared" si="528"/>
        <v>1000</v>
      </c>
      <c r="AF164" s="367">
        <f t="shared" si="529"/>
        <v>1000</v>
      </c>
      <c r="AG164" s="363">
        <f t="shared" si="529"/>
        <v>0</v>
      </c>
      <c r="AH164" s="280">
        <f t="shared" si="530"/>
        <v>1000</v>
      </c>
      <c r="AI164" s="367">
        <f t="shared" si="531"/>
        <v>1000</v>
      </c>
      <c r="AJ164" s="363">
        <f t="shared" si="531"/>
        <v>0</v>
      </c>
      <c r="AK164" s="280">
        <f t="shared" si="532"/>
        <v>1000</v>
      </c>
      <c r="AL164" s="368"/>
      <c r="AM164" s="367">
        <f t="shared" si="533"/>
        <v>2000</v>
      </c>
      <c r="AN164" s="363">
        <f t="shared" si="533"/>
        <v>0</v>
      </c>
      <c r="AO164" s="280">
        <f t="shared" si="534"/>
        <v>2000</v>
      </c>
      <c r="AP164" s="367">
        <f t="shared" si="535"/>
        <v>3000</v>
      </c>
      <c r="AQ164" s="363">
        <f t="shared" si="535"/>
        <v>0</v>
      </c>
      <c r="AR164" s="280">
        <f t="shared" si="520"/>
        <v>3000</v>
      </c>
      <c r="AS164" s="367">
        <f>Z164+AC164+AF164+AI164</f>
        <v>4000</v>
      </c>
      <c r="AT164" s="363">
        <f t="shared" si="521"/>
        <v>0</v>
      </c>
      <c r="AU164" s="280">
        <f t="shared" si="522"/>
        <v>4000</v>
      </c>
      <c r="AV164" s="588">
        <f t="shared" si="523"/>
        <v>0</v>
      </c>
      <c r="AW164" s="367">
        <f>AW165</f>
        <v>1000</v>
      </c>
      <c r="AX164" s="367">
        <f t="shared" ref="AX164:BT164" si="536">AX165</f>
        <v>0</v>
      </c>
      <c r="AY164" s="367">
        <f t="shared" si="536"/>
        <v>0</v>
      </c>
      <c r="AZ164" s="367">
        <f t="shared" si="536"/>
        <v>0</v>
      </c>
      <c r="BA164" s="367">
        <f t="shared" si="536"/>
        <v>0</v>
      </c>
      <c r="BB164" s="367">
        <f t="shared" si="536"/>
        <v>0</v>
      </c>
      <c r="BC164" s="367">
        <f t="shared" si="536"/>
        <v>1000</v>
      </c>
      <c r="BD164" s="367">
        <f t="shared" si="536"/>
        <v>0</v>
      </c>
      <c r="BE164" s="367">
        <f t="shared" si="536"/>
        <v>0</v>
      </c>
      <c r="BF164" s="367">
        <f t="shared" si="536"/>
        <v>0</v>
      </c>
      <c r="BG164" s="367">
        <f t="shared" si="536"/>
        <v>0</v>
      </c>
      <c r="BH164" s="367">
        <f t="shared" si="536"/>
        <v>0</v>
      </c>
      <c r="BI164" s="367">
        <f t="shared" si="536"/>
        <v>1000</v>
      </c>
      <c r="BJ164" s="367">
        <f t="shared" si="536"/>
        <v>0</v>
      </c>
      <c r="BK164" s="367">
        <f t="shared" si="536"/>
        <v>0</v>
      </c>
      <c r="BL164" s="367">
        <f t="shared" si="536"/>
        <v>0</v>
      </c>
      <c r="BM164" s="367">
        <f t="shared" si="536"/>
        <v>0</v>
      </c>
      <c r="BN164" s="367">
        <f t="shared" si="536"/>
        <v>0</v>
      </c>
      <c r="BO164" s="367">
        <f t="shared" si="536"/>
        <v>1000</v>
      </c>
      <c r="BP164" s="367">
        <f t="shared" si="536"/>
        <v>0</v>
      </c>
      <c r="BQ164" s="367">
        <f t="shared" si="536"/>
        <v>0</v>
      </c>
      <c r="BR164" s="367">
        <f t="shared" si="536"/>
        <v>0</v>
      </c>
      <c r="BS164" s="367">
        <f t="shared" si="536"/>
        <v>0</v>
      </c>
      <c r="BT164" s="367">
        <f t="shared" si="536"/>
        <v>0</v>
      </c>
    </row>
    <row r="165" spans="1:72" s="313" customFormat="1" ht="38.25" outlineLevel="1">
      <c r="A165" s="287">
        <v>147</v>
      </c>
      <c r="B165" s="933"/>
      <c r="C165" s="840"/>
      <c r="D165" s="841"/>
      <c r="E165" s="839"/>
      <c r="F165" s="821" t="s">
        <v>23</v>
      </c>
      <c r="G165" s="314">
        <v>2</v>
      </c>
      <c r="H165" s="739" t="s">
        <v>71</v>
      </c>
      <c r="I165" s="739">
        <v>111</v>
      </c>
      <c r="J165" s="740">
        <v>211</v>
      </c>
      <c r="K165" s="533" t="s">
        <v>322</v>
      </c>
      <c r="L165" s="341">
        <f>1000*4</f>
        <v>4000</v>
      </c>
      <c r="M165" s="318"/>
      <c r="N165" s="318"/>
      <c r="O165" s="318">
        <f t="shared" si="524"/>
        <v>4000</v>
      </c>
      <c r="P165" s="570"/>
      <c r="Q165" s="341">
        <v>1000</v>
      </c>
      <c r="R165" s="559"/>
      <c r="S165" s="540">
        <v>0</v>
      </c>
      <c r="T165" s="559"/>
      <c r="U165" s="335"/>
      <c r="V165" s="320"/>
      <c r="W165" s="320"/>
      <c r="X165" s="320"/>
      <c r="Z165" s="336">
        <f t="shared" si="525"/>
        <v>1000</v>
      </c>
      <c r="AA165" s="337">
        <f t="shared" si="525"/>
        <v>0</v>
      </c>
      <c r="AB165" s="338">
        <f t="shared" si="526"/>
        <v>1000</v>
      </c>
      <c r="AC165" s="336">
        <f t="shared" si="527"/>
        <v>1000</v>
      </c>
      <c r="AD165" s="337">
        <f t="shared" si="527"/>
        <v>0</v>
      </c>
      <c r="AE165" s="338">
        <f t="shared" si="528"/>
        <v>1000</v>
      </c>
      <c r="AF165" s="336">
        <f t="shared" si="529"/>
        <v>1000</v>
      </c>
      <c r="AG165" s="337">
        <f t="shared" si="529"/>
        <v>0</v>
      </c>
      <c r="AH165" s="338">
        <f t="shared" si="530"/>
        <v>1000</v>
      </c>
      <c r="AI165" s="336">
        <f t="shared" si="531"/>
        <v>1000</v>
      </c>
      <c r="AJ165" s="337">
        <f t="shared" si="531"/>
        <v>0</v>
      </c>
      <c r="AK165" s="338">
        <f t="shared" si="532"/>
        <v>1000</v>
      </c>
      <c r="AL165" s="342"/>
      <c r="AM165" s="336">
        <f t="shared" si="533"/>
        <v>2000</v>
      </c>
      <c r="AN165" s="339">
        <f t="shared" si="533"/>
        <v>0</v>
      </c>
      <c r="AO165" s="340">
        <f t="shared" si="534"/>
        <v>2000</v>
      </c>
      <c r="AP165" s="336">
        <f t="shared" si="535"/>
        <v>3000</v>
      </c>
      <c r="AQ165" s="339">
        <f t="shared" si="535"/>
        <v>0</v>
      </c>
      <c r="AR165" s="340">
        <f t="shared" si="520"/>
        <v>3000</v>
      </c>
      <c r="AS165" s="341">
        <f t="shared" si="521"/>
        <v>4000</v>
      </c>
      <c r="AT165" s="339">
        <f t="shared" si="521"/>
        <v>0</v>
      </c>
      <c r="AU165" s="340">
        <f t="shared" si="522"/>
        <v>4000</v>
      </c>
      <c r="AV165" s="589">
        <f t="shared" si="523"/>
        <v>0</v>
      </c>
      <c r="AW165" s="343">
        <v>1000</v>
      </c>
      <c r="AX165" s="344"/>
      <c r="AY165" s="345"/>
      <c r="AZ165" s="344"/>
      <c r="BA165" s="345"/>
      <c r="BB165" s="346"/>
      <c r="BC165" s="347">
        <v>1000</v>
      </c>
      <c r="BD165" s="348"/>
      <c r="BE165" s="349"/>
      <c r="BF165" s="348"/>
      <c r="BG165" s="349"/>
      <c r="BH165" s="350"/>
      <c r="BI165" s="351">
        <v>1000</v>
      </c>
      <c r="BJ165" s="352"/>
      <c r="BK165" s="337"/>
      <c r="BL165" s="352"/>
      <c r="BM165" s="337"/>
      <c r="BN165" s="353"/>
      <c r="BO165" s="354">
        <v>1000</v>
      </c>
      <c r="BP165" s="355"/>
      <c r="BQ165" s="356"/>
      <c r="BR165" s="355"/>
      <c r="BS165" s="356"/>
      <c r="BT165" s="357"/>
    </row>
    <row r="166" spans="1:72" s="358" customFormat="1" ht="31.5">
      <c r="A166" s="287">
        <v>148</v>
      </c>
      <c r="B166" s="933"/>
      <c r="C166" s="837"/>
      <c r="D166" s="838"/>
      <c r="E166" s="836" t="s">
        <v>201</v>
      </c>
      <c r="F166" s="820" t="s">
        <v>23</v>
      </c>
      <c r="G166" s="360">
        <v>2</v>
      </c>
      <c r="H166" s="360" t="s">
        <v>69</v>
      </c>
      <c r="I166" s="360">
        <v>119</v>
      </c>
      <c r="J166" s="361">
        <v>213</v>
      </c>
      <c r="K166" s="532" t="s">
        <v>10</v>
      </c>
      <c r="L166" s="585">
        <f>1484134.59+M166</f>
        <v>1488234.59</v>
      </c>
      <c r="M166" s="586">
        <v>4100</v>
      </c>
      <c r="N166" s="586"/>
      <c r="O166" s="586">
        <f t="shared" si="524"/>
        <v>1488234.59</v>
      </c>
      <c r="P166" s="587"/>
      <c r="Q166" s="367">
        <v>1484134.59</v>
      </c>
      <c r="R166" s="557"/>
      <c r="S166" s="367">
        <v>1484134.59</v>
      </c>
      <c r="T166" s="557"/>
      <c r="U166" s="365"/>
      <c r="V166" s="366"/>
      <c r="W166" s="366"/>
      <c r="X166" s="366"/>
      <c r="Z166" s="367">
        <f>AW166+AY166+BA166</f>
        <v>1484134.59</v>
      </c>
      <c r="AA166" s="363">
        <f>AX166+AZ166+BB166</f>
        <v>0</v>
      </c>
      <c r="AB166" s="280">
        <f>Z166-AA166</f>
        <v>1484134.59</v>
      </c>
      <c r="AC166" s="367">
        <f>BC166+BE166+BG166</f>
        <v>0</v>
      </c>
      <c r="AD166" s="363">
        <f>BD166+BF166+BH166</f>
        <v>0</v>
      </c>
      <c r="AE166" s="280">
        <f>AC166-AD166</f>
        <v>0</v>
      </c>
      <c r="AF166" s="367">
        <f>BI166+BK166+BM166</f>
        <v>0</v>
      </c>
      <c r="AG166" s="363">
        <f>BJ166+BL166+BN166</f>
        <v>0</v>
      </c>
      <c r="AH166" s="280">
        <f>AF166-AG166</f>
        <v>0</v>
      </c>
      <c r="AI166" s="367">
        <f>BO166+BQ166+BS166</f>
        <v>0</v>
      </c>
      <c r="AJ166" s="363">
        <f>BP166+BR166+BT166</f>
        <v>0</v>
      </c>
      <c r="AK166" s="280">
        <f>AI166-AJ166</f>
        <v>0</v>
      </c>
      <c r="AL166" s="368"/>
      <c r="AM166" s="367">
        <f>Z166+AC166</f>
        <v>1484134.59</v>
      </c>
      <c r="AN166" s="363">
        <f>AA166+AD166</f>
        <v>0</v>
      </c>
      <c r="AO166" s="280">
        <f>AM166-AN166</f>
        <v>1484134.59</v>
      </c>
      <c r="AP166" s="367">
        <f>Z166+AC166+AF166</f>
        <v>1484134.59</v>
      </c>
      <c r="AQ166" s="363">
        <f>AA166+AD166+AG166</f>
        <v>0</v>
      </c>
      <c r="AR166" s="280">
        <f>AP166-AQ166</f>
        <v>1484134.59</v>
      </c>
      <c r="AS166" s="367">
        <f>Z166+AC166+AF166+AI166</f>
        <v>1484134.59</v>
      </c>
      <c r="AT166" s="363">
        <f>AA166+AD166+AG166+AJ166</f>
        <v>0</v>
      </c>
      <c r="AU166" s="280">
        <f>AS166-AT166</f>
        <v>1484134.59</v>
      </c>
      <c r="AV166" s="588">
        <f t="shared" si="523"/>
        <v>4100</v>
      </c>
      <c r="AW166" s="367">
        <v>1484134.59</v>
      </c>
      <c r="AX166" s="363"/>
      <c r="AY166" s="363"/>
      <c r="AZ166" s="363"/>
      <c r="BA166" s="363"/>
      <c r="BB166" s="369"/>
      <c r="BC166" s="367"/>
      <c r="BD166" s="363"/>
      <c r="BE166" s="363"/>
      <c r="BF166" s="363"/>
      <c r="BG166" s="363"/>
      <c r="BH166" s="369"/>
      <c r="BI166" s="367"/>
      <c r="BJ166" s="363"/>
      <c r="BK166" s="363"/>
      <c r="BL166" s="363"/>
      <c r="BM166" s="363"/>
      <c r="BN166" s="369"/>
      <c r="BO166" s="367"/>
      <c r="BP166" s="363"/>
      <c r="BQ166" s="363"/>
      <c r="BR166" s="363"/>
      <c r="BS166" s="363"/>
      <c r="BT166" s="280"/>
    </row>
    <row r="167" spans="1:72" s="358" customFormat="1" ht="63">
      <c r="A167" s="287">
        <v>149</v>
      </c>
      <c r="B167" s="933"/>
      <c r="C167" s="837"/>
      <c r="D167" s="838"/>
      <c r="E167" s="836" t="s">
        <v>201</v>
      </c>
      <c r="F167" s="820" t="s">
        <v>23</v>
      </c>
      <c r="G167" s="360">
        <v>2</v>
      </c>
      <c r="H167" s="360" t="s">
        <v>71</v>
      </c>
      <c r="I167" s="360">
        <v>111</v>
      </c>
      <c r="J167" s="361">
        <v>266</v>
      </c>
      <c r="K167" s="532" t="s">
        <v>43</v>
      </c>
      <c r="L167" s="367">
        <v>39600</v>
      </c>
      <c r="M167" s="363"/>
      <c r="N167" s="363"/>
      <c r="O167" s="363">
        <f t="shared" si="524"/>
        <v>39600</v>
      </c>
      <c r="P167" s="571"/>
      <c r="Q167" s="367">
        <v>39600</v>
      </c>
      <c r="R167" s="557"/>
      <c r="S167" s="367">
        <v>39600</v>
      </c>
      <c r="T167" s="557"/>
      <c r="U167" s="365"/>
      <c r="V167" s="366"/>
      <c r="W167" s="366"/>
      <c r="X167" s="366"/>
      <c r="Z167" s="367">
        <f t="shared" si="525"/>
        <v>39600</v>
      </c>
      <c r="AA167" s="363">
        <f t="shared" si="525"/>
        <v>0</v>
      </c>
      <c r="AB167" s="280">
        <f t="shared" si="526"/>
        <v>39600</v>
      </c>
      <c r="AC167" s="367">
        <f t="shared" si="527"/>
        <v>0</v>
      </c>
      <c r="AD167" s="363">
        <f t="shared" si="527"/>
        <v>0</v>
      </c>
      <c r="AE167" s="280">
        <f t="shared" si="528"/>
        <v>0</v>
      </c>
      <c r="AF167" s="367">
        <f t="shared" si="529"/>
        <v>0</v>
      </c>
      <c r="AG167" s="363">
        <f t="shared" si="529"/>
        <v>0</v>
      </c>
      <c r="AH167" s="280">
        <f t="shared" si="530"/>
        <v>0</v>
      </c>
      <c r="AI167" s="367">
        <f t="shared" si="531"/>
        <v>0</v>
      </c>
      <c r="AJ167" s="363">
        <f t="shared" si="531"/>
        <v>0</v>
      </c>
      <c r="AK167" s="280">
        <f t="shared" si="532"/>
        <v>0</v>
      </c>
      <c r="AL167" s="368"/>
      <c r="AM167" s="367">
        <f t="shared" si="533"/>
        <v>39600</v>
      </c>
      <c r="AN167" s="363">
        <f t="shared" si="533"/>
        <v>0</v>
      </c>
      <c r="AO167" s="280">
        <f t="shared" si="534"/>
        <v>39600</v>
      </c>
      <c r="AP167" s="367">
        <f t="shared" si="535"/>
        <v>39600</v>
      </c>
      <c r="AQ167" s="363">
        <f t="shared" si="535"/>
        <v>0</v>
      </c>
      <c r="AR167" s="280">
        <f t="shared" si="520"/>
        <v>39600</v>
      </c>
      <c r="AS167" s="367">
        <f t="shared" si="521"/>
        <v>39600</v>
      </c>
      <c r="AT167" s="363">
        <f t="shared" si="521"/>
        <v>0</v>
      </c>
      <c r="AU167" s="280">
        <f t="shared" si="522"/>
        <v>39600</v>
      </c>
      <c r="AV167" s="588">
        <f t="shared" si="523"/>
        <v>0</v>
      </c>
      <c r="AW167" s="367">
        <v>39600</v>
      </c>
      <c r="AX167" s="363"/>
      <c r="AY167" s="363"/>
      <c r="AZ167" s="363"/>
      <c r="BA167" s="363"/>
      <c r="BB167" s="369"/>
      <c r="BC167" s="367"/>
      <c r="BD167" s="363"/>
      <c r="BE167" s="363"/>
      <c r="BF167" s="363"/>
      <c r="BG167" s="363"/>
      <c r="BH167" s="369"/>
      <c r="BI167" s="367"/>
      <c r="BJ167" s="363"/>
      <c r="BK167" s="363"/>
      <c r="BL167" s="363"/>
      <c r="BM167" s="363"/>
      <c r="BN167" s="369"/>
      <c r="BO167" s="367"/>
      <c r="BP167" s="363"/>
      <c r="BQ167" s="363"/>
      <c r="BR167" s="363"/>
      <c r="BS167" s="363"/>
      <c r="BT167" s="280"/>
    </row>
    <row r="168" spans="1:72" s="358" customFormat="1" ht="47.25">
      <c r="A168" s="287">
        <v>150</v>
      </c>
      <c r="B168" s="933"/>
      <c r="C168" s="837"/>
      <c r="D168" s="838"/>
      <c r="E168" s="836" t="s">
        <v>201</v>
      </c>
      <c r="F168" s="820" t="s">
        <v>23</v>
      </c>
      <c r="G168" s="360">
        <v>2</v>
      </c>
      <c r="H168" s="360" t="s">
        <v>71</v>
      </c>
      <c r="I168" s="360">
        <v>112</v>
      </c>
      <c r="J168" s="361">
        <v>266</v>
      </c>
      <c r="K168" s="532" t="s">
        <v>220</v>
      </c>
      <c r="L168" s="367">
        <f>1020+M168</f>
        <v>1920</v>
      </c>
      <c r="M168" s="363">
        <v>900</v>
      </c>
      <c r="N168" s="363"/>
      <c r="O168" s="363">
        <f t="shared" si="524"/>
        <v>1920</v>
      </c>
      <c r="P168" s="571"/>
      <c r="Q168" s="367">
        <v>425</v>
      </c>
      <c r="R168" s="557"/>
      <c r="S168" s="367">
        <v>0</v>
      </c>
      <c r="T168" s="557"/>
      <c r="U168" s="365"/>
      <c r="V168" s="366"/>
      <c r="W168" s="366"/>
      <c r="X168" s="366"/>
      <c r="Z168" s="367">
        <f t="shared" si="525"/>
        <v>170</v>
      </c>
      <c r="AA168" s="363">
        <f t="shared" si="525"/>
        <v>0</v>
      </c>
      <c r="AB168" s="280">
        <f t="shared" si="526"/>
        <v>170</v>
      </c>
      <c r="AC168" s="367">
        <f t="shared" si="527"/>
        <v>255</v>
      </c>
      <c r="AD168" s="363">
        <f t="shared" si="527"/>
        <v>0</v>
      </c>
      <c r="AE168" s="280">
        <f t="shared" si="528"/>
        <v>255</v>
      </c>
      <c r="AF168" s="367">
        <f t="shared" si="529"/>
        <v>255</v>
      </c>
      <c r="AG168" s="363">
        <f t="shared" si="529"/>
        <v>0</v>
      </c>
      <c r="AH168" s="280">
        <f t="shared" si="530"/>
        <v>255</v>
      </c>
      <c r="AI168" s="367">
        <f t="shared" si="531"/>
        <v>340</v>
      </c>
      <c r="AJ168" s="363">
        <f t="shared" si="531"/>
        <v>0</v>
      </c>
      <c r="AK168" s="280">
        <f t="shared" si="532"/>
        <v>340</v>
      </c>
      <c r="AL168" s="368"/>
      <c r="AM168" s="367">
        <f t="shared" si="533"/>
        <v>425</v>
      </c>
      <c r="AN168" s="363">
        <f t="shared" si="533"/>
        <v>0</v>
      </c>
      <c r="AO168" s="280">
        <f t="shared" si="534"/>
        <v>425</v>
      </c>
      <c r="AP168" s="367">
        <f t="shared" si="535"/>
        <v>680</v>
      </c>
      <c r="AQ168" s="363">
        <f t="shared" si="535"/>
        <v>0</v>
      </c>
      <c r="AR168" s="280">
        <f t="shared" si="520"/>
        <v>680</v>
      </c>
      <c r="AS168" s="367">
        <f t="shared" si="521"/>
        <v>1020</v>
      </c>
      <c r="AT168" s="363">
        <f t="shared" si="521"/>
        <v>0</v>
      </c>
      <c r="AU168" s="280">
        <f t="shared" si="522"/>
        <v>1020</v>
      </c>
      <c r="AV168" s="588">
        <f t="shared" si="523"/>
        <v>900</v>
      </c>
      <c r="AW168" s="367"/>
      <c r="AX168" s="363"/>
      <c r="AY168" s="363">
        <v>85</v>
      </c>
      <c r="AZ168" s="363"/>
      <c r="BA168" s="363">
        <v>85</v>
      </c>
      <c r="BB168" s="369"/>
      <c r="BC168" s="367">
        <v>85</v>
      </c>
      <c r="BD168" s="363"/>
      <c r="BE168" s="363">
        <v>85</v>
      </c>
      <c r="BF168" s="363"/>
      <c r="BG168" s="363">
        <v>85</v>
      </c>
      <c r="BH168" s="369"/>
      <c r="BI168" s="367">
        <v>85</v>
      </c>
      <c r="BJ168" s="363"/>
      <c r="BK168" s="363">
        <v>85</v>
      </c>
      <c r="BL168" s="363"/>
      <c r="BM168" s="363">
        <v>85</v>
      </c>
      <c r="BN168" s="369"/>
      <c r="BO168" s="367">
        <v>85</v>
      </c>
      <c r="BP168" s="363"/>
      <c r="BQ168" s="363">
        <v>85</v>
      </c>
      <c r="BR168" s="363"/>
      <c r="BS168" s="363">
        <f>85*2</f>
        <v>170</v>
      </c>
      <c r="BT168" s="280"/>
    </row>
    <row r="169" spans="1:72" s="358" customFormat="1" ht="31.5">
      <c r="A169" s="287">
        <v>151</v>
      </c>
      <c r="B169" s="933"/>
      <c r="C169" s="837"/>
      <c r="D169" s="838"/>
      <c r="E169" s="836" t="s">
        <v>201</v>
      </c>
      <c r="F169" s="820" t="s">
        <v>23</v>
      </c>
      <c r="G169" s="360">
        <v>2</v>
      </c>
      <c r="H169" s="360" t="s">
        <v>71</v>
      </c>
      <c r="I169" s="374">
        <v>112</v>
      </c>
      <c r="J169" s="361">
        <v>214</v>
      </c>
      <c r="K169" s="532" t="s">
        <v>35</v>
      </c>
      <c r="L169" s="367">
        <v>40000</v>
      </c>
      <c r="M169" s="363"/>
      <c r="N169" s="363"/>
      <c r="O169" s="363">
        <f t="shared" si="524"/>
        <v>40000</v>
      </c>
      <c r="P169" s="571"/>
      <c r="Q169" s="367">
        <v>100000</v>
      </c>
      <c r="R169" s="557"/>
      <c r="S169" s="367">
        <v>40000</v>
      </c>
      <c r="T169" s="557"/>
      <c r="U169" s="365"/>
      <c r="V169" s="366"/>
      <c r="W169" s="366"/>
      <c r="X169" s="366"/>
      <c r="Z169" s="367">
        <f t="shared" si="525"/>
        <v>0</v>
      </c>
      <c r="AA169" s="363">
        <f t="shared" si="525"/>
        <v>0</v>
      </c>
      <c r="AB169" s="280">
        <f t="shared" si="526"/>
        <v>0</v>
      </c>
      <c r="AC169" s="367">
        <f t="shared" si="527"/>
        <v>0</v>
      </c>
      <c r="AD169" s="363">
        <f t="shared" si="527"/>
        <v>0</v>
      </c>
      <c r="AE169" s="280">
        <f t="shared" si="528"/>
        <v>0</v>
      </c>
      <c r="AF169" s="367">
        <f t="shared" si="529"/>
        <v>40000</v>
      </c>
      <c r="AG169" s="363">
        <f t="shared" si="529"/>
        <v>0</v>
      </c>
      <c r="AH169" s="280">
        <f t="shared" si="530"/>
        <v>40000</v>
      </c>
      <c r="AI169" s="367">
        <f t="shared" si="531"/>
        <v>0</v>
      </c>
      <c r="AJ169" s="363">
        <f t="shared" si="531"/>
        <v>0</v>
      </c>
      <c r="AK169" s="280">
        <f t="shared" si="532"/>
        <v>0</v>
      </c>
      <c r="AL169" s="368"/>
      <c r="AM169" s="367">
        <f t="shared" si="533"/>
        <v>0</v>
      </c>
      <c r="AN169" s="363">
        <f t="shared" si="533"/>
        <v>0</v>
      </c>
      <c r="AO169" s="280">
        <f t="shared" si="534"/>
        <v>0</v>
      </c>
      <c r="AP169" s="367">
        <f t="shared" si="535"/>
        <v>40000</v>
      </c>
      <c r="AQ169" s="363">
        <f t="shared" si="535"/>
        <v>0</v>
      </c>
      <c r="AR169" s="280">
        <f t="shared" si="520"/>
        <v>40000</v>
      </c>
      <c r="AS169" s="367">
        <f t="shared" si="521"/>
        <v>40000</v>
      </c>
      <c r="AT169" s="363">
        <f t="shared" si="521"/>
        <v>0</v>
      </c>
      <c r="AU169" s="280">
        <f t="shared" si="522"/>
        <v>40000</v>
      </c>
      <c r="AV169" s="588">
        <f t="shared" si="523"/>
        <v>0</v>
      </c>
      <c r="AW169" s="367"/>
      <c r="AX169" s="363"/>
      <c r="AY169" s="363"/>
      <c r="AZ169" s="363"/>
      <c r="BA169" s="363"/>
      <c r="BB169" s="369"/>
      <c r="BC169" s="367"/>
      <c r="BD169" s="363"/>
      <c r="BE169" s="363"/>
      <c r="BF169" s="363"/>
      <c r="BG169" s="363"/>
      <c r="BH169" s="369"/>
      <c r="BI169" s="367">
        <v>40000</v>
      </c>
      <c r="BJ169" s="363"/>
      <c r="BK169" s="363"/>
      <c r="BL169" s="363"/>
      <c r="BM169" s="363"/>
      <c r="BN169" s="369"/>
      <c r="BO169" s="367"/>
      <c r="BP169" s="363"/>
      <c r="BQ169" s="363"/>
      <c r="BR169" s="363"/>
      <c r="BS169" s="363"/>
      <c r="BT169" s="280"/>
    </row>
    <row r="170" spans="1:72" s="358" customFormat="1" ht="31.5" customHeight="1">
      <c r="A170" s="287">
        <v>152</v>
      </c>
      <c r="B170" s="933"/>
      <c r="C170" s="850" t="s">
        <v>377</v>
      </c>
      <c r="D170" s="838"/>
      <c r="E170" s="836" t="s">
        <v>201</v>
      </c>
      <c r="F170" s="820" t="s">
        <v>23</v>
      </c>
      <c r="G170" s="360">
        <v>2</v>
      </c>
      <c r="H170" s="360" t="s">
        <v>71</v>
      </c>
      <c r="I170" s="360">
        <v>244</v>
      </c>
      <c r="J170" s="361">
        <v>221</v>
      </c>
      <c r="K170" s="532" t="s">
        <v>11</v>
      </c>
      <c r="L170" s="367">
        <f>SUM(L171:L174)</f>
        <v>32310.1</v>
      </c>
      <c r="M170" s="363"/>
      <c r="N170" s="363"/>
      <c r="O170" s="363">
        <f t="shared" si="524"/>
        <v>32310.1</v>
      </c>
      <c r="P170" s="571"/>
      <c r="Q170" s="367">
        <f>SUM(Q171:Q174)</f>
        <v>32310.09</v>
      </c>
      <c r="R170" s="557"/>
      <c r="S170" s="367">
        <f>SUM(S171:S174)</f>
        <v>31052.92</v>
      </c>
      <c r="T170" s="557"/>
      <c r="U170" s="365"/>
      <c r="V170" s="366"/>
      <c r="W170" s="366"/>
      <c r="X170" s="391">
        <v>0.14119999999999999</v>
      </c>
      <c r="Z170" s="367">
        <f t="shared" si="525"/>
        <v>0</v>
      </c>
      <c r="AA170" s="363">
        <f t="shared" si="525"/>
        <v>0</v>
      </c>
      <c r="AB170" s="280">
        <f t="shared" si="526"/>
        <v>0</v>
      </c>
      <c r="AC170" s="367">
        <f t="shared" si="527"/>
        <v>0</v>
      </c>
      <c r="AD170" s="363">
        <f t="shared" si="527"/>
        <v>0</v>
      </c>
      <c r="AE170" s="280">
        <f t="shared" si="528"/>
        <v>0</v>
      </c>
      <c r="AF170" s="367">
        <f t="shared" si="529"/>
        <v>6000</v>
      </c>
      <c r="AG170" s="363">
        <f t="shared" si="529"/>
        <v>0</v>
      </c>
      <c r="AH170" s="280">
        <f t="shared" si="530"/>
        <v>6000</v>
      </c>
      <c r="AI170" s="367">
        <f t="shared" si="531"/>
        <v>26310.1</v>
      </c>
      <c r="AJ170" s="363">
        <f t="shared" si="531"/>
        <v>0</v>
      </c>
      <c r="AK170" s="280">
        <f t="shared" si="532"/>
        <v>26310.1</v>
      </c>
      <c r="AL170" s="368"/>
      <c r="AM170" s="367">
        <f t="shared" si="533"/>
        <v>0</v>
      </c>
      <c r="AN170" s="363">
        <f t="shared" si="533"/>
        <v>0</v>
      </c>
      <c r="AO170" s="280">
        <f t="shared" si="534"/>
        <v>0</v>
      </c>
      <c r="AP170" s="367">
        <f t="shared" si="535"/>
        <v>6000</v>
      </c>
      <c r="AQ170" s="363">
        <f t="shared" si="535"/>
        <v>0</v>
      </c>
      <c r="AR170" s="280">
        <f t="shared" si="520"/>
        <v>6000</v>
      </c>
      <c r="AS170" s="367">
        <f t="shared" si="521"/>
        <v>32310.1</v>
      </c>
      <c r="AT170" s="363">
        <f t="shared" si="521"/>
        <v>0</v>
      </c>
      <c r="AU170" s="280">
        <f t="shared" si="522"/>
        <v>32310.1</v>
      </c>
      <c r="AV170" s="588">
        <f t="shared" si="523"/>
        <v>0</v>
      </c>
      <c r="AW170" s="367">
        <f t="shared" ref="AW170:BT170" si="537">SUM(AW171:AW174)</f>
        <v>0</v>
      </c>
      <c r="AX170" s="363">
        <f t="shared" si="537"/>
        <v>0</v>
      </c>
      <c r="AY170" s="363">
        <f t="shared" si="537"/>
        <v>0</v>
      </c>
      <c r="AZ170" s="363">
        <f t="shared" si="537"/>
        <v>0</v>
      </c>
      <c r="BA170" s="363">
        <f t="shared" si="537"/>
        <v>0</v>
      </c>
      <c r="BB170" s="369">
        <f t="shared" si="537"/>
        <v>0</v>
      </c>
      <c r="BC170" s="367">
        <f t="shared" si="537"/>
        <v>0</v>
      </c>
      <c r="BD170" s="363">
        <f t="shared" si="537"/>
        <v>0</v>
      </c>
      <c r="BE170" s="363">
        <f t="shared" si="537"/>
        <v>0</v>
      </c>
      <c r="BF170" s="363">
        <f t="shared" si="537"/>
        <v>0</v>
      </c>
      <c r="BG170" s="363">
        <f t="shared" si="537"/>
        <v>0</v>
      </c>
      <c r="BH170" s="369">
        <f t="shared" si="537"/>
        <v>0</v>
      </c>
      <c r="BI170" s="367">
        <f t="shared" si="537"/>
        <v>0</v>
      </c>
      <c r="BJ170" s="363">
        <f t="shared" si="537"/>
        <v>0</v>
      </c>
      <c r="BK170" s="363">
        <f t="shared" si="537"/>
        <v>3000</v>
      </c>
      <c r="BL170" s="363">
        <f t="shared" si="537"/>
        <v>0</v>
      </c>
      <c r="BM170" s="363">
        <f t="shared" si="537"/>
        <v>3000</v>
      </c>
      <c r="BN170" s="369">
        <f t="shared" si="537"/>
        <v>0</v>
      </c>
      <c r="BO170" s="367">
        <f t="shared" si="537"/>
        <v>3000</v>
      </c>
      <c r="BP170" s="363">
        <f t="shared" si="537"/>
        <v>0</v>
      </c>
      <c r="BQ170" s="363">
        <f t="shared" si="537"/>
        <v>7800</v>
      </c>
      <c r="BR170" s="363">
        <f t="shared" si="537"/>
        <v>0</v>
      </c>
      <c r="BS170" s="363">
        <f t="shared" si="537"/>
        <v>15510.1</v>
      </c>
      <c r="BT170" s="280">
        <f t="shared" si="537"/>
        <v>0</v>
      </c>
    </row>
    <row r="171" spans="1:72" s="313" customFormat="1" ht="25.5" outlineLevel="1">
      <c r="A171" s="287">
        <v>153</v>
      </c>
      <c r="B171" s="933"/>
      <c r="C171" s="840"/>
      <c r="D171" s="841"/>
      <c r="E171" s="839"/>
      <c r="F171" s="821" t="s">
        <v>23</v>
      </c>
      <c r="G171" s="314">
        <v>2</v>
      </c>
      <c r="H171" s="739" t="s">
        <v>71</v>
      </c>
      <c r="I171" s="739">
        <v>244</v>
      </c>
      <c r="J171" s="740">
        <v>221</v>
      </c>
      <c r="K171" s="533" t="s">
        <v>236</v>
      </c>
      <c r="L171" s="341">
        <v>17910.099999999999</v>
      </c>
      <c r="M171" s="318"/>
      <c r="N171" s="318"/>
      <c r="O171" s="318">
        <f t="shared" si="524"/>
        <v>17910.099999999999</v>
      </c>
      <c r="P171" s="570"/>
      <c r="Q171" s="336">
        <v>17910.09</v>
      </c>
      <c r="R171" s="559"/>
      <c r="S171" s="541">
        <v>16652.919999999998</v>
      </c>
      <c r="T171" s="559"/>
      <c r="U171" s="335"/>
      <c r="V171" s="320"/>
      <c r="W171" s="320"/>
      <c r="X171" s="320"/>
      <c r="Z171" s="336">
        <f t="shared" si="525"/>
        <v>0</v>
      </c>
      <c r="AA171" s="337">
        <f t="shared" si="525"/>
        <v>0</v>
      </c>
      <c r="AB171" s="338">
        <f t="shared" si="526"/>
        <v>0</v>
      </c>
      <c r="AC171" s="336">
        <f t="shared" si="527"/>
        <v>0</v>
      </c>
      <c r="AD171" s="337">
        <f t="shared" si="527"/>
        <v>0</v>
      </c>
      <c r="AE171" s="338">
        <f t="shared" si="528"/>
        <v>0</v>
      </c>
      <c r="AF171" s="336">
        <f t="shared" si="529"/>
        <v>6000</v>
      </c>
      <c r="AG171" s="337">
        <f t="shared" si="529"/>
        <v>0</v>
      </c>
      <c r="AH171" s="338">
        <f t="shared" si="530"/>
        <v>6000</v>
      </c>
      <c r="AI171" s="336">
        <f t="shared" si="531"/>
        <v>11910.1</v>
      </c>
      <c r="AJ171" s="337">
        <f t="shared" si="531"/>
        <v>0</v>
      </c>
      <c r="AK171" s="338">
        <f t="shared" si="532"/>
        <v>11910.1</v>
      </c>
      <c r="AL171" s="342"/>
      <c r="AM171" s="336">
        <f t="shared" si="533"/>
        <v>0</v>
      </c>
      <c r="AN171" s="339">
        <f t="shared" si="533"/>
        <v>0</v>
      </c>
      <c r="AO171" s="340">
        <f t="shared" si="534"/>
        <v>0</v>
      </c>
      <c r="AP171" s="336">
        <f t="shared" si="535"/>
        <v>6000</v>
      </c>
      <c r="AQ171" s="339">
        <f t="shared" si="535"/>
        <v>0</v>
      </c>
      <c r="AR171" s="340">
        <f t="shared" si="520"/>
        <v>6000</v>
      </c>
      <c r="AS171" s="341">
        <f t="shared" si="521"/>
        <v>17910.099999999999</v>
      </c>
      <c r="AT171" s="339">
        <f t="shared" si="521"/>
        <v>0</v>
      </c>
      <c r="AU171" s="340">
        <f t="shared" si="522"/>
        <v>17910.099999999999</v>
      </c>
      <c r="AV171" s="589">
        <f t="shared" si="523"/>
        <v>0</v>
      </c>
      <c r="AW171" s="343"/>
      <c r="AX171" s="344"/>
      <c r="AY171" s="345"/>
      <c r="AZ171" s="344"/>
      <c r="BA171" s="345"/>
      <c r="BB171" s="346"/>
      <c r="BC171" s="347"/>
      <c r="BD171" s="348"/>
      <c r="BE171" s="349"/>
      <c r="BF171" s="348"/>
      <c r="BG171" s="349"/>
      <c r="BH171" s="350"/>
      <c r="BI171" s="351"/>
      <c r="BJ171" s="352"/>
      <c r="BK171" s="337">
        <v>3000</v>
      </c>
      <c r="BL171" s="352"/>
      <c r="BM171" s="337">
        <v>3000</v>
      </c>
      <c r="BN171" s="353"/>
      <c r="BO171" s="354">
        <v>3000</v>
      </c>
      <c r="BP171" s="355"/>
      <c r="BQ171" s="356">
        <v>3000</v>
      </c>
      <c r="BR171" s="355"/>
      <c r="BS171" s="356">
        <f>3000+2910.1</f>
        <v>5910.1</v>
      </c>
      <c r="BT171" s="357"/>
    </row>
    <row r="172" spans="1:72" s="313" customFormat="1" ht="38.25" outlineLevel="1">
      <c r="A172" s="287">
        <v>154</v>
      </c>
      <c r="B172" s="933"/>
      <c r="C172" s="840"/>
      <c r="D172" s="841"/>
      <c r="E172" s="839"/>
      <c r="F172" s="821" t="s">
        <v>23</v>
      </c>
      <c r="G172" s="314">
        <v>2</v>
      </c>
      <c r="H172" s="739" t="s">
        <v>71</v>
      </c>
      <c r="I172" s="739">
        <v>244</v>
      </c>
      <c r="J172" s="740">
        <v>221</v>
      </c>
      <c r="K172" s="533" t="s">
        <v>422</v>
      </c>
      <c r="L172" s="510">
        <v>0</v>
      </c>
      <c r="M172" s="318"/>
      <c r="N172" s="318"/>
      <c r="O172" s="318">
        <f t="shared" si="524"/>
        <v>0</v>
      </c>
      <c r="P172" s="570"/>
      <c r="Q172" s="336">
        <v>0</v>
      </c>
      <c r="R172" s="559"/>
      <c r="S172" s="541">
        <v>0</v>
      </c>
      <c r="T172" s="559"/>
      <c r="U172" s="335"/>
      <c r="V172" s="320" t="s">
        <v>231</v>
      </c>
      <c r="W172" s="388" t="s">
        <v>232</v>
      </c>
      <c r="X172" s="388" t="s">
        <v>233</v>
      </c>
      <c r="Z172" s="336">
        <f t="shared" si="525"/>
        <v>0</v>
      </c>
      <c r="AA172" s="337">
        <f t="shared" si="525"/>
        <v>0</v>
      </c>
      <c r="AB172" s="338">
        <f t="shared" si="526"/>
        <v>0</v>
      </c>
      <c r="AC172" s="336">
        <f t="shared" si="527"/>
        <v>0</v>
      </c>
      <c r="AD172" s="337">
        <f t="shared" si="527"/>
        <v>0</v>
      </c>
      <c r="AE172" s="338">
        <f t="shared" si="528"/>
        <v>0</v>
      </c>
      <c r="AF172" s="336">
        <f t="shared" si="529"/>
        <v>0</v>
      </c>
      <c r="AG172" s="337">
        <f t="shared" si="529"/>
        <v>0</v>
      </c>
      <c r="AH172" s="338">
        <f t="shared" si="530"/>
        <v>0</v>
      </c>
      <c r="AI172" s="336">
        <f t="shared" si="531"/>
        <v>0</v>
      </c>
      <c r="AJ172" s="337">
        <f t="shared" si="531"/>
        <v>0</v>
      </c>
      <c r="AK172" s="338">
        <f t="shared" si="532"/>
        <v>0</v>
      </c>
      <c r="AL172" s="342"/>
      <c r="AM172" s="336">
        <f t="shared" si="533"/>
        <v>0</v>
      </c>
      <c r="AN172" s="339">
        <f t="shared" si="533"/>
        <v>0</v>
      </c>
      <c r="AO172" s="340">
        <f t="shared" si="534"/>
        <v>0</v>
      </c>
      <c r="AP172" s="336">
        <f t="shared" si="535"/>
        <v>0</v>
      </c>
      <c r="AQ172" s="339">
        <f t="shared" si="535"/>
        <v>0</v>
      </c>
      <c r="AR172" s="340">
        <f t="shared" si="520"/>
        <v>0</v>
      </c>
      <c r="AS172" s="341">
        <f t="shared" si="521"/>
        <v>0</v>
      </c>
      <c r="AT172" s="339">
        <f t="shared" si="521"/>
        <v>0</v>
      </c>
      <c r="AU172" s="340">
        <f t="shared" si="522"/>
        <v>0</v>
      </c>
      <c r="AV172" s="589">
        <f t="shared" si="523"/>
        <v>0</v>
      </c>
      <c r="AW172" s="343"/>
      <c r="AX172" s="344"/>
      <c r="AY172" s="345"/>
      <c r="AZ172" s="344"/>
      <c r="BA172" s="345"/>
      <c r="BB172" s="346"/>
      <c r="BC172" s="347"/>
      <c r="BD172" s="348"/>
      <c r="BE172" s="349"/>
      <c r="BF172" s="348"/>
      <c r="BG172" s="349"/>
      <c r="BH172" s="350"/>
      <c r="BI172" s="351"/>
      <c r="BJ172" s="352"/>
      <c r="BK172" s="337"/>
      <c r="BL172" s="352"/>
      <c r="BM172" s="337"/>
      <c r="BN172" s="353"/>
      <c r="BO172" s="354"/>
      <c r="BP172" s="355"/>
      <c r="BQ172" s="356"/>
      <c r="BR172" s="355"/>
      <c r="BS172" s="356"/>
      <c r="BT172" s="357"/>
    </row>
    <row r="173" spans="1:72" s="313" customFormat="1" ht="38.25" outlineLevel="1">
      <c r="A173" s="287">
        <v>155</v>
      </c>
      <c r="B173" s="933"/>
      <c r="C173" s="840"/>
      <c r="D173" s="841"/>
      <c r="E173" s="839"/>
      <c r="F173" s="821" t="s">
        <v>23</v>
      </c>
      <c r="G173" s="314">
        <v>2</v>
      </c>
      <c r="H173" s="739" t="s">
        <v>71</v>
      </c>
      <c r="I173" s="739">
        <v>244</v>
      </c>
      <c r="J173" s="740">
        <v>221</v>
      </c>
      <c r="K173" s="533" t="s">
        <v>421</v>
      </c>
      <c r="L173" s="510">
        <v>0</v>
      </c>
      <c r="M173" s="318"/>
      <c r="N173" s="318"/>
      <c r="O173" s="318">
        <f t="shared" si="524"/>
        <v>0</v>
      </c>
      <c r="P173" s="570"/>
      <c r="Q173" s="336">
        <v>0</v>
      </c>
      <c r="R173" s="559"/>
      <c r="S173" s="541">
        <v>0</v>
      </c>
      <c r="T173" s="559"/>
      <c r="U173" s="335"/>
      <c r="V173" s="320" t="s">
        <v>231</v>
      </c>
      <c r="W173" s="388" t="s">
        <v>369</v>
      </c>
      <c r="X173" s="388" t="s">
        <v>233</v>
      </c>
      <c r="Z173" s="336">
        <f t="shared" si="525"/>
        <v>0</v>
      </c>
      <c r="AA173" s="337">
        <f t="shared" si="525"/>
        <v>0</v>
      </c>
      <c r="AB173" s="338">
        <f t="shared" si="526"/>
        <v>0</v>
      </c>
      <c r="AC173" s="336">
        <f t="shared" si="527"/>
        <v>0</v>
      </c>
      <c r="AD173" s="337">
        <f t="shared" si="527"/>
        <v>0</v>
      </c>
      <c r="AE173" s="338">
        <f t="shared" si="528"/>
        <v>0</v>
      </c>
      <c r="AF173" s="336">
        <f t="shared" si="529"/>
        <v>0</v>
      </c>
      <c r="AG173" s="337">
        <f t="shared" si="529"/>
        <v>0</v>
      </c>
      <c r="AH173" s="338">
        <f t="shared" si="530"/>
        <v>0</v>
      </c>
      <c r="AI173" s="336">
        <f t="shared" si="531"/>
        <v>0</v>
      </c>
      <c r="AJ173" s="337">
        <f t="shared" si="531"/>
        <v>0</v>
      </c>
      <c r="AK173" s="338">
        <f t="shared" si="532"/>
        <v>0</v>
      </c>
      <c r="AL173" s="342"/>
      <c r="AM173" s="336">
        <f t="shared" si="533"/>
        <v>0</v>
      </c>
      <c r="AN173" s="339">
        <f t="shared" si="533"/>
        <v>0</v>
      </c>
      <c r="AO173" s="340">
        <f t="shared" si="534"/>
        <v>0</v>
      </c>
      <c r="AP173" s="336">
        <f t="shared" si="535"/>
        <v>0</v>
      </c>
      <c r="AQ173" s="339">
        <f t="shared" si="535"/>
        <v>0</v>
      </c>
      <c r="AR173" s="340">
        <f t="shared" si="520"/>
        <v>0</v>
      </c>
      <c r="AS173" s="341">
        <f t="shared" si="521"/>
        <v>0</v>
      </c>
      <c r="AT173" s="339">
        <f t="shared" si="521"/>
        <v>0</v>
      </c>
      <c r="AU173" s="340">
        <f t="shared" si="522"/>
        <v>0</v>
      </c>
      <c r="AV173" s="589">
        <f t="shared" si="523"/>
        <v>0</v>
      </c>
      <c r="AW173" s="343"/>
      <c r="AX173" s="344"/>
      <c r="AY173" s="345"/>
      <c r="AZ173" s="344"/>
      <c r="BA173" s="345"/>
      <c r="BB173" s="346"/>
      <c r="BC173" s="347"/>
      <c r="BD173" s="348"/>
      <c r="BE173" s="349"/>
      <c r="BF173" s="348"/>
      <c r="BG173" s="349"/>
      <c r="BH173" s="350"/>
      <c r="BI173" s="351"/>
      <c r="BJ173" s="352"/>
      <c r="BK173" s="337"/>
      <c r="BL173" s="352"/>
      <c r="BM173" s="337"/>
      <c r="BN173" s="353"/>
      <c r="BO173" s="354"/>
      <c r="BP173" s="355"/>
      <c r="BQ173" s="356"/>
      <c r="BR173" s="355"/>
      <c r="BS173" s="356"/>
      <c r="BT173" s="357"/>
    </row>
    <row r="174" spans="1:72" s="313" customFormat="1" ht="25.5" outlineLevel="1">
      <c r="A174" s="287">
        <v>156</v>
      </c>
      <c r="B174" s="933"/>
      <c r="C174" s="840"/>
      <c r="D174" s="841"/>
      <c r="E174" s="839"/>
      <c r="F174" s="821" t="s">
        <v>23</v>
      </c>
      <c r="G174" s="314">
        <v>2</v>
      </c>
      <c r="H174" s="739" t="s">
        <v>71</v>
      </c>
      <c r="I174" s="739">
        <v>244</v>
      </c>
      <c r="J174" s="740">
        <v>221</v>
      </c>
      <c r="K174" s="533" t="s">
        <v>428</v>
      </c>
      <c r="L174" s="341">
        <v>14400</v>
      </c>
      <c r="M174" s="318"/>
      <c r="N174" s="318"/>
      <c r="O174" s="318">
        <f t="shared" si="524"/>
        <v>14400</v>
      </c>
      <c r="P174" s="570"/>
      <c r="Q174" s="336">
        <v>14400</v>
      </c>
      <c r="R174" s="559"/>
      <c r="S174" s="541">
        <v>14400</v>
      </c>
      <c r="T174" s="559"/>
      <c r="U174" s="335"/>
      <c r="V174" s="596" t="s">
        <v>234</v>
      </c>
      <c r="W174" s="597" t="s">
        <v>427</v>
      </c>
      <c r="X174" s="597" t="s">
        <v>381</v>
      </c>
      <c r="Z174" s="336">
        <f t="shared" si="525"/>
        <v>0</v>
      </c>
      <c r="AA174" s="337">
        <f t="shared" si="525"/>
        <v>0</v>
      </c>
      <c r="AB174" s="338">
        <f t="shared" si="526"/>
        <v>0</v>
      </c>
      <c r="AC174" s="336">
        <f t="shared" si="527"/>
        <v>0</v>
      </c>
      <c r="AD174" s="337">
        <f t="shared" si="527"/>
        <v>0</v>
      </c>
      <c r="AE174" s="338">
        <f t="shared" si="528"/>
        <v>0</v>
      </c>
      <c r="AF174" s="336">
        <f t="shared" si="529"/>
        <v>0</v>
      </c>
      <c r="AG174" s="337">
        <f t="shared" si="529"/>
        <v>0</v>
      </c>
      <c r="AH174" s="338">
        <f t="shared" si="530"/>
        <v>0</v>
      </c>
      <c r="AI174" s="336">
        <f t="shared" si="531"/>
        <v>14400</v>
      </c>
      <c r="AJ174" s="337">
        <f t="shared" si="531"/>
        <v>0</v>
      </c>
      <c r="AK174" s="338">
        <f t="shared" si="532"/>
        <v>14400</v>
      </c>
      <c r="AL174" s="342"/>
      <c r="AM174" s="336">
        <f t="shared" si="533"/>
        <v>0</v>
      </c>
      <c r="AN174" s="339">
        <f t="shared" si="533"/>
        <v>0</v>
      </c>
      <c r="AO174" s="340">
        <f t="shared" si="534"/>
        <v>0</v>
      </c>
      <c r="AP174" s="336">
        <f t="shared" si="535"/>
        <v>0</v>
      </c>
      <c r="AQ174" s="339">
        <f t="shared" si="535"/>
        <v>0</v>
      </c>
      <c r="AR174" s="340">
        <f t="shared" si="520"/>
        <v>0</v>
      </c>
      <c r="AS174" s="341">
        <f t="shared" si="521"/>
        <v>14400</v>
      </c>
      <c r="AT174" s="339">
        <f t="shared" si="521"/>
        <v>0</v>
      </c>
      <c r="AU174" s="340">
        <f t="shared" si="522"/>
        <v>14400</v>
      </c>
      <c r="AV174" s="589">
        <f t="shared" si="523"/>
        <v>0</v>
      </c>
      <c r="AW174" s="343"/>
      <c r="AX174" s="344"/>
      <c r="AY174" s="345"/>
      <c r="AZ174" s="344"/>
      <c r="BA174" s="345"/>
      <c r="BB174" s="346"/>
      <c r="BC174" s="347"/>
      <c r="BD174" s="348"/>
      <c r="BE174" s="349"/>
      <c r="BF174" s="348"/>
      <c r="BG174" s="349"/>
      <c r="BH174" s="350"/>
      <c r="BI174" s="351"/>
      <c r="BJ174" s="352"/>
      <c r="BK174" s="337"/>
      <c r="BL174" s="352"/>
      <c r="BM174" s="337"/>
      <c r="BN174" s="353"/>
      <c r="BO174" s="354"/>
      <c r="BP174" s="355"/>
      <c r="BQ174" s="356">
        <v>4800</v>
      </c>
      <c r="BR174" s="355"/>
      <c r="BS174" s="356">
        <f>4800*2</f>
        <v>9600</v>
      </c>
      <c r="BT174" s="357"/>
    </row>
    <row r="175" spans="1:72" s="358" customFormat="1" ht="31.5" customHeight="1">
      <c r="A175" s="287">
        <v>157</v>
      </c>
      <c r="B175" s="933"/>
      <c r="C175" s="850" t="s">
        <v>377</v>
      </c>
      <c r="D175" s="838"/>
      <c r="E175" s="836" t="s">
        <v>201</v>
      </c>
      <c r="F175" s="820" t="s">
        <v>23</v>
      </c>
      <c r="G175" s="360">
        <v>2</v>
      </c>
      <c r="H175" s="360" t="s">
        <v>71</v>
      </c>
      <c r="I175" s="360">
        <v>244</v>
      </c>
      <c r="J175" s="361">
        <v>222</v>
      </c>
      <c r="K175" s="532" t="s">
        <v>12</v>
      </c>
      <c r="L175" s="367">
        <f>SUM(L176:L177)</f>
        <v>291566.34999999998</v>
      </c>
      <c r="M175" s="363">
        <f>SUM(M176:M177)</f>
        <v>15000</v>
      </c>
      <c r="N175" s="363"/>
      <c r="O175" s="363">
        <f>L175+N175</f>
        <v>291566.34999999998</v>
      </c>
      <c r="P175" s="571"/>
      <c r="Q175" s="367">
        <f>SUM(Q176:Q177)</f>
        <v>276566.34999999998</v>
      </c>
      <c r="R175" s="557"/>
      <c r="S175" s="367">
        <f>SUM(S176:S177)</f>
        <v>275685.24</v>
      </c>
      <c r="T175" s="557"/>
      <c r="U175" s="365"/>
      <c r="V175" s="366"/>
      <c r="W175" s="366"/>
      <c r="X175" s="366"/>
      <c r="Z175" s="367">
        <f t="shared" si="525"/>
        <v>63600</v>
      </c>
      <c r="AA175" s="363">
        <f t="shared" si="525"/>
        <v>0</v>
      </c>
      <c r="AB175" s="280">
        <f>Z175-AA175</f>
        <v>63600</v>
      </c>
      <c r="AC175" s="367">
        <f t="shared" si="527"/>
        <v>65400</v>
      </c>
      <c r="AD175" s="363">
        <f t="shared" si="527"/>
        <v>0</v>
      </c>
      <c r="AE175" s="280">
        <f>AC175-AD175</f>
        <v>65400</v>
      </c>
      <c r="AF175" s="367">
        <f t="shared" si="529"/>
        <v>3800</v>
      </c>
      <c r="AG175" s="363">
        <f t="shared" si="529"/>
        <v>0</v>
      </c>
      <c r="AH175" s="280">
        <f>AF175-AG175</f>
        <v>3800</v>
      </c>
      <c r="AI175" s="367">
        <f t="shared" si="531"/>
        <v>143766.35</v>
      </c>
      <c r="AJ175" s="363">
        <f t="shared" si="531"/>
        <v>0</v>
      </c>
      <c r="AK175" s="280">
        <f>AI175-AJ175</f>
        <v>143766.35</v>
      </c>
      <c r="AL175" s="368"/>
      <c r="AM175" s="367">
        <f t="shared" si="533"/>
        <v>129000</v>
      </c>
      <c r="AN175" s="363">
        <f t="shared" si="533"/>
        <v>0</v>
      </c>
      <c r="AO175" s="280">
        <f>AM175-AN175</f>
        <v>129000</v>
      </c>
      <c r="AP175" s="367">
        <f t="shared" si="535"/>
        <v>132800</v>
      </c>
      <c r="AQ175" s="363">
        <f t="shared" si="535"/>
        <v>0</v>
      </c>
      <c r="AR175" s="280">
        <f>AP175-AQ175</f>
        <v>132800</v>
      </c>
      <c r="AS175" s="367">
        <f t="shared" si="521"/>
        <v>276566.34999999998</v>
      </c>
      <c r="AT175" s="363">
        <f t="shared" si="521"/>
        <v>0</v>
      </c>
      <c r="AU175" s="280">
        <f>AS175-AT175</f>
        <v>276566.34999999998</v>
      </c>
      <c r="AV175" s="588">
        <f>L175-AS175</f>
        <v>15000</v>
      </c>
      <c r="AW175" s="367">
        <f t="shared" ref="AW175:BT175" si="538">SUM(AW176:AW177)</f>
        <v>0</v>
      </c>
      <c r="AX175" s="363">
        <f t="shared" si="538"/>
        <v>0</v>
      </c>
      <c r="AY175" s="363">
        <f t="shared" si="538"/>
        <v>1800</v>
      </c>
      <c r="AZ175" s="363">
        <f t="shared" si="538"/>
        <v>0</v>
      </c>
      <c r="BA175" s="363">
        <f t="shared" si="538"/>
        <v>61800</v>
      </c>
      <c r="BB175" s="369">
        <f t="shared" si="538"/>
        <v>0</v>
      </c>
      <c r="BC175" s="367">
        <f t="shared" si="538"/>
        <v>1800</v>
      </c>
      <c r="BD175" s="363">
        <f t="shared" si="538"/>
        <v>0</v>
      </c>
      <c r="BE175" s="363">
        <f t="shared" si="538"/>
        <v>61800</v>
      </c>
      <c r="BF175" s="363">
        <f t="shared" si="538"/>
        <v>0</v>
      </c>
      <c r="BG175" s="363">
        <f t="shared" si="538"/>
        <v>1800</v>
      </c>
      <c r="BH175" s="369">
        <f t="shared" si="538"/>
        <v>0</v>
      </c>
      <c r="BI175" s="367">
        <f t="shared" si="538"/>
        <v>1800</v>
      </c>
      <c r="BJ175" s="363">
        <f t="shared" si="538"/>
        <v>0</v>
      </c>
      <c r="BK175" s="363">
        <f t="shared" si="538"/>
        <v>1000</v>
      </c>
      <c r="BL175" s="363">
        <f t="shared" si="538"/>
        <v>0</v>
      </c>
      <c r="BM175" s="363">
        <f t="shared" si="538"/>
        <v>1000</v>
      </c>
      <c r="BN175" s="369">
        <f t="shared" si="538"/>
        <v>0</v>
      </c>
      <c r="BO175" s="367">
        <f t="shared" si="538"/>
        <v>61800</v>
      </c>
      <c r="BP175" s="363">
        <f t="shared" si="538"/>
        <v>0</v>
      </c>
      <c r="BQ175" s="363">
        <f t="shared" si="538"/>
        <v>1800</v>
      </c>
      <c r="BR175" s="363">
        <f t="shared" si="538"/>
        <v>0</v>
      </c>
      <c r="BS175" s="363">
        <f t="shared" si="538"/>
        <v>80166.350000000006</v>
      </c>
      <c r="BT175" s="280">
        <f t="shared" si="538"/>
        <v>0</v>
      </c>
    </row>
    <row r="176" spans="1:72" s="313" customFormat="1" ht="25.5" outlineLevel="1">
      <c r="A176" s="287">
        <v>158</v>
      </c>
      <c r="B176" s="933"/>
      <c r="C176" s="840"/>
      <c r="D176" s="841"/>
      <c r="E176" s="839"/>
      <c r="F176" s="821" t="s">
        <v>23</v>
      </c>
      <c r="G176" s="314">
        <v>2</v>
      </c>
      <c r="H176" s="739" t="s">
        <v>71</v>
      </c>
      <c r="I176" s="739">
        <v>244</v>
      </c>
      <c r="J176" s="740">
        <v>222</v>
      </c>
      <c r="K176" s="533" t="s">
        <v>374</v>
      </c>
      <c r="L176" s="341">
        <f>22645.08+M176</f>
        <v>30145.08</v>
      </c>
      <c r="M176" s="318">
        <v>7500</v>
      </c>
      <c r="N176" s="318"/>
      <c r="O176" s="318">
        <f>L176+N176</f>
        <v>30145.08</v>
      </c>
      <c r="P176" s="570"/>
      <c r="Q176" s="341">
        <v>22645.08</v>
      </c>
      <c r="R176" s="559"/>
      <c r="S176" s="540">
        <v>21763.97</v>
      </c>
      <c r="T176" s="559"/>
      <c r="U176" s="335"/>
      <c r="V176" s="320" t="s">
        <v>240</v>
      </c>
      <c r="W176" s="388" t="s">
        <v>241</v>
      </c>
      <c r="X176" s="388" t="s">
        <v>242</v>
      </c>
      <c r="Z176" s="336">
        <f t="shared" si="525"/>
        <v>3600</v>
      </c>
      <c r="AA176" s="337">
        <f t="shared" si="525"/>
        <v>0</v>
      </c>
      <c r="AB176" s="338">
        <f>Z176-AA176</f>
        <v>3600</v>
      </c>
      <c r="AC176" s="336">
        <f t="shared" si="527"/>
        <v>5400</v>
      </c>
      <c r="AD176" s="337">
        <f t="shared" si="527"/>
        <v>0</v>
      </c>
      <c r="AE176" s="338">
        <f>AC176-AD176</f>
        <v>5400</v>
      </c>
      <c r="AF176" s="336">
        <f t="shared" si="529"/>
        <v>3800</v>
      </c>
      <c r="AG176" s="337">
        <f t="shared" si="529"/>
        <v>0</v>
      </c>
      <c r="AH176" s="338">
        <f>AF176-AG176</f>
        <v>3800</v>
      </c>
      <c r="AI176" s="336">
        <f t="shared" si="531"/>
        <v>9845.08</v>
      </c>
      <c r="AJ176" s="337">
        <f t="shared" si="531"/>
        <v>0</v>
      </c>
      <c r="AK176" s="338">
        <f>AI176-AJ176</f>
        <v>9845.08</v>
      </c>
      <c r="AL176" s="342"/>
      <c r="AM176" s="336">
        <f t="shared" si="533"/>
        <v>9000</v>
      </c>
      <c r="AN176" s="339">
        <f t="shared" si="533"/>
        <v>0</v>
      </c>
      <c r="AO176" s="340">
        <f>AM176-AN176</f>
        <v>9000</v>
      </c>
      <c r="AP176" s="336">
        <f t="shared" si="535"/>
        <v>12800</v>
      </c>
      <c r="AQ176" s="339">
        <f t="shared" si="535"/>
        <v>0</v>
      </c>
      <c r="AR176" s="340">
        <f>AP176-AQ176</f>
        <v>12800</v>
      </c>
      <c r="AS176" s="341">
        <f t="shared" si="521"/>
        <v>22645.08</v>
      </c>
      <c r="AT176" s="339">
        <f t="shared" si="521"/>
        <v>0</v>
      </c>
      <c r="AU176" s="340">
        <f>AS176-AT176</f>
        <v>22645.08</v>
      </c>
      <c r="AV176" s="589">
        <f>L176-AS176</f>
        <v>7500</v>
      </c>
      <c r="AW176" s="343"/>
      <c r="AX176" s="344"/>
      <c r="AY176" s="345">
        <v>1800</v>
      </c>
      <c r="AZ176" s="344"/>
      <c r="BA176" s="345">
        <v>1800</v>
      </c>
      <c r="BB176" s="346"/>
      <c r="BC176" s="347">
        <v>1800</v>
      </c>
      <c r="BD176" s="348"/>
      <c r="BE176" s="349">
        <v>1800</v>
      </c>
      <c r="BF176" s="348"/>
      <c r="BG176" s="349">
        <v>1800</v>
      </c>
      <c r="BH176" s="350"/>
      <c r="BI176" s="351">
        <v>1800</v>
      </c>
      <c r="BJ176" s="352"/>
      <c r="BK176" s="337">
        <v>1000</v>
      </c>
      <c r="BL176" s="352"/>
      <c r="BM176" s="337">
        <v>1000</v>
      </c>
      <c r="BN176" s="353"/>
      <c r="BO176" s="354">
        <v>1800</v>
      </c>
      <c r="BP176" s="355"/>
      <c r="BQ176" s="356">
        <v>1800</v>
      </c>
      <c r="BR176" s="355"/>
      <c r="BS176" s="356">
        <f>1800*2+2645.08</f>
        <v>6245.08</v>
      </c>
      <c r="BT176" s="357"/>
    </row>
    <row r="177" spans="1:72" s="313" customFormat="1" ht="38.25" outlineLevel="1">
      <c r="A177" s="287">
        <v>159</v>
      </c>
      <c r="B177" s="933"/>
      <c r="C177" s="840"/>
      <c r="D177" s="841"/>
      <c r="E177" s="839"/>
      <c r="F177" s="821" t="s">
        <v>23</v>
      </c>
      <c r="G177" s="314">
        <v>2</v>
      </c>
      <c r="H177" s="739" t="s">
        <v>71</v>
      </c>
      <c r="I177" s="739">
        <v>244</v>
      </c>
      <c r="J177" s="740">
        <v>222</v>
      </c>
      <c r="K177" s="533" t="s">
        <v>375</v>
      </c>
      <c r="L177" s="341">
        <f>253921.27+M177</f>
        <v>261421.27</v>
      </c>
      <c r="M177" s="318">
        <v>7500</v>
      </c>
      <c r="N177" s="318"/>
      <c r="O177" s="318">
        <f>L177+N177</f>
        <v>261421.27</v>
      </c>
      <c r="P177" s="570"/>
      <c r="Q177" s="341">
        <v>253921.27</v>
      </c>
      <c r="R177" s="559"/>
      <c r="S177" s="540">
        <v>253921.27</v>
      </c>
      <c r="T177" s="559"/>
      <c r="U177" s="335"/>
      <c r="V177" s="811" t="s">
        <v>459</v>
      </c>
      <c r="W177" s="388"/>
      <c r="X177" s="388"/>
      <c r="Z177" s="336">
        <f t="shared" si="525"/>
        <v>60000</v>
      </c>
      <c r="AA177" s="337">
        <f t="shared" si="525"/>
        <v>0</v>
      </c>
      <c r="AB177" s="338">
        <f>Z177-AA177</f>
        <v>60000</v>
      </c>
      <c r="AC177" s="336">
        <f t="shared" si="527"/>
        <v>60000</v>
      </c>
      <c r="AD177" s="337">
        <f t="shared" si="527"/>
        <v>0</v>
      </c>
      <c r="AE177" s="338">
        <f>AC177-AD177</f>
        <v>60000</v>
      </c>
      <c r="AF177" s="336">
        <f t="shared" si="529"/>
        <v>0</v>
      </c>
      <c r="AG177" s="337">
        <f t="shared" si="529"/>
        <v>0</v>
      </c>
      <c r="AH177" s="338">
        <f>AF177-AG177</f>
        <v>0</v>
      </c>
      <c r="AI177" s="336">
        <f t="shared" si="531"/>
        <v>133921.26999999999</v>
      </c>
      <c r="AJ177" s="337">
        <f t="shared" si="531"/>
        <v>0</v>
      </c>
      <c r="AK177" s="338">
        <f>AI177-AJ177</f>
        <v>133921.26999999999</v>
      </c>
      <c r="AL177" s="342"/>
      <c r="AM177" s="336">
        <f t="shared" si="533"/>
        <v>120000</v>
      </c>
      <c r="AN177" s="339">
        <f t="shared" si="533"/>
        <v>0</v>
      </c>
      <c r="AO177" s="340">
        <f>AM177-AN177</f>
        <v>120000</v>
      </c>
      <c r="AP177" s="336">
        <f t="shared" si="535"/>
        <v>120000</v>
      </c>
      <c r="AQ177" s="339">
        <f t="shared" si="535"/>
        <v>0</v>
      </c>
      <c r="AR177" s="340">
        <f>AP177-AQ177</f>
        <v>120000</v>
      </c>
      <c r="AS177" s="341">
        <f t="shared" si="521"/>
        <v>253921.27</v>
      </c>
      <c r="AT177" s="339">
        <f t="shared" si="521"/>
        <v>0</v>
      </c>
      <c r="AU177" s="340">
        <f>AS177-AT177</f>
        <v>253921.27</v>
      </c>
      <c r="AV177" s="589">
        <f>L177-AS177</f>
        <v>7500</v>
      </c>
      <c r="AW177" s="343"/>
      <c r="AX177" s="344"/>
      <c r="AY177" s="345"/>
      <c r="AZ177" s="344"/>
      <c r="BA177" s="345">
        <v>60000</v>
      </c>
      <c r="BB177" s="346"/>
      <c r="BC177" s="347"/>
      <c r="BD177" s="348"/>
      <c r="BE177" s="349">
        <v>60000</v>
      </c>
      <c r="BF177" s="348"/>
      <c r="BG177" s="349"/>
      <c r="BH177" s="350"/>
      <c r="BI177" s="351"/>
      <c r="BJ177" s="352"/>
      <c r="BK177" s="337"/>
      <c r="BL177" s="352"/>
      <c r="BM177" s="337"/>
      <c r="BN177" s="353"/>
      <c r="BO177" s="354">
        <v>60000</v>
      </c>
      <c r="BP177" s="355"/>
      <c r="BQ177" s="356"/>
      <c r="BR177" s="355"/>
      <c r="BS177" s="356">
        <v>73921.27</v>
      </c>
      <c r="BT177" s="357"/>
    </row>
    <row r="178" spans="1:72" s="358" customFormat="1" ht="31.5" customHeight="1">
      <c r="A178" s="287">
        <v>160</v>
      </c>
      <c r="B178" s="933"/>
      <c r="C178" s="850" t="s">
        <v>377</v>
      </c>
      <c r="D178" s="838"/>
      <c r="E178" s="836" t="s">
        <v>201</v>
      </c>
      <c r="F178" s="820" t="s">
        <v>23</v>
      </c>
      <c r="G178" s="360">
        <v>2</v>
      </c>
      <c r="H178" s="360" t="s">
        <v>71</v>
      </c>
      <c r="I178" s="360">
        <v>244</v>
      </c>
      <c r="J178" s="361">
        <v>223</v>
      </c>
      <c r="K178" s="532" t="s">
        <v>13</v>
      </c>
      <c r="L178" s="367">
        <f>L179+L180</f>
        <v>191189.05</v>
      </c>
      <c r="M178" s="363"/>
      <c r="N178" s="363"/>
      <c r="O178" s="363">
        <f t="shared" si="524"/>
        <v>191189.05</v>
      </c>
      <c r="P178" s="571"/>
      <c r="Q178" s="367">
        <f>Q179+Q180</f>
        <v>68757.649999999994</v>
      </c>
      <c r="R178" s="557"/>
      <c r="S178" s="367">
        <f>S179+S180</f>
        <v>90086.74</v>
      </c>
      <c r="T178" s="557"/>
      <c r="U178" s="365"/>
      <c r="V178" s="366"/>
      <c r="W178" s="366"/>
      <c r="X178" s="366"/>
      <c r="Z178" s="367">
        <f t="shared" si="525"/>
        <v>0</v>
      </c>
      <c r="AA178" s="363">
        <f t="shared" si="525"/>
        <v>0</v>
      </c>
      <c r="AB178" s="280">
        <f t="shared" si="526"/>
        <v>0</v>
      </c>
      <c r="AC178" s="367">
        <f t="shared" si="527"/>
        <v>0</v>
      </c>
      <c r="AD178" s="363">
        <f t="shared" si="527"/>
        <v>0</v>
      </c>
      <c r="AE178" s="280">
        <f t="shared" si="528"/>
        <v>0</v>
      </c>
      <c r="AF178" s="367">
        <f t="shared" si="529"/>
        <v>0</v>
      </c>
      <c r="AG178" s="363">
        <f t="shared" si="529"/>
        <v>0</v>
      </c>
      <c r="AH178" s="280">
        <f t="shared" si="530"/>
        <v>0</v>
      </c>
      <c r="AI178" s="367">
        <f t="shared" si="531"/>
        <v>191189.05</v>
      </c>
      <c r="AJ178" s="363">
        <f t="shared" si="531"/>
        <v>0</v>
      </c>
      <c r="AK178" s="280">
        <f t="shared" si="532"/>
        <v>191189.05</v>
      </c>
      <c r="AL178" s="368"/>
      <c r="AM178" s="367">
        <f t="shared" si="533"/>
        <v>0</v>
      </c>
      <c r="AN178" s="363">
        <f t="shared" si="533"/>
        <v>0</v>
      </c>
      <c r="AO178" s="280">
        <f t="shared" si="534"/>
        <v>0</v>
      </c>
      <c r="AP178" s="367">
        <f t="shared" si="535"/>
        <v>0</v>
      </c>
      <c r="AQ178" s="363">
        <f t="shared" si="535"/>
        <v>0</v>
      </c>
      <c r="AR178" s="280">
        <f t="shared" si="520"/>
        <v>0</v>
      </c>
      <c r="AS178" s="367">
        <f t="shared" si="521"/>
        <v>191189.05</v>
      </c>
      <c r="AT178" s="363">
        <f t="shared" si="521"/>
        <v>0</v>
      </c>
      <c r="AU178" s="280">
        <f t="shared" si="522"/>
        <v>191189.05</v>
      </c>
      <c r="AV178" s="588">
        <f t="shared" si="523"/>
        <v>0</v>
      </c>
      <c r="AW178" s="367">
        <f t="shared" ref="AW178:BT178" si="539">SUM(AW179:AW180)</f>
        <v>0</v>
      </c>
      <c r="AX178" s="363">
        <f t="shared" si="539"/>
        <v>0</v>
      </c>
      <c r="AY178" s="363">
        <f t="shared" si="539"/>
        <v>0</v>
      </c>
      <c r="AZ178" s="363">
        <f t="shared" si="539"/>
        <v>0</v>
      </c>
      <c r="BA178" s="363">
        <f t="shared" si="539"/>
        <v>0</v>
      </c>
      <c r="BB178" s="369">
        <f t="shared" si="539"/>
        <v>0</v>
      </c>
      <c r="BC178" s="367">
        <f t="shared" si="539"/>
        <v>0</v>
      </c>
      <c r="BD178" s="363">
        <f t="shared" si="539"/>
        <v>0</v>
      </c>
      <c r="BE178" s="363">
        <f t="shared" si="539"/>
        <v>0</v>
      </c>
      <c r="BF178" s="363">
        <f t="shared" si="539"/>
        <v>0</v>
      </c>
      <c r="BG178" s="363">
        <f t="shared" si="539"/>
        <v>0</v>
      </c>
      <c r="BH178" s="369">
        <f t="shared" si="539"/>
        <v>0</v>
      </c>
      <c r="BI178" s="367">
        <f t="shared" si="539"/>
        <v>0</v>
      </c>
      <c r="BJ178" s="363">
        <f t="shared" si="539"/>
        <v>0</v>
      </c>
      <c r="BK178" s="363">
        <f t="shared" si="539"/>
        <v>0</v>
      </c>
      <c r="BL178" s="363">
        <f t="shared" si="539"/>
        <v>0</v>
      </c>
      <c r="BM178" s="363">
        <f t="shared" si="539"/>
        <v>0</v>
      </c>
      <c r="BN178" s="369">
        <f t="shared" si="539"/>
        <v>0</v>
      </c>
      <c r="BO178" s="367">
        <f t="shared" si="539"/>
        <v>0</v>
      </c>
      <c r="BP178" s="363">
        <f t="shared" si="539"/>
        <v>0</v>
      </c>
      <c r="BQ178" s="363">
        <f t="shared" si="539"/>
        <v>0</v>
      </c>
      <c r="BR178" s="363">
        <f t="shared" si="539"/>
        <v>0</v>
      </c>
      <c r="BS178" s="363">
        <f t="shared" si="539"/>
        <v>191189.05</v>
      </c>
      <c r="BT178" s="280">
        <f t="shared" si="539"/>
        <v>0</v>
      </c>
    </row>
    <row r="179" spans="1:72" s="313" customFormat="1" ht="25.5" outlineLevel="1">
      <c r="A179" s="287">
        <v>161</v>
      </c>
      <c r="B179" s="933"/>
      <c r="C179" s="840"/>
      <c r="D179" s="841"/>
      <c r="E179" s="839"/>
      <c r="F179" s="821" t="s">
        <v>23</v>
      </c>
      <c r="G179" s="314">
        <v>2</v>
      </c>
      <c r="H179" s="739" t="s">
        <v>71</v>
      </c>
      <c r="I179" s="739">
        <v>244</v>
      </c>
      <c r="J179" s="740">
        <v>223</v>
      </c>
      <c r="K179" s="533" t="s">
        <v>354</v>
      </c>
      <c r="L179" s="341">
        <v>186664.38</v>
      </c>
      <c r="M179" s="318"/>
      <c r="N179" s="318"/>
      <c r="O179" s="318">
        <f t="shared" si="524"/>
        <v>186664.38</v>
      </c>
      <c r="P179" s="570"/>
      <c r="Q179" s="336">
        <v>64258.51</v>
      </c>
      <c r="R179" s="559"/>
      <c r="S179" s="541">
        <v>85556.64</v>
      </c>
      <c r="T179" s="559"/>
      <c r="U179" s="335"/>
      <c r="V179" s="596" t="s">
        <v>444</v>
      </c>
      <c r="W179" s="610" t="s">
        <v>443</v>
      </c>
      <c r="X179" s="597" t="s">
        <v>381</v>
      </c>
      <c r="Z179" s="336">
        <f t="shared" si="525"/>
        <v>0</v>
      </c>
      <c r="AA179" s="337">
        <f t="shared" si="525"/>
        <v>0</v>
      </c>
      <c r="AB179" s="338">
        <f t="shared" si="526"/>
        <v>0</v>
      </c>
      <c r="AC179" s="336">
        <f t="shared" si="527"/>
        <v>0</v>
      </c>
      <c r="AD179" s="337">
        <f t="shared" si="527"/>
        <v>0</v>
      </c>
      <c r="AE179" s="338">
        <f t="shared" si="528"/>
        <v>0</v>
      </c>
      <c r="AF179" s="336">
        <f t="shared" si="529"/>
        <v>0</v>
      </c>
      <c r="AG179" s="337">
        <f t="shared" si="529"/>
        <v>0</v>
      </c>
      <c r="AH179" s="338">
        <f t="shared" si="530"/>
        <v>0</v>
      </c>
      <c r="AI179" s="336">
        <f t="shared" si="531"/>
        <v>186664.38</v>
      </c>
      <c r="AJ179" s="337">
        <f t="shared" si="531"/>
        <v>0</v>
      </c>
      <c r="AK179" s="338">
        <f t="shared" si="532"/>
        <v>186664.38</v>
      </c>
      <c r="AL179" s="342"/>
      <c r="AM179" s="336">
        <f t="shared" si="533"/>
        <v>0</v>
      </c>
      <c r="AN179" s="339">
        <f t="shared" si="533"/>
        <v>0</v>
      </c>
      <c r="AO179" s="340">
        <f t="shared" si="534"/>
        <v>0</v>
      </c>
      <c r="AP179" s="336">
        <f t="shared" si="535"/>
        <v>0</v>
      </c>
      <c r="AQ179" s="339">
        <f t="shared" si="535"/>
        <v>0</v>
      </c>
      <c r="AR179" s="340">
        <f t="shared" si="520"/>
        <v>0</v>
      </c>
      <c r="AS179" s="341">
        <f t="shared" si="521"/>
        <v>186664.38</v>
      </c>
      <c r="AT179" s="339">
        <f t="shared" si="521"/>
        <v>0</v>
      </c>
      <c r="AU179" s="340">
        <f t="shared" si="522"/>
        <v>186664.38</v>
      </c>
      <c r="AV179" s="589">
        <f t="shared" si="523"/>
        <v>0</v>
      </c>
      <c r="AW179" s="343"/>
      <c r="AX179" s="344"/>
      <c r="AY179" s="345"/>
      <c r="AZ179" s="344"/>
      <c r="BA179" s="345"/>
      <c r="BB179" s="346"/>
      <c r="BC179" s="347"/>
      <c r="BD179" s="348"/>
      <c r="BE179" s="349"/>
      <c r="BF179" s="348"/>
      <c r="BG179" s="349"/>
      <c r="BH179" s="350"/>
      <c r="BI179" s="351"/>
      <c r="BJ179" s="352"/>
      <c r="BK179" s="337"/>
      <c r="BL179" s="352"/>
      <c r="BM179" s="337"/>
      <c r="BN179" s="353"/>
      <c r="BO179" s="354"/>
      <c r="BP179" s="355"/>
      <c r="BQ179" s="356"/>
      <c r="BR179" s="355"/>
      <c r="BS179" s="356">
        <v>186664.38</v>
      </c>
      <c r="BT179" s="357"/>
    </row>
    <row r="180" spans="1:72" s="313" customFormat="1" ht="25.5" outlineLevel="1">
      <c r="A180" s="287">
        <v>162</v>
      </c>
      <c r="B180" s="933"/>
      <c r="C180" s="840"/>
      <c r="D180" s="841"/>
      <c r="E180" s="839"/>
      <c r="F180" s="821" t="s">
        <v>23</v>
      </c>
      <c r="G180" s="314">
        <v>2</v>
      </c>
      <c r="H180" s="739" t="s">
        <v>71</v>
      </c>
      <c r="I180" s="739">
        <v>244</v>
      </c>
      <c r="J180" s="740">
        <v>223</v>
      </c>
      <c r="K180" s="533" t="s">
        <v>252</v>
      </c>
      <c r="L180" s="341">
        <v>4524.67</v>
      </c>
      <c r="M180" s="318"/>
      <c r="N180" s="318"/>
      <c r="O180" s="318">
        <f t="shared" si="524"/>
        <v>4524.67</v>
      </c>
      <c r="P180" s="570"/>
      <c r="Q180" s="336">
        <v>4499.1400000000003</v>
      </c>
      <c r="R180" s="559"/>
      <c r="S180" s="541">
        <v>4530.1000000000004</v>
      </c>
      <c r="T180" s="559"/>
      <c r="U180" s="335"/>
      <c r="V180" s="596" t="s">
        <v>444</v>
      </c>
      <c r="W180" s="610" t="s">
        <v>443</v>
      </c>
      <c r="X180" s="597" t="s">
        <v>381</v>
      </c>
      <c r="Z180" s="336">
        <f t="shared" si="525"/>
        <v>0</v>
      </c>
      <c r="AA180" s="337">
        <f t="shared" si="525"/>
        <v>0</v>
      </c>
      <c r="AB180" s="338">
        <f t="shared" si="526"/>
        <v>0</v>
      </c>
      <c r="AC180" s="336">
        <f t="shared" si="527"/>
        <v>0</v>
      </c>
      <c r="AD180" s="337">
        <f t="shared" si="527"/>
        <v>0</v>
      </c>
      <c r="AE180" s="338">
        <f t="shared" si="528"/>
        <v>0</v>
      </c>
      <c r="AF180" s="336">
        <f t="shared" si="529"/>
        <v>0</v>
      </c>
      <c r="AG180" s="337">
        <f t="shared" si="529"/>
        <v>0</v>
      </c>
      <c r="AH180" s="338">
        <f t="shared" si="530"/>
        <v>0</v>
      </c>
      <c r="AI180" s="336">
        <f t="shared" si="531"/>
        <v>4524.67</v>
      </c>
      <c r="AJ180" s="337">
        <f t="shared" si="531"/>
        <v>0</v>
      </c>
      <c r="AK180" s="338">
        <f t="shared" si="532"/>
        <v>4524.67</v>
      </c>
      <c r="AL180" s="342"/>
      <c r="AM180" s="336">
        <f t="shared" si="533"/>
        <v>0</v>
      </c>
      <c r="AN180" s="339">
        <f t="shared" si="533"/>
        <v>0</v>
      </c>
      <c r="AO180" s="340">
        <f t="shared" si="534"/>
        <v>0</v>
      </c>
      <c r="AP180" s="336">
        <f t="shared" si="535"/>
        <v>0</v>
      </c>
      <c r="AQ180" s="339">
        <f t="shared" si="535"/>
        <v>0</v>
      </c>
      <c r="AR180" s="340">
        <f t="shared" si="520"/>
        <v>0</v>
      </c>
      <c r="AS180" s="341">
        <f t="shared" si="521"/>
        <v>4524.67</v>
      </c>
      <c r="AT180" s="339">
        <f t="shared" si="521"/>
        <v>0</v>
      </c>
      <c r="AU180" s="340">
        <f t="shared" si="522"/>
        <v>4524.67</v>
      </c>
      <c r="AV180" s="589">
        <f t="shared" si="523"/>
        <v>0</v>
      </c>
      <c r="AW180" s="343"/>
      <c r="AX180" s="344"/>
      <c r="AY180" s="345"/>
      <c r="AZ180" s="344"/>
      <c r="BA180" s="345"/>
      <c r="BB180" s="346"/>
      <c r="BC180" s="347"/>
      <c r="BD180" s="348"/>
      <c r="BE180" s="349"/>
      <c r="BF180" s="348"/>
      <c r="BG180" s="349"/>
      <c r="BH180" s="350"/>
      <c r="BI180" s="351"/>
      <c r="BJ180" s="352"/>
      <c r="BK180" s="337"/>
      <c r="BL180" s="352"/>
      <c r="BM180" s="337"/>
      <c r="BN180" s="353"/>
      <c r="BO180" s="354"/>
      <c r="BP180" s="355"/>
      <c r="BQ180" s="356"/>
      <c r="BR180" s="355"/>
      <c r="BS180" s="356">
        <v>4524.67</v>
      </c>
      <c r="BT180" s="357"/>
    </row>
    <row r="181" spans="1:72" s="358" customFormat="1" ht="31.5" customHeight="1">
      <c r="A181" s="287">
        <v>163</v>
      </c>
      <c r="B181" s="933"/>
      <c r="C181" s="850" t="s">
        <v>377</v>
      </c>
      <c r="D181" s="838"/>
      <c r="E181" s="836" t="s">
        <v>201</v>
      </c>
      <c r="F181" s="820" t="s">
        <v>23</v>
      </c>
      <c r="G181" s="360">
        <v>2</v>
      </c>
      <c r="H181" s="360" t="s">
        <v>71</v>
      </c>
      <c r="I181" s="360">
        <v>244</v>
      </c>
      <c r="J181" s="361">
        <v>224</v>
      </c>
      <c r="K181" s="532" t="s">
        <v>151</v>
      </c>
      <c r="L181" s="367">
        <f>L182</f>
        <v>0</v>
      </c>
      <c r="M181" s="363"/>
      <c r="N181" s="363"/>
      <c r="O181" s="363">
        <f t="shared" si="524"/>
        <v>0</v>
      </c>
      <c r="P181" s="571"/>
      <c r="Q181" s="367">
        <f>Q182</f>
        <v>0</v>
      </c>
      <c r="R181" s="557"/>
      <c r="S181" s="367">
        <f>S182</f>
        <v>0</v>
      </c>
      <c r="T181" s="557"/>
      <c r="U181" s="365"/>
      <c r="V181" s="366"/>
      <c r="W181" s="366"/>
      <c r="X181" s="366"/>
      <c r="Z181" s="367">
        <f t="shared" si="525"/>
        <v>0</v>
      </c>
      <c r="AA181" s="363">
        <f t="shared" si="525"/>
        <v>0</v>
      </c>
      <c r="AB181" s="280">
        <f t="shared" si="526"/>
        <v>0</v>
      </c>
      <c r="AC181" s="367">
        <f t="shared" si="527"/>
        <v>0</v>
      </c>
      <c r="AD181" s="363">
        <f t="shared" si="527"/>
        <v>0</v>
      </c>
      <c r="AE181" s="280">
        <f t="shared" si="528"/>
        <v>0</v>
      </c>
      <c r="AF181" s="367">
        <f t="shared" si="529"/>
        <v>0</v>
      </c>
      <c r="AG181" s="363">
        <f t="shared" si="529"/>
        <v>0</v>
      </c>
      <c r="AH181" s="280">
        <f t="shared" si="530"/>
        <v>0</v>
      </c>
      <c r="AI181" s="367">
        <f t="shared" si="531"/>
        <v>0</v>
      </c>
      <c r="AJ181" s="363">
        <f t="shared" si="531"/>
        <v>0</v>
      </c>
      <c r="AK181" s="280">
        <f t="shared" si="532"/>
        <v>0</v>
      </c>
      <c r="AL181" s="368"/>
      <c r="AM181" s="367">
        <f t="shared" si="533"/>
        <v>0</v>
      </c>
      <c r="AN181" s="363">
        <f t="shared" si="533"/>
        <v>0</v>
      </c>
      <c r="AO181" s="280">
        <f t="shared" si="534"/>
        <v>0</v>
      </c>
      <c r="AP181" s="367">
        <f t="shared" si="535"/>
        <v>0</v>
      </c>
      <c r="AQ181" s="363">
        <f t="shared" si="535"/>
        <v>0</v>
      </c>
      <c r="AR181" s="280">
        <f t="shared" si="520"/>
        <v>0</v>
      </c>
      <c r="AS181" s="367">
        <f t="shared" si="521"/>
        <v>0</v>
      </c>
      <c r="AT181" s="363">
        <f t="shared" si="521"/>
        <v>0</v>
      </c>
      <c r="AU181" s="280">
        <f t="shared" si="522"/>
        <v>0</v>
      </c>
      <c r="AV181" s="588">
        <f t="shared" si="523"/>
        <v>0</v>
      </c>
      <c r="AW181" s="367">
        <f t="shared" ref="AW181:BT181" si="540">AW182</f>
        <v>0</v>
      </c>
      <c r="AX181" s="363">
        <f t="shared" si="540"/>
        <v>0</v>
      </c>
      <c r="AY181" s="363">
        <f t="shared" si="540"/>
        <v>0</v>
      </c>
      <c r="AZ181" s="363">
        <f t="shared" si="540"/>
        <v>0</v>
      </c>
      <c r="BA181" s="363">
        <f t="shared" si="540"/>
        <v>0</v>
      </c>
      <c r="BB181" s="369">
        <f t="shared" si="540"/>
        <v>0</v>
      </c>
      <c r="BC181" s="367">
        <f t="shared" si="540"/>
        <v>0</v>
      </c>
      <c r="BD181" s="363">
        <f t="shared" si="540"/>
        <v>0</v>
      </c>
      <c r="BE181" s="363">
        <f t="shared" si="540"/>
        <v>0</v>
      </c>
      <c r="BF181" s="363">
        <f t="shared" si="540"/>
        <v>0</v>
      </c>
      <c r="BG181" s="363">
        <f t="shared" si="540"/>
        <v>0</v>
      </c>
      <c r="BH181" s="369">
        <f t="shared" si="540"/>
        <v>0</v>
      </c>
      <c r="BI181" s="367">
        <f t="shared" si="540"/>
        <v>0</v>
      </c>
      <c r="BJ181" s="363">
        <f t="shared" si="540"/>
        <v>0</v>
      </c>
      <c r="BK181" s="363">
        <f t="shared" si="540"/>
        <v>0</v>
      </c>
      <c r="BL181" s="363">
        <f t="shared" si="540"/>
        <v>0</v>
      </c>
      <c r="BM181" s="363">
        <f t="shared" si="540"/>
        <v>0</v>
      </c>
      <c r="BN181" s="369">
        <f t="shared" si="540"/>
        <v>0</v>
      </c>
      <c r="BO181" s="367">
        <f t="shared" si="540"/>
        <v>0</v>
      </c>
      <c r="BP181" s="363">
        <f t="shared" si="540"/>
        <v>0</v>
      </c>
      <c r="BQ181" s="363">
        <f t="shared" si="540"/>
        <v>0</v>
      </c>
      <c r="BR181" s="363">
        <f t="shared" si="540"/>
        <v>0</v>
      </c>
      <c r="BS181" s="363">
        <f t="shared" si="540"/>
        <v>0</v>
      </c>
      <c r="BT181" s="280">
        <f t="shared" si="540"/>
        <v>0</v>
      </c>
    </row>
    <row r="182" spans="1:72" s="313" customFormat="1" ht="38.25" outlineLevel="1">
      <c r="A182" s="287">
        <v>164</v>
      </c>
      <c r="B182" s="933"/>
      <c r="C182" s="840"/>
      <c r="D182" s="841"/>
      <c r="E182" s="839"/>
      <c r="F182" s="821" t="s">
        <v>23</v>
      </c>
      <c r="G182" s="314">
        <v>2</v>
      </c>
      <c r="H182" s="739" t="s">
        <v>71</v>
      </c>
      <c r="I182" s="739">
        <v>244</v>
      </c>
      <c r="J182" s="740">
        <v>224</v>
      </c>
      <c r="K182" s="533" t="s">
        <v>264</v>
      </c>
      <c r="L182" s="336">
        <v>0</v>
      </c>
      <c r="M182" s="318"/>
      <c r="N182" s="318"/>
      <c r="O182" s="318">
        <f t="shared" si="524"/>
        <v>0</v>
      </c>
      <c r="P182" s="570"/>
      <c r="Q182" s="336">
        <v>0</v>
      </c>
      <c r="R182" s="559"/>
      <c r="S182" s="541">
        <v>0</v>
      </c>
      <c r="T182" s="559"/>
      <c r="U182" s="335"/>
      <c r="V182" s="320" t="s">
        <v>265</v>
      </c>
      <c r="W182" s="320"/>
      <c r="X182" s="320"/>
      <c r="Z182" s="336">
        <f t="shared" si="525"/>
        <v>0</v>
      </c>
      <c r="AA182" s="337">
        <f t="shared" si="525"/>
        <v>0</v>
      </c>
      <c r="AB182" s="338">
        <f t="shared" si="526"/>
        <v>0</v>
      </c>
      <c r="AC182" s="336">
        <f t="shared" si="527"/>
        <v>0</v>
      </c>
      <c r="AD182" s="337">
        <f t="shared" si="527"/>
        <v>0</v>
      </c>
      <c r="AE182" s="338">
        <f t="shared" si="528"/>
        <v>0</v>
      </c>
      <c r="AF182" s="336">
        <f t="shared" si="529"/>
        <v>0</v>
      </c>
      <c r="AG182" s="337">
        <f t="shared" si="529"/>
        <v>0</v>
      </c>
      <c r="AH182" s="338">
        <f t="shared" si="530"/>
        <v>0</v>
      </c>
      <c r="AI182" s="336">
        <f t="shared" si="531"/>
        <v>0</v>
      </c>
      <c r="AJ182" s="337">
        <f t="shared" si="531"/>
        <v>0</v>
      </c>
      <c r="AK182" s="338">
        <f t="shared" si="532"/>
        <v>0</v>
      </c>
      <c r="AL182" s="342"/>
      <c r="AM182" s="336">
        <f t="shared" si="533"/>
        <v>0</v>
      </c>
      <c r="AN182" s="339">
        <f t="shared" si="533"/>
        <v>0</v>
      </c>
      <c r="AO182" s="340">
        <f t="shared" si="534"/>
        <v>0</v>
      </c>
      <c r="AP182" s="336">
        <f t="shared" si="535"/>
        <v>0</v>
      </c>
      <c r="AQ182" s="339">
        <f t="shared" si="535"/>
        <v>0</v>
      </c>
      <c r="AR182" s="340">
        <f t="shared" si="520"/>
        <v>0</v>
      </c>
      <c r="AS182" s="341">
        <f t="shared" si="521"/>
        <v>0</v>
      </c>
      <c r="AT182" s="339">
        <f t="shared" si="521"/>
        <v>0</v>
      </c>
      <c r="AU182" s="340">
        <f t="shared" si="522"/>
        <v>0</v>
      </c>
      <c r="AV182" s="589">
        <f t="shared" si="523"/>
        <v>0</v>
      </c>
      <c r="AW182" s="343"/>
      <c r="AX182" s="344"/>
      <c r="AY182" s="345"/>
      <c r="AZ182" s="344"/>
      <c r="BA182" s="345"/>
      <c r="BB182" s="346"/>
      <c r="BC182" s="347"/>
      <c r="BD182" s="348"/>
      <c r="BE182" s="349"/>
      <c r="BF182" s="348"/>
      <c r="BG182" s="349"/>
      <c r="BH182" s="350"/>
      <c r="BI182" s="351"/>
      <c r="BJ182" s="352"/>
      <c r="BK182" s="337"/>
      <c r="BL182" s="352"/>
      <c r="BM182" s="337"/>
      <c r="BN182" s="353"/>
      <c r="BO182" s="354"/>
      <c r="BP182" s="355"/>
      <c r="BQ182" s="356"/>
      <c r="BR182" s="355"/>
      <c r="BS182" s="356"/>
      <c r="BT182" s="357"/>
    </row>
    <row r="183" spans="1:72" s="358" customFormat="1" ht="31.5" customHeight="1">
      <c r="A183" s="287">
        <v>165</v>
      </c>
      <c r="B183" s="933"/>
      <c r="C183" s="850" t="s">
        <v>377</v>
      </c>
      <c r="D183" s="853" t="s">
        <v>207</v>
      </c>
      <c r="E183" s="836" t="s">
        <v>201</v>
      </c>
      <c r="F183" s="820" t="s">
        <v>23</v>
      </c>
      <c r="G183" s="360">
        <v>2</v>
      </c>
      <c r="H183" s="360" t="s">
        <v>71</v>
      </c>
      <c r="I183" s="360">
        <v>244</v>
      </c>
      <c r="J183" s="361">
        <v>225</v>
      </c>
      <c r="K183" s="532" t="s">
        <v>149</v>
      </c>
      <c r="L183" s="367">
        <f>SUM(L184:L187)</f>
        <v>95000</v>
      </c>
      <c r="M183" s="363">
        <f>SUM(M184:M187)</f>
        <v>5000</v>
      </c>
      <c r="N183" s="363">
        <f>SUM(N184:N187)</f>
        <v>0</v>
      </c>
      <c r="O183" s="363">
        <f t="shared" si="524"/>
        <v>95000</v>
      </c>
      <c r="P183" s="571"/>
      <c r="Q183" s="367">
        <f t="shared" ref="Q183:S183" si="541">SUM(Q184:Q187)</f>
        <v>0</v>
      </c>
      <c r="R183" s="557">
        <f t="shared" si="541"/>
        <v>0</v>
      </c>
      <c r="S183" s="367">
        <f t="shared" si="541"/>
        <v>0</v>
      </c>
      <c r="T183" s="557"/>
      <c r="U183" s="365"/>
      <c r="V183" s="366"/>
      <c r="W183" s="366"/>
      <c r="X183" s="366">
        <f>1-X55</f>
        <v>0.15</v>
      </c>
      <c r="Z183" s="367">
        <f t="shared" ref="Z183:AA200" si="542">AW183+AY183+BA183</f>
        <v>39400</v>
      </c>
      <c r="AA183" s="363">
        <f t="shared" si="542"/>
        <v>0</v>
      </c>
      <c r="AB183" s="280">
        <f t="shared" si="526"/>
        <v>39400</v>
      </c>
      <c r="AC183" s="367">
        <f t="shared" ref="AC183:AD200" si="543">BC183+BE183+BG183</f>
        <v>10000</v>
      </c>
      <c r="AD183" s="363">
        <f t="shared" si="543"/>
        <v>0</v>
      </c>
      <c r="AE183" s="280">
        <f t="shared" si="528"/>
        <v>10000</v>
      </c>
      <c r="AF183" s="367">
        <f t="shared" ref="AF183:AG200" si="544">BI183+BK183+BM183</f>
        <v>10100</v>
      </c>
      <c r="AG183" s="363">
        <f t="shared" si="544"/>
        <v>0</v>
      </c>
      <c r="AH183" s="280">
        <f t="shared" si="530"/>
        <v>10100</v>
      </c>
      <c r="AI183" s="367">
        <f t="shared" ref="AI183:AJ200" si="545">BO183+BQ183+BS183</f>
        <v>30500</v>
      </c>
      <c r="AJ183" s="363">
        <f t="shared" si="545"/>
        <v>0</v>
      </c>
      <c r="AK183" s="280">
        <f t="shared" si="532"/>
        <v>30500</v>
      </c>
      <c r="AL183" s="368"/>
      <c r="AM183" s="367">
        <f t="shared" ref="AM183:AN200" si="546">Z183+AC183</f>
        <v>49400</v>
      </c>
      <c r="AN183" s="363">
        <f t="shared" si="546"/>
        <v>0</v>
      </c>
      <c r="AO183" s="280">
        <f t="shared" si="534"/>
        <v>49400</v>
      </c>
      <c r="AP183" s="367">
        <f t="shared" ref="AP183:AQ200" si="547">Z183+AC183+AF183</f>
        <v>59500</v>
      </c>
      <c r="AQ183" s="363">
        <f t="shared" si="547"/>
        <v>0</v>
      </c>
      <c r="AR183" s="280">
        <f t="shared" si="520"/>
        <v>59500</v>
      </c>
      <c r="AS183" s="367">
        <f t="shared" ref="AS183:AT200" si="548">Z183+AC183+AF183+AI183</f>
        <v>90000</v>
      </c>
      <c r="AT183" s="363">
        <f t="shared" si="548"/>
        <v>0</v>
      </c>
      <c r="AU183" s="280">
        <f t="shared" si="522"/>
        <v>90000</v>
      </c>
      <c r="AV183" s="588">
        <f t="shared" si="523"/>
        <v>5000</v>
      </c>
      <c r="AW183" s="367">
        <f t="shared" ref="AW183:BS183" si="549">SUM(AW184:AW187)</f>
        <v>0</v>
      </c>
      <c r="AX183" s="363">
        <f t="shared" si="549"/>
        <v>0</v>
      </c>
      <c r="AY183" s="363">
        <f t="shared" si="549"/>
        <v>10000</v>
      </c>
      <c r="AZ183" s="363">
        <f t="shared" si="549"/>
        <v>0</v>
      </c>
      <c r="BA183" s="363">
        <f t="shared" si="549"/>
        <v>29400</v>
      </c>
      <c r="BB183" s="369">
        <f t="shared" si="549"/>
        <v>0</v>
      </c>
      <c r="BC183" s="367">
        <f t="shared" si="549"/>
        <v>0</v>
      </c>
      <c r="BD183" s="363">
        <f t="shared" si="549"/>
        <v>0</v>
      </c>
      <c r="BE183" s="363">
        <f t="shared" si="549"/>
        <v>10000</v>
      </c>
      <c r="BF183" s="363">
        <f t="shared" si="549"/>
        <v>0</v>
      </c>
      <c r="BG183" s="363">
        <f t="shared" si="549"/>
        <v>0</v>
      </c>
      <c r="BH183" s="369">
        <f t="shared" si="549"/>
        <v>0</v>
      </c>
      <c r="BI183" s="367">
        <f t="shared" si="549"/>
        <v>100</v>
      </c>
      <c r="BJ183" s="363">
        <f t="shared" si="549"/>
        <v>0</v>
      </c>
      <c r="BK183" s="363">
        <f t="shared" si="549"/>
        <v>10000</v>
      </c>
      <c r="BL183" s="363">
        <f t="shared" si="549"/>
        <v>0</v>
      </c>
      <c r="BM183" s="363">
        <f t="shared" si="549"/>
        <v>0</v>
      </c>
      <c r="BN183" s="369">
        <f t="shared" si="549"/>
        <v>0</v>
      </c>
      <c r="BO183" s="367">
        <f t="shared" si="549"/>
        <v>20500</v>
      </c>
      <c r="BP183" s="363">
        <f t="shared" si="549"/>
        <v>0</v>
      </c>
      <c r="BQ183" s="363">
        <f t="shared" si="549"/>
        <v>10000</v>
      </c>
      <c r="BR183" s="363">
        <f t="shared" si="549"/>
        <v>0</v>
      </c>
      <c r="BS183" s="363">
        <f t="shared" si="549"/>
        <v>0</v>
      </c>
      <c r="BT183" s="280">
        <f t="shared" ref="BT183" si="550">SUM(BT184:BT189)</f>
        <v>0</v>
      </c>
    </row>
    <row r="184" spans="1:72" s="313" customFormat="1" ht="76.5" outlineLevel="1">
      <c r="A184" s="287">
        <v>166</v>
      </c>
      <c r="B184" s="935" t="s">
        <v>587</v>
      </c>
      <c r="C184" s="840"/>
      <c r="D184" s="853" t="s">
        <v>207</v>
      </c>
      <c r="E184" s="839"/>
      <c r="F184" s="821" t="s">
        <v>23</v>
      </c>
      <c r="G184" s="314">
        <v>2</v>
      </c>
      <c r="H184" s="739" t="s">
        <v>71</v>
      </c>
      <c r="I184" s="739">
        <v>244</v>
      </c>
      <c r="J184" s="740">
        <v>225</v>
      </c>
      <c r="K184" s="317" t="s">
        <v>263</v>
      </c>
      <c r="L184" s="336">
        <f>50000+M184</f>
        <v>55000</v>
      </c>
      <c r="M184" s="318">
        <v>5000</v>
      </c>
      <c r="N184" s="1006">
        <f>-4500-24900</f>
        <v>-29400</v>
      </c>
      <c r="O184" s="318">
        <f t="shared" si="524"/>
        <v>25600</v>
      </c>
      <c r="P184" s="570"/>
      <c r="Q184" s="336">
        <v>0</v>
      </c>
      <c r="R184" s="559"/>
      <c r="S184" s="541">
        <v>0</v>
      </c>
      <c r="T184" s="559"/>
      <c r="U184" s="335"/>
      <c r="V184" s="320" t="s">
        <v>599</v>
      </c>
      <c r="W184" s="320"/>
      <c r="X184" s="320"/>
      <c r="Z184" s="336">
        <f t="shared" ref="Z184:AA187" si="551">AW184+AY184+BA184</f>
        <v>0</v>
      </c>
      <c r="AA184" s="337">
        <f t="shared" si="551"/>
        <v>0</v>
      </c>
      <c r="AB184" s="338">
        <f>Z184-AA184</f>
        <v>0</v>
      </c>
      <c r="AC184" s="336">
        <f t="shared" ref="AC184:AD187" si="552">BC184+BE184+BG184</f>
        <v>0</v>
      </c>
      <c r="AD184" s="337">
        <f t="shared" si="552"/>
        <v>0</v>
      </c>
      <c r="AE184" s="338">
        <f>AC184-AD184</f>
        <v>0</v>
      </c>
      <c r="AF184" s="336">
        <f t="shared" ref="AF184:AG187" si="553">BI184+BK184+BM184</f>
        <v>100</v>
      </c>
      <c r="AG184" s="337">
        <f t="shared" si="553"/>
        <v>0</v>
      </c>
      <c r="AH184" s="338">
        <f>AF184-AG184</f>
        <v>100</v>
      </c>
      <c r="AI184" s="336">
        <f t="shared" ref="AI184:AJ187" si="554">BO184+BQ184+BS184</f>
        <v>20500</v>
      </c>
      <c r="AJ184" s="337">
        <f t="shared" si="554"/>
        <v>0</v>
      </c>
      <c r="AK184" s="338">
        <f>AI184-AJ184</f>
        <v>20500</v>
      </c>
      <c r="AL184" s="342"/>
      <c r="AM184" s="336">
        <f t="shared" ref="AM184:AN187" si="555">Z184+AC184</f>
        <v>0</v>
      </c>
      <c r="AN184" s="339">
        <f t="shared" si="555"/>
        <v>0</v>
      </c>
      <c r="AO184" s="340">
        <f>AM184-AN184</f>
        <v>0</v>
      </c>
      <c r="AP184" s="336">
        <f t="shared" ref="AP184:AQ187" si="556">Z184+AC184+AF184</f>
        <v>100</v>
      </c>
      <c r="AQ184" s="339">
        <f t="shared" si="556"/>
        <v>0</v>
      </c>
      <c r="AR184" s="340">
        <f>AP184-AQ184</f>
        <v>100</v>
      </c>
      <c r="AS184" s="341">
        <f t="shared" ref="AS184:AT187" si="557">Z184+AC184+AF184+AI184</f>
        <v>20600</v>
      </c>
      <c r="AT184" s="339">
        <f t="shared" si="557"/>
        <v>0</v>
      </c>
      <c r="AU184" s="340">
        <f>AS184-AT184</f>
        <v>20600</v>
      </c>
      <c r="AV184" s="589"/>
      <c r="AW184" s="343"/>
      <c r="AX184" s="344"/>
      <c r="AY184" s="345"/>
      <c r="AZ184" s="344"/>
      <c r="BA184" s="345"/>
      <c r="BB184" s="346"/>
      <c r="BC184" s="347"/>
      <c r="BD184" s="348"/>
      <c r="BE184" s="349"/>
      <c r="BF184" s="348"/>
      <c r="BG184" s="349"/>
      <c r="BH184" s="350"/>
      <c r="BI184" s="351">
        <f>25000-24900</f>
        <v>100</v>
      </c>
      <c r="BJ184" s="352"/>
      <c r="BK184" s="337"/>
      <c r="BL184" s="352"/>
      <c r="BM184" s="337"/>
      <c r="BN184" s="353"/>
      <c r="BO184" s="354">
        <f>25000-4500</f>
        <v>20500</v>
      </c>
      <c r="BP184" s="355"/>
      <c r="BQ184" s="356"/>
      <c r="BR184" s="355"/>
      <c r="BS184" s="356"/>
      <c r="BT184" s="357"/>
    </row>
    <row r="185" spans="1:72" s="313" customFormat="1" ht="38.25" outlineLevel="1">
      <c r="A185" s="287">
        <v>166</v>
      </c>
      <c r="B185" s="935" t="s">
        <v>587</v>
      </c>
      <c r="C185" s="840"/>
      <c r="D185" s="853" t="s">
        <v>207</v>
      </c>
      <c r="E185" s="839"/>
      <c r="F185" s="821" t="s">
        <v>23</v>
      </c>
      <c r="G185" s="314">
        <v>2</v>
      </c>
      <c r="H185" s="739" t="s">
        <v>71</v>
      </c>
      <c r="I185" s="739">
        <v>244</v>
      </c>
      <c r="J185" s="740">
        <v>225</v>
      </c>
      <c r="K185" s="317" t="s">
        <v>600</v>
      </c>
      <c r="L185" s="336">
        <v>0</v>
      </c>
      <c r="M185" s="318"/>
      <c r="N185" s="1006">
        <v>24900</v>
      </c>
      <c r="O185" s="318">
        <f t="shared" ref="O185" si="558">L185+N185</f>
        <v>24900</v>
      </c>
      <c r="P185" s="570"/>
      <c r="Q185" s="336">
        <v>0</v>
      </c>
      <c r="R185" s="559"/>
      <c r="S185" s="541">
        <v>0</v>
      </c>
      <c r="T185" s="559"/>
      <c r="U185" s="335"/>
      <c r="V185" s="320" t="s">
        <v>599</v>
      </c>
      <c r="W185" s="320"/>
      <c r="X185" s="320"/>
      <c r="Z185" s="336">
        <f t="shared" ref="Z185" si="559">AW185+AY185+BA185</f>
        <v>24900</v>
      </c>
      <c r="AA185" s="337">
        <f t="shared" ref="AA185" si="560">AX185+AZ185+BB185</f>
        <v>0</v>
      </c>
      <c r="AB185" s="338">
        <f>Z185-AA185</f>
        <v>24900</v>
      </c>
      <c r="AC185" s="336">
        <f t="shared" ref="AC185" si="561">BC185+BE185+BG185</f>
        <v>0</v>
      </c>
      <c r="AD185" s="337">
        <f t="shared" ref="AD185" si="562">BD185+BF185+BH185</f>
        <v>0</v>
      </c>
      <c r="AE185" s="338">
        <f>AC185-AD185</f>
        <v>0</v>
      </c>
      <c r="AF185" s="336">
        <f t="shared" ref="AF185" si="563">BI185+BK185+BM185</f>
        <v>0</v>
      </c>
      <c r="AG185" s="337">
        <f t="shared" ref="AG185" si="564">BJ185+BL185+BN185</f>
        <v>0</v>
      </c>
      <c r="AH185" s="338">
        <f>AF185-AG185</f>
        <v>0</v>
      </c>
      <c r="AI185" s="336">
        <f t="shared" ref="AI185" si="565">BO185+BQ185+BS185</f>
        <v>0</v>
      </c>
      <c r="AJ185" s="337">
        <f t="shared" ref="AJ185" si="566">BP185+BR185+BT185</f>
        <v>0</v>
      </c>
      <c r="AK185" s="338">
        <f>AI185-AJ185</f>
        <v>0</v>
      </c>
      <c r="AL185" s="342"/>
      <c r="AM185" s="336">
        <f t="shared" ref="AM185" si="567">Z185+AC185</f>
        <v>24900</v>
      </c>
      <c r="AN185" s="339">
        <f t="shared" ref="AN185" si="568">AA185+AD185</f>
        <v>0</v>
      </c>
      <c r="AO185" s="340">
        <f>AM185-AN185</f>
        <v>24900</v>
      </c>
      <c r="AP185" s="336">
        <f t="shared" ref="AP185" si="569">Z185+AC185+AF185</f>
        <v>24900</v>
      </c>
      <c r="AQ185" s="339">
        <f t="shared" ref="AQ185" si="570">AA185+AD185+AG185</f>
        <v>0</v>
      </c>
      <c r="AR185" s="340">
        <f>AP185-AQ185</f>
        <v>24900</v>
      </c>
      <c r="AS185" s="341">
        <f t="shared" ref="AS185" si="571">Z185+AC185+AF185+AI185</f>
        <v>24900</v>
      </c>
      <c r="AT185" s="339">
        <f t="shared" ref="AT185" si="572">AA185+AD185+AG185+AJ185</f>
        <v>0</v>
      </c>
      <c r="AU185" s="340">
        <f>AS185-AT185</f>
        <v>24900</v>
      </c>
      <c r="AV185" s="589"/>
      <c r="AW185" s="343"/>
      <c r="AX185" s="344"/>
      <c r="AY185" s="345"/>
      <c r="AZ185" s="344"/>
      <c r="BA185" s="345">
        <v>24900</v>
      </c>
      <c r="BB185" s="346"/>
      <c r="BC185" s="347"/>
      <c r="BD185" s="348"/>
      <c r="BE185" s="349"/>
      <c r="BF185" s="348"/>
      <c r="BG185" s="349"/>
      <c r="BH185" s="350"/>
      <c r="BI185" s="351"/>
      <c r="BJ185" s="352"/>
      <c r="BK185" s="337"/>
      <c r="BL185" s="352"/>
      <c r="BM185" s="337"/>
      <c r="BN185" s="353"/>
      <c r="BO185" s="354"/>
      <c r="BP185" s="355"/>
      <c r="BQ185" s="356"/>
      <c r="BR185" s="355"/>
      <c r="BS185" s="356"/>
      <c r="BT185" s="357"/>
    </row>
    <row r="186" spans="1:72" s="313" customFormat="1" ht="102">
      <c r="A186" s="839"/>
      <c r="B186" s="935" t="s">
        <v>586</v>
      </c>
      <c r="C186" s="840"/>
      <c r="D186" s="853" t="s">
        <v>207</v>
      </c>
      <c r="E186" s="839"/>
      <c r="F186" s="821" t="s">
        <v>23</v>
      </c>
      <c r="G186" s="314">
        <v>2</v>
      </c>
      <c r="H186" s="739" t="s">
        <v>71</v>
      </c>
      <c r="I186" s="739">
        <v>244</v>
      </c>
      <c r="J186" s="740">
        <v>225</v>
      </c>
      <c r="K186" s="317" t="s">
        <v>585</v>
      </c>
      <c r="L186" s="336">
        <v>0</v>
      </c>
      <c r="M186" s="318"/>
      <c r="N186" s="1006">
        <v>4500</v>
      </c>
      <c r="O186" s="318">
        <f t="shared" si="524"/>
        <v>4500</v>
      </c>
      <c r="P186" s="329"/>
      <c r="Q186" s="319">
        <v>0</v>
      </c>
      <c r="R186" s="329"/>
      <c r="S186" s="319">
        <v>0</v>
      </c>
      <c r="T186" s="329"/>
      <c r="U186" s="335"/>
      <c r="V186" s="320" t="s">
        <v>591</v>
      </c>
      <c r="W186" s="320" t="s">
        <v>589</v>
      </c>
      <c r="X186" s="320" t="s">
        <v>590</v>
      </c>
      <c r="Z186" s="336">
        <f t="shared" si="551"/>
        <v>4500</v>
      </c>
      <c r="AA186" s="337">
        <f t="shared" si="551"/>
        <v>0</v>
      </c>
      <c r="AB186" s="338">
        <f>Z186-AA186</f>
        <v>4500</v>
      </c>
      <c r="AC186" s="336">
        <f t="shared" si="552"/>
        <v>0</v>
      </c>
      <c r="AD186" s="337">
        <f t="shared" si="552"/>
        <v>0</v>
      </c>
      <c r="AE186" s="338">
        <f>AC186-AD186</f>
        <v>0</v>
      </c>
      <c r="AF186" s="336">
        <f t="shared" si="553"/>
        <v>0</v>
      </c>
      <c r="AG186" s="337">
        <f t="shared" si="553"/>
        <v>0</v>
      </c>
      <c r="AH186" s="338">
        <f>AF186-AG186</f>
        <v>0</v>
      </c>
      <c r="AI186" s="336">
        <f t="shared" si="554"/>
        <v>0</v>
      </c>
      <c r="AJ186" s="337">
        <f t="shared" si="554"/>
        <v>0</v>
      </c>
      <c r="AK186" s="338">
        <f>AI186-AJ186</f>
        <v>0</v>
      </c>
      <c r="AL186" s="342"/>
      <c r="AM186" s="336">
        <f t="shared" si="555"/>
        <v>4500</v>
      </c>
      <c r="AN186" s="339">
        <f t="shared" si="555"/>
        <v>0</v>
      </c>
      <c r="AO186" s="340">
        <f>AM186-AN186</f>
        <v>4500</v>
      </c>
      <c r="AP186" s="336">
        <f t="shared" si="556"/>
        <v>4500</v>
      </c>
      <c r="AQ186" s="339">
        <f t="shared" si="556"/>
        <v>0</v>
      </c>
      <c r="AR186" s="340">
        <f>AP186-AQ186</f>
        <v>4500</v>
      </c>
      <c r="AS186" s="341">
        <f t="shared" si="557"/>
        <v>4500</v>
      </c>
      <c r="AT186" s="339">
        <f t="shared" si="557"/>
        <v>0</v>
      </c>
      <c r="AU186" s="340">
        <f>AS186-AT186</f>
        <v>4500</v>
      </c>
      <c r="AV186" s="589"/>
      <c r="AW186" s="343"/>
      <c r="AX186" s="344"/>
      <c r="AY186" s="345"/>
      <c r="AZ186" s="344"/>
      <c r="BA186" s="345">
        <v>4500</v>
      </c>
      <c r="BB186" s="346"/>
      <c r="BC186" s="347"/>
      <c r="BD186" s="348"/>
      <c r="BE186" s="349"/>
      <c r="BF186" s="348"/>
      <c r="BG186" s="349"/>
      <c r="BH186" s="350"/>
      <c r="BI186" s="351"/>
      <c r="BJ186" s="352"/>
      <c r="BK186" s="337"/>
      <c r="BL186" s="352"/>
      <c r="BM186" s="337"/>
      <c r="BN186" s="353"/>
      <c r="BO186" s="354"/>
      <c r="BP186" s="355"/>
      <c r="BQ186" s="356"/>
      <c r="BR186" s="355"/>
      <c r="BS186" s="356"/>
      <c r="BT186" s="357"/>
    </row>
    <row r="187" spans="1:72" s="313" customFormat="1" ht="25.5" outlineLevel="1">
      <c r="A187" s="287">
        <v>167</v>
      </c>
      <c r="B187" s="933"/>
      <c r="C187" s="840"/>
      <c r="D187" s="853" t="s">
        <v>207</v>
      </c>
      <c r="E187" s="839"/>
      <c r="F187" s="821" t="s">
        <v>23</v>
      </c>
      <c r="G187" s="314">
        <v>2</v>
      </c>
      <c r="H187" s="739" t="s">
        <v>71</v>
      </c>
      <c r="I187" s="739">
        <v>244</v>
      </c>
      <c r="J187" s="740">
        <v>225</v>
      </c>
      <c r="K187" s="317" t="s">
        <v>388</v>
      </c>
      <c r="L187" s="336">
        <v>40000</v>
      </c>
      <c r="M187" s="318"/>
      <c r="N187" s="318"/>
      <c r="O187" s="318">
        <f t="shared" si="524"/>
        <v>40000</v>
      </c>
      <c r="P187" s="570"/>
      <c r="Q187" s="336">
        <v>0</v>
      </c>
      <c r="R187" s="559"/>
      <c r="S187" s="541">
        <v>0</v>
      </c>
      <c r="T187" s="559"/>
      <c r="U187" s="335"/>
      <c r="V187" s="596" t="s">
        <v>390</v>
      </c>
      <c r="W187" s="596" t="s">
        <v>445</v>
      </c>
      <c r="X187" s="596" t="s">
        <v>446</v>
      </c>
      <c r="Z187" s="336">
        <f t="shared" si="551"/>
        <v>10000</v>
      </c>
      <c r="AA187" s="337">
        <f t="shared" si="551"/>
        <v>0</v>
      </c>
      <c r="AB187" s="338">
        <f>Z187-AA187</f>
        <v>10000</v>
      </c>
      <c r="AC187" s="336">
        <f t="shared" si="552"/>
        <v>10000</v>
      </c>
      <c r="AD187" s="337">
        <f t="shared" si="552"/>
        <v>0</v>
      </c>
      <c r="AE187" s="338">
        <f>AC187-AD187</f>
        <v>10000</v>
      </c>
      <c r="AF187" s="336">
        <f t="shared" si="553"/>
        <v>10000</v>
      </c>
      <c r="AG187" s="337">
        <f t="shared" si="553"/>
        <v>0</v>
      </c>
      <c r="AH187" s="338">
        <f>AF187-AG187</f>
        <v>10000</v>
      </c>
      <c r="AI187" s="336">
        <f t="shared" si="554"/>
        <v>10000</v>
      </c>
      <c r="AJ187" s="337">
        <f t="shared" si="554"/>
        <v>0</v>
      </c>
      <c r="AK187" s="338">
        <f>AI187-AJ187</f>
        <v>10000</v>
      </c>
      <c r="AL187" s="342"/>
      <c r="AM187" s="336">
        <f t="shared" si="555"/>
        <v>20000</v>
      </c>
      <c r="AN187" s="339">
        <f t="shared" si="555"/>
        <v>0</v>
      </c>
      <c r="AO187" s="340">
        <f>AM187-AN187</f>
        <v>20000</v>
      </c>
      <c r="AP187" s="336">
        <f t="shared" si="556"/>
        <v>30000</v>
      </c>
      <c r="AQ187" s="339">
        <f t="shared" si="556"/>
        <v>0</v>
      </c>
      <c r="AR187" s="340">
        <f>AP187-AQ187</f>
        <v>30000</v>
      </c>
      <c r="AS187" s="341">
        <f t="shared" si="557"/>
        <v>40000</v>
      </c>
      <c r="AT187" s="339">
        <f t="shared" si="557"/>
        <v>0</v>
      </c>
      <c r="AU187" s="340">
        <f>AS187-AT187</f>
        <v>40000</v>
      </c>
      <c r="AV187" s="589"/>
      <c r="AW187" s="343"/>
      <c r="AX187" s="344"/>
      <c r="AY187" s="345">
        <v>10000</v>
      </c>
      <c r="AZ187" s="344"/>
      <c r="BA187" s="345"/>
      <c r="BB187" s="346"/>
      <c r="BC187" s="347"/>
      <c r="BD187" s="348"/>
      <c r="BE187" s="349">
        <v>10000</v>
      </c>
      <c r="BF187" s="348"/>
      <c r="BG187" s="349"/>
      <c r="BH187" s="350"/>
      <c r="BI187" s="351"/>
      <c r="BJ187" s="352"/>
      <c r="BK187" s="337">
        <v>10000</v>
      </c>
      <c r="BL187" s="352"/>
      <c r="BM187" s="337"/>
      <c r="BN187" s="353"/>
      <c r="BO187" s="354"/>
      <c r="BP187" s="355"/>
      <c r="BQ187" s="356">
        <v>10000</v>
      </c>
      <c r="BR187" s="355"/>
      <c r="BS187" s="356"/>
      <c r="BT187" s="357"/>
    </row>
    <row r="188" spans="1:72" s="358" customFormat="1" ht="31.5" customHeight="1">
      <c r="A188" s="287">
        <v>168</v>
      </c>
      <c r="B188" s="933"/>
      <c r="C188" s="850" t="s">
        <v>377</v>
      </c>
      <c r="D188" s="853" t="s">
        <v>207</v>
      </c>
      <c r="E188" s="836" t="s">
        <v>201</v>
      </c>
      <c r="F188" s="820" t="s">
        <v>23</v>
      </c>
      <c r="G188" s="360">
        <v>2</v>
      </c>
      <c r="H188" s="360" t="s">
        <v>71</v>
      </c>
      <c r="I188" s="360">
        <v>244</v>
      </c>
      <c r="J188" s="361">
        <v>225</v>
      </c>
      <c r="K188" s="532" t="s">
        <v>148</v>
      </c>
      <c r="L188" s="367">
        <f>SUM(L189)</f>
        <v>92466.04</v>
      </c>
      <c r="M188" s="363"/>
      <c r="N188" s="363"/>
      <c r="O188" s="363">
        <f t="shared" si="524"/>
        <v>92466.04</v>
      </c>
      <c r="P188" s="571"/>
      <c r="Q188" s="367">
        <f t="shared" ref="Q188:S188" si="573">SUM(Q189)</f>
        <v>88868.2</v>
      </c>
      <c r="R188" s="557">
        <f t="shared" si="573"/>
        <v>0</v>
      </c>
      <c r="S188" s="367">
        <f t="shared" si="573"/>
        <v>88868.21</v>
      </c>
      <c r="T188" s="557"/>
      <c r="U188" s="365"/>
      <c r="V188" s="366"/>
      <c r="W188" s="366"/>
      <c r="X188" s="366">
        <f>1-X58</f>
        <v>1</v>
      </c>
      <c r="Z188" s="367">
        <f t="shared" ref="Z188:AA188" si="574">AW188+AY188+BA188</f>
        <v>0</v>
      </c>
      <c r="AA188" s="363">
        <f t="shared" si="574"/>
        <v>0</v>
      </c>
      <c r="AB188" s="280">
        <f t="shared" ref="AB188" si="575">Z188-AA188</f>
        <v>0</v>
      </c>
      <c r="AC188" s="367">
        <f t="shared" ref="AC188:AD188" si="576">BC188+BE188+BG188</f>
        <v>0</v>
      </c>
      <c r="AD188" s="363">
        <f t="shared" si="576"/>
        <v>0</v>
      </c>
      <c r="AE188" s="280">
        <f t="shared" ref="AE188" si="577">AC188-AD188</f>
        <v>0</v>
      </c>
      <c r="AF188" s="367">
        <f t="shared" ref="AF188:AG188" si="578">BI188+BK188+BM188</f>
        <v>0</v>
      </c>
      <c r="AG188" s="363">
        <f t="shared" si="578"/>
        <v>0</v>
      </c>
      <c r="AH188" s="280">
        <f t="shared" ref="AH188" si="579">AF188-AG188</f>
        <v>0</v>
      </c>
      <c r="AI188" s="367">
        <f t="shared" ref="AI188:AJ188" si="580">BO188+BQ188+BS188</f>
        <v>92466.04</v>
      </c>
      <c r="AJ188" s="363">
        <f t="shared" si="580"/>
        <v>0</v>
      </c>
      <c r="AK188" s="280">
        <f t="shared" ref="AK188" si="581">AI188-AJ188</f>
        <v>92466.04</v>
      </c>
      <c r="AL188" s="368"/>
      <c r="AM188" s="367">
        <f t="shared" ref="AM188:AN188" si="582">Z188+AC188</f>
        <v>0</v>
      </c>
      <c r="AN188" s="363">
        <f t="shared" si="582"/>
        <v>0</v>
      </c>
      <c r="AO188" s="280">
        <f t="shared" ref="AO188" si="583">AM188-AN188</f>
        <v>0</v>
      </c>
      <c r="AP188" s="367">
        <f t="shared" ref="AP188:AQ188" si="584">Z188+AC188+AF188</f>
        <v>0</v>
      </c>
      <c r="AQ188" s="363">
        <f t="shared" si="584"/>
        <v>0</v>
      </c>
      <c r="AR188" s="280">
        <f t="shared" ref="AR188" si="585">AP188-AQ188</f>
        <v>0</v>
      </c>
      <c r="AS188" s="367">
        <f t="shared" ref="AS188:AT188" si="586">Z188+AC188+AF188+AI188</f>
        <v>92466.04</v>
      </c>
      <c r="AT188" s="363">
        <f t="shared" si="586"/>
        <v>0</v>
      </c>
      <c r="AU188" s="280">
        <f t="shared" ref="AU188" si="587">AS188-AT188</f>
        <v>92466.04</v>
      </c>
      <c r="AV188" s="588">
        <f t="shared" ref="AV188:AV222" si="588">L188-AS188</f>
        <v>0</v>
      </c>
      <c r="AW188" s="367">
        <f t="shared" ref="AW188:BS188" si="589">SUM(AW189)</f>
        <v>0</v>
      </c>
      <c r="AX188" s="363">
        <f t="shared" si="589"/>
        <v>0</v>
      </c>
      <c r="AY188" s="363">
        <f t="shared" si="589"/>
        <v>0</v>
      </c>
      <c r="AZ188" s="363">
        <f t="shared" si="589"/>
        <v>0</v>
      </c>
      <c r="BA188" s="363">
        <f t="shared" si="589"/>
        <v>0</v>
      </c>
      <c r="BB188" s="369">
        <f t="shared" si="589"/>
        <v>0</v>
      </c>
      <c r="BC188" s="367">
        <f t="shared" si="589"/>
        <v>0</v>
      </c>
      <c r="BD188" s="363">
        <f t="shared" si="589"/>
        <v>0</v>
      </c>
      <c r="BE188" s="363">
        <f t="shared" si="589"/>
        <v>0</v>
      </c>
      <c r="BF188" s="363">
        <f t="shared" si="589"/>
        <v>0</v>
      </c>
      <c r="BG188" s="363">
        <f t="shared" si="589"/>
        <v>0</v>
      </c>
      <c r="BH188" s="369">
        <f t="shared" si="589"/>
        <v>0</v>
      </c>
      <c r="BI188" s="367">
        <f t="shared" si="589"/>
        <v>0</v>
      </c>
      <c r="BJ188" s="363">
        <f t="shared" si="589"/>
        <v>0</v>
      </c>
      <c r="BK188" s="363">
        <f t="shared" si="589"/>
        <v>0</v>
      </c>
      <c r="BL188" s="363">
        <f t="shared" si="589"/>
        <v>0</v>
      </c>
      <c r="BM188" s="363">
        <f t="shared" si="589"/>
        <v>0</v>
      </c>
      <c r="BN188" s="369">
        <f t="shared" si="589"/>
        <v>0</v>
      </c>
      <c r="BO188" s="367">
        <f t="shared" si="589"/>
        <v>0</v>
      </c>
      <c r="BP188" s="363">
        <f t="shared" si="589"/>
        <v>0</v>
      </c>
      <c r="BQ188" s="363">
        <f t="shared" si="589"/>
        <v>0</v>
      </c>
      <c r="BR188" s="363">
        <f t="shared" si="589"/>
        <v>0</v>
      </c>
      <c r="BS188" s="363">
        <f t="shared" si="589"/>
        <v>92466.04</v>
      </c>
      <c r="BT188" s="280">
        <f t="shared" ref="BT188" si="590">SUM(BT189:BT192)</f>
        <v>0</v>
      </c>
    </row>
    <row r="189" spans="1:72" s="313" customFormat="1" ht="25.5" outlineLevel="1">
      <c r="A189" s="287">
        <v>169</v>
      </c>
      <c r="B189" s="933"/>
      <c r="C189" s="840"/>
      <c r="D189" s="853" t="s">
        <v>207</v>
      </c>
      <c r="E189" s="839"/>
      <c r="F189" s="821" t="s">
        <v>23</v>
      </c>
      <c r="G189" s="314">
        <v>2</v>
      </c>
      <c r="H189" s="739" t="s">
        <v>71</v>
      </c>
      <c r="I189" s="739">
        <v>244</v>
      </c>
      <c r="J189" s="740">
        <v>225</v>
      </c>
      <c r="K189" s="533" t="s">
        <v>209</v>
      </c>
      <c r="L189" s="341">
        <v>92466.04</v>
      </c>
      <c r="M189" s="318"/>
      <c r="N189" s="318"/>
      <c r="O189" s="318">
        <f t="shared" si="524"/>
        <v>92466.04</v>
      </c>
      <c r="P189" s="570"/>
      <c r="Q189" s="336">
        <v>88868.2</v>
      </c>
      <c r="R189" s="559"/>
      <c r="S189" s="541">
        <v>88868.21</v>
      </c>
      <c r="T189" s="559"/>
      <c r="U189" s="335"/>
      <c r="V189" s="320" t="s">
        <v>208</v>
      </c>
      <c r="W189" s="388"/>
      <c r="X189" s="388"/>
      <c r="Z189" s="336">
        <f t="shared" si="542"/>
        <v>0</v>
      </c>
      <c r="AA189" s="337">
        <f t="shared" si="542"/>
        <v>0</v>
      </c>
      <c r="AB189" s="338">
        <f t="shared" si="526"/>
        <v>0</v>
      </c>
      <c r="AC189" s="336">
        <f t="shared" si="543"/>
        <v>0</v>
      </c>
      <c r="AD189" s="337">
        <f t="shared" si="543"/>
        <v>0</v>
      </c>
      <c r="AE189" s="338">
        <f t="shared" si="528"/>
        <v>0</v>
      </c>
      <c r="AF189" s="336">
        <f t="shared" si="544"/>
        <v>0</v>
      </c>
      <c r="AG189" s="337">
        <f t="shared" si="544"/>
        <v>0</v>
      </c>
      <c r="AH189" s="338">
        <f t="shared" si="530"/>
        <v>0</v>
      </c>
      <c r="AI189" s="336">
        <f t="shared" si="545"/>
        <v>92466.04</v>
      </c>
      <c r="AJ189" s="337">
        <f t="shared" si="545"/>
        <v>0</v>
      </c>
      <c r="AK189" s="338">
        <f t="shared" si="532"/>
        <v>92466.04</v>
      </c>
      <c r="AL189" s="342"/>
      <c r="AM189" s="336">
        <f t="shared" si="546"/>
        <v>0</v>
      </c>
      <c r="AN189" s="339">
        <f t="shared" si="546"/>
        <v>0</v>
      </c>
      <c r="AO189" s="340">
        <f t="shared" si="534"/>
        <v>0</v>
      </c>
      <c r="AP189" s="336">
        <f t="shared" si="547"/>
        <v>0</v>
      </c>
      <c r="AQ189" s="339">
        <f t="shared" si="547"/>
        <v>0</v>
      </c>
      <c r="AR189" s="340">
        <f t="shared" si="520"/>
        <v>0</v>
      </c>
      <c r="AS189" s="341">
        <f t="shared" si="548"/>
        <v>92466.04</v>
      </c>
      <c r="AT189" s="339">
        <f t="shared" si="548"/>
        <v>0</v>
      </c>
      <c r="AU189" s="340">
        <f t="shared" si="522"/>
        <v>92466.04</v>
      </c>
      <c r="AV189" s="589">
        <f t="shared" si="588"/>
        <v>0</v>
      </c>
      <c r="AW189" s="343"/>
      <c r="AX189" s="344"/>
      <c r="AY189" s="345"/>
      <c r="AZ189" s="344"/>
      <c r="BA189" s="345"/>
      <c r="BB189" s="346"/>
      <c r="BC189" s="347"/>
      <c r="BD189" s="348"/>
      <c r="BE189" s="349"/>
      <c r="BF189" s="348"/>
      <c r="BG189" s="349"/>
      <c r="BH189" s="350"/>
      <c r="BI189" s="351"/>
      <c r="BJ189" s="352"/>
      <c r="BK189" s="337"/>
      <c r="BL189" s="352"/>
      <c r="BM189" s="337"/>
      <c r="BN189" s="353"/>
      <c r="BO189" s="354"/>
      <c r="BP189" s="355"/>
      <c r="BQ189" s="356"/>
      <c r="BR189" s="355"/>
      <c r="BS189" s="356">
        <v>92466.04</v>
      </c>
      <c r="BT189" s="357"/>
    </row>
    <row r="190" spans="1:72" s="358" customFormat="1" ht="31.5" customHeight="1">
      <c r="A190" s="287">
        <v>170</v>
      </c>
      <c r="B190" s="933"/>
      <c r="C190" s="850" t="s">
        <v>377</v>
      </c>
      <c r="D190" s="853" t="s">
        <v>207</v>
      </c>
      <c r="E190" s="836" t="s">
        <v>201</v>
      </c>
      <c r="F190" s="820" t="s">
        <v>23</v>
      </c>
      <c r="G190" s="360">
        <v>2</v>
      </c>
      <c r="H190" s="360" t="s">
        <v>71</v>
      </c>
      <c r="I190" s="360">
        <v>244</v>
      </c>
      <c r="J190" s="361">
        <v>226</v>
      </c>
      <c r="K190" s="532" t="s">
        <v>150</v>
      </c>
      <c r="L190" s="367">
        <f>L191</f>
        <v>358197.09</v>
      </c>
      <c r="M190" s="363"/>
      <c r="N190" s="363"/>
      <c r="O190" s="363">
        <f t="shared" si="524"/>
        <v>358197.09</v>
      </c>
      <c r="P190" s="571"/>
      <c r="Q190" s="367">
        <f>Q191</f>
        <v>450378.96</v>
      </c>
      <c r="R190" s="557"/>
      <c r="S190" s="367">
        <f>S191</f>
        <v>480483.55</v>
      </c>
      <c r="T190" s="557"/>
      <c r="U190" s="365"/>
      <c r="V190" s="366"/>
      <c r="W190" s="366"/>
      <c r="X190" s="391">
        <f>1-X62</f>
        <v>0.54630000000000001</v>
      </c>
      <c r="Z190" s="367">
        <f t="shared" si="542"/>
        <v>0</v>
      </c>
      <c r="AA190" s="363">
        <f t="shared" si="542"/>
        <v>0</v>
      </c>
      <c r="AB190" s="280">
        <f t="shared" si="526"/>
        <v>0</v>
      </c>
      <c r="AC190" s="367">
        <f t="shared" si="543"/>
        <v>0</v>
      </c>
      <c r="AD190" s="363">
        <f t="shared" si="543"/>
        <v>0</v>
      </c>
      <c r="AE190" s="280">
        <f t="shared" si="528"/>
        <v>0</v>
      </c>
      <c r="AF190" s="367">
        <f t="shared" si="544"/>
        <v>84066.29</v>
      </c>
      <c r="AG190" s="363">
        <f t="shared" si="544"/>
        <v>0</v>
      </c>
      <c r="AH190" s="280">
        <f t="shared" si="530"/>
        <v>84066.29</v>
      </c>
      <c r="AI190" s="367">
        <f t="shared" si="545"/>
        <v>0</v>
      </c>
      <c r="AJ190" s="363">
        <f t="shared" si="545"/>
        <v>0</v>
      </c>
      <c r="AK190" s="280">
        <f t="shared" si="532"/>
        <v>0</v>
      </c>
      <c r="AL190" s="368"/>
      <c r="AM190" s="367">
        <f t="shared" si="546"/>
        <v>0</v>
      </c>
      <c r="AN190" s="363">
        <f t="shared" si="546"/>
        <v>0</v>
      </c>
      <c r="AO190" s="280">
        <f t="shared" si="534"/>
        <v>0</v>
      </c>
      <c r="AP190" s="367">
        <f t="shared" si="547"/>
        <v>84066.29</v>
      </c>
      <c r="AQ190" s="363">
        <f t="shared" si="547"/>
        <v>0</v>
      </c>
      <c r="AR190" s="280">
        <f t="shared" si="520"/>
        <v>84066.29</v>
      </c>
      <c r="AS190" s="367">
        <f t="shared" si="548"/>
        <v>84066.29</v>
      </c>
      <c r="AT190" s="363">
        <f t="shared" si="548"/>
        <v>0</v>
      </c>
      <c r="AU190" s="280">
        <f t="shared" si="522"/>
        <v>84066.29</v>
      </c>
      <c r="AV190" s="588">
        <f t="shared" si="588"/>
        <v>274130.8</v>
      </c>
      <c r="AW190" s="367">
        <f>AW191</f>
        <v>0</v>
      </c>
      <c r="AX190" s="363">
        <f t="shared" ref="AX190:BT190" si="591">AX191</f>
        <v>0</v>
      </c>
      <c r="AY190" s="363">
        <f t="shared" si="591"/>
        <v>0</v>
      </c>
      <c r="AZ190" s="363">
        <f t="shared" si="591"/>
        <v>0</v>
      </c>
      <c r="BA190" s="363">
        <f t="shared" si="591"/>
        <v>0</v>
      </c>
      <c r="BB190" s="369">
        <f t="shared" si="591"/>
        <v>0</v>
      </c>
      <c r="BC190" s="367">
        <f t="shared" si="591"/>
        <v>0</v>
      </c>
      <c r="BD190" s="363">
        <f t="shared" si="591"/>
        <v>0</v>
      </c>
      <c r="BE190" s="363">
        <f t="shared" si="591"/>
        <v>0</v>
      </c>
      <c r="BF190" s="363">
        <f t="shared" si="591"/>
        <v>0</v>
      </c>
      <c r="BG190" s="363">
        <f t="shared" si="591"/>
        <v>0</v>
      </c>
      <c r="BH190" s="369">
        <f t="shared" si="591"/>
        <v>0</v>
      </c>
      <c r="BI190" s="367">
        <f t="shared" si="591"/>
        <v>0</v>
      </c>
      <c r="BJ190" s="363">
        <f t="shared" si="591"/>
        <v>0</v>
      </c>
      <c r="BK190" s="363">
        <f t="shared" si="591"/>
        <v>31266.29</v>
      </c>
      <c r="BL190" s="363">
        <f t="shared" si="591"/>
        <v>0</v>
      </c>
      <c r="BM190" s="363">
        <f t="shared" si="591"/>
        <v>52800</v>
      </c>
      <c r="BN190" s="369">
        <f t="shared" si="591"/>
        <v>0</v>
      </c>
      <c r="BO190" s="367">
        <f t="shared" si="591"/>
        <v>0</v>
      </c>
      <c r="BP190" s="363">
        <f t="shared" si="591"/>
        <v>0</v>
      </c>
      <c r="BQ190" s="363">
        <f t="shared" si="591"/>
        <v>0</v>
      </c>
      <c r="BR190" s="363">
        <f t="shared" si="591"/>
        <v>0</v>
      </c>
      <c r="BS190" s="363">
        <f t="shared" si="591"/>
        <v>0</v>
      </c>
      <c r="BT190" s="280">
        <f t="shared" si="591"/>
        <v>0</v>
      </c>
    </row>
    <row r="191" spans="1:72" s="313" customFormat="1" ht="51" outlineLevel="1">
      <c r="A191" s="287">
        <v>171</v>
      </c>
      <c r="B191" s="933"/>
      <c r="C191" s="840"/>
      <c r="D191" s="853" t="s">
        <v>207</v>
      </c>
      <c r="E191" s="839"/>
      <c r="F191" s="821" t="s">
        <v>23</v>
      </c>
      <c r="G191" s="314">
        <v>2</v>
      </c>
      <c r="H191" s="739" t="s">
        <v>71</v>
      </c>
      <c r="I191" s="739">
        <v>244</v>
      </c>
      <c r="J191" s="740">
        <v>226</v>
      </c>
      <c r="K191" s="533" t="s">
        <v>267</v>
      </c>
      <c r="L191" s="341">
        <f>427623.5-69426.41</f>
        <v>358197.09</v>
      </c>
      <c r="M191" s="318"/>
      <c r="N191" s="318"/>
      <c r="O191" s="318">
        <f t="shared" si="524"/>
        <v>358197.09</v>
      </c>
      <c r="P191" s="570"/>
      <c r="Q191" s="336">
        <f>522589.64-72210.68</f>
        <v>450378.96</v>
      </c>
      <c r="R191" s="559"/>
      <c r="S191" s="541">
        <f>563177.71-82694.16</f>
        <v>480483.55</v>
      </c>
      <c r="T191" s="559"/>
      <c r="U191" s="335"/>
      <c r="V191" s="596" t="s">
        <v>268</v>
      </c>
      <c r="W191" s="597" t="s">
        <v>465</v>
      </c>
      <c r="X191" s="597" t="s">
        <v>416</v>
      </c>
      <c r="Z191" s="336">
        <f t="shared" si="542"/>
        <v>0</v>
      </c>
      <c r="AA191" s="337">
        <f t="shared" si="542"/>
        <v>0</v>
      </c>
      <c r="AB191" s="338">
        <f t="shared" si="526"/>
        <v>0</v>
      </c>
      <c r="AC191" s="336">
        <f t="shared" si="543"/>
        <v>0</v>
      </c>
      <c r="AD191" s="337">
        <f t="shared" si="543"/>
        <v>0</v>
      </c>
      <c r="AE191" s="338">
        <f t="shared" si="528"/>
        <v>0</v>
      </c>
      <c r="AF191" s="336">
        <f t="shared" si="544"/>
        <v>84066.29</v>
      </c>
      <c r="AG191" s="337">
        <f t="shared" si="544"/>
        <v>0</v>
      </c>
      <c r="AH191" s="338">
        <f t="shared" si="530"/>
        <v>84066.29</v>
      </c>
      <c r="AI191" s="336">
        <f t="shared" si="545"/>
        <v>0</v>
      </c>
      <c r="AJ191" s="337">
        <f t="shared" si="545"/>
        <v>0</v>
      </c>
      <c r="AK191" s="338">
        <f t="shared" si="532"/>
        <v>0</v>
      </c>
      <c r="AL191" s="342"/>
      <c r="AM191" s="336">
        <f t="shared" si="546"/>
        <v>0</v>
      </c>
      <c r="AN191" s="339">
        <f t="shared" si="546"/>
        <v>0</v>
      </c>
      <c r="AO191" s="340">
        <f t="shared" si="534"/>
        <v>0</v>
      </c>
      <c r="AP191" s="336">
        <f t="shared" si="547"/>
        <v>84066.29</v>
      </c>
      <c r="AQ191" s="339">
        <f t="shared" si="547"/>
        <v>0</v>
      </c>
      <c r="AR191" s="340">
        <f t="shared" si="520"/>
        <v>84066.29</v>
      </c>
      <c r="AS191" s="341">
        <f t="shared" si="548"/>
        <v>84066.29</v>
      </c>
      <c r="AT191" s="339">
        <f t="shared" si="548"/>
        <v>0</v>
      </c>
      <c r="AU191" s="340">
        <f t="shared" si="522"/>
        <v>84066.29</v>
      </c>
      <c r="AV191" s="589">
        <f t="shared" si="588"/>
        <v>274130.8</v>
      </c>
      <c r="AW191" s="343"/>
      <c r="AX191" s="344"/>
      <c r="AY191" s="345"/>
      <c r="AZ191" s="344"/>
      <c r="BA191" s="345"/>
      <c r="BB191" s="346"/>
      <c r="BC191" s="347"/>
      <c r="BD191" s="348"/>
      <c r="BE191" s="349"/>
      <c r="BF191" s="348"/>
      <c r="BG191" s="349"/>
      <c r="BH191" s="350"/>
      <c r="BI191" s="351"/>
      <c r="BJ191" s="352"/>
      <c r="BK191" s="351">
        <f>(150*12*27+150*4*8)-22133.71</f>
        <v>31266.29</v>
      </c>
      <c r="BL191" s="352"/>
      <c r="BM191" s="337">
        <f>150*12*26+150*5*8</f>
        <v>52800</v>
      </c>
      <c r="BN191" s="353"/>
      <c r="BO191" s="354"/>
      <c r="BP191" s="355"/>
      <c r="BQ191" s="356"/>
      <c r="BR191" s="355"/>
      <c r="BS191" s="356"/>
      <c r="BT191" s="357"/>
    </row>
    <row r="192" spans="1:72" s="358" customFormat="1" ht="31.5" customHeight="1">
      <c r="A192" s="287">
        <v>172</v>
      </c>
      <c r="B192" s="933"/>
      <c r="C192" s="850" t="s">
        <v>377</v>
      </c>
      <c r="D192" s="838"/>
      <c r="E192" s="836" t="s">
        <v>201</v>
      </c>
      <c r="F192" s="820" t="s">
        <v>23</v>
      </c>
      <c r="G192" s="360">
        <v>2</v>
      </c>
      <c r="H192" s="360" t="s">
        <v>71</v>
      </c>
      <c r="I192" s="360">
        <v>244</v>
      </c>
      <c r="J192" s="361">
        <v>226</v>
      </c>
      <c r="K192" s="532" t="s">
        <v>538</v>
      </c>
      <c r="L192" s="367">
        <f>SUM(L193:L208)</f>
        <v>2698347.05</v>
      </c>
      <c r="M192" s="363">
        <f>SUM(M193:M208)</f>
        <v>35000</v>
      </c>
      <c r="N192" s="363">
        <f>SUM(N193:N208)</f>
        <v>-228988.11</v>
      </c>
      <c r="O192" s="363">
        <f t="shared" si="524"/>
        <v>2469358.94</v>
      </c>
      <c r="P192" s="571"/>
      <c r="Q192" s="367">
        <f>SUM(Q193:Q208)</f>
        <v>2662888.88</v>
      </c>
      <c r="R192" s="557"/>
      <c r="S192" s="539">
        <f>SUM(S193:S208)</f>
        <v>2675018.4700000002</v>
      </c>
      <c r="T192" s="557"/>
      <c r="U192" s="365"/>
      <c r="V192" s="366"/>
      <c r="W192" s="366"/>
      <c r="X192" s="366"/>
      <c r="Z192" s="367">
        <f t="shared" si="542"/>
        <v>779816</v>
      </c>
      <c r="AA192" s="363">
        <f t="shared" si="542"/>
        <v>0</v>
      </c>
      <c r="AB192" s="280">
        <f t="shared" si="526"/>
        <v>779816</v>
      </c>
      <c r="AC192" s="367">
        <f t="shared" si="543"/>
        <v>347060</v>
      </c>
      <c r="AD192" s="363">
        <f t="shared" si="543"/>
        <v>0</v>
      </c>
      <c r="AE192" s="280">
        <f t="shared" si="528"/>
        <v>347060</v>
      </c>
      <c r="AF192" s="367">
        <f t="shared" si="544"/>
        <v>440567.55</v>
      </c>
      <c r="AG192" s="363">
        <f t="shared" si="544"/>
        <v>0</v>
      </c>
      <c r="AH192" s="280">
        <f t="shared" si="530"/>
        <v>440567.55</v>
      </c>
      <c r="AI192" s="367">
        <f t="shared" si="545"/>
        <v>1151718.5</v>
      </c>
      <c r="AJ192" s="363">
        <f t="shared" si="545"/>
        <v>0</v>
      </c>
      <c r="AK192" s="280">
        <f t="shared" si="532"/>
        <v>1151718.5</v>
      </c>
      <c r="AL192" s="368"/>
      <c r="AM192" s="367">
        <f t="shared" si="546"/>
        <v>1126876</v>
      </c>
      <c r="AN192" s="363">
        <f t="shared" si="546"/>
        <v>0</v>
      </c>
      <c r="AO192" s="280">
        <f t="shared" si="534"/>
        <v>1126876</v>
      </c>
      <c r="AP192" s="367">
        <f t="shared" si="547"/>
        <v>1567443.55</v>
      </c>
      <c r="AQ192" s="363">
        <f t="shared" si="547"/>
        <v>0</v>
      </c>
      <c r="AR192" s="280">
        <f t="shared" si="520"/>
        <v>1567443.55</v>
      </c>
      <c r="AS192" s="367">
        <f t="shared" si="548"/>
        <v>2719162.05</v>
      </c>
      <c r="AT192" s="363">
        <f t="shared" si="548"/>
        <v>0</v>
      </c>
      <c r="AU192" s="280">
        <f t="shared" si="522"/>
        <v>2719162.05</v>
      </c>
      <c r="AV192" s="588">
        <f t="shared" si="588"/>
        <v>-20815</v>
      </c>
      <c r="AW192" s="367">
        <f t="shared" ref="AW192:BT192" si="592">SUM(AW193:AW208)</f>
        <v>0</v>
      </c>
      <c r="AX192" s="363">
        <f t="shared" si="592"/>
        <v>0</v>
      </c>
      <c r="AY192" s="363">
        <f t="shared" si="592"/>
        <v>66471.960000000006</v>
      </c>
      <c r="AZ192" s="363">
        <f t="shared" si="592"/>
        <v>0</v>
      </c>
      <c r="BA192" s="363">
        <f t="shared" si="592"/>
        <v>713344.04</v>
      </c>
      <c r="BB192" s="369">
        <f t="shared" si="592"/>
        <v>0</v>
      </c>
      <c r="BC192" s="367">
        <f t="shared" si="592"/>
        <v>10560</v>
      </c>
      <c r="BD192" s="363">
        <f t="shared" si="592"/>
        <v>0</v>
      </c>
      <c r="BE192" s="363">
        <f t="shared" si="592"/>
        <v>325500</v>
      </c>
      <c r="BF192" s="363">
        <f t="shared" si="592"/>
        <v>0</v>
      </c>
      <c r="BG192" s="363">
        <f t="shared" si="592"/>
        <v>11000</v>
      </c>
      <c r="BH192" s="369">
        <f t="shared" si="592"/>
        <v>0</v>
      </c>
      <c r="BI192" s="367">
        <f t="shared" si="592"/>
        <v>418567.55</v>
      </c>
      <c r="BJ192" s="363">
        <f t="shared" si="592"/>
        <v>0</v>
      </c>
      <c r="BK192" s="363">
        <f t="shared" si="592"/>
        <v>11000</v>
      </c>
      <c r="BL192" s="363">
        <f t="shared" si="592"/>
        <v>0</v>
      </c>
      <c r="BM192" s="363">
        <f t="shared" si="592"/>
        <v>11000</v>
      </c>
      <c r="BN192" s="369">
        <f t="shared" si="592"/>
        <v>0</v>
      </c>
      <c r="BO192" s="367">
        <f t="shared" si="592"/>
        <v>11000</v>
      </c>
      <c r="BP192" s="363">
        <f t="shared" si="592"/>
        <v>0</v>
      </c>
      <c r="BQ192" s="363">
        <f t="shared" si="592"/>
        <v>11000</v>
      </c>
      <c r="BR192" s="363">
        <f t="shared" si="592"/>
        <v>0</v>
      </c>
      <c r="BS192" s="363">
        <f t="shared" si="592"/>
        <v>1129718.5</v>
      </c>
      <c r="BT192" s="280">
        <f t="shared" si="592"/>
        <v>0</v>
      </c>
    </row>
    <row r="193" spans="1:72" s="615" customFormat="1" ht="38.25" outlineLevel="1">
      <c r="A193" s="287">
        <v>173</v>
      </c>
      <c r="B193" s="933"/>
      <c r="C193" s="866"/>
      <c r="D193" s="841"/>
      <c r="E193" s="867"/>
      <c r="F193" s="832" t="s">
        <v>23</v>
      </c>
      <c r="G193" s="616">
        <v>2</v>
      </c>
      <c r="H193" s="749" t="s">
        <v>71</v>
      </c>
      <c r="I193" s="749">
        <v>244</v>
      </c>
      <c r="J193" s="750">
        <v>226</v>
      </c>
      <c r="K193" s="534" t="s">
        <v>343</v>
      </c>
      <c r="L193" s="510">
        <v>0</v>
      </c>
      <c r="M193" s="619"/>
      <c r="N193" s="619"/>
      <c r="O193" s="619">
        <f t="shared" si="524"/>
        <v>0</v>
      </c>
      <c r="P193" s="620"/>
      <c r="Q193" s="509"/>
      <c r="R193" s="560"/>
      <c r="S193" s="542"/>
      <c r="T193" s="560"/>
      <c r="U193" s="621"/>
      <c r="V193" s="388" t="s">
        <v>253</v>
      </c>
      <c r="W193" s="388" t="s">
        <v>330</v>
      </c>
      <c r="X193" s="388" t="s">
        <v>243</v>
      </c>
      <c r="Z193" s="509">
        <f t="shared" si="542"/>
        <v>0</v>
      </c>
      <c r="AA193" s="622">
        <f t="shared" si="542"/>
        <v>0</v>
      </c>
      <c r="AB193" s="623">
        <f t="shared" si="526"/>
        <v>0</v>
      </c>
      <c r="AC193" s="509">
        <f t="shared" si="543"/>
        <v>0</v>
      </c>
      <c r="AD193" s="622">
        <f t="shared" si="543"/>
        <v>0</v>
      </c>
      <c r="AE193" s="623">
        <f t="shared" si="528"/>
        <v>0</v>
      </c>
      <c r="AF193" s="509">
        <f t="shared" si="544"/>
        <v>0</v>
      </c>
      <c r="AG193" s="622">
        <f t="shared" si="544"/>
        <v>0</v>
      </c>
      <c r="AH193" s="623">
        <f t="shared" si="530"/>
        <v>0</v>
      </c>
      <c r="AI193" s="509">
        <f t="shared" si="545"/>
        <v>0</v>
      </c>
      <c r="AJ193" s="622">
        <f t="shared" si="545"/>
        <v>0</v>
      </c>
      <c r="AK193" s="623">
        <f t="shared" si="532"/>
        <v>0</v>
      </c>
      <c r="AL193" s="624"/>
      <c r="AM193" s="509">
        <f t="shared" si="546"/>
        <v>0</v>
      </c>
      <c r="AN193" s="625">
        <f t="shared" si="546"/>
        <v>0</v>
      </c>
      <c r="AO193" s="626">
        <f t="shared" si="534"/>
        <v>0</v>
      </c>
      <c r="AP193" s="509">
        <f t="shared" si="547"/>
        <v>0</v>
      </c>
      <c r="AQ193" s="625">
        <f t="shared" si="547"/>
        <v>0</v>
      </c>
      <c r="AR193" s="626">
        <f t="shared" si="520"/>
        <v>0</v>
      </c>
      <c r="AS193" s="510">
        <f t="shared" si="548"/>
        <v>0</v>
      </c>
      <c r="AT193" s="625">
        <f t="shared" si="548"/>
        <v>0</v>
      </c>
      <c r="AU193" s="626">
        <f t="shared" si="522"/>
        <v>0</v>
      </c>
      <c r="AV193" s="627">
        <f t="shared" si="588"/>
        <v>0</v>
      </c>
      <c r="AW193" s="628"/>
      <c r="AX193" s="629"/>
      <c r="AY193" s="630"/>
      <c r="AZ193" s="629"/>
      <c r="BA193" s="630"/>
      <c r="BB193" s="631"/>
      <c r="BC193" s="632"/>
      <c r="BD193" s="633"/>
      <c r="BE193" s="634"/>
      <c r="BF193" s="633"/>
      <c r="BG193" s="634"/>
      <c r="BH193" s="635"/>
      <c r="BI193" s="636"/>
      <c r="BJ193" s="637"/>
      <c r="BK193" s="622"/>
      <c r="BL193" s="637"/>
      <c r="BM193" s="622"/>
      <c r="BN193" s="638"/>
      <c r="BO193" s="639"/>
      <c r="BP193" s="640"/>
      <c r="BQ193" s="641"/>
      <c r="BR193" s="640"/>
      <c r="BS193" s="641"/>
      <c r="BT193" s="642"/>
    </row>
    <row r="194" spans="1:72" s="615" customFormat="1" ht="25.5" outlineLevel="1">
      <c r="A194" s="287">
        <v>174</v>
      </c>
      <c r="B194" s="933"/>
      <c r="C194" s="866"/>
      <c r="D194" s="841"/>
      <c r="E194" s="867"/>
      <c r="F194" s="832" t="s">
        <v>23</v>
      </c>
      <c r="G194" s="616">
        <v>2</v>
      </c>
      <c r="H194" s="749" t="s">
        <v>71</v>
      </c>
      <c r="I194" s="749">
        <v>244</v>
      </c>
      <c r="J194" s="750">
        <v>226</v>
      </c>
      <c r="K194" s="534" t="s">
        <v>344</v>
      </c>
      <c r="L194" s="510">
        <v>0</v>
      </c>
      <c r="M194" s="619"/>
      <c r="N194" s="619"/>
      <c r="O194" s="619">
        <f t="shared" si="524"/>
        <v>0</v>
      </c>
      <c r="P194" s="620"/>
      <c r="Q194" s="509"/>
      <c r="R194" s="560"/>
      <c r="S194" s="542"/>
      <c r="T194" s="560"/>
      <c r="U194" s="621"/>
      <c r="V194" s="388" t="s">
        <v>255</v>
      </c>
      <c r="W194" s="388" t="s">
        <v>333</v>
      </c>
      <c r="X194" s="388" t="s">
        <v>334</v>
      </c>
      <c r="Z194" s="509">
        <f t="shared" si="542"/>
        <v>0</v>
      </c>
      <c r="AA194" s="622">
        <f t="shared" si="542"/>
        <v>0</v>
      </c>
      <c r="AB194" s="623">
        <f t="shared" si="526"/>
        <v>0</v>
      </c>
      <c r="AC194" s="509">
        <f t="shared" si="543"/>
        <v>0</v>
      </c>
      <c r="AD194" s="622">
        <f t="shared" si="543"/>
        <v>0</v>
      </c>
      <c r="AE194" s="623">
        <f t="shared" si="528"/>
        <v>0</v>
      </c>
      <c r="AF194" s="509">
        <f t="shared" si="544"/>
        <v>0</v>
      </c>
      <c r="AG194" s="622">
        <f t="shared" si="544"/>
        <v>0</v>
      </c>
      <c r="AH194" s="623">
        <f t="shared" si="530"/>
        <v>0</v>
      </c>
      <c r="AI194" s="509">
        <f t="shared" si="545"/>
        <v>0</v>
      </c>
      <c r="AJ194" s="622">
        <f t="shared" si="545"/>
        <v>0</v>
      </c>
      <c r="AK194" s="623">
        <f t="shared" si="532"/>
        <v>0</v>
      </c>
      <c r="AL194" s="624"/>
      <c r="AM194" s="509">
        <f t="shared" si="546"/>
        <v>0</v>
      </c>
      <c r="AN194" s="625">
        <f t="shared" si="546"/>
        <v>0</v>
      </c>
      <c r="AO194" s="626">
        <f t="shared" si="534"/>
        <v>0</v>
      </c>
      <c r="AP194" s="509">
        <f t="shared" si="547"/>
        <v>0</v>
      </c>
      <c r="AQ194" s="625">
        <f t="shared" si="547"/>
        <v>0</v>
      </c>
      <c r="AR194" s="626">
        <f t="shared" si="520"/>
        <v>0</v>
      </c>
      <c r="AS194" s="510">
        <f t="shared" si="548"/>
        <v>0</v>
      </c>
      <c r="AT194" s="625">
        <f t="shared" si="548"/>
        <v>0</v>
      </c>
      <c r="AU194" s="626">
        <f t="shared" si="522"/>
        <v>0</v>
      </c>
      <c r="AV194" s="627">
        <f t="shared" si="588"/>
        <v>0</v>
      </c>
      <c r="AW194" s="628"/>
      <c r="AX194" s="629"/>
      <c r="AY194" s="630"/>
      <c r="AZ194" s="629"/>
      <c r="BA194" s="630"/>
      <c r="BB194" s="631"/>
      <c r="BC194" s="632"/>
      <c r="BD194" s="633"/>
      <c r="BE194" s="634"/>
      <c r="BF194" s="633"/>
      <c r="BG194" s="634"/>
      <c r="BH194" s="635"/>
      <c r="BI194" s="636"/>
      <c r="BJ194" s="637"/>
      <c r="BK194" s="622"/>
      <c r="BL194" s="637"/>
      <c r="BM194" s="622"/>
      <c r="BN194" s="638"/>
      <c r="BO194" s="639"/>
      <c r="BP194" s="640"/>
      <c r="BQ194" s="641"/>
      <c r="BR194" s="640"/>
      <c r="BS194" s="641"/>
      <c r="BT194" s="642"/>
    </row>
    <row r="195" spans="1:72" s="313" customFormat="1" ht="25.5" outlineLevel="1">
      <c r="A195" s="287">
        <v>175</v>
      </c>
      <c r="B195" s="933"/>
      <c r="C195" s="840"/>
      <c r="D195" s="841"/>
      <c r="E195" s="839"/>
      <c r="F195" s="821" t="s">
        <v>23</v>
      </c>
      <c r="G195" s="314">
        <v>2</v>
      </c>
      <c r="H195" s="739" t="s">
        <v>71</v>
      </c>
      <c r="I195" s="739">
        <v>244</v>
      </c>
      <c r="J195" s="740">
        <v>226</v>
      </c>
      <c r="K195" s="533" t="s">
        <v>345</v>
      </c>
      <c r="L195" s="341">
        <v>156000</v>
      </c>
      <c r="M195" s="318"/>
      <c r="N195" s="318"/>
      <c r="O195" s="318">
        <f t="shared" si="524"/>
        <v>156000</v>
      </c>
      <c r="P195" s="570"/>
      <c r="Q195" s="336">
        <f>28489.72+72210.68</f>
        <v>100700.4</v>
      </c>
      <c r="R195" s="559"/>
      <c r="S195" s="541">
        <f>28489.72+82694.16</f>
        <v>111183.88</v>
      </c>
      <c r="T195" s="559"/>
      <c r="U195" s="335"/>
      <c r="V195" s="596" t="s">
        <v>470</v>
      </c>
      <c r="W195" s="388" t="s">
        <v>503</v>
      </c>
      <c r="X195" s="388" t="s">
        <v>329</v>
      </c>
      <c r="Z195" s="336">
        <f t="shared" si="542"/>
        <v>2409</v>
      </c>
      <c r="AA195" s="337">
        <f t="shared" si="542"/>
        <v>0</v>
      </c>
      <c r="AB195" s="338">
        <f t="shared" si="526"/>
        <v>2409</v>
      </c>
      <c r="AC195" s="336">
        <f t="shared" si="543"/>
        <v>0</v>
      </c>
      <c r="AD195" s="337">
        <f t="shared" si="543"/>
        <v>0</v>
      </c>
      <c r="AE195" s="338">
        <f t="shared" si="528"/>
        <v>0</v>
      </c>
      <c r="AF195" s="336">
        <f t="shared" si="544"/>
        <v>0</v>
      </c>
      <c r="AG195" s="337">
        <f t="shared" si="544"/>
        <v>0</v>
      </c>
      <c r="AH195" s="338">
        <f t="shared" si="530"/>
        <v>0</v>
      </c>
      <c r="AI195" s="336">
        <f t="shared" si="545"/>
        <v>153591</v>
      </c>
      <c r="AJ195" s="337">
        <f t="shared" si="545"/>
        <v>0</v>
      </c>
      <c r="AK195" s="338">
        <f t="shared" si="532"/>
        <v>153591</v>
      </c>
      <c r="AL195" s="342"/>
      <c r="AM195" s="336">
        <f t="shared" si="546"/>
        <v>2409</v>
      </c>
      <c r="AN195" s="339">
        <f t="shared" si="546"/>
        <v>0</v>
      </c>
      <c r="AO195" s="340">
        <f t="shared" si="534"/>
        <v>2409</v>
      </c>
      <c r="AP195" s="336">
        <f t="shared" si="547"/>
        <v>2409</v>
      </c>
      <c r="AQ195" s="339">
        <f t="shared" si="547"/>
        <v>0</v>
      </c>
      <c r="AR195" s="340">
        <f t="shared" si="520"/>
        <v>2409</v>
      </c>
      <c r="AS195" s="341">
        <f t="shared" si="548"/>
        <v>156000</v>
      </c>
      <c r="AT195" s="339">
        <f t="shared" si="548"/>
        <v>0</v>
      </c>
      <c r="AU195" s="340">
        <f t="shared" si="522"/>
        <v>156000</v>
      </c>
      <c r="AV195" s="589">
        <f t="shared" si="588"/>
        <v>0</v>
      </c>
      <c r="AW195" s="343"/>
      <c r="AX195" s="344"/>
      <c r="AY195" s="345">
        <v>2409</v>
      </c>
      <c r="AZ195" s="344"/>
      <c r="BA195" s="345"/>
      <c r="BB195" s="346"/>
      <c r="BC195" s="347"/>
      <c r="BD195" s="348"/>
      <c r="BE195" s="349"/>
      <c r="BF195" s="348"/>
      <c r="BG195" s="349"/>
      <c r="BH195" s="350"/>
      <c r="BI195" s="351"/>
      <c r="BJ195" s="352"/>
      <c r="BK195" s="337"/>
      <c r="BL195" s="352"/>
      <c r="BM195" s="337"/>
      <c r="BN195" s="353"/>
      <c r="BO195" s="354"/>
      <c r="BP195" s="355"/>
      <c r="BQ195" s="356"/>
      <c r="BR195" s="355"/>
      <c r="BS195" s="356">
        <f>156000-2409</f>
        <v>153591</v>
      </c>
      <c r="BT195" s="357"/>
    </row>
    <row r="196" spans="1:72" s="313" customFormat="1" ht="38.25" outlineLevel="1">
      <c r="A196" s="287">
        <v>176</v>
      </c>
      <c r="B196" s="941" t="s">
        <v>482</v>
      </c>
      <c r="C196" s="840"/>
      <c r="D196" s="841"/>
      <c r="E196" s="839"/>
      <c r="F196" s="821" t="s">
        <v>23</v>
      </c>
      <c r="G196" s="314">
        <v>2</v>
      </c>
      <c r="H196" s="739" t="s">
        <v>71</v>
      </c>
      <c r="I196" s="739">
        <v>244</v>
      </c>
      <c r="J196" s="740">
        <v>226</v>
      </c>
      <c r="K196" s="533" t="s">
        <v>346</v>
      </c>
      <c r="L196" s="341">
        <v>12600</v>
      </c>
      <c r="M196" s="318"/>
      <c r="N196" s="318"/>
      <c r="O196" s="318">
        <f t="shared" si="524"/>
        <v>12600</v>
      </c>
      <c r="P196" s="570"/>
      <c r="Q196" s="336"/>
      <c r="R196" s="559"/>
      <c r="S196" s="541"/>
      <c r="T196" s="559"/>
      <c r="U196" s="335"/>
      <c r="V196" s="596" t="s">
        <v>471</v>
      </c>
      <c r="W196" s="610" t="s">
        <v>472</v>
      </c>
      <c r="X196" s="388" t="s">
        <v>235</v>
      </c>
      <c r="Z196" s="336">
        <f t="shared" si="542"/>
        <v>12600</v>
      </c>
      <c r="AA196" s="337">
        <f t="shared" si="542"/>
        <v>0</v>
      </c>
      <c r="AB196" s="338">
        <f t="shared" si="526"/>
        <v>12600</v>
      </c>
      <c r="AC196" s="336">
        <f t="shared" si="543"/>
        <v>0</v>
      </c>
      <c r="AD196" s="337">
        <f t="shared" si="543"/>
        <v>0</v>
      </c>
      <c r="AE196" s="338">
        <f t="shared" si="528"/>
        <v>0</v>
      </c>
      <c r="AF196" s="336">
        <f t="shared" si="544"/>
        <v>0</v>
      </c>
      <c r="AG196" s="337">
        <f t="shared" si="544"/>
        <v>0</v>
      </c>
      <c r="AH196" s="338">
        <f t="shared" si="530"/>
        <v>0</v>
      </c>
      <c r="AI196" s="336">
        <f t="shared" si="545"/>
        <v>0</v>
      </c>
      <c r="AJ196" s="337">
        <f t="shared" si="545"/>
        <v>0</v>
      </c>
      <c r="AK196" s="338">
        <f t="shared" si="532"/>
        <v>0</v>
      </c>
      <c r="AL196" s="342"/>
      <c r="AM196" s="336">
        <f t="shared" si="546"/>
        <v>12600</v>
      </c>
      <c r="AN196" s="339">
        <f t="shared" si="546"/>
        <v>0</v>
      </c>
      <c r="AO196" s="340">
        <f t="shared" si="534"/>
        <v>12600</v>
      </c>
      <c r="AP196" s="336">
        <f t="shared" si="547"/>
        <v>12600</v>
      </c>
      <c r="AQ196" s="339">
        <f t="shared" si="547"/>
        <v>0</v>
      </c>
      <c r="AR196" s="340">
        <f t="shared" si="520"/>
        <v>12600</v>
      </c>
      <c r="AS196" s="341">
        <f t="shared" si="548"/>
        <v>12600</v>
      </c>
      <c r="AT196" s="339">
        <f t="shared" si="548"/>
        <v>0</v>
      </c>
      <c r="AU196" s="340">
        <f t="shared" si="522"/>
        <v>12600</v>
      </c>
      <c r="AV196" s="589">
        <f t="shared" si="588"/>
        <v>0</v>
      </c>
      <c r="AW196" s="343"/>
      <c r="AX196" s="344"/>
      <c r="AY196" s="345">
        <v>12600</v>
      </c>
      <c r="AZ196" s="344"/>
      <c r="BA196" s="345"/>
      <c r="BB196" s="346"/>
      <c r="BC196" s="347"/>
      <c r="BD196" s="348"/>
      <c r="BE196" s="349"/>
      <c r="BF196" s="348"/>
      <c r="BG196" s="349"/>
      <c r="BH196" s="350"/>
      <c r="BI196" s="351"/>
      <c r="BJ196" s="352"/>
      <c r="BK196" s="337"/>
      <c r="BL196" s="352"/>
      <c r="BM196" s="337"/>
      <c r="BN196" s="353"/>
      <c r="BO196" s="354"/>
      <c r="BP196" s="355"/>
      <c r="BQ196" s="356"/>
      <c r="BR196" s="355"/>
      <c r="BS196" s="356"/>
      <c r="BT196" s="357"/>
    </row>
    <row r="197" spans="1:72" s="615" customFormat="1" ht="38.25" outlineLevel="1">
      <c r="A197" s="287">
        <v>177</v>
      </c>
      <c r="B197" s="933"/>
      <c r="C197" s="866"/>
      <c r="D197" s="841"/>
      <c r="E197" s="867"/>
      <c r="F197" s="832" t="s">
        <v>23</v>
      </c>
      <c r="G197" s="616">
        <v>2</v>
      </c>
      <c r="H197" s="749" t="s">
        <v>71</v>
      </c>
      <c r="I197" s="749">
        <v>244</v>
      </c>
      <c r="J197" s="750">
        <v>226</v>
      </c>
      <c r="K197" s="534" t="s">
        <v>371</v>
      </c>
      <c r="L197" s="510">
        <v>0</v>
      </c>
      <c r="M197" s="619"/>
      <c r="N197" s="619"/>
      <c r="O197" s="619">
        <f t="shared" si="524"/>
        <v>0</v>
      </c>
      <c r="P197" s="620"/>
      <c r="Q197" s="509"/>
      <c r="R197" s="560"/>
      <c r="S197" s="542"/>
      <c r="T197" s="560"/>
      <c r="U197" s="621"/>
      <c r="V197" s="388"/>
      <c r="W197" s="388"/>
      <c r="X197" s="388"/>
      <c r="Z197" s="509">
        <f t="shared" si="542"/>
        <v>0</v>
      </c>
      <c r="AA197" s="622">
        <f t="shared" si="542"/>
        <v>0</v>
      </c>
      <c r="AB197" s="623">
        <f t="shared" si="526"/>
        <v>0</v>
      </c>
      <c r="AC197" s="509">
        <f t="shared" si="543"/>
        <v>0</v>
      </c>
      <c r="AD197" s="622">
        <f t="shared" si="543"/>
        <v>0</v>
      </c>
      <c r="AE197" s="623">
        <f t="shared" si="528"/>
        <v>0</v>
      </c>
      <c r="AF197" s="509">
        <f t="shared" si="544"/>
        <v>0</v>
      </c>
      <c r="AG197" s="622">
        <f t="shared" si="544"/>
        <v>0</v>
      </c>
      <c r="AH197" s="623">
        <f t="shared" si="530"/>
        <v>0</v>
      </c>
      <c r="AI197" s="509">
        <f t="shared" si="545"/>
        <v>0</v>
      </c>
      <c r="AJ197" s="622">
        <f t="shared" si="545"/>
        <v>0</v>
      </c>
      <c r="AK197" s="623">
        <f t="shared" si="532"/>
        <v>0</v>
      </c>
      <c r="AL197" s="624"/>
      <c r="AM197" s="509">
        <f t="shared" si="546"/>
        <v>0</v>
      </c>
      <c r="AN197" s="625">
        <f t="shared" si="546"/>
        <v>0</v>
      </c>
      <c r="AO197" s="626">
        <f t="shared" si="534"/>
        <v>0</v>
      </c>
      <c r="AP197" s="509">
        <f t="shared" si="547"/>
        <v>0</v>
      </c>
      <c r="AQ197" s="625">
        <f t="shared" si="547"/>
        <v>0</v>
      </c>
      <c r="AR197" s="626">
        <f t="shared" si="520"/>
        <v>0</v>
      </c>
      <c r="AS197" s="510">
        <f t="shared" si="548"/>
        <v>0</v>
      </c>
      <c r="AT197" s="625">
        <f t="shared" si="548"/>
        <v>0</v>
      </c>
      <c r="AU197" s="626">
        <f t="shared" si="522"/>
        <v>0</v>
      </c>
      <c r="AV197" s="627">
        <f t="shared" si="588"/>
        <v>0</v>
      </c>
      <c r="AW197" s="628"/>
      <c r="AX197" s="629"/>
      <c r="AY197" s="630"/>
      <c r="AZ197" s="629"/>
      <c r="BA197" s="630"/>
      <c r="BB197" s="631"/>
      <c r="BC197" s="632"/>
      <c r="BD197" s="633"/>
      <c r="BE197" s="634"/>
      <c r="BF197" s="633"/>
      <c r="BG197" s="634"/>
      <c r="BH197" s="635"/>
      <c r="BI197" s="636"/>
      <c r="BJ197" s="637"/>
      <c r="BK197" s="622"/>
      <c r="BL197" s="637"/>
      <c r="BM197" s="622"/>
      <c r="BN197" s="638"/>
      <c r="BO197" s="639"/>
      <c r="BP197" s="640"/>
      <c r="BQ197" s="641"/>
      <c r="BR197" s="640"/>
      <c r="BS197" s="641"/>
      <c r="BT197" s="642"/>
    </row>
    <row r="198" spans="1:72" s="615" customFormat="1" ht="38.25" outlineLevel="1">
      <c r="A198" s="287">
        <v>178</v>
      </c>
      <c r="B198" s="933"/>
      <c r="C198" s="866"/>
      <c r="D198" s="841"/>
      <c r="E198" s="867"/>
      <c r="F198" s="832" t="s">
        <v>23</v>
      </c>
      <c r="G198" s="616">
        <v>2</v>
      </c>
      <c r="H198" s="749" t="s">
        <v>71</v>
      </c>
      <c r="I198" s="749">
        <v>244</v>
      </c>
      <c r="J198" s="750">
        <v>226</v>
      </c>
      <c r="K198" s="534" t="s">
        <v>396</v>
      </c>
      <c r="L198" s="510">
        <v>0</v>
      </c>
      <c r="M198" s="619"/>
      <c r="N198" s="619"/>
      <c r="O198" s="619">
        <f t="shared" si="524"/>
        <v>0</v>
      </c>
      <c r="P198" s="620"/>
      <c r="Q198" s="509"/>
      <c r="R198" s="560"/>
      <c r="S198" s="542"/>
      <c r="T198" s="560"/>
      <c r="U198" s="621"/>
      <c r="V198" s="388" t="s">
        <v>331</v>
      </c>
      <c r="W198" s="388" t="s">
        <v>332</v>
      </c>
      <c r="X198" s="388" t="s">
        <v>243</v>
      </c>
      <c r="Z198" s="509">
        <f t="shared" si="542"/>
        <v>0</v>
      </c>
      <c r="AA198" s="622">
        <f t="shared" si="542"/>
        <v>0</v>
      </c>
      <c r="AB198" s="623">
        <f t="shared" si="526"/>
        <v>0</v>
      </c>
      <c r="AC198" s="509">
        <f t="shared" si="543"/>
        <v>0</v>
      </c>
      <c r="AD198" s="622">
        <f t="shared" si="543"/>
        <v>0</v>
      </c>
      <c r="AE198" s="623">
        <f t="shared" si="528"/>
        <v>0</v>
      </c>
      <c r="AF198" s="509">
        <f t="shared" si="544"/>
        <v>0</v>
      </c>
      <c r="AG198" s="622">
        <f t="shared" si="544"/>
        <v>0</v>
      </c>
      <c r="AH198" s="623">
        <f t="shared" si="530"/>
        <v>0</v>
      </c>
      <c r="AI198" s="509">
        <f t="shared" si="545"/>
        <v>0</v>
      </c>
      <c r="AJ198" s="622">
        <f t="shared" si="545"/>
        <v>0</v>
      </c>
      <c r="AK198" s="623">
        <f t="shared" si="532"/>
        <v>0</v>
      </c>
      <c r="AL198" s="624"/>
      <c r="AM198" s="509">
        <f t="shared" si="546"/>
        <v>0</v>
      </c>
      <c r="AN198" s="625">
        <f t="shared" si="546"/>
        <v>0</v>
      </c>
      <c r="AO198" s="626">
        <f t="shared" si="534"/>
        <v>0</v>
      </c>
      <c r="AP198" s="509">
        <f t="shared" si="547"/>
        <v>0</v>
      </c>
      <c r="AQ198" s="625">
        <f t="shared" si="547"/>
        <v>0</v>
      </c>
      <c r="AR198" s="626">
        <f t="shared" si="520"/>
        <v>0</v>
      </c>
      <c r="AS198" s="510">
        <f t="shared" si="548"/>
        <v>0</v>
      </c>
      <c r="AT198" s="625">
        <f t="shared" si="548"/>
        <v>0</v>
      </c>
      <c r="AU198" s="626">
        <f t="shared" si="522"/>
        <v>0</v>
      </c>
      <c r="AV198" s="627">
        <f t="shared" si="588"/>
        <v>0</v>
      </c>
      <c r="AW198" s="628"/>
      <c r="AX198" s="629"/>
      <c r="AY198" s="630"/>
      <c r="AZ198" s="629"/>
      <c r="BA198" s="630"/>
      <c r="BB198" s="631"/>
      <c r="BC198" s="632"/>
      <c r="BD198" s="633"/>
      <c r="BE198" s="634"/>
      <c r="BF198" s="633"/>
      <c r="BG198" s="634"/>
      <c r="BH198" s="635"/>
      <c r="BI198" s="636"/>
      <c r="BJ198" s="637"/>
      <c r="BK198" s="622"/>
      <c r="BL198" s="637"/>
      <c r="BM198" s="622"/>
      <c r="BN198" s="638"/>
      <c r="BO198" s="639"/>
      <c r="BP198" s="640"/>
      <c r="BQ198" s="641"/>
      <c r="BR198" s="640"/>
      <c r="BS198" s="641"/>
      <c r="BT198" s="642"/>
    </row>
    <row r="199" spans="1:72" s="313" customFormat="1" ht="127.5" outlineLevel="1">
      <c r="A199" s="287">
        <v>179</v>
      </c>
      <c r="B199" s="936" t="s">
        <v>605</v>
      </c>
      <c r="C199" s="840"/>
      <c r="D199" s="841"/>
      <c r="E199" s="839"/>
      <c r="F199" s="821" t="s">
        <v>23</v>
      </c>
      <c r="G199" s="314">
        <v>2</v>
      </c>
      <c r="H199" s="739" t="s">
        <v>71</v>
      </c>
      <c r="I199" s="739">
        <v>244</v>
      </c>
      <c r="J199" s="740">
        <v>226</v>
      </c>
      <c r="K199" s="533" t="s">
        <v>575</v>
      </c>
      <c r="L199" s="341">
        <f>1303567.18-100000+69426.41-39600-12600-2500-2700-10560</f>
        <v>1205033.5900000001</v>
      </c>
      <c r="M199" s="318"/>
      <c r="N199" s="318">
        <f>-4828.11-5346-12350-55454-68700-62600-19710-99000</f>
        <v>-327988.11</v>
      </c>
      <c r="O199" s="318">
        <f t="shared" si="524"/>
        <v>877045.48</v>
      </c>
      <c r="P199" s="570"/>
      <c r="Q199" s="336">
        <f>1327835.02-39600</f>
        <v>1288235.02</v>
      </c>
      <c r="R199" s="559"/>
      <c r="S199" s="541">
        <f>1329481.13-39600</f>
        <v>1289881.1299999999</v>
      </c>
      <c r="T199" s="559"/>
      <c r="U199" s="335"/>
      <c r="V199" s="596" t="s">
        <v>338</v>
      </c>
      <c r="W199" s="596" t="s">
        <v>576</v>
      </c>
      <c r="X199" s="596" t="s">
        <v>577</v>
      </c>
      <c r="Z199" s="336">
        <f t="shared" si="542"/>
        <v>120607</v>
      </c>
      <c r="AA199" s="337">
        <f t="shared" si="542"/>
        <v>0</v>
      </c>
      <c r="AB199" s="338">
        <f t="shared" si="526"/>
        <v>120607</v>
      </c>
      <c r="AC199" s="336">
        <f t="shared" si="543"/>
        <v>0</v>
      </c>
      <c r="AD199" s="337">
        <f t="shared" si="543"/>
        <v>0</v>
      </c>
      <c r="AE199" s="338">
        <f t="shared" si="528"/>
        <v>0</v>
      </c>
      <c r="AF199" s="336">
        <f t="shared" si="544"/>
        <v>407567.55</v>
      </c>
      <c r="AG199" s="337">
        <f t="shared" si="544"/>
        <v>0</v>
      </c>
      <c r="AH199" s="338">
        <f t="shared" si="530"/>
        <v>407567.55</v>
      </c>
      <c r="AI199" s="336">
        <f t="shared" si="545"/>
        <v>633674.04</v>
      </c>
      <c r="AJ199" s="337">
        <f t="shared" si="545"/>
        <v>0</v>
      </c>
      <c r="AK199" s="338">
        <f t="shared" si="532"/>
        <v>633674.04</v>
      </c>
      <c r="AL199" s="342"/>
      <c r="AM199" s="336">
        <f t="shared" si="546"/>
        <v>120607</v>
      </c>
      <c r="AN199" s="339">
        <f t="shared" si="546"/>
        <v>0</v>
      </c>
      <c r="AO199" s="340">
        <f t="shared" si="534"/>
        <v>120607</v>
      </c>
      <c r="AP199" s="336">
        <f t="shared" si="547"/>
        <v>528174.55000000005</v>
      </c>
      <c r="AQ199" s="339">
        <f t="shared" si="547"/>
        <v>0</v>
      </c>
      <c r="AR199" s="340">
        <f t="shared" si="520"/>
        <v>528174.55000000005</v>
      </c>
      <c r="AS199" s="341">
        <f t="shared" si="548"/>
        <v>1161848.5900000001</v>
      </c>
      <c r="AT199" s="339">
        <f t="shared" si="548"/>
        <v>0</v>
      </c>
      <c r="AU199" s="340">
        <f t="shared" si="522"/>
        <v>1161848.5900000001</v>
      </c>
      <c r="AV199" s="589">
        <f t="shared" si="588"/>
        <v>43185</v>
      </c>
      <c r="AW199" s="343"/>
      <c r="AX199" s="344"/>
      <c r="AY199" s="345">
        <v>46262.96</v>
      </c>
      <c r="AZ199" s="344"/>
      <c r="BA199" s="345">
        <v>74344.039999999994</v>
      </c>
      <c r="BB199" s="346"/>
      <c r="BC199" s="347"/>
      <c r="BD199" s="348"/>
      <c r="BE199" s="349"/>
      <c r="BF199" s="348"/>
      <c r="BG199" s="349"/>
      <c r="BH199" s="350"/>
      <c r="BI199" s="351">
        <f>439231.55-9130-4290-18244</f>
        <v>407567.55</v>
      </c>
      <c r="BJ199" s="352"/>
      <c r="BK199" s="337"/>
      <c r="BL199" s="352"/>
      <c r="BM199" s="337"/>
      <c r="BN199" s="353"/>
      <c r="BO199" s="354"/>
      <c r="BP199" s="355"/>
      <c r="BQ199" s="356"/>
      <c r="BR199" s="355"/>
      <c r="BS199" s="356">
        <f>534891.85+138382.19-39600</f>
        <v>633674.04</v>
      </c>
      <c r="BT199" s="357"/>
    </row>
    <row r="200" spans="1:72" s="313" customFormat="1" ht="38.25" outlineLevel="1">
      <c r="A200" s="287">
        <v>180</v>
      </c>
      <c r="B200" s="933"/>
      <c r="C200" s="840"/>
      <c r="D200" s="841"/>
      <c r="E200" s="839"/>
      <c r="F200" s="821" t="s">
        <v>23</v>
      </c>
      <c r="G200" s="314">
        <v>2</v>
      </c>
      <c r="H200" s="739" t="s">
        <v>71</v>
      </c>
      <c r="I200" s="739">
        <v>244</v>
      </c>
      <c r="J200" s="740">
        <v>226</v>
      </c>
      <c r="K200" s="533" t="s">
        <v>348</v>
      </c>
      <c r="L200" s="341">
        <v>76788.2</v>
      </c>
      <c r="M200" s="318"/>
      <c r="N200" s="318"/>
      <c r="O200" s="318">
        <f t="shared" si="524"/>
        <v>76788.2</v>
      </c>
      <c r="P200" s="570"/>
      <c r="Q200" s="336">
        <v>76788.2</v>
      </c>
      <c r="R200" s="559"/>
      <c r="S200" s="541">
        <v>76788.2</v>
      </c>
      <c r="T200" s="559"/>
      <c r="U200" s="335"/>
      <c r="V200" s="320" t="s">
        <v>338</v>
      </c>
      <c r="W200" s="388"/>
      <c r="X200" s="388"/>
      <c r="Z200" s="336">
        <f t="shared" si="542"/>
        <v>30000</v>
      </c>
      <c r="AA200" s="337">
        <f t="shared" si="542"/>
        <v>0</v>
      </c>
      <c r="AB200" s="338">
        <f t="shared" si="526"/>
        <v>30000</v>
      </c>
      <c r="AC200" s="336">
        <f t="shared" si="543"/>
        <v>20000</v>
      </c>
      <c r="AD200" s="337">
        <f t="shared" si="543"/>
        <v>0</v>
      </c>
      <c r="AE200" s="338">
        <f t="shared" si="528"/>
        <v>20000</v>
      </c>
      <c r="AF200" s="336">
        <f t="shared" si="544"/>
        <v>0</v>
      </c>
      <c r="AG200" s="337">
        <f t="shared" si="544"/>
        <v>0</v>
      </c>
      <c r="AH200" s="338">
        <f t="shared" si="530"/>
        <v>0</v>
      </c>
      <c r="AI200" s="336">
        <f t="shared" si="545"/>
        <v>26788.2</v>
      </c>
      <c r="AJ200" s="337">
        <f t="shared" si="545"/>
        <v>0</v>
      </c>
      <c r="AK200" s="338">
        <f t="shared" si="532"/>
        <v>26788.2</v>
      </c>
      <c r="AL200" s="342"/>
      <c r="AM200" s="336">
        <f t="shared" si="546"/>
        <v>50000</v>
      </c>
      <c r="AN200" s="339">
        <f t="shared" si="546"/>
        <v>0</v>
      </c>
      <c r="AO200" s="340">
        <f t="shared" si="534"/>
        <v>50000</v>
      </c>
      <c r="AP200" s="336">
        <f t="shared" si="547"/>
        <v>50000</v>
      </c>
      <c r="AQ200" s="339">
        <f t="shared" si="547"/>
        <v>0</v>
      </c>
      <c r="AR200" s="340">
        <f t="shared" si="520"/>
        <v>50000</v>
      </c>
      <c r="AS200" s="341">
        <f t="shared" si="548"/>
        <v>76788.2</v>
      </c>
      <c r="AT200" s="339">
        <f t="shared" si="548"/>
        <v>0</v>
      </c>
      <c r="AU200" s="340">
        <f t="shared" si="522"/>
        <v>76788.2</v>
      </c>
      <c r="AV200" s="589">
        <f t="shared" si="588"/>
        <v>0</v>
      </c>
      <c r="AW200" s="343"/>
      <c r="AX200" s="344"/>
      <c r="AY200" s="345"/>
      <c r="AZ200" s="344"/>
      <c r="BA200" s="345">
        <v>30000</v>
      </c>
      <c r="BB200" s="346"/>
      <c r="BC200" s="347"/>
      <c r="BD200" s="348"/>
      <c r="BE200" s="349">
        <v>20000</v>
      </c>
      <c r="BF200" s="348"/>
      <c r="BG200" s="349"/>
      <c r="BH200" s="350"/>
      <c r="BI200" s="351"/>
      <c r="BJ200" s="352"/>
      <c r="BK200" s="337"/>
      <c r="BL200" s="352"/>
      <c r="BM200" s="337"/>
      <c r="BN200" s="353"/>
      <c r="BO200" s="354"/>
      <c r="BP200" s="355"/>
      <c r="BQ200" s="356"/>
      <c r="BR200" s="355"/>
      <c r="BS200" s="356">
        <v>26788.2</v>
      </c>
      <c r="BT200" s="357"/>
    </row>
    <row r="201" spans="1:72" s="313" customFormat="1" ht="38.25" outlineLevel="1">
      <c r="A201" s="287">
        <v>180</v>
      </c>
      <c r="B201" s="933" t="s">
        <v>604</v>
      </c>
      <c r="C201" s="840"/>
      <c r="D201" s="841"/>
      <c r="E201" s="839"/>
      <c r="F201" s="821" t="s">
        <v>23</v>
      </c>
      <c r="G201" s="314">
        <v>2</v>
      </c>
      <c r="H201" s="739" t="s">
        <v>71</v>
      </c>
      <c r="I201" s="739">
        <v>244</v>
      </c>
      <c r="J201" s="740">
        <v>226</v>
      </c>
      <c r="K201" s="533" t="s">
        <v>603</v>
      </c>
      <c r="L201" s="341">
        <v>0</v>
      </c>
      <c r="M201" s="318"/>
      <c r="N201" s="318">
        <v>99000</v>
      </c>
      <c r="O201" s="318">
        <f t="shared" ref="O201" si="593">L201+N201</f>
        <v>99000</v>
      </c>
      <c r="P201" s="570"/>
      <c r="Q201" s="336">
        <v>0</v>
      </c>
      <c r="R201" s="559"/>
      <c r="S201" s="541">
        <v>0</v>
      </c>
      <c r="T201" s="559"/>
      <c r="U201" s="335"/>
      <c r="V201" s="596" t="s">
        <v>606</v>
      </c>
      <c r="W201" s="596" t="s">
        <v>607</v>
      </c>
      <c r="X201" s="596" t="s">
        <v>608</v>
      </c>
      <c r="Z201" s="336">
        <f t="shared" ref="Z201" si="594">AW201+AY201+BA201</f>
        <v>0</v>
      </c>
      <c r="AA201" s="337">
        <f t="shared" ref="AA201" si="595">AX201+AZ201+BB201</f>
        <v>0</v>
      </c>
      <c r="AB201" s="338">
        <f t="shared" ref="AB201" si="596">Z201-AA201</f>
        <v>0</v>
      </c>
      <c r="AC201" s="336">
        <f t="shared" ref="AC201" si="597">BC201+BE201+BG201</f>
        <v>22000</v>
      </c>
      <c r="AD201" s="337">
        <f t="shared" ref="AD201" si="598">BD201+BF201+BH201</f>
        <v>0</v>
      </c>
      <c r="AE201" s="338">
        <f t="shared" ref="AE201" si="599">AC201-AD201</f>
        <v>22000</v>
      </c>
      <c r="AF201" s="336">
        <f t="shared" ref="AF201" si="600">BI201+BK201+BM201</f>
        <v>33000</v>
      </c>
      <c r="AG201" s="337">
        <f t="shared" ref="AG201" si="601">BJ201+BL201+BN201</f>
        <v>0</v>
      </c>
      <c r="AH201" s="338">
        <f t="shared" ref="AH201" si="602">AF201-AG201</f>
        <v>33000</v>
      </c>
      <c r="AI201" s="336">
        <f t="shared" ref="AI201" si="603">BO201+BQ201+BS201</f>
        <v>44000</v>
      </c>
      <c r="AJ201" s="337">
        <f t="shared" ref="AJ201" si="604">BP201+BR201+BT201</f>
        <v>0</v>
      </c>
      <c r="AK201" s="338">
        <f t="shared" ref="AK201" si="605">AI201-AJ201</f>
        <v>44000</v>
      </c>
      <c r="AL201" s="342"/>
      <c r="AM201" s="336">
        <f t="shared" ref="AM201" si="606">Z201+AC201</f>
        <v>22000</v>
      </c>
      <c r="AN201" s="339">
        <f t="shared" ref="AN201" si="607">AA201+AD201</f>
        <v>0</v>
      </c>
      <c r="AO201" s="340">
        <f t="shared" ref="AO201" si="608">AM201-AN201</f>
        <v>22000</v>
      </c>
      <c r="AP201" s="336">
        <f t="shared" ref="AP201" si="609">Z201+AC201+AF201</f>
        <v>55000</v>
      </c>
      <c r="AQ201" s="339">
        <f t="shared" ref="AQ201" si="610">AA201+AD201+AG201</f>
        <v>0</v>
      </c>
      <c r="AR201" s="340">
        <f t="shared" ref="AR201" si="611">AP201-AQ201</f>
        <v>55000</v>
      </c>
      <c r="AS201" s="341">
        <f t="shared" ref="AS201" si="612">Z201+AC201+AF201+AI201</f>
        <v>99000</v>
      </c>
      <c r="AT201" s="339">
        <f t="shared" ref="AT201" si="613">AA201+AD201+AG201+AJ201</f>
        <v>0</v>
      </c>
      <c r="AU201" s="340">
        <f t="shared" ref="AU201" si="614">AS201-AT201</f>
        <v>99000</v>
      </c>
      <c r="AV201" s="589">
        <f t="shared" ref="AV201" si="615">L201-AS201</f>
        <v>-99000</v>
      </c>
      <c r="AW201" s="343"/>
      <c r="AX201" s="344"/>
      <c r="AY201" s="345"/>
      <c r="AZ201" s="344"/>
      <c r="BA201" s="345"/>
      <c r="BB201" s="346"/>
      <c r="BC201" s="347"/>
      <c r="BD201" s="348"/>
      <c r="BE201" s="349">
        <v>11000</v>
      </c>
      <c r="BF201" s="348"/>
      <c r="BG201" s="349">
        <v>11000</v>
      </c>
      <c r="BH201" s="350"/>
      <c r="BI201" s="351">
        <v>11000</v>
      </c>
      <c r="BJ201" s="352"/>
      <c r="BK201" s="337">
        <v>11000</v>
      </c>
      <c r="BL201" s="352"/>
      <c r="BM201" s="337">
        <v>11000</v>
      </c>
      <c r="BN201" s="353"/>
      <c r="BO201" s="354">
        <v>11000</v>
      </c>
      <c r="BP201" s="355"/>
      <c r="BQ201" s="356">
        <v>11000</v>
      </c>
      <c r="BR201" s="355"/>
      <c r="BS201" s="356">
        <f>11000*2</f>
        <v>22000</v>
      </c>
      <c r="BT201" s="357"/>
    </row>
    <row r="202" spans="1:72" s="313" customFormat="1" ht="25.5" outlineLevel="1">
      <c r="A202" s="287">
        <v>181</v>
      </c>
      <c r="B202" s="933"/>
      <c r="C202" s="840"/>
      <c r="D202" s="841"/>
      <c r="E202" s="839"/>
      <c r="F202" s="821" t="s">
        <v>23</v>
      </c>
      <c r="G202" s="314">
        <v>2</v>
      </c>
      <c r="H202" s="739" t="s">
        <v>71</v>
      </c>
      <c r="I202" s="739">
        <v>244</v>
      </c>
      <c r="J202" s="740">
        <v>226</v>
      </c>
      <c r="K202" s="533" t="s">
        <v>349</v>
      </c>
      <c r="L202" s="341">
        <v>622720</v>
      </c>
      <c r="M202" s="318"/>
      <c r="N202" s="318"/>
      <c r="O202" s="318">
        <f t="shared" si="524"/>
        <v>622720</v>
      </c>
      <c r="P202" s="570"/>
      <c r="Q202" s="336">
        <v>622720</v>
      </c>
      <c r="R202" s="559"/>
      <c r="S202" s="541">
        <v>622720</v>
      </c>
      <c r="T202" s="559"/>
      <c r="U202" s="335"/>
      <c r="V202" s="320" t="s">
        <v>355</v>
      </c>
      <c r="W202" s="388"/>
      <c r="X202" s="388"/>
      <c r="Z202" s="336">
        <f t="shared" ref="Z202:AA242" si="616">AW202+AY202+BA202</f>
        <v>310000</v>
      </c>
      <c r="AA202" s="337">
        <f t="shared" si="616"/>
        <v>0</v>
      </c>
      <c r="AB202" s="338">
        <f t="shared" si="526"/>
        <v>310000</v>
      </c>
      <c r="AC202" s="336">
        <f t="shared" ref="AC202:AD242" si="617">BC202+BE202+BG202</f>
        <v>155000</v>
      </c>
      <c r="AD202" s="337">
        <f t="shared" si="617"/>
        <v>0</v>
      </c>
      <c r="AE202" s="338">
        <f t="shared" si="528"/>
        <v>155000</v>
      </c>
      <c r="AF202" s="336">
        <f t="shared" ref="AF202:AG242" si="618">BI202+BK202+BM202</f>
        <v>0</v>
      </c>
      <c r="AG202" s="337">
        <f t="shared" si="618"/>
        <v>0</v>
      </c>
      <c r="AH202" s="338">
        <f t="shared" si="530"/>
        <v>0</v>
      </c>
      <c r="AI202" s="336">
        <f t="shared" ref="AI202:AJ242" si="619">BO202+BQ202+BS202</f>
        <v>157720</v>
      </c>
      <c r="AJ202" s="337">
        <f t="shared" si="619"/>
        <v>0</v>
      </c>
      <c r="AK202" s="338">
        <f t="shared" si="532"/>
        <v>157720</v>
      </c>
      <c r="AL202" s="342"/>
      <c r="AM202" s="336">
        <f t="shared" ref="AM202:AN242" si="620">Z202+AC202</f>
        <v>465000</v>
      </c>
      <c r="AN202" s="339">
        <f t="shared" si="620"/>
        <v>0</v>
      </c>
      <c r="AO202" s="340">
        <f t="shared" si="534"/>
        <v>465000</v>
      </c>
      <c r="AP202" s="336">
        <f t="shared" ref="AP202:AQ242" si="621">Z202+AC202+AF202</f>
        <v>465000</v>
      </c>
      <c r="AQ202" s="339">
        <f t="shared" si="621"/>
        <v>0</v>
      </c>
      <c r="AR202" s="340">
        <f t="shared" si="520"/>
        <v>465000</v>
      </c>
      <c r="AS202" s="341">
        <f t="shared" ref="AS202:AT242" si="622">Z202+AC202+AF202+AI202</f>
        <v>622720</v>
      </c>
      <c r="AT202" s="339">
        <f t="shared" si="622"/>
        <v>0</v>
      </c>
      <c r="AU202" s="340">
        <f t="shared" si="522"/>
        <v>622720</v>
      </c>
      <c r="AV202" s="589">
        <f t="shared" si="588"/>
        <v>0</v>
      </c>
      <c r="AW202" s="343"/>
      <c r="AX202" s="344"/>
      <c r="AY202" s="345"/>
      <c r="AZ202" s="344"/>
      <c r="BA202" s="345">
        <v>310000</v>
      </c>
      <c r="BB202" s="346"/>
      <c r="BC202" s="347"/>
      <c r="BD202" s="348"/>
      <c r="BE202" s="349">
        <v>155000</v>
      </c>
      <c r="BF202" s="348"/>
      <c r="BG202" s="349"/>
      <c r="BH202" s="350"/>
      <c r="BI202" s="351"/>
      <c r="BJ202" s="352"/>
      <c r="BK202" s="337"/>
      <c r="BL202" s="352"/>
      <c r="BM202" s="337"/>
      <c r="BN202" s="353"/>
      <c r="BO202" s="354"/>
      <c r="BP202" s="355"/>
      <c r="BQ202" s="356"/>
      <c r="BR202" s="355"/>
      <c r="BS202" s="356">
        <v>157720</v>
      </c>
      <c r="BT202" s="357"/>
    </row>
    <row r="203" spans="1:72" s="313" customFormat="1" ht="38.25" outlineLevel="1">
      <c r="A203" s="287">
        <v>182</v>
      </c>
      <c r="B203" s="933"/>
      <c r="C203" s="840"/>
      <c r="D203" s="841"/>
      <c r="E203" s="839"/>
      <c r="F203" s="821" t="s">
        <v>23</v>
      </c>
      <c r="G203" s="314">
        <v>2</v>
      </c>
      <c r="H203" s="739" t="s">
        <v>71</v>
      </c>
      <c r="I203" s="739">
        <v>244</v>
      </c>
      <c r="J203" s="740">
        <v>226</v>
      </c>
      <c r="K203" s="533" t="s">
        <v>350</v>
      </c>
      <c r="L203" s="341">
        <f>138200+M203</f>
        <v>173200</v>
      </c>
      <c r="M203" s="318">
        <v>35000</v>
      </c>
      <c r="N203" s="318"/>
      <c r="O203" s="318">
        <f t="shared" si="524"/>
        <v>173200</v>
      </c>
      <c r="P203" s="570"/>
      <c r="Q203" s="336">
        <v>138200</v>
      </c>
      <c r="R203" s="559"/>
      <c r="S203" s="541">
        <v>138200</v>
      </c>
      <c r="T203" s="559"/>
      <c r="U203" s="335"/>
      <c r="V203" s="320"/>
      <c r="W203" s="388"/>
      <c r="X203" s="388"/>
      <c r="Z203" s="336">
        <f t="shared" si="616"/>
        <v>70000</v>
      </c>
      <c r="AA203" s="337">
        <f t="shared" si="616"/>
        <v>0</v>
      </c>
      <c r="AB203" s="338">
        <f t="shared" si="526"/>
        <v>70000</v>
      </c>
      <c r="AC203" s="336">
        <f t="shared" si="617"/>
        <v>35000</v>
      </c>
      <c r="AD203" s="337">
        <f t="shared" si="617"/>
        <v>0</v>
      </c>
      <c r="AE203" s="338">
        <f t="shared" si="528"/>
        <v>35000</v>
      </c>
      <c r="AF203" s="336">
        <f t="shared" si="618"/>
        <v>0</v>
      </c>
      <c r="AG203" s="337">
        <f t="shared" si="618"/>
        <v>0</v>
      </c>
      <c r="AH203" s="338">
        <f t="shared" si="530"/>
        <v>0</v>
      </c>
      <c r="AI203" s="336">
        <f t="shared" si="619"/>
        <v>33200</v>
      </c>
      <c r="AJ203" s="337">
        <f t="shared" si="619"/>
        <v>0</v>
      </c>
      <c r="AK203" s="338">
        <f t="shared" si="532"/>
        <v>33200</v>
      </c>
      <c r="AL203" s="342"/>
      <c r="AM203" s="336">
        <f t="shared" si="620"/>
        <v>105000</v>
      </c>
      <c r="AN203" s="339">
        <f t="shared" si="620"/>
        <v>0</v>
      </c>
      <c r="AO203" s="340">
        <f t="shared" si="534"/>
        <v>105000</v>
      </c>
      <c r="AP203" s="336">
        <f t="shared" si="621"/>
        <v>105000</v>
      </c>
      <c r="AQ203" s="339">
        <f t="shared" si="621"/>
        <v>0</v>
      </c>
      <c r="AR203" s="340">
        <f t="shared" si="520"/>
        <v>105000</v>
      </c>
      <c r="AS203" s="341">
        <f t="shared" si="622"/>
        <v>138200</v>
      </c>
      <c r="AT203" s="339">
        <f t="shared" si="622"/>
        <v>0</v>
      </c>
      <c r="AU203" s="340">
        <f t="shared" si="522"/>
        <v>138200</v>
      </c>
      <c r="AV203" s="589">
        <f t="shared" si="588"/>
        <v>35000</v>
      </c>
      <c r="AW203" s="343"/>
      <c r="AX203" s="344"/>
      <c r="AY203" s="345"/>
      <c r="AZ203" s="344"/>
      <c r="BA203" s="345">
        <v>70000</v>
      </c>
      <c r="BB203" s="346"/>
      <c r="BC203" s="347"/>
      <c r="BD203" s="348"/>
      <c r="BE203" s="349">
        <v>35000</v>
      </c>
      <c r="BF203" s="348"/>
      <c r="BG203" s="349"/>
      <c r="BH203" s="350"/>
      <c r="BI203" s="351"/>
      <c r="BJ203" s="352"/>
      <c r="BK203" s="337"/>
      <c r="BL203" s="352"/>
      <c r="BM203" s="337"/>
      <c r="BN203" s="353"/>
      <c r="BO203" s="354"/>
      <c r="BP203" s="355"/>
      <c r="BQ203" s="356"/>
      <c r="BR203" s="355"/>
      <c r="BS203" s="356">
        <v>33200</v>
      </c>
      <c r="BT203" s="357"/>
    </row>
    <row r="204" spans="1:72" s="313" customFormat="1" ht="76.5">
      <c r="A204" s="287">
        <v>183</v>
      </c>
      <c r="B204" s="941" t="s">
        <v>517</v>
      </c>
      <c r="C204" s="840"/>
      <c r="D204" s="841"/>
      <c r="E204" s="839"/>
      <c r="F204" s="821" t="s">
        <v>23</v>
      </c>
      <c r="G204" s="314">
        <v>2</v>
      </c>
      <c r="H204" s="739" t="s">
        <v>71</v>
      </c>
      <c r="I204" s="739">
        <v>244</v>
      </c>
      <c r="J204" s="740">
        <v>226</v>
      </c>
      <c r="K204" s="317" t="s">
        <v>478</v>
      </c>
      <c r="L204" s="318">
        <v>2500</v>
      </c>
      <c r="M204" s="318"/>
      <c r="N204" s="318"/>
      <c r="O204" s="318">
        <f t="shared" si="524"/>
        <v>2500</v>
      </c>
      <c r="P204" s="329"/>
      <c r="Q204" s="319">
        <v>0</v>
      </c>
      <c r="R204" s="329"/>
      <c r="S204" s="319">
        <v>0</v>
      </c>
      <c r="T204" s="329"/>
      <c r="U204" s="335"/>
      <c r="V204" s="596" t="s">
        <v>479</v>
      </c>
      <c r="W204" s="596" t="s">
        <v>508</v>
      </c>
      <c r="X204" s="596" t="s">
        <v>509</v>
      </c>
      <c r="Z204" s="336">
        <f t="shared" ref="Z204:AA206" si="623">AW204+AY204+BA204</f>
        <v>2500</v>
      </c>
      <c r="AA204" s="337">
        <f t="shared" si="623"/>
        <v>0</v>
      </c>
      <c r="AB204" s="338">
        <f>Z204-AA204</f>
        <v>2500</v>
      </c>
      <c r="AC204" s="336">
        <f t="shared" ref="AC204:AD206" si="624">BC204+BE204+BG204</f>
        <v>0</v>
      </c>
      <c r="AD204" s="337">
        <f t="shared" si="624"/>
        <v>0</v>
      </c>
      <c r="AE204" s="338">
        <f>AC204-AD204</f>
        <v>0</v>
      </c>
      <c r="AF204" s="336">
        <f t="shared" ref="AF204:AG206" si="625">BI204+BK204+BM204</f>
        <v>0</v>
      </c>
      <c r="AG204" s="337">
        <f t="shared" si="625"/>
        <v>0</v>
      </c>
      <c r="AH204" s="338">
        <f>AF204-AG204</f>
        <v>0</v>
      </c>
      <c r="AI204" s="336">
        <f t="shared" ref="AI204:AJ206" si="626">BO204+BQ204+BS204</f>
        <v>0</v>
      </c>
      <c r="AJ204" s="337">
        <f t="shared" si="626"/>
        <v>0</v>
      </c>
      <c r="AK204" s="338">
        <f>AI204-AJ204</f>
        <v>0</v>
      </c>
      <c r="AL204" s="342"/>
      <c r="AM204" s="336">
        <f t="shared" ref="AM204:AN206" si="627">Z204+AC204</f>
        <v>2500</v>
      </c>
      <c r="AN204" s="339">
        <f t="shared" si="627"/>
        <v>0</v>
      </c>
      <c r="AO204" s="340">
        <f>AM204-AN204</f>
        <v>2500</v>
      </c>
      <c r="AP204" s="336">
        <f t="shared" ref="AP204:AQ206" si="628">Z204+AC204+AF204</f>
        <v>2500</v>
      </c>
      <c r="AQ204" s="339">
        <f t="shared" si="628"/>
        <v>0</v>
      </c>
      <c r="AR204" s="340">
        <f>AP204-AQ204</f>
        <v>2500</v>
      </c>
      <c r="AS204" s="341">
        <f t="shared" ref="AS204:AT206" si="629">Z204+AC204+AF204+AI204</f>
        <v>2500</v>
      </c>
      <c r="AT204" s="339">
        <f t="shared" si="629"/>
        <v>0</v>
      </c>
      <c r="AU204" s="340">
        <f>AS204-AT204</f>
        <v>2500</v>
      </c>
      <c r="AV204" s="589"/>
      <c r="AW204" s="343"/>
      <c r="AX204" s="344"/>
      <c r="AY204" s="345">
        <v>2500</v>
      </c>
      <c r="AZ204" s="344"/>
      <c r="BA204" s="345"/>
      <c r="BB204" s="346"/>
      <c r="BC204" s="347"/>
      <c r="BD204" s="348"/>
      <c r="BE204" s="349"/>
      <c r="BF204" s="348"/>
      <c r="BG204" s="349"/>
      <c r="BH204" s="350"/>
      <c r="BI204" s="351"/>
      <c r="BJ204" s="352"/>
      <c r="BK204" s="337"/>
      <c r="BL204" s="352"/>
      <c r="BM204" s="337"/>
      <c r="BN204" s="353"/>
      <c r="BO204" s="354"/>
      <c r="BP204" s="355"/>
      <c r="BQ204" s="356"/>
      <c r="BR204" s="355"/>
      <c r="BS204" s="356"/>
      <c r="BT204" s="357"/>
    </row>
    <row r="205" spans="1:72" s="313" customFormat="1" ht="102">
      <c r="A205" s="287">
        <v>184</v>
      </c>
      <c r="B205" s="941" t="s">
        <v>517</v>
      </c>
      <c r="C205" s="840"/>
      <c r="D205" s="841"/>
      <c r="E205" s="839"/>
      <c r="F205" s="821" t="s">
        <v>23</v>
      </c>
      <c r="G205" s="314">
        <v>2</v>
      </c>
      <c r="H205" s="739" t="s">
        <v>71</v>
      </c>
      <c r="I205" s="739">
        <v>244</v>
      </c>
      <c r="J205" s="740">
        <v>226</v>
      </c>
      <c r="K205" s="317" t="s">
        <v>480</v>
      </c>
      <c r="L205" s="318">
        <v>2700</v>
      </c>
      <c r="M205" s="318"/>
      <c r="N205" s="318"/>
      <c r="O205" s="318">
        <f t="shared" ref="O205:O206" si="630">L205+N205</f>
        <v>2700</v>
      </c>
      <c r="P205" s="329"/>
      <c r="Q205" s="319">
        <v>0</v>
      </c>
      <c r="R205" s="329"/>
      <c r="S205" s="319">
        <v>0</v>
      </c>
      <c r="T205" s="329"/>
      <c r="U205" s="335"/>
      <c r="V205" s="596" t="s">
        <v>479</v>
      </c>
      <c r="W205" s="596" t="s">
        <v>506</v>
      </c>
      <c r="X205" s="596" t="s">
        <v>507</v>
      </c>
      <c r="Z205" s="336">
        <f t="shared" si="623"/>
        <v>2700</v>
      </c>
      <c r="AA205" s="337">
        <f t="shared" si="623"/>
        <v>0</v>
      </c>
      <c r="AB205" s="338">
        <f>Z205-AA205</f>
        <v>2700</v>
      </c>
      <c r="AC205" s="336">
        <f t="shared" si="624"/>
        <v>0</v>
      </c>
      <c r="AD205" s="337">
        <f t="shared" si="624"/>
        <v>0</v>
      </c>
      <c r="AE205" s="338">
        <f>AC205-AD205</f>
        <v>0</v>
      </c>
      <c r="AF205" s="336">
        <f t="shared" si="625"/>
        <v>0</v>
      </c>
      <c r="AG205" s="337">
        <f t="shared" si="625"/>
        <v>0</v>
      </c>
      <c r="AH205" s="338">
        <f>AF205-AG205</f>
        <v>0</v>
      </c>
      <c r="AI205" s="336">
        <f t="shared" si="626"/>
        <v>0</v>
      </c>
      <c r="AJ205" s="337">
        <f t="shared" si="626"/>
        <v>0</v>
      </c>
      <c r="AK205" s="338">
        <f>AI205-AJ205</f>
        <v>0</v>
      </c>
      <c r="AL205" s="342"/>
      <c r="AM205" s="336">
        <f t="shared" si="627"/>
        <v>2700</v>
      </c>
      <c r="AN205" s="339">
        <f t="shared" si="627"/>
        <v>0</v>
      </c>
      <c r="AO205" s="340">
        <f>AM205-AN205</f>
        <v>2700</v>
      </c>
      <c r="AP205" s="336">
        <f t="shared" si="628"/>
        <v>2700</v>
      </c>
      <c r="AQ205" s="339">
        <f t="shared" si="628"/>
        <v>0</v>
      </c>
      <c r="AR205" s="340">
        <f>AP205-AQ205</f>
        <v>2700</v>
      </c>
      <c r="AS205" s="341">
        <f t="shared" si="629"/>
        <v>2700</v>
      </c>
      <c r="AT205" s="339">
        <f t="shared" si="629"/>
        <v>0</v>
      </c>
      <c r="AU205" s="340">
        <f>AS205-AT205</f>
        <v>2700</v>
      </c>
      <c r="AV205" s="589"/>
      <c r="AW205" s="343"/>
      <c r="AX205" s="344"/>
      <c r="AY205" s="345">
        <v>2700</v>
      </c>
      <c r="AZ205" s="344"/>
      <c r="BA205" s="345"/>
      <c r="BB205" s="346"/>
      <c r="BC205" s="347"/>
      <c r="BD205" s="348"/>
      <c r="BE205" s="349"/>
      <c r="BF205" s="348"/>
      <c r="BG205" s="349"/>
      <c r="BH205" s="350"/>
      <c r="BI205" s="351"/>
      <c r="BJ205" s="352"/>
      <c r="BK205" s="337"/>
      <c r="BL205" s="352"/>
      <c r="BM205" s="337"/>
      <c r="BN205" s="353"/>
      <c r="BO205" s="354"/>
      <c r="BP205" s="355"/>
      <c r="BQ205" s="356"/>
      <c r="BR205" s="355"/>
      <c r="BS205" s="356"/>
      <c r="BT205" s="357"/>
    </row>
    <row r="206" spans="1:72" s="313" customFormat="1" ht="38.25">
      <c r="A206" s="287">
        <v>185</v>
      </c>
      <c r="B206" s="941" t="s">
        <v>517</v>
      </c>
      <c r="C206" s="840"/>
      <c r="D206" s="841"/>
      <c r="E206" s="839"/>
      <c r="F206" s="821" t="s">
        <v>23</v>
      </c>
      <c r="G206" s="314">
        <v>2</v>
      </c>
      <c r="H206" s="739" t="s">
        <v>71</v>
      </c>
      <c r="I206" s="739">
        <v>244</v>
      </c>
      <c r="J206" s="740">
        <v>226</v>
      </c>
      <c r="K206" s="317" t="s">
        <v>548</v>
      </c>
      <c r="L206" s="318">
        <v>10560</v>
      </c>
      <c r="M206" s="318"/>
      <c r="N206" s="318"/>
      <c r="O206" s="318">
        <f t="shared" si="630"/>
        <v>10560</v>
      </c>
      <c r="P206" s="329"/>
      <c r="Q206" s="319">
        <v>0</v>
      </c>
      <c r="R206" s="329"/>
      <c r="S206" s="319">
        <v>0</v>
      </c>
      <c r="T206" s="329"/>
      <c r="U206" s="335"/>
      <c r="V206" s="596" t="s">
        <v>490</v>
      </c>
      <c r="W206" s="596" t="s">
        <v>549</v>
      </c>
      <c r="X206" s="596" t="s">
        <v>550</v>
      </c>
      <c r="Z206" s="336">
        <f t="shared" si="623"/>
        <v>0</v>
      </c>
      <c r="AA206" s="337">
        <f t="shared" si="623"/>
        <v>0</v>
      </c>
      <c r="AB206" s="338">
        <f>Z206-AA206</f>
        <v>0</v>
      </c>
      <c r="AC206" s="336">
        <f t="shared" si="624"/>
        <v>10560</v>
      </c>
      <c r="AD206" s="337">
        <f t="shared" si="624"/>
        <v>0</v>
      </c>
      <c r="AE206" s="338">
        <f>AC206-AD206</f>
        <v>10560</v>
      </c>
      <c r="AF206" s="336">
        <f t="shared" si="625"/>
        <v>0</v>
      </c>
      <c r="AG206" s="337">
        <f t="shared" si="625"/>
        <v>0</v>
      </c>
      <c r="AH206" s="338">
        <f>AF206-AG206</f>
        <v>0</v>
      </c>
      <c r="AI206" s="336">
        <f t="shared" si="626"/>
        <v>0</v>
      </c>
      <c r="AJ206" s="337">
        <f t="shared" si="626"/>
        <v>0</v>
      </c>
      <c r="AK206" s="338">
        <f>AI206-AJ206</f>
        <v>0</v>
      </c>
      <c r="AL206" s="342"/>
      <c r="AM206" s="336">
        <f t="shared" si="627"/>
        <v>10560</v>
      </c>
      <c r="AN206" s="339">
        <f t="shared" si="627"/>
        <v>0</v>
      </c>
      <c r="AO206" s="340">
        <f>AM206-AN206</f>
        <v>10560</v>
      </c>
      <c r="AP206" s="336">
        <f t="shared" si="628"/>
        <v>10560</v>
      </c>
      <c r="AQ206" s="339">
        <f t="shared" si="628"/>
        <v>0</v>
      </c>
      <c r="AR206" s="340">
        <f>AP206-AQ206</f>
        <v>10560</v>
      </c>
      <c r="AS206" s="341">
        <f t="shared" si="629"/>
        <v>10560</v>
      </c>
      <c r="AT206" s="339">
        <f t="shared" si="629"/>
        <v>0</v>
      </c>
      <c r="AU206" s="340">
        <f>AS206-AT206</f>
        <v>10560</v>
      </c>
      <c r="AV206" s="589"/>
      <c r="AW206" s="343"/>
      <c r="AX206" s="344"/>
      <c r="AY206" s="345"/>
      <c r="AZ206" s="344"/>
      <c r="BA206" s="345"/>
      <c r="BB206" s="346"/>
      <c r="BC206" s="347">
        <v>10560</v>
      </c>
      <c r="BD206" s="348"/>
      <c r="BE206" s="349"/>
      <c r="BF206" s="348"/>
      <c r="BG206" s="349"/>
      <c r="BH206" s="350"/>
      <c r="BI206" s="351"/>
      <c r="BJ206" s="352"/>
      <c r="BK206" s="337"/>
      <c r="BL206" s="352"/>
      <c r="BM206" s="337"/>
      <c r="BN206" s="353"/>
      <c r="BO206" s="354"/>
      <c r="BP206" s="355"/>
      <c r="BQ206" s="356"/>
      <c r="BR206" s="355"/>
      <c r="BS206" s="356"/>
      <c r="BT206" s="357"/>
    </row>
    <row r="207" spans="1:72" s="313" customFormat="1" ht="51" outlineLevel="1">
      <c r="A207" s="287">
        <v>186</v>
      </c>
      <c r="B207" s="933"/>
      <c r="C207" s="840"/>
      <c r="D207" s="841"/>
      <c r="E207" s="839"/>
      <c r="F207" s="821" t="s">
        <v>23</v>
      </c>
      <c r="G207" s="314">
        <v>2</v>
      </c>
      <c r="H207" s="739" t="s">
        <v>71</v>
      </c>
      <c r="I207" s="739">
        <v>244</v>
      </c>
      <c r="J207" s="740">
        <v>226</v>
      </c>
      <c r="K207" s="533" t="s">
        <v>372</v>
      </c>
      <c r="L207" s="341">
        <v>17655.259999999998</v>
      </c>
      <c r="M207" s="318"/>
      <c r="N207" s="318"/>
      <c r="O207" s="318">
        <f t="shared" si="524"/>
        <v>17655.259999999998</v>
      </c>
      <c r="P207" s="570"/>
      <c r="Q207" s="336">
        <v>17655.259999999998</v>
      </c>
      <c r="R207" s="559"/>
      <c r="S207" s="541">
        <v>17655.259999999998</v>
      </c>
      <c r="T207" s="559"/>
      <c r="U207" s="335"/>
      <c r="V207" s="320"/>
      <c r="W207" s="388"/>
      <c r="X207" s="388"/>
      <c r="Z207" s="336">
        <f t="shared" si="616"/>
        <v>9000</v>
      </c>
      <c r="AA207" s="337">
        <f t="shared" si="616"/>
        <v>0</v>
      </c>
      <c r="AB207" s="338">
        <f t="shared" si="526"/>
        <v>9000</v>
      </c>
      <c r="AC207" s="336">
        <f t="shared" si="617"/>
        <v>4500</v>
      </c>
      <c r="AD207" s="337">
        <f t="shared" si="617"/>
        <v>0</v>
      </c>
      <c r="AE207" s="338">
        <f t="shared" si="528"/>
        <v>4500</v>
      </c>
      <c r="AF207" s="336">
        <f t="shared" si="618"/>
        <v>0</v>
      </c>
      <c r="AG207" s="337">
        <f t="shared" si="618"/>
        <v>0</v>
      </c>
      <c r="AH207" s="338">
        <f t="shared" si="530"/>
        <v>0</v>
      </c>
      <c r="AI207" s="336">
        <f t="shared" si="619"/>
        <v>4155.26</v>
      </c>
      <c r="AJ207" s="337">
        <f t="shared" si="619"/>
        <v>0</v>
      </c>
      <c r="AK207" s="338">
        <f t="shared" si="532"/>
        <v>4155.26</v>
      </c>
      <c r="AL207" s="342"/>
      <c r="AM207" s="336">
        <f t="shared" si="620"/>
        <v>13500</v>
      </c>
      <c r="AN207" s="339">
        <f t="shared" si="620"/>
        <v>0</v>
      </c>
      <c r="AO207" s="340">
        <f t="shared" si="534"/>
        <v>13500</v>
      </c>
      <c r="AP207" s="336">
        <f t="shared" si="621"/>
        <v>13500</v>
      </c>
      <c r="AQ207" s="339">
        <f t="shared" si="621"/>
        <v>0</v>
      </c>
      <c r="AR207" s="340">
        <f t="shared" si="520"/>
        <v>13500</v>
      </c>
      <c r="AS207" s="341">
        <f t="shared" si="622"/>
        <v>17655.259999999998</v>
      </c>
      <c r="AT207" s="339">
        <f t="shared" si="622"/>
        <v>0</v>
      </c>
      <c r="AU207" s="340">
        <f t="shared" si="522"/>
        <v>17655.259999999998</v>
      </c>
      <c r="AV207" s="589">
        <f t="shared" si="588"/>
        <v>0</v>
      </c>
      <c r="AW207" s="343"/>
      <c r="AX207" s="344"/>
      <c r="AY207" s="345"/>
      <c r="AZ207" s="344"/>
      <c r="BA207" s="345">
        <v>9000</v>
      </c>
      <c r="BB207" s="346"/>
      <c r="BC207" s="347"/>
      <c r="BD207" s="348"/>
      <c r="BE207" s="349">
        <v>4500</v>
      </c>
      <c r="BF207" s="348"/>
      <c r="BG207" s="349"/>
      <c r="BH207" s="350"/>
      <c r="BI207" s="351"/>
      <c r="BJ207" s="352"/>
      <c r="BK207" s="337"/>
      <c r="BL207" s="352"/>
      <c r="BM207" s="337"/>
      <c r="BN207" s="353"/>
      <c r="BO207" s="354"/>
      <c r="BP207" s="355"/>
      <c r="BQ207" s="356"/>
      <c r="BR207" s="355"/>
      <c r="BS207" s="356">
        <v>4155.26</v>
      </c>
      <c r="BT207" s="357"/>
    </row>
    <row r="208" spans="1:72" s="313" customFormat="1" ht="38.25" outlineLevel="1">
      <c r="A208" s="287">
        <v>187</v>
      </c>
      <c r="B208" s="933"/>
      <c r="C208" s="840"/>
      <c r="D208" s="841"/>
      <c r="E208" s="839"/>
      <c r="F208" s="821" t="s">
        <v>23</v>
      </c>
      <c r="G208" s="314">
        <v>2</v>
      </c>
      <c r="H208" s="739" t="s">
        <v>71</v>
      </c>
      <c r="I208" s="739">
        <v>244</v>
      </c>
      <c r="J208" s="740">
        <v>226</v>
      </c>
      <c r="K208" s="533" t="s">
        <v>373</v>
      </c>
      <c r="L208" s="341">
        <v>418590</v>
      </c>
      <c r="M208" s="318"/>
      <c r="N208" s="318"/>
      <c r="O208" s="318">
        <f t="shared" si="524"/>
        <v>418590</v>
      </c>
      <c r="P208" s="570"/>
      <c r="Q208" s="336">
        <v>418590</v>
      </c>
      <c r="R208" s="559"/>
      <c r="S208" s="541">
        <v>418590</v>
      </c>
      <c r="T208" s="559"/>
      <c r="U208" s="335"/>
      <c r="V208" s="320"/>
      <c r="W208" s="388"/>
      <c r="X208" s="388"/>
      <c r="Z208" s="336">
        <f t="shared" si="616"/>
        <v>220000</v>
      </c>
      <c r="AA208" s="337">
        <f t="shared" si="616"/>
        <v>0</v>
      </c>
      <c r="AB208" s="338">
        <f t="shared" si="526"/>
        <v>220000</v>
      </c>
      <c r="AC208" s="336">
        <f t="shared" si="617"/>
        <v>100000</v>
      </c>
      <c r="AD208" s="337">
        <f t="shared" si="617"/>
        <v>0</v>
      </c>
      <c r="AE208" s="338">
        <f t="shared" si="528"/>
        <v>100000</v>
      </c>
      <c r="AF208" s="336">
        <f t="shared" si="618"/>
        <v>0</v>
      </c>
      <c r="AG208" s="337">
        <f t="shared" si="618"/>
        <v>0</v>
      </c>
      <c r="AH208" s="338">
        <f t="shared" si="530"/>
        <v>0</v>
      </c>
      <c r="AI208" s="336">
        <f t="shared" si="619"/>
        <v>98590</v>
      </c>
      <c r="AJ208" s="337">
        <f t="shared" si="619"/>
        <v>0</v>
      </c>
      <c r="AK208" s="338">
        <f t="shared" si="532"/>
        <v>98590</v>
      </c>
      <c r="AL208" s="342"/>
      <c r="AM208" s="336">
        <f t="shared" si="620"/>
        <v>320000</v>
      </c>
      <c r="AN208" s="339">
        <f t="shared" si="620"/>
        <v>0</v>
      </c>
      <c r="AO208" s="340">
        <f t="shared" si="534"/>
        <v>320000</v>
      </c>
      <c r="AP208" s="336">
        <f t="shared" si="621"/>
        <v>320000</v>
      </c>
      <c r="AQ208" s="339">
        <f t="shared" si="621"/>
        <v>0</v>
      </c>
      <c r="AR208" s="340">
        <f t="shared" si="520"/>
        <v>320000</v>
      </c>
      <c r="AS208" s="341">
        <f t="shared" si="622"/>
        <v>418590</v>
      </c>
      <c r="AT208" s="339">
        <f t="shared" si="622"/>
        <v>0</v>
      </c>
      <c r="AU208" s="340">
        <f t="shared" si="522"/>
        <v>418590</v>
      </c>
      <c r="AV208" s="589">
        <f t="shared" si="588"/>
        <v>0</v>
      </c>
      <c r="AW208" s="343"/>
      <c r="AX208" s="344"/>
      <c r="AY208" s="345"/>
      <c r="AZ208" s="344"/>
      <c r="BA208" s="345">
        <v>220000</v>
      </c>
      <c r="BB208" s="346"/>
      <c r="BC208" s="347"/>
      <c r="BD208" s="348"/>
      <c r="BE208" s="349">
        <v>100000</v>
      </c>
      <c r="BF208" s="348"/>
      <c r="BG208" s="349"/>
      <c r="BH208" s="350"/>
      <c r="BI208" s="351"/>
      <c r="BJ208" s="352"/>
      <c r="BK208" s="337"/>
      <c r="BL208" s="352"/>
      <c r="BM208" s="337"/>
      <c r="BN208" s="353"/>
      <c r="BO208" s="354"/>
      <c r="BP208" s="355"/>
      <c r="BQ208" s="356"/>
      <c r="BR208" s="355"/>
      <c r="BS208" s="356">
        <v>98590</v>
      </c>
      <c r="BT208" s="357"/>
    </row>
    <row r="209" spans="1:72" s="358" customFormat="1" ht="38.25">
      <c r="A209" s="287">
        <v>188</v>
      </c>
      <c r="B209" s="941" t="s">
        <v>482</v>
      </c>
      <c r="C209" s="837"/>
      <c r="D209" s="853" t="s">
        <v>216</v>
      </c>
      <c r="E209" s="836" t="s">
        <v>201</v>
      </c>
      <c r="F209" s="820" t="s">
        <v>23</v>
      </c>
      <c r="G209" s="360">
        <v>2</v>
      </c>
      <c r="H209" s="360" t="s">
        <v>71</v>
      </c>
      <c r="I209" s="360">
        <v>851</v>
      </c>
      <c r="J209" s="361">
        <v>291</v>
      </c>
      <c r="K209" s="532" t="s">
        <v>28</v>
      </c>
      <c r="L209" s="367">
        <v>0</v>
      </c>
      <c r="M209" s="363"/>
      <c r="N209" s="363">
        <v>4828.1099999999997</v>
      </c>
      <c r="O209" s="363">
        <f t="shared" si="524"/>
        <v>4828.1099999999997</v>
      </c>
      <c r="P209" s="557"/>
      <c r="Q209" s="367">
        <v>0</v>
      </c>
      <c r="R209" s="557"/>
      <c r="S209" s="367">
        <v>0</v>
      </c>
      <c r="T209" s="557"/>
      <c r="U209" s="365"/>
      <c r="V209" s="366"/>
      <c r="W209" s="366"/>
      <c r="X209" s="366"/>
      <c r="Z209" s="367">
        <f t="shared" si="616"/>
        <v>99437</v>
      </c>
      <c r="AA209" s="363">
        <f t="shared" si="616"/>
        <v>0</v>
      </c>
      <c r="AB209" s="280">
        <f t="shared" si="526"/>
        <v>99437</v>
      </c>
      <c r="AC209" s="367">
        <f t="shared" si="617"/>
        <v>0</v>
      </c>
      <c r="AD209" s="363">
        <f t="shared" si="617"/>
        <v>0</v>
      </c>
      <c r="AE209" s="280">
        <f t="shared" si="528"/>
        <v>0</v>
      </c>
      <c r="AF209" s="367">
        <f t="shared" si="618"/>
        <v>0</v>
      </c>
      <c r="AG209" s="363">
        <f t="shared" si="618"/>
        <v>0</v>
      </c>
      <c r="AH209" s="280">
        <f t="shared" si="530"/>
        <v>0</v>
      </c>
      <c r="AI209" s="367">
        <f t="shared" si="619"/>
        <v>0</v>
      </c>
      <c r="AJ209" s="363">
        <f t="shared" si="619"/>
        <v>0</v>
      </c>
      <c r="AK209" s="280">
        <f t="shared" si="532"/>
        <v>0</v>
      </c>
      <c r="AL209" s="368"/>
      <c r="AM209" s="367">
        <f t="shared" si="620"/>
        <v>99437</v>
      </c>
      <c r="AN209" s="363">
        <f t="shared" si="620"/>
        <v>0</v>
      </c>
      <c r="AO209" s="280">
        <f t="shared" si="534"/>
        <v>99437</v>
      </c>
      <c r="AP209" s="367">
        <f t="shared" si="621"/>
        <v>99437</v>
      </c>
      <c r="AQ209" s="363">
        <f t="shared" si="621"/>
        <v>0</v>
      </c>
      <c r="AR209" s="280">
        <f t="shared" si="520"/>
        <v>99437</v>
      </c>
      <c r="AS209" s="367">
        <f t="shared" si="622"/>
        <v>99437</v>
      </c>
      <c r="AT209" s="363">
        <f t="shared" si="622"/>
        <v>0</v>
      </c>
      <c r="AU209" s="280">
        <f t="shared" si="522"/>
        <v>99437</v>
      </c>
      <c r="AV209" s="588">
        <f t="shared" si="588"/>
        <v>-99437</v>
      </c>
      <c r="AW209" s="367">
        <v>99437</v>
      </c>
      <c r="AX209" s="363"/>
      <c r="AY209" s="363"/>
      <c r="AZ209" s="363"/>
      <c r="BA209" s="363"/>
      <c r="BB209" s="369"/>
      <c r="BC209" s="367"/>
      <c r="BD209" s="363"/>
      <c r="BE209" s="363"/>
      <c r="BF209" s="363"/>
      <c r="BG209" s="363"/>
      <c r="BH209" s="369"/>
      <c r="BI209" s="367"/>
      <c r="BJ209" s="363"/>
      <c r="BK209" s="363"/>
      <c r="BL209" s="363"/>
      <c r="BM209" s="363"/>
      <c r="BN209" s="369"/>
      <c r="BO209" s="367"/>
      <c r="BP209" s="363"/>
      <c r="BQ209" s="363"/>
      <c r="BR209" s="363"/>
      <c r="BS209" s="363"/>
      <c r="BT209" s="280"/>
    </row>
    <row r="210" spans="1:72" s="358" customFormat="1" ht="31.5">
      <c r="A210" s="287">
        <v>189</v>
      </c>
      <c r="B210" s="933"/>
      <c r="C210" s="837"/>
      <c r="D210" s="838"/>
      <c r="E210" s="836" t="s">
        <v>201</v>
      </c>
      <c r="F210" s="820" t="s">
        <v>23</v>
      </c>
      <c r="G210" s="360">
        <v>2</v>
      </c>
      <c r="H210" s="360" t="s">
        <v>71</v>
      </c>
      <c r="I210" s="360">
        <v>853</v>
      </c>
      <c r="J210" s="361">
        <v>297</v>
      </c>
      <c r="K210" s="532" t="s">
        <v>38</v>
      </c>
      <c r="L210" s="367">
        <v>7426.01</v>
      </c>
      <c r="M210" s="363"/>
      <c r="N210" s="363"/>
      <c r="O210" s="363">
        <f t="shared" si="524"/>
        <v>7426.01</v>
      </c>
      <c r="P210" s="571"/>
      <c r="Q210" s="367">
        <v>7426.01</v>
      </c>
      <c r="R210" s="557"/>
      <c r="S210" s="539">
        <v>7426.01</v>
      </c>
      <c r="T210" s="557"/>
      <c r="U210" s="365"/>
      <c r="V210" s="366"/>
      <c r="W210" s="366"/>
      <c r="X210" s="366"/>
      <c r="Z210" s="367">
        <f t="shared" si="616"/>
        <v>7426.01</v>
      </c>
      <c r="AA210" s="363">
        <f t="shared" si="616"/>
        <v>0</v>
      </c>
      <c r="AB210" s="280">
        <f t="shared" si="526"/>
        <v>7426.01</v>
      </c>
      <c r="AC210" s="367">
        <f t="shared" si="617"/>
        <v>0</v>
      </c>
      <c r="AD210" s="363">
        <f t="shared" si="617"/>
        <v>0</v>
      </c>
      <c r="AE210" s="280">
        <f t="shared" si="528"/>
        <v>0</v>
      </c>
      <c r="AF210" s="367">
        <f t="shared" si="618"/>
        <v>0</v>
      </c>
      <c r="AG210" s="363">
        <f t="shared" si="618"/>
        <v>0</v>
      </c>
      <c r="AH210" s="280">
        <f t="shared" si="530"/>
        <v>0</v>
      </c>
      <c r="AI210" s="367">
        <f t="shared" si="619"/>
        <v>0</v>
      </c>
      <c r="AJ210" s="363">
        <f t="shared" si="619"/>
        <v>0</v>
      </c>
      <c r="AK210" s="280">
        <f t="shared" si="532"/>
        <v>0</v>
      </c>
      <c r="AL210" s="368"/>
      <c r="AM210" s="367">
        <f t="shared" si="620"/>
        <v>7426.01</v>
      </c>
      <c r="AN210" s="363">
        <f t="shared" si="620"/>
        <v>0</v>
      </c>
      <c r="AO210" s="280">
        <f t="shared" si="534"/>
        <v>7426.01</v>
      </c>
      <c r="AP210" s="367">
        <f t="shared" si="621"/>
        <v>7426.01</v>
      </c>
      <c r="AQ210" s="363">
        <f t="shared" si="621"/>
        <v>0</v>
      </c>
      <c r="AR210" s="280">
        <f t="shared" si="520"/>
        <v>7426.01</v>
      </c>
      <c r="AS210" s="367">
        <f t="shared" si="622"/>
        <v>7426.01</v>
      </c>
      <c r="AT210" s="363">
        <f t="shared" si="622"/>
        <v>0</v>
      </c>
      <c r="AU210" s="280">
        <f t="shared" si="522"/>
        <v>7426.01</v>
      </c>
      <c r="AV210" s="588">
        <f t="shared" si="588"/>
        <v>0</v>
      </c>
      <c r="AW210" s="367">
        <f>AW163*0.15%+0.01</f>
        <v>7426.01</v>
      </c>
      <c r="AX210" s="363">
        <f t="shared" ref="AX210:BT210" si="631">AX163*0.15</f>
        <v>0</v>
      </c>
      <c r="AY210" s="363">
        <f t="shared" si="631"/>
        <v>0</v>
      </c>
      <c r="AZ210" s="363">
        <f t="shared" si="631"/>
        <v>0</v>
      </c>
      <c r="BA210" s="363">
        <f t="shared" si="631"/>
        <v>0</v>
      </c>
      <c r="BB210" s="369">
        <f t="shared" si="631"/>
        <v>0</v>
      </c>
      <c r="BC210" s="367">
        <f t="shared" si="631"/>
        <v>0</v>
      </c>
      <c r="BD210" s="363">
        <f t="shared" si="631"/>
        <v>0</v>
      </c>
      <c r="BE210" s="363">
        <f t="shared" si="631"/>
        <v>0</v>
      </c>
      <c r="BF210" s="363">
        <f t="shared" si="631"/>
        <v>0</v>
      </c>
      <c r="BG210" s="363">
        <f t="shared" si="631"/>
        <v>0</v>
      </c>
      <c r="BH210" s="369">
        <f t="shared" si="631"/>
        <v>0</v>
      </c>
      <c r="BI210" s="367">
        <f t="shared" si="631"/>
        <v>0</v>
      </c>
      <c r="BJ210" s="363">
        <f t="shared" si="631"/>
        <v>0</v>
      </c>
      <c r="BK210" s="363">
        <f t="shared" si="631"/>
        <v>0</v>
      </c>
      <c r="BL210" s="363">
        <f t="shared" si="631"/>
        <v>0</v>
      </c>
      <c r="BM210" s="363">
        <f t="shared" si="631"/>
        <v>0</v>
      </c>
      <c r="BN210" s="369">
        <f t="shared" si="631"/>
        <v>0</v>
      </c>
      <c r="BO210" s="367">
        <f t="shared" si="631"/>
        <v>0</v>
      </c>
      <c r="BP210" s="363">
        <f t="shared" si="631"/>
        <v>0</v>
      </c>
      <c r="BQ210" s="363">
        <f t="shared" si="631"/>
        <v>0</v>
      </c>
      <c r="BR210" s="363">
        <f t="shared" si="631"/>
        <v>0</v>
      </c>
      <c r="BS210" s="363">
        <f t="shared" si="631"/>
        <v>0</v>
      </c>
      <c r="BT210" s="280">
        <f t="shared" si="631"/>
        <v>0</v>
      </c>
    </row>
    <row r="211" spans="1:72" s="358" customFormat="1" ht="31.5" customHeight="1">
      <c r="A211" s="287">
        <v>190</v>
      </c>
      <c r="B211" s="941" t="s">
        <v>482</v>
      </c>
      <c r="C211" s="850" t="s">
        <v>377</v>
      </c>
      <c r="D211" s="838"/>
      <c r="E211" s="836" t="s">
        <v>201</v>
      </c>
      <c r="F211" s="820" t="s">
        <v>23</v>
      </c>
      <c r="G211" s="360">
        <v>2</v>
      </c>
      <c r="H211" s="360" t="s">
        <v>71</v>
      </c>
      <c r="I211" s="360">
        <v>244</v>
      </c>
      <c r="J211" s="361">
        <v>310</v>
      </c>
      <c r="K211" s="532" t="s">
        <v>532</v>
      </c>
      <c r="L211" s="367">
        <f>SUM(L212:L214)</f>
        <v>0</v>
      </c>
      <c r="M211" s="363"/>
      <c r="N211" s="363">
        <f>SUM(N212:N214)</f>
        <v>64790</v>
      </c>
      <c r="O211" s="363">
        <f t="shared" si="524"/>
        <v>64790</v>
      </c>
      <c r="P211" s="571"/>
      <c r="Q211" s="367">
        <f>SUM(Q212:Q214)</f>
        <v>0</v>
      </c>
      <c r="R211" s="557"/>
      <c r="S211" s="367">
        <f>SUM(S212:S214)</f>
        <v>0</v>
      </c>
      <c r="T211" s="557"/>
      <c r="U211" s="365"/>
      <c r="V211" s="366"/>
      <c r="W211" s="366"/>
      <c r="X211" s="366"/>
      <c r="Z211" s="367">
        <f t="shared" si="616"/>
        <v>0</v>
      </c>
      <c r="AA211" s="363">
        <f t="shared" si="616"/>
        <v>0</v>
      </c>
      <c r="AB211" s="280">
        <f t="shared" si="526"/>
        <v>0</v>
      </c>
      <c r="AC211" s="367">
        <f t="shared" si="617"/>
        <v>64790</v>
      </c>
      <c r="AD211" s="363">
        <f t="shared" si="617"/>
        <v>0</v>
      </c>
      <c r="AE211" s="280">
        <f t="shared" si="528"/>
        <v>64790</v>
      </c>
      <c r="AF211" s="367">
        <f t="shared" si="618"/>
        <v>0</v>
      </c>
      <c r="AG211" s="363">
        <f t="shared" si="618"/>
        <v>0</v>
      </c>
      <c r="AH211" s="280">
        <f t="shared" si="530"/>
        <v>0</v>
      </c>
      <c r="AI211" s="367">
        <f t="shared" si="619"/>
        <v>0</v>
      </c>
      <c r="AJ211" s="363">
        <f t="shared" si="619"/>
        <v>0</v>
      </c>
      <c r="AK211" s="280">
        <f t="shared" si="532"/>
        <v>0</v>
      </c>
      <c r="AL211" s="368"/>
      <c r="AM211" s="367">
        <f t="shared" si="620"/>
        <v>64790</v>
      </c>
      <c r="AN211" s="363">
        <f t="shared" si="620"/>
        <v>0</v>
      </c>
      <c r="AO211" s="280">
        <f t="shared" si="534"/>
        <v>64790</v>
      </c>
      <c r="AP211" s="367">
        <f t="shared" si="621"/>
        <v>64790</v>
      </c>
      <c r="AQ211" s="363">
        <f t="shared" si="621"/>
        <v>0</v>
      </c>
      <c r="AR211" s="280">
        <f t="shared" si="520"/>
        <v>64790</v>
      </c>
      <c r="AS211" s="367">
        <f t="shared" si="622"/>
        <v>64790</v>
      </c>
      <c r="AT211" s="363">
        <f t="shared" si="622"/>
        <v>0</v>
      </c>
      <c r="AU211" s="280">
        <f t="shared" si="522"/>
        <v>64790</v>
      </c>
      <c r="AV211" s="588">
        <f t="shared" si="588"/>
        <v>-64790</v>
      </c>
      <c r="AW211" s="367">
        <f t="shared" ref="AW211:BT211" si="632">SUM(AW212:AW214)</f>
        <v>0</v>
      </c>
      <c r="AX211" s="363">
        <f t="shared" si="632"/>
        <v>0</v>
      </c>
      <c r="AY211" s="363">
        <f t="shared" si="632"/>
        <v>0</v>
      </c>
      <c r="AZ211" s="363">
        <f t="shared" si="632"/>
        <v>0</v>
      </c>
      <c r="BA211" s="363">
        <f t="shared" si="632"/>
        <v>0</v>
      </c>
      <c r="BB211" s="369">
        <f t="shared" si="632"/>
        <v>0</v>
      </c>
      <c r="BC211" s="367">
        <f t="shared" si="632"/>
        <v>64790</v>
      </c>
      <c r="BD211" s="363">
        <f t="shared" si="632"/>
        <v>0</v>
      </c>
      <c r="BE211" s="363">
        <f t="shared" si="632"/>
        <v>0</v>
      </c>
      <c r="BF211" s="363">
        <f t="shared" si="632"/>
        <v>0</v>
      </c>
      <c r="BG211" s="363">
        <f t="shared" si="632"/>
        <v>0</v>
      </c>
      <c r="BH211" s="369">
        <f t="shared" si="632"/>
        <v>0</v>
      </c>
      <c r="BI211" s="367">
        <f t="shared" si="632"/>
        <v>0</v>
      </c>
      <c r="BJ211" s="363">
        <f t="shared" si="632"/>
        <v>0</v>
      </c>
      <c r="BK211" s="363">
        <f t="shared" si="632"/>
        <v>0</v>
      </c>
      <c r="BL211" s="363">
        <f t="shared" si="632"/>
        <v>0</v>
      </c>
      <c r="BM211" s="363">
        <f t="shared" si="632"/>
        <v>0</v>
      </c>
      <c r="BN211" s="369">
        <f t="shared" si="632"/>
        <v>0</v>
      </c>
      <c r="BO211" s="367">
        <f t="shared" si="632"/>
        <v>0</v>
      </c>
      <c r="BP211" s="363">
        <f t="shared" si="632"/>
        <v>0</v>
      </c>
      <c r="BQ211" s="363">
        <f t="shared" si="632"/>
        <v>0</v>
      </c>
      <c r="BR211" s="363">
        <f t="shared" si="632"/>
        <v>0</v>
      </c>
      <c r="BS211" s="363">
        <f t="shared" si="632"/>
        <v>0</v>
      </c>
      <c r="BT211" s="280">
        <f t="shared" si="632"/>
        <v>0</v>
      </c>
    </row>
    <row r="212" spans="1:72" s="313" customFormat="1" ht="38.25" outlineLevel="2">
      <c r="A212" s="287">
        <v>191</v>
      </c>
      <c r="B212" s="941" t="s">
        <v>482</v>
      </c>
      <c r="C212" s="840"/>
      <c r="D212" s="841"/>
      <c r="E212" s="839"/>
      <c r="F212" s="821" t="s">
        <v>23</v>
      </c>
      <c r="G212" s="314">
        <v>2</v>
      </c>
      <c r="H212" s="739" t="s">
        <v>71</v>
      </c>
      <c r="I212" s="739">
        <v>244</v>
      </c>
      <c r="J212" s="740">
        <v>346</v>
      </c>
      <c r="K212" s="533" t="s">
        <v>523</v>
      </c>
      <c r="L212" s="341">
        <v>0</v>
      </c>
      <c r="M212" s="318"/>
      <c r="N212" s="318">
        <v>2190</v>
      </c>
      <c r="O212" s="318">
        <f t="shared" si="524"/>
        <v>2190</v>
      </c>
      <c r="P212" s="570"/>
      <c r="Q212" s="336">
        <v>0</v>
      </c>
      <c r="R212" s="559"/>
      <c r="S212" s="541">
        <v>0</v>
      </c>
      <c r="T212" s="559"/>
      <c r="U212" s="335"/>
      <c r="V212" s="320"/>
      <c r="W212" s="320"/>
      <c r="X212" s="320"/>
      <c r="Z212" s="336">
        <f t="shared" si="616"/>
        <v>0</v>
      </c>
      <c r="AA212" s="337">
        <f t="shared" si="616"/>
        <v>0</v>
      </c>
      <c r="AB212" s="338">
        <f t="shared" si="526"/>
        <v>0</v>
      </c>
      <c r="AC212" s="336">
        <f t="shared" si="617"/>
        <v>2190</v>
      </c>
      <c r="AD212" s="337">
        <f t="shared" si="617"/>
        <v>0</v>
      </c>
      <c r="AE212" s="338">
        <f t="shared" si="528"/>
        <v>2190</v>
      </c>
      <c r="AF212" s="336">
        <f t="shared" si="618"/>
        <v>0</v>
      </c>
      <c r="AG212" s="337">
        <f t="shared" si="618"/>
        <v>0</v>
      </c>
      <c r="AH212" s="338">
        <f t="shared" si="530"/>
        <v>0</v>
      </c>
      <c r="AI212" s="336">
        <f t="shared" si="619"/>
        <v>0</v>
      </c>
      <c r="AJ212" s="337">
        <f t="shared" si="619"/>
        <v>0</v>
      </c>
      <c r="AK212" s="338">
        <f t="shared" si="532"/>
        <v>0</v>
      </c>
      <c r="AL212" s="342"/>
      <c r="AM212" s="336">
        <f t="shared" si="620"/>
        <v>2190</v>
      </c>
      <c r="AN212" s="339">
        <f t="shared" si="620"/>
        <v>0</v>
      </c>
      <c r="AO212" s="340">
        <f t="shared" si="534"/>
        <v>2190</v>
      </c>
      <c r="AP212" s="336">
        <f t="shared" si="621"/>
        <v>2190</v>
      </c>
      <c r="AQ212" s="339">
        <f t="shared" si="621"/>
        <v>0</v>
      </c>
      <c r="AR212" s="340">
        <f t="shared" si="520"/>
        <v>2190</v>
      </c>
      <c r="AS212" s="341">
        <f t="shared" si="622"/>
        <v>2190</v>
      </c>
      <c r="AT212" s="339">
        <f t="shared" si="622"/>
        <v>0</v>
      </c>
      <c r="AU212" s="340">
        <f t="shared" si="522"/>
        <v>2190</v>
      </c>
      <c r="AV212" s="589">
        <f t="shared" si="588"/>
        <v>-2190</v>
      </c>
      <c r="AW212" s="343"/>
      <c r="AX212" s="344"/>
      <c r="AY212" s="345"/>
      <c r="AZ212" s="344"/>
      <c r="BA212" s="345"/>
      <c r="BB212" s="346"/>
      <c r="BC212" s="347">
        <v>2190</v>
      </c>
      <c r="BD212" s="348"/>
      <c r="BE212" s="349"/>
      <c r="BF212" s="348"/>
      <c r="BG212" s="349"/>
      <c r="BH212" s="350"/>
      <c r="BI212" s="351"/>
      <c r="BJ212" s="352"/>
      <c r="BK212" s="337"/>
      <c r="BL212" s="352"/>
      <c r="BM212" s="337"/>
      <c r="BN212" s="353"/>
      <c r="BO212" s="354"/>
      <c r="BP212" s="355"/>
      <c r="BQ212" s="356"/>
      <c r="BR212" s="355"/>
      <c r="BS212" s="356"/>
      <c r="BT212" s="357"/>
    </row>
    <row r="213" spans="1:72" s="313" customFormat="1" ht="38.25" outlineLevel="2">
      <c r="A213" s="287">
        <v>192</v>
      </c>
      <c r="B213" s="941" t="s">
        <v>482</v>
      </c>
      <c r="C213" s="840"/>
      <c r="D213" s="841"/>
      <c r="E213" s="839"/>
      <c r="F213" s="821" t="s">
        <v>23</v>
      </c>
      <c r="G213" s="314">
        <v>2</v>
      </c>
      <c r="H213" s="739" t="s">
        <v>71</v>
      </c>
      <c r="I213" s="739">
        <v>244</v>
      </c>
      <c r="J213" s="740">
        <v>346</v>
      </c>
      <c r="K213" s="533" t="s">
        <v>533</v>
      </c>
      <c r="L213" s="341">
        <v>0</v>
      </c>
      <c r="M213" s="318"/>
      <c r="N213" s="318">
        <v>62600</v>
      </c>
      <c r="O213" s="318">
        <f t="shared" ref="O213" si="633">L213+N213</f>
        <v>62600</v>
      </c>
      <c r="P213" s="570"/>
      <c r="Q213" s="336">
        <v>0</v>
      </c>
      <c r="R213" s="559"/>
      <c r="S213" s="541">
        <v>0</v>
      </c>
      <c r="T213" s="559"/>
      <c r="U213" s="335"/>
      <c r="V213" s="320"/>
      <c r="W213" s="320"/>
      <c r="X213" s="320"/>
      <c r="Z213" s="336">
        <f t="shared" ref="Z213" si="634">AW213+AY213+BA213</f>
        <v>0</v>
      </c>
      <c r="AA213" s="337">
        <f t="shared" ref="AA213" si="635">AX213+AZ213+BB213</f>
        <v>0</v>
      </c>
      <c r="AB213" s="338">
        <f t="shared" ref="AB213" si="636">Z213-AA213</f>
        <v>0</v>
      </c>
      <c r="AC213" s="336">
        <f t="shared" ref="AC213" si="637">BC213+BE213+BG213</f>
        <v>62600</v>
      </c>
      <c r="AD213" s="337">
        <f t="shared" ref="AD213" si="638">BD213+BF213+BH213</f>
        <v>0</v>
      </c>
      <c r="AE213" s="338">
        <f t="shared" ref="AE213" si="639">AC213-AD213</f>
        <v>62600</v>
      </c>
      <c r="AF213" s="336">
        <f t="shared" ref="AF213" si="640">BI213+BK213+BM213</f>
        <v>0</v>
      </c>
      <c r="AG213" s="337">
        <f t="shared" ref="AG213" si="641">BJ213+BL213+BN213</f>
        <v>0</v>
      </c>
      <c r="AH213" s="338">
        <f t="shared" ref="AH213" si="642">AF213-AG213</f>
        <v>0</v>
      </c>
      <c r="AI213" s="336">
        <f t="shared" ref="AI213" si="643">BO213+BQ213+BS213</f>
        <v>0</v>
      </c>
      <c r="AJ213" s="337">
        <f t="shared" ref="AJ213" si="644">BP213+BR213+BT213</f>
        <v>0</v>
      </c>
      <c r="AK213" s="338">
        <f t="shared" ref="AK213" si="645">AI213-AJ213</f>
        <v>0</v>
      </c>
      <c r="AL213" s="342"/>
      <c r="AM213" s="336">
        <f t="shared" ref="AM213" si="646">Z213+AC213</f>
        <v>62600</v>
      </c>
      <c r="AN213" s="339">
        <f t="shared" ref="AN213" si="647">AA213+AD213</f>
        <v>0</v>
      </c>
      <c r="AO213" s="340">
        <f t="shared" ref="AO213" si="648">AM213-AN213</f>
        <v>62600</v>
      </c>
      <c r="AP213" s="336">
        <f t="shared" ref="AP213" si="649">Z213+AC213+AF213</f>
        <v>62600</v>
      </c>
      <c r="AQ213" s="339">
        <f t="shared" ref="AQ213" si="650">AA213+AD213+AG213</f>
        <v>0</v>
      </c>
      <c r="AR213" s="340">
        <f t="shared" ref="AR213" si="651">AP213-AQ213</f>
        <v>62600</v>
      </c>
      <c r="AS213" s="341">
        <f t="shared" ref="AS213" si="652">Z213+AC213+AF213+AI213</f>
        <v>62600</v>
      </c>
      <c r="AT213" s="339">
        <f t="shared" ref="AT213" si="653">AA213+AD213+AG213+AJ213</f>
        <v>0</v>
      </c>
      <c r="AU213" s="340">
        <f t="shared" ref="AU213" si="654">AS213-AT213</f>
        <v>62600</v>
      </c>
      <c r="AV213" s="589">
        <f t="shared" ref="AV213" si="655">L213-AS213</f>
        <v>-62600</v>
      </c>
      <c r="AW213" s="343"/>
      <c r="AX213" s="344"/>
      <c r="AY213" s="345"/>
      <c r="AZ213" s="344"/>
      <c r="BA213" s="345"/>
      <c r="BB213" s="346"/>
      <c r="BC213" s="347">
        <v>62600</v>
      </c>
      <c r="BD213" s="348"/>
      <c r="BE213" s="349"/>
      <c r="BF213" s="348"/>
      <c r="BG213" s="349"/>
      <c r="BH213" s="350"/>
      <c r="BI213" s="351"/>
      <c r="BJ213" s="352"/>
      <c r="BK213" s="337"/>
      <c r="BL213" s="352"/>
      <c r="BM213" s="337"/>
      <c r="BN213" s="353"/>
      <c r="BO213" s="354"/>
      <c r="BP213" s="355"/>
      <c r="BQ213" s="356"/>
      <c r="BR213" s="355"/>
      <c r="BS213" s="356"/>
      <c r="BT213" s="357"/>
    </row>
    <row r="214" spans="1:72" s="615" customFormat="1" ht="25.5" outlineLevel="1">
      <c r="A214" s="287">
        <v>193</v>
      </c>
      <c r="B214" s="941"/>
      <c r="C214" s="866"/>
      <c r="D214" s="867"/>
      <c r="E214" s="867"/>
      <c r="F214" s="832" t="s">
        <v>23</v>
      </c>
      <c r="G214" s="616">
        <v>2</v>
      </c>
      <c r="H214" s="749" t="s">
        <v>71</v>
      </c>
      <c r="I214" s="749">
        <v>244</v>
      </c>
      <c r="J214" s="750">
        <v>310</v>
      </c>
      <c r="K214" s="932" t="s">
        <v>214</v>
      </c>
      <c r="L214" s="510">
        <v>0</v>
      </c>
      <c r="M214" s="619"/>
      <c r="N214" s="619"/>
      <c r="O214" s="619">
        <f t="shared" si="524"/>
        <v>0</v>
      </c>
      <c r="P214" s="620"/>
      <c r="Q214" s="509">
        <v>0</v>
      </c>
      <c r="R214" s="560"/>
      <c r="S214" s="542">
        <v>0</v>
      </c>
      <c r="T214" s="560"/>
      <c r="U214" s="621"/>
      <c r="V214" s="320"/>
      <c r="W214" s="320"/>
      <c r="X214" s="320"/>
      <c r="Z214" s="509">
        <f>AW214+AY214+BA214</f>
        <v>0</v>
      </c>
      <c r="AA214" s="622">
        <f>AX214+AZ214+BB214</f>
        <v>0</v>
      </c>
      <c r="AB214" s="623">
        <f>Z214-AA214</f>
        <v>0</v>
      </c>
      <c r="AC214" s="509">
        <f>BC214+BE214+BG214</f>
        <v>0</v>
      </c>
      <c r="AD214" s="622">
        <f>BD214+BF214+BH214</f>
        <v>0</v>
      </c>
      <c r="AE214" s="623">
        <f>AC214-AD214</f>
        <v>0</v>
      </c>
      <c r="AF214" s="509">
        <f>BI214+BK214+BM214</f>
        <v>0</v>
      </c>
      <c r="AG214" s="622">
        <f>BJ214+BL214+BN214</f>
        <v>0</v>
      </c>
      <c r="AH214" s="623">
        <f>AF214-AG214</f>
        <v>0</v>
      </c>
      <c r="AI214" s="509">
        <f>BO214+BQ214+BS214</f>
        <v>0</v>
      </c>
      <c r="AJ214" s="622">
        <f>BP214+BR214+BT214</f>
        <v>0</v>
      </c>
      <c r="AK214" s="623">
        <f>AI214-AJ214</f>
        <v>0</v>
      </c>
      <c r="AL214" s="624"/>
      <c r="AM214" s="509">
        <f>Z214+AC214</f>
        <v>0</v>
      </c>
      <c r="AN214" s="625">
        <f>AA214+AD214</f>
        <v>0</v>
      </c>
      <c r="AO214" s="626">
        <f>AM214-AN214</f>
        <v>0</v>
      </c>
      <c r="AP214" s="509">
        <f>Z214+AC214+AF214</f>
        <v>0</v>
      </c>
      <c r="AQ214" s="625">
        <f>AA214+AD214+AG214</f>
        <v>0</v>
      </c>
      <c r="AR214" s="626">
        <f>AP214-AQ214</f>
        <v>0</v>
      </c>
      <c r="AS214" s="510">
        <f>Z214+AC214+AF214+AI214</f>
        <v>0</v>
      </c>
      <c r="AT214" s="625">
        <f>AA214+AD214+AG214+AJ214</f>
        <v>0</v>
      </c>
      <c r="AU214" s="626">
        <f>AS214-AT214</f>
        <v>0</v>
      </c>
      <c r="AV214" s="627">
        <f t="shared" si="588"/>
        <v>0</v>
      </c>
      <c r="AW214" s="628"/>
      <c r="AX214" s="629"/>
      <c r="AY214" s="630"/>
      <c r="AZ214" s="629"/>
      <c r="BA214" s="630"/>
      <c r="BB214" s="631"/>
      <c r="BC214" s="632"/>
      <c r="BD214" s="633"/>
      <c r="BE214" s="634"/>
      <c r="BF214" s="633"/>
      <c r="BG214" s="634"/>
      <c r="BH214" s="635"/>
      <c r="BI214" s="636"/>
      <c r="BJ214" s="637"/>
      <c r="BK214" s="622"/>
      <c r="BL214" s="637"/>
      <c r="BM214" s="622"/>
      <c r="BN214" s="638"/>
      <c r="BO214" s="639"/>
      <c r="BP214" s="640"/>
      <c r="BQ214" s="641"/>
      <c r="BR214" s="640"/>
      <c r="BS214" s="641"/>
      <c r="BT214" s="642"/>
    </row>
    <row r="215" spans="1:72" s="358" customFormat="1" ht="31.5" customHeight="1">
      <c r="A215" s="287">
        <v>197</v>
      </c>
      <c r="B215" s="941" t="s">
        <v>482</v>
      </c>
      <c r="C215" s="850" t="s">
        <v>377</v>
      </c>
      <c r="D215" s="838"/>
      <c r="E215" s="836" t="s">
        <v>201</v>
      </c>
      <c r="F215" s="820" t="s">
        <v>23</v>
      </c>
      <c r="G215" s="360">
        <v>2</v>
      </c>
      <c r="H215" s="360" t="s">
        <v>71</v>
      </c>
      <c r="I215" s="360">
        <v>244</v>
      </c>
      <c r="J215" s="361">
        <v>342</v>
      </c>
      <c r="K215" s="532" t="s">
        <v>498</v>
      </c>
      <c r="L215" s="367">
        <f>SUM(L216:L217)</f>
        <v>0</v>
      </c>
      <c r="M215" s="363"/>
      <c r="N215" s="363">
        <f>SUM(N216:N217)</f>
        <v>12350</v>
      </c>
      <c r="O215" s="363">
        <f t="shared" ref="O215:O217" si="656">L215+N215</f>
        <v>12350</v>
      </c>
      <c r="P215" s="571"/>
      <c r="Q215" s="367">
        <f>SUM(Q216:Q217)</f>
        <v>0</v>
      </c>
      <c r="R215" s="557"/>
      <c r="S215" s="367">
        <f>SUM(S216:S217)</f>
        <v>0</v>
      </c>
      <c r="T215" s="557"/>
      <c r="U215" s="365"/>
      <c r="V215" s="366"/>
      <c r="W215" s="366"/>
      <c r="X215" s="366"/>
      <c r="Z215" s="367">
        <f t="shared" ref="Z215:Z216" si="657">AW215+AY215+BA215</f>
        <v>6175</v>
      </c>
      <c r="AA215" s="363">
        <f t="shared" ref="AA215:AA216" si="658">AX215+AZ215+BB215</f>
        <v>0</v>
      </c>
      <c r="AB215" s="280">
        <f t="shared" ref="AB215:AB216" si="659">Z215-AA215</f>
        <v>6175</v>
      </c>
      <c r="AC215" s="367">
        <f t="shared" ref="AC215:AC216" si="660">BC215+BE215+BG215</f>
        <v>0</v>
      </c>
      <c r="AD215" s="363">
        <f t="shared" ref="AD215:AD216" si="661">BD215+BF215+BH215</f>
        <v>0</v>
      </c>
      <c r="AE215" s="280">
        <f t="shared" ref="AE215:AE216" si="662">AC215-AD215</f>
        <v>0</v>
      </c>
      <c r="AF215" s="367">
        <f t="shared" ref="AF215:AF216" si="663">BI215+BK215+BM215</f>
        <v>0</v>
      </c>
      <c r="AG215" s="363">
        <f t="shared" ref="AG215:AG216" si="664">BJ215+BL215+BN215</f>
        <v>0</v>
      </c>
      <c r="AH215" s="280">
        <f t="shared" ref="AH215:AH216" si="665">AF215-AG215</f>
        <v>0</v>
      </c>
      <c r="AI215" s="367">
        <f t="shared" ref="AI215:AI216" si="666">BO215+BQ215+BS215</f>
        <v>0</v>
      </c>
      <c r="AJ215" s="363">
        <f t="shared" ref="AJ215:AJ216" si="667">BP215+BR215+BT215</f>
        <v>0</v>
      </c>
      <c r="AK215" s="280">
        <f t="shared" ref="AK215:AK216" si="668">AI215-AJ215</f>
        <v>0</v>
      </c>
      <c r="AL215" s="368"/>
      <c r="AM215" s="367">
        <f t="shared" ref="AM215:AM216" si="669">Z215+AC215</f>
        <v>6175</v>
      </c>
      <c r="AN215" s="363">
        <f t="shared" ref="AN215:AN216" si="670">AA215+AD215</f>
        <v>0</v>
      </c>
      <c r="AO215" s="280">
        <f t="shared" ref="AO215:AO216" si="671">AM215-AN215</f>
        <v>6175</v>
      </c>
      <c r="AP215" s="367">
        <f t="shared" ref="AP215:AP216" si="672">Z215+AC215+AF215</f>
        <v>6175</v>
      </c>
      <c r="AQ215" s="363">
        <f t="shared" ref="AQ215:AQ216" si="673">AA215+AD215+AG215</f>
        <v>0</v>
      </c>
      <c r="AR215" s="280">
        <f t="shared" ref="AR215:AR216" si="674">AP215-AQ215</f>
        <v>6175</v>
      </c>
      <c r="AS215" s="367">
        <f t="shared" ref="AS215:AS216" si="675">Z215+AC215+AF215+AI215</f>
        <v>6175</v>
      </c>
      <c r="AT215" s="363">
        <f t="shared" ref="AT215:AT216" si="676">AA215+AD215+AG215+AJ215</f>
        <v>0</v>
      </c>
      <c r="AU215" s="280">
        <f t="shared" ref="AU215:AU216" si="677">AS215-AT215</f>
        <v>6175</v>
      </c>
      <c r="AV215" s="588">
        <f t="shared" ref="AV215:AV217" si="678">L215-AS215</f>
        <v>-6175</v>
      </c>
      <c r="AW215" s="367">
        <f t="shared" ref="AW215:BT215" si="679">SUM(AW216:AW217)</f>
        <v>0</v>
      </c>
      <c r="AX215" s="363">
        <f t="shared" si="679"/>
        <v>0</v>
      </c>
      <c r="AY215" s="363">
        <f t="shared" si="679"/>
        <v>6175</v>
      </c>
      <c r="AZ215" s="363">
        <f t="shared" si="679"/>
        <v>0</v>
      </c>
      <c r="BA215" s="363">
        <f t="shared" si="679"/>
        <v>0</v>
      </c>
      <c r="BB215" s="369">
        <f t="shared" si="679"/>
        <v>0</v>
      </c>
      <c r="BC215" s="367">
        <f t="shared" si="679"/>
        <v>0</v>
      </c>
      <c r="BD215" s="363">
        <f t="shared" si="679"/>
        <v>0</v>
      </c>
      <c r="BE215" s="363">
        <f t="shared" si="679"/>
        <v>0</v>
      </c>
      <c r="BF215" s="363">
        <f t="shared" si="679"/>
        <v>0</v>
      </c>
      <c r="BG215" s="363">
        <f t="shared" si="679"/>
        <v>0</v>
      </c>
      <c r="BH215" s="369">
        <f t="shared" si="679"/>
        <v>0</v>
      </c>
      <c r="BI215" s="367">
        <f t="shared" si="679"/>
        <v>0</v>
      </c>
      <c r="BJ215" s="363">
        <f t="shared" si="679"/>
        <v>0</v>
      </c>
      <c r="BK215" s="363">
        <f t="shared" si="679"/>
        <v>0</v>
      </c>
      <c r="BL215" s="363">
        <f t="shared" si="679"/>
        <v>0</v>
      </c>
      <c r="BM215" s="363">
        <f t="shared" si="679"/>
        <v>0</v>
      </c>
      <c r="BN215" s="369">
        <f t="shared" si="679"/>
        <v>0</v>
      </c>
      <c r="BO215" s="367">
        <f t="shared" si="679"/>
        <v>0</v>
      </c>
      <c r="BP215" s="363">
        <f t="shared" si="679"/>
        <v>0</v>
      </c>
      <c r="BQ215" s="363">
        <f t="shared" si="679"/>
        <v>0</v>
      </c>
      <c r="BR215" s="363">
        <f t="shared" si="679"/>
        <v>0</v>
      </c>
      <c r="BS215" s="363">
        <f t="shared" si="679"/>
        <v>0</v>
      </c>
      <c r="BT215" s="280">
        <f t="shared" si="679"/>
        <v>0</v>
      </c>
    </row>
    <row r="216" spans="1:72" s="313" customFormat="1" ht="38.25" outlineLevel="2">
      <c r="A216" s="287">
        <v>198</v>
      </c>
      <c r="B216" s="941" t="s">
        <v>482</v>
      </c>
      <c r="C216" s="840"/>
      <c r="D216" s="841"/>
      <c r="E216" s="839"/>
      <c r="F216" s="821" t="s">
        <v>23</v>
      </c>
      <c r="G216" s="314">
        <v>2</v>
      </c>
      <c r="H216" s="739" t="s">
        <v>71</v>
      </c>
      <c r="I216" s="739">
        <v>244</v>
      </c>
      <c r="J216" s="740">
        <v>342</v>
      </c>
      <c r="K216" s="533" t="s">
        <v>500</v>
      </c>
      <c r="L216" s="341">
        <v>0</v>
      </c>
      <c r="M216" s="318"/>
      <c r="N216" s="318">
        <v>12350</v>
      </c>
      <c r="O216" s="318">
        <f t="shared" si="656"/>
        <v>12350</v>
      </c>
      <c r="P216" s="570"/>
      <c r="Q216" s="336">
        <v>0</v>
      </c>
      <c r="R216" s="559"/>
      <c r="S216" s="541">
        <v>0</v>
      </c>
      <c r="T216" s="559"/>
      <c r="U216" s="335"/>
      <c r="V216" s="320"/>
      <c r="W216" s="320"/>
      <c r="X216" s="320"/>
      <c r="Z216" s="336">
        <f t="shared" si="657"/>
        <v>6175</v>
      </c>
      <c r="AA216" s="337">
        <f t="shared" si="658"/>
        <v>0</v>
      </c>
      <c r="AB216" s="338">
        <f t="shared" si="659"/>
        <v>6175</v>
      </c>
      <c r="AC216" s="336">
        <f t="shared" si="660"/>
        <v>0</v>
      </c>
      <c r="AD216" s="337">
        <f t="shared" si="661"/>
        <v>0</v>
      </c>
      <c r="AE216" s="338">
        <f t="shared" si="662"/>
        <v>0</v>
      </c>
      <c r="AF216" s="336">
        <f t="shared" si="663"/>
        <v>0</v>
      </c>
      <c r="AG216" s="337">
        <f t="shared" si="664"/>
        <v>0</v>
      </c>
      <c r="AH216" s="338">
        <f t="shared" si="665"/>
        <v>0</v>
      </c>
      <c r="AI216" s="336">
        <f t="shared" si="666"/>
        <v>0</v>
      </c>
      <c r="AJ216" s="337">
        <f t="shared" si="667"/>
        <v>0</v>
      </c>
      <c r="AK216" s="338">
        <f t="shared" si="668"/>
        <v>0</v>
      </c>
      <c r="AL216" s="342"/>
      <c r="AM216" s="336">
        <f t="shared" si="669"/>
        <v>6175</v>
      </c>
      <c r="AN216" s="339">
        <f t="shared" si="670"/>
        <v>0</v>
      </c>
      <c r="AO216" s="340">
        <f t="shared" si="671"/>
        <v>6175</v>
      </c>
      <c r="AP216" s="336">
        <f t="shared" si="672"/>
        <v>6175</v>
      </c>
      <c r="AQ216" s="339">
        <f t="shared" si="673"/>
        <v>0</v>
      </c>
      <c r="AR216" s="340">
        <f t="shared" si="674"/>
        <v>6175</v>
      </c>
      <c r="AS216" s="341">
        <f t="shared" si="675"/>
        <v>6175</v>
      </c>
      <c r="AT216" s="339">
        <f t="shared" si="676"/>
        <v>0</v>
      </c>
      <c r="AU216" s="340">
        <f t="shared" si="677"/>
        <v>6175</v>
      </c>
      <c r="AV216" s="589">
        <f t="shared" si="678"/>
        <v>-6175</v>
      </c>
      <c r="AW216" s="343"/>
      <c r="AX216" s="344"/>
      <c r="AY216" s="345">
        <v>6175</v>
      </c>
      <c r="AZ216" s="344"/>
      <c r="BA216" s="345"/>
      <c r="BB216" s="346"/>
      <c r="BC216" s="347"/>
      <c r="BD216" s="348"/>
      <c r="BE216" s="349"/>
      <c r="BF216" s="348"/>
      <c r="BG216" s="349"/>
      <c r="BH216" s="350"/>
      <c r="BI216" s="351"/>
      <c r="BJ216" s="352"/>
      <c r="BK216" s="337"/>
      <c r="BL216" s="352"/>
      <c r="BM216" s="337"/>
      <c r="BN216" s="353"/>
      <c r="BO216" s="354"/>
      <c r="BP216" s="355"/>
      <c r="BQ216" s="356"/>
      <c r="BR216" s="355"/>
      <c r="BS216" s="356"/>
      <c r="BT216" s="357"/>
    </row>
    <row r="217" spans="1:72" s="615" customFormat="1" ht="25.5" outlineLevel="1">
      <c r="A217" s="287">
        <v>199</v>
      </c>
      <c r="B217" s="941"/>
      <c r="C217" s="866"/>
      <c r="D217" s="867"/>
      <c r="E217" s="867"/>
      <c r="F217" s="832" t="s">
        <v>23</v>
      </c>
      <c r="G217" s="616">
        <v>2</v>
      </c>
      <c r="H217" s="749" t="s">
        <v>71</v>
      </c>
      <c r="I217" s="749">
        <v>244</v>
      </c>
      <c r="J217" s="750">
        <v>342</v>
      </c>
      <c r="K217" s="932" t="s">
        <v>214</v>
      </c>
      <c r="L217" s="510">
        <v>0</v>
      </c>
      <c r="M217" s="619"/>
      <c r="N217" s="619"/>
      <c r="O217" s="619">
        <f t="shared" si="656"/>
        <v>0</v>
      </c>
      <c r="P217" s="620"/>
      <c r="Q217" s="509">
        <v>0</v>
      </c>
      <c r="R217" s="560"/>
      <c r="S217" s="542">
        <v>0</v>
      </c>
      <c r="T217" s="560"/>
      <c r="U217" s="621"/>
      <c r="V217" s="320"/>
      <c r="W217" s="320"/>
      <c r="X217" s="320"/>
      <c r="Z217" s="509">
        <f>AW217+AY217+BA217</f>
        <v>0</v>
      </c>
      <c r="AA217" s="622">
        <f>AX217+AZ217+BB217</f>
        <v>0</v>
      </c>
      <c r="AB217" s="623">
        <f>Z217-AA217</f>
        <v>0</v>
      </c>
      <c r="AC217" s="509">
        <f>BC217+BE217+BG217</f>
        <v>0</v>
      </c>
      <c r="AD217" s="622">
        <f>BD217+BF217+BH217</f>
        <v>0</v>
      </c>
      <c r="AE217" s="623">
        <f>AC217-AD217</f>
        <v>0</v>
      </c>
      <c r="AF217" s="509">
        <f>BI217+BK217+BM217</f>
        <v>0</v>
      </c>
      <c r="AG217" s="622">
        <f>BJ217+BL217+BN217</f>
        <v>0</v>
      </c>
      <c r="AH217" s="623">
        <f>AF217-AG217</f>
        <v>0</v>
      </c>
      <c r="AI217" s="509">
        <f>BO217+BQ217+BS217</f>
        <v>0</v>
      </c>
      <c r="AJ217" s="622">
        <f>BP217+BR217+BT217</f>
        <v>0</v>
      </c>
      <c r="AK217" s="623">
        <f>AI217-AJ217</f>
        <v>0</v>
      </c>
      <c r="AL217" s="624"/>
      <c r="AM217" s="509">
        <f>Z217+AC217</f>
        <v>0</v>
      </c>
      <c r="AN217" s="625">
        <f>AA217+AD217</f>
        <v>0</v>
      </c>
      <c r="AO217" s="626">
        <f>AM217-AN217</f>
        <v>0</v>
      </c>
      <c r="AP217" s="509">
        <f>Z217+AC217+AF217</f>
        <v>0</v>
      </c>
      <c r="AQ217" s="625">
        <f>AA217+AD217+AG217</f>
        <v>0</v>
      </c>
      <c r="AR217" s="626">
        <f>AP217-AQ217</f>
        <v>0</v>
      </c>
      <c r="AS217" s="510">
        <f>Z217+AC217+AF217+AI217</f>
        <v>0</v>
      </c>
      <c r="AT217" s="625">
        <f>AA217+AD217+AG217+AJ217</f>
        <v>0</v>
      </c>
      <c r="AU217" s="626">
        <f>AS217-AT217</f>
        <v>0</v>
      </c>
      <c r="AV217" s="627">
        <f t="shared" si="678"/>
        <v>0</v>
      </c>
      <c r="AW217" s="628"/>
      <c r="AX217" s="629"/>
      <c r="AY217" s="630"/>
      <c r="AZ217" s="629"/>
      <c r="BA217" s="630"/>
      <c r="BB217" s="631"/>
      <c r="BC217" s="632"/>
      <c r="BD217" s="633"/>
      <c r="BE217" s="634"/>
      <c r="BF217" s="633"/>
      <c r="BG217" s="634"/>
      <c r="BH217" s="635"/>
      <c r="BI217" s="636"/>
      <c r="BJ217" s="637"/>
      <c r="BK217" s="622"/>
      <c r="BL217" s="637"/>
      <c r="BM217" s="622"/>
      <c r="BN217" s="638"/>
      <c r="BO217" s="639"/>
      <c r="BP217" s="640"/>
      <c r="BQ217" s="641"/>
      <c r="BR217" s="640"/>
      <c r="BS217" s="641"/>
      <c r="BT217" s="642"/>
    </row>
    <row r="218" spans="1:72" s="358" customFormat="1" ht="31.5" customHeight="1">
      <c r="A218" s="287">
        <v>200</v>
      </c>
      <c r="B218" s="933"/>
      <c r="C218" s="850" t="s">
        <v>377</v>
      </c>
      <c r="D218" s="838"/>
      <c r="E218" s="836" t="s">
        <v>201</v>
      </c>
      <c r="F218" s="820" t="s">
        <v>23</v>
      </c>
      <c r="G218" s="360">
        <v>2</v>
      </c>
      <c r="H218" s="360" t="s">
        <v>71</v>
      </c>
      <c r="I218" s="360">
        <v>244</v>
      </c>
      <c r="J218" s="361">
        <v>346</v>
      </c>
      <c r="K218" s="532" t="s">
        <v>379</v>
      </c>
      <c r="L218" s="367">
        <f>SUM(L219:L222)</f>
        <v>86176.639999999999</v>
      </c>
      <c r="M218" s="363"/>
      <c r="N218" s="363"/>
      <c r="O218" s="363">
        <f t="shared" si="524"/>
        <v>86176.639999999999</v>
      </c>
      <c r="P218" s="571"/>
      <c r="Q218" s="367">
        <f>SUM(Q219:Q222)</f>
        <v>76176.639999999999</v>
      </c>
      <c r="R218" s="557"/>
      <c r="S218" s="367">
        <f>SUM(S219:S222)</f>
        <v>76176.639999999999</v>
      </c>
      <c r="T218" s="557"/>
      <c r="U218" s="365"/>
      <c r="V218" s="366"/>
      <c r="W218" s="366"/>
      <c r="X218" s="366"/>
      <c r="Z218" s="367">
        <f t="shared" si="616"/>
        <v>52421.65</v>
      </c>
      <c r="AA218" s="363">
        <f t="shared" si="616"/>
        <v>0</v>
      </c>
      <c r="AB218" s="280">
        <f t="shared" si="526"/>
        <v>52421.65</v>
      </c>
      <c r="AC218" s="367">
        <f t="shared" si="617"/>
        <v>0</v>
      </c>
      <c r="AD218" s="363">
        <f t="shared" si="617"/>
        <v>0</v>
      </c>
      <c r="AE218" s="280">
        <f t="shared" si="528"/>
        <v>0</v>
      </c>
      <c r="AF218" s="367">
        <f t="shared" si="618"/>
        <v>0</v>
      </c>
      <c r="AG218" s="363">
        <f t="shared" si="618"/>
        <v>0</v>
      </c>
      <c r="AH218" s="280">
        <f t="shared" si="530"/>
        <v>0</v>
      </c>
      <c r="AI218" s="367">
        <f t="shared" si="619"/>
        <v>33754.99</v>
      </c>
      <c r="AJ218" s="363">
        <f t="shared" si="619"/>
        <v>0</v>
      </c>
      <c r="AK218" s="280">
        <f t="shared" si="532"/>
        <v>33754.99</v>
      </c>
      <c r="AL218" s="368"/>
      <c r="AM218" s="367">
        <f t="shared" si="620"/>
        <v>52421.65</v>
      </c>
      <c r="AN218" s="363">
        <f t="shared" si="620"/>
        <v>0</v>
      </c>
      <c r="AO218" s="280">
        <f t="shared" si="534"/>
        <v>52421.65</v>
      </c>
      <c r="AP218" s="367">
        <f t="shared" si="621"/>
        <v>52421.65</v>
      </c>
      <c r="AQ218" s="363">
        <f t="shared" si="621"/>
        <v>0</v>
      </c>
      <c r="AR218" s="280">
        <f t="shared" si="520"/>
        <v>52421.65</v>
      </c>
      <c r="AS218" s="367">
        <f t="shared" si="622"/>
        <v>86176.639999999999</v>
      </c>
      <c r="AT218" s="363">
        <f t="shared" si="622"/>
        <v>0</v>
      </c>
      <c r="AU218" s="280">
        <f t="shared" si="522"/>
        <v>86176.639999999999</v>
      </c>
      <c r="AV218" s="588">
        <f t="shared" si="588"/>
        <v>0</v>
      </c>
      <c r="AW218" s="367">
        <f t="shared" ref="AW218:BT218" si="680">SUM(AW219:AW222)</f>
        <v>0</v>
      </c>
      <c r="AX218" s="363">
        <f t="shared" si="680"/>
        <v>0</v>
      </c>
      <c r="AY218" s="363">
        <f t="shared" si="680"/>
        <v>6225</v>
      </c>
      <c r="AZ218" s="363">
        <f t="shared" si="680"/>
        <v>0</v>
      </c>
      <c r="BA218" s="363">
        <f t="shared" si="680"/>
        <v>46196.65</v>
      </c>
      <c r="BB218" s="369">
        <f t="shared" si="680"/>
        <v>0</v>
      </c>
      <c r="BC218" s="367">
        <f t="shared" si="680"/>
        <v>0</v>
      </c>
      <c r="BD218" s="363">
        <f t="shared" si="680"/>
        <v>0</v>
      </c>
      <c r="BE218" s="363">
        <f t="shared" si="680"/>
        <v>0</v>
      </c>
      <c r="BF218" s="363">
        <f t="shared" si="680"/>
        <v>0</v>
      </c>
      <c r="BG218" s="363">
        <f t="shared" si="680"/>
        <v>0</v>
      </c>
      <c r="BH218" s="369">
        <f t="shared" si="680"/>
        <v>0</v>
      </c>
      <c r="BI218" s="367">
        <f t="shared" si="680"/>
        <v>0</v>
      </c>
      <c r="BJ218" s="363">
        <f t="shared" si="680"/>
        <v>0</v>
      </c>
      <c r="BK218" s="363">
        <f t="shared" si="680"/>
        <v>0</v>
      </c>
      <c r="BL218" s="363">
        <f t="shared" si="680"/>
        <v>0</v>
      </c>
      <c r="BM218" s="363">
        <f t="shared" si="680"/>
        <v>0</v>
      </c>
      <c r="BN218" s="369">
        <f t="shared" si="680"/>
        <v>0</v>
      </c>
      <c r="BO218" s="367">
        <f t="shared" si="680"/>
        <v>29979.99</v>
      </c>
      <c r="BP218" s="363">
        <f t="shared" si="680"/>
        <v>0</v>
      </c>
      <c r="BQ218" s="363">
        <f t="shared" si="680"/>
        <v>3775</v>
      </c>
      <c r="BR218" s="363">
        <f t="shared" si="680"/>
        <v>0</v>
      </c>
      <c r="BS218" s="363">
        <f t="shared" si="680"/>
        <v>0</v>
      </c>
      <c r="BT218" s="280">
        <f t="shared" si="680"/>
        <v>0</v>
      </c>
    </row>
    <row r="219" spans="1:72" s="313" customFormat="1" ht="25.5" outlineLevel="2">
      <c r="A219" s="287">
        <v>201</v>
      </c>
      <c r="B219" s="933"/>
      <c r="C219" s="840"/>
      <c r="D219" s="841"/>
      <c r="E219" s="839"/>
      <c r="F219" s="821" t="s">
        <v>23</v>
      </c>
      <c r="G219" s="314">
        <v>2</v>
      </c>
      <c r="H219" s="739" t="s">
        <v>71</v>
      </c>
      <c r="I219" s="739">
        <v>244</v>
      </c>
      <c r="J219" s="740">
        <v>346</v>
      </c>
      <c r="K219" s="533" t="s">
        <v>308</v>
      </c>
      <c r="L219" s="341">
        <v>7359.99</v>
      </c>
      <c r="M219" s="318"/>
      <c r="N219" s="318"/>
      <c r="O219" s="318">
        <f t="shared" si="524"/>
        <v>7359.99</v>
      </c>
      <c r="P219" s="570"/>
      <c r="Q219" s="336">
        <v>7359.99</v>
      </c>
      <c r="R219" s="559"/>
      <c r="S219" s="541">
        <v>7359.99</v>
      </c>
      <c r="T219" s="559"/>
      <c r="U219" s="335"/>
      <c r="V219" s="320"/>
      <c r="W219" s="320"/>
      <c r="X219" s="320"/>
      <c r="Z219" s="336">
        <f t="shared" si="616"/>
        <v>4906.66</v>
      </c>
      <c r="AA219" s="337">
        <f t="shared" si="616"/>
        <v>0</v>
      </c>
      <c r="AB219" s="338">
        <f t="shared" si="526"/>
        <v>4906.66</v>
      </c>
      <c r="AC219" s="336">
        <f t="shared" si="617"/>
        <v>0</v>
      </c>
      <c r="AD219" s="337">
        <f t="shared" si="617"/>
        <v>0</v>
      </c>
      <c r="AE219" s="338">
        <f t="shared" si="528"/>
        <v>0</v>
      </c>
      <c r="AF219" s="336">
        <f t="shared" si="618"/>
        <v>0</v>
      </c>
      <c r="AG219" s="337">
        <f t="shared" si="618"/>
        <v>0</v>
      </c>
      <c r="AH219" s="338">
        <f t="shared" si="530"/>
        <v>0</v>
      </c>
      <c r="AI219" s="336">
        <f t="shared" si="619"/>
        <v>2453.33</v>
      </c>
      <c r="AJ219" s="337">
        <f t="shared" si="619"/>
        <v>0</v>
      </c>
      <c r="AK219" s="338">
        <f t="shared" si="532"/>
        <v>2453.33</v>
      </c>
      <c r="AL219" s="342"/>
      <c r="AM219" s="336">
        <f t="shared" si="620"/>
        <v>4906.66</v>
      </c>
      <c r="AN219" s="339">
        <f t="shared" si="620"/>
        <v>0</v>
      </c>
      <c r="AO219" s="340">
        <f t="shared" si="534"/>
        <v>4906.66</v>
      </c>
      <c r="AP219" s="336">
        <f t="shared" si="621"/>
        <v>4906.66</v>
      </c>
      <c r="AQ219" s="339">
        <f t="shared" si="621"/>
        <v>0</v>
      </c>
      <c r="AR219" s="340">
        <f t="shared" si="520"/>
        <v>4906.66</v>
      </c>
      <c r="AS219" s="341">
        <f t="shared" si="622"/>
        <v>7359.99</v>
      </c>
      <c r="AT219" s="339">
        <f t="shared" si="622"/>
        <v>0</v>
      </c>
      <c r="AU219" s="340">
        <f t="shared" si="522"/>
        <v>7359.99</v>
      </c>
      <c r="AV219" s="589">
        <f t="shared" si="588"/>
        <v>0</v>
      </c>
      <c r="AW219" s="343"/>
      <c r="AX219" s="344"/>
      <c r="AY219" s="345"/>
      <c r="AZ219" s="344"/>
      <c r="BA219" s="345">
        <f>2453.33*2</f>
        <v>4906.66</v>
      </c>
      <c r="BB219" s="346"/>
      <c r="BC219" s="347"/>
      <c r="BD219" s="348"/>
      <c r="BE219" s="349"/>
      <c r="BF219" s="348"/>
      <c r="BG219" s="349"/>
      <c r="BH219" s="350"/>
      <c r="BI219" s="351"/>
      <c r="BJ219" s="352"/>
      <c r="BK219" s="337"/>
      <c r="BL219" s="352"/>
      <c r="BM219" s="337"/>
      <c r="BN219" s="353"/>
      <c r="BO219" s="354">
        <v>2453.33</v>
      </c>
      <c r="BP219" s="355"/>
      <c r="BQ219" s="356"/>
      <c r="BR219" s="355"/>
      <c r="BS219" s="356"/>
      <c r="BT219" s="357"/>
    </row>
    <row r="220" spans="1:72" s="313" customFormat="1" ht="25.5" outlineLevel="2">
      <c r="A220" s="287">
        <v>202</v>
      </c>
      <c r="B220" s="933"/>
      <c r="C220" s="840"/>
      <c r="D220" s="841"/>
      <c r="E220" s="839"/>
      <c r="F220" s="821" t="s">
        <v>23</v>
      </c>
      <c r="G220" s="314">
        <v>2</v>
      </c>
      <c r="H220" s="739" t="s">
        <v>71</v>
      </c>
      <c r="I220" s="739">
        <v>244</v>
      </c>
      <c r="J220" s="740">
        <v>346</v>
      </c>
      <c r="K220" s="533" t="s">
        <v>309</v>
      </c>
      <c r="L220" s="341">
        <v>27000</v>
      </c>
      <c r="M220" s="318"/>
      <c r="N220" s="318"/>
      <c r="O220" s="318">
        <f t="shared" si="524"/>
        <v>27000</v>
      </c>
      <c r="P220" s="570"/>
      <c r="Q220" s="336">
        <v>27000</v>
      </c>
      <c r="R220" s="559"/>
      <c r="S220" s="541">
        <v>27000</v>
      </c>
      <c r="T220" s="559"/>
      <c r="U220" s="335"/>
      <c r="V220" s="320"/>
      <c r="W220" s="320"/>
      <c r="X220" s="320"/>
      <c r="Z220" s="336">
        <f>AW220+AY220+BA220</f>
        <v>16200</v>
      </c>
      <c r="AA220" s="337">
        <f>AX220+AZ220+BB220</f>
        <v>0</v>
      </c>
      <c r="AB220" s="338">
        <f>Z220-AA220</f>
        <v>16200</v>
      </c>
      <c r="AC220" s="336">
        <f>BC220+BE220+BG220</f>
        <v>0</v>
      </c>
      <c r="AD220" s="337">
        <f>BD220+BF220+BH220</f>
        <v>0</v>
      </c>
      <c r="AE220" s="338">
        <f>AC220-AD220</f>
        <v>0</v>
      </c>
      <c r="AF220" s="336">
        <f>BI220+BK220+BM220</f>
        <v>0</v>
      </c>
      <c r="AG220" s="337">
        <f>BJ220+BL220+BN220</f>
        <v>0</v>
      </c>
      <c r="AH220" s="338">
        <f>AF220-AG220</f>
        <v>0</v>
      </c>
      <c r="AI220" s="336">
        <f>BO220+BQ220+BS220</f>
        <v>10800</v>
      </c>
      <c r="AJ220" s="337">
        <f>BP220+BR220+BT220</f>
        <v>0</v>
      </c>
      <c r="AK220" s="338">
        <f>AI220-AJ220</f>
        <v>10800</v>
      </c>
      <c r="AL220" s="342"/>
      <c r="AM220" s="336">
        <f>Z220+AC220</f>
        <v>16200</v>
      </c>
      <c r="AN220" s="339">
        <f>AA220+AD220</f>
        <v>0</v>
      </c>
      <c r="AO220" s="340">
        <f>AM220-AN220</f>
        <v>16200</v>
      </c>
      <c r="AP220" s="336">
        <f>Z220+AC220+AF220</f>
        <v>16200</v>
      </c>
      <c r="AQ220" s="339">
        <f>AA220+AD220+AG220</f>
        <v>0</v>
      </c>
      <c r="AR220" s="340">
        <f>AP220-AQ220</f>
        <v>16200</v>
      </c>
      <c r="AS220" s="341">
        <f>Z220+AC220+AF220+AI220</f>
        <v>27000</v>
      </c>
      <c r="AT220" s="339">
        <f>AA220+AD220+AG220+AJ220</f>
        <v>0</v>
      </c>
      <c r="AU220" s="340">
        <f>AS220-AT220</f>
        <v>27000</v>
      </c>
      <c r="AV220" s="589">
        <f t="shared" si="588"/>
        <v>0</v>
      </c>
      <c r="AW220" s="343"/>
      <c r="AX220" s="344"/>
      <c r="AY220" s="345"/>
      <c r="AZ220" s="344"/>
      <c r="BA220" s="345">
        <f>5400*3</f>
        <v>16200</v>
      </c>
      <c r="BB220" s="346"/>
      <c r="BC220" s="347"/>
      <c r="BD220" s="348"/>
      <c r="BE220" s="349"/>
      <c r="BF220" s="348"/>
      <c r="BG220" s="349"/>
      <c r="BH220" s="350"/>
      <c r="BI220" s="351"/>
      <c r="BJ220" s="352"/>
      <c r="BK220" s="337"/>
      <c r="BL220" s="352"/>
      <c r="BM220" s="337"/>
      <c r="BN220" s="353"/>
      <c r="BO220" s="354">
        <f>5400*2</f>
        <v>10800</v>
      </c>
      <c r="BP220" s="355"/>
      <c r="BQ220" s="356"/>
      <c r="BR220" s="355"/>
      <c r="BS220" s="356"/>
      <c r="BT220" s="357"/>
    </row>
    <row r="221" spans="1:72" s="313" customFormat="1" ht="25.5" outlineLevel="2">
      <c r="A221" s="287">
        <v>203</v>
      </c>
      <c r="B221" s="933"/>
      <c r="C221" s="840"/>
      <c r="D221" s="841"/>
      <c r="E221" s="839"/>
      <c r="F221" s="821" t="s">
        <v>23</v>
      </c>
      <c r="G221" s="314">
        <v>2</v>
      </c>
      <c r="H221" s="739" t="s">
        <v>71</v>
      </c>
      <c r="I221" s="739">
        <v>244</v>
      </c>
      <c r="J221" s="740">
        <v>346</v>
      </c>
      <c r="K221" s="533" t="s">
        <v>310</v>
      </c>
      <c r="L221" s="341">
        <v>41816.65</v>
      </c>
      <c r="M221" s="318"/>
      <c r="N221" s="318"/>
      <c r="O221" s="318">
        <f t="shared" si="524"/>
        <v>41816.65</v>
      </c>
      <c r="P221" s="570"/>
      <c r="Q221" s="336">
        <v>41816.65</v>
      </c>
      <c r="R221" s="559"/>
      <c r="S221" s="541">
        <v>41816.65</v>
      </c>
      <c r="T221" s="559"/>
      <c r="U221" s="335"/>
      <c r="V221" s="320"/>
      <c r="W221" s="320"/>
      <c r="X221" s="320"/>
      <c r="Z221" s="336">
        <f t="shared" ref="Z221:AA221" si="681">AW221+AY221+BA221</f>
        <v>25089.99</v>
      </c>
      <c r="AA221" s="337">
        <f t="shared" si="681"/>
        <v>0</v>
      </c>
      <c r="AB221" s="338">
        <f t="shared" ref="AB221" si="682">Z221-AA221</f>
        <v>25089.99</v>
      </c>
      <c r="AC221" s="336">
        <f t="shared" ref="AC221:AD221" si="683">BC221+BE221+BG221</f>
        <v>0</v>
      </c>
      <c r="AD221" s="337">
        <f t="shared" si="683"/>
        <v>0</v>
      </c>
      <c r="AE221" s="338">
        <f t="shared" ref="AE221" si="684">AC221-AD221</f>
        <v>0</v>
      </c>
      <c r="AF221" s="336">
        <f t="shared" ref="AF221:AG221" si="685">BI221+BK221+BM221</f>
        <v>0</v>
      </c>
      <c r="AG221" s="337">
        <f t="shared" si="685"/>
        <v>0</v>
      </c>
      <c r="AH221" s="338">
        <f t="shared" ref="AH221" si="686">AF221-AG221</f>
        <v>0</v>
      </c>
      <c r="AI221" s="336">
        <f t="shared" ref="AI221:AJ221" si="687">BO221+BQ221+BS221</f>
        <v>16726.66</v>
      </c>
      <c r="AJ221" s="337">
        <f t="shared" si="687"/>
        <v>0</v>
      </c>
      <c r="AK221" s="338">
        <f t="shared" ref="AK221" si="688">AI221-AJ221</f>
        <v>16726.66</v>
      </c>
      <c r="AL221" s="342"/>
      <c r="AM221" s="336">
        <f t="shared" ref="AM221:AN221" si="689">Z221+AC221</f>
        <v>25089.99</v>
      </c>
      <c r="AN221" s="339">
        <f t="shared" si="689"/>
        <v>0</v>
      </c>
      <c r="AO221" s="340">
        <f t="shared" ref="AO221" si="690">AM221-AN221</f>
        <v>25089.99</v>
      </c>
      <c r="AP221" s="336">
        <f t="shared" ref="AP221:AQ221" si="691">Z221+AC221+AF221</f>
        <v>25089.99</v>
      </c>
      <c r="AQ221" s="339">
        <f t="shared" si="691"/>
        <v>0</v>
      </c>
      <c r="AR221" s="340">
        <f t="shared" ref="AR221" si="692">AP221-AQ221</f>
        <v>25089.99</v>
      </c>
      <c r="AS221" s="341">
        <f t="shared" ref="AS221:AT221" si="693">Z221+AC221+AF221+AI221</f>
        <v>41816.65</v>
      </c>
      <c r="AT221" s="339">
        <f t="shared" si="693"/>
        <v>0</v>
      </c>
      <c r="AU221" s="340">
        <f t="shared" ref="AU221" si="694">AS221-AT221</f>
        <v>41816.65</v>
      </c>
      <c r="AV221" s="589">
        <f t="shared" si="588"/>
        <v>0</v>
      </c>
      <c r="AW221" s="343"/>
      <c r="AX221" s="344"/>
      <c r="AY221" s="345"/>
      <c r="AZ221" s="344"/>
      <c r="BA221" s="345">
        <f>8363.33*3</f>
        <v>25089.99</v>
      </c>
      <c r="BB221" s="346"/>
      <c r="BC221" s="347"/>
      <c r="BD221" s="348"/>
      <c r="BE221" s="349"/>
      <c r="BF221" s="348"/>
      <c r="BG221" s="349"/>
      <c r="BH221" s="350"/>
      <c r="BI221" s="351"/>
      <c r="BJ221" s="352"/>
      <c r="BK221" s="337"/>
      <c r="BL221" s="352"/>
      <c r="BM221" s="337"/>
      <c r="BN221" s="353"/>
      <c r="BO221" s="354">
        <f>8363.33*2</f>
        <v>16726.66</v>
      </c>
      <c r="BP221" s="355"/>
      <c r="BQ221" s="356"/>
      <c r="BR221" s="355"/>
      <c r="BS221" s="356"/>
      <c r="BT221" s="357"/>
    </row>
    <row r="222" spans="1:72" s="313" customFormat="1" ht="25.5" outlineLevel="1">
      <c r="A222" s="287">
        <v>204</v>
      </c>
      <c r="B222" s="933"/>
      <c r="C222" s="840"/>
      <c r="D222" s="841"/>
      <c r="E222" s="839"/>
      <c r="F222" s="821" t="s">
        <v>23</v>
      </c>
      <c r="G222" s="314">
        <v>2</v>
      </c>
      <c r="H222" s="739" t="s">
        <v>71</v>
      </c>
      <c r="I222" s="739">
        <v>244</v>
      </c>
      <c r="J222" s="740">
        <v>346</v>
      </c>
      <c r="K222" s="317" t="s">
        <v>389</v>
      </c>
      <c r="L222" s="341">
        <v>10000</v>
      </c>
      <c r="M222" s="318"/>
      <c r="N222" s="318"/>
      <c r="O222" s="318">
        <f t="shared" si="524"/>
        <v>10000</v>
      </c>
      <c r="P222" s="570"/>
      <c r="Q222" s="336">
        <v>0</v>
      </c>
      <c r="R222" s="559"/>
      <c r="S222" s="541">
        <v>0</v>
      </c>
      <c r="T222" s="559"/>
      <c r="U222" s="335"/>
      <c r="V222" s="596" t="s">
        <v>390</v>
      </c>
      <c r="W222" s="596" t="s">
        <v>445</v>
      </c>
      <c r="X222" s="596" t="s">
        <v>446</v>
      </c>
      <c r="Z222" s="336">
        <f>AW222+AY222+BA222</f>
        <v>6225</v>
      </c>
      <c r="AA222" s="337">
        <f>AX222+AZ222+BB222</f>
        <v>0</v>
      </c>
      <c r="AB222" s="338">
        <f>Z222-AA222</f>
        <v>6225</v>
      </c>
      <c r="AC222" s="336">
        <f>BC222+BE222+BG222</f>
        <v>0</v>
      </c>
      <c r="AD222" s="337">
        <f>BD222+BF222+BH222</f>
        <v>0</v>
      </c>
      <c r="AE222" s="338">
        <f>AC222-AD222</f>
        <v>0</v>
      </c>
      <c r="AF222" s="336">
        <f>BI222+BK222+BM222</f>
        <v>0</v>
      </c>
      <c r="AG222" s="337">
        <f>BJ222+BL222+BN222</f>
        <v>0</v>
      </c>
      <c r="AH222" s="338">
        <f>AF222-AG222</f>
        <v>0</v>
      </c>
      <c r="AI222" s="336">
        <f>BO222+BQ222+BS222</f>
        <v>3775</v>
      </c>
      <c r="AJ222" s="337">
        <f>BP222+BR222+BT222</f>
        <v>0</v>
      </c>
      <c r="AK222" s="338">
        <f>AI222-AJ222</f>
        <v>3775</v>
      </c>
      <c r="AL222" s="342"/>
      <c r="AM222" s="336">
        <f>Z222+AC222</f>
        <v>6225</v>
      </c>
      <c r="AN222" s="339">
        <f>AA222+AD222</f>
        <v>0</v>
      </c>
      <c r="AO222" s="340">
        <f>AM222-AN222</f>
        <v>6225</v>
      </c>
      <c r="AP222" s="336">
        <f>Z222+AC222+AF222</f>
        <v>6225</v>
      </c>
      <c r="AQ222" s="339">
        <f>AA222+AD222+AG222</f>
        <v>0</v>
      </c>
      <c r="AR222" s="340">
        <f>AP222-AQ222</f>
        <v>6225</v>
      </c>
      <c r="AS222" s="341">
        <f>Z222+AC222+AF222+AI222</f>
        <v>10000</v>
      </c>
      <c r="AT222" s="339">
        <f>AA222+AD222+AG222+AJ222</f>
        <v>0</v>
      </c>
      <c r="AU222" s="340">
        <f>AS222-AT222</f>
        <v>10000</v>
      </c>
      <c r="AV222" s="589">
        <f t="shared" si="588"/>
        <v>0</v>
      </c>
      <c r="AW222" s="343"/>
      <c r="AX222" s="344"/>
      <c r="AY222" s="345">
        <v>6225</v>
      </c>
      <c r="AZ222" s="344"/>
      <c r="BA222" s="345"/>
      <c r="BB222" s="346"/>
      <c r="BC222" s="347"/>
      <c r="BD222" s="348"/>
      <c r="BE222" s="349"/>
      <c r="BF222" s="348"/>
      <c r="BG222" s="349"/>
      <c r="BH222" s="350"/>
      <c r="BI222" s="351"/>
      <c r="BJ222" s="352"/>
      <c r="BK222" s="337"/>
      <c r="BL222" s="352"/>
      <c r="BM222" s="337"/>
      <c r="BN222" s="353"/>
      <c r="BO222" s="354"/>
      <c r="BP222" s="355"/>
      <c r="BQ222" s="356">
        <f>5000-1225</f>
        <v>3775</v>
      </c>
      <c r="BR222" s="355"/>
      <c r="BS222" s="356"/>
      <c r="BT222" s="357"/>
    </row>
    <row r="223" spans="1:72" s="358" customFormat="1" ht="31.5">
      <c r="A223" s="287">
        <v>205</v>
      </c>
      <c r="B223" s="936"/>
      <c r="C223" s="837"/>
      <c r="D223" s="838"/>
      <c r="E223" s="836" t="s">
        <v>201</v>
      </c>
      <c r="F223" s="820" t="s">
        <v>23</v>
      </c>
      <c r="G223" s="360">
        <v>2</v>
      </c>
      <c r="H223" s="360" t="s">
        <v>71</v>
      </c>
      <c r="I223" s="360">
        <v>244</v>
      </c>
      <c r="J223" s="361">
        <v>346</v>
      </c>
      <c r="K223" s="532" t="s">
        <v>304</v>
      </c>
      <c r="L223" s="367">
        <v>80457.509999999995</v>
      </c>
      <c r="M223" s="363"/>
      <c r="N223" s="363"/>
      <c r="O223" s="363">
        <f t="shared" si="524"/>
        <v>80457.509999999995</v>
      </c>
      <c r="P223" s="571"/>
      <c r="Q223" s="367">
        <v>146684.4</v>
      </c>
      <c r="R223" s="557"/>
      <c r="S223" s="539">
        <v>145856.06</v>
      </c>
      <c r="T223" s="557"/>
      <c r="U223" s="365"/>
      <c r="V223" s="320"/>
      <c r="W223" s="320"/>
      <c r="X223" s="320"/>
      <c r="Z223" s="367">
        <f t="shared" si="616"/>
        <v>0</v>
      </c>
      <c r="AA223" s="363">
        <f t="shared" si="616"/>
        <v>0</v>
      </c>
      <c r="AB223" s="280">
        <f t="shared" si="526"/>
        <v>0</v>
      </c>
      <c r="AC223" s="367">
        <f t="shared" si="617"/>
        <v>0</v>
      </c>
      <c r="AD223" s="363">
        <f t="shared" si="617"/>
        <v>0</v>
      </c>
      <c r="AE223" s="280">
        <f t="shared" si="528"/>
        <v>0</v>
      </c>
      <c r="AF223" s="367">
        <f t="shared" si="618"/>
        <v>0</v>
      </c>
      <c r="AG223" s="363">
        <f t="shared" si="618"/>
        <v>0</v>
      </c>
      <c r="AH223" s="280">
        <f t="shared" si="530"/>
        <v>0</v>
      </c>
      <c r="AI223" s="367">
        <f t="shared" si="619"/>
        <v>80457.509999999995</v>
      </c>
      <c r="AJ223" s="363">
        <f t="shared" si="619"/>
        <v>0</v>
      </c>
      <c r="AK223" s="280">
        <f t="shared" si="532"/>
        <v>80457.509999999995</v>
      </c>
      <c r="AL223" s="368"/>
      <c r="AM223" s="367">
        <f t="shared" si="620"/>
        <v>0</v>
      </c>
      <c r="AN223" s="363">
        <f t="shared" si="620"/>
        <v>0</v>
      </c>
      <c r="AO223" s="280">
        <f t="shared" si="534"/>
        <v>0</v>
      </c>
      <c r="AP223" s="367">
        <f t="shared" si="621"/>
        <v>0</v>
      </c>
      <c r="AQ223" s="363">
        <f t="shared" si="621"/>
        <v>0</v>
      </c>
      <c r="AR223" s="280">
        <f t="shared" si="520"/>
        <v>0</v>
      </c>
      <c r="AS223" s="367">
        <f t="shared" si="622"/>
        <v>80457.509999999995</v>
      </c>
      <c r="AT223" s="363">
        <f t="shared" si="622"/>
        <v>0</v>
      </c>
      <c r="AU223" s="280">
        <f t="shared" si="522"/>
        <v>80457.509999999995</v>
      </c>
      <c r="AV223" s="588">
        <f t="shared" ref="AV223:AV245" si="695">L223-AS223</f>
        <v>0</v>
      </c>
      <c r="AW223" s="367"/>
      <c r="AX223" s="363"/>
      <c r="AY223" s="363"/>
      <c r="AZ223" s="363"/>
      <c r="BA223" s="363">
        <v>0</v>
      </c>
      <c r="BB223" s="369"/>
      <c r="BC223" s="367"/>
      <c r="BD223" s="363"/>
      <c r="BE223" s="363"/>
      <c r="BF223" s="363"/>
      <c r="BG223" s="363">
        <v>0</v>
      </c>
      <c r="BH223" s="369"/>
      <c r="BI223" s="367"/>
      <c r="BJ223" s="363"/>
      <c r="BK223" s="363"/>
      <c r="BL223" s="363"/>
      <c r="BM223" s="363"/>
      <c r="BN223" s="369"/>
      <c r="BO223" s="367"/>
      <c r="BP223" s="363"/>
      <c r="BQ223" s="363"/>
      <c r="BR223" s="363"/>
      <c r="BS223" s="363">
        <v>80457.509999999995</v>
      </c>
      <c r="BT223" s="280"/>
    </row>
    <row r="224" spans="1:72" s="358" customFormat="1" ht="47.25">
      <c r="A224" s="287">
        <v>206</v>
      </c>
      <c r="B224" s="933"/>
      <c r="C224" s="837"/>
      <c r="D224" s="838"/>
      <c r="E224" s="836" t="s">
        <v>201</v>
      </c>
      <c r="F224" s="820" t="s">
        <v>23</v>
      </c>
      <c r="G224" s="360">
        <v>2</v>
      </c>
      <c r="H224" s="360" t="s">
        <v>71</v>
      </c>
      <c r="I224" s="360">
        <v>244</v>
      </c>
      <c r="J224" s="361">
        <v>346</v>
      </c>
      <c r="K224" s="532" t="s">
        <v>305</v>
      </c>
      <c r="L224" s="367">
        <f>SUM(L225:L227)</f>
        <v>100867.29</v>
      </c>
      <c r="M224" s="363">
        <v>20000</v>
      </c>
      <c r="N224" s="363">
        <f>SUM(N226:N227)</f>
        <v>0</v>
      </c>
      <c r="O224" s="363">
        <f t="shared" si="524"/>
        <v>100867.29</v>
      </c>
      <c r="P224" s="571"/>
      <c r="Q224" s="367">
        <f>SUM(Q226:Q227)</f>
        <v>0</v>
      </c>
      <c r="R224" s="557"/>
      <c r="S224" s="539">
        <f>SUM(S226:S227)</f>
        <v>0</v>
      </c>
      <c r="T224" s="557"/>
      <c r="U224" s="365"/>
      <c r="V224" s="320"/>
      <c r="W224" s="320"/>
      <c r="X224" s="320"/>
      <c r="Z224" s="367">
        <f t="shared" si="616"/>
        <v>10200</v>
      </c>
      <c r="AA224" s="363">
        <f t="shared" si="616"/>
        <v>0</v>
      </c>
      <c r="AB224" s="280">
        <f t="shared" si="526"/>
        <v>10200</v>
      </c>
      <c r="AC224" s="367">
        <f t="shared" si="617"/>
        <v>0</v>
      </c>
      <c r="AD224" s="363">
        <f t="shared" si="617"/>
        <v>0</v>
      </c>
      <c r="AE224" s="280">
        <f t="shared" si="528"/>
        <v>0</v>
      </c>
      <c r="AF224" s="367">
        <f t="shared" si="618"/>
        <v>0</v>
      </c>
      <c r="AG224" s="363">
        <f t="shared" si="618"/>
        <v>0</v>
      </c>
      <c r="AH224" s="280">
        <f t="shared" si="530"/>
        <v>0</v>
      </c>
      <c r="AI224" s="367">
        <f t="shared" si="619"/>
        <v>0</v>
      </c>
      <c r="AJ224" s="363">
        <f t="shared" si="619"/>
        <v>0</v>
      </c>
      <c r="AK224" s="280">
        <f t="shared" si="532"/>
        <v>0</v>
      </c>
      <c r="AL224" s="368"/>
      <c r="AM224" s="367">
        <f t="shared" si="620"/>
        <v>10200</v>
      </c>
      <c r="AN224" s="363">
        <f t="shared" si="620"/>
        <v>0</v>
      </c>
      <c r="AO224" s="280">
        <f t="shared" si="534"/>
        <v>10200</v>
      </c>
      <c r="AP224" s="367">
        <f t="shared" si="621"/>
        <v>10200</v>
      </c>
      <c r="AQ224" s="363">
        <f t="shared" si="621"/>
        <v>0</v>
      </c>
      <c r="AR224" s="280">
        <f t="shared" si="520"/>
        <v>10200</v>
      </c>
      <c r="AS224" s="367">
        <f t="shared" si="622"/>
        <v>10200</v>
      </c>
      <c r="AT224" s="363">
        <f t="shared" si="622"/>
        <v>0</v>
      </c>
      <c r="AU224" s="280">
        <f t="shared" si="522"/>
        <v>10200</v>
      </c>
      <c r="AV224" s="588">
        <f t="shared" si="695"/>
        <v>90667.29</v>
      </c>
      <c r="AW224" s="367">
        <f t="shared" ref="AW224:BS224" si="696">SUM(AW226:AW227)</f>
        <v>0</v>
      </c>
      <c r="AX224" s="363">
        <f t="shared" si="696"/>
        <v>0</v>
      </c>
      <c r="AY224" s="363">
        <f t="shared" si="696"/>
        <v>7860</v>
      </c>
      <c r="AZ224" s="363">
        <f t="shared" si="696"/>
        <v>0</v>
      </c>
      <c r="BA224" s="363">
        <f t="shared" si="696"/>
        <v>2340</v>
      </c>
      <c r="BB224" s="369">
        <f t="shared" si="696"/>
        <v>0</v>
      </c>
      <c r="BC224" s="367">
        <f t="shared" si="696"/>
        <v>0</v>
      </c>
      <c r="BD224" s="363">
        <f t="shared" si="696"/>
        <v>0</v>
      </c>
      <c r="BE224" s="363">
        <f t="shared" si="696"/>
        <v>0</v>
      </c>
      <c r="BF224" s="363">
        <f t="shared" si="696"/>
        <v>0</v>
      </c>
      <c r="BG224" s="363">
        <f t="shared" si="696"/>
        <v>0</v>
      </c>
      <c r="BH224" s="369">
        <f t="shared" si="696"/>
        <v>0</v>
      </c>
      <c r="BI224" s="367">
        <f t="shared" si="696"/>
        <v>0</v>
      </c>
      <c r="BJ224" s="363">
        <f t="shared" si="696"/>
        <v>0</v>
      </c>
      <c r="BK224" s="363">
        <f t="shared" si="696"/>
        <v>0</v>
      </c>
      <c r="BL224" s="363">
        <f t="shared" si="696"/>
        <v>0</v>
      </c>
      <c r="BM224" s="363">
        <f t="shared" si="696"/>
        <v>0</v>
      </c>
      <c r="BN224" s="369">
        <f t="shared" si="696"/>
        <v>0</v>
      </c>
      <c r="BO224" s="367">
        <f t="shared" si="696"/>
        <v>0</v>
      </c>
      <c r="BP224" s="363">
        <f t="shared" si="696"/>
        <v>0</v>
      </c>
      <c r="BQ224" s="363">
        <f t="shared" si="696"/>
        <v>0</v>
      </c>
      <c r="BR224" s="363">
        <f t="shared" si="696"/>
        <v>0</v>
      </c>
      <c r="BS224" s="363">
        <f t="shared" si="696"/>
        <v>0</v>
      </c>
      <c r="BT224" s="280"/>
    </row>
    <row r="225" spans="1:72" s="313" customFormat="1" ht="38.25">
      <c r="A225" s="287">
        <v>208</v>
      </c>
      <c r="B225" s="935" t="s">
        <v>596</v>
      </c>
      <c r="C225" s="840"/>
      <c r="D225" s="841"/>
      <c r="E225" s="839"/>
      <c r="F225" s="821" t="s">
        <v>23</v>
      </c>
      <c r="G225" s="314">
        <v>2</v>
      </c>
      <c r="H225" s="739" t="s">
        <v>71</v>
      </c>
      <c r="I225" s="739">
        <v>244</v>
      </c>
      <c r="J225" s="740">
        <v>346</v>
      </c>
      <c r="K225" s="1007" t="s">
        <v>305</v>
      </c>
      <c r="L225" s="1008">
        <f>100867.29-SUM(L226:L227)</f>
        <v>90667.29</v>
      </c>
      <c r="M225" s="318"/>
      <c r="N225" s="318"/>
      <c r="O225" s="1008">
        <f>L225+N225</f>
        <v>90667.29</v>
      </c>
      <c r="P225" s="329"/>
      <c r="Q225" s="319">
        <v>80038.95</v>
      </c>
      <c r="R225" s="329"/>
      <c r="S225" s="319">
        <v>80867.289999999994</v>
      </c>
      <c r="T225" s="329"/>
      <c r="U225" s="335"/>
      <c r="V225" s="320"/>
      <c r="W225" s="320"/>
      <c r="X225" s="320"/>
      <c r="Z225" s="336">
        <f>AW225+AY225+BA225</f>
        <v>0</v>
      </c>
      <c r="AA225" s="337">
        <f>AX225+AZ225+BB225</f>
        <v>0</v>
      </c>
      <c r="AB225" s="338">
        <f>Z225-AA225</f>
        <v>0</v>
      </c>
      <c r="AC225" s="336">
        <f>BC225+BE225+BG225</f>
        <v>0</v>
      </c>
      <c r="AD225" s="337">
        <f>BD225+BF225+BH225</f>
        <v>0</v>
      </c>
      <c r="AE225" s="338">
        <f>AC225-AD225</f>
        <v>0</v>
      </c>
      <c r="AF225" s="336">
        <f>BI225+BK225+BM225</f>
        <v>0</v>
      </c>
      <c r="AG225" s="337">
        <f>BJ225+BL225+BN225</f>
        <v>0</v>
      </c>
      <c r="AH225" s="338">
        <f>AF225-AG225</f>
        <v>0</v>
      </c>
      <c r="AI225" s="336">
        <f>BO225+BQ225+BS225</f>
        <v>0</v>
      </c>
      <c r="AJ225" s="337">
        <f>BP225+BR225+BT225</f>
        <v>0</v>
      </c>
      <c r="AK225" s="338">
        <f>AI225-AJ225</f>
        <v>0</v>
      </c>
      <c r="AL225" s="342"/>
      <c r="AM225" s="336">
        <f>Z225+AC225</f>
        <v>0</v>
      </c>
      <c r="AN225" s="339">
        <f>AA225+AD225</f>
        <v>0</v>
      </c>
      <c r="AO225" s="340">
        <f>AM225-AN225</f>
        <v>0</v>
      </c>
      <c r="AP225" s="336">
        <f>Z225+AC225+AF225</f>
        <v>0</v>
      </c>
      <c r="AQ225" s="339">
        <f>AA225+AD225+AG225</f>
        <v>0</v>
      </c>
      <c r="AR225" s="340">
        <f>AP225-AQ225</f>
        <v>0</v>
      </c>
      <c r="AS225" s="341">
        <f>Z225+AC225+AF225+AI225</f>
        <v>0</v>
      </c>
      <c r="AT225" s="339">
        <f>AA225+AD225+AG225+AJ225</f>
        <v>0</v>
      </c>
      <c r="AU225" s="340">
        <f>AS225-AT225</f>
        <v>0</v>
      </c>
      <c r="AV225" s="589">
        <f>L225-AS225</f>
        <v>90667.29</v>
      </c>
      <c r="AW225" s="343"/>
      <c r="AX225" s="344"/>
      <c r="AY225" s="345"/>
      <c r="AZ225" s="344"/>
      <c r="BA225" s="345"/>
      <c r="BB225" s="346"/>
      <c r="BC225" s="347"/>
      <c r="BD225" s="348"/>
      <c r="BE225" s="349"/>
      <c r="BF225" s="348"/>
      <c r="BG225" s="349"/>
      <c r="BH225" s="350"/>
      <c r="BI225" s="351"/>
      <c r="BJ225" s="352"/>
      <c r="BK225" s="337"/>
      <c r="BL225" s="352"/>
      <c r="BM225" s="337"/>
      <c r="BN225" s="353"/>
      <c r="BO225" s="354"/>
      <c r="BP225" s="355"/>
      <c r="BQ225" s="356"/>
      <c r="BR225" s="355"/>
      <c r="BS225" s="356"/>
      <c r="BT225" s="357"/>
    </row>
    <row r="226" spans="1:72" s="313" customFormat="1" ht="25.5">
      <c r="A226" s="287">
        <v>207</v>
      </c>
      <c r="B226" s="935"/>
      <c r="C226" s="840"/>
      <c r="D226" s="841"/>
      <c r="E226" s="839"/>
      <c r="F226" s="821" t="s">
        <v>23</v>
      </c>
      <c r="G226" s="314">
        <v>2</v>
      </c>
      <c r="H226" s="739" t="s">
        <v>71</v>
      </c>
      <c r="I226" s="739">
        <v>244</v>
      </c>
      <c r="J226" s="740">
        <v>346</v>
      </c>
      <c r="K226" s="317" t="s">
        <v>464</v>
      </c>
      <c r="L226" s="318">
        <v>7860</v>
      </c>
      <c r="M226" s="318"/>
      <c r="N226" s="318"/>
      <c r="O226" s="318">
        <f t="shared" si="524"/>
        <v>7860</v>
      </c>
      <c r="P226" s="329"/>
      <c r="Q226" s="319"/>
      <c r="R226" s="329"/>
      <c r="S226" s="319"/>
      <c r="T226" s="329"/>
      <c r="U226" s="335"/>
      <c r="V226" s="596" t="s">
        <v>463</v>
      </c>
      <c r="W226" s="596" t="s">
        <v>466</v>
      </c>
      <c r="X226" s="596" t="s">
        <v>467</v>
      </c>
      <c r="Z226" s="336">
        <f t="shared" si="616"/>
        <v>7860</v>
      </c>
      <c r="AA226" s="337">
        <f t="shared" si="616"/>
        <v>0</v>
      </c>
      <c r="AB226" s="338">
        <f>Z226-AA226</f>
        <v>7860</v>
      </c>
      <c r="AC226" s="336">
        <f t="shared" si="617"/>
        <v>0</v>
      </c>
      <c r="AD226" s="337">
        <f t="shared" si="617"/>
        <v>0</v>
      </c>
      <c r="AE226" s="338">
        <f>AC226-AD226</f>
        <v>0</v>
      </c>
      <c r="AF226" s="336">
        <f t="shared" si="618"/>
        <v>0</v>
      </c>
      <c r="AG226" s="337">
        <f t="shared" si="618"/>
        <v>0</v>
      </c>
      <c r="AH226" s="338">
        <f>AF226-AG226</f>
        <v>0</v>
      </c>
      <c r="AI226" s="336">
        <f t="shared" si="619"/>
        <v>0</v>
      </c>
      <c r="AJ226" s="337">
        <f t="shared" si="619"/>
        <v>0</v>
      </c>
      <c r="AK226" s="338">
        <f>AI226-AJ226</f>
        <v>0</v>
      </c>
      <c r="AL226" s="342"/>
      <c r="AM226" s="336">
        <f t="shared" si="620"/>
        <v>7860</v>
      </c>
      <c r="AN226" s="339">
        <f t="shared" si="620"/>
        <v>0</v>
      </c>
      <c r="AO226" s="340">
        <f>AM226-AN226</f>
        <v>7860</v>
      </c>
      <c r="AP226" s="336">
        <f t="shared" si="621"/>
        <v>7860</v>
      </c>
      <c r="AQ226" s="339">
        <f t="shared" si="621"/>
        <v>0</v>
      </c>
      <c r="AR226" s="340">
        <f>AP226-AQ226</f>
        <v>7860</v>
      </c>
      <c r="AS226" s="341">
        <f t="shared" si="622"/>
        <v>7860</v>
      </c>
      <c r="AT226" s="339">
        <f t="shared" si="622"/>
        <v>0</v>
      </c>
      <c r="AU226" s="340">
        <f>AS226-AT226</f>
        <v>7860</v>
      </c>
      <c r="AV226" s="589">
        <f t="shared" si="695"/>
        <v>0</v>
      </c>
      <c r="AW226" s="343"/>
      <c r="AX226" s="344"/>
      <c r="AY226" s="345">
        <v>7860</v>
      </c>
      <c r="AZ226" s="344"/>
      <c r="BA226" s="345"/>
      <c r="BB226" s="346"/>
      <c r="BC226" s="347"/>
      <c r="BD226" s="348"/>
      <c r="BE226" s="349"/>
      <c r="BF226" s="348"/>
      <c r="BG226" s="349"/>
      <c r="BH226" s="350"/>
      <c r="BI226" s="351"/>
      <c r="BJ226" s="352"/>
      <c r="BK226" s="337"/>
      <c r="BL226" s="352"/>
      <c r="BM226" s="337"/>
      <c r="BN226" s="353"/>
      <c r="BO226" s="354"/>
      <c r="BP226" s="355"/>
      <c r="BQ226" s="356"/>
      <c r="BR226" s="355"/>
      <c r="BS226" s="356"/>
      <c r="BT226" s="357"/>
    </row>
    <row r="227" spans="1:72" s="313" customFormat="1" ht="25.5">
      <c r="A227" s="287">
        <v>207</v>
      </c>
      <c r="B227" s="935" t="s">
        <v>597</v>
      </c>
      <c r="C227" s="840"/>
      <c r="D227" s="841"/>
      <c r="E227" s="839"/>
      <c r="F227" s="821" t="s">
        <v>23</v>
      </c>
      <c r="G227" s="314">
        <v>2</v>
      </c>
      <c r="H227" s="739" t="s">
        <v>71</v>
      </c>
      <c r="I227" s="739">
        <v>244</v>
      </c>
      <c r="J227" s="740">
        <v>346</v>
      </c>
      <c r="K227" s="317" t="s">
        <v>595</v>
      </c>
      <c r="L227" s="318">
        <v>2340</v>
      </c>
      <c r="M227" s="318"/>
      <c r="N227" s="318"/>
      <c r="O227" s="318">
        <f t="shared" si="524"/>
        <v>2340</v>
      </c>
      <c r="P227" s="329"/>
      <c r="Q227" s="319"/>
      <c r="R227" s="329"/>
      <c r="S227" s="319"/>
      <c r="T227" s="329"/>
      <c r="U227" s="335"/>
      <c r="V227" s="320" t="s">
        <v>598</v>
      </c>
      <c r="W227" s="320" t="s">
        <v>481</v>
      </c>
      <c r="X227" s="320"/>
      <c r="Z227" s="336">
        <f t="shared" ref="Z227" si="697">AW227+AY227+BA227</f>
        <v>2340</v>
      </c>
      <c r="AA227" s="337">
        <f t="shared" ref="AA227" si="698">AX227+AZ227+BB227</f>
        <v>0</v>
      </c>
      <c r="AB227" s="338">
        <f>Z227-AA227</f>
        <v>2340</v>
      </c>
      <c r="AC227" s="336">
        <f t="shared" ref="AC227" si="699">BC227+BE227+BG227</f>
        <v>0</v>
      </c>
      <c r="AD227" s="337">
        <f t="shared" ref="AD227" si="700">BD227+BF227+BH227</f>
        <v>0</v>
      </c>
      <c r="AE227" s="338">
        <f>AC227-AD227</f>
        <v>0</v>
      </c>
      <c r="AF227" s="336">
        <f t="shared" ref="AF227" si="701">BI227+BK227+BM227</f>
        <v>0</v>
      </c>
      <c r="AG227" s="337">
        <f t="shared" ref="AG227" si="702">BJ227+BL227+BN227</f>
        <v>0</v>
      </c>
      <c r="AH227" s="338">
        <f>AF227-AG227</f>
        <v>0</v>
      </c>
      <c r="AI227" s="336">
        <f t="shared" ref="AI227" si="703">BO227+BQ227+BS227</f>
        <v>0</v>
      </c>
      <c r="AJ227" s="337">
        <f t="shared" ref="AJ227" si="704">BP227+BR227+BT227</f>
        <v>0</v>
      </c>
      <c r="AK227" s="338">
        <f>AI227-AJ227</f>
        <v>0</v>
      </c>
      <c r="AL227" s="342"/>
      <c r="AM227" s="336">
        <f t="shared" ref="AM227" si="705">Z227+AC227</f>
        <v>2340</v>
      </c>
      <c r="AN227" s="339">
        <f t="shared" ref="AN227" si="706">AA227+AD227</f>
        <v>0</v>
      </c>
      <c r="AO227" s="340">
        <f>AM227-AN227</f>
        <v>2340</v>
      </c>
      <c r="AP227" s="336">
        <f t="shared" ref="AP227" si="707">Z227+AC227+AF227</f>
        <v>2340</v>
      </c>
      <c r="AQ227" s="339">
        <f t="shared" ref="AQ227" si="708">AA227+AD227+AG227</f>
        <v>0</v>
      </c>
      <c r="AR227" s="340">
        <f>AP227-AQ227</f>
        <v>2340</v>
      </c>
      <c r="AS227" s="341">
        <f t="shared" ref="AS227" si="709">Z227+AC227+AF227+AI227</f>
        <v>2340</v>
      </c>
      <c r="AT227" s="339">
        <f t="shared" ref="AT227" si="710">AA227+AD227+AG227+AJ227</f>
        <v>0</v>
      </c>
      <c r="AU227" s="340">
        <f>AS227-AT227</f>
        <v>2340</v>
      </c>
      <c r="AV227" s="589">
        <f t="shared" ref="AV227" si="711">L227-AS227</f>
        <v>0</v>
      </c>
      <c r="AW227" s="343"/>
      <c r="AX227" s="344"/>
      <c r="AY227" s="345"/>
      <c r="AZ227" s="344"/>
      <c r="BA227" s="345">
        <v>2340</v>
      </c>
      <c r="BB227" s="346"/>
      <c r="BC227" s="347"/>
      <c r="BD227" s="348"/>
      <c r="BE227" s="349"/>
      <c r="BF227" s="348"/>
      <c r="BG227" s="349"/>
      <c r="BH227" s="350"/>
      <c r="BI227" s="351"/>
      <c r="BJ227" s="352"/>
      <c r="BK227" s="337"/>
      <c r="BL227" s="352"/>
      <c r="BM227" s="337"/>
      <c r="BN227" s="353"/>
      <c r="BO227" s="354"/>
      <c r="BP227" s="355"/>
      <c r="BQ227" s="356"/>
      <c r="BR227" s="355"/>
      <c r="BS227" s="356"/>
      <c r="BT227" s="357"/>
    </row>
    <row r="228" spans="1:72" s="358" customFormat="1" ht="31.5" customHeight="1">
      <c r="A228" s="287">
        <v>209</v>
      </c>
      <c r="B228" s="941" t="s">
        <v>482</v>
      </c>
      <c r="C228" s="850" t="s">
        <v>377</v>
      </c>
      <c r="D228" s="838"/>
      <c r="E228" s="836" t="s">
        <v>201</v>
      </c>
      <c r="F228" s="820" t="s">
        <v>23</v>
      </c>
      <c r="G228" s="360">
        <v>2</v>
      </c>
      <c r="H228" s="360" t="s">
        <v>71</v>
      </c>
      <c r="I228" s="360">
        <v>244</v>
      </c>
      <c r="J228" s="361">
        <v>346</v>
      </c>
      <c r="K228" s="532" t="s">
        <v>499</v>
      </c>
      <c r="L228" s="367">
        <f>SUM(L229:L237)</f>
        <v>0</v>
      </c>
      <c r="M228" s="363"/>
      <c r="N228" s="363">
        <f>SUM(N229:N237)</f>
        <v>78320</v>
      </c>
      <c r="O228" s="363">
        <f t="shared" ref="O228:O237" si="712">L228+N228</f>
        <v>78320</v>
      </c>
      <c r="P228" s="571"/>
      <c r="Q228" s="367">
        <f>SUM(Q229:Q237)</f>
        <v>0</v>
      </c>
      <c r="R228" s="557"/>
      <c r="S228" s="367">
        <f>SUM(S229:S237)</f>
        <v>0</v>
      </c>
      <c r="T228" s="557"/>
      <c r="U228" s="365"/>
      <c r="V228" s="366"/>
      <c r="W228" s="366"/>
      <c r="X228" s="366"/>
      <c r="Z228" s="367">
        <f t="shared" si="616"/>
        <v>43339</v>
      </c>
      <c r="AA228" s="363">
        <f t="shared" si="616"/>
        <v>0</v>
      </c>
      <c r="AB228" s="280">
        <f t="shared" ref="AB228:AB230" si="713">Z228-AA228</f>
        <v>43339</v>
      </c>
      <c r="AC228" s="367">
        <f t="shared" si="617"/>
        <v>12000</v>
      </c>
      <c r="AD228" s="363">
        <f t="shared" si="617"/>
        <v>0</v>
      </c>
      <c r="AE228" s="280">
        <f t="shared" ref="AE228:AE230" si="714">AC228-AD228</f>
        <v>12000</v>
      </c>
      <c r="AF228" s="367">
        <f t="shared" si="618"/>
        <v>2000</v>
      </c>
      <c r="AG228" s="363">
        <f t="shared" si="618"/>
        <v>0</v>
      </c>
      <c r="AH228" s="280">
        <f t="shared" ref="AH228:AH230" si="715">AF228-AG228</f>
        <v>2000</v>
      </c>
      <c r="AI228" s="367">
        <f t="shared" si="619"/>
        <v>1000</v>
      </c>
      <c r="AJ228" s="363">
        <f t="shared" si="619"/>
        <v>0</v>
      </c>
      <c r="AK228" s="280">
        <f t="shared" ref="AK228:AK230" si="716">AI228-AJ228</f>
        <v>1000</v>
      </c>
      <c r="AL228" s="368"/>
      <c r="AM228" s="367">
        <f t="shared" si="620"/>
        <v>55339</v>
      </c>
      <c r="AN228" s="363">
        <f t="shared" si="620"/>
        <v>0</v>
      </c>
      <c r="AO228" s="280">
        <f t="shared" ref="AO228:AO230" si="717">AM228-AN228</f>
        <v>55339</v>
      </c>
      <c r="AP228" s="367">
        <f t="shared" si="621"/>
        <v>57339</v>
      </c>
      <c r="AQ228" s="363">
        <f t="shared" si="621"/>
        <v>0</v>
      </c>
      <c r="AR228" s="280">
        <f t="shared" ref="AR228:AR230" si="718">AP228-AQ228</f>
        <v>57339</v>
      </c>
      <c r="AS228" s="367">
        <f t="shared" si="622"/>
        <v>58339</v>
      </c>
      <c r="AT228" s="363">
        <f t="shared" si="622"/>
        <v>0</v>
      </c>
      <c r="AU228" s="280">
        <f t="shared" ref="AU228:AU230" si="719">AS228-AT228</f>
        <v>58339</v>
      </c>
      <c r="AV228" s="588">
        <f t="shared" si="695"/>
        <v>-58339</v>
      </c>
      <c r="AW228" s="367">
        <f t="shared" ref="AW228:BT228" si="720">SUM(AW229:AW237)</f>
        <v>0</v>
      </c>
      <c r="AX228" s="363">
        <f t="shared" si="720"/>
        <v>0</v>
      </c>
      <c r="AY228" s="363">
        <f t="shared" si="720"/>
        <v>14420</v>
      </c>
      <c r="AZ228" s="363">
        <f t="shared" si="720"/>
        <v>0</v>
      </c>
      <c r="BA228" s="363">
        <f t="shared" si="720"/>
        <v>28919</v>
      </c>
      <c r="BB228" s="369">
        <f t="shared" si="720"/>
        <v>0</v>
      </c>
      <c r="BC228" s="367">
        <f t="shared" si="720"/>
        <v>12000</v>
      </c>
      <c r="BD228" s="363">
        <f t="shared" si="720"/>
        <v>0</v>
      </c>
      <c r="BE228" s="363">
        <f t="shared" si="720"/>
        <v>0</v>
      </c>
      <c r="BF228" s="363">
        <f t="shared" si="720"/>
        <v>0</v>
      </c>
      <c r="BG228" s="363">
        <f t="shared" si="720"/>
        <v>0</v>
      </c>
      <c r="BH228" s="369">
        <f t="shared" si="720"/>
        <v>0</v>
      </c>
      <c r="BI228" s="367">
        <f t="shared" si="720"/>
        <v>0</v>
      </c>
      <c r="BJ228" s="363">
        <f t="shared" si="720"/>
        <v>0</v>
      </c>
      <c r="BK228" s="363">
        <f t="shared" si="720"/>
        <v>2000</v>
      </c>
      <c r="BL228" s="363">
        <f t="shared" si="720"/>
        <v>0</v>
      </c>
      <c r="BM228" s="363">
        <f t="shared" si="720"/>
        <v>0</v>
      </c>
      <c r="BN228" s="369">
        <f t="shared" si="720"/>
        <v>0</v>
      </c>
      <c r="BO228" s="367">
        <f t="shared" si="720"/>
        <v>0</v>
      </c>
      <c r="BP228" s="363">
        <f t="shared" si="720"/>
        <v>0</v>
      </c>
      <c r="BQ228" s="363">
        <f t="shared" si="720"/>
        <v>1000</v>
      </c>
      <c r="BR228" s="363">
        <f t="shared" si="720"/>
        <v>0</v>
      </c>
      <c r="BS228" s="363">
        <f t="shared" si="720"/>
        <v>0</v>
      </c>
      <c r="BT228" s="280">
        <f t="shared" si="720"/>
        <v>0</v>
      </c>
    </row>
    <row r="229" spans="1:72" s="313" customFormat="1" ht="63.75" outlineLevel="2">
      <c r="A229" s="287">
        <v>210</v>
      </c>
      <c r="B229" s="941" t="s">
        <v>482</v>
      </c>
      <c r="C229" s="840"/>
      <c r="D229" s="841"/>
      <c r="E229" s="839"/>
      <c r="F229" s="821" t="s">
        <v>23</v>
      </c>
      <c r="G229" s="314">
        <v>2</v>
      </c>
      <c r="H229" s="739" t="s">
        <v>71</v>
      </c>
      <c r="I229" s="739">
        <v>244</v>
      </c>
      <c r="J229" s="740">
        <v>346</v>
      </c>
      <c r="K229" s="533" t="s">
        <v>501</v>
      </c>
      <c r="L229" s="341">
        <v>0</v>
      </c>
      <c r="M229" s="318"/>
      <c r="N229" s="318">
        <v>9130</v>
      </c>
      <c r="O229" s="318">
        <f t="shared" si="712"/>
        <v>9130</v>
      </c>
      <c r="P229" s="570"/>
      <c r="Q229" s="336">
        <v>0</v>
      </c>
      <c r="R229" s="559"/>
      <c r="S229" s="541">
        <v>0</v>
      </c>
      <c r="T229" s="559"/>
      <c r="U229" s="335"/>
      <c r="V229" s="596" t="s">
        <v>502</v>
      </c>
      <c r="W229" s="596" t="s">
        <v>551</v>
      </c>
      <c r="X229" s="596"/>
      <c r="Z229" s="336">
        <f t="shared" si="616"/>
        <v>9130</v>
      </c>
      <c r="AA229" s="337">
        <f t="shared" si="616"/>
        <v>0</v>
      </c>
      <c r="AB229" s="338">
        <f t="shared" si="713"/>
        <v>9130</v>
      </c>
      <c r="AC229" s="336">
        <f t="shared" si="617"/>
        <v>0</v>
      </c>
      <c r="AD229" s="337">
        <f t="shared" si="617"/>
        <v>0</v>
      </c>
      <c r="AE229" s="338">
        <f t="shared" si="714"/>
        <v>0</v>
      </c>
      <c r="AF229" s="336">
        <f t="shared" si="618"/>
        <v>0</v>
      </c>
      <c r="AG229" s="337">
        <f t="shared" si="618"/>
        <v>0</v>
      </c>
      <c r="AH229" s="338">
        <f t="shared" si="715"/>
        <v>0</v>
      </c>
      <c r="AI229" s="336">
        <f t="shared" si="619"/>
        <v>0</v>
      </c>
      <c r="AJ229" s="337">
        <f t="shared" si="619"/>
        <v>0</v>
      </c>
      <c r="AK229" s="338">
        <f t="shared" si="716"/>
        <v>0</v>
      </c>
      <c r="AL229" s="342"/>
      <c r="AM229" s="336">
        <f t="shared" si="620"/>
        <v>9130</v>
      </c>
      <c r="AN229" s="339">
        <f t="shared" si="620"/>
        <v>0</v>
      </c>
      <c r="AO229" s="340">
        <f t="shared" si="717"/>
        <v>9130</v>
      </c>
      <c r="AP229" s="336">
        <f t="shared" si="621"/>
        <v>9130</v>
      </c>
      <c r="AQ229" s="339">
        <f t="shared" si="621"/>
        <v>0</v>
      </c>
      <c r="AR229" s="340">
        <f t="shared" si="718"/>
        <v>9130</v>
      </c>
      <c r="AS229" s="341">
        <f t="shared" si="622"/>
        <v>9130</v>
      </c>
      <c r="AT229" s="339">
        <f t="shared" si="622"/>
        <v>0</v>
      </c>
      <c r="AU229" s="340">
        <f t="shared" si="719"/>
        <v>9130</v>
      </c>
      <c r="AV229" s="589">
        <f t="shared" si="695"/>
        <v>-9130</v>
      </c>
      <c r="AW229" s="343"/>
      <c r="AX229" s="344"/>
      <c r="AY229" s="345">
        <v>9130</v>
      </c>
      <c r="AZ229" s="344"/>
      <c r="BA229" s="345"/>
      <c r="BB229" s="346"/>
      <c r="BC229" s="347"/>
      <c r="BD229" s="348"/>
      <c r="BE229" s="349"/>
      <c r="BF229" s="348"/>
      <c r="BG229" s="349"/>
      <c r="BH229" s="350"/>
      <c r="BI229" s="351"/>
      <c r="BJ229" s="352"/>
      <c r="BK229" s="337"/>
      <c r="BL229" s="352"/>
      <c r="BM229" s="337"/>
      <c r="BN229" s="353"/>
      <c r="BO229" s="354"/>
      <c r="BP229" s="355"/>
      <c r="BQ229" s="356"/>
      <c r="BR229" s="355"/>
      <c r="BS229" s="356"/>
      <c r="BT229" s="357"/>
    </row>
    <row r="230" spans="1:72" s="313" customFormat="1" ht="38.25" outlineLevel="2">
      <c r="A230" s="287">
        <v>211</v>
      </c>
      <c r="B230" s="941" t="s">
        <v>482</v>
      </c>
      <c r="C230" s="840"/>
      <c r="D230" s="841"/>
      <c r="E230" s="839"/>
      <c r="F230" s="821" t="s">
        <v>23</v>
      </c>
      <c r="G230" s="314">
        <v>2</v>
      </c>
      <c r="H230" s="739" t="s">
        <v>71</v>
      </c>
      <c r="I230" s="739">
        <v>244</v>
      </c>
      <c r="J230" s="740">
        <v>346</v>
      </c>
      <c r="K230" s="533" t="s">
        <v>510</v>
      </c>
      <c r="L230" s="341">
        <v>0</v>
      </c>
      <c r="M230" s="318"/>
      <c r="N230" s="318">
        <v>42300</v>
      </c>
      <c r="O230" s="318">
        <f t="shared" si="712"/>
        <v>42300</v>
      </c>
      <c r="P230" s="570"/>
      <c r="Q230" s="336">
        <v>0</v>
      </c>
      <c r="R230" s="559"/>
      <c r="S230" s="541">
        <v>0</v>
      </c>
      <c r="T230" s="559"/>
      <c r="U230" s="335"/>
      <c r="V230" s="596" t="s">
        <v>511</v>
      </c>
      <c r="W230" s="596" t="s">
        <v>601</v>
      </c>
      <c r="X230" s="320" t="s">
        <v>602</v>
      </c>
      <c r="Z230" s="336">
        <f t="shared" si="616"/>
        <v>18244</v>
      </c>
      <c r="AA230" s="337">
        <f t="shared" si="616"/>
        <v>0</v>
      </c>
      <c r="AB230" s="338">
        <f t="shared" si="713"/>
        <v>18244</v>
      </c>
      <c r="AC230" s="336">
        <f t="shared" si="617"/>
        <v>0</v>
      </c>
      <c r="AD230" s="337">
        <f t="shared" si="617"/>
        <v>0</v>
      </c>
      <c r="AE230" s="338">
        <f t="shared" si="714"/>
        <v>0</v>
      </c>
      <c r="AF230" s="336">
        <f t="shared" si="618"/>
        <v>0</v>
      </c>
      <c r="AG230" s="337">
        <f t="shared" si="618"/>
        <v>0</v>
      </c>
      <c r="AH230" s="338">
        <f t="shared" si="715"/>
        <v>0</v>
      </c>
      <c r="AI230" s="336">
        <f t="shared" si="619"/>
        <v>0</v>
      </c>
      <c r="AJ230" s="337">
        <f t="shared" si="619"/>
        <v>0</v>
      </c>
      <c r="AK230" s="338">
        <f t="shared" si="716"/>
        <v>0</v>
      </c>
      <c r="AL230" s="342"/>
      <c r="AM230" s="336">
        <f t="shared" si="620"/>
        <v>18244</v>
      </c>
      <c r="AN230" s="339">
        <f t="shared" si="620"/>
        <v>0</v>
      </c>
      <c r="AO230" s="340">
        <f t="shared" si="717"/>
        <v>18244</v>
      </c>
      <c r="AP230" s="336">
        <f t="shared" si="621"/>
        <v>18244</v>
      </c>
      <c r="AQ230" s="339">
        <f t="shared" si="621"/>
        <v>0</v>
      </c>
      <c r="AR230" s="340">
        <f t="shared" si="718"/>
        <v>18244</v>
      </c>
      <c r="AS230" s="341">
        <f t="shared" si="622"/>
        <v>18244</v>
      </c>
      <c r="AT230" s="339">
        <f t="shared" si="622"/>
        <v>0</v>
      </c>
      <c r="AU230" s="340">
        <f t="shared" si="719"/>
        <v>18244</v>
      </c>
      <c r="AV230" s="589">
        <f t="shared" si="695"/>
        <v>-18244</v>
      </c>
      <c r="AW230" s="343"/>
      <c r="AX230" s="344"/>
      <c r="AY230" s="345"/>
      <c r="AZ230" s="344"/>
      <c r="BA230" s="345">
        <v>18244</v>
      </c>
      <c r="BB230" s="346"/>
      <c r="BC230" s="347"/>
      <c r="BD230" s="348"/>
      <c r="BE230" s="349"/>
      <c r="BF230" s="348"/>
      <c r="BG230" s="349"/>
      <c r="BH230" s="350"/>
      <c r="BI230" s="351"/>
      <c r="BJ230" s="352"/>
      <c r="BK230" s="337"/>
      <c r="BL230" s="352"/>
      <c r="BM230" s="337"/>
      <c r="BN230" s="353"/>
      <c r="BO230" s="354"/>
      <c r="BP230" s="355"/>
      <c r="BQ230" s="356"/>
      <c r="BR230" s="355"/>
      <c r="BS230" s="356"/>
      <c r="BT230" s="357"/>
    </row>
    <row r="231" spans="1:72" s="313" customFormat="1" ht="38.25" outlineLevel="2">
      <c r="A231" s="287">
        <v>212</v>
      </c>
      <c r="B231" s="941" t="s">
        <v>482</v>
      </c>
      <c r="C231" s="840"/>
      <c r="D231" s="841"/>
      <c r="E231" s="839"/>
      <c r="F231" s="821" t="s">
        <v>23</v>
      </c>
      <c r="G231" s="314">
        <v>2</v>
      </c>
      <c r="H231" s="739" t="s">
        <v>71</v>
      </c>
      <c r="I231" s="739">
        <v>244</v>
      </c>
      <c r="J231" s="740">
        <v>346</v>
      </c>
      <c r="K231" s="533" t="s">
        <v>584</v>
      </c>
      <c r="L231" s="341">
        <v>0</v>
      </c>
      <c r="M231" s="318"/>
      <c r="N231" s="318">
        <v>4290</v>
      </c>
      <c r="O231" s="318">
        <f t="shared" ref="O231" si="721">L231+N231</f>
        <v>4290</v>
      </c>
      <c r="P231" s="570"/>
      <c r="Q231" s="336">
        <v>0</v>
      </c>
      <c r="R231" s="559"/>
      <c r="S231" s="541">
        <v>0</v>
      </c>
      <c r="T231" s="559"/>
      <c r="U231" s="335"/>
      <c r="V231" s="596" t="s">
        <v>579</v>
      </c>
      <c r="W231" s="596" t="s">
        <v>578</v>
      </c>
      <c r="X231" s="596" t="s">
        <v>580</v>
      </c>
      <c r="Z231" s="336">
        <f t="shared" ref="Z231" si="722">AW231+AY231+BA231</f>
        <v>4075</v>
      </c>
      <c r="AA231" s="337">
        <f t="shared" ref="AA231" si="723">AX231+AZ231+BB231</f>
        <v>0</v>
      </c>
      <c r="AB231" s="338">
        <f t="shared" ref="AB231" si="724">Z231-AA231</f>
        <v>4075</v>
      </c>
      <c r="AC231" s="336">
        <f t="shared" ref="AC231" si="725">BC231+BE231+BG231</f>
        <v>0</v>
      </c>
      <c r="AD231" s="337">
        <f t="shared" ref="AD231" si="726">BD231+BF231+BH231</f>
        <v>0</v>
      </c>
      <c r="AE231" s="338">
        <f t="shared" ref="AE231" si="727">AC231-AD231</f>
        <v>0</v>
      </c>
      <c r="AF231" s="336">
        <f t="shared" ref="AF231" si="728">BI231+BK231+BM231</f>
        <v>0</v>
      </c>
      <c r="AG231" s="337">
        <f t="shared" ref="AG231" si="729">BJ231+BL231+BN231</f>
        <v>0</v>
      </c>
      <c r="AH231" s="338">
        <f t="shared" ref="AH231" si="730">AF231-AG231</f>
        <v>0</v>
      </c>
      <c r="AI231" s="336">
        <f t="shared" ref="AI231" si="731">BO231+BQ231+BS231</f>
        <v>0</v>
      </c>
      <c r="AJ231" s="337">
        <f t="shared" ref="AJ231" si="732">BP231+BR231+BT231</f>
        <v>0</v>
      </c>
      <c r="AK231" s="338">
        <f t="shared" ref="AK231" si="733">AI231-AJ231</f>
        <v>0</v>
      </c>
      <c r="AL231" s="342"/>
      <c r="AM231" s="336">
        <f t="shared" ref="AM231" si="734">Z231+AC231</f>
        <v>4075</v>
      </c>
      <c r="AN231" s="339">
        <f t="shared" ref="AN231" si="735">AA231+AD231</f>
        <v>0</v>
      </c>
      <c r="AO231" s="340">
        <f t="shared" ref="AO231" si="736">AM231-AN231</f>
        <v>4075</v>
      </c>
      <c r="AP231" s="336">
        <f t="shared" ref="AP231" si="737">Z231+AC231+AF231</f>
        <v>4075</v>
      </c>
      <c r="AQ231" s="339">
        <f t="shared" ref="AQ231" si="738">AA231+AD231+AG231</f>
        <v>0</v>
      </c>
      <c r="AR231" s="340">
        <f t="shared" ref="AR231" si="739">AP231-AQ231</f>
        <v>4075</v>
      </c>
      <c r="AS231" s="341">
        <f t="shared" ref="AS231" si="740">Z231+AC231+AF231+AI231</f>
        <v>4075</v>
      </c>
      <c r="AT231" s="339">
        <f t="shared" ref="AT231" si="741">AA231+AD231+AG231+AJ231</f>
        <v>0</v>
      </c>
      <c r="AU231" s="340">
        <f t="shared" ref="AU231" si="742">AS231-AT231</f>
        <v>4075</v>
      </c>
      <c r="AV231" s="589">
        <f t="shared" ref="AV231" si="743">L231-AS231</f>
        <v>-4075</v>
      </c>
      <c r="AW231" s="343"/>
      <c r="AX231" s="344"/>
      <c r="AY231" s="345"/>
      <c r="AZ231" s="344"/>
      <c r="BA231" s="345">
        <v>4075</v>
      </c>
      <c r="BB231" s="346"/>
      <c r="BC231" s="347"/>
      <c r="BD231" s="348"/>
      <c r="BE231" s="349"/>
      <c r="BF231" s="348"/>
      <c r="BG231" s="349"/>
      <c r="BH231" s="350"/>
      <c r="BI231" s="351"/>
      <c r="BJ231" s="352"/>
      <c r="BK231" s="337"/>
      <c r="BL231" s="352"/>
      <c r="BM231" s="337"/>
      <c r="BN231" s="353"/>
      <c r="BO231" s="354"/>
      <c r="BP231" s="355"/>
      <c r="BQ231" s="356"/>
      <c r="BR231" s="355"/>
      <c r="BS231" s="356"/>
      <c r="BT231" s="357"/>
    </row>
    <row r="232" spans="1:72" s="313" customFormat="1" ht="38.25" outlineLevel="2">
      <c r="A232" s="287">
        <v>213</v>
      </c>
      <c r="B232" s="941" t="s">
        <v>482</v>
      </c>
      <c r="C232" s="840"/>
      <c r="D232" s="841"/>
      <c r="E232" s="839"/>
      <c r="F232" s="821" t="s">
        <v>23</v>
      </c>
      <c r="G232" s="314">
        <v>2</v>
      </c>
      <c r="H232" s="739" t="s">
        <v>71</v>
      </c>
      <c r="I232" s="739">
        <v>244</v>
      </c>
      <c r="J232" s="740">
        <v>346</v>
      </c>
      <c r="K232" s="533" t="s">
        <v>522</v>
      </c>
      <c r="L232" s="341">
        <v>0</v>
      </c>
      <c r="M232" s="318"/>
      <c r="N232" s="318">
        <v>12000</v>
      </c>
      <c r="O232" s="318">
        <f t="shared" ref="O232" si="744">L232+N232</f>
        <v>12000</v>
      </c>
      <c r="P232" s="570"/>
      <c r="Q232" s="336">
        <v>0</v>
      </c>
      <c r="R232" s="559"/>
      <c r="S232" s="541">
        <v>0</v>
      </c>
      <c r="T232" s="559"/>
      <c r="U232" s="335"/>
      <c r="V232" s="596" t="s">
        <v>579</v>
      </c>
      <c r="W232" s="596" t="s">
        <v>481</v>
      </c>
      <c r="X232" s="320"/>
      <c r="Z232" s="336">
        <f t="shared" ref="Z232" si="745">AW232+AY232+BA232</f>
        <v>0</v>
      </c>
      <c r="AA232" s="337">
        <f t="shared" ref="AA232" si="746">AX232+AZ232+BB232</f>
        <v>0</v>
      </c>
      <c r="AB232" s="338">
        <f t="shared" ref="AB232" si="747">Z232-AA232</f>
        <v>0</v>
      </c>
      <c r="AC232" s="336">
        <f t="shared" ref="AC232" si="748">BC232+BE232+BG232</f>
        <v>12000</v>
      </c>
      <c r="AD232" s="337">
        <f t="shared" ref="AD232" si="749">BD232+BF232+BH232</f>
        <v>0</v>
      </c>
      <c r="AE232" s="338">
        <f t="shared" ref="AE232" si="750">AC232-AD232</f>
        <v>12000</v>
      </c>
      <c r="AF232" s="336">
        <f t="shared" ref="AF232" si="751">BI232+BK232+BM232</f>
        <v>0</v>
      </c>
      <c r="AG232" s="337">
        <f t="shared" ref="AG232" si="752">BJ232+BL232+BN232</f>
        <v>0</v>
      </c>
      <c r="AH232" s="338">
        <f t="shared" ref="AH232" si="753">AF232-AG232</f>
        <v>0</v>
      </c>
      <c r="AI232" s="336">
        <f t="shared" ref="AI232" si="754">BO232+BQ232+BS232</f>
        <v>0</v>
      </c>
      <c r="AJ232" s="337">
        <f t="shared" ref="AJ232" si="755">BP232+BR232+BT232</f>
        <v>0</v>
      </c>
      <c r="AK232" s="338">
        <f t="shared" ref="AK232" si="756">AI232-AJ232</f>
        <v>0</v>
      </c>
      <c r="AL232" s="342"/>
      <c r="AM232" s="336">
        <f t="shared" ref="AM232" si="757">Z232+AC232</f>
        <v>12000</v>
      </c>
      <c r="AN232" s="339">
        <f t="shared" ref="AN232" si="758">AA232+AD232</f>
        <v>0</v>
      </c>
      <c r="AO232" s="340">
        <f t="shared" ref="AO232" si="759">AM232-AN232</f>
        <v>12000</v>
      </c>
      <c r="AP232" s="336">
        <f t="shared" ref="AP232" si="760">Z232+AC232+AF232</f>
        <v>12000</v>
      </c>
      <c r="AQ232" s="339">
        <f t="shared" ref="AQ232" si="761">AA232+AD232+AG232</f>
        <v>0</v>
      </c>
      <c r="AR232" s="340">
        <f t="shared" ref="AR232" si="762">AP232-AQ232</f>
        <v>12000</v>
      </c>
      <c r="AS232" s="341">
        <f t="shared" ref="AS232" si="763">Z232+AC232+AF232+AI232</f>
        <v>12000</v>
      </c>
      <c r="AT232" s="339">
        <f t="shared" ref="AT232" si="764">AA232+AD232+AG232+AJ232</f>
        <v>0</v>
      </c>
      <c r="AU232" s="340">
        <f t="shared" ref="AU232" si="765">AS232-AT232</f>
        <v>12000</v>
      </c>
      <c r="AV232" s="589">
        <f t="shared" ref="AV232" si="766">L232-AS232</f>
        <v>-12000</v>
      </c>
      <c r="AW232" s="343"/>
      <c r="AX232" s="344"/>
      <c r="AY232" s="345"/>
      <c r="AZ232" s="344"/>
      <c r="BA232" s="345"/>
      <c r="BB232" s="346"/>
      <c r="BC232" s="347">
        <v>12000</v>
      </c>
      <c r="BD232" s="348"/>
      <c r="BE232" s="349"/>
      <c r="BF232" s="348"/>
      <c r="BG232" s="349"/>
      <c r="BH232" s="350"/>
      <c r="BI232" s="351"/>
      <c r="BJ232" s="352"/>
      <c r="BK232" s="337"/>
      <c r="BL232" s="352"/>
      <c r="BM232" s="337"/>
      <c r="BN232" s="353"/>
      <c r="BO232" s="354"/>
      <c r="BP232" s="355"/>
      <c r="BQ232" s="356"/>
      <c r="BR232" s="355"/>
      <c r="BS232" s="356"/>
      <c r="BT232" s="357"/>
    </row>
    <row r="233" spans="1:72" s="313" customFormat="1" ht="38.25" outlineLevel="2">
      <c r="A233" s="287">
        <v>214</v>
      </c>
      <c r="B233" s="941" t="s">
        <v>482</v>
      </c>
      <c r="C233" s="840"/>
      <c r="D233" s="841"/>
      <c r="E233" s="839"/>
      <c r="F233" s="821" t="s">
        <v>23</v>
      </c>
      <c r="G233" s="314">
        <v>2</v>
      </c>
      <c r="H233" s="739" t="s">
        <v>71</v>
      </c>
      <c r="I233" s="739">
        <v>244</v>
      </c>
      <c r="J233" s="740">
        <v>346</v>
      </c>
      <c r="K233" s="533" t="s">
        <v>519</v>
      </c>
      <c r="L233" s="341">
        <v>0</v>
      </c>
      <c r="M233" s="318"/>
      <c r="N233" s="318">
        <f>20*100+3*200</f>
        <v>2600</v>
      </c>
      <c r="O233" s="318">
        <f t="shared" ref="O233" si="767">L233+N233</f>
        <v>2600</v>
      </c>
      <c r="P233" s="570"/>
      <c r="Q233" s="336">
        <v>0</v>
      </c>
      <c r="R233" s="559"/>
      <c r="S233" s="541">
        <v>0</v>
      </c>
      <c r="T233" s="559"/>
      <c r="U233" s="335"/>
      <c r="V233" s="320"/>
      <c r="W233" s="320"/>
      <c r="X233" s="320"/>
      <c r="Z233" s="336">
        <f t="shared" ref="Z233" si="768">AW233+AY233+BA233</f>
        <v>6890</v>
      </c>
      <c r="AA233" s="337">
        <f t="shared" ref="AA233" si="769">AX233+AZ233+BB233</f>
        <v>0</v>
      </c>
      <c r="AB233" s="338">
        <f t="shared" ref="AB233" si="770">Z233-AA233</f>
        <v>6890</v>
      </c>
      <c r="AC233" s="336">
        <f t="shared" ref="AC233" si="771">BC233+BE233+BG233</f>
        <v>0</v>
      </c>
      <c r="AD233" s="337">
        <f t="shared" ref="AD233" si="772">BD233+BF233+BH233</f>
        <v>0</v>
      </c>
      <c r="AE233" s="338">
        <f t="shared" ref="AE233" si="773">AC233-AD233</f>
        <v>0</v>
      </c>
      <c r="AF233" s="336">
        <f t="shared" ref="AF233" si="774">BI233+BK233+BM233</f>
        <v>0</v>
      </c>
      <c r="AG233" s="337">
        <f t="shared" ref="AG233" si="775">BJ233+BL233+BN233</f>
        <v>0</v>
      </c>
      <c r="AH233" s="338">
        <f t="shared" ref="AH233" si="776">AF233-AG233</f>
        <v>0</v>
      </c>
      <c r="AI233" s="336">
        <f t="shared" ref="AI233" si="777">BO233+BQ233+BS233</f>
        <v>0</v>
      </c>
      <c r="AJ233" s="337">
        <f t="shared" ref="AJ233" si="778">BP233+BR233+BT233</f>
        <v>0</v>
      </c>
      <c r="AK233" s="338">
        <f t="shared" ref="AK233" si="779">AI233-AJ233</f>
        <v>0</v>
      </c>
      <c r="AL233" s="342"/>
      <c r="AM233" s="336">
        <f t="shared" ref="AM233" si="780">Z233+AC233</f>
        <v>6890</v>
      </c>
      <c r="AN233" s="339">
        <f t="shared" ref="AN233" si="781">AA233+AD233</f>
        <v>0</v>
      </c>
      <c r="AO233" s="340">
        <f t="shared" ref="AO233" si="782">AM233-AN233</f>
        <v>6890</v>
      </c>
      <c r="AP233" s="336">
        <f t="shared" ref="AP233" si="783">Z233+AC233+AF233</f>
        <v>6890</v>
      </c>
      <c r="AQ233" s="339">
        <f t="shared" ref="AQ233" si="784">AA233+AD233+AG233</f>
        <v>0</v>
      </c>
      <c r="AR233" s="340">
        <f t="shared" ref="AR233" si="785">AP233-AQ233</f>
        <v>6890</v>
      </c>
      <c r="AS233" s="341">
        <f t="shared" ref="AS233" si="786">Z233+AC233+AF233+AI233</f>
        <v>6890</v>
      </c>
      <c r="AT233" s="339">
        <f t="shared" ref="AT233" si="787">AA233+AD233+AG233+AJ233</f>
        <v>0</v>
      </c>
      <c r="AU233" s="340">
        <f t="shared" ref="AU233" si="788">AS233-AT233</f>
        <v>6890</v>
      </c>
      <c r="AV233" s="589">
        <f t="shared" ref="AV233" si="789">L233-AS233</f>
        <v>-6890</v>
      </c>
      <c r="AW233" s="343"/>
      <c r="AX233" s="344"/>
      <c r="AY233" s="345">
        <v>4290</v>
      </c>
      <c r="AZ233" s="344"/>
      <c r="BA233" s="345">
        <v>2600</v>
      </c>
      <c r="BB233" s="346"/>
      <c r="BC233" s="347"/>
      <c r="BD233" s="348"/>
      <c r="BE233" s="349"/>
      <c r="BF233" s="348"/>
      <c r="BG233" s="349"/>
      <c r="BH233" s="350"/>
      <c r="BI233" s="351"/>
      <c r="BJ233" s="352"/>
      <c r="BK233" s="337"/>
      <c r="BL233" s="352"/>
      <c r="BM233" s="337"/>
      <c r="BN233" s="353"/>
      <c r="BO233" s="354"/>
      <c r="BP233" s="355"/>
      <c r="BQ233" s="356"/>
      <c r="BR233" s="355"/>
      <c r="BS233" s="356"/>
      <c r="BT233" s="357"/>
    </row>
    <row r="234" spans="1:72" s="313" customFormat="1" ht="38.25" outlineLevel="2">
      <c r="A234" s="287">
        <v>215</v>
      </c>
      <c r="B234" s="941" t="s">
        <v>482</v>
      </c>
      <c r="C234" s="840"/>
      <c r="D234" s="841"/>
      <c r="E234" s="839"/>
      <c r="F234" s="821" t="s">
        <v>23</v>
      </c>
      <c r="G234" s="314">
        <v>2</v>
      </c>
      <c r="H234" s="739" t="s">
        <v>71</v>
      </c>
      <c r="I234" s="739">
        <v>244</v>
      </c>
      <c r="J234" s="740">
        <v>346</v>
      </c>
      <c r="K234" s="533" t="s">
        <v>521</v>
      </c>
      <c r="L234" s="341">
        <v>0</v>
      </c>
      <c r="M234" s="318"/>
      <c r="N234" s="318">
        <v>5000</v>
      </c>
      <c r="O234" s="318">
        <f t="shared" ref="O234" si="790">L234+N234</f>
        <v>5000</v>
      </c>
      <c r="P234" s="570"/>
      <c r="Q234" s="336">
        <v>0</v>
      </c>
      <c r="R234" s="559"/>
      <c r="S234" s="541">
        <v>0</v>
      </c>
      <c r="T234" s="559"/>
      <c r="U234" s="335"/>
      <c r="V234" s="596" t="s">
        <v>567</v>
      </c>
      <c r="W234" s="596" t="s">
        <v>568</v>
      </c>
      <c r="X234" s="320"/>
      <c r="Z234" s="336">
        <f t="shared" ref="Z234" si="791">AW234+AY234+BA234</f>
        <v>2000</v>
      </c>
      <c r="AA234" s="337">
        <f t="shared" ref="AA234" si="792">AX234+AZ234+BB234</f>
        <v>0</v>
      </c>
      <c r="AB234" s="338">
        <f t="shared" ref="AB234" si="793">Z234-AA234</f>
        <v>2000</v>
      </c>
      <c r="AC234" s="336">
        <f t="shared" ref="AC234" si="794">BC234+BE234+BG234</f>
        <v>0</v>
      </c>
      <c r="AD234" s="337">
        <f t="shared" ref="AD234" si="795">BD234+BF234+BH234</f>
        <v>0</v>
      </c>
      <c r="AE234" s="338">
        <f t="shared" ref="AE234" si="796">AC234-AD234</f>
        <v>0</v>
      </c>
      <c r="AF234" s="336">
        <f t="shared" ref="AF234" si="797">BI234+BK234+BM234</f>
        <v>2000</v>
      </c>
      <c r="AG234" s="337">
        <f t="shared" ref="AG234" si="798">BJ234+BL234+BN234</f>
        <v>0</v>
      </c>
      <c r="AH234" s="338">
        <f t="shared" ref="AH234" si="799">AF234-AG234</f>
        <v>2000</v>
      </c>
      <c r="AI234" s="336">
        <f t="shared" ref="AI234" si="800">BO234+BQ234+BS234</f>
        <v>1000</v>
      </c>
      <c r="AJ234" s="337">
        <f t="shared" ref="AJ234" si="801">BP234+BR234+BT234</f>
        <v>0</v>
      </c>
      <c r="AK234" s="338">
        <f t="shared" ref="AK234" si="802">AI234-AJ234</f>
        <v>1000</v>
      </c>
      <c r="AL234" s="342"/>
      <c r="AM234" s="336">
        <f t="shared" ref="AM234" si="803">Z234+AC234</f>
        <v>2000</v>
      </c>
      <c r="AN234" s="339">
        <f t="shared" ref="AN234" si="804">AA234+AD234</f>
        <v>0</v>
      </c>
      <c r="AO234" s="340">
        <f t="shared" ref="AO234" si="805">AM234-AN234</f>
        <v>2000</v>
      </c>
      <c r="AP234" s="336">
        <f t="shared" ref="AP234" si="806">Z234+AC234+AF234</f>
        <v>4000</v>
      </c>
      <c r="AQ234" s="339">
        <f t="shared" ref="AQ234" si="807">AA234+AD234+AG234</f>
        <v>0</v>
      </c>
      <c r="AR234" s="340">
        <f t="shared" ref="AR234" si="808">AP234-AQ234</f>
        <v>4000</v>
      </c>
      <c r="AS234" s="341">
        <f t="shared" ref="AS234" si="809">Z234+AC234+AF234+AI234</f>
        <v>5000</v>
      </c>
      <c r="AT234" s="339">
        <f t="shared" ref="AT234" si="810">AA234+AD234+AG234+AJ234</f>
        <v>0</v>
      </c>
      <c r="AU234" s="340">
        <f t="shared" ref="AU234" si="811">AS234-AT234</f>
        <v>5000</v>
      </c>
      <c r="AV234" s="589">
        <f t="shared" ref="AV234" si="812">L234-AS234</f>
        <v>-5000</v>
      </c>
      <c r="AW234" s="343"/>
      <c r="AX234" s="344"/>
      <c r="AY234" s="345"/>
      <c r="AZ234" s="344"/>
      <c r="BA234" s="345">
        <v>2000</v>
      </c>
      <c r="BB234" s="346"/>
      <c r="BC234" s="347"/>
      <c r="BD234" s="348"/>
      <c r="BE234" s="349"/>
      <c r="BF234" s="348"/>
      <c r="BG234" s="349"/>
      <c r="BH234" s="350"/>
      <c r="BI234" s="351"/>
      <c r="BJ234" s="352"/>
      <c r="BK234" s="337">
        <v>2000</v>
      </c>
      <c r="BL234" s="352"/>
      <c r="BM234" s="337"/>
      <c r="BN234" s="353"/>
      <c r="BO234" s="354"/>
      <c r="BP234" s="355"/>
      <c r="BQ234" s="356">
        <v>1000</v>
      </c>
      <c r="BR234" s="355"/>
      <c r="BS234" s="356"/>
      <c r="BT234" s="357"/>
    </row>
    <row r="235" spans="1:72" s="313" customFormat="1" ht="51" outlineLevel="2">
      <c r="A235" s="287">
        <v>215</v>
      </c>
      <c r="B235" s="941" t="s">
        <v>482</v>
      </c>
      <c r="C235" s="840"/>
      <c r="D235" s="841"/>
      <c r="E235" s="839"/>
      <c r="F235" s="821" t="s">
        <v>23</v>
      </c>
      <c r="G235" s="314">
        <v>2</v>
      </c>
      <c r="H235" s="739" t="s">
        <v>71</v>
      </c>
      <c r="I235" s="739">
        <v>244</v>
      </c>
      <c r="J235" s="740">
        <v>346</v>
      </c>
      <c r="K235" s="533" t="s">
        <v>521</v>
      </c>
      <c r="L235" s="341">
        <v>0</v>
      </c>
      <c r="M235" s="318"/>
      <c r="N235" s="318">
        <v>2000</v>
      </c>
      <c r="O235" s="318">
        <f t="shared" ref="O235" si="813">L235+N235</f>
        <v>2000</v>
      </c>
      <c r="P235" s="570"/>
      <c r="Q235" s="336">
        <v>0</v>
      </c>
      <c r="R235" s="559"/>
      <c r="S235" s="541">
        <v>0</v>
      </c>
      <c r="T235" s="559"/>
      <c r="U235" s="335"/>
      <c r="V235" s="596" t="s">
        <v>609</v>
      </c>
      <c r="W235" s="596" t="s">
        <v>610</v>
      </c>
      <c r="X235" s="320"/>
      <c r="Z235" s="336">
        <f t="shared" ref="Z235" si="814">AW235+AY235+BA235</f>
        <v>2000</v>
      </c>
      <c r="AA235" s="337">
        <f t="shared" ref="AA235" si="815">AX235+AZ235+BB235</f>
        <v>0</v>
      </c>
      <c r="AB235" s="338">
        <f t="shared" ref="AB235" si="816">Z235-AA235</f>
        <v>2000</v>
      </c>
      <c r="AC235" s="336">
        <f t="shared" ref="AC235" si="817">BC235+BE235+BG235</f>
        <v>0</v>
      </c>
      <c r="AD235" s="337">
        <f t="shared" ref="AD235" si="818">BD235+BF235+BH235</f>
        <v>0</v>
      </c>
      <c r="AE235" s="338">
        <f t="shared" ref="AE235" si="819">AC235-AD235</f>
        <v>0</v>
      </c>
      <c r="AF235" s="336">
        <f t="shared" ref="AF235" si="820">BI235+BK235+BM235</f>
        <v>0</v>
      </c>
      <c r="AG235" s="337">
        <f t="shared" ref="AG235" si="821">BJ235+BL235+BN235</f>
        <v>0</v>
      </c>
      <c r="AH235" s="338">
        <f t="shared" ref="AH235" si="822">AF235-AG235</f>
        <v>0</v>
      </c>
      <c r="AI235" s="336">
        <f t="shared" ref="AI235" si="823">BO235+BQ235+BS235</f>
        <v>0</v>
      </c>
      <c r="AJ235" s="337">
        <f t="shared" ref="AJ235" si="824">BP235+BR235+BT235</f>
        <v>0</v>
      </c>
      <c r="AK235" s="338">
        <f t="shared" ref="AK235" si="825">AI235-AJ235</f>
        <v>0</v>
      </c>
      <c r="AL235" s="342"/>
      <c r="AM235" s="336">
        <f t="shared" ref="AM235" si="826">Z235+AC235</f>
        <v>2000</v>
      </c>
      <c r="AN235" s="339">
        <f t="shared" ref="AN235" si="827">AA235+AD235</f>
        <v>0</v>
      </c>
      <c r="AO235" s="340">
        <f t="shared" ref="AO235" si="828">AM235-AN235</f>
        <v>2000</v>
      </c>
      <c r="AP235" s="336">
        <f t="shared" ref="AP235" si="829">Z235+AC235+AF235</f>
        <v>2000</v>
      </c>
      <c r="AQ235" s="339">
        <f t="shared" ref="AQ235" si="830">AA235+AD235+AG235</f>
        <v>0</v>
      </c>
      <c r="AR235" s="340">
        <f t="shared" ref="AR235" si="831">AP235-AQ235</f>
        <v>2000</v>
      </c>
      <c r="AS235" s="341">
        <f t="shared" ref="AS235" si="832">Z235+AC235+AF235+AI235</f>
        <v>2000</v>
      </c>
      <c r="AT235" s="339">
        <f t="shared" ref="AT235" si="833">AA235+AD235+AG235+AJ235</f>
        <v>0</v>
      </c>
      <c r="AU235" s="340">
        <f t="shared" ref="AU235" si="834">AS235-AT235</f>
        <v>2000</v>
      </c>
      <c r="AV235" s="589">
        <f t="shared" ref="AV235" si="835">L235-AS235</f>
        <v>-2000</v>
      </c>
      <c r="AW235" s="343"/>
      <c r="AX235" s="344"/>
      <c r="AY235" s="345"/>
      <c r="AZ235" s="344"/>
      <c r="BA235" s="345">
        <v>2000</v>
      </c>
      <c r="BB235" s="346"/>
      <c r="BC235" s="347"/>
      <c r="BD235" s="348"/>
      <c r="BE235" s="349"/>
      <c r="BF235" s="348"/>
      <c r="BG235" s="349"/>
      <c r="BH235" s="350"/>
      <c r="BI235" s="351"/>
      <c r="BJ235" s="352"/>
      <c r="BK235" s="337"/>
      <c r="BL235" s="352"/>
      <c r="BM235" s="337"/>
      <c r="BN235" s="353"/>
      <c r="BO235" s="354"/>
      <c r="BP235" s="355"/>
      <c r="BQ235" s="356"/>
      <c r="BR235" s="355"/>
      <c r="BS235" s="356"/>
      <c r="BT235" s="357"/>
    </row>
    <row r="236" spans="1:72" s="313" customFormat="1" ht="38.25" outlineLevel="2">
      <c r="A236" s="287">
        <v>195</v>
      </c>
      <c r="B236" s="941" t="s">
        <v>482</v>
      </c>
      <c r="C236" s="840"/>
      <c r="D236" s="841"/>
      <c r="E236" s="839"/>
      <c r="F236" s="821" t="s">
        <v>23</v>
      </c>
      <c r="G236" s="314">
        <v>2</v>
      </c>
      <c r="H236" s="739" t="s">
        <v>71</v>
      </c>
      <c r="I236" s="739">
        <v>244</v>
      </c>
      <c r="J236" s="740">
        <v>346</v>
      </c>
      <c r="K236" s="533" t="s">
        <v>541</v>
      </c>
      <c r="L236" s="341">
        <v>0</v>
      </c>
      <c r="M236" s="318"/>
      <c r="N236" s="318">
        <v>1000</v>
      </c>
      <c r="O236" s="318">
        <f>L236+N236</f>
        <v>1000</v>
      </c>
      <c r="P236" s="570"/>
      <c r="Q236" s="336">
        <v>0</v>
      </c>
      <c r="R236" s="559"/>
      <c r="S236" s="541">
        <v>0</v>
      </c>
      <c r="T236" s="559"/>
      <c r="U236" s="335"/>
      <c r="V236" s="320"/>
      <c r="W236" s="320"/>
      <c r="X236" s="320"/>
      <c r="Z236" s="336">
        <f>AW236+AY236+BA236</f>
        <v>1000</v>
      </c>
      <c r="AA236" s="337">
        <f>AX236+AZ236+BB236</f>
        <v>0</v>
      </c>
      <c r="AB236" s="338">
        <f t="shared" ref="AB236:AB241" si="836">Z236-AA236</f>
        <v>1000</v>
      </c>
      <c r="AC236" s="336">
        <f>BC236+BE236+BG236</f>
        <v>0</v>
      </c>
      <c r="AD236" s="337">
        <f>BD236+BF236+BH236</f>
        <v>0</v>
      </c>
      <c r="AE236" s="338">
        <f t="shared" ref="AE236:AE241" si="837">AC236-AD236</f>
        <v>0</v>
      </c>
      <c r="AF236" s="336">
        <f>BI236+BK236+BM236</f>
        <v>0</v>
      </c>
      <c r="AG236" s="337">
        <f>BJ236+BL236+BN236</f>
        <v>0</v>
      </c>
      <c r="AH236" s="338">
        <f t="shared" ref="AH236:AH241" si="838">AF236-AG236</f>
        <v>0</v>
      </c>
      <c r="AI236" s="336">
        <f>BO236+BQ236+BS236</f>
        <v>0</v>
      </c>
      <c r="AJ236" s="337">
        <f>BP236+BR236+BT236</f>
        <v>0</v>
      </c>
      <c r="AK236" s="338">
        <f t="shared" ref="AK236:AK241" si="839">AI236-AJ236</f>
        <v>0</v>
      </c>
      <c r="AL236" s="342"/>
      <c r="AM236" s="336">
        <f>Z236+AC236</f>
        <v>1000</v>
      </c>
      <c r="AN236" s="339">
        <f>AA236+AD236</f>
        <v>0</v>
      </c>
      <c r="AO236" s="340">
        <f t="shared" ref="AO236:AO241" si="840">AM236-AN236</f>
        <v>1000</v>
      </c>
      <c r="AP236" s="336">
        <f>Z236+AC236+AF236</f>
        <v>1000</v>
      </c>
      <c r="AQ236" s="339">
        <f>AA236+AD236+AG236</f>
        <v>0</v>
      </c>
      <c r="AR236" s="340">
        <f t="shared" ref="AR236:AR241" si="841">AP236-AQ236</f>
        <v>1000</v>
      </c>
      <c r="AS236" s="341">
        <f>Z236+AC236+AF236+AI236</f>
        <v>1000</v>
      </c>
      <c r="AT236" s="339">
        <f>AA236+AD236+AG236+AJ236</f>
        <v>0</v>
      </c>
      <c r="AU236" s="340">
        <f t="shared" ref="AU236:AU241" si="842">AS236-AT236</f>
        <v>1000</v>
      </c>
      <c r="AV236" s="589">
        <f>L236-AS236</f>
        <v>-1000</v>
      </c>
      <c r="AW236" s="343"/>
      <c r="AX236" s="344"/>
      <c r="AY236" s="345">
        <v>1000</v>
      </c>
      <c r="AZ236" s="344"/>
      <c r="BA236" s="345"/>
      <c r="BB236" s="346"/>
      <c r="BC236" s="347"/>
      <c r="BD236" s="348"/>
      <c r="BE236" s="349"/>
      <c r="BF236" s="348"/>
      <c r="BG236" s="349"/>
      <c r="BH236" s="350"/>
      <c r="BI236" s="351"/>
      <c r="BJ236" s="352"/>
      <c r="BK236" s="337"/>
      <c r="BL236" s="352"/>
      <c r="BM236" s="337"/>
      <c r="BN236" s="353"/>
      <c r="BO236" s="354"/>
      <c r="BP236" s="355"/>
      <c r="BQ236" s="356"/>
      <c r="BR236" s="355"/>
      <c r="BS236" s="356"/>
      <c r="BT236" s="357"/>
    </row>
    <row r="237" spans="1:72" s="615" customFormat="1" ht="25.5" outlineLevel="1">
      <c r="A237" s="287">
        <v>216</v>
      </c>
      <c r="B237" s="941"/>
      <c r="C237" s="866"/>
      <c r="D237" s="867"/>
      <c r="E237" s="867"/>
      <c r="F237" s="832" t="s">
        <v>23</v>
      </c>
      <c r="G237" s="616">
        <v>2</v>
      </c>
      <c r="H237" s="749" t="s">
        <v>71</v>
      </c>
      <c r="I237" s="749">
        <v>244</v>
      </c>
      <c r="J237" s="750">
        <v>346</v>
      </c>
      <c r="K237" s="932" t="s">
        <v>214</v>
      </c>
      <c r="L237" s="510">
        <v>0</v>
      </c>
      <c r="M237" s="619"/>
      <c r="N237" s="619">
        <v>0</v>
      </c>
      <c r="O237" s="619">
        <f t="shared" si="712"/>
        <v>0</v>
      </c>
      <c r="P237" s="620"/>
      <c r="Q237" s="509">
        <v>0</v>
      </c>
      <c r="R237" s="560"/>
      <c r="S237" s="542">
        <v>0</v>
      </c>
      <c r="T237" s="560"/>
      <c r="U237" s="621"/>
      <c r="V237" s="320"/>
      <c r="W237" s="320"/>
      <c r="X237" s="320"/>
      <c r="Z237" s="509">
        <f>AW237+AY237+BA237</f>
        <v>0</v>
      </c>
      <c r="AA237" s="622">
        <f>AX237+AZ237+BB237</f>
        <v>0</v>
      </c>
      <c r="AB237" s="623">
        <f t="shared" si="836"/>
        <v>0</v>
      </c>
      <c r="AC237" s="509">
        <f>BC237+BE237+BG237</f>
        <v>0</v>
      </c>
      <c r="AD237" s="622">
        <f>BD237+BF237+BH237</f>
        <v>0</v>
      </c>
      <c r="AE237" s="623">
        <f t="shared" si="837"/>
        <v>0</v>
      </c>
      <c r="AF237" s="509">
        <f>BI237+BK237+BM237</f>
        <v>0</v>
      </c>
      <c r="AG237" s="622">
        <f>BJ237+BL237+BN237</f>
        <v>0</v>
      </c>
      <c r="AH237" s="623">
        <f t="shared" si="838"/>
        <v>0</v>
      </c>
      <c r="AI237" s="509">
        <f>BO237+BQ237+BS237</f>
        <v>0</v>
      </c>
      <c r="AJ237" s="622">
        <f>BP237+BR237+BT237</f>
        <v>0</v>
      </c>
      <c r="AK237" s="623">
        <f t="shared" si="839"/>
        <v>0</v>
      </c>
      <c r="AL237" s="624"/>
      <c r="AM237" s="509">
        <f>Z237+AC237</f>
        <v>0</v>
      </c>
      <c r="AN237" s="625">
        <f>AA237+AD237</f>
        <v>0</v>
      </c>
      <c r="AO237" s="626">
        <f t="shared" si="840"/>
        <v>0</v>
      </c>
      <c r="AP237" s="509">
        <f>Z237+AC237+AF237</f>
        <v>0</v>
      </c>
      <c r="AQ237" s="625">
        <f>AA237+AD237+AG237</f>
        <v>0</v>
      </c>
      <c r="AR237" s="626">
        <f t="shared" si="841"/>
        <v>0</v>
      </c>
      <c r="AS237" s="510">
        <f>Z237+AC237+AF237+AI237</f>
        <v>0</v>
      </c>
      <c r="AT237" s="625">
        <f>AA237+AD237+AG237+AJ237</f>
        <v>0</v>
      </c>
      <c r="AU237" s="626">
        <f t="shared" si="842"/>
        <v>0</v>
      </c>
      <c r="AV237" s="627">
        <f t="shared" si="695"/>
        <v>0</v>
      </c>
      <c r="AW237" s="628"/>
      <c r="AX237" s="629"/>
      <c r="AY237" s="630"/>
      <c r="AZ237" s="629"/>
      <c r="BA237" s="630"/>
      <c r="BB237" s="631"/>
      <c r="BC237" s="632"/>
      <c r="BD237" s="633"/>
      <c r="BE237" s="634"/>
      <c r="BF237" s="633"/>
      <c r="BG237" s="634"/>
      <c r="BH237" s="635"/>
      <c r="BI237" s="636"/>
      <c r="BJ237" s="637"/>
      <c r="BK237" s="622"/>
      <c r="BL237" s="637"/>
      <c r="BM237" s="622"/>
      <c r="BN237" s="638"/>
      <c r="BO237" s="639"/>
      <c r="BP237" s="640"/>
      <c r="BQ237" s="641"/>
      <c r="BR237" s="640"/>
      <c r="BS237" s="641"/>
      <c r="BT237" s="642"/>
    </row>
    <row r="238" spans="1:72" s="358" customFormat="1" ht="31.5">
      <c r="A238" s="287">
        <v>217</v>
      </c>
      <c r="B238" s="933"/>
      <c r="C238" s="837"/>
      <c r="D238" s="838"/>
      <c r="E238" s="836" t="s">
        <v>201</v>
      </c>
      <c r="F238" s="820" t="s">
        <v>23</v>
      </c>
      <c r="G238" s="360">
        <v>2</v>
      </c>
      <c r="H238" s="360" t="s">
        <v>71</v>
      </c>
      <c r="I238" s="360">
        <v>244</v>
      </c>
      <c r="J238" s="489">
        <v>345</v>
      </c>
      <c r="K238" s="532" t="s">
        <v>524</v>
      </c>
      <c r="L238" s="367">
        <f>SUM(L239:L241)</f>
        <v>0</v>
      </c>
      <c r="M238" s="363"/>
      <c r="N238" s="363">
        <f>SUM(N239:N241)</f>
        <v>68700</v>
      </c>
      <c r="O238" s="363">
        <f t="shared" si="524"/>
        <v>68700</v>
      </c>
      <c r="P238" s="571"/>
      <c r="Q238" s="367">
        <v>12502</v>
      </c>
      <c r="R238" s="557"/>
      <c r="S238" s="539">
        <v>12502</v>
      </c>
      <c r="T238" s="557"/>
      <c r="U238" s="365"/>
      <c r="V238" s="320"/>
      <c r="W238" s="320"/>
      <c r="X238" s="320"/>
      <c r="Z238" s="367">
        <f t="shared" si="616"/>
        <v>0</v>
      </c>
      <c r="AA238" s="363">
        <f t="shared" si="616"/>
        <v>0</v>
      </c>
      <c r="AB238" s="280">
        <f t="shared" si="836"/>
        <v>0</v>
      </c>
      <c r="AC238" s="367">
        <f t="shared" si="617"/>
        <v>0</v>
      </c>
      <c r="AD238" s="363">
        <f t="shared" si="617"/>
        <v>0</v>
      </c>
      <c r="AE238" s="280">
        <f t="shared" si="837"/>
        <v>0</v>
      </c>
      <c r="AF238" s="367">
        <f t="shared" si="618"/>
        <v>0</v>
      </c>
      <c r="AG238" s="363">
        <f t="shared" si="618"/>
        <v>0</v>
      </c>
      <c r="AH238" s="280">
        <f t="shared" si="838"/>
        <v>0</v>
      </c>
      <c r="AI238" s="367">
        <f t="shared" si="619"/>
        <v>0</v>
      </c>
      <c r="AJ238" s="363">
        <f t="shared" si="619"/>
        <v>0</v>
      </c>
      <c r="AK238" s="280">
        <f t="shared" si="839"/>
        <v>0</v>
      </c>
      <c r="AL238" s="368"/>
      <c r="AM238" s="367">
        <f t="shared" si="620"/>
        <v>0</v>
      </c>
      <c r="AN238" s="363">
        <f t="shared" si="620"/>
        <v>0</v>
      </c>
      <c r="AO238" s="280">
        <f t="shared" si="840"/>
        <v>0</v>
      </c>
      <c r="AP238" s="367">
        <f t="shared" si="621"/>
        <v>0</v>
      </c>
      <c r="AQ238" s="363">
        <f t="shared" si="621"/>
        <v>0</v>
      </c>
      <c r="AR238" s="280">
        <f t="shared" si="841"/>
        <v>0</v>
      </c>
      <c r="AS238" s="367">
        <f t="shared" si="622"/>
        <v>0</v>
      </c>
      <c r="AT238" s="363">
        <f t="shared" si="622"/>
        <v>0</v>
      </c>
      <c r="AU238" s="280">
        <f t="shared" si="842"/>
        <v>0</v>
      </c>
      <c r="AV238" s="588">
        <f t="shared" si="695"/>
        <v>0</v>
      </c>
      <c r="AW238" s="367"/>
      <c r="AX238" s="363"/>
      <c r="AY238" s="363"/>
      <c r="AZ238" s="363"/>
      <c r="BA238" s="363"/>
      <c r="BB238" s="369"/>
      <c r="BC238" s="367"/>
      <c r="BD238" s="363"/>
      <c r="BE238" s="363"/>
      <c r="BF238" s="363"/>
      <c r="BG238" s="363"/>
      <c r="BH238" s="369"/>
      <c r="BI238" s="367"/>
      <c r="BJ238" s="363"/>
      <c r="BK238" s="363"/>
      <c r="BL238" s="363"/>
      <c r="BM238" s="363"/>
      <c r="BN238" s="369"/>
      <c r="BO238" s="367"/>
      <c r="BP238" s="363"/>
      <c r="BQ238" s="363"/>
      <c r="BR238" s="363"/>
      <c r="BS238" s="363"/>
      <c r="BT238" s="280"/>
    </row>
    <row r="239" spans="1:72" s="313" customFormat="1" ht="38.25">
      <c r="A239" s="287">
        <v>218</v>
      </c>
      <c r="B239" s="941" t="s">
        <v>482</v>
      </c>
      <c r="C239" s="840"/>
      <c r="D239" s="841"/>
      <c r="E239" s="839"/>
      <c r="F239" s="821" t="s">
        <v>23</v>
      </c>
      <c r="G239" s="314">
        <v>2</v>
      </c>
      <c r="H239" s="739" t="s">
        <v>71</v>
      </c>
      <c r="I239" s="739">
        <v>244</v>
      </c>
      <c r="J239" s="740">
        <v>345</v>
      </c>
      <c r="K239" s="317" t="s">
        <v>518</v>
      </c>
      <c r="L239" s="318">
        <v>0</v>
      </c>
      <c r="M239" s="318"/>
      <c r="N239" s="318">
        <f>33800-2600</f>
        <v>31200</v>
      </c>
      <c r="O239" s="318">
        <f t="shared" si="524"/>
        <v>31200</v>
      </c>
      <c r="P239" s="329"/>
      <c r="Q239" s="319">
        <v>0</v>
      </c>
      <c r="R239" s="329"/>
      <c r="S239" s="319">
        <v>0</v>
      </c>
      <c r="T239" s="329"/>
      <c r="U239" s="335"/>
      <c r="V239" s="320"/>
      <c r="W239" s="320"/>
      <c r="X239" s="320"/>
      <c r="Z239" s="336">
        <f t="shared" ref="Z239:AA241" si="843">AW239+AY239+BA239</f>
        <v>11200</v>
      </c>
      <c r="AA239" s="337">
        <f t="shared" si="843"/>
        <v>0</v>
      </c>
      <c r="AB239" s="338">
        <f t="shared" si="836"/>
        <v>11200</v>
      </c>
      <c r="AC239" s="336">
        <f t="shared" ref="AC239:AD241" si="844">BC239+BE239+BG239</f>
        <v>10000</v>
      </c>
      <c r="AD239" s="337">
        <f t="shared" si="844"/>
        <v>0</v>
      </c>
      <c r="AE239" s="338">
        <f t="shared" si="837"/>
        <v>10000</v>
      </c>
      <c r="AF239" s="336">
        <f t="shared" ref="AF239:AG241" si="845">BI239+BK239+BM239</f>
        <v>10000</v>
      </c>
      <c r="AG239" s="337">
        <f t="shared" si="845"/>
        <v>0</v>
      </c>
      <c r="AH239" s="338">
        <f t="shared" si="838"/>
        <v>10000</v>
      </c>
      <c r="AI239" s="336">
        <f t="shared" ref="AI239:AJ241" si="846">BO239+BQ239+BS239</f>
        <v>0</v>
      </c>
      <c r="AJ239" s="337">
        <f t="shared" si="846"/>
        <v>0</v>
      </c>
      <c r="AK239" s="338">
        <f t="shared" si="839"/>
        <v>0</v>
      </c>
      <c r="AL239" s="342"/>
      <c r="AM239" s="336">
        <f t="shared" ref="AM239:AN241" si="847">Z239+AC239</f>
        <v>21200</v>
      </c>
      <c r="AN239" s="339">
        <f t="shared" si="847"/>
        <v>0</v>
      </c>
      <c r="AO239" s="340">
        <f t="shared" si="840"/>
        <v>21200</v>
      </c>
      <c r="AP239" s="336">
        <f t="shared" ref="AP239:AQ241" si="848">Z239+AC239+AF239</f>
        <v>31200</v>
      </c>
      <c r="AQ239" s="339">
        <f t="shared" si="848"/>
        <v>0</v>
      </c>
      <c r="AR239" s="340">
        <f t="shared" si="841"/>
        <v>31200</v>
      </c>
      <c r="AS239" s="341">
        <f t="shared" ref="AS239:AT241" si="849">Z239+AC239+AF239+AI239</f>
        <v>31200</v>
      </c>
      <c r="AT239" s="339">
        <f t="shared" si="849"/>
        <v>0</v>
      </c>
      <c r="AU239" s="340">
        <f t="shared" si="842"/>
        <v>31200</v>
      </c>
      <c r="AV239" s="589"/>
      <c r="AW239" s="343"/>
      <c r="AX239" s="344"/>
      <c r="AY239" s="345"/>
      <c r="AZ239" s="344"/>
      <c r="BA239" s="345">
        <v>11200</v>
      </c>
      <c r="BB239" s="346"/>
      <c r="BC239" s="347"/>
      <c r="BD239" s="348"/>
      <c r="BE239" s="349">
        <v>10000</v>
      </c>
      <c r="BF239" s="348"/>
      <c r="BG239" s="349"/>
      <c r="BH239" s="350"/>
      <c r="BI239" s="351"/>
      <c r="BJ239" s="352"/>
      <c r="BK239" s="337">
        <v>10000</v>
      </c>
      <c r="BL239" s="352"/>
      <c r="BM239" s="337"/>
      <c r="BN239" s="353"/>
      <c r="BO239" s="354"/>
      <c r="BP239" s="355"/>
      <c r="BQ239" s="356"/>
      <c r="BR239" s="355"/>
      <c r="BS239" s="356"/>
      <c r="BT239" s="357"/>
    </row>
    <row r="240" spans="1:72" s="313" customFormat="1" ht="38.25">
      <c r="A240" s="287">
        <v>219</v>
      </c>
      <c r="B240" s="941" t="s">
        <v>482</v>
      </c>
      <c r="C240" s="840"/>
      <c r="D240" s="841"/>
      <c r="E240" s="839"/>
      <c r="F240" s="821" t="s">
        <v>23</v>
      </c>
      <c r="G240" s="314">
        <v>2</v>
      </c>
      <c r="H240" s="739" t="s">
        <v>71</v>
      </c>
      <c r="I240" s="739">
        <v>244</v>
      </c>
      <c r="J240" s="740">
        <v>345</v>
      </c>
      <c r="K240" s="317" t="s">
        <v>520</v>
      </c>
      <c r="L240" s="318">
        <v>0</v>
      </c>
      <c r="M240" s="318"/>
      <c r="N240" s="318">
        <f>2500*15</f>
        <v>37500</v>
      </c>
      <c r="O240" s="318">
        <f t="shared" si="524"/>
        <v>37500</v>
      </c>
      <c r="P240" s="329"/>
      <c r="Q240" s="319">
        <v>0</v>
      </c>
      <c r="R240" s="329"/>
      <c r="S240" s="319">
        <v>0</v>
      </c>
      <c r="T240" s="329"/>
      <c r="U240" s="335"/>
      <c r="V240" s="320"/>
      <c r="W240" s="320"/>
      <c r="X240" s="320"/>
      <c r="Z240" s="336">
        <f t="shared" si="843"/>
        <v>0</v>
      </c>
      <c r="AA240" s="337">
        <f t="shared" si="843"/>
        <v>0</v>
      </c>
      <c r="AB240" s="338">
        <f t="shared" si="836"/>
        <v>0</v>
      </c>
      <c r="AC240" s="336">
        <f t="shared" si="844"/>
        <v>27500</v>
      </c>
      <c r="AD240" s="337">
        <f t="shared" si="844"/>
        <v>0</v>
      </c>
      <c r="AE240" s="338">
        <f t="shared" si="837"/>
        <v>27500</v>
      </c>
      <c r="AF240" s="336">
        <f t="shared" si="845"/>
        <v>10000</v>
      </c>
      <c r="AG240" s="337">
        <f t="shared" si="845"/>
        <v>0</v>
      </c>
      <c r="AH240" s="338">
        <f t="shared" si="838"/>
        <v>10000</v>
      </c>
      <c r="AI240" s="336">
        <f t="shared" si="846"/>
        <v>0</v>
      </c>
      <c r="AJ240" s="337">
        <f t="shared" si="846"/>
        <v>0</v>
      </c>
      <c r="AK240" s="338">
        <f t="shared" si="839"/>
        <v>0</v>
      </c>
      <c r="AL240" s="342"/>
      <c r="AM240" s="336">
        <f t="shared" si="847"/>
        <v>27500</v>
      </c>
      <c r="AN240" s="339">
        <f t="shared" si="847"/>
        <v>0</v>
      </c>
      <c r="AO240" s="340">
        <f t="shared" si="840"/>
        <v>27500</v>
      </c>
      <c r="AP240" s="336">
        <f t="shared" si="848"/>
        <v>37500</v>
      </c>
      <c r="AQ240" s="339">
        <f t="shared" si="848"/>
        <v>0</v>
      </c>
      <c r="AR240" s="340">
        <f t="shared" si="841"/>
        <v>37500</v>
      </c>
      <c r="AS240" s="341">
        <f t="shared" si="849"/>
        <v>37500</v>
      </c>
      <c r="AT240" s="339">
        <f t="shared" si="849"/>
        <v>0</v>
      </c>
      <c r="AU240" s="340">
        <f t="shared" si="842"/>
        <v>37500</v>
      </c>
      <c r="AV240" s="589"/>
      <c r="AW240" s="343"/>
      <c r="AX240" s="344"/>
      <c r="AY240" s="345"/>
      <c r="AZ240" s="344"/>
      <c r="BA240" s="345"/>
      <c r="BB240" s="346"/>
      <c r="BC240" s="347"/>
      <c r="BD240" s="348"/>
      <c r="BE240" s="349">
        <v>27500</v>
      </c>
      <c r="BF240" s="348"/>
      <c r="BG240" s="349"/>
      <c r="BH240" s="350"/>
      <c r="BI240" s="351"/>
      <c r="BJ240" s="352"/>
      <c r="BK240" s="337">
        <v>10000</v>
      </c>
      <c r="BL240" s="352"/>
      <c r="BM240" s="337"/>
      <c r="BN240" s="353"/>
      <c r="BO240" s="354"/>
      <c r="BP240" s="355"/>
      <c r="BQ240" s="356"/>
      <c r="BR240" s="355"/>
      <c r="BS240" s="356"/>
      <c r="BT240" s="357"/>
    </row>
    <row r="241" spans="1:72" s="615" customFormat="1" ht="25.5">
      <c r="A241" s="287">
        <v>220</v>
      </c>
      <c r="B241" s="987"/>
      <c r="C241" s="866"/>
      <c r="D241" s="867"/>
      <c r="E241" s="867"/>
      <c r="F241" s="832" t="s">
        <v>23</v>
      </c>
      <c r="G241" s="616">
        <v>2</v>
      </c>
      <c r="H241" s="749" t="s">
        <v>71</v>
      </c>
      <c r="I241" s="749">
        <v>244</v>
      </c>
      <c r="J241" s="750">
        <v>345</v>
      </c>
      <c r="K241" s="932" t="s">
        <v>214</v>
      </c>
      <c r="L241" s="619">
        <v>0</v>
      </c>
      <c r="M241" s="619"/>
      <c r="N241" s="619">
        <v>0</v>
      </c>
      <c r="O241" s="619">
        <f t="shared" si="524"/>
        <v>0</v>
      </c>
      <c r="P241" s="988"/>
      <c r="Q241" s="656">
        <v>0</v>
      </c>
      <c r="R241" s="988"/>
      <c r="S241" s="656">
        <v>0</v>
      </c>
      <c r="T241" s="988"/>
      <c r="U241" s="621"/>
      <c r="V241" s="388"/>
      <c r="W241" s="388"/>
      <c r="X241" s="388"/>
      <c r="Z241" s="509">
        <f t="shared" si="843"/>
        <v>0</v>
      </c>
      <c r="AA241" s="622">
        <f t="shared" si="843"/>
        <v>0</v>
      </c>
      <c r="AB241" s="623">
        <f t="shared" si="836"/>
        <v>0</v>
      </c>
      <c r="AC241" s="509">
        <f t="shared" si="844"/>
        <v>0</v>
      </c>
      <c r="AD241" s="622">
        <f t="shared" si="844"/>
        <v>0</v>
      </c>
      <c r="AE241" s="623">
        <f t="shared" si="837"/>
        <v>0</v>
      </c>
      <c r="AF241" s="509">
        <f t="shared" si="845"/>
        <v>0</v>
      </c>
      <c r="AG241" s="622">
        <f t="shared" si="845"/>
        <v>0</v>
      </c>
      <c r="AH241" s="623">
        <f t="shared" si="838"/>
        <v>0</v>
      </c>
      <c r="AI241" s="509">
        <f t="shared" si="846"/>
        <v>0</v>
      </c>
      <c r="AJ241" s="622">
        <f t="shared" si="846"/>
        <v>0</v>
      </c>
      <c r="AK241" s="623">
        <f t="shared" si="839"/>
        <v>0</v>
      </c>
      <c r="AL241" s="624"/>
      <c r="AM241" s="509">
        <f t="shared" si="847"/>
        <v>0</v>
      </c>
      <c r="AN241" s="625">
        <f t="shared" si="847"/>
        <v>0</v>
      </c>
      <c r="AO241" s="626">
        <f t="shared" si="840"/>
        <v>0</v>
      </c>
      <c r="AP241" s="509">
        <f t="shared" si="848"/>
        <v>0</v>
      </c>
      <c r="AQ241" s="625">
        <f t="shared" si="848"/>
        <v>0</v>
      </c>
      <c r="AR241" s="626">
        <f t="shared" si="841"/>
        <v>0</v>
      </c>
      <c r="AS241" s="510">
        <f t="shared" si="849"/>
        <v>0</v>
      </c>
      <c r="AT241" s="625">
        <f t="shared" si="849"/>
        <v>0</v>
      </c>
      <c r="AU241" s="626">
        <f t="shared" si="842"/>
        <v>0</v>
      </c>
      <c r="AV241" s="627"/>
      <c r="AW241" s="628"/>
      <c r="AX241" s="629"/>
      <c r="AY241" s="630"/>
      <c r="AZ241" s="629"/>
      <c r="BA241" s="630"/>
      <c r="BB241" s="631"/>
      <c r="BC241" s="632"/>
      <c r="BD241" s="633"/>
      <c r="BE241" s="634"/>
      <c r="BF241" s="633"/>
      <c r="BG241" s="634"/>
      <c r="BH241" s="635"/>
      <c r="BI241" s="636"/>
      <c r="BJ241" s="637"/>
      <c r="BK241" s="622"/>
      <c r="BL241" s="637"/>
      <c r="BM241" s="622"/>
      <c r="BN241" s="638"/>
      <c r="BO241" s="639"/>
      <c r="BP241" s="640"/>
      <c r="BQ241" s="641"/>
      <c r="BR241" s="640"/>
      <c r="BS241" s="641"/>
      <c r="BT241" s="642"/>
    </row>
    <row r="242" spans="1:72" s="358" customFormat="1" ht="31.5">
      <c r="A242" s="287">
        <v>221</v>
      </c>
      <c r="B242" s="933"/>
      <c r="C242" s="837"/>
      <c r="D242" s="838"/>
      <c r="E242" s="836" t="s">
        <v>201</v>
      </c>
      <c r="F242" s="820" t="s">
        <v>23</v>
      </c>
      <c r="G242" s="360">
        <v>2</v>
      </c>
      <c r="H242" s="360" t="s">
        <v>71</v>
      </c>
      <c r="I242" s="360">
        <v>244</v>
      </c>
      <c r="J242" s="361">
        <v>349</v>
      </c>
      <c r="K242" s="532" t="s">
        <v>525</v>
      </c>
      <c r="L242" s="367">
        <v>117600</v>
      </c>
      <c r="M242" s="363"/>
      <c r="N242" s="363"/>
      <c r="O242" s="363">
        <f t="shared" si="524"/>
        <v>117600</v>
      </c>
      <c r="P242" s="571"/>
      <c r="Q242" s="367">
        <v>117600</v>
      </c>
      <c r="R242" s="557"/>
      <c r="S242" s="539">
        <v>117600</v>
      </c>
      <c r="T242" s="557"/>
      <c r="U242" s="365"/>
      <c r="V242" s="320"/>
      <c r="W242" s="320"/>
      <c r="X242" s="320"/>
      <c r="Z242" s="367">
        <f t="shared" si="616"/>
        <v>30000</v>
      </c>
      <c r="AA242" s="363">
        <f t="shared" si="616"/>
        <v>0</v>
      </c>
      <c r="AB242" s="280">
        <f t="shared" si="526"/>
        <v>30000</v>
      </c>
      <c r="AC242" s="367">
        <f t="shared" si="617"/>
        <v>30000</v>
      </c>
      <c r="AD242" s="363">
        <f t="shared" si="617"/>
        <v>0</v>
      </c>
      <c r="AE242" s="280">
        <f t="shared" si="528"/>
        <v>30000</v>
      </c>
      <c r="AF242" s="367">
        <f t="shared" si="618"/>
        <v>0</v>
      </c>
      <c r="AG242" s="363">
        <f t="shared" si="618"/>
        <v>0</v>
      </c>
      <c r="AH242" s="280">
        <f t="shared" si="530"/>
        <v>0</v>
      </c>
      <c r="AI242" s="367">
        <f t="shared" si="619"/>
        <v>57600</v>
      </c>
      <c r="AJ242" s="363">
        <f t="shared" si="619"/>
        <v>0</v>
      </c>
      <c r="AK242" s="280">
        <f t="shared" si="532"/>
        <v>57600</v>
      </c>
      <c r="AL242" s="368"/>
      <c r="AM242" s="367">
        <f t="shared" si="620"/>
        <v>60000</v>
      </c>
      <c r="AN242" s="363">
        <f t="shared" si="620"/>
        <v>0</v>
      </c>
      <c r="AO242" s="280">
        <f t="shared" si="534"/>
        <v>60000</v>
      </c>
      <c r="AP242" s="367">
        <f t="shared" si="621"/>
        <v>60000</v>
      </c>
      <c r="AQ242" s="363">
        <f t="shared" si="621"/>
        <v>0</v>
      </c>
      <c r="AR242" s="280">
        <f t="shared" si="520"/>
        <v>60000</v>
      </c>
      <c r="AS242" s="367">
        <f t="shared" si="622"/>
        <v>117600</v>
      </c>
      <c r="AT242" s="363">
        <f t="shared" si="622"/>
        <v>0</v>
      </c>
      <c r="AU242" s="280">
        <f t="shared" si="522"/>
        <v>117600</v>
      </c>
      <c r="AV242" s="588">
        <f t="shared" si="695"/>
        <v>0</v>
      </c>
      <c r="AW242" s="367"/>
      <c r="AX242" s="363"/>
      <c r="AY242" s="363"/>
      <c r="AZ242" s="363"/>
      <c r="BA242" s="363">
        <v>30000</v>
      </c>
      <c r="BB242" s="369"/>
      <c r="BC242" s="367"/>
      <c r="BD242" s="363"/>
      <c r="BE242" s="363">
        <v>30000</v>
      </c>
      <c r="BF242" s="363"/>
      <c r="BG242" s="363"/>
      <c r="BH242" s="369"/>
      <c r="BI242" s="367"/>
      <c r="BJ242" s="363"/>
      <c r="BK242" s="363"/>
      <c r="BL242" s="363"/>
      <c r="BM242" s="363"/>
      <c r="BN242" s="369"/>
      <c r="BO242" s="367">
        <v>30000</v>
      </c>
      <c r="BP242" s="363"/>
      <c r="BQ242" s="363"/>
      <c r="BR242" s="363"/>
      <c r="BS242" s="363">
        <v>27600</v>
      </c>
      <c r="BT242" s="280"/>
    </row>
    <row r="243" spans="1:72" s="358" customFormat="1" ht="31.5">
      <c r="A243" s="287">
        <v>222</v>
      </c>
      <c r="B243" s="933"/>
      <c r="C243" s="837"/>
      <c r="D243" s="838"/>
      <c r="E243" s="836" t="s">
        <v>201</v>
      </c>
      <c r="F243" s="820" t="s">
        <v>23</v>
      </c>
      <c r="G243" s="360">
        <v>2</v>
      </c>
      <c r="H243" s="360" t="s">
        <v>71</v>
      </c>
      <c r="I243" s="360">
        <v>244</v>
      </c>
      <c r="J243" s="361">
        <v>349</v>
      </c>
      <c r="K243" s="532" t="s">
        <v>526</v>
      </c>
      <c r="L243" s="367">
        <f>893974.32</f>
        <v>893974.32</v>
      </c>
      <c r="M243" s="363"/>
      <c r="N243" s="363"/>
      <c r="O243" s="363">
        <f t="shared" si="524"/>
        <v>893974.32</v>
      </c>
      <c r="P243" s="571"/>
      <c r="Q243" s="367">
        <v>893974.32</v>
      </c>
      <c r="R243" s="557"/>
      <c r="S243" s="539">
        <v>893974.32</v>
      </c>
      <c r="T243" s="557"/>
      <c r="U243" s="365"/>
      <c r="V243" s="320"/>
      <c r="W243" s="320"/>
      <c r="X243" s="320"/>
      <c r="Z243" s="367">
        <f t="shared" ref="Z243:AA243" si="850">AW243+AY243+BA243</f>
        <v>0</v>
      </c>
      <c r="AA243" s="363">
        <f t="shared" si="850"/>
        <v>0</v>
      </c>
      <c r="AB243" s="280">
        <f t="shared" si="526"/>
        <v>0</v>
      </c>
      <c r="AC243" s="367">
        <f t="shared" ref="AC243:AD243" si="851">BC243+BE243+BG243</f>
        <v>0</v>
      </c>
      <c r="AD243" s="363">
        <f t="shared" si="851"/>
        <v>0</v>
      </c>
      <c r="AE243" s="280">
        <f t="shared" si="528"/>
        <v>0</v>
      </c>
      <c r="AF243" s="367">
        <f t="shared" ref="AF243:AG243" si="852">BI243+BK243+BM243</f>
        <v>0</v>
      </c>
      <c r="AG243" s="363">
        <f t="shared" si="852"/>
        <v>0</v>
      </c>
      <c r="AH243" s="280">
        <f t="shared" si="530"/>
        <v>0</v>
      </c>
      <c r="AI243" s="367">
        <f t="shared" ref="AI243:AJ243" si="853">BO243+BQ243+BS243</f>
        <v>893974.32</v>
      </c>
      <c r="AJ243" s="363">
        <f t="shared" si="853"/>
        <v>0</v>
      </c>
      <c r="AK243" s="280">
        <f t="shared" si="532"/>
        <v>893974.32</v>
      </c>
      <c r="AL243" s="368"/>
      <c r="AM243" s="367">
        <f t="shared" ref="AM243:AN245" si="854">Z243+AC243</f>
        <v>0</v>
      </c>
      <c r="AN243" s="363">
        <f t="shared" si="854"/>
        <v>0</v>
      </c>
      <c r="AO243" s="280">
        <f t="shared" si="534"/>
        <v>0</v>
      </c>
      <c r="AP243" s="367">
        <f t="shared" ref="AP243:AQ245" si="855">Z243+AC243+AF243</f>
        <v>0</v>
      </c>
      <c r="AQ243" s="363">
        <f t="shared" si="855"/>
        <v>0</v>
      </c>
      <c r="AR243" s="280">
        <f t="shared" si="520"/>
        <v>0</v>
      </c>
      <c r="AS243" s="367">
        <f t="shared" ref="AS243:AT245" si="856">Z243+AC243+AF243+AI243</f>
        <v>893974.32</v>
      </c>
      <c r="AT243" s="363">
        <f t="shared" si="856"/>
        <v>0</v>
      </c>
      <c r="AU243" s="280">
        <f t="shared" si="522"/>
        <v>893974.32</v>
      </c>
      <c r="AV243" s="588">
        <f t="shared" si="695"/>
        <v>0</v>
      </c>
      <c r="AW243" s="367"/>
      <c r="AX243" s="363"/>
      <c r="AY243" s="363"/>
      <c r="AZ243" s="363"/>
      <c r="BA243" s="363"/>
      <c r="BB243" s="369"/>
      <c r="BC243" s="367"/>
      <c r="BD243" s="363"/>
      <c r="BE243" s="363"/>
      <c r="BF243" s="363"/>
      <c r="BG243" s="363"/>
      <c r="BH243" s="369"/>
      <c r="BI243" s="367"/>
      <c r="BJ243" s="363"/>
      <c r="BK243" s="363"/>
      <c r="BL243" s="363"/>
      <c r="BM243" s="363"/>
      <c r="BN243" s="369"/>
      <c r="BO243" s="367"/>
      <c r="BP243" s="363"/>
      <c r="BQ243" s="363"/>
      <c r="BR243" s="363"/>
      <c r="BS243" s="363">
        <v>893974.32</v>
      </c>
      <c r="BT243" s="280"/>
    </row>
    <row r="244" spans="1:72" s="31" customFormat="1" ht="15.75">
      <c r="A244" s="287">
        <v>223</v>
      </c>
      <c r="B244" s="933"/>
      <c r="C244" s="845"/>
      <c r="D244" s="849"/>
      <c r="E244" s="287" t="s">
        <v>201</v>
      </c>
      <c r="F244" s="521"/>
      <c r="G244" s="521"/>
      <c r="H244" s="521"/>
      <c r="I244" s="521"/>
      <c r="J244" s="521"/>
      <c r="K244" s="868" t="s">
        <v>17</v>
      </c>
      <c r="L244" s="498">
        <f t="shared" ref="L244:U244" si="857">SUM(L163,L164,L166,L167,L168,L169,L170,L178,L175,L181,L183,L188,L190,L192,L209,L210,L211,L215,L218,L223,L224,L228,L238,L242,L243)</f>
        <v>11682442.91</v>
      </c>
      <c r="M244" s="13">
        <f t="shared" si="857"/>
        <v>192442.91</v>
      </c>
      <c r="N244" s="13">
        <f t="shared" si="857"/>
        <v>0</v>
      </c>
      <c r="O244" s="13">
        <f t="shared" si="857"/>
        <v>11682442.91</v>
      </c>
      <c r="P244" s="570">
        <f t="shared" si="857"/>
        <v>0</v>
      </c>
      <c r="Q244" s="264">
        <f t="shared" si="857"/>
        <v>11409961.050000001</v>
      </c>
      <c r="R244" s="559">
        <f t="shared" si="857"/>
        <v>0</v>
      </c>
      <c r="S244" s="543">
        <f t="shared" si="857"/>
        <v>11409132.710000001</v>
      </c>
      <c r="T244" s="559">
        <f t="shared" si="857"/>
        <v>0</v>
      </c>
      <c r="U244" s="334">
        <f t="shared" si="857"/>
        <v>0</v>
      </c>
      <c r="V244" s="7"/>
      <c r="W244" s="7"/>
      <c r="X244" s="7"/>
      <c r="Z244" s="264">
        <f t="shared" ref="Z244:AK244" si="858">SUM(Z163,Z164,Z166,Z167,Z168,Z169,Z170,Z178,Z175,Z181,Z183,Z188,Z190,Z192,Z210,Z218,Z223,Z224,Z238,Z242,Z243)</f>
        <v>7458436.21</v>
      </c>
      <c r="AA244" s="254">
        <f t="shared" si="858"/>
        <v>0</v>
      </c>
      <c r="AB244" s="270">
        <f t="shared" si="858"/>
        <v>7458436.21</v>
      </c>
      <c r="AC244" s="264">
        <f t="shared" si="858"/>
        <v>453715</v>
      </c>
      <c r="AD244" s="254">
        <f t="shared" si="858"/>
        <v>0</v>
      </c>
      <c r="AE244" s="270">
        <f t="shared" si="858"/>
        <v>453715</v>
      </c>
      <c r="AF244" s="264">
        <f t="shared" si="858"/>
        <v>585788.84</v>
      </c>
      <c r="AG244" s="254">
        <f t="shared" si="858"/>
        <v>0</v>
      </c>
      <c r="AH244" s="270">
        <f t="shared" si="858"/>
        <v>585788.84</v>
      </c>
      <c r="AI244" s="264">
        <f t="shared" si="858"/>
        <v>2703076.86</v>
      </c>
      <c r="AJ244" s="254">
        <f t="shared" si="858"/>
        <v>0</v>
      </c>
      <c r="AK244" s="270">
        <f t="shared" si="858"/>
        <v>2703076.86</v>
      </c>
      <c r="AL244" s="278">
        <f t="shared" ref="AL244:BS244" si="859">SUM(AL163,AL164,AL166,AL167,AL168,AL169,AL170,AL178,AL175,AL181,AL183,AL188,AL190,AL192,AL209,AL210,AL211,AL215,AL218,AL223,AL224,AL228,AL238,AL242,AL243)</f>
        <v>0</v>
      </c>
      <c r="AM244" s="264">
        <f t="shared" si="859"/>
        <v>8137892.21</v>
      </c>
      <c r="AN244" s="248">
        <f t="shared" si="859"/>
        <v>0</v>
      </c>
      <c r="AO244" s="281">
        <f t="shared" si="859"/>
        <v>8137892.21</v>
      </c>
      <c r="AP244" s="264">
        <f t="shared" si="859"/>
        <v>8725681.0500000007</v>
      </c>
      <c r="AQ244" s="248">
        <f t="shared" si="859"/>
        <v>0</v>
      </c>
      <c r="AR244" s="281">
        <f t="shared" si="859"/>
        <v>8725681.0500000007</v>
      </c>
      <c r="AS244" s="264">
        <f t="shared" si="859"/>
        <v>11429757.91</v>
      </c>
      <c r="AT244" s="248">
        <f t="shared" si="859"/>
        <v>0</v>
      </c>
      <c r="AU244" s="281">
        <f t="shared" si="859"/>
        <v>11429757.91</v>
      </c>
      <c r="AV244" s="604">
        <f t="shared" si="859"/>
        <v>252685</v>
      </c>
      <c r="AW244" s="278">
        <f t="shared" si="859"/>
        <v>6582265.5599999996</v>
      </c>
      <c r="AX244" s="278">
        <f t="shared" si="859"/>
        <v>0</v>
      </c>
      <c r="AY244" s="278">
        <f t="shared" si="859"/>
        <v>113036.96</v>
      </c>
      <c r="AZ244" s="278">
        <f t="shared" si="859"/>
        <v>0</v>
      </c>
      <c r="BA244" s="278">
        <f t="shared" si="859"/>
        <v>912084.69</v>
      </c>
      <c r="BB244" s="278">
        <f t="shared" si="859"/>
        <v>0</v>
      </c>
      <c r="BC244" s="278">
        <f t="shared" si="859"/>
        <v>90235</v>
      </c>
      <c r="BD244" s="278">
        <f t="shared" si="859"/>
        <v>0</v>
      </c>
      <c r="BE244" s="278">
        <f t="shared" si="859"/>
        <v>427385</v>
      </c>
      <c r="BF244" s="278">
        <f t="shared" si="859"/>
        <v>0</v>
      </c>
      <c r="BG244" s="278">
        <f t="shared" si="859"/>
        <v>12885</v>
      </c>
      <c r="BH244" s="278">
        <f t="shared" si="859"/>
        <v>0</v>
      </c>
      <c r="BI244" s="278">
        <f t="shared" si="859"/>
        <v>461552.55</v>
      </c>
      <c r="BJ244" s="278">
        <f t="shared" si="859"/>
        <v>0</v>
      </c>
      <c r="BK244" s="278">
        <f t="shared" si="859"/>
        <v>58351.29</v>
      </c>
      <c r="BL244" s="278">
        <f t="shared" si="859"/>
        <v>0</v>
      </c>
      <c r="BM244" s="278">
        <f t="shared" si="859"/>
        <v>67885</v>
      </c>
      <c r="BN244" s="278">
        <f t="shared" si="859"/>
        <v>0</v>
      </c>
      <c r="BO244" s="278">
        <f t="shared" si="859"/>
        <v>157364.99</v>
      </c>
      <c r="BP244" s="278">
        <f t="shared" si="859"/>
        <v>0</v>
      </c>
      <c r="BQ244" s="278">
        <f t="shared" si="859"/>
        <v>35460</v>
      </c>
      <c r="BR244" s="278">
        <f t="shared" si="859"/>
        <v>0</v>
      </c>
      <c r="BS244" s="278">
        <f t="shared" si="859"/>
        <v>2511251.87</v>
      </c>
      <c r="BT244" s="278"/>
    </row>
    <row r="245" spans="1:72" s="31" customFormat="1" ht="16.5" customHeight="1" thickBot="1">
      <c r="A245" s="287">
        <v>224</v>
      </c>
      <c r="B245" s="933"/>
      <c r="C245" s="845"/>
      <c r="D245" s="849"/>
      <c r="E245" s="287" t="s">
        <v>201</v>
      </c>
      <c r="F245" s="521"/>
      <c r="G245" s="521"/>
      <c r="H245" s="521"/>
      <c r="I245" s="521"/>
      <c r="J245" s="521"/>
      <c r="K245" s="868" t="s">
        <v>21</v>
      </c>
      <c r="L245" s="545">
        <f t="shared" ref="L245:T245" si="860">L158+L244</f>
        <v>62257435.799999997</v>
      </c>
      <c r="M245" s="546">
        <f t="shared" si="860"/>
        <v>192442.91</v>
      </c>
      <c r="N245" s="546">
        <f t="shared" si="860"/>
        <v>0</v>
      </c>
      <c r="O245" s="546">
        <f t="shared" si="860"/>
        <v>62257435.799999997</v>
      </c>
      <c r="P245" s="572">
        <f t="shared" si="860"/>
        <v>17681355.059999999</v>
      </c>
      <c r="Q245" s="545">
        <f t="shared" si="860"/>
        <v>53616033.090000004</v>
      </c>
      <c r="R245" s="568">
        <f t="shared" si="860"/>
        <v>0</v>
      </c>
      <c r="S245" s="554">
        <f t="shared" si="860"/>
        <v>53208007.149999999</v>
      </c>
      <c r="T245" s="568">
        <f t="shared" si="860"/>
        <v>0</v>
      </c>
      <c r="U245" s="334"/>
      <c r="V245" s="7"/>
      <c r="W245" s="7"/>
      <c r="X245" s="7"/>
      <c r="Z245" s="263" t="e">
        <f t="shared" ref="Z245:AK245" si="861">Z158+Z244</f>
        <v>#REF!</v>
      </c>
      <c r="AA245" s="253" t="e">
        <f t="shared" si="861"/>
        <v>#REF!</v>
      </c>
      <c r="AB245" s="269" t="e">
        <f t="shared" si="861"/>
        <v>#REF!</v>
      </c>
      <c r="AC245" s="263" t="e">
        <f t="shared" si="861"/>
        <v>#REF!</v>
      </c>
      <c r="AD245" s="253" t="e">
        <f t="shared" si="861"/>
        <v>#REF!</v>
      </c>
      <c r="AE245" s="269" t="e">
        <f t="shared" si="861"/>
        <v>#REF!</v>
      </c>
      <c r="AF245" s="263" t="e">
        <f t="shared" si="861"/>
        <v>#REF!</v>
      </c>
      <c r="AG245" s="253" t="e">
        <f t="shared" si="861"/>
        <v>#REF!</v>
      </c>
      <c r="AH245" s="269" t="e">
        <f t="shared" si="861"/>
        <v>#REF!</v>
      </c>
      <c r="AI245" s="263" t="e">
        <f t="shared" si="861"/>
        <v>#REF!</v>
      </c>
      <c r="AJ245" s="253" t="e">
        <f t="shared" si="861"/>
        <v>#REF!</v>
      </c>
      <c r="AK245" s="269" t="e">
        <f t="shared" si="861"/>
        <v>#REF!</v>
      </c>
      <c r="AL245" s="210"/>
      <c r="AM245" s="263" t="e">
        <f t="shared" si="854"/>
        <v>#REF!</v>
      </c>
      <c r="AN245" s="247" t="e">
        <f t="shared" si="854"/>
        <v>#REF!</v>
      </c>
      <c r="AO245" s="280" t="e">
        <f t="shared" si="534"/>
        <v>#REF!</v>
      </c>
      <c r="AP245" s="263" t="e">
        <f t="shared" si="855"/>
        <v>#REF!</v>
      </c>
      <c r="AQ245" s="247" t="e">
        <f t="shared" si="855"/>
        <v>#REF!</v>
      </c>
      <c r="AR245" s="280" t="e">
        <f t="shared" si="520"/>
        <v>#REF!</v>
      </c>
      <c r="AS245" s="263" t="e">
        <f t="shared" si="856"/>
        <v>#REF!</v>
      </c>
      <c r="AT245" s="247" t="e">
        <f t="shared" si="856"/>
        <v>#REF!</v>
      </c>
      <c r="AU245" s="280" t="e">
        <f t="shared" si="522"/>
        <v>#REF!</v>
      </c>
      <c r="AV245" s="607" t="e">
        <f t="shared" si="695"/>
        <v>#REF!</v>
      </c>
      <c r="AW245" s="210"/>
      <c r="AX245" s="210"/>
      <c r="AY245" s="210"/>
      <c r="AZ245" s="210"/>
      <c r="BA245" s="210"/>
      <c r="BB245" s="210"/>
      <c r="BC245" s="210"/>
      <c r="BD245" s="210"/>
      <c r="BE245" s="210"/>
      <c r="BF245" s="210"/>
      <c r="BG245" s="210"/>
      <c r="BH245" s="210"/>
      <c r="BI245" s="210"/>
      <c r="BJ245" s="210"/>
      <c r="BK245" s="210"/>
      <c r="BL245" s="210"/>
      <c r="BM245" s="210"/>
      <c r="BN245" s="210"/>
      <c r="BO245" s="210"/>
      <c r="BP245" s="210"/>
      <c r="BQ245" s="210"/>
      <c r="BR245" s="210"/>
      <c r="BS245" s="210"/>
      <c r="BT245" s="210"/>
    </row>
    <row r="246" spans="1:72" s="31" customFormat="1" ht="15.75">
      <c r="A246" s="287">
        <v>225</v>
      </c>
      <c r="B246" s="933"/>
      <c r="C246" s="845"/>
      <c r="D246" s="849"/>
      <c r="E246" s="287"/>
      <c r="F246" s="2"/>
      <c r="G246" s="2"/>
      <c r="H246" s="2"/>
      <c r="I246" s="2"/>
      <c r="J246" s="2"/>
      <c r="K246" s="209" t="s">
        <v>204</v>
      </c>
      <c r="L246" s="996">
        <v>11490000</v>
      </c>
      <c r="M246" s="277">
        <v>192442.91</v>
      </c>
      <c r="N246" s="86"/>
      <c r="O246" s="996">
        <v>11490000</v>
      </c>
      <c r="P246" s="997"/>
      <c r="Q246" s="996">
        <v>11490000</v>
      </c>
      <c r="R246" s="997"/>
      <c r="S246" s="996">
        <v>11490000</v>
      </c>
      <c r="T246" s="332"/>
      <c r="U246" s="325"/>
      <c r="Z246" s="86"/>
      <c r="AA246" s="86"/>
      <c r="AB246" s="86"/>
      <c r="AC246" s="86"/>
      <c r="AD246" s="86"/>
      <c r="AE246" s="86"/>
      <c r="AF246" s="86"/>
      <c r="AG246" s="86"/>
      <c r="AH246" s="86"/>
      <c r="AI246" s="86"/>
      <c r="AJ246" s="86"/>
      <c r="AK246" s="86"/>
      <c r="AL246" s="87"/>
      <c r="AM246" s="86"/>
      <c r="AN246" s="86"/>
      <c r="AO246" s="86"/>
      <c r="AP246" s="86"/>
      <c r="AQ246" s="86"/>
      <c r="AR246" s="86"/>
      <c r="AS246" s="86"/>
      <c r="AT246" s="86"/>
      <c r="AU246" s="86"/>
      <c r="AV246" s="607"/>
      <c r="AW246" s="86"/>
      <c r="AX246" s="86"/>
      <c r="AY246" s="86"/>
      <c r="AZ246" s="86"/>
      <c r="BA246" s="86"/>
      <c r="BB246" s="86"/>
      <c r="BC246" s="86"/>
      <c r="BD246" s="86"/>
      <c r="BE246" s="86"/>
      <c r="BF246" s="86"/>
      <c r="BG246" s="86"/>
      <c r="BH246" s="86"/>
      <c r="BI246" s="86"/>
      <c r="BJ246" s="86"/>
      <c r="BK246" s="86"/>
      <c r="BL246" s="86"/>
      <c r="BM246" s="86"/>
      <c r="BN246" s="86"/>
      <c r="BO246" s="86"/>
      <c r="BP246" s="86"/>
      <c r="BQ246" s="86"/>
      <c r="BR246" s="86"/>
      <c r="BS246" s="86"/>
      <c r="BT246" s="86"/>
    </row>
    <row r="247" spans="1:72" s="31" customFormat="1" ht="15.75">
      <c r="A247" s="287">
        <v>226</v>
      </c>
      <c r="B247" s="933"/>
      <c r="C247" s="845"/>
      <c r="D247" s="849"/>
      <c r="E247" s="287"/>
      <c r="F247" s="2"/>
      <c r="G247" s="2"/>
      <c r="H247" s="2"/>
      <c r="I247" s="2"/>
      <c r="J247" s="2"/>
      <c r="K247" s="209" t="s">
        <v>368</v>
      </c>
      <c r="L247" s="277">
        <f>L246-L244</f>
        <v>-192442.91</v>
      </c>
      <c r="M247" s="86"/>
      <c r="N247" s="86"/>
      <c r="O247" s="277">
        <f>O246-O244</f>
        <v>-192442.91</v>
      </c>
      <c r="P247" s="332"/>
      <c r="Q247" s="277">
        <f>Q246-Q244</f>
        <v>80038.95</v>
      </c>
      <c r="R247" s="332"/>
      <c r="S247" s="277">
        <f>S246-S244</f>
        <v>80867.289999999994</v>
      </c>
      <c r="T247" s="332"/>
      <c r="U247" s="325"/>
      <c r="Z247" s="86"/>
      <c r="AA247" s="86"/>
      <c r="AB247" s="86"/>
      <c r="AC247" s="86"/>
      <c r="AD247" s="86"/>
      <c r="AE247" s="86"/>
      <c r="AF247" s="86"/>
      <c r="AG247" s="86"/>
      <c r="AH247" s="86"/>
      <c r="AI247" s="86"/>
      <c r="AJ247" s="86"/>
      <c r="AK247" s="86"/>
      <c r="AL247" s="87"/>
      <c r="AM247" s="86"/>
      <c r="AN247" s="86"/>
      <c r="AO247" s="86"/>
      <c r="AP247" s="86"/>
      <c r="AQ247" s="86"/>
      <c r="AR247" s="86"/>
      <c r="AS247" s="86"/>
      <c r="AT247" s="86"/>
      <c r="AU247" s="86"/>
      <c r="AV247" s="607"/>
      <c r="AW247" s="86"/>
      <c r="AX247" s="86"/>
      <c r="AY247" s="86"/>
      <c r="AZ247" s="86"/>
      <c r="BA247" s="86"/>
      <c r="BB247" s="86"/>
      <c r="BC247" s="86"/>
      <c r="BD247" s="86"/>
      <c r="BE247" s="86"/>
      <c r="BF247" s="86"/>
      <c r="BG247" s="86"/>
      <c r="BH247" s="86"/>
      <c r="BI247" s="86"/>
      <c r="BJ247" s="86"/>
      <c r="BK247" s="86"/>
      <c r="BL247" s="86"/>
      <c r="BM247" s="86"/>
      <c r="BN247" s="86"/>
      <c r="BO247" s="86"/>
      <c r="BP247" s="86"/>
      <c r="BQ247" s="86"/>
      <c r="BR247" s="86"/>
      <c r="BS247" s="86"/>
      <c r="BT247" s="86"/>
    </row>
    <row r="248" spans="1:72" ht="15.75">
      <c r="L248" s="994">
        <f>L244-L246-M244</f>
        <v>0</v>
      </c>
      <c r="O248" s="994">
        <f>O244-O246-M244</f>
        <v>0</v>
      </c>
    </row>
    <row r="249" spans="1:72">
      <c r="L249" s="101">
        <f>L245-M245</f>
        <v>62064992.890000001</v>
      </c>
    </row>
    <row r="473" spans="1:72" ht="12.75" hidden="1" customHeight="1">
      <c r="A473" s="2"/>
      <c r="B473" s="2"/>
      <c r="C473" s="2"/>
      <c r="D473" s="2"/>
      <c r="E473" s="2"/>
      <c r="L473" s="2"/>
      <c r="M473" s="2"/>
      <c r="N473" s="2"/>
      <c r="O473" s="2"/>
      <c r="P473" s="2"/>
      <c r="Q473" s="2"/>
      <c r="R473" s="2"/>
      <c r="S473" s="2"/>
      <c r="T473" s="2"/>
      <c r="U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805"/>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row>
    <row r="489" spans="1:72" ht="12.75" hidden="1" customHeight="1">
      <c r="A489" s="2"/>
      <c r="B489" s="2"/>
      <c r="C489" s="2"/>
      <c r="D489" s="2"/>
      <c r="E489" s="2"/>
      <c r="L489" s="2"/>
      <c r="M489" s="2"/>
      <c r="N489" s="2"/>
      <c r="O489" s="2"/>
      <c r="P489" s="2"/>
      <c r="Q489" s="2"/>
      <c r="R489" s="2"/>
      <c r="S489" s="2"/>
      <c r="T489" s="2"/>
      <c r="U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805"/>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row>
  </sheetData>
  <autoFilter ref="A10:BV249"/>
  <mergeCells count="19">
    <mergeCell ref="BE9:BF9"/>
    <mergeCell ref="Z9:AB9"/>
    <mergeCell ref="AC9:AE9"/>
    <mergeCell ref="AF9:AH9"/>
    <mergeCell ref="AI9:AK9"/>
    <mergeCell ref="AM9:AO9"/>
    <mergeCell ref="AP9:AR9"/>
    <mergeCell ref="AS9:AU9"/>
    <mergeCell ref="AW9:AX9"/>
    <mergeCell ref="AY9:AZ9"/>
    <mergeCell ref="BA9:BB9"/>
    <mergeCell ref="BC9:BD9"/>
    <mergeCell ref="BS9:BT9"/>
    <mergeCell ref="BG9:BH9"/>
    <mergeCell ref="BI9:BJ9"/>
    <mergeCell ref="BK9:BL9"/>
    <mergeCell ref="BM9:BN9"/>
    <mergeCell ref="BO9:BP9"/>
    <mergeCell ref="BQ9:BR9"/>
  </mergeCells>
  <conditionalFormatting sqref="AS47:AS48 AS61 AS58 AS130:AS131 AS136:AS137 AS106:AS109 AS52 AS31 AS42 AS100 AS27 AS35:AS36">
    <cfRule type="expression" dxfId="6067" priority="836">
      <formula>IF(L27=AS27,1,0)</formula>
    </cfRule>
  </conditionalFormatting>
  <conditionalFormatting sqref="AS157">
    <cfRule type="expression" dxfId="6066" priority="835">
      <formula>IF(L157=AS157,1,0)</formula>
    </cfRule>
  </conditionalFormatting>
  <conditionalFormatting sqref="AS158">
    <cfRule type="expression" dxfId="6065" priority="834">
      <formula>IF(L158=AS158,1,0)</formula>
    </cfRule>
  </conditionalFormatting>
  <conditionalFormatting sqref="L151">
    <cfRule type="cellIs" dxfId="6064" priority="833" operator="notEqual">
      <formula>$L$150</formula>
    </cfRule>
  </conditionalFormatting>
  <conditionalFormatting sqref="L159">
    <cfRule type="cellIs" dxfId="6063" priority="832" operator="notEqual">
      <formula>$L$158</formula>
    </cfRule>
  </conditionalFormatting>
  <conditionalFormatting sqref="L246">
    <cfRule type="cellIs" dxfId="6062" priority="831" operator="notEqual">
      <formula>$L$244</formula>
    </cfRule>
  </conditionalFormatting>
  <conditionalFormatting sqref="AS4">
    <cfRule type="expression" dxfId="6061" priority="830">
      <formula>IF(L4=AS4,1,0)</formula>
    </cfRule>
  </conditionalFormatting>
  <conditionalFormatting sqref="AS18:AS21">
    <cfRule type="expression" dxfId="6060" priority="825">
      <formula>IF(L18=AS18,1,0)</formula>
    </cfRule>
  </conditionalFormatting>
  <conditionalFormatting sqref="AS29">
    <cfRule type="expression" dxfId="6059" priority="829">
      <formula>IF(L29=AS29,1,0)</formula>
    </cfRule>
  </conditionalFormatting>
  <conditionalFormatting sqref="F4 F47:F48 F61 F52 F27 F35:F36">
    <cfRule type="cellIs" dxfId="6058" priority="826" operator="equal">
      <formula>"3-001-2214"</formula>
    </cfRule>
    <cfRule type="cellIs" dxfId="6057" priority="827" operator="equal">
      <formula>"3-001-5204"</formula>
    </cfRule>
    <cfRule type="cellIs" dxfId="6056" priority="828" operator="equal">
      <formula>"3-001-0002"</formula>
    </cfRule>
  </conditionalFormatting>
  <conditionalFormatting sqref="AS55">
    <cfRule type="expression" dxfId="6055" priority="801">
      <formula>IF(L55=AS55,1,0)</formula>
    </cfRule>
  </conditionalFormatting>
  <conditionalFormatting sqref="F18:F21">
    <cfRule type="cellIs" dxfId="6054" priority="822" operator="equal">
      <formula>"3-001-2214"</formula>
    </cfRule>
    <cfRule type="cellIs" dxfId="6053" priority="823" operator="equal">
      <formula>"3-001-5204"</formula>
    </cfRule>
    <cfRule type="cellIs" dxfId="6052" priority="824" operator="equal">
      <formula>"3-001-0002"</formula>
    </cfRule>
  </conditionalFormatting>
  <conditionalFormatting sqref="F16:F17">
    <cfRule type="cellIs" dxfId="6051" priority="810" operator="equal">
      <formula>"3-001-2214"</formula>
    </cfRule>
    <cfRule type="cellIs" dxfId="6050" priority="811" operator="equal">
      <formula>"3-001-5204"</formula>
    </cfRule>
    <cfRule type="cellIs" dxfId="6049" priority="812" operator="equal">
      <formula>"3-001-0002"</formula>
    </cfRule>
  </conditionalFormatting>
  <conditionalFormatting sqref="AS3">
    <cfRule type="expression" dxfId="6048" priority="821">
      <formula>IF(L3=AS3,1,0)</formula>
    </cfRule>
  </conditionalFormatting>
  <conditionalFormatting sqref="F3">
    <cfRule type="cellIs" dxfId="6047" priority="818" operator="equal">
      <formula>"3-001-2214"</formula>
    </cfRule>
    <cfRule type="cellIs" dxfId="6046" priority="819" operator="equal">
      <formula>"3-001-5204"</formula>
    </cfRule>
    <cfRule type="cellIs" dxfId="6045" priority="820" operator="equal">
      <formula>"3-001-0002"</formula>
    </cfRule>
  </conditionalFormatting>
  <conditionalFormatting sqref="AS51">
    <cfRule type="expression" dxfId="6044" priority="805">
      <formula>IF(L51=AS51,1,0)</formula>
    </cfRule>
  </conditionalFormatting>
  <conditionalFormatting sqref="F51">
    <cfRule type="cellIs" dxfId="6043" priority="802" operator="equal">
      <formula>"3-001-2214"</formula>
    </cfRule>
    <cfRule type="cellIs" dxfId="6042" priority="803" operator="equal">
      <formula>"3-001-5204"</formula>
    </cfRule>
    <cfRule type="cellIs" dxfId="6041" priority="804" operator="equal">
      <formula>"3-001-0002"</formula>
    </cfRule>
  </conditionalFormatting>
  <conditionalFormatting sqref="AS33">
    <cfRule type="expression" dxfId="6040" priority="797">
      <formula>IF(L33=AS33,1,0)</formula>
    </cfRule>
  </conditionalFormatting>
  <conditionalFormatting sqref="F55">
    <cfRule type="cellIs" dxfId="6039" priority="798" operator="equal">
      <formula>"3-001-2214"</formula>
    </cfRule>
    <cfRule type="cellIs" dxfId="6038" priority="799" operator="equal">
      <formula>"3-001-5204"</formula>
    </cfRule>
    <cfRule type="cellIs" dxfId="6037" priority="800" operator="equal">
      <formula>"3-001-0002"</formula>
    </cfRule>
  </conditionalFormatting>
  <conditionalFormatting sqref="AS12 AS14">
    <cfRule type="expression" dxfId="6036" priority="817">
      <formula>IF(L12=AS12,1,0)</formula>
    </cfRule>
  </conditionalFormatting>
  <conditionalFormatting sqref="F12 F14">
    <cfRule type="cellIs" dxfId="6035" priority="814" operator="equal">
      <formula>"3-001-2214"</formula>
    </cfRule>
    <cfRule type="cellIs" dxfId="6034" priority="815" operator="equal">
      <formula>"3-001-5204"</formula>
    </cfRule>
    <cfRule type="cellIs" dxfId="6033" priority="816" operator="equal">
      <formula>"3-001-0002"</formula>
    </cfRule>
  </conditionalFormatting>
  <conditionalFormatting sqref="AS16:AS17">
    <cfRule type="expression" dxfId="6032" priority="813">
      <formula>IF(L16=AS16,1,0)</formula>
    </cfRule>
  </conditionalFormatting>
  <conditionalFormatting sqref="F28">
    <cfRule type="cellIs" dxfId="6031" priority="806" operator="equal">
      <formula>"3-001-2214"</formula>
    </cfRule>
    <cfRule type="cellIs" dxfId="6030" priority="807" operator="equal">
      <formula>"3-001-5204"</formula>
    </cfRule>
    <cfRule type="cellIs" dxfId="6029" priority="808" operator="equal">
      <formula>"3-001-0002"</formula>
    </cfRule>
  </conditionalFormatting>
  <conditionalFormatting sqref="AS28">
    <cfRule type="expression" dxfId="6028" priority="809">
      <formula>IF(L28=AS28,1,0)</formula>
    </cfRule>
  </conditionalFormatting>
  <conditionalFormatting sqref="F33">
    <cfRule type="cellIs" dxfId="6027" priority="794" operator="equal">
      <formula>"3-001-2214"</formula>
    </cfRule>
    <cfRule type="cellIs" dxfId="6026" priority="795" operator="equal">
      <formula>"3-001-5204"</formula>
    </cfRule>
    <cfRule type="cellIs" dxfId="6025" priority="796" operator="equal">
      <formula>"3-001-0002"</formula>
    </cfRule>
  </conditionalFormatting>
  <conditionalFormatting sqref="AS34">
    <cfRule type="expression" dxfId="6024" priority="793">
      <formula>IF(L34=AS34,1,0)</formula>
    </cfRule>
  </conditionalFormatting>
  <conditionalFormatting sqref="F34">
    <cfRule type="cellIs" dxfId="6023" priority="790" operator="equal">
      <formula>"3-001-2214"</formula>
    </cfRule>
    <cfRule type="cellIs" dxfId="6022" priority="791" operator="equal">
      <formula>"3-001-5204"</formula>
    </cfRule>
    <cfRule type="cellIs" dxfId="6021" priority="792" operator="equal">
      <formula>"3-001-0002"</formula>
    </cfRule>
  </conditionalFormatting>
  <conditionalFormatting sqref="AS30">
    <cfRule type="expression" dxfId="6020" priority="789">
      <formula>IF(L30=AS30,1,0)</formula>
    </cfRule>
  </conditionalFormatting>
  <conditionalFormatting sqref="AS32">
    <cfRule type="expression" dxfId="6019" priority="788">
      <formula>IF(L32=AS32,1,0)</formula>
    </cfRule>
  </conditionalFormatting>
  <conditionalFormatting sqref="AS39:AS40">
    <cfRule type="expression" dxfId="6018" priority="787">
      <formula>IF(L39=AS39,1,0)</formula>
    </cfRule>
  </conditionalFormatting>
  <conditionalFormatting sqref="F39:F40 F42">
    <cfRule type="cellIs" dxfId="6017" priority="784" operator="equal">
      <formula>"3-001-2214"</formula>
    </cfRule>
    <cfRule type="cellIs" dxfId="6016" priority="785" operator="equal">
      <formula>"3-001-5204"</formula>
    </cfRule>
    <cfRule type="cellIs" dxfId="6015" priority="786" operator="equal">
      <formula>"3-001-0002"</formula>
    </cfRule>
  </conditionalFormatting>
  <conditionalFormatting sqref="AS38">
    <cfRule type="expression" dxfId="6014" priority="783">
      <formula>IF(L38=AS38,1,0)</formula>
    </cfRule>
  </conditionalFormatting>
  <conditionalFormatting sqref="F38">
    <cfRule type="cellIs" dxfId="6013" priority="780" operator="equal">
      <formula>"3-001-2214"</formula>
    </cfRule>
    <cfRule type="cellIs" dxfId="6012" priority="781" operator="equal">
      <formula>"3-001-5204"</formula>
    </cfRule>
    <cfRule type="cellIs" dxfId="6011" priority="782" operator="equal">
      <formula>"3-001-0002"</formula>
    </cfRule>
  </conditionalFormatting>
  <conditionalFormatting sqref="AS37">
    <cfRule type="expression" dxfId="6010" priority="779">
      <formula>IF(L37=AS37,1,0)</formula>
    </cfRule>
  </conditionalFormatting>
  <conditionalFormatting sqref="F37">
    <cfRule type="cellIs" dxfId="6009" priority="776" operator="equal">
      <formula>"3-001-2214"</formula>
    </cfRule>
    <cfRule type="cellIs" dxfId="6008" priority="777" operator="equal">
      <formula>"3-001-5204"</formula>
    </cfRule>
    <cfRule type="cellIs" dxfId="6007" priority="778" operator="equal">
      <formula>"3-001-0002"</formula>
    </cfRule>
  </conditionalFormatting>
  <conditionalFormatting sqref="AS43">
    <cfRule type="expression" dxfId="6006" priority="775">
      <formula>IF(L43=AS43,1,0)</formula>
    </cfRule>
  </conditionalFormatting>
  <conditionalFormatting sqref="F43">
    <cfRule type="cellIs" dxfId="6005" priority="772" operator="equal">
      <formula>"3-001-2214"</formula>
    </cfRule>
    <cfRule type="cellIs" dxfId="6004" priority="773" operator="equal">
      <formula>"3-001-5204"</formula>
    </cfRule>
    <cfRule type="cellIs" dxfId="6003" priority="774" operator="equal">
      <formula>"3-001-0002"</formula>
    </cfRule>
  </conditionalFormatting>
  <conditionalFormatting sqref="AS46">
    <cfRule type="expression" dxfId="6002" priority="771">
      <formula>IF(L46=AS46,1,0)</formula>
    </cfRule>
  </conditionalFormatting>
  <conditionalFormatting sqref="F46">
    <cfRule type="cellIs" dxfId="6001" priority="768" operator="equal">
      <formula>"3-001-2214"</formula>
    </cfRule>
    <cfRule type="cellIs" dxfId="6000" priority="769" operator="equal">
      <formula>"3-001-5204"</formula>
    </cfRule>
    <cfRule type="cellIs" dxfId="5999" priority="770" operator="equal">
      <formula>"3-001-0002"</formula>
    </cfRule>
  </conditionalFormatting>
  <conditionalFormatting sqref="AS53:AS54">
    <cfRule type="expression" dxfId="5998" priority="767">
      <formula>IF(L53=AS53,1,0)</formula>
    </cfRule>
  </conditionalFormatting>
  <conditionalFormatting sqref="F53:F54">
    <cfRule type="cellIs" dxfId="5997" priority="764" operator="equal">
      <formula>"3-001-2214"</formula>
    </cfRule>
    <cfRule type="cellIs" dxfId="5996" priority="765" operator="equal">
      <formula>"3-001-5204"</formula>
    </cfRule>
    <cfRule type="cellIs" dxfId="5995" priority="766" operator="equal">
      <formula>"3-001-0002"</formula>
    </cfRule>
  </conditionalFormatting>
  <conditionalFormatting sqref="AS60">
    <cfRule type="expression" dxfId="5994" priority="763">
      <formula>IF(L60=AS60,1,0)</formula>
    </cfRule>
  </conditionalFormatting>
  <conditionalFormatting sqref="F60">
    <cfRule type="cellIs" dxfId="5993" priority="760" operator="equal">
      <formula>"3-001-2214"</formula>
    </cfRule>
    <cfRule type="cellIs" dxfId="5992" priority="761" operator="equal">
      <formula>"3-001-5204"</formula>
    </cfRule>
    <cfRule type="cellIs" dxfId="5991" priority="762" operator="equal">
      <formula>"3-001-0002"</formula>
    </cfRule>
  </conditionalFormatting>
  <conditionalFormatting sqref="AS56">
    <cfRule type="expression" dxfId="5990" priority="759">
      <formula>IF(L56=AS56,1,0)</formula>
    </cfRule>
  </conditionalFormatting>
  <conditionalFormatting sqref="F56">
    <cfRule type="cellIs" dxfId="5989" priority="756" operator="equal">
      <formula>"3-001-2214"</formula>
    </cfRule>
    <cfRule type="cellIs" dxfId="5988" priority="757" operator="equal">
      <formula>"3-001-5204"</formula>
    </cfRule>
    <cfRule type="cellIs" dxfId="5987" priority="758" operator="equal">
      <formula>"3-001-0002"</formula>
    </cfRule>
  </conditionalFormatting>
  <conditionalFormatting sqref="AS189">
    <cfRule type="expression" dxfId="5986" priority="755">
      <formula>IF(L189=AS189,1,0)</formula>
    </cfRule>
  </conditionalFormatting>
  <conditionalFormatting sqref="F189">
    <cfRule type="cellIs" dxfId="5985" priority="752" operator="equal">
      <formula>"3-001-2214"</formula>
    </cfRule>
    <cfRule type="cellIs" dxfId="5984" priority="753" operator="equal">
      <formula>"3-001-5204"</formula>
    </cfRule>
    <cfRule type="cellIs" dxfId="5983" priority="754" operator="equal">
      <formula>"3-001-0002"</formula>
    </cfRule>
  </conditionalFormatting>
  <conditionalFormatting sqref="AS49">
    <cfRule type="expression" dxfId="5982" priority="751">
      <formula>IF(L49=AS49,1,0)</formula>
    </cfRule>
  </conditionalFormatting>
  <conditionalFormatting sqref="F49">
    <cfRule type="cellIs" dxfId="5981" priority="748" operator="equal">
      <formula>"3-001-2214"</formula>
    </cfRule>
    <cfRule type="cellIs" dxfId="5980" priority="749" operator="equal">
      <formula>"3-001-5204"</formula>
    </cfRule>
    <cfRule type="cellIs" dxfId="5979" priority="750" operator="equal">
      <formula>"3-001-0002"</formula>
    </cfRule>
  </conditionalFormatting>
  <conditionalFormatting sqref="F62">
    <cfRule type="cellIs" dxfId="5978" priority="736" operator="equal">
      <formula>"3-001-2214"</formula>
    </cfRule>
    <cfRule type="cellIs" dxfId="5977" priority="737" operator="equal">
      <formula>"3-001-5204"</formula>
    </cfRule>
    <cfRule type="cellIs" dxfId="5976" priority="738" operator="equal">
      <formula>"3-001-0002"</formula>
    </cfRule>
  </conditionalFormatting>
  <conditionalFormatting sqref="AS50">
    <cfRule type="expression" dxfId="5975" priority="747">
      <formula>IF(L50=AS50,1,0)</formula>
    </cfRule>
  </conditionalFormatting>
  <conditionalFormatting sqref="F50">
    <cfRule type="cellIs" dxfId="5974" priority="744" operator="equal">
      <formula>"3-001-2214"</formula>
    </cfRule>
    <cfRule type="cellIs" dxfId="5973" priority="745" operator="equal">
      <formula>"3-001-5204"</formula>
    </cfRule>
    <cfRule type="cellIs" dxfId="5972" priority="746" operator="equal">
      <formula>"3-001-0002"</formula>
    </cfRule>
  </conditionalFormatting>
  <conditionalFormatting sqref="AS64">
    <cfRule type="expression" dxfId="5971" priority="743">
      <formula>IF(L64=AS64,1,0)</formula>
    </cfRule>
  </conditionalFormatting>
  <conditionalFormatting sqref="F64">
    <cfRule type="cellIs" dxfId="5970" priority="740" operator="equal">
      <formula>"3-001-2214"</formula>
    </cfRule>
    <cfRule type="cellIs" dxfId="5969" priority="741" operator="equal">
      <formula>"3-001-5204"</formula>
    </cfRule>
    <cfRule type="cellIs" dxfId="5968" priority="742" operator="equal">
      <formula>"3-001-0002"</formula>
    </cfRule>
  </conditionalFormatting>
  <conditionalFormatting sqref="AS62">
    <cfRule type="expression" dxfId="5967" priority="739">
      <formula>IF(L62=AS62,1,0)</formula>
    </cfRule>
  </conditionalFormatting>
  <conditionalFormatting sqref="F63">
    <cfRule type="cellIs" dxfId="5966" priority="732" operator="equal">
      <formula>"3-001-2214"</formula>
    </cfRule>
    <cfRule type="cellIs" dxfId="5965" priority="733" operator="equal">
      <formula>"3-001-5204"</formula>
    </cfRule>
    <cfRule type="cellIs" dxfId="5964" priority="734" operator="equal">
      <formula>"3-001-0002"</formula>
    </cfRule>
  </conditionalFormatting>
  <conditionalFormatting sqref="AS63">
    <cfRule type="expression" dxfId="5963" priority="735">
      <formula>IF(L63=AS63,1,0)</formula>
    </cfRule>
  </conditionalFormatting>
  <conditionalFormatting sqref="F65">
    <cfRule type="cellIs" dxfId="5962" priority="704" operator="equal">
      <formula>"3-001-2214"</formula>
    </cfRule>
    <cfRule type="cellIs" dxfId="5961" priority="705" operator="equal">
      <formula>"3-001-5204"</formula>
    </cfRule>
    <cfRule type="cellIs" dxfId="5960" priority="706" operator="equal">
      <formula>"3-001-0002"</formula>
    </cfRule>
  </conditionalFormatting>
  <conditionalFormatting sqref="F75">
    <cfRule type="cellIs" dxfId="5959" priority="700" operator="equal">
      <formula>"3-001-2214"</formula>
    </cfRule>
    <cfRule type="cellIs" dxfId="5958" priority="701" operator="equal">
      <formula>"3-001-5204"</formula>
    </cfRule>
    <cfRule type="cellIs" dxfId="5957" priority="702" operator="equal">
      <formula>"3-001-0002"</formula>
    </cfRule>
  </conditionalFormatting>
  <conditionalFormatting sqref="AS65">
    <cfRule type="expression" dxfId="5956" priority="707">
      <formula>IF(L65=AS65,1,0)</formula>
    </cfRule>
  </conditionalFormatting>
  <conditionalFormatting sqref="F190">
    <cfRule type="cellIs" dxfId="5955" priority="692" operator="equal">
      <formula>"3-001-2214"</formula>
    </cfRule>
    <cfRule type="cellIs" dxfId="5954" priority="693" operator="equal">
      <formula>"3-001-5204"</formula>
    </cfRule>
    <cfRule type="cellIs" dxfId="5953" priority="694" operator="equal">
      <formula>"3-001-0002"</formula>
    </cfRule>
  </conditionalFormatting>
  <conditionalFormatting sqref="AS75">
    <cfRule type="expression" dxfId="5952" priority="703">
      <formula>IF(L75=AS75,1,0)</formula>
    </cfRule>
  </conditionalFormatting>
  <conditionalFormatting sqref="F191">
    <cfRule type="cellIs" dxfId="5951" priority="696" operator="equal">
      <formula>"3-001-2214"</formula>
    </cfRule>
    <cfRule type="cellIs" dxfId="5950" priority="697" operator="equal">
      <formula>"3-001-5204"</formula>
    </cfRule>
    <cfRule type="cellIs" dxfId="5949" priority="698" operator="equal">
      <formula>"3-001-0002"</formula>
    </cfRule>
  </conditionalFormatting>
  <conditionalFormatting sqref="F72">
    <cfRule type="cellIs" dxfId="5948" priority="720" operator="equal">
      <formula>"3-001-2214"</formula>
    </cfRule>
    <cfRule type="cellIs" dxfId="5947" priority="721" operator="equal">
      <formula>"3-001-5204"</formula>
    </cfRule>
    <cfRule type="cellIs" dxfId="5946" priority="722" operator="equal">
      <formula>"3-001-0002"</formula>
    </cfRule>
  </conditionalFormatting>
  <conditionalFormatting sqref="AS191">
    <cfRule type="expression" dxfId="5945" priority="699">
      <formula>IF(L191=AS191,1,0)</formula>
    </cfRule>
  </conditionalFormatting>
  <conditionalFormatting sqref="AS190">
    <cfRule type="expression" dxfId="5944" priority="695">
      <formula>IF(L190=AS190,1,0)</formula>
    </cfRule>
  </conditionalFormatting>
  <conditionalFormatting sqref="F57">
    <cfRule type="cellIs" dxfId="5943" priority="688" operator="equal">
      <formula>"3-001-2214"</formula>
    </cfRule>
    <cfRule type="cellIs" dxfId="5942" priority="689" operator="equal">
      <formula>"3-001-5204"</formula>
    </cfRule>
    <cfRule type="cellIs" dxfId="5941" priority="690" operator="equal">
      <formula>"3-001-0002"</formula>
    </cfRule>
  </conditionalFormatting>
  <conditionalFormatting sqref="F105">
    <cfRule type="cellIs" dxfId="5940" priority="609" operator="equal">
      <formula>"3-001-2214"</formula>
    </cfRule>
    <cfRule type="cellIs" dxfId="5939" priority="610" operator="equal">
      <formula>"3-001-5204"</formula>
    </cfRule>
    <cfRule type="cellIs" dxfId="5938" priority="611" operator="equal">
      <formula>"3-001-0002"</formula>
    </cfRule>
  </conditionalFormatting>
  <conditionalFormatting sqref="AS57">
    <cfRule type="expression" dxfId="5937" priority="691">
      <formula>IF(L57=AS57,1,0)</formula>
    </cfRule>
  </conditionalFormatting>
  <conditionalFormatting sqref="F106:F109">
    <cfRule type="cellIs" dxfId="5936" priority="625" operator="equal">
      <formula>"3-001-2214"</formula>
    </cfRule>
    <cfRule type="cellIs" dxfId="5935" priority="626" operator="equal">
      <formula>"3-001-5204"</formula>
    </cfRule>
    <cfRule type="cellIs" dxfId="5934" priority="627" operator="equal">
      <formula>"3-001-0002"</formula>
    </cfRule>
  </conditionalFormatting>
  <conditionalFormatting sqref="AS105">
    <cfRule type="expression" dxfId="5933" priority="612">
      <formula>IF(L105=AS105,1,0)</formula>
    </cfRule>
  </conditionalFormatting>
  <conditionalFormatting sqref="AS72">
    <cfRule type="expression" dxfId="5932" priority="723">
      <formula>IF(L72=AS72,1,0)</formula>
    </cfRule>
  </conditionalFormatting>
  <conditionalFormatting sqref="F70">
    <cfRule type="cellIs" dxfId="5931" priority="728" operator="equal">
      <formula>"3-001-2214"</formula>
    </cfRule>
    <cfRule type="cellIs" dxfId="5930" priority="729" operator="equal">
      <formula>"3-001-5204"</formula>
    </cfRule>
    <cfRule type="cellIs" dxfId="5929" priority="730" operator="equal">
      <formula>"3-001-0002"</formula>
    </cfRule>
  </conditionalFormatting>
  <conditionalFormatting sqref="F73">
    <cfRule type="cellIs" dxfId="5928" priority="712" operator="equal">
      <formula>"3-001-2214"</formula>
    </cfRule>
    <cfRule type="cellIs" dxfId="5927" priority="713" operator="equal">
      <formula>"3-001-5204"</formula>
    </cfRule>
    <cfRule type="cellIs" dxfId="5926" priority="714" operator="equal">
      <formula>"3-001-0002"</formula>
    </cfRule>
  </conditionalFormatting>
  <conditionalFormatting sqref="AS70">
    <cfRule type="expression" dxfId="5925" priority="731">
      <formula>IF(L70=AS70,1,0)</formula>
    </cfRule>
  </conditionalFormatting>
  <conditionalFormatting sqref="F69">
    <cfRule type="cellIs" dxfId="5924" priority="724" operator="equal">
      <formula>"3-001-2214"</formula>
    </cfRule>
    <cfRule type="cellIs" dxfId="5923" priority="725" operator="equal">
      <formula>"3-001-5204"</formula>
    </cfRule>
    <cfRule type="cellIs" dxfId="5922" priority="726" operator="equal">
      <formula>"3-001-0002"</formula>
    </cfRule>
  </conditionalFormatting>
  <conditionalFormatting sqref="F102">
    <cfRule type="cellIs" dxfId="5921" priority="628" operator="equal">
      <formula>"3-001-2214"</formula>
    </cfRule>
    <cfRule type="cellIs" dxfId="5920" priority="629" operator="equal">
      <formula>"3-001-5204"</formula>
    </cfRule>
    <cfRule type="cellIs" dxfId="5919" priority="630" operator="equal">
      <formula>"3-001-0002"</formula>
    </cfRule>
  </conditionalFormatting>
  <conditionalFormatting sqref="AS69">
    <cfRule type="expression" dxfId="5918" priority="727">
      <formula>IF(L69=AS69,1,0)</formula>
    </cfRule>
  </conditionalFormatting>
  <conditionalFormatting sqref="AS73">
    <cfRule type="expression" dxfId="5917" priority="715">
      <formula>IF(L73=AS73,1,0)</formula>
    </cfRule>
  </conditionalFormatting>
  <conditionalFormatting sqref="F66">
    <cfRule type="cellIs" dxfId="5916" priority="716" operator="equal">
      <formula>"3-001-2214"</formula>
    </cfRule>
    <cfRule type="cellIs" dxfId="5915" priority="717" operator="equal">
      <formula>"3-001-5204"</formula>
    </cfRule>
    <cfRule type="cellIs" dxfId="5914" priority="718" operator="equal">
      <formula>"3-001-0002"</formula>
    </cfRule>
  </conditionalFormatting>
  <conditionalFormatting sqref="AS66">
    <cfRule type="expression" dxfId="5913" priority="719">
      <formula>IF(L66=AS66,1,0)</formula>
    </cfRule>
  </conditionalFormatting>
  <conditionalFormatting sqref="F68">
    <cfRule type="cellIs" dxfId="5912" priority="708" operator="equal">
      <formula>"3-001-2214"</formula>
    </cfRule>
    <cfRule type="cellIs" dxfId="5911" priority="709" operator="equal">
      <formula>"3-001-5204"</formula>
    </cfRule>
    <cfRule type="cellIs" dxfId="5910" priority="710" operator="equal">
      <formula>"3-001-0002"</formula>
    </cfRule>
  </conditionalFormatting>
  <conditionalFormatting sqref="AS68">
    <cfRule type="expression" dxfId="5909" priority="711">
      <formula>IF(L68=AS68,1,0)</formula>
    </cfRule>
  </conditionalFormatting>
  <conditionalFormatting sqref="AS102">
    <cfRule type="expression" dxfId="5908" priority="631">
      <formula>IF(L102=AS102,1,0)</formula>
    </cfRule>
  </conditionalFormatting>
  <conditionalFormatting sqref="F92">
    <cfRule type="cellIs" dxfId="5907" priority="617" operator="equal">
      <formula>"3-001-2214"</formula>
    </cfRule>
    <cfRule type="cellIs" dxfId="5906" priority="618" operator="equal">
      <formula>"3-001-5204"</formula>
    </cfRule>
    <cfRule type="cellIs" dxfId="5905" priority="619" operator="equal">
      <formula>"3-001-0002"</formula>
    </cfRule>
  </conditionalFormatting>
  <conditionalFormatting sqref="F82">
    <cfRule type="cellIs" dxfId="5904" priority="621" operator="equal">
      <formula>"3-001-2214"</formula>
    </cfRule>
    <cfRule type="cellIs" dxfId="5903" priority="622" operator="equal">
      <formula>"3-001-5204"</formula>
    </cfRule>
    <cfRule type="cellIs" dxfId="5902" priority="623" operator="equal">
      <formula>"3-001-0002"</formula>
    </cfRule>
  </conditionalFormatting>
  <conditionalFormatting sqref="AS82">
    <cfRule type="expression" dxfId="5901" priority="624">
      <formula>IF(L82=AS82,1,0)</formula>
    </cfRule>
  </conditionalFormatting>
  <conditionalFormatting sqref="AS92">
    <cfRule type="expression" dxfId="5900" priority="620">
      <formula>IF(L92=AS92,1,0)</formula>
    </cfRule>
  </conditionalFormatting>
  <conditionalFormatting sqref="F101">
    <cfRule type="cellIs" dxfId="5899" priority="613" operator="equal">
      <formula>"3-001-2214"</formula>
    </cfRule>
    <cfRule type="cellIs" dxfId="5898" priority="614" operator="equal">
      <formula>"3-001-5204"</formula>
    </cfRule>
    <cfRule type="cellIs" dxfId="5897" priority="615" operator="equal">
      <formula>"3-001-0002"</formula>
    </cfRule>
  </conditionalFormatting>
  <conditionalFormatting sqref="AS101">
    <cfRule type="expression" dxfId="5896" priority="616">
      <formula>IF(L101=AS101,1,0)</formula>
    </cfRule>
  </conditionalFormatting>
  <conditionalFormatting sqref="F110">
    <cfRule type="cellIs" dxfId="5895" priority="605" operator="equal">
      <formula>"3-001-2214"</formula>
    </cfRule>
    <cfRule type="cellIs" dxfId="5894" priority="606" operator="equal">
      <formula>"3-001-5204"</formula>
    </cfRule>
    <cfRule type="cellIs" dxfId="5893" priority="607" operator="equal">
      <formula>"3-001-0002"</formula>
    </cfRule>
  </conditionalFormatting>
  <conditionalFormatting sqref="AS110">
    <cfRule type="expression" dxfId="5892" priority="608">
      <formula>IF(L110=AS110,1,0)</formula>
    </cfRule>
  </conditionalFormatting>
  <conditionalFormatting sqref="F111">
    <cfRule type="cellIs" dxfId="5891" priority="601" operator="equal">
      <formula>"3-001-2214"</formula>
    </cfRule>
    <cfRule type="cellIs" dxfId="5890" priority="602" operator="equal">
      <formula>"3-001-5204"</formula>
    </cfRule>
    <cfRule type="cellIs" dxfId="5889" priority="603" operator="equal">
      <formula>"3-001-0002"</formula>
    </cfRule>
  </conditionalFormatting>
  <conditionalFormatting sqref="F90">
    <cfRule type="cellIs" dxfId="5888" priority="680" operator="equal">
      <formula>"3-001-2214"</formula>
    </cfRule>
    <cfRule type="cellIs" dxfId="5887" priority="681" operator="equal">
      <formula>"3-001-5204"</formula>
    </cfRule>
    <cfRule type="cellIs" dxfId="5886" priority="682" operator="equal">
      <formula>"3-001-0002"</formula>
    </cfRule>
  </conditionalFormatting>
  <conditionalFormatting sqref="AS111">
    <cfRule type="expression" dxfId="5885" priority="604">
      <formula>IF(L111=AS111,1,0)</formula>
    </cfRule>
  </conditionalFormatting>
  <conditionalFormatting sqref="F91">
    <cfRule type="cellIs" dxfId="5884" priority="684" operator="equal">
      <formula>"3-001-2214"</formula>
    </cfRule>
    <cfRule type="cellIs" dxfId="5883" priority="685" operator="equal">
      <formula>"3-001-5204"</formula>
    </cfRule>
    <cfRule type="cellIs" dxfId="5882" priority="686" operator="equal">
      <formula>"3-001-0002"</formula>
    </cfRule>
  </conditionalFormatting>
  <conditionalFormatting sqref="AS91">
    <cfRule type="expression" dxfId="5881" priority="687">
      <formula>IF(L91=AS91,1,0)</formula>
    </cfRule>
  </conditionalFormatting>
  <conditionalFormatting sqref="AS90">
    <cfRule type="expression" dxfId="5880" priority="683">
      <formula>IF(L90=AS90,1,0)</formula>
    </cfRule>
  </conditionalFormatting>
  <conditionalFormatting sqref="F76">
    <cfRule type="cellIs" dxfId="5879" priority="672" operator="equal">
      <formula>"3-001-2214"</formula>
    </cfRule>
    <cfRule type="cellIs" dxfId="5878" priority="673" operator="equal">
      <formula>"3-001-5204"</formula>
    </cfRule>
    <cfRule type="cellIs" dxfId="5877" priority="674" operator="equal">
      <formula>"3-001-0002"</formula>
    </cfRule>
  </conditionalFormatting>
  <conditionalFormatting sqref="AS76">
    <cfRule type="expression" dxfId="5876" priority="675">
      <formula>IF(L76=AS76,1,0)</formula>
    </cfRule>
  </conditionalFormatting>
  <conditionalFormatting sqref="F89">
    <cfRule type="cellIs" dxfId="5875" priority="668" operator="equal">
      <formula>"3-001-2214"</formula>
    </cfRule>
    <cfRule type="cellIs" dxfId="5874" priority="669" operator="equal">
      <formula>"3-001-5204"</formula>
    </cfRule>
    <cfRule type="cellIs" dxfId="5873" priority="670" operator="equal">
      <formula>"3-001-0002"</formula>
    </cfRule>
  </conditionalFormatting>
  <conditionalFormatting sqref="AS89">
    <cfRule type="expression" dxfId="5872" priority="671">
      <formula>IF(L89=AS89,1,0)</formula>
    </cfRule>
  </conditionalFormatting>
  <conditionalFormatting sqref="F87">
    <cfRule type="cellIs" dxfId="5871" priority="660" operator="equal">
      <formula>"3-001-2214"</formula>
    </cfRule>
    <cfRule type="cellIs" dxfId="5870" priority="661" operator="equal">
      <formula>"3-001-5204"</formula>
    </cfRule>
    <cfRule type="cellIs" dxfId="5869" priority="662" operator="equal">
      <formula>"3-001-0002"</formula>
    </cfRule>
  </conditionalFormatting>
  <conditionalFormatting sqref="F88">
    <cfRule type="cellIs" dxfId="5868" priority="664" operator="equal">
      <formula>"3-001-2214"</formula>
    </cfRule>
    <cfRule type="cellIs" dxfId="5867" priority="665" operator="equal">
      <formula>"3-001-5204"</formula>
    </cfRule>
    <cfRule type="cellIs" dxfId="5866" priority="666" operator="equal">
      <formula>"3-001-0002"</formula>
    </cfRule>
  </conditionalFormatting>
  <conditionalFormatting sqref="F83">
    <cfRule type="cellIs" dxfId="5865" priority="644" operator="equal">
      <formula>"3-001-2214"</formula>
    </cfRule>
    <cfRule type="cellIs" dxfId="5864" priority="645" operator="equal">
      <formula>"3-001-5204"</formula>
    </cfRule>
    <cfRule type="cellIs" dxfId="5863" priority="646" operator="equal">
      <formula>"3-001-0002"</formula>
    </cfRule>
  </conditionalFormatting>
  <conditionalFormatting sqref="AS88">
    <cfRule type="expression" dxfId="5862" priority="667">
      <formula>IF(L88=AS88,1,0)</formula>
    </cfRule>
  </conditionalFormatting>
  <conditionalFormatting sqref="AS87">
    <cfRule type="expression" dxfId="5861" priority="663">
      <formula>IF(L87=AS87,1,0)</formula>
    </cfRule>
  </conditionalFormatting>
  <conditionalFormatting sqref="F86">
    <cfRule type="cellIs" dxfId="5860" priority="656" operator="equal">
      <formula>"3-001-2214"</formula>
    </cfRule>
    <cfRule type="cellIs" dxfId="5859" priority="657" operator="equal">
      <formula>"3-001-5204"</formula>
    </cfRule>
    <cfRule type="cellIs" dxfId="5858" priority="658" operator="equal">
      <formula>"3-001-0002"</formula>
    </cfRule>
  </conditionalFormatting>
  <conditionalFormatting sqref="F85">
    <cfRule type="cellIs" dxfId="5857" priority="652" operator="equal">
      <formula>"3-001-2214"</formula>
    </cfRule>
    <cfRule type="cellIs" dxfId="5856" priority="653" operator="equal">
      <formula>"3-001-5204"</formula>
    </cfRule>
    <cfRule type="cellIs" dxfId="5855" priority="654" operator="equal">
      <formula>"3-001-0002"</formula>
    </cfRule>
  </conditionalFormatting>
  <conditionalFormatting sqref="AS86">
    <cfRule type="expression" dxfId="5854" priority="659">
      <formula>IF(L86=AS86,1,0)</formula>
    </cfRule>
  </conditionalFormatting>
  <conditionalFormatting sqref="AS85">
    <cfRule type="expression" dxfId="5853" priority="655">
      <formula>IF(L85=AS85,1,0)</formula>
    </cfRule>
  </conditionalFormatting>
  <conditionalFormatting sqref="F84">
    <cfRule type="cellIs" dxfId="5852" priority="648" operator="equal">
      <formula>"3-001-2214"</formula>
    </cfRule>
    <cfRule type="cellIs" dxfId="5851" priority="649" operator="equal">
      <formula>"3-001-5204"</formula>
    </cfRule>
    <cfRule type="cellIs" dxfId="5850" priority="650" operator="equal">
      <formula>"3-001-0002"</formula>
    </cfRule>
  </conditionalFormatting>
  <conditionalFormatting sqref="AS84">
    <cfRule type="expression" dxfId="5849" priority="651">
      <formula>IF(L84=AS84,1,0)</formula>
    </cfRule>
  </conditionalFormatting>
  <conditionalFormatting sqref="AS83">
    <cfRule type="expression" dxfId="5848" priority="647">
      <formula>IF(L83=AS83,1,0)</formula>
    </cfRule>
  </conditionalFormatting>
  <conditionalFormatting sqref="F93:F98 F100">
    <cfRule type="cellIs" dxfId="5847" priority="640" operator="equal">
      <formula>"3-001-2214"</formula>
    </cfRule>
    <cfRule type="cellIs" dxfId="5846" priority="641" operator="equal">
      <formula>"3-001-5204"</formula>
    </cfRule>
    <cfRule type="cellIs" dxfId="5845" priority="642" operator="equal">
      <formula>"3-001-0002"</formula>
    </cfRule>
  </conditionalFormatting>
  <conditionalFormatting sqref="AS93:AS98">
    <cfRule type="expression" dxfId="5844" priority="643">
      <formula>IF(L93=AS93,1,0)</formula>
    </cfRule>
  </conditionalFormatting>
  <conditionalFormatting sqref="F104">
    <cfRule type="cellIs" dxfId="5843" priority="636" operator="equal">
      <formula>"3-001-2214"</formula>
    </cfRule>
    <cfRule type="cellIs" dxfId="5842" priority="637" operator="equal">
      <formula>"3-001-5204"</formula>
    </cfRule>
    <cfRule type="cellIs" dxfId="5841" priority="638" operator="equal">
      <formula>"3-001-0002"</formula>
    </cfRule>
  </conditionalFormatting>
  <conditionalFormatting sqref="AS104">
    <cfRule type="expression" dxfId="5840" priority="639">
      <formula>IF(L104=AS104,1,0)</formula>
    </cfRule>
  </conditionalFormatting>
  <conditionalFormatting sqref="F103">
    <cfRule type="cellIs" dxfId="5839" priority="632" operator="equal">
      <formula>"3-001-2214"</formula>
    </cfRule>
    <cfRule type="cellIs" dxfId="5838" priority="633" operator="equal">
      <formula>"3-001-5204"</formula>
    </cfRule>
    <cfRule type="cellIs" dxfId="5837" priority="634" operator="equal">
      <formula>"3-001-0002"</formula>
    </cfRule>
  </conditionalFormatting>
  <conditionalFormatting sqref="AS103">
    <cfRule type="expression" dxfId="5836" priority="635">
      <formula>IF(L103=AS103,1,0)</formula>
    </cfRule>
  </conditionalFormatting>
  <conditionalFormatting sqref="F127">
    <cfRule type="cellIs" dxfId="5835" priority="593" operator="equal">
      <formula>"3-001-2214"</formula>
    </cfRule>
    <cfRule type="cellIs" dxfId="5834" priority="594" operator="equal">
      <formula>"3-001-5204"</formula>
    </cfRule>
    <cfRule type="cellIs" dxfId="5833" priority="595" operator="equal">
      <formula>"3-001-0002"</formula>
    </cfRule>
  </conditionalFormatting>
  <conditionalFormatting sqref="F128">
    <cfRule type="cellIs" dxfId="5832" priority="597" operator="equal">
      <formula>"3-001-2214"</formula>
    </cfRule>
    <cfRule type="cellIs" dxfId="5831" priority="598" operator="equal">
      <formula>"3-001-5204"</formula>
    </cfRule>
    <cfRule type="cellIs" dxfId="5830" priority="599" operator="equal">
      <formula>"3-001-0002"</formula>
    </cfRule>
  </conditionalFormatting>
  <conditionalFormatting sqref="AS128">
    <cfRule type="expression" dxfId="5829" priority="600">
      <formula>IF(L128=AS128,1,0)</formula>
    </cfRule>
  </conditionalFormatting>
  <conditionalFormatting sqref="AS127">
    <cfRule type="expression" dxfId="5828" priority="596">
      <formula>IF(L127=AS127,1,0)</formula>
    </cfRule>
  </conditionalFormatting>
  <conditionalFormatting sqref="F112">
    <cfRule type="cellIs" dxfId="5827" priority="585" operator="equal">
      <formula>"3-001-2214"</formula>
    </cfRule>
    <cfRule type="cellIs" dxfId="5826" priority="586" operator="equal">
      <formula>"3-001-5204"</formula>
    </cfRule>
    <cfRule type="cellIs" dxfId="5825" priority="587" operator="equal">
      <formula>"3-001-0002"</formula>
    </cfRule>
  </conditionalFormatting>
  <conditionalFormatting sqref="AS112">
    <cfRule type="expression" dxfId="5824" priority="588">
      <formula>IF(L112=AS112,1,0)</formula>
    </cfRule>
  </conditionalFormatting>
  <conditionalFormatting sqref="F126">
    <cfRule type="cellIs" dxfId="5823" priority="581" operator="equal">
      <formula>"3-001-2214"</formula>
    </cfRule>
    <cfRule type="cellIs" dxfId="5822" priority="582" operator="equal">
      <formula>"3-001-5204"</formula>
    </cfRule>
    <cfRule type="cellIs" dxfId="5821" priority="583" operator="equal">
      <formula>"3-001-0002"</formula>
    </cfRule>
  </conditionalFormatting>
  <conditionalFormatting sqref="AS126">
    <cfRule type="expression" dxfId="5820" priority="584">
      <formula>IF(L126=AS126,1,0)</formula>
    </cfRule>
  </conditionalFormatting>
  <conditionalFormatting sqref="F124">
    <cfRule type="cellIs" dxfId="5819" priority="573" operator="equal">
      <formula>"3-001-2214"</formula>
    </cfRule>
    <cfRule type="cellIs" dxfId="5818" priority="574" operator="equal">
      <formula>"3-001-5204"</formula>
    </cfRule>
    <cfRule type="cellIs" dxfId="5817" priority="575" operator="equal">
      <formula>"3-001-0002"</formula>
    </cfRule>
  </conditionalFormatting>
  <conditionalFormatting sqref="F125">
    <cfRule type="cellIs" dxfId="5816" priority="577" operator="equal">
      <formula>"3-001-2214"</formula>
    </cfRule>
    <cfRule type="cellIs" dxfId="5815" priority="578" operator="equal">
      <formula>"3-001-5204"</formula>
    </cfRule>
    <cfRule type="cellIs" dxfId="5814" priority="579" operator="equal">
      <formula>"3-001-0002"</formula>
    </cfRule>
  </conditionalFormatting>
  <conditionalFormatting sqref="AS125">
    <cfRule type="expression" dxfId="5813" priority="580">
      <formula>IF(L125=AS125,1,0)</formula>
    </cfRule>
  </conditionalFormatting>
  <conditionalFormatting sqref="AS124">
    <cfRule type="expression" dxfId="5812" priority="576">
      <formula>IF(L124=AS124,1,0)</formula>
    </cfRule>
  </conditionalFormatting>
  <conditionalFormatting sqref="F130:F131">
    <cfRule type="cellIs" dxfId="5811" priority="570" operator="equal">
      <formula>"3-001-2214"</formula>
    </cfRule>
    <cfRule type="cellIs" dxfId="5810" priority="571" operator="equal">
      <formula>"3-001-5204"</formula>
    </cfRule>
    <cfRule type="cellIs" dxfId="5809" priority="572" operator="equal">
      <formula>"3-001-0002"</formula>
    </cfRule>
  </conditionalFormatting>
  <conditionalFormatting sqref="F133">
    <cfRule type="cellIs" dxfId="5808" priority="562" operator="equal">
      <formula>"3-001-2214"</formula>
    </cfRule>
    <cfRule type="cellIs" dxfId="5807" priority="563" operator="equal">
      <formula>"3-001-5204"</formula>
    </cfRule>
    <cfRule type="cellIs" dxfId="5806" priority="564" operator="equal">
      <formula>"3-001-0002"</formula>
    </cfRule>
  </conditionalFormatting>
  <conditionalFormatting sqref="F134">
    <cfRule type="cellIs" dxfId="5805" priority="566" operator="equal">
      <formula>"3-001-2214"</formula>
    </cfRule>
    <cfRule type="cellIs" dxfId="5804" priority="567" operator="equal">
      <formula>"3-001-5204"</formula>
    </cfRule>
    <cfRule type="cellIs" dxfId="5803" priority="568" operator="equal">
      <formula>"3-001-0002"</formula>
    </cfRule>
  </conditionalFormatting>
  <conditionalFormatting sqref="AS134">
    <cfRule type="expression" dxfId="5802" priority="569">
      <formula>IF(L134=AS134,1,0)</formula>
    </cfRule>
  </conditionalFormatting>
  <conditionalFormatting sqref="AS133">
    <cfRule type="expression" dxfId="5801" priority="565">
      <formula>IF(L133=AS133,1,0)</formula>
    </cfRule>
  </conditionalFormatting>
  <conditionalFormatting sqref="F136:F137">
    <cfRule type="cellIs" dxfId="5800" priority="559" operator="equal">
      <formula>"3-001-2214"</formula>
    </cfRule>
    <cfRule type="cellIs" dxfId="5799" priority="560" operator="equal">
      <formula>"3-001-5204"</formula>
    </cfRule>
    <cfRule type="cellIs" dxfId="5798" priority="561" operator="equal">
      <formula>"3-001-0002"</formula>
    </cfRule>
  </conditionalFormatting>
  <conditionalFormatting sqref="F123">
    <cfRule type="cellIs" dxfId="5797" priority="555" operator="equal">
      <formula>"3-001-2214"</formula>
    </cfRule>
    <cfRule type="cellIs" dxfId="5796" priority="556" operator="equal">
      <formula>"3-001-5204"</formula>
    </cfRule>
    <cfRule type="cellIs" dxfId="5795" priority="557" operator="equal">
      <formula>"3-001-0002"</formula>
    </cfRule>
  </conditionalFormatting>
  <conditionalFormatting sqref="AS123">
    <cfRule type="expression" dxfId="5794" priority="558">
      <formula>IF(L123=AS123,1,0)</formula>
    </cfRule>
  </conditionalFormatting>
  <conditionalFormatting sqref="F129">
    <cfRule type="cellIs" dxfId="5793" priority="551" operator="equal">
      <formula>"3-001-2214"</formula>
    </cfRule>
    <cfRule type="cellIs" dxfId="5792" priority="552" operator="equal">
      <formula>"3-001-5204"</formula>
    </cfRule>
    <cfRule type="cellIs" dxfId="5791" priority="553" operator="equal">
      <formula>"3-001-0002"</formula>
    </cfRule>
  </conditionalFormatting>
  <conditionalFormatting sqref="AS129">
    <cfRule type="expression" dxfId="5790" priority="554">
      <formula>IF(L129=AS129,1,0)</formula>
    </cfRule>
  </conditionalFormatting>
  <conditionalFormatting sqref="F132">
    <cfRule type="cellIs" dxfId="5789" priority="547" operator="equal">
      <formula>"3-001-2214"</formula>
    </cfRule>
    <cfRule type="cellIs" dxfId="5788" priority="548" operator="equal">
      <formula>"3-001-5204"</formula>
    </cfRule>
    <cfRule type="cellIs" dxfId="5787" priority="549" operator="equal">
      <formula>"3-001-0002"</formula>
    </cfRule>
  </conditionalFormatting>
  <conditionalFormatting sqref="AS132">
    <cfRule type="expression" dxfId="5786" priority="550">
      <formula>IF(L132=AS132,1,0)</formula>
    </cfRule>
  </conditionalFormatting>
  <conditionalFormatting sqref="F135">
    <cfRule type="cellIs" dxfId="5785" priority="543" operator="equal">
      <formula>"3-001-2214"</formula>
    </cfRule>
    <cfRule type="cellIs" dxfId="5784" priority="544" operator="equal">
      <formula>"3-001-5204"</formula>
    </cfRule>
    <cfRule type="cellIs" dxfId="5783" priority="545" operator="equal">
      <formula>"3-001-0002"</formula>
    </cfRule>
  </conditionalFormatting>
  <conditionalFormatting sqref="AS135">
    <cfRule type="expression" dxfId="5782" priority="546">
      <formula>IF(L135=AS135,1,0)</formula>
    </cfRule>
  </conditionalFormatting>
  <conditionalFormatting sqref="F138">
    <cfRule type="cellIs" dxfId="5781" priority="539" operator="equal">
      <formula>"3-001-2214"</formula>
    </cfRule>
    <cfRule type="cellIs" dxfId="5780" priority="540" operator="equal">
      <formula>"3-001-5204"</formula>
    </cfRule>
    <cfRule type="cellIs" dxfId="5779" priority="541" operator="equal">
      <formula>"3-001-0002"</formula>
    </cfRule>
  </conditionalFormatting>
  <conditionalFormatting sqref="AS138">
    <cfRule type="expression" dxfId="5778" priority="542">
      <formula>IF(L138=AS138,1,0)</formula>
    </cfRule>
  </conditionalFormatting>
  <conditionalFormatting sqref="F99">
    <cfRule type="cellIs" dxfId="5777" priority="535" operator="equal">
      <formula>"3-001-2214"</formula>
    </cfRule>
    <cfRule type="cellIs" dxfId="5776" priority="536" operator="equal">
      <formula>"3-001-5204"</formula>
    </cfRule>
    <cfRule type="cellIs" dxfId="5775" priority="537" operator="equal">
      <formula>"3-001-0002"</formula>
    </cfRule>
  </conditionalFormatting>
  <conditionalFormatting sqref="AS99">
    <cfRule type="expression" dxfId="5774" priority="538">
      <formula>IF(L99=AS99,1,0)</formula>
    </cfRule>
  </conditionalFormatting>
  <conditionalFormatting sqref="AS139">
    <cfRule type="expression" dxfId="5773" priority="534">
      <formula>IF(L139=AS139,1,0)</formula>
    </cfRule>
  </conditionalFormatting>
  <conditionalFormatting sqref="F139">
    <cfRule type="cellIs" dxfId="5772" priority="531" operator="equal">
      <formula>"3-001-2214"</formula>
    </cfRule>
    <cfRule type="cellIs" dxfId="5771" priority="532" operator="equal">
      <formula>"3-001-5204"</formula>
    </cfRule>
    <cfRule type="cellIs" dxfId="5770" priority="533" operator="equal">
      <formula>"3-001-0002"</formula>
    </cfRule>
  </conditionalFormatting>
  <conditionalFormatting sqref="AS140">
    <cfRule type="expression" dxfId="5769" priority="530">
      <formula>IF(L140=AS140,1,0)</formula>
    </cfRule>
  </conditionalFormatting>
  <conditionalFormatting sqref="F140">
    <cfRule type="cellIs" dxfId="5768" priority="527" operator="equal">
      <formula>"3-001-2214"</formula>
    </cfRule>
    <cfRule type="cellIs" dxfId="5767" priority="528" operator="equal">
      <formula>"3-001-5204"</formula>
    </cfRule>
    <cfRule type="cellIs" dxfId="5766" priority="529" operator="equal">
      <formula>"3-001-0002"</formula>
    </cfRule>
  </conditionalFormatting>
  <conditionalFormatting sqref="AS223">
    <cfRule type="expression" dxfId="5765" priority="526">
      <formula>IF(L223=AS223,1,0)</formula>
    </cfRule>
  </conditionalFormatting>
  <conditionalFormatting sqref="F223">
    <cfRule type="cellIs" dxfId="5764" priority="523" operator="equal">
      <formula>"3-001-2214"</formula>
    </cfRule>
    <cfRule type="cellIs" dxfId="5763" priority="524" operator="equal">
      <formula>"3-001-5204"</formula>
    </cfRule>
    <cfRule type="cellIs" dxfId="5762" priority="525" operator="equal">
      <formula>"3-001-0002"</formula>
    </cfRule>
  </conditionalFormatting>
  <conditionalFormatting sqref="AS218">
    <cfRule type="expression" dxfId="5761" priority="518">
      <formula>IF(L218=AS218,1,0)</formula>
    </cfRule>
  </conditionalFormatting>
  <conditionalFormatting sqref="F218">
    <cfRule type="cellIs" dxfId="5760" priority="515" operator="equal">
      <formula>"3-001-2214"</formula>
    </cfRule>
    <cfRule type="cellIs" dxfId="5759" priority="516" operator="equal">
      <formula>"3-001-5204"</formula>
    </cfRule>
    <cfRule type="cellIs" dxfId="5758" priority="517" operator="equal">
      <formula>"3-001-0002"</formula>
    </cfRule>
  </conditionalFormatting>
  <conditionalFormatting sqref="AS238">
    <cfRule type="expression" dxfId="5757" priority="514">
      <formula>IF(L238=AS238,1,0)</formula>
    </cfRule>
  </conditionalFormatting>
  <conditionalFormatting sqref="F238">
    <cfRule type="cellIs" dxfId="5756" priority="511" operator="equal">
      <formula>"3-001-2214"</formula>
    </cfRule>
    <cfRule type="cellIs" dxfId="5755" priority="512" operator="equal">
      <formula>"3-001-5204"</formula>
    </cfRule>
    <cfRule type="cellIs" dxfId="5754" priority="513" operator="equal">
      <formula>"3-001-0002"</formula>
    </cfRule>
  </conditionalFormatting>
  <conditionalFormatting sqref="AS224">
    <cfRule type="expression" dxfId="5753" priority="522">
      <formula>IF(L224=AS224,1,0)</formula>
    </cfRule>
  </conditionalFormatting>
  <conditionalFormatting sqref="F224">
    <cfRule type="cellIs" dxfId="5752" priority="519" operator="equal">
      <formula>"3-001-2214"</formula>
    </cfRule>
    <cfRule type="cellIs" dxfId="5751" priority="520" operator="equal">
      <formula>"3-001-5204"</formula>
    </cfRule>
    <cfRule type="cellIs" dxfId="5750" priority="521" operator="equal">
      <formula>"3-001-0002"</formula>
    </cfRule>
  </conditionalFormatting>
  <conditionalFormatting sqref="AS141">
    <cfRule type="expression" dxfId="5749" priority="510">
      <formula>IF(L141=AS141,1,0)</formula>
    </cfRule>
  </conditionalFormatting>
  <conditionalFormatting sqref="F141">
    <cfRule type="cellIs" dxfId="5748" priority="507" operator="equal">
      <formula>"3-001-2214"</formula>
    </cfRule>
    <cfRule type="cellIs" dxfId="5747" priority="508" operator="equal">
      <formula>"3-001-5204"</formula>
    </cfRule>
    <cfRule type="cellIs" dxfId="5746" priority="509" operator="equal">
      <formula>"3-001-0002"</formula>
    </cfRule>
  </conditionalFormatting>
  <conditionalFormatting sqref="F243">
    <cfRule type="cellIs" dxfId="5745" priority="499" operator="equal">
      <formula>"3-001-2214"</formula>
    </cfRule>
    <cfRule type="cellIs" dxfId="5744" priority="500" operator="equal">
      <formula>"3-001-5204"</formula>
    </cfRule>
    <cfRule type="cellIs" dxfId="5743" priority="501" operator="equal">
      <formula>"3-001-0002"</formula>
    </cfRule>
  </conditionalFormatting>
  <conditionalFormatting sqref="AS242">
    <cfRule type="expression" dxfId="5742" priority="506">
      <formula>IF(L242=AS242,1,0)</formula>
    </cfRule>
  </conditionalFormatting>
  <conditionalFormatting sqref="F242">
    <cfRule type="cellIs" dxfId="5741" priority="503" operator="equal">
      <formula>"3-001-2214"</formula>
    </cfRule>
    <cfRule type="cellIs" dxfId="5740" priority="504" operator="equal">
      <formula>"3-001-5204"</formula>
    </cfRule>
    <cfRule type="cellIs" dxfId="5739" priority="505" operator="equal">
      <formula>"3-001-0002"</formula>
    </cfRule>
  </conditionalFormatting>
  <conditionalFormatting sqref="AS243">
    <cfRule type="expression" dxfId="5738" priority="502">
      <formula>IF(L243=AS243,1,0)</formula>
    </cfRule>
  </conditionalFormatting>
  <conditionalFormatting sqref="F220">
    <cfRule type="cellIs" dxfId="5737" priority="495" operator="equal">
      <formula>"3-001-2214"</formula>
    </cfRule>
    <cfRule type="cellIs" dxfId="5736" priority="496" operator="equal">
      <formula>"3-001-5204"</formula>
    </cfRule>
    <cfRule type="cellIs" dxfId="5735" priority="497" operator="equal">
      <formula>"3-001-0002"</formula>
    </cfRule>
  </conditionalFormatting>
  <conditionalFormatting sqref="F219">
    <cfRule type="cellIs" dxfId="5734" priority="491" operator="equal">
      <formula>"3-001-2214"</formula>
    </cfRule>
    <cfRule type="cellIs" dxfId="5733" priority="492" operator="equal">
      <formula>"3-001-5204"</formula>
    </cfRule>
    <cfRule type="cellIs" dxfId="5732" priority="493" operator="equal">
      <formula>"3-001-0002"</formula>
    </cfRule>
  </conditionalFormatting>
  <conditionalFormatting sqref="AS220">
    <cfRule type="expression" dxfId="5731" priority="498">
      <formula>IF(L220=AS220,1,0)</formula>
    </cfRule>
  </conditionalFormatting>
  <conditionalFormatting sqref="F164">
    <cfRule type="cellIs" dxfId="5730" priority="479" operator="equal">
      <formula>"3-001-2214"</formula>
    </cfRule>
    <cfRule type="cellIs" dxfId="5729" priority="480" operator="equal">
      <formula>"3-001-5204"</formula>
    </cfRule>
    <cfRule type="cellIs" dxfId="5728" priority="481" operator="equal">
      <formula>"3-001-0002"</formula>
    </cfRule>
  </conditionalFormatting>
  <conditionalFormatting sqref="AS219">
    <cfRule type="expression" dxfId="5727" priority="494">
      <formula>IF(L219=AS219,1,0)</formula>
    </cfRule>
  </conditionalFormatting>
  <conditionalFormatting sqref="AS164">
    <cfRule type="expression" dxfId="5726" priority="482">
      <formula>IF(L164=AS164,1,0)</formula>
    </cfRule>
  </conditionalFormatting>
  <conditionalFormatting sqref="AS143">
    <cfRule type="expression" dxfId="5725" priority="490">
      <formula>IF(L143=AS143,1,0)</formula>
    </cfRule>
  </conditionalFormatting>
  <conditionalFormatting sqref="F143">
    <cfRule type="cellIs" dxfId="5724" priority="487" operator="equal">
      <formula>"3-001-2214"</formula>
    </cfRule>
    <cfRule type="cellIs" dxfId="5723" priority="488" operator="equal">
      <formula>"3-001-5204"</formula>
    </cfRule>
    <cfRule type="cellIs" dxfId="5722" priority="489" operator="equal">
      <formula>"3-001-0002"</formula>
    </cfRule>
  </conditionalFormatting>
  <conditionalFormatting sqref="AS142">
    <cfRule type="expression" dxfId="5721" priority="486">
      <formula>IF(L142=AS142,1,0)</formula>
    </cfRule>
  </conditionalFormatting>
  <conditionalFormatting sqref="F142">
    <cfRule type="cellIs" dxfId="5720" priority="483" operator="equal">
      <formula>"3-001-2214"</formula>
    </cfRule>
    <cfRule type="cellIs" dxfId="5719" priority="484" operator="equal">
      <formula>"3-001-5204"</formula>
    </cfRule>
    <cfRule type="cellIs" dxfId="5718" priority="485" operator="equal">
      <formula>"3-001-0002"</formula>
    </cfRule>
  </conditionalFormatting>
  <conditionalFormatting sqref="AS74">
    <cfRule type="expression" dxfId="5717" priority="470">
      <formula>IF(L74=AS74,1,0)</formula>
    </cfRule>
  </conditionalFormatting>
  <conditionalFormatting sqref="F74">
    <cfRule type="cellIs" dxfId="5716" priority="467" operator="equal">
      <formula>"3-001-2214"</formula>
    </cfRule>
    <cfRule type="cellIs" dxfId="5715" priority="468" operator="equal">
      <formula>"3-001-5204"</formula>
    </cfRule>
    <cfRule type="cellIs" dxfId="5714" priority="469" operator="equal">
      <formula>"3-001-0002"</formula>
    </cfRule>
  </conditionalFormatting>
  <conditionalFormatting sqref="AS165">
    <cfRule type="expression" dxfId="5713" priority="478">
      <formula>IF(L165=AS165,1,0)</formula>
    </cfRule>
  </conditionalFormatting>
  <conditionalFormatting sqref="F165">
    <cfRule type="cellIs" dxfId="5712" priority="475" operator="equal">
      <formula>"3-001-2214"</formula>
    </cfRule>
    <cfRule type="cellIs" dxfId="5711" priority="476" operator="equal">
      <formula>"3-001-5204"</formula>
    </cfRule>
    <cfRule type="cellIs" dxfId="5710" priority="477" operator="equal">
      <formula>"3-001-0002"</formula>
    </cfRule>
  </conditionalFormatting>
  <conditionalFormatting sqref="AS210">
    <cfRule type="expression" dxfId="5709" priority="474">
      <formula>IF(L210=AS210,1,0)</formula>
    </cfRule>
  </conditionalFormatting>
  <conditionalFormatting sqref="F210">
    <cfRule type="cellIs" dxfId="5708" priority="471" operator="equal">
      <formula>"3-001-2214"</formula>
    </cfRule>
    <cfRule type="cellIs" dxfId="5707" priority="472" operator="equal">
      <formula>"3-001-5204"</formula>
    </cfRule>
    <cfRule type="cellIs" dxfId="5706" priority="473" operator="equal">
      <formula>"3-001-0002"</formula>
    </cfRule>
  </conditionalFormatting>
  <conditionalFormatting sqref="F194">
    <cfRule type="cellIs" dxfId="5705" priority="435" operator="equal">
      <formula>"3-001-2214"</formula>
    </cfRule>
    <cfRule type="cellIs" dxfId="5704" priority="436" operator="equal">
      <formula>"3-001-5204"</formula>
    </cfRule>
    <cfRule type="cellIs" dxfId="5703" priority="437" operator="equal">
      <formula>"3-001-0002"</formula>
    </cfRule>
  </conditionalFormatting>
  <conditionalFormatting sqref="AS194">
    <cfRule type="expression" dxfId="5702" priority="438">
      <formula>IF(L194=AS194,1,0)</formula>
    </cfRule>
  </conditionalFormatting>
  <conditionalFormatting sqref="F67">
    <cfRule type="cellIs" dxfId="5701" priority="463" operator="equal">
      <formula>"3-001-2214"</formula>
    </cfRule>
    <cfRule type="cellIs" dxfId="5700" priority="464" operator="equal">
      <formula>"3-001-5204"</formula>
    </cfRule>
    <cfRule type="cellIs" dxfId="5699" priority="465" operator="equal">
      <formula>"3-001-0002"</formula>
    </cfRule>
  </conditionalFormatting>
  <conditionalFormatting sqref="F71">
    <cfRule type="cellIs" dxfId="5698" priority="459" operator="equal">
      <formula>"3-001-2214"</formula>
    </cfRule>
    <cfRule type="cellIs" dxfId="5697" priority="460" operator="equal">
      <formula>"3-001-5204"</formula>
    </cfRule>
    <cfRule type="cellIs" dxfId="5696" priority="461" operator="equal">
      <formula>"3-001-0002"</formula>
    </cfRule>
  </conditionalFormatting>
  <conditionalFormatting sqref="AS67">
    <cfRule type="expression" dxfId="5695" priority="466">
      <formula>IF(L67=AS67,1,0)</formula>
    </cfRule>
  </conditionalFormatting>
  <conditionalFormatting sqref="AS71">
    <cfRule type="expression" dxfId="5694" priority="462">
      <formula>IF(L71=AS71,1,0)</formula>
    </cfRule>
  </conditionalFormatting>
  <conditionalFormatting sqref="AS192">
    <cfRule type="expression" dxfId="5693" priority="458">
      <formula>IF(L192=AS192,1,0)</formula>
    </cfRule>
  </conditionalFormatting>
  <conditionalFormatting sqref="F192">
    <cfRule type="cellIs" dxfId="5692" priority="455" operator="equal">
      <formula>"3-001-2214"</formula>
    </cfRule>
    <cfRule type="cellIs" dxfId="5691" priority="456" operator="equal">
      <formula>"3-001-5204"</formula>
    </cfRule>
    <cfRule type="cellIs" dxfId="5690" priority="457" operator="equal">
      <formula>"3-001-0002"</formula>
    </cfRule>
  </conditionalFormatting>
  <conditionalFormatting sqref="F200">
    <cfRule type="cellIs" dxfId="5689" priority="427" operator="equal">
      <formula>"3-001-2214"</formula>
    </cfRule>
    <cfRule type="cellIs" dxfId="5688" priority="428" operator="equal">
      <formula>"3-001-5204"</formula>
    </cfRule>
    <cfRule type="cellIs" dxfId="5687" priority="429" operator="equal">
      <formula>"3-001-0002"</formula>
    </cfRule>
  </conditionalFormatting>
  <conditionalFormatting sqref="AS200">
    <cfRule type="expression" dxfId="5686" priority="430">
      <formula>IF(L200=AS200,1,0)</formula>
    </cfRule>
  </conditionalFormatting>
  <conditionalFormatting sqref="F197">
    <cfRule type="cellIs" dxfId="5685" priority="451" operator="equal">
      <formula>"3-001-2214"</formula>
    </cfRule>
    <cfRule type="cellIs" dxfId="5684" priority="452" operator="equal">
      <formula>"3-001-5204"</formula>
    </cfRule>
    <cfRule type="cellIs" dxfId="5683" priority="453" operator="equal">
      <formula>"3-001-0002"</formula>
    </cfRule>
  </conditionalFormatting>
  <conditionalFormatting sqref="F199">
    <cfRule type="cellIs" dxfId="5682" priority="447" operator="equal">
      <formula>"3-001-2214"</formula>
    </cfRule>
    <cfRule type="cellIs" dxfId="5681" priority="448" operator="equal">
      <formula>"3-001-5204"</formula>
    </cfRule>
    <cfRule type="cellIs" dxfId="5680" priority="449" operator="equal">
      <formula>"3-001-0002"</formula>
    </cfRule>
  </conditionalFormatting>
  <conditionalFormatting sqref="AS197">
    <cfRule type="expression" dxfId="5679" priority="454">
      <formula>IF(L197=AS197,1,0)</formula>
    </cfRule>
  </conditionalFormatting>
  <conditionalFormatting sqref="AS199">
    <cfRule type="expression" dxfId="5678" priority="450">
      <formula>IF(L199=AS199,1,0)</formula>
    </cfRule>
  </conditionalFormatting>
  <conditionalFormatting sqref="F193">
    <cfRule type="cellIs" dxfId="5677" priority="443" operator="equal">
      <formula>"3-001-2214"</formula>
    </cfRule>
    <cfRule type="cellIs" dxfId="5676" priority="444" operator="equal">
      <formula>"3-001-5204"</formula>
    </cfRule>
    <cfRule type="cellIs" dxfId="5675" priority="445" operator="equal">
      <formula>"3-001-0002"</formula>
    </cfRule>
  </conditionalFormatting>
  <conditionalFormatting sqref="AS193">
    <cfRule type="expression" dxfId="5674" priority="446">
      <formula>IF(L193=AS193,1,0)</formula>
    </cfRule>
  </conditionalFormatting>
  <conditionalFormatting sqref="F195">
    <cfRule type="cellIs" dxfId="5673" priority="439" operator="equal">
      <formula>"3-001-2214"</formula>
    </cfRule>
    <cfRule type="cellIs" dxfId="5672" priority="440" operator="equal">
      <formula>"3-001-5204"</formula>
    </cfRule>
    <cfRule type="cellIs" dxfId="5671" priority="441" operator="equal">
      <formula>"3-001-0002"</formula>
    </cfRule>
  </conditionalFormatting>
  <conditionalFormatting sqref="AS195">
    <cfRule type="expression" dxfId="5670" priority="442">
      <formula>IF(L195=AS195,1,0)</formula>
    </cfRule>
  </conditionalFormatting>
  <conditionalFormatting sqref="AS198">
    <cfRule type="expression" dxfId="5669" priority="434">
      <formula>IF(L198=AS198,1,0)</formula>
    </cfRule>
  </conditionalFormatting>
  <conditionalFormatting sqref="F198">
    <cfRule type="cellIs" dxfId="5668" priority="431" operator="equal">
      <formula>"3-001-2214"</formula>
    </cfRule>
    <cfRule type="cellIs" dxfId="5667" priority="432" operator="equal">
      <formula>"3-001-5204"</formula>
    </cfRule>
    <cfRule type="cellIs" dxfId="5666" priority="433" operator="equal">
      <formula>"3-001-0002"</formula>
    </cfRule>
  </conditionalFormatting>
  <conditionalFormatting sqref="F208">
    <cfRule type="cellIs" dxfId="5665" priority="419" operator="equal">
      <formula>"3-001-2214"</formula>
    </cfRule>
    <cfRule type="cellIs" dxfId="5664" priority="420" operator="equal">
      <formula>"3-001-5204"</formula>
    </cfRule>
    <cfRule type="cellIs" dxfId="5663" priority="421" operator="equal">
      <formula>"3-001-0002"</formula>
    </cfRule>
  </conditionalFormatting>
  <conditionalFormatting sqref="AS208">
    <cfRule type="expression" dxfId="5662" priority="422">
      <formula>IF(L208=AS208,1,0)</formula>
    </cfRule>
  </conditionalFormatting>
  <conditionalFormatting sqref="F207">
    <cfRule type="cellIs" dxfId="5661" priority="423" operator="equal">
      <formula>"3-001-2214"</formula>
    </cfRule>
    <cfRule type="cellIs" dxfId="5660" priority="424" operator="equal">
      <formula>"3-001-5204"</formula>
    </cfRule>
    <cfRule type="cellIs" dxfId="5659" priority="425" operator="equal">
      <formula>"3-001-0002"</formula>
    </cfRule>
  </conditionalFormatting>
  <conditionalFormatting sqref="AS207">
    <cfRule type="expression" dxfId="5658" priority="426">
      <formula>IF(L207=AS207,1,0)</formula>
    </cfRule>
  </conditionalFormatting>
  <conditionalFormatting sqref="F202">
    <cfRule type="cellIs" dxfId="5657" priority="415" operator="equal">
      <formula>"3-001-2214"</formula>
    </cfRule>
    <cfRule type="cellIs" dxfId="5656" priority="416" operator="equal">
      <formula>"3-001-5204"</formula>
    </cfRule>
    <cfRule type="cellIs" dxfId="5655" priority="417" operator="equal">
      <formula>"3-001-0002"</formula>
    </cfRule>
  </conditionalFormatting>
  <conditionalFormatting sqref="AS202">
    <cfRule type="expression" dxfId="5654" priority="418">
      <formula>IF(L202=AS202,1,0)</formula>
    </cfRule>
  </conditionalFormatting>
  <conditionalFormatting sqref="AS203">
    <cfRule type="expression" dxfId="5653" priority="414">
      <formula>IF(L203=AS203,1,0)</formula>
    </cfRule>
  </conditionalFormatting>
  <conditionalFormatting sqref="F203">
    <cfRule type="cellIs" dxfId="5652" priority="411" operator="equal">
      <formula>"3-001-2214"</formula>
    </cfRule>
    <cfRule type="cellIs" dxfId="5651" priority="412" operator="equal">
      <formula>"3-001-5204"</formula>
    </cfRule>
    <cfRule type="cellIs" dxfId="5650" priority="413" operator="equal">
      <formula>"3-001-0002"</formula>
    </cfRule>
  </conditionalFormatting>
  <conditionalFormatting sqref="AS179:AS180">
    <cfRule type="expression" dxfId="5649" priority="410">
      <formula>IF(L179=AS179,1,0)</formula>
    </cfRule>
  </conditionalFormatting>
  <conditionalFormatting sqref="F179:F180">
    <cfRule type="cellIs" dxfId="5648" priority="407" operator="equal">
      <formula>"3-001-2214"</formula>
    </cfRule>
    <cfRule type="cellIs" dxfId="5647" priority="408" operator="equal">
      <formula>"3-001-5204"</formula>
    </cfRule>
    <cfRule type="cellIs" dxfId="5646" priority="409" operator="equal">
      <formula>"3-001-0002"</formula>
    </cfRule>
  </conditionalFormatting>
  <conditionalFormatting sqref="AS178">
    <cfRule type="expression" dxfId="5645" priority="406">
      <formula>IF(L178=AS178,1,0)</formula>
    </cfRule>
  </conditionalFormatting>
  <conditionalFormatting sqref="F178">
    <cfRule type="cellIs" dxfId="5644" priority="403" operator="equal">
      <formula>"3-001-2214"</formula>
    </cfRule>
    <cfRule type="cellIs" dxfId="5643" priority="404" operator="equal">
      <formula>"3-001-5204"</formula>
    </cfRule>
    <cfRule type="cellIs" dxfId="5642" priority="405" operator="equal">
      <formula>"3-001-0002"</formula>
    </cfRule>
  </conditionalFormatting>
  <conditionalFormatting sqref="AS156">
    <cfRule type="expression" dxfId="5641" priority="402">
      <formula>IF(L156=AS156,1,0)</formula>
    </cfRule>
  </conditionalFormatting>
  <conditionalFormatting sqref="F156">
    <cfRule type="cellIs" dxfId="5640" priority="399" operator="equal">
      <formula>"3-001-2214"</formula>
    </cfRule>
    <cfRule type="cellIs" dxfId="5639" priority="400" operator="equal">
      <formula>"3-001-5204"</formula>
    </cfRule>
    <cfRule type="cellIs" dxfId="5638" priority="401" operator="equal">
      <formula>"3-001-0002"</formula>
    </cfRule>
  </conditionalFormatting>
  <conditionalFormatting sqref="AS169">
    <cfRule type="expression" dxfId="5637" priority="398">
      <formula>IF(L169=AS169,1,0)</formula>
    </cfRule>
  </conditionalFormatting>
  <conditionalFormatting sqref="F169">
    <cfRule type="cellIs" dxfId="5636" priority="395" operator="equal">
      <formula>"3-001-2214"</formula>
    </cfRule>
    <cfRule type="cellIs" dxfId="5635" priority="396" operator="equal">
      <formula>"3-001-5204"</formula>
    </cfRule>
    <cfRule type="cellIs" dxfId="5634" priority="397" operator="equal">
      <formula>"3-001-0002"</formula>
    </cfRule>
  </conditionalFormatting>
  <conditionalFormatting sqref="AS170">
    <cfRule type="expression" dxfId="5633" priority="394">
      <formula>IF(L170=AS170,1,0)</formula>
    </cfRule>
  </conditionalFormatting>
  <conditionalFormatting sqref="F170">
    <cfRule type="cellIs" dxfId="5632" priority="391" operator="equal">
      <formula>"3-001-2214"</formula>
    </cfRule>
    <cfRule type="cellIs" dxfId="5631" priority="392" operator="equal">
      <formula>"3-001-5204"</formula>
    </cfRule>
    <cfRule type="cellIs" dxfId="5630" priority="393" operator="equal">
      <formula>"3-001-0002"</formula>
    </cfRule>
  </conditionalFormatting>
  <conditionalFormatting sqref="AS172:AS174">
    <cfRule type="expression" dxfId="5629" priority="390">
      <formula>IF(L172=AS172,1,0)</formula>
    </cfRule>
  </conditionalFormatting>
  <conditionalFormatting sqref="F172:F174">
    <cfRule type="cellIs" dxfId="5628" priority="387" operator="equal">
      <formula>"3-001-2214"</formula>
    </cfRule>
    <cfRule type="cellIs" dxfId="5627" priority="388" operator="equal">
      <formula>"3-001-5204"</formula>
    </cfRule>
    <cfRule type="cellIs" dxfId="5626" priority="389" operator="equal">
      <formula>"3-001-0002"</formula>
    </cfRule>
  </conditionalFormatting>
  <conditionalFormatting sqref="AS171">
    <cfRule type="expression" dxfId="5625" priority="386">
      <formula>IF(L171=AS171,1,0)</formula>
    </cfRule>
  </conditionalFormatting>
  <conditionalFormatting sqref="F171">
    <cfRule type="cellIs" dxfId="5624" priority="383" operator="equal">
      <formula>"3-001-2214"</formula>
    </cfRule>
    <cfRule type="cellIs" dxfId="5623" priority="384" operator="equal">
      <formula>"3-001-5204"</formula>
    </cfRule>
    <cfRule type="cellIs" dxfId="5622" priority="385" operator="equal">
      <formula>"3-001-0002"</formula>
    </cfRule>
  </conditionalFormatting>
  <conditionalFormatting sqref="AS181">
    <cfRule type="expression" dxfId="5621" priority="378">
      <formula>IF(L181=AS181,1,0)</formula>
    </cfRule>
  </conditionalFormatting>
  <conditionalFormatting sqref="F181">
    <cfRule type="cellIs" dxfId="5620" priority="375" operator="equal">
      <formula>"3-001-2214"</formula>
    </cfRule>
    <cfRule type="cellIs" dxfId="5619" priority="376" operator="equal">
      <formula>"3-001-5204"</formula>
    </cfRule>
    <cfRule type="cellIs" dxfId="5618" priority="377" operator="equal">
      <formula>"3-001-0002"</formula>
    </cfRule>
  </conditionalFormatting>
  <conditionalFormatting sqref="AS175">
    <cfRule type="expression" dxfId="5617" priority="382">
      <formula>IF(L175=AS175,1,0)</formula>
    </cfRule>
  </conditionalFormatting>
  <conditionalFormatting sqref="F175">
    <cfRule type="cellIs" dxfId="5616" priority="379" operator="equal">
      <formula>"3-001-2214"</formula>
    </cfRule>
    <cfRule type="cellIs" dxfId="5615" priority="380" operator="equal">
      <formula>"3-001-5204"</formula>
    </cfRule>
    <cfRule type="cellIs" dxfId="5614" priority="381" operator="equal">
      <formula>"3-001-0002"</formula>
    </cfRule>
  </conditionalFormatting>
  <conditionalFormatting sqref="AS182">
    <cfRule type="expression" dxfId="5613" priority="374">
      <formula>IF(L182=AS182,1,0)</formula>
    </cfRule>
  </conditionalFormatting>
  <conditionalFormatting sqref="F182">
    <cfRule type="cellIs" dxfId="5612" priority="371" operator="equal">
      <formula>"3-001-2214"</formula>
    </cfRule>
    <cfRule type="cellIs" dxfId="5611" priority="372" operator="equal">
      <formula>"3-001-5204"</formula>
    </cfRule>
    <cfRule type="cellIs" dxfId="5610" priority="373" operator="equal">
      <formula>"3-001-0002"</formula>
    </cfRule>
  </conditionalFormatting>
  <conditionalFormatting sqref="AS59">
    <cfRule type="expression" dxfId="5609" priority="370">
      <formula>IF(L59=AS59,1,0)</formula>
    </cfRule>
  </conditionalFormatting>
  <conditionalFormatting sqref="F59">
    <cfRule type="cellIs" dxfId="5608" priority="367" operator="equal">
      <formula>"3-001-2214"</formula>
    </cfRule>
    <cfRule type="cellIs" dxfId="5607" priority="368" operator="equal">
      <formula>"3-001-5204"</formula>
    </cfRule>
    <cfRule type="cellIs" dxfId="5606" priority="369" operator="equal">
      <formula>"3-001-0002"</formula>
    </cfRule>
  </conditionalFormatting>
  <conditionalFormatting sqref="F166">
    <cfRule type="cellIs" dxfId="5605" priority="355" operator="equal">
      <formula>"3-001-2214"</formula>
    </cfRule>
    <cfRule type="cellIs" dxfId="5604" priority="356" operator="equal">
      <formula>"3-001-5204"</formula>
    </cfRule>
    <cfRule type="cellIs" dxfId="5603" priority="357" operator="equal">
      <formula>"3-001-0002"</formula>
    </cfRule>
  </conditionalFormatting>
  <conditionalFormatting sqref="AS163">
    <cfRule type="expression" dxfId="5602" priority="366">
      <formula>IF(L163=AS163,1,0)</formula>
    </cfRule>
  </conditionalFormatting>
  <conditionalFormatting sqref="F163">
    <cfRule type="cellIs" dxfId="5601" priority="363" operator="equal">
      <formula>"3-001-2214"</formula>
    </cfRule>
    <cfRule type="cellIs" dxfId="5600" priority="364" operator="equal">
      <formula>"3-001-5204"</formula>
    </cfRule>
    <cfRule type="cellIs" dxfId="5599" priority="365" operator="equal">
      <formula>"3-001-0002"</formula>
    </cfRule>
  </conditionalFormatting>
  <conditionalFormatting sqref="AS168">
    <cfRule type="expression" dxfId="5598" priority="362">
      <formula>IF(L168=AS168,1,0)</formula>
    </cfRule>
  </conditionalFormatting>
  <conditionalFormatting sqref="F168">
    <cfRule type="cellIs" dxfId="5597" priority="359" operator="equal">
      <formula>"3-001-2214"</formula>
    </cfRule>
    <cfRule type="cellIs" dxfId="5596" priority="360" operator="equal">
      <formula>"3-001-5204"</formula>
    </cfRule>
    <cfRule type="cellIs" dxfId="5595" priority="361" operator="equal">
      <formula>"3-001-0002"</formula>
    </cfRule>
  </conditionalFormatting>
  <conditionalFormatting sqref="AS166">
    <cfRule type="expression" dxfId="5594" priority="358">
      <formula>IF(L166=AS166,1,0)</formula>
    </cfRule>
  </conditionalFormatting>
  <conditionalFormatting sqref="F167">
    <cfRule type="cellIs" dxfId="5593" priority="351" operator="equal">
      <formula>"3-001-2214"</formula>
    </cfRule>
    <cfRule type="cellIs" dxfId="5592" priority="352" operator="equal">
      <formula>"3-001-5204"</formula>
    </cfRule>
    <cfRule type="cellIs" dxfId="5591" priority="353" operator="equal">
      <formula>"3-001-0002"</formula>
    </cfRule>
  </conditionalFormatting>
  <conditionalFormatting sqref="AS167">
    <cfRule type="expression" dxfId="5590" priority="354">
      <formula>IF(L167=AS167,1,0)</formula>
    </cfRule>
  </conditionalFormatting>
  <conditionalFormatting sqref="AS155">
    <cfRule type="expression" dxfId="5589" priority="350">
      <formula>IF(L155=AS155,1,0)</formula>
    </cfRule>
  </conditionalFormatting>
  <conditionalFormatting sqref="F155">
    <cfRule type="cellIs" dxfId="5588" priority="347" operator="equal">
      <formula>"3-001-2214"</formula>
    </cfRule>
    <cfRule type="cellIs" dxfId="5587" priority="348" operator="equal">
      <formula>"3-001-5204"</formula>
    </cfRule>
    <cfRule type="cellIs" dxfId="5586" priority="349" operator="equal">
      <formula>"3-001-0002"</formula>
    </cfRule>
  </conditionalFormatting>
  <conditionalFormatting sqref="AS245">
    <cfRule type="expression" dxfId="5585" priority="346">
      <formula>IF(L245=AS245,1,0)</formula>
    </cfRule>
  </conditionalFormatting>
  <conditionalFormatting sqref="AS176">
    <cfRule type="expression" dxfId="5584" priority="345">
      <formula>IF(L176=AS176,1,0)</formula>
    </cfRule>
  </conditionalFormatting>
  <conditionalFormatting sqref="F176">
    <cfRule type="cellIs" dxfId="5583" priority="342" operator="equal">
      <formula>"3-001-2214"</formula>
    </cfRule>
    <cfRule type="cellIs" dxfId="5582" priority="343" operator="equal">
      <formula>"3-001-5204"</formula>
    </cfRule>
    <cfRule type="cellIs" dxfId="5581" priority="344" operator="equal">
      <formula>"3-001-0002"</formula>
    </cfRule>
  </conditionalFormatting>
  <conditionalFormatting sqref="AS177">
    <cfRule type="expression" dxfId="5580" priority="341">
      <formula>IF(L177=AS177,1,0)</formula>
    </cfRule>
  </conditionalFormatting>
  <conditionalFormatting sqref="F177">
    <cfRule type="cellIs" dxfId="5579" priority="338" operator="equal">
      <formula>"3-001-2214"</formula>
    </cfRule>
    <cfRule type="cellIs" dxfId="5578" priority="339" operator="equal">
      <formula>"3-001-5204"</formula>
    </cfRule>
    <cfRule type="cellIs" dxfId="5577" priority="340" operator="equal">
      <formula>"3-001-0002"</formula>
    </cfRule>
  </conditionalFormatting>
  <conditionalFormatting sqref="AS44">
    <cfRule type="expression" dxfId="5576" priority="337">
      <formula>IF(L44=AS44,1,0)</formula>
    </cfRule>
  </conditionalFormatting>
  <conditionalFormatting sqref="F44">
    <cfRule type="cellIs" dxfId="5575" priority="334" operator="equal">
      <formula>"3-001-2214"</formula>
    </cfRule>
    <cfRule type="cellIs" dxfId="5574" priority="335" operator="equal">
      <formula>"3-001-5204"</formula>
    </cfRule>
    <cfRule type="cellIs" dxfId="5573" priority="336" operator="equal">
      <formula>"3-001-0002"</formula>
    </cfRule>
  </conditionalFormatting>
  <conditionalFormatting sqref="AS45">
    <cfRule type="expression" dxfId="5572" priority="333">
      <formula>IF(L45=AS45,1,0)</formula>
    </cfRule>
  </conditionalFormatting>
  <conditionalFormatting sqref="F45">
    <cfRule type="cellIs" dxfId="5571" priority="330" operator="equal">
      <formula>"3-001-2214"</formula>
    </cfRule>
    <cfRule type="cellIs" dxfId="5570" priority="331" operator="equal">
      <formula>"3-001-5204"</formula>
    </cfRule>
    <cfRule type="cellIs" dxfId="5569" priority="332" operator="equal">
      <formula>"3-001-0002"</formula>
    </cfRule>
  </conditionalFormatting>
  <conditionalFormatting sqref="Q246">
    <cfRule type="cellIs" dxfId="5568" priority="329" operator="notEqual">
      <formula>$Q$244</formula>
    </cfRule>
  </conditionalFormatting>
  <conditionalFormatting sqref="S246">
    <cfRule type="cellIs" dxfId="5567" priority="328" operator="notEqual">
      <formula>$S$244</formula>
    </cfRule>
  </conditionalFormatting>
  <conditionalFormatting sqref="F58">
    <cfRule type="cellIs" dxfId="5566" priority="325" operator="equal">
      <formula>"3-001-2214"</formula>
    </cfRule>
    <cfRule type="cellIs" dxfId="5565" priority="326" operator="equal">
      <formula>"3-001-5204"</formula>
    </cfRule>
    <cfRule type="cellIs" dxfId="5564" priority="327" operator="equal">
      <formula>"3-001-0002"</formula>
    </cfRule>
  </conditionalFormatting>
  <conditionalFormatting sqref="F144">
    <cfRule type="cellIs" dxfId="5563" priority="321" operator="equal">
      <formula>"3-001-2214"</formula>
    </cfRule>
    <cfRule type="cellIs" dxfId="5562" priority="322" operator="equal">
      <formula>"3-001-5204"</formula>
    </cfRule>
    <cfRule type="cellIs" dxfId="5561" priority="323" operator="equal">
      <formula>"3-001-0002"</formula>
    </cfRule>
  </conditionalFormatting>
  <conditionalFormatting sqref="F145">
    <cfRule type="cellIs" dxfId="5560" priority="318" operator="equal">
      <formula>"3-001-2214"</formula>
    </cfRule>
    <cfRule type="cellIs" dxfId="5559" priority="319" operator="equal">
      <formula>"3-001-5204"</formula>
    </cfRule>
    <cfRule type="cellIs" dxfId="5558" priority="320" operator="equal">
      <formula>"3-001-0002"</formula>
    </cfRule>
  </conditionalFormatting>
  <conditionalFormatting sqref="F146">
    <cfRule type="cellIs" dxfId="5557" priority="315" operator="equal">
      <formula>"3-001-2214"</formula>
    </cfRule>
    <cfRule type="cellIs" dxfId="5556" priority="316" operator="equal">
      <formula>"3-001-5204"</formula>
    </cfRule>
    <cfRule type="cellIs" dxfId="5555" priority="317" operator="equal">
      <formula>"3-001-0002"</formula>
    </cfRule>
  </conditionalFormatting>
  <conditionalFormatting sqref="F147">
    <cfRule type="cellIs" dxfId="5554" priority="312" operator="equal">
      <formula>"3-001-2214"</formula>
    </cfRule>
    <cfRule type="cellIs" dxfId="5553" priority="313" operator="equal">
      <formula>"3-001-5204"</formula>
    </cfRule>
    <cfRule type="cellIs" dxfId="5552" priority="314" operator="equal">
      <formula>"3-001-0002"</formula>
    </cfRule>
  </conditionalFormatting>
  <conditionalFormatting sqref="F148">
    <cfRule type="cellIs" dxfId="5551" priority="309" operator="equal">
      <formula>"3-001-2214"</formula>
    </cfRule>
    <cfRule type="cellIs" dxfId="5550" priority="310" operator="equal">
      <formula>"3-001-5204"</formula>
    </cfRule>
    <cfRule type="cellIs" dxfId="5549" priority="311" operator="equal">
      <formula>"3-001-0002"</formula>
    </cfRule>
  </conditionalFormatting>
  <conditionalFormatting sqref="F149">
    <cfRule type="cellIs" dxfId="5548" priority="306" operator="equal">
      <formula>"3-001-2214"</formula>
    </cfRule>
    <cfRule type="cellIs" dxfId="5547" priority="307" operator="equal">
      <formula>"3-001-5204"</formula>
    </cfRule>
    <cfRule type="cellIs" dxfId="5546" priority="308" operator="equal">
      <formula>"3-001-0002"</formula>
    </cfRule>
  </conditionalFormatting>
  <conditionalFormatting sqref="AS184">
    <cfRule type="expression" dxfId="5545" priority="305">
      <formula>IF(L184=AS184,1,0)</formula>
    </cfRule>
  </conditionalFormatting>
  <conditionalFormatting sqref="F184">
    <cfRule type="cellIs" dxfId="5544" priority="302" operator="equal">
      <formula>"3-001-2214"</formula>
    </cfRule>
    <cfRule type="cellIs" dxfId="5543" priority="303" operator="equal">
      <formula>"3-001-5204"</formula>
    </cfRule>
    <cfRule type="cellIs" dxfId="5542" priority="304" operator="equal">
      <formula>"3-001-0002"</formula>
    </cfRule>
  </conditionalFormatting>
  <conditionalFormatting sqref="AS187">
    <cfRule type="expression" dxfId="5541" priority="301">
      <formula>IF(L187=AS187,1,0)</formula>
    </cfRule>
  </conditionalFormatting>
  <conditionalFormatting sqref="F187">
    <cfRule type="cellIs" dxfId="5540" priority="298" operator="equal">
      <formula>"3-001-2214"</formula>
    </cfRule>
    <cfRule type="cellIs" dxfId="5539" priority="299" operator="equal">
      <formula>"3-001-5204"</formula>
    </cfRule>
    <cfRule type="cellIs" dxfId="5538" priority="300" operator="equal">
      <formula>"3-001-0002"</formula>
    </cfRule>
  </conditionalFormatting>
  <conditionalFormatting sqref="F221">
    <cfRule type="cellIs" dxfId="5537" priority="294" operator="equal">
      <formula>"3-001-2214"</formula>
    </cfRule>
    <cfRule type="cellIs" dxfId="5536" priority="295" operator="equal">
      <formula>"3-001-5204"</formula>
    </cfRule>
    <cfRule type="cellIs" dxfId="5535" priority="296" operator="equal">
      <formula>"3-001-0002"</formula>
    </cfRule>
  </conditionalFormatting>
  <conditionalFormatting sqref="AS221">
    <cfRule type="expression" dxfId="5534" priority="297">
      <formula>IF(L221=AS221,1,0)</formula>
    </cfRule>
  </conditionalFormatting>
  <conditionalFormatting sqref="AS222">
    <cfRule type="expression" dxfId="5533" priority="293">
      <formula>IF(L222=AS222,1,0)</formula>
    </cfRule>
  </conditionalFormatting>
  <conditionalFormatting sqref="F222">
    <cfRule type="cellIs" dxfId="5532" priority="290" operator="equal">
      <formula>"3-001-2214"</formula>
    </cfRule>
    <cfRule type="cellIs" dxfId="5531" priority="291" operator="equal">
      <formula>"3-001-5204"</formula>
    </cfRule>
    <cfRule type="cellIs" dxfId="5530" priority="292" operator="equal">
      <formula>"3-001-0002"</formula>
    </cfRule>
  </conditionalFormatting>
  <conditionalFormatting sqref="X152:X153">
    <cfRule type="cellIs" dxfId="5529" priority="289" operator="notEqual">
      <formula>$L$151</formula>
    </cfRule>
  </conditionalFormatting>
  <conditionalFormatting sqref="AS183">
    <cfRule type="expression" dxfId="5528" priority="288">
      <formula>IF(L183=AS183,1,0)</formula>
    </cfRule>
  </conditionalFormatting>
  <conditionalFormatting sqref="F183">
    <cfRule type="cellIs" dxfId="5527" priority="285" operator="equal">
      <formula>"3-001-2214"</formula>
    </cfRule>
    <cfRule type="cellIs" dxfId="5526" priority="286" operator="equal">
      <formula>"3-001-5204"</formula>
    </cfRule>
    <cfRule type="cellIs" dxfId="5525" priority="287" operator="equal">
      <formula>"3-001-0002"</formula>
    </cfRule>
  </conditionalFormatting>
  <conditionalFormatting sqref="AS188">
    <cfRule type="expression" dxfId="5524" priority="284">
      <formula>IF(L188=AS188,1,0)</formula>
    </cfRule>
  </conditionalFormatting>
  <conditionalFormatting sqref="F188">
    <cfRule type="cellIs" dxfId="5523" priority="281" operator="equal">
      <formula>"3-001-2214"</formula>
    </cfRule>
    <cfRule type="cellIs" dxfId="5522" priority="282" operator="equal">
      <formula>"3-001-5204"</formula>
    </cfRule>
    <cfRule type="cellIs" dxfId="5521" priority="283" operator="equal">
      <formula>"3-001-0002"</formula>
    </cfRule>
  </conditionalFormatting>
  <conditionalFormatting sqref="AS41">
    <cfRule type="expression" dxfId="5520" priority="280">
      <formula>IF(L41=AS41,1,0)</formula>
    </cfRule>
  </conditionalFormatting>
  <conditionalFormatting sqref="F41">
    <cfRule type="cellIs" dxfId="5519" priority="277" operator="equal">
      <formula>"3-001-2214"</formula>
    </cfRule>
    <cfRule type="cellIs" dxfId="5518" priority="278" operator="equal">
      <formula>"3-001-5204"</formula>
    </cfRule>
    <cfRule type="cellIs" dxfId="5517" priority="279" operator="equal">
      <formula>"3-001-0002"</formula>
    </cfRule>
  </conditionalFormatting>
  <conditionalFormatting sqref="M246">
    <cfRule type="cellIs" dxfId="5516" priority="276" operator="notEqual">
      <formula>$M$244</formula>
    </cfRule>
  </conditionalFormatting>
  <conditionalFormatting sqref="F5">
    <cfRule type="cellIs" dxfId="5515" priority="273" operator="equal">
      <formula>"3-001-2214"</formula>
    </cfRule>
    <cfRule type="cellIs" dxfId="5514" priority="274" operator="equal">
      <formula>"3-001-5204"</formula>
    </cfRule>
    <cfRule type="cellIs" dxfId="5513" priority="275" operator="equal">
      <formula>"3-001-0002"</formula>
    </cfRule>
  </conditionalFormatting>
  <conditionalFormatting sqref="Q151">
    <cfRule type="cellIs" dxfId="5512" priority="272" operator="notEqual">
      <formula>$Q$150</formula>
    </cfRule>
  </conditionalFormatting>
  <conditionalFormatting sqref="S151">
    <cfRule type="cellIs" dxfId="5511" priority="271" operator="notEqual">
      <formula>$S$150</formula>
    </cfRule>
  </conditionalFormatting>
  <conditionalFormatting sqref="AS225">
    <cfRule type="expression" dxfId="5510" priority="270">
      <formula>IF(L225=AS225,1,0)</formula>
    </cfRule>
  </conditionalFormatting>
  <conditionalFormatting sqref="AS226">
    <cfRule type="expression" dxfId="5509" priority="266">
      <formula>IF(L226=AS226,1,0)</formula>
    </cfRule>
  </conditionalFormatting>
  <conditionalFormatting sqref="F196">
    <cfRule type="cellIs" dxfId="5508" priority="259" operator="equal">
      <formula>"3-001-2214"</formula>
    </cfRule>
    <cfRule type="cellIs" dxfId="5507" priority="260" operator="equal">
      <formula>"3-001-5204"</formula>
    </cfRule>
    <cfRule type="cellIs" dxfId="5506" priority="261" operator="equal">
      <formula>"3-001-0002"</formula>
    </cfRule>
  </conditionalFormatting>
  <conditionalFormatting sqref="AS196">
    <cfRule type="expression" dxfId="5505" priority="262">
      <formula>IF(L196=AS196,1,0)</formula>
    </cfRule>
  </conditionalFormatting>
  <conditionalFormatting sqref="AS204">
    <cfRule type="expression" dxfId="5504" priority="258">
      <formula>IF(L204=AS204,1,0)</formula>
    </cfRule>
  </conditionalFormatting>
  <conditionalFormatting sqref="F204">
    <cfRule type="cellIs" dxfId="5503" priority="252" operator="equal">
      <formula>"3-001-2214"</formula>
    </cfRule>
    <cfRule type="cellIs" dxfId="5502" priority="253" operator="equal">
      <formula>"3-001-5204"</formula>
    </cfRule>
    <cfRule type="cellIs" dxfId="5501" priority="254" operator="equal">
      <formula>"3-001-0002"</formula>
    </cfRule>
  </conditionalFormatting>
  <conditionalFormatting sqref="AS205">
    <cfRule type="expression" dxfId="5500" priority="251">
      <formula>IF(L205=AS205,1,0)</formula>
    </cfRule>
  </conditionalFormatting>
  <conditionalFormatting sqref="F205">
    <cfRule type="cellIs" dxfId="5499" priority="248" operator="equal">
      <formula>"3-001-2214"</formula>
    </cfRule>
    <cfRule type="cellIs" dxfId="5498" priority="249" operator="equal">
      <formula>"3-001-5204"</formula>
    </cfRule>
    <cfRule type="cellIs" dxfId="5497" priority="250" operator="equal">
      <formula>"3-001-0002"</formula>
    </cfRule>
  </conditionalFormatting>
  <conditionalFormatting sqref="F115">
    <cfRule type="cellIs" dxfId="5496" priority="244" operator="equal">
      <formula>"3-001-2214"</formula>
    </cfRule>
    <cfRule type="cellIs" dxfId="5495" priority="245" operator="equal">
      <formula>"3-001-5204"</formula>
    </cfRule>
    <cfRule type="cellIs" dxfId="5494" priority="246" operator="equal">
      <formula>"3-001-0002"</formula>
    </cfRule>
  </conditionalFormatting>
  <conditionalFormatting sqref="AS115">
    <cfRule type="expression" dxfId="5493" priority="247">
      <formula>IF(L115=AS115,1,0)</formula>
    </cfRule>
  </conditionalFormatting>
  <conditionalFormatting sqref="F114">
    <cfRule type="cellIs" dxfId="5492" priority="240" operator="equal">
      <formula>"3-001-2214"</formula>
    </cfRule>
    <cfRule type="cellIs" dxfId="5491" priority="241" operator="equal">
      <formula>"3-001-5204"</formula>
    </cfRule>
    <cfRule type="cellIs" dxfId="5490" priority="242" operator="equal">
      <formula>"3-001-0002"</formula>
    </cfRule>
  </conditionalFormatting>
  <conditionalFormatting sqref="AS114">
    <cfRule type="expression" dxfId="5489" priority="243">
      <formula>IF(L114=AS114,1,0)</formula>
    </cfRule>
  </conditionalFormatting>
  <conditionalFormatting sqref="F113">
    <cfRule type="cellIs" dxfId="5488" priority="236" operator="equal">
      <formula>"3-001-2214"</formula>
    </cfRule>
    <cfRule type="cellIs" dxfId="5487" priority="237" operator="equal">
      <formula>"3-001-5204"</formula>
    </cfRule>
    <cfRule type="cellIs" dxfId="5486" priority="238" operator="equal">
      <formula>"3-001-0002"</formula>
    </cfRule>
  </conditionalFormatting>
  <conditionalFormatting sqref="AS113">
    <cfRule type="expression" dxfId="5485" priority="239">
      <formula>IF(L113=AS113,1,0)</formula>
    </cfRule>
  </conditionalFormatting>
  <conditionalFormatting sqref="AS13">
    <cfRule type="expression" dxfId="5484" priority="235">
      <formula>IF(L13=AS13,1,0)</formula>
    </cfRule>
  </conditionalFormatting>
  <conditionalFormatting sqref="F13">
    <cfRule type="cellIs" dxfId="5483" priority="232" operator="equal">
      <formula>"3-001-2214"</formula>
    </cfRule>
    <cfRule type="cellIs" dxfId="5482" priority="233" operator="equal">
      <formula>"3-001-5204"</formula>
    </cfRule>
    <cfRule type="cellIs" dxfId="5481" priority="234" operator="equal">
      <formula>"3-001-0002"</formula>
    </cfRule>
  </conditionalFormatting>
  <conditionalFormatting sqref="AS15">
    <cfRule type="expression" dxfId="5480" priority="231">
      <formula>IF(L15=AS15,1,0)</formula>
    </cfRule>
  </conditionalFormatting>
  <conditionalFormatting sqref="F15">
    <cfRule type="cellIs" dxfId="5479" priority="228" operator="equal">
      <formula>"3-001-2214"</formula>
    </cfRule>
    <cfRule type="cellIs" dxfId="5478" priority="229" operator="equal">
      <formula>"3-001-5204"</formula>
    </cfRule>
    <cfRule type="cellIs" dxfId="5477" priority="230" operator="equal">
      <formula>"3-001-0002"</formula>
    </cfRule>
  </conditionalFormatting>
  <conditionalFormatting sqref="AS206">
    <cfRule type="expression" dxfId="5476" priority="227">
      <formula>IF(L206=AS206,1,0)</formula>
    </cfRule>
  </conditionalFormatting>
  <conditionalFormatting sqref="F206">
    <cfRule type="cellIs" dxfId="5475" priority="224" operator="equal">
      <formula>"3-001-2214"</formula>
    </cfRule>
    <cfRule type="cellIs" dxfId="5474" priority="225" operator="equal">
      <formula>"3-001-5204"</formula>
    </cfRule>
    <cfRule type="cellIs" dxfId="5473" priority="226" operator="equal">
      <formula>"3-001-0002"</formula>
    </cfRule>
  </conditionalFormatting>
  <conditionalFormatting sqref="F77">
    <cfRule type="cellIs" dxfId="5472" priority="220" operator="equal">
      <formula>"3-001-2214"</formula>
    </cfRule>
    <cfRule type="cellIs" dxfId="5471" priority="221" operator="equal">
      <formula>"3-001-5204"</formula>
    </cfRule>
    <cfRule type="cellIs" dxfId="5470" priority="222" operator="equal">
      <formula>"3-001-0002"</formula>
    </cfRule>
  </conditionalFormatting>
  <conditionalFormatting sqref="AS77">
    <cfRule type="expression" dxfId="5469" priority="223">
      <formula>IF(L77=AS77,1,0)</formula>
    </cfRule>
  </conditionalFormatting>
  <conditionalFormatting sqref="F116">
    <cfRule type="cellIs" dxfId="5468" priority="216" operator="equal">
      <formula>"3-001-2214"</formula>
    </cfRule>
    <cfRule type="cellIs" dxfId="5467" priority="217" operator="equal">
      <formula>"3-001-5204"</formula>
    </cfRule>
    <cfRule type="cellIs" dxfId="5466" priority="218" operator="equal">
      <formula>"3-001-0002"</formula>
    </cfRule>
  </conditionalFormatting>
  <conditionalFormatting sqref="AS116">
    <cfRule type="expression" dxfId="5465" priority="219">
      <formula>IF(L116=AS116,1,0)</formula>
    </cfRule>
  </conditionalFormatting>
  <conditionalFormatting sqref="F236">
    <cfRule type="cellIs" dxfId="5464" priority="204" operator="equal">
      <formula>"3-001-2214"</formula>
    </cfRule>
    <cfRule type="cellIs" dxfId="5463" priority="205" operator="equal">
      <formula>"3-001-5204"</formula>
    </cfRule>
    <cfRule type="cellIs" dxfId="5462" priority="206" operator="equal">
      <formula>"3-001-0002"</formula>
    </cfRule>
  </conditionalFormatting>
  <conditionalFormatting sqref="AS236">
    <cfRule type="expression" dxfId="5461" priority="207">
      <formula>IF(L236=AS236,1,0)</formula>
    </cfRule>
  </conditionalFormatting>
  <conditionalFormatting sqref="AS215">
    <cfRule type="expression" dxfId="5460" priority="195">
      <formula>IF(L215=AS215,1,0)</formula>
    </cfRule>
  </conditionalFormatting>
  <conditionalFormatting sqref="F215">
    <cfRule type="cellIs" dxfId="5459" priority="192" operator="equal">
      <formula>"3-001-2214"</formula>
    </cfRule>
    <cfRule type="cellIs" dxfId="5458" priority="193" operator="equal">
      <formula>"3-001-5204"</formula>
    </cfRule>
    <cfRule type="cellIs" dxfId="5457" priority="194" operator="equal">
      <formula>"3-001-0002"</formula>
    </cfRule>
  </conditionalFormatting>
  <conditionalFormatting sqref="F216">
    <cfRule type="cellIs" dxfId="5456" priority="188" operator="equal">
      <formula>"3-001-2214"</formula>
    </cfRule>
    <cfRule type="cellIs" dxfId="5455" priority="189" operator="equal">
      <formula>"3-001-5204"</formula>
    </cfRule>
    <cfRule type="cellIs" dxfId="5454" priority="190" operator="equal">
      <formula>"3-001-0002"</formula>
    </cfRule>
  </conditionalFormatting>
  <conditionalFormatting sqref="AS216">
    <cfRule type="expression" dxfId="5453" priority="191">
      <formula>IF(L216=AS216,1,0)</formula>
    </cfRule>
  </conditionalFormatting>
  <conditionalFormatting sqref="AS217">
    <cfRule type="expression" dxfId="5452" priority="187">
      <formula>IF(L217=AS217,1,0)</formula>
    </cfRule>
  </conditionalFormatting>
  <conditionalFormatting sqref="F217">
    <cfRule type="cellIs" dxfId="5451" priority="184" operator="equal">
      <formula>"3-001-2214"</formula>
    </cfRule>
    <cfRule type="cellIs" dxfId="5450" priority="185" operator="equal">
      <formula>"3-001-5204"</formula>
    </cfRule>
    <cfRule type="cellIs" dxfId="5449" priority="186" operator="equal">
      <formula>"3-001-0002"</formula>
    </cfRule>
  </conditionalFormatting>
  <conditionalFormatting sqref="AS228">
    <cfRule type="expression" dxfId="5448" priority="183">
      <formula>IF(L228=AS228,1,0)</formula>
    </cfRule>
  </conditionalFormatting>
  <conditionalFormatting sqref="F228">
    <cfRule type="cellIs" dxfId="5447" priority="180" operator="equal">
      <formula>"3-001-2214"</formula>
    </cfRule>
    <cfRule type="cellIs" dxfId="5446" priority="181" operator="equal">
      <formula>"3-001-5204"</formula>
    </cfRule>
    <cfRule type="cellIs" dxfId="5445" priority="182" operator="equal">
      <formula>"3-001-0002"</formula>
    </cfRule>
  </conditionalFormatting>
  <conditionalFormatting sqref="F229">
    <cfRule type="cellIs" dxfId="5444" priority="176" operator="equal">
      <formula>"3-001-2214"</formula>
    </cfRule>
    <cfRule type="cellIs" dxfId="5443" priority="177" operator="equal">
      <formula>"3-001-5204"</formula>
    </cfRule>
    <cfRule type="cellIs" dxfId="5442" priority="178" operator="equal">
      <formula>"3-001-0002"</formula>
    </cfRule>
  </conditionalFormatting>
  <conditionalFormatting sqref="AS229">
    <cfRule type="expression" dxfId="5441" priority="179">
      <formula>IF(L229=AS229,1,0)</formula>
    </cfRule>
  </conditionalFormatting>
  <conditionalFormatting sqref="AS237">
    <cfRule type="expression" dxfId="5440" priority="175">
      <formula>IF(L237=AS237,1,0)</formula>
    </cfRule>
  </conditionalFormatting>
  <conditionalFormatting sqref="F237">
    <cfRule type="cellIs" dxfId="5439" priority="172" operator="equal">
      <formula>"3-001-2214"</formula>
    </cfRule>
    <cfRule type="cellIs" dxfId="5438" priority="173" operator="equal">
      <formula>"3-001-5204"</formula>
    </cfRule>
    <cfRule type="cellIs" dxfId="5437" priority="174" operator="equal">
      <formula>"3-001-0002"</formula>
    </cfRule>
  </conditionalFormatting>
  <conditionalFormatting sqref="F226">
    <cfRule type="cellIs" dxfId="5436" priority="169" operator="equal">
      <formula>"3-001-2214"</formula>
    </cfRule>
    <cfRule type="cellIs" dxfId="5435" priority="170" operator="equal">
      <formula>"3-001-5204"</formula>
    </cfRule>
    <cfRule type="cellIs" dxfId="5434" priority="171" operator="equal">
      <formula>"3-001-0002"</formula>
    </cfRule>
  </conditionalFormatting>
  <conditionalFormatting sqref="F225">
    <cfRule type="cellIs" dxfId="5433" priority="166" operator="equal">
      <formula>"3-001-2214"</formula>
    </cfRule>
    <cfRule type="cellIs" dxfId="5432" priority="167" operator="equal">
      <formula>"3-001-5204"</formula>
    </cfRule>
    <cfRule type="cellIs" dxfId="5431" priority="168" operator="equal">
      <formula>"3-001-0002"</formula>
    </cfRule>
  </conditionalFormatting>
  <conditionalFormatting sqref="F231">
    <cfRule type="cellIs" dxfId="5430" priority="162" operator="equal">
      <formula>"3-001-2214"</formula>
    </cfRule>
    <cfRule type="cellIs" dxfId="5429" priority="163" operator="equal">
      <formula>"3-001-5204"</formula>
    </cfRule>
    <cfRule type="cellIs" dxfId="5428" priority="164" operator="equal">
      <formula>"3-001-0002"</formula>
    </cfRule>
  </conditionalFormatting>
  <conditionalFormatting sqref="AS231">
    <cfRule type="expression" dxfId="5427" priority="165">
      <formula>IF(L231=AS231,1,0)</formula>
    </cfRule>
  </conditionalFormatting>
  <conditionalFormatting sqref="AW151:AX151">
    <cfRule type="cellIs" dxfId="5426" priority="161" operator="notEqual">
      <formula>$AW$150</formula>
    </cfRule>
  </conditionalFormatting>
  <conditionalFormatting sqref="F78">
    <cfRule type="cellIs" dxfId="5425" priority="157" operator="equal">
      <formula>"3-001-2214"</formula>
    </cfRule>
    <cfRule type="cellIs" dxfId="5424" priority="158" operator="equal">
      <formula>"3-001-5204"</formula>
    </cfRule>
    <cfRule type="cellIs" dxfId="5423" priority="159" operator="equal">
      <formula>"3-001-0002"</formula>
    </cfRule>
  </conditionalFormatting>
  <conditionalFormatting sqref="AS78">
    <cfRule type="expression" dxfId="5422" priority="160">
      <formula>IF(L78=AS78,1,0)</formula>
    </cfRule>
  </conditionalFormatting>
  <conditionalFormatting sqref="O151">
    <cfRule type="cellIs" dxfId="5421" priority="156" operator="notEqual">
      <formula>$O$150</formula>
    </cfRule>
  </conditionalFormatting>
  <conditionalFormatting sqref="AS209">
    <cfRule type="expression" dxfId="5420" priority="155">
      <formula>IF(L209=AS209,1,0)</formula>
    </cfRule>
  </conditionalFormatting>
  <conditionalFormatting sqref="F209">
    <cfRule type="cellIs" dxfId="5419" priority="149" operator="equal">
      <formula>"3-001-2214"</formula>
    </cfRule>
    <cfRule type="cellIs" dxfId="5418" priority="150" operator="equal">
      <formula>"3-001-5204"</formula>
    </cfRule>
    <cfRule type="cellIs" dxfId="5417" priority="151" operator="equal">
      <formula>"3-001-0002"</formula>
    </cfRule>
  </conditionalFormatting>
  <conditionalFormatting sqref="AS22">
    <cfRule type="expression" dxfId="5416" priority="148">
      <formula>IF(L22=AS22,1,0)</formula>
    </cfRule>
  </conditionalFormatting>
  <conditionalFormatting sqref="F22">
    <cfRule type="cellIs" dxfId="5415" priority="145" operator="equal">
      <formula>"3-001-2214"</formula>
    </cfRule>
    <cfRule type="cellIs" dxfId="5414" priority="146" operator="equal">
      <formula>"3-001-5204"</formula>
    </cfRule>
    <cfRule type="cellIs" dxfId="5413" priority="147" operator="equal">
      <formula>"3-001-0002"</formula>
    </cfRule>
  </conditionalFormatting>
  <conditionalFormatting sqref="F230">
    <cfRule type="cellIs" dxfId="5412" priority="141" operator="equal">
      <formula>"3-001-2214"</formula>
    </cfRule>
    <cfRule type="cellIs" dxfId="5411" priority="142" operator="equal">
      <formula>"3-001-5204"</formula>
    </cfRule>
    <cfRule type="cellIs" dxfId="5410" priority="143" operator="equal">
      <formula>"3-001-0002"</formula>
    </cfRule>
  </conditionalFormatting>
  <conditionalFormatting sqref="AS230">
    <cfRule type="expression" dxfId="5409" priority="144">
      <formula>IF(L230=AS230,1,0)</formula>
    </cfRule>
  </conditionalFormatting>
  <conditionalFormatting sqref="AS26">
    <cfRule type="expression" dxfId="5408" priority="132">
      <formula>IF(L26=AS26,1,0)</formula>
    </cfRule>
  </conditionalFormatting>
  <conditionalFormatting sqref="F26">
    <cfRule type="cellIs" dxfId="5407" priority="129" operator="equal">
      <formula>"3-001-2214"</formula>
    </cfRule>
    <cfRule type="cellIs" dxfId="5406" priority="130" operator="equal">
      <formula>"3-001-5204"</formula>
    </cfRule>
    <cfRule type="cellIs" dxfId="5405" priority="131" operator="equal">
      <formula>"3-001-0002"</formula>
    </cfRule>
  </conditionalFormatting>
  <conditionalFormatting sqref="AS241">
    <cfRule type="expression" dxfId="5404" priority="128">
      <formula>IF(L241=AS241,1,0)</formula>
    </cfRule>
  </conditionalFormatting>
  <conditionalFormatting sqref="F241">
    <cfRule type="cellIs" dxfId="5403" priority="125" operator="equal">
      <formula>"3-001-2214"</formula>
    </cfRule>
    <cfRule type="cellIs" dxfId="5402" priority="126" operator="equal">
      <formula>"3-001-5204"</formula>
    </cfRule>
    <cfRule type="cellIs" dxfId="5401" priority="127" operator="equal">
      <formula>"3-001-0002"</formula>
    </cfRule>
  </conditionalFormatting>
  <conditionalFormatting sqref="AS239">
    <cfRule type="expression" dxfId="5400" priority="124">
      <formula>IF(L239=AS239,1,0)</formula>
    </cfRule>
  </conditionalFormatting>
  <conditionalFormatting sqref="F239">
    <cfRule type="cellIs" dxfId="5399" priority="121" operator="equal">
      <formula>"3-001-2214"</formula>
    </cfRule>
    <cfRule type="cellIs" dxfId="5398" priority="122" operator="equal">
      <formula>"3-001-5204"</formula>
    </cfRule>
    <cfRule type="cellIs" dxfId="5397" priority="123" operator="equal">
      <formula>"3-001-0002"</formula>
    </cfRule>
  </conditionalFormatting>
  <conditionalFormatting sqref="AS240">
    <cfRule type="expression" dxfId="5396" priority="120">
      <formula>IF(L240=AS240,1,0)</formula>
    </cfRule>
  </conditionalFormatting>
  <conditionalFormatting sqref="F240">
    <cfRule type="cellIs" dxfId="5395" priority="117" operator="equal">
      <formula>"3-001-2214"</formula>
    </cfRule>
    <cfRule type="cellIs" dxfId="5394" priority="118" operator="equal">
      <formula>"3-001-5204"</formula>
    </cfRule>
    <cfRule type="cellIs" dxfId="5393" priority="119" operator="equal">
      <formula>"3-001-0002"</formula>
    </cfRule>
  </conditionalFormatting>
  <conditionalFormatting sqref="F233">
    <cfRule type="cellIs" dxfId="5392" priority="113" operator="equal">
      <formula>"3-001-2214"</formula>
    </cfRule>
    <cfRule type="cellIs" dxfId="5391" priority="114" operator="equal">
      <formula>"3-001-5204"</formula>
    </cfRule>
    <cfRule type="cellIs" dxfId="5390" priority="115" operator="equal">
      <formula>"3-001-0002"</formula>
    </cfRule>
  </conditionalFormatting>
  <conditionalFormatting sqref="AS233">
    <cfRule type="expression" dxfId="5389" priority="116">
      <formula>IF(L233=AS233,1,0)</formula>
    </cfRule>
  </conditionalFormatting>
  <conditionalFormatting sqref="F234">
    <cfRule type="cellIs" dxfId="5388" priority="109" operator="equal">
      <formula>"3-001-2214"</formula>
    </cfRule>
    <cfRule type="cellIs" dxfId="5387" priority="110" operator="equal">
      <formula>"3-001-5204"</formula>
    </cfRule>
    <cfRule type="cellIs" dxfId="5386" priority="111" operator="equal">
      <formula>"3-001-0002"</formula>
    </cfRule>
  </conditionalFormatting>
  <conditionalFormatting sqref="AS234">
    <cfRule type="expression" dxfId="5385" priority="112">
      <formula>IF(L234=AS234,1,0)</formula>
    </cfRule>
  </conditionalFormatting>
  <conditionalFormatting sqref="F232">
    <cfRule type="cellIs" dxfId="5384" priority="105" operator="equal">
      <formula>"3-001-2214"</formula>
    </cfRule>
    <cfRule type="cellIs" dxfId="5383" priority="106" operator="equal">
      <formula>"3-001-5204"</formula>
    </cfRule>
    <cfRule type="cellIs" dxfId="5382" priority="107" operator="equal">
      <formula>"3-001-0002"</formula>
    </cfRule>
  </conditionalFormatting>
  <conditionalFormatting sqref="AS232">
    <cfRule type="expression" dxfId="5381" priority="108">
      <formula>IF(L232=AS232,1,0)</formula>
    </cfRule>
  </conditionalFormatting>
  <conditionalFormatting sqref="O246">
    <cfRule type="cellIs" dxfId="5380" priority="100" operator="notEqual">
      <formula>$O$244</formula>
    </cfRule>
  </conditionalFormatting>
  <conditionalFormatting sqref="AS25">
    <cfRule type="expression" dxfId="5379" priority="99">
      <formula>IF(L25=AS25,1,0)</formula>
    </cfRule>
  </conditionalFormatting>
  <conditionalFormatting sqref="F25">
    <cfRule type="cellIs" dxfId="5378" priority="96" operator="equal">
      <formula>"3-001-2214"</formula>
    </cfRule>
    <cfRule type="cellIs" dxfId="5377" priority="97" operator="equal">
      <formula>"3-001-5204"</formula>
    </cfRule>
    <cfRule type="cellIs" dxfId="5376" priority="98" operator="equal">
      <formula>"3-001-0002"</formula>
    </cfRule>
  </conditionalFormatting>
  <conditionalFormatting sqref="AS211">
    <cfRule type="expression" dxfId="5375" priority="91">
      <formula>IF(L211=AS211,1,0)</formula>
    </cfRule>
  </conditionalFormatting>
  <conditionalFormatting sqref="F211">
    <cfRule type="cellIs" dxfId="5374" priority="88" operator="equal">
      <formula>"3-001-2214"</formula>
    </cfRule>
    <cfRule type="cellIs" dxfId="5373" priority="89" operator="equal">
      <formula>"3-001-5204"</formula>
    </cfRule>
    <cfRule type="cellIs" dxfId="5372" priority="90" operator="equal">
      <formula>"3-001-0002"</formula>
    </cfRule>
  </conditionalFormatting>
  <conditionalFormatting sqref="F214">
    <cfRule type="cellIs" dxfId="5371" priority="80" operator="equal">
      <formula>"3-001-2214"</formula>
    </cfRule>
    <cfRule type="cellIs" dxfId="5370" priority="81" operator="equal">
      <formula>"3-001-5204"</formula>
    </cfRule>
    <cfRule type="cellIs" dxfId="5369" priority="82" operator="equal">
      <formula>"3-001-0002"</formula>
    </cfRule>
  </conditionalFormatting>
  <conditionalFormatting sqref="AS214">
    <cfRule type="expression" dxfId="5368" priority="83">
      <formula>IF(L214=AS214,1,0)</formula>
    </cfRule>
  </conditionalFormatting>
  <conditionalFormatting sqref="F212">
    <cfRule type="cellIs" dxfId="5367" priority="76" operator="equal">
      <formula>"3-001-2214"</formula>
    </cfRule>
    <cfRule type="cellIs" dxfId="5366" priority="77" operator="equal">
      <formula>"3-001-5204"</formula>
    </cfRule>
    <cfRule type="cellIs" dxfId="5365" priority="78" operator="equal">
      <formula>"3-001-0002"</formula>
    </cfRule>
  </conditionalFormatting>
  <conditionalFormatting sqref="AS212">
    <cfRule type="expression" dxfId="5364" priority="79">
      <formula>IF(L212=AS212,1,0)</formula>
    </cfRule>
  </conditionalFormatting>
  <conditionalFormatting sqref="F213">
    <cfRule type="cellIs" dxfId="5363" priority="72" operator="equal">
      <formula>"3-001-2214"</formula>
    </cfRule>
    <cfRule type="cellIs" dxfId="5362" priority="73" operator="equal">
      <formula>"3-001-5204"</formula>
    </cfRule>
    <cfRule type="cellIs" dxfId="5361" priority="74" operator="equal">
      <formula>"3-001-0002"</formula>
    </cfRule>
  </conditionalFormatting>
  <conditionalFormatting sqref="AS213">
    <cfRule type="expression" dxfId="5360" priority="75">
      <formula>IF(L213=AS213,1,0)</formula>
    </cfRule>
  </conditionalFormatting>
  <conditionalFormatting sqref="AS24">
    <cfRule type="expression" dxfId="5359" priority="71">
      <formula>IF(L24=AS24,1,0)</formula>
    </cfRule>
  </conditionalFormatting>
  <conditionalFormatting sqref="F24">
    <cfRule type="cellIs" dxfId="5358" priority="68" operator="equal">
      <formula>"3-001-2214"</formula>
    </cfRule>
    <cfRule type="cellIs" dxfId="5357" priority="69" operator="equal">
      <formula>"3-001-5204"</formula>
    </cfRule>
    <cfRule type="cellIs" dxfId="5356" priority="70" operator="equal">
      <formula>"3-001-0002"</formula>
    </cfRule>
  </conditionalFormatting>
  <conditionalFormatting sqref="AS23">
    <cfRule type="expression" dxfId="5355" priority="63">
      <formula>IF(L23=AS23,1,0)</formula>
    </cfRule>
  </conditionalFormatting>
  <conditionalFormatting sqref="F23">
    <cfRule type="cellIs" dxfId="5354" priority="60" operator="equal">
      <formula>"3-001-2214"</formula>
    </cfRule>
    <cfRule type="cellIs" dxfId="5353" priority="61" operator="equal">
      <formula>"3-001-5204"</formula>
    </cfRule>
    <cfRule type="cellIs" dxfId="5352" priority="62" operator="equal">
      <formula>"3-001-0002"</formula>
    </cfRule>
  </conditionalFormatting>
  <conditionalFormatting sqref="F79">
    <cfRule type="cellIs" dxfId="5351" priority="56" operator="equal">
      <formula>"3-001-2214"</formula>
    </cfRule>
    <cfRule type="cellIs" dxfId="5350" priority="57" operator="equal">
      <formula>"3-001-5204"</formula>
    </cfRule>
    <cfRule type="cellIs" dxfId="5349" priority="58" operator="equal">
      <formula>"3-001-0002"</formula>
    </cfRule>
  </conditionalFormatting>
  <conditionalFormatting sqref="AS79">
    <cfRule type="expression" dxfId="5348" priority="59">
      <formula>IF(L79=AS79,1,0)</formula>
    </cfRule>
  </conditionalFormatting>
  <conditionalFormatting sqref="F80">
    <cfRule type="cellIs" dxfId="5347" priority="52" operator="equal">
      <formula>"3-001-2214"</formula>
    </cfRule>
    <cfRule type="cellIs" dxfId="5346" priority="53" operator="equal">
      <formula>"3-001-5204"</formula>
    </cfRule>
    <cfRule type="cellIs" dxfId="5345" priority="54" operator="equal">
      <formula>"3-001-0002"</formula>
    </cfRule>
  </conditionalFormatting>
  <conditionalFormatting sqref="AS80">
    <cfRule type="expression" dxfId="5344" priority="55">
      <formula>IF(L80=AS80,1,0)</formula>
    </cfRule>
  </conditionalFormatting>
  <conditionalFormatting sqref="F81">
    <cfRule type="cellIs" dxfId="5343" priority="48" operator="equal">
      <formula>"3-001-2214"</formula>
    </cfRule>
    <cfRule type="cellIs" dxfId="5342" priority="49" operator="equal">
      <formula>"3-001-5204"</formula>
    </cfRule>
    <cfRule type="cellIs" dxfId="5341" priority="50" operator="equal">
      <formula>"3-001-0002"</formula>
    </cfRule>
  </conditionalFormatting>
  <conditionalFormatting sqref="AS81">
    <cfRule type="expression" dxfId="5340" priority="51">
      <formula>IF(L81=AS81,1,0)</formula>
    </cfRule>
  </conditionalFormatting>
  <conditionalFormatting sqref="F118">
    <cfRule type="cellIs" dxfId="5339" priority="44" operator="equal">
      <formula>"3-001-2214"</formula>
    </cfRule>
    <cfRule type="cellIs" dxfId="5338" priority="45" operator="equal">
      <formula>"3-001-5204"</formula>
    </cfRule>
    <cfRule type="cellIs" dxfId="5337" priority="46" operator="equal">
      <formula>"3-001-0002"</formula>
    </cfRule>
  </conditionalFormatting>
  <conditionalFormatting sqref="AS118">
    <cfRule type="expression" dxfId="5336" priority="47">
      <formula>IF(L118=AS118,1,0)</formula>
    </cfRule>
  </conditionalFormatting>
  <conditionalFormatting sqref="F117">
    <cfRule type="cellIs" dxfId="5335" priority="40" operator="equal">
      <formula>"3-001-2214"</formula>
    </cfRule>
    <cfRule type="cellIs" dxfId="5334" priority="41" operator="equal">
      <formula>"3-001-5204"</formula>
    </cfRule>
    <cfRule type="cellIs" dxfId="5333" priority="42" operator="equal">
      <formula>"3-001-0002"</formula>
    </cfRule>
  </conditionalFormatting>
  <conditionalFormatting sqref="AS117">
    <cfRule type="expression" dxfId="5332" priority="43">
      <formula>IF(L117=AS117,1,0)</formula>
    </cfRule>
  </conditionalFormatting>
  <conditionalFormatting sqref="F119">
    <cfRule type="cellIs" dxfId="5331" priority="36" operator="equal">
      <formula>"3-001-2214"</formula>
    </cfRule>
    <cfRule type="cellIs" dxfId="5330" priority="37" operator="equal">
      <formula>"3-001-5204"</formula>
    </cfRule>
    <cfRule type="cellIs" dxfId="5329" priority="38" operator="equal">
      <formula>"3-001-0002"</formula>
    </cfRule>
  </conditionalFormatting>
  <conditionalFormatting sqref="AS119">
    <cfRule type="expression" dxfId="5328" priority="39">
      <formula>IF(L119=AS119,1,0)</formula>
    </cfRule>
  </conditionalFormatting>
  <conditionalFormatting sqref="F120">
    <cfRule type="cellIs" dxfId="5327" priority="32" operator="equal">
      <formula>"3-001-2214"</formula>
    </cfRule>
    <cfRule type="cellIs" dxfId="5326" priority="33" operator="equal">
      <formula>"3-001-5204"</formula>
    </cfRule>
    <cfRule type="cellIs" dxfId="5325" priority="34" operator="equal">
      <formula>"3-001-0002"</formula>
    </cfRule>
  </conditionalFormatting>
  <conditionalFormatting sqref="AS120">
    <cfRule type="expression" dxfId="5324" priority="35">
      <formula>IF(L120=AS120,1,0)</formula>
    </cfRule>
  </conditionalFormatting>
  <conditionalFormatting sqref="F121">
    <cfRule type="cellIs" dxfId="5323" priority="28" operator="equal">
      <formula>"3-001-2214"</formula>
    </cfRule>
    <cfRule type="cellIs" dxfId="5322" priority="29" operator="equal">
      <formula>"3-001-5204"</formula>
    </cfRule>
    <cfRule type="cellIs" dxfId="5321" priority="30" operator="equal">
      <formula>"3-001-0002"</formula>
    </cfRule>
  </conditionalFormatting>
  <conditionalFormatting sqref="AS121">
    <cfRule type="expression" dxfId="5320" priority="31">
      <formula>IF(L121=AS121,1,0)</formula>
    </cfRule>
  </conditionalFormatting>
  <conditionalFormatting sqref="F122">
    <cfRule type="cellIs" dxfId="5319" priority="24" operator="equal">
      <formula>"3-001-2214"</formula>
    </cfRule>
    <cfRule type="cellIs" dxfId="5318" priority="25" operator="equal">
      <formula>"3-001-5204"</formula>
    </cfRule>
    <cfRule type="cellIs" dxfId="5317" priority="26" operator="equal">
      <formula>"3-001-0002"</formula>
    </cfRule>
  </conditionalFormatting>
  <conditionalFormatting sqref="AS122">
    <cfRule type="expression" dxfId="5316" priority="27">
      <formula>IF(L122=AS122,1,0)</formula>
    </cfRule>
  </conditionalFormatting>
  <conditionalFormatting sqref="AS186">
    <cfRule type="expression" dxfId="5315" priority="23">
      <formula>IF(L186=AS186,1,0)</formula>
    </cfRule>
  </conditionalFormatting>
  <conditionalFormatting sqref="F186">
    <cfRule type="cellIs" dxfId="5314" priority="17" operator="equal">
      <formula>"3-001-2214"</formula>
    </cfRule>
    <cfRule type="cellIs" dxfId="5313" priority="18" operator="equal">
      <formula>"3-001-5204"</formula>
    </cfRule>
    <cfRule type="cellIs" dxfId="5312" priority="19" operator="equal">
      <formula>"3-001-0002"</formula>
    </cfRule>
  </conditionalFormatting>
  <conditionalFormatting sqref="AS227">
    <cfRule type="expression" dxfId="5311" priority="16">
      <formula>IF(L227=AS227,1,0)</formula>
    </cfRule>
  </conditionalFormatting>
  <conditionalFormatting sqref="F227">
    <cfRule type="cellIs" dxfId="5310" priority="13" operator="equal">
      <formula>"3-001-2214"</formula>
    </cfRule>
    <cfRule type="cellIs" dxfId="5309" priority="14" operator="equal">
      <formula>"3-001-5204"</formula>
    </cfRule>
    <cfRule type="cellIs" dxfId="5308" priority="15" operator="equal">
      <formula>"3-001-0002"</formula>
    </cfRule>
  </conditionalFormatting>
  <conditionalFormatting sqref="AS185">
    <cfRule type="expression" dxfId="5307" priority="12">
      <formula>IF(L185=AS185,1,0)</formula>
    </cfRule>
  </conditionalFormatting>
  <conditionalFormatting sqref="F185">
    <cfRule type="cellIs" dxfId="5306" priority="9" operator="equal">
      <formula>"3-001-2214"</formula>
    </cfRule>
    <cfRule type="cellIs" dxfId="5305" priority="10" operator="equal">
      <formula>"3-001-5204"</formula>
    </cfRule>
    <cfRule type="cellIs" dxfId="5304" priority="11" operator="equal">
      <formula>"3-001-0002"</formula>
    </cfRule>
  </conditionalFormatting>
  <conditionalFormatting sqref="F201">
    <cfRule type="cellIs" dxfId="5303" priority="5" operator="equal">
      <formula>"3-001-2214"</formula>
    </cfRule>
    <cfRule type="cellIs" dxfId="5302" priority="6" operator="equal">
      <formula>"3-001-5204"</formula>
    </cfRule>
    <cfRule type="cellIs" dxfId="5301" priority="7" operator="equal">
      <formula>"3-001-0002"</formula>
    </cfRule>
  </conditionalFormatting>
  <conditionalFormatting sqref="AS201">
    <cfRule type="expression" dxfId="5300" priority="8">
      <formula>IF(L201=AS201,1,0)</formula>
    </cfRule>
  </conditionalFormatting>
  <conditionalFormatting sqref="F235">
    <cfRule type="cellIs" dxfId="5299" priority="1" operator="equal">
      <formula>"3-001-2214"</formula>
    </cfRule>
    <cfRule type="cellIs" dxfId="5298" priority="2" operator="equal">
      <formula>"3-001-5204"</formula>
    </cfRule>
    <cfRule type="cellIs" dxfId="5297" priority="3" operator="equal">
      <formula>"3-001-0002"</formula>
    </cfRule>
  </conditionalFormatting>
  <conditionalFormatting sqref="AS235">
    <cfRule type="expression" dxfId="5296" priority="4">
      <formula>IF(L235=AS235,1,0)</formula>
    </cfRule>
  </conditionalFormatting>
  <printOptions horizontalCentered="1"/>
  <pageMargins left="0.23622047244094491" right="0.23622047244094491" top="0.35433070866141736" bottom="0.15748031496062992" header="0.31496062992125984" footer="0.31496062992125984"/>
  <pageSetup paperSize="9" scale="10" orientation="landscape" horizontalDpi="4294967295" verticalDpi="4294967295" r:id="rId1"/>
  <headerFooter alignWithMargins="0"/>
  <legacyDrawing r:id="rId2"/>
  <extLst>
    <ext xmlns:x14="http://schemas.microsoft.com/office/spreadsheetml/2009/9/main" uri="{78C0D931-6437-407d-A8EE-F0AAD7539E65}">
      <x14:conditionalFormattings>
        <x14:conditionalFormatting xmlns:xm="http://schemas.microsoft.com/office/excel/2006/main">
          <x14:cfRule type="expression" priority="324" id="{AD1B7214-56E7-4673-8030-C29E31F15AD2}">
            <xm:f>IF('добавятся в 2021'!J119='добавятся в 2021'!AP119,1,0)</xm:f>
            <x14:dxf>
              <fill>
                <patternFill>
                  <bgColor rgb="FF00B050"/>
                </patternFill>
              </fill>
            </x14:dxf>
          </x14:cfRule>
          <xm:sqref>AS144:AS149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6">
    <tabColor rgb="FF66FF66"/>
    <pageSetUpPr fitToPage="1"/>
  </sheetPr>
  <dimension ref="A1:R43"/>
  <sheetViews>
    <sheetView view="pageBreakPreview" topLeftCell="A16" zoomScale="55" zoomScaleNormal="75" zoomScaleSheetLayoutView="55" zoomScalePageLayoutView="85" workbookViewId="0">
      <selection activeCell="G31" sqref="G31"/>
    </sheetView>
  </sheetViews>
  <sheetFormatPr defaultRowHeight="24" customHeight="1"/>
  <cols>
    <col min="1" max="1" width="22.85546875" customWidth="1"/>
    <col min="2" max="2" width="19.140625" customWidth="1"/>
    <col min="3" max="3" width="37.5703125" customWidth="1"/>
    <col min="4" max="4" width="12.5703125" customWidth="1"/>
    <col min="5" max="5" width="17.5703125" customWidth="1"/>
    <col min="6" max="6" width="101.42578125" customWidth="1"/>
    <col min="7" max="7" width="23.42578125" customWidth="1"/>
    <col min="8" max="8" width="23.42578125" hidden="1" customWidth="1"/>
    <col min="9" max="9" width="22.28515625" customWidth="1"/>
    <col min="10" max="10" width="25.140625" customWidth="1"/>
    <col min="11" max="11" width="180.7109375" style="756" customWidth="1"/>
  </cols>
  <sheetData>
    <row r="1" spans="1:18" s="755" customFormat="1" ht="44.25" customHeight="1">
      <c r="A1" s="753" t="s">
        <v>475</v>
      </c>
      <c r="B1" s="977"/>
      <c r="C1" s="977"/>
      <c r="D1" s="977"/>
      <c r="E1" s="978"/>
      <c r="F1" s="978"/>
      <c r="G1" s="978"/>
      <c r="H1" s="978"/>
      <c r="I1" s="978"/>
      <c r="J1" s="978"/>
      <c r="K1" s="159"/>
    </row>
    <row r="2" spans="1:18" s="755" customFormat="1" ht="33" customHeight="1">
      <c r="A2" s="757" t="s">
        <v>77</v>
      </c>
      <c r="B2" s="977"/>
      <c r="C2" s="977"/>
      <c r="D2" s="977"/>
      <c r="E2" s="978"/>
      <c r="F2" s="978"/>
      <c r="G2" s="978"/>
      <c r="H2" s="978"/>
      <c r="I2" s="978"/>
      <c r="J2" s="978"/>
      <c r="K2" s="159"/>
    </row>
    <row r="3" spans="1:18" s="755" customFormat="1" ht="37.5" customHeight="1">
      <c r="A3" s="757" t="s">
        <v>476</v>
      </c>
      <c r="B3" s="977"/>
      <c r="C3" s="977"/>
      <c r="D3" s="977"/>
      <c r="E3" s="978"/>
      <c r="F3" s="978"/>
      <c r="G3" s="978"/>
      <c r="H3" s="978"/>
      <c r="I3" s="978"/>
      <c r="J3" s="978"/>
      <c r="K3" s="159"/>
    </row>
    <row r="4" spans="1:18" s="755" customFormat="1" ht="60.75" customHeight="1">
      <c r="A4" s="757" t="s">
        <v>106</v>
      </c>
      <c r="B4" s="977"/>
      <c r="C4" s="977"/>
      <c r="D4" s="977"/>
      <c r="E4" s="978"/>
      <c r="F4" s="978"/>
      <c r="G4" s="978"/>
      <c r="H4" s="978"/>
      <c r="I4" s="978"/>
      <c r="J4" s="978"/>
      <c r="K4" s="159"/>
    </row>
    <row r="5" spans="1:18" s="755" customFormat="1" ht="42" customHeight="1">
      <c r="A5" s="757" t="s">
        <v>437</v>
      </c>
      <c r="B5" s="977"/>
      <c r="C5" s="977"/>
      <c r="D5" s="977"/>
      <c r="E5" s="978"/>
      <c r="F5" s="978"/>
      <c r="G5" s="978"/>
      <c r="H5" s="978"/>
      <c r="I5" s="978"/>
      <c r="J5" s="978"/>
      <c r="K5" s="159"/>
    </row>
    <row r="6" spans="1:18" ht="24" customHeight="1">
      <c r="A6" s="979"/>
      <c r="B6" s="979"/>
      <c r="C6" s="979"/>
      <c r="D6" s="980"/>
      <c r="E6" s="980"/>
      <c r="F6" s="980"/>
      <c r="G6" s="980"/>
      <c r="H6" s="980"/>
      <c r="I6" s="980"/>
      <c r="J6" s="980"/>
      <c r="K6" s="159"/>
    </row>
    <row r="7" spans="1:18" ht="69" customHeight="1">
      <c r="A7" s="1510" t="s">
        <v>434</v>
      </c>
      <c r="B7" s="1510"/>
      <c r="C7" s="1510"/>
      <c r="D7" s="1510"/>
      <c r="E7" s="1510"/>
      <c r="F7" s="1510"/>
      <c r="G7" s="1510"/>
      <c r="H7" s="1510"/>
      <c r="I7" s="1510"/>
      <c r="J7" s="1510"/>
      <c r="K7" s="1510"/>
    </row>
    <row r="8" spans="1:18" ht="24" customHeight="1">
      <c r="A8" s="980"/>
      <c r="B8" s="980"/>
      <c r="C8" s="980"/>
      <c r="D8" s="980"/>
      <c r="E8" s="980"/>
      <c r="F8" s="980"/>
      <c r="G8" s="980"/>
      <c r="H8" s="980"/>
      <c r="I8" s="980"/>
      <c r="J8" s="980"/>
      <c r="K8" s="159"/>
    </row>
    <row r="9" spans="1:18" s="989" customFormat="1" ht="51" customHeight="1">
      <c r="A9" s="985" t="s">
        <v>1</v>
      </c>
      <c r="B9" s="985" t="s">
        <v>2</v>
      </c>
      <c r="C9" s="985" t="s">
        <v>3</v>
      </c>
      <c r="D9" s="985" t="s">
        <v>4</v>
      </c>
      <c r="E9" s="985" t="s">
        <v>5</v>
      </c>
      <c r="F9" s="985" t="s">
        <v>6</v>
      </c>
      <c r="G9" s="985" t="s">
        <v>82</v>
      </c>
      <c r="H9" s="985"/>
      <c r="I9" s="985" t="s">
        <v>83</v>
      </c>
      <c r="J9" s="985" t="s">
        <v>84</v>
      </c>
      <c r="K9" s="985" t="s">
        <v>85</v>
      </c>
      <c r="L9" s="990"/>
    </row>
    <row r="10" spans="1:18" s="989" customFormat="1" ht="24" customHeight="1">
      <c r="A10" s="1506" t="s">
        <v>505</v>
      </c>
      <c r="B10" s="1506"/>
      <c r="C10" s="1506"/>
      <c r="D10" s="1506"/>
      <c r="E10" s="1506"/>
      <c r="F10" s="1506"/>
      <c r="G10" s="1506"/>
      <c r="H10" s="1506"/>
      <c r="I10" s="1506"/>
      <c r="J10" s="1506"/>
      <c r="K10" s="1506"/>
      <c r="L10" s="990"/>
      <c r="M10" s="990"/>
      <c r="N10" s="990"/>
      <c r="O10" s="990"/>
      <c r="P10" s="990"/>
      <c r="Q10" s="990"/>
      <c r="R10" s="990"/>
    </row>
    <row r="11" spans="1:18" s="991" customFormat="1" ht="70.5" customHeight="1">
      <c r="A11" s="984" t="s">
        <v>7</v>
      </c>
      <c r="B11" s="985">
        <v>4</v>
      </c>
      <c r="C11" s="984" t="s">
        <v>69</v>
      </c>
      <c r="D11" s="984">
        <v>111</v>
      </c>
      <c r="E11" s="984">
        <v>211</v>
      </c>
      <c r="F11" s="146" t="s">
        <v>8</v>
      </c>
      <c r="G11" s="764">
        <f>23282695.74</f>
        <v>23282695.739999998</v>
      </c>
      <c r="H11" s="202"/>
      <c r="I11" s="202">
        <f>-I12</f>
        <v>-236972.16</v>
      </c>
      <c r="J11" s="764">
        <f>G11+I11</f>
        <v>23045723.579999998</v>
      </c>
      <c r="K11" s="1517" t="s">
        <v>515</v>
      </c>
    </row>
    <row r="12" spans="1:18" s="991" customFormat="1" ht="70.5" customHeight="1">
      <c r="A12" s="984" t="s">
        <v>7</v>
      </c>
      <c r="B12" s="985">
        <v>4</v>
      </c>
      <c r="C12" s="984" t="s">
        <v>477</v>
      </c>
      <c r="D12" s="984">
        <v>111</v>
      </c>
      <c r="E12" s="984">
        <v>211</v>
      </c>
      <c r="F12" s="146" t="s">
        <v>8</v>
      </c>
      <c r="G12" s="764">
        <v>0</v>
      </c>
      <c r="H12" s="202"/>
      <c r="I12" s="202">
        <v>236972.16</v>
      </c>
      <c r="J12" s="764">
        <f>G12+I12</f>
        <v>236972.16</v>
      </c>
      <c r="K12" s="1518"/>
    </row>
    <row r="13" spans="1:18" s="992" customFormat="1" ht="70.5" customHeight="1">
      <c r="A13" s="984" t="s">
        <v>7</v>
      </c>
      <c r="B13" s="985">
        <v>4</v>
      </c>
      <c r="C13" s="984" t="s">
        <v>69</v>
      </c>
      <c r="D13" s="984">
        <v>119</v>
      </c>
      <c r="E13" s="984">
        <v>213</v>
      </c>
      <c r="F13" s="146" t="s">
        <v>10</v>
      </c>
      <c r="G13" s="764">
        <f>6926770.57</f>
        <v>6926770.5700000003</v>
      </c>
      <c r="H13" s="202"/>
      <c r="I13" s="202">
        <v>-321565.58</v>
      </c>
      <c r="J13" s="764">
        <f t="shared" ref="J13" si="0">G13+I13</f>
        <v>6605204.9900000002</v>
      </c>
      <c r="K13" s="1518"/>
    </row>
    <row r="14" spans="1:18" s="992" customFormat="1" ht="70.5" customHeight="1">
      <c r="A14" s="984" t="s">
        <v>7</v>
      </c>
      <c r="B14" s="985">
        <v>4</v>
      </c>
      <c r="C14" s="984" t="s">
        <v>477</v>
      </c>
      <c r="D14" s="984">
        <v>119</v>
      </c>
      <c r="E14" s="984">
        <v>213</v>
      </c>
      <c r="F14" s="146" t="s">
        <v>10</v>
      </c>
      <c r="G14" s="764">
        <v>0</v>
      </c>
      <c r="H14" s="202"/>
      <c r="I14" s="202">
        <v>71565.58</v>
      </c>
      <c r="J14" s="764">
        <f>G14+I14</f>
        <v>71565.58</v>
      </c>
      <c r="K14" s="1519"/>
    </row>
    <row r="15" spans="1:18" s="989" customFormat="1" ht="60.75">
      <c r="A15" s="984" t="s">
        <v>7</v>
      </c>
      <c r="B15" s="985">
        <v>4</v>
      </c>
      <c r="C15" s="984" t="s">
        <v>71</v>
      </c>
      <c r="D15" s="984">
        <v>119</v>
      </c>
      <c r="E15" s="984">
        <v>266</v>
      </c>
      <c r="F15" s="146" t="s">
        <v>514</v>
      </c>
      <c r="G15" s="764">
        <v>0</v>
      </c>
      <c r="H15" s="202"/>
      <c r="I15" s="202">
        <v>250000</v>
      </c>
      <c r="J15" s="764">
        <f>G15+I15</f>
        <v>250000</v>
      </c>
      <c r="K15" s="993" t="s">
        <v>516</v>
      </c>
    </row>
    <row r="16" spans="1:18" s="989" customFormat="1" ht="81">
      <c r="A16" s="999" t="s">
        <v>7</v>
      </c>
      <c r="B16" s="1000">
        <v>4</v>
      </c>
      <c r="C16" s="999" t="s">
        <v>71</v>
      </c>
      <c r="D16" s="999">
        <v>111</v>
      </c>
      <c r="E16" s="999">
        <v>211</v>
      </c>
      <c r="F16" s="146" t="s">
        <v>512</v>
      </c>
      <c r="G16" s="764">
        <v>101000</v>
      </c>
      <c r="H16" s="202"/>
      <c r="I16" s="202">
        <v>-6000</v>
      </c>
      <c r="J16" s="764">
        <f t="shared" ref="J16:J20" si="1">G16+I16</f>
        <v>95000</v>
      </c>
      <c r="K16" s="1517" t="s">
        <v>529</v>
      </c>
    </row>
    <row r="17" spans="1:18" s="989" customFormat="1" ht="40.5">
      <c r="A17" s="999" t="s">
        <v>7</v>
      </c>
      <c r="B17" s="1000">
        <v>4</v>
      </c>
      <c r="C17" s="999" t="s">
        <v>71</v>
      </c>
      <c r="D17" s="999">
        <v>112</v>
      </c>
      <c r="E17" s="999">
        <v>266</v>
      </c>
      <c r="F17" s="146" t="s">
        <v>403</v>
      </c>
      <c r="G17" s="764">
        <v>156570.48000000001</v>
      </c>
      <c r="H17" s="202"/>
      <c r="I17" s="202">
        <v>-156570.48000000001</v>
      </c>
      <c r="J17" s="764">
        <f t="shared" si="1"/>
        <v>0</v>
      </c>
      <c r="K17" s="1518"/>
    </row>
    <row r="18" spans="1:18" s="989" customFormat="1" ht="60.75">
      <c r="A18" s="999" t="s">
        <v>7</v>
      </c>
      <c r="B18" s="1000">
        <v>4</v>
      </c>
      <c r="C18" s="999" t="s">
        <v>71</v>
      </c>
      <c r="D18" s="999">
        <v>111</v>
      </c>
      <c r="E18" s="999">
        <v>266</v>
      </c>
      <c r="F18" s="146" t="s">
        <v>537</v>
      </c>
      <c r="G18" s="764">
        <v>46200</v>
      </c>
      <c r="H18" s="202"/>
      <c r="I18" s="202">
        <v>162570.48000000001</v>
      </c>
      <c r="J18" s="764">
        <f t="shared" si="1"/>
        <v>208770.48</v>
      </c>
      <c r="K18" s="1518"/>
    </row>
    <row r="19" spans="1:18" s="989" customFormat="1" ht="42" customHeight="1">
      <c r="A19" s="1001" t="s">
        <v>7</v>
      </c>
      <c r="B19" s="1003">
        <v>4</v>
      </c>
      <c r="C19" s="1001" t="s">
        <v>71</v>
      </c>
      <c r="D19" s="1001">
        <v>247</v>
      </c>
      <c r="E19" s="1001">
        <v>223</v>
      </c>
      <c r="F19" s="146" t="s">
        <v>13</v>
      </c>
      <c r="G19" s="764">
        <v>965221.1</v>
      </c>
      <c r="H19" s="202"/>
      <c r="I19" s="202">
        <v>-965221.1</v>
      </c>
      <c r="J19" s="764">
        <f t="shared" si="1"/>
        <v>0</v>
      </c>
      <c r="K19" s="1517" t="s">
        <v>546</v>
      </c>
    </row>
    <row r="20" spans="1:18" s="989" customFormat="1" ht="42" customHeight="1">
      <c r="A20" s="1001" t="s">
        <v>7</v>
      </c>
      <c r="B20" s="1003">
        <v>4</v>
      </c>
      <c r="C20" s="1001" t="s">
        <v>71</v>
      </c>
      <c r="D20" s="1001">
        <v>244</v>
      </c>
      <c r="E20" s="1001">
        <v>223</v>
      </c>
      <c r="F20" s="146" t="s">
        <v>13</v>
      </c>
      <c r="G20" s="764">
        <v>79285.710000000006</v>
      </c>
      <c r="H20" s="202"/>
      <c r="I20" s="202">
        <v>965221.1</v>
      </c>
      <c r="J20" s="764">
        <f t="shared" si="1"/>
        <v>1044506.81</v>
      </c>
      <c r="K20" s="1519"/>
    </row>
    <row r="21" spans="1:18" s="763" customFormat="1" ht="21">
      <c r="A21" s="1511" t="s">
        <v>17</v>
      </c>
      <c r="B21" s="1512"/>
      <c r="C21" s="1512"/>
      <c r="D21" s="1512"/>
      <c r="E21" s="1512"/>
      <c r="F21" s="1513"/>
      <c r="G21" s="198">
        <f>SUM(G11:G20)</f>
        <v>31557743.600000001</v>
      </c>
      <c r="H21" s="198">
        <f t="shared" ref="H21:J21" si="2">SUM(H11:H20)</f>
        <v>0</v>
      </c>
      <c r="I21" s="198">
        <f t="shared" si="2"/>
        <v>0</v>
      </c>
      <c r="J21" s="198">
        <f t="shared" si="2"/>
        <v>31557743.600000001</v>
      </c>
      <c r="K21" s="766"/>
    </row>
    <row r="22" spans="1:18" s="758" customFormat="1" ht="24" customHeight="1">
      <c r="A22" s="1506" t="s">
        <v>436</v>
      </c>
      <c r="B22" s="1506"/>
      <c r="C22" s="1506"/>
      <c r="D22" s="1506"/>
      <c r="E22" s="1506"/>
      <c r="F22" s="1506"/>
      <c r="G22" s="1506"/>
      <c r="H22" s="1506"/>
      <c r="I22" s="1506"/>
      <c r="J22" s="1506"/>
      <c r="K22" s="1506"/>
      <c r="L22" s="976"/>
      <c r="M22" s="976"/>
      <c r="N22" s="976"/>
      <c r="O22" s="976"/>
      <c r="P22" s="976"/>
      <c r="Q22" s="976"/>
      <c r="R22" s="976"/>
    </row>
    <row r="23" spans="1:18" ht="57" customHeight="1">
      <c r="A23" s="949" t="s">
        <v>23</v>
      </c>
      <c r="B23" s="949">
        <v>2</v>
      </c>
      <c r="C23" s="949" t="s">
        <v>71</v>
      </c>
      <c r="D23" s="949">
        <v>244</v>
      </c>
      <c r="E23" s="765">
        <v>226</v>
      </c>
      <c r="F23" s="146" t="s">
        <v>538</v>
      </c>
      <c r="G23" s="764">
        <v>2698347.05</v>
      </c>
      <c r="H23" s="764">
        <v>35000</v>
      </c>
      <c r="I23" s="764">
        <v>-228988.11</v>
      </c>
      <c r="J23" s="764">
        <f t="shared" ref="J23:J30" si="3">G23+I23</f>
        <v>2469358.94</v>
      </c>
      <c r="K23" s="1507" t="s">
        <v>542</v>
      </c>
    </row>
    <row r="24" spans="1:18" ht="57" customHeight="1">
      <c r="A24" s="949" t="s">
        <v>23</v>
      </c>
      <c r="B24" s="949">
        <v>2</v>
      </c>
      <c r="C24" s="949" t="s">
        <v>71</v>
      </c>
      <c r="D24" s="949">
        <v>851</v>
      </c>
      <c r="E24" s="765">
        <v>291</v>
      </c>
      <c r="F24" s="146" t="s">
        <v>28</v>
      </c>
      <c r="G24" s="764">
        <v>0</v>
      </c>
      <c r="H24" s="764"/>
      <c r="I24" s="764">
        <v>4828.1099999999997</v>
      </c>
      <c r="J24" s="764">
        <f t="shared" si="3"/>
        <v>4828.1099999999997</v>
      </c>
      <c r="K24" s="1508"/>
    </row>
    <row r="25" spans="1:18" ht="57" customHeight="1">
      <c r="A25" s="995" t="s">
        <v>23</v>
      </c>
      <c r="B25" s="995">
        <v>2</v>
      </c>
      <c r="C25" s="995" t="s">
        <v>71</v>
      </c>
      <c r="D25" s="995">
        <v>244</v>
      </c>
      <c r="E25" s="765">
        <v>310</v>
      </c>
      <c r="F25" s="146" t="s">
        <v>532</v>
      </c>
      <c r="G25" s="764">
        <v>0</v>
      </c>
      <c r="H25" s="202"/>
      <c r="I25" s="202">
        <v>64790</v>
      </c>
      <c r="J25" s="764">
        <f t="shared" ref="J25" si="4">G25+I25</f>
        <v>64790</v>
      </c>
      <c r="K25" s="1508"/>
    </row>
    <row r="26" spans="1:18" s="782" customFormat="1" ht="57" customHeight="1">
      <c r="A26" s="950" t="s">
        <v>23</v>
      </c>
      <c r="B26" s="950">
        <v>2</v>
      </c>
      <c r="C26" s="950" t="s">
        <v>71</v>
      </c>
      <c r="D26" s="950">
        <v>244</v>
      </c>
      <c r="E26" s="950">
        <v>342</v>
      </c>
      <c r="F26" s="792" t="s">
        <v>498</v>
      </c>
      <c r="G26" s="793">
        <v>0</v>
      </c>
      <c r="H26" s="981"/>
      <c r="I26" s="981">
        <v>12350</v>
      </c>
      <c r="J26" s="764">
        <f t="shared" si="3"/>
        <v>12350</v>
      </c>
      <c r="K26" s="1508"/>
    </row>
    <row r="27" spans="1:18" s="780" customFormat="1" ht="57" customHeight="1">
      <c r="A27" s="950" t="s">
        <v>23</v>
      </c>
      <c r="B27" s="950">
        <v>2</v>
      </c>
      <c r="C27" s="950" t="s">
        <v>71</v>
      </c>
      <c r="D27" s="950">
        <v>244</v>
      </c>
      <c r="E27" s="950">
        <v>346</v>
      </c>
      <c r="F27" s="792" t="s">
        <v>499</v>
      </c>
      <c r="G27" s="793">
        <v>0</v>
      </c>
      <c r="H27" s="981"/>
      <c r="I27" s="981">
        <v>78320</v>
      </c>
      <c r="J27" s="764">
        <f t="shared" si="3"/>
        <v>78320</v>
      </c>
      <c r="K27" s="1508"/>
    </row>
    <row r="28" spans="1:18" s="795" customFormat="1" ht="57" customHeight="1">
      <c r="A28" s="950" t="s">
        <v>23</v>
      </c>
      <c r="B28" s="950">
        <v>2</v>
      </c>
      <c r="C28" s="950" t="s">
        <v>71</v>
      </c>
      <c r="D28" s="950">
        <v>244</v>
      </c>
      <c r="E28" s="950">
        <v>345</v>
      </c>
      <c r="F28" s="792" t="s">
        <v>524</v>
      </c>
      <c r="G28" s="793">
        <v>0</v>
      </c>
      <c r="H28" s="793"/>
      <c r="I28" s="793">
        <v>68700</v>
      </c>
      <c r="J28" s="764">
        <f t="shared" si="3"/>
        <v>68700</v>
      </c>
      <c r="K28" s="1509"/>
    </row>
    <row r="29" spans="1:18" s="989" customFormat="1" ht="43.5" customHeight="1">
      <c r="A29" s="1002" t="s">
        <v>23</v>
      </c>
      <c r="B29" s="1003">
        <v>2</v>
      </c>
      <c r="C29" s="1001" t="s">
        <v>71</v>
      </c>
      <c r="D29" s="1001">
        <v>247</v>
      </c>
      <c r="E29" s="1001">
        <v>223</v>
      </c>
      <c r="F29" s="146" t="s">
        <v>13</v>
      </c>
      <c r="G29" s="764">
        <v>177188.92</v>
      </c>
      <c r="H29" s="202"/>
      <c r="I29" s="202">
        <v>-177188.92</v>
      </c>
      <c r="J29" s="764">
        <f t="shared" si="3"/>
        <v>0</v>
      </c>
      <c r="K29" s="1517" t="s">
        <v>547</v>
      </c>
    </row>
    <row r="30" spans="1:18" s="989" customFormat="1" ht="43.5" customHeight="1">
      <c r="A30" s="1002" t="s">
        <v>23</v>
      </c>
      <c r="B30" s="1003">
        <v>2</v>
      </c>
      <c r="C30" s="1001" t="s">
        <v>71</v>
      </c>
      <c r="D30" s="1001">
        <v>244</v>
      </c>
      <c r="E30" s="1001">
        <v>223</v>
      </c>
      <c r="F30" s="146" t="s">
        <v>13</v>
      </c>
      <c r="G30" s="764">
        <v>14000.13</v>
      </c>
      <c r="H30" s="202"/>
      <c r="I30" s="202">
        <v>177188.92</v>
      </c>
      <c r="J30" s="764">
        <f t="shared" si="3"/>
        <v>191189.05</v>
      </c>
      <c r="K30" s="1519"/>
    </row>
    <row r="31" spans="1:18" s="763" customFormat="1" ht="21">
      <c r="A31" s="1514" t="s">
        <v>104</v>
      </c>
      <c r="B31" s="1515"/>
      <c r="C31" s="1515"/>
      <c r="D31" s="1515"/>
      <c r="E31" s="1515"/>
      <c r="F31" s="1516"/>
      <c r="G31" s="198">
        <f>SUM(G23:G30)</f>
        <v>2889536.1</v>
      </c>
      <c r="H31" s="198">
        <f t="shared" ref="H31:J31" si="5">SUM(H23:H30)</f>
        <v>35000</v>
      </c>
      <c r="I31" s="198">
        <f t="shared" si="5"/>
        <v>0</v>
      </c>
      <c r="J31" s="198">
        <f t="shared" si="5"/>
        <v>2889536.1</v>
      </c>
      <c r="K31" s="766"/>
    </row>
    <row r="32" spans="1:18" s="763" customFormat="1" ht="21">
      <c r="A32" s="1511" t="s">
        <v>24</v>
      </c>
      <c r="B32" s="1512"/>
      <c r="C32" s="1512"/>
      <c r="D32" s="1512"/>
      <c r="E32" s="1512"/>
      <c r="F32" s="1513"/>
      <c r="G32" s="198">
        <f>G21+G31</f>
        <v>34447279.700000003</v>
      </c>
      <c r="H32" s="198">
        <f>H21+H31</f>
        <v>35000</v>
      </c>
      <c r="I32" s="198">
        <f>I21+I31</f>
        <v>0</v>
      </c>
      <c r="J32" s="198">
        <f>J21+J31</f>
        <v>34447279.700000003</v>
      </c>
      <c r="K32" s="766"/>
    </row>
    <row r="33" spans="1:11" ht="24" customHeight="1">
      <c r="A33" s="980"/>
      <c r="B33" s="980"/>
      <c r="C33" s="980"/>
      <c r="D33" s="980"/>
      <c r="E33" s="980"/>
      <c r="F33" s="980"/>
      <c r="G33" s="980"/>
      <c r="H33" s="980"/>
      <c r="I33" s="980"/>
      <c r="J33" s="980"/>
      <c r="K33" s="159"/>
    </row>
    <row r="34" spans="1:11" ht="32.25" customHeight="1">
      <c r="A34" s="980"/>
      <c r="B34" s="980"/>
      <c r="C34" s="980"/>
      <c r="D34" s="980"/>
      <c r="E34" s="980"/>
      <c r="F34" s="980"/>
      <c r="G34" s="982"/>
      <c r="H34" s="980"/>
      <c r="I34" s="980"/>
      <c r="J34" s="980"/>
      <c r="K34" s="983"/>
    </row>
    <row r="35" spans="1:11" s="194" customFormat="1" ht="33">
      <c r="C35" s="768" t="s">
        <v>88</v>
      </c>
      <c r="D35" s="768"/>
      <c r="E35" s="768"/>
      <c r="F35" s="769"/>
      <c r="G35" s="768" t="s">
        <v>89</v>
      </c>
      <c r="H35" s="768"/>
      <c r="I35" s="768"/>
      <c r="K35" s="983"/>
    </row>
    <row r="36" spans="1:11" ht="24" customHeight="1">
      <c r="A36" s="980"/>
      <c r="B36" s="980"/>
      <c r="C36" s="980"/>
      <c r="D36" s="980"/>
      <c r="E36" s="980"/>
      <c r="F36" s="980"/>
      <c r="G36" s="980"/>
      <c r="H36" s="980"/>
      <c r="I36" s="980"/>
      <c r="J36" s="980"/>
      <c r="K36" s="983"/>
    </row>
    <row r="37" spans="1:11" ht="24" customHeight="1">
      <c r="A37" s="980"/>
      <c r="B37" s="980"/>
      <c r="C37" s="980"/>
      <c r="D37" s="980"/>
      <c r="E37" s="980"/>
      <c r="F37" s="980"/>
      <c r="G37" s="980"/>
      <c r="H37" s="980"/>
      <c r="I37" s="980"/>
      <c r="J37" s="980"/>
      <c r="K37" s="983"/>
    </row>
    <row r="38" spans="1:11" ht="25.5" customHeight="1">
      <c r="A38" s="980"/>
      <c r="B38" s="980"/>
      <c r="C38" s="980"/>
      <c r="D38" s="980"/>
      <c r="E38" s="980"/>
      <c r="F38" s="980"/>
      <c r="G38" s="980"/>
      <c r="H38" s="980"/>
      <c r="I38" s="980"/>
      <c r="J38" s="980"/>
      <c r="K38" s="983"/>
    </row>
    <row r="39" spans="1:11" ht="24" customHeight="1">
      <c r="A39" s="980"/>
      <c r="B39" s="980"/>
      <c r="C39" s="980"/>
      <c r="D39" s="980"/>
      <c r="E39" s="980"/>
      <c r="F39" s="980"/>
      <c r="G39" s="980"/>
      <c r="H39" s="980"/>
      <c r="I39" s="980"/>
      <c r="J39" s="980"/>
      <c r="K39" s="983"/>
    </row>
    <row r="40" spans="1:11" ht="27" customHeight="1">
      <c r="A40" s="980"/>
      <c r="B40" s="980"/>
      <c r="C40" s="980"/>
      <c r="D40" s="980"/>
      <c r="E40" s="980"/>
      <c r="F40" s="980"/>
      <c r="G40" s="980"/>
      <c r="H40" s="980"/>
      <c r="I40" s="980"/>
      <c r="J40" s="980"/>
      <c r="K40" s="983"/>
    </row>
    <row r="41" spans="1:11" s="758" customFormat="1" ht="21">
      <c r="A41" s="983" t="s">
        <v>90</v>
      </c>
      <c r="B41" s="983"/>
      <c r="C41" s="983"/>
      <c r="D41" s="983"/>
      <c r="E41" s="983"/>
      <c r="F41" s="983"/>
      <c r="G41" s="983"/>
      <c r="H41" s="983"/>
      <c r="I41" s="983"/>
      <c r="J41" s="983"/>
      <c r="K41" s="983"/>
    </row>
    <row r="42" spans="1:11" s="758" customFormat="1" ht="21">
      <c r="A42" s="983" t="s">
        <v>433</v>
      </c>
      <c r="B42" s="983"/>
      <c r="C42" s="983"/>
      <c r="D42" s="983"/>
      <c r="E42" s="983"/>
      <c r="F42" s="983"/>
      <c r="G42" s="983"/>
      <c r="H42" s="983"/>
      <c r="I42" s="983"/>
      <c r="J42" s="983"/>
      <c r="K42" s="983"/>
    </row>
    <row r="43" spans="1:11" s="758" customFormat="1" ht="21">
      <c r="A43" s="983" t="s">
        <v>27</v>
      </c>
      <c r="B43" s="983"/>
      <c r="C43" s="983"/>
      <c r="D43" s="983"/>
      <c r="E43" s="983"/>
      <c r="F43" s="983"/>
      <c r="G43" s="983"/>
      <c r="H43" s="983"/>
      <c r="I43" s="983"/>
      <c r="J43" s="983"/>
      <c r="K43" s="983"/>
    </row>
  </sheetData>
  <mergeCells count="11">
    <mergeCell ref="A10:K10"/>
    <mergeCell ref="K23:K28"/>
    <mergeCell ref="A7:K7"/>
    <mergeCell ref="A32:F32"/>
    <mergeCell ref="A31:F31"/>
    <mergeCell ref="K11:K14"/>
    <mergeCell ref="A22:K22"/>
    <mergeCell ref="A21:F21"/>
    <mergeCell ref="K16:K18"/>
    <mergeCell ref="K19:K20"/>
    <mergeCell ref="K29:K30"/>
  </mergeCells>
  <printOptions horizontalCentered="1"/>
  <pageMargins left="0.39370078740157483" right="0.39370078740157483" top="0.78740157480314965" bottom="0.39370078740157483" header="0.31496062992125984" footer="0.31496062992125984"/>
  <pageSetup paperSize="9" scale="29" orientation="landscape"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7">
    <tabColor rgb="FF00FF00"/>
    <outlinePr summaryBelow="0" summaryRight="0"/>
    <pageSetUpPr fitToPage="1"/>
  </sheetPr>
  <dimension ref="A1:BV543"/>
  <sheetViews>
    <sheetView view="pageBreakPreview" topLeftCell="A3" zoomScale="70" zoomScaleNormal="85" zoomScaleSheetLayoutView="70" workbookViewId="0">
      <pane xSplit="48" ySplit="8" topLeftCell="BS222" activePane="bottomRight" state="frozen"/>
      <selection activeCell="D3" sqref="D3"/>
      <selection pane="topRight" activeCell="AT3" sqref="AT3"/>
      <selection pane="bottomLeft" activeCell="D11" sqref="D11"/>
      <selection pane="bottomRight" activeCell="BS226" sqref="BS226"/>
    </sheetView>
  </sheetViews>
  <sheetFormatPr defaultRowHeight="15.75" outlineLevelRow="2" outlineLevelCol="2"/>
  <cols>
    <col min="1" max="1" width="9.140625" style="833" customWidth="1"/>
    <col min="2" max="2" width="11" style="933" customWidth="1"/>
    <col min="3" max="3" width="5.140625" style="834" customWidth="1"/>
    <col min="4" max="4" width="6.7109375" style="835" customWidth="1"/>
    <col min="5" max="5" width="3.140625" style="833" customWidth="1"/>
    <col min="6" max="6" width="8.7109375" style="2" customWidth="1"/>
    <col min="7" max="7" width="6.5703125" style="2" customWidth="1"/>
    <col min="8" max="8" width="17.85546875" style="2" customWidth="1"/>
    <col min="9" max="9" width="6.5703125" style="2" customWidth="1"/>
    <col min="10" max="10" width="8.28515625" style="2" customWidth="1"/>
    <col min="11" max="11" width="45.140625" style="2" customWidth="1"/>
    <col min="12" max="12" width="16.5703125" style="1011" customWidth="1"/>
    <col min="13" max="13" width="13.140625" style="88" customWidth="1" outlineLevel="1"/>
    <col min="14" max="14" width="15.28515625" style="88" customWidth="1" outlineLevel="1"/>
    <col min="15" max="15" width="16.28515625" style="88" customWidth="1" outlineLevel="1" collapsed="1"/>
    <col min="16" max="16" width="16.42578125" style="326" hidden="1" customWidth="1" outlineLevel="2"/>
    <col min="17" max="17" width="17.5703125" style="88" customWidth="1" outlineLevel="1" collapsed="1"/>
    <col min="18" max="18" width="15.85546875" style="326" hidden="1" customWidth="1" outlineLevel="2"/>
    <col min="19" max="19" width="17.5703125" style="88" customWidth="1" outlineLevel="1" collapsed="1"/>
    <col min="20" max="20" width="13.7109375" style="326" hidden="1" customWidth="1" outlineLevel="2"/>
    <col min="21" max="21" width="2.85546875" style="324" customWidth="1"/>
    <col min="22" max="22" width="16.5703125" style="2" customWidth="1" outlineLevel="1"/>
    <col min="23" max="23" width="11.85546875" style="2" customWidth="1" outlineLevel="1"/>
    <col min="24" max="24" width="11.5703125" style="2" customWidth="1" outlineLevel="1"/>
    <col min="25" max="25" width="2.85546875" style="2" customWidth="1" collapsed="1"/>
    <col min="26" max="28" width="15.28515625" style="88" hidden="1" customWidth="1" outlineLevel="2"/>
    <col min="29" max="29" width="16.140625" style="88" hidden="1" customWidth="1" outlineLevel="2"/>
    <col min="30" max="30" width="15.28515625" style="88" hidden="1" customWidth="1" outlineLevel="2"/>
    <col min="31" max="31" width="15.85546875" style="88" hidden="1" customWidth="1" outlineLevel="2"/>
    <col min="32" max="37" width="15.28515625" style="88" hidden="1" customWidth="1" outlineLevel="2"/>
    <col min="38" max="38" width="2.85546875" style="274" customWidth="1" collapsed="1"/>
    <col min="39" max="39" width="15.85546875" style="88" hidden="1" customWidth="1" outlineLevel="2"/>
    <col min="40" max="40" width="15.28515625" style="88" hidden="1" customWidth="1" outlineLevel="2"/>
    <col min="41" max="42" width="15.85546875" style="88" hidden="1" customWidth="1" outlineLevel="2"/>
    <col min="43" max="43" width="15.28515625" style="88" hidden="1" customWidth="1" outlineLevel="2"/>
    <col min="44" max="44" width="16" style="88" hidden="1" customWidth="1" outlineLevel="2"/>
    <col min="45" max="45" width="15.85546875" style="88" customWidth="1"/>
    <col min="46" max="46" width="16.28515625" style="88" customWidth="1" outlineLevel="1"/>
    <col min="47" max="47" width="16" style="88" customWidth="1" outlineLevel="1"/>
    <col min="48" max="48" width="14.28515625" style="1157" customWidth="1"/>
    <col min="49" max="49" width="15.28515625" style="88" customWidth="1"/>
    <col min="50" max="50" width="15.28515625" style="1102" customWidth="1"/>
    <col min="51" max="51" width="15.28515625" style="88" customWidth="1"/>
    <col min="52" max="52" width="15.28515625" style="1102" customWidth="1"/>
    <col min="53" max="53" width="16" style="88" customWidth="1"/>
    <col min="54" max="54" width="15.28515625" style="1102" customWidth="1"/>
    <col min="55" max="57" width="15.28515625" style="88" customWidth="1"/>
    <col min="58" max="58" width="15.28515625" style="88" hidden="1" customWidth="1"/>
    <col min="59" max="59" width="16.140625" style="88" customWidth="1"/>
    <col min="60" max="60" width="15.28515625" style="88" hidden="1" customWidth="1"/>
    <col min="61" max="61" width="15.28515625" style="88" customWidth="1"/>
    <col min="62" max="62" width="15.28515625" style="88" hidden="1" customWidth="1"/>
    <col min="63" max="63" width="15.28515625" style="88" customWidth="1"/>
    <col min="64" max="64" width="15.28515625" style="88" hidden="1" customWidth="1"/>
    <col min="65" max="65" width="15.28515625" style="88" customWidth="1"/>
    <col min="66" max="66" width="15.28515625" style="88" hidden="1" customWidth="1"/>
    <col min="67" max="67" width="15.28515625" style="88" customWidth="1"/>
    <col min="68" max="68" width="15.28515625" style="88" hidden="1" customWidth="1"/>
    <col min="69" max="69" width="15.28515625" style="88" customWidth="1"/>
    <col min="70" max="70" width="15.28515625" style="88" hidden="1" customWidth="1"/>
    <col min="71" max="71" width="15.85546875" style="88" customWidth="1"/>
    <col min="72" max="72" width="15.28515625" style="88" hidden="1" customWidth="1"/>
    <col min="73" max="73" width="18.28515625" style="2" customWidth="1"/>
    <col min="74" max="87" width="15.85546875" style="2" customWidth="1"/>
    <col min="88" max="247" width="9.140625" style="2"/>
    <col min="248" max="248" width="16.28515625" style="2" customWidth="1"/>
    <col min="249" max="249" width="9.5703125" style="2" customWidth="1"/>
    <col min="250" max="250" width="25.85546875" style="2" customWidth="1"/>
    <col min="251" max="251" width="10.7109375" style="2" customWidth="1"/>
    <col min="252" max="252" width="40.42578125" style="2" customWidth="1"/>
    <col min="253" max="253" width="30.5703125" style="2" customWidth="1"/>
    <col min="254" max="254" width="16.42578125" style="2" customWidth="1"/>
    <col min="255" max="255" width="13" style="2" bestFit="1" customWidth="1"/>
    <col min="256" max="503" width="9.140625" style="2"/>
    <col min="504" max="504" width="16.28515625" style="2" customWidth="1"/>
    <col min="505" max="505" width="9.5703125" style="2" customWidth="1"/>
    <col min="506" max="506" width="25.85546875" style="2" customWidth="1"/>
    <col min="507" max="507" width="10.7109375" style="2" customWidth="1"/>
    <col min="508" max="508" width="40.42578125" style="2" customWidth="1"/>
    <col min="509" max="509" width="30.5703125" style="2" customWidth="1"/>
    <col min="510" max="510" width="16.42578125" style="2" customWidth="1"/>
    <col min="511" max="511" width="13" style="2" bestFit="1" customWidth="1"/>
    <col min="512" max="759" width="9.140625" style="2"/>
    <col min="760" max="760" width="16.28515625" style="2" customWidth="1"/>
    <col min="761" max="761" width="9.5703125" style="2" customWidth="1"/>
    <col min="762" max="762" width="25.85546875" style="2" customWidth="1"/>
    <col min="763" max="763" width="10.7109375" style="2" customWidth="1"/>
    <col min="764" max="764" width="40.42578125" style="2" customWidth="1"/>
    <col min="765" max="765" width="30.5703125" style="2" customWidth="1"/>
    <col min="766" max="766" width="16.42578125" style="2" customWidth="1"/>
    <col min="767" max="767" width="13" style="2" bestFit="1" customWidth="1"/>
    <col min="768" max="1015" width="9.140625" style="2"/>
    <col min="1016" max="1016" width="16.28515625" style="2" customWidth="1"/>
    <col min="1017" max="1017" width="9.5703125" style="2" customWidth="1"/>
    <col min="1018" max="1018" width="25.85546875" style="2" customWidth="1"/>
    <col min="1019" max="1019" width="10.7109375" style="2" customWidth="1"/>
    <col min="1020" max="1020" width="40.42578125" style="2" customWidth="1"/>
    <col min="1021" max="1021" width="30.5703125" style="2" customWidth="1"/>
    <col min="1022" max="1022" width="16.42578125" style="2" customWidth="1"/>
    <col min="1023" max="1023" width="13" style="2" bestFit="1" customWidth="1"/>
    <col min="1024" max="1271" width="9.140625" style="2"/>
    <col min="1272" max="1272" width="16.28515625" style="2" customWidth="1"/>
    <col min="1273" max="1273" width="9.5703125" style="2" customWidth="1"/>
    <col min="1274" max="1274" width="25.85546875" style="2" customWidth="1"/>
    <col min="1275" max="1275" width="10.7109375" style="2" customWidth="1"/>
    <col min="1276" max="1276" width="40.42578125" style="2" customWidth="1"/>
    <col min="1277" max="1277" width="30.5703125" style="2" customWidth="1"/>
    <col min="1278" max="1278" width="16.42578125" style="2" customWidth="1"/>
    <col min="1279" max="1279" width="13" style="2" bestFit="1" customWidth="1"/>
    <col min="1280" max="1527" width="9.140625" style="2"/>
    <col min="1528" max="1528" width="16.28515625" style="2" customWidth="1"/>
    <col min="1529" max="1529" width="9.5703125" style="2" customWidth="1"/>
    <col min="1530" max="1530" width="25.85546875" style="2" customWidth="1"/>
    <col min="1531" max="1531" width="10.7109375" style="2" customWidth="1"/>
    <col min="1532" max="1532" width="40.42578125" style="2" customWidth="1"/>
    <col min="1533" max="1533" width="30.5703125" style="2" customWidth="1"/>
    <col min="1534" max="1534" width="16.42578125" style="2" customWidth="1"/>
    <col min="1535" max="1535" width="13" style="2" bestFit="1" customWidth="1"/>
    <col min="1536" max="1783" width="9.140625" style="2"/>
    <col min="1784" max="1784" width="16.28515625" style="2" customWidth="1"/>
    <col min="1785" max="1785" width="9.5703125" style="2" customWidth="1"/>
    <col min="1786" max="1786" width="25.85546875" style="2" customWidth="1"/>
    <col min="1787" max="1787" width="10.7109375" style="2" customWidth="1"/>
    <col min="1788" max="1788" width="40.42578125" style="2" customWidth="1"/>
    <col min="1789" max="1789" width="30.5703125" style="2" customWidth="1"/>
    <col min="1790" max="1790" width="16.42578125" style="2" customWidth="1"/>
    <col min="1791" max="1791" width="13" style="2" bestFit="1" customWidth="1"/>
    <col min="1792" max="2039" width="9.140625" style="2"/>
    <col min="2040" max="2040" width="16.28515625" style="2" customWidth="1"/>
    <col min="2041" max="2041" width="9.5703125" style="2" customWidth="1"/>
    <col min="2042" max="2042" width="25.85546875" style="2" customWidth="1"/>
    <col min="2043" max="2043" width="10.7109375" style="2" customWidth="1"/>
    <col min="2044" max="2044" width="40.42578125" style="2" customWidth="1"/>
    <col min="2045" max="2045" width="30.5703125" style="2" customWidth="1"/>
    <col min="2046" max="2046" width="16.42578125" style="2" customWidth="1"/>
    <col min="2047" max="2047" width="13" style="2" bestFit="1" customWidth="1"/>
    <col min="2048" max="2295" width="9.140625" style="2"/>
    <col min="2296" max="2296" width="16.28515625" style="2" customWidth="1"/>
    <col min="2297" max="2297" width="9.5703125" style="2" customWidth="1"/>
    <col min="2298" max="2298" width="25.85546875" style="2" customWidth="1"/>
    <col min="2299" max="2299" width="10.7109375" style="2" customWidth="1"/>
    <col min="2300" max="2300" width="40.42578125" style="2" customWidth="1"/>
    <col min="2301" max="2301" width="30.5703125" style="2" customWidth="1"/>
    <col min="2302" max="2302" width="16.42578125" style="2" customWidth="1"/>
    <col min="2303" max="2303" width="13" style="2" bestFit="1" customWidth="1"/>
    <col min="2304" max="2551" width="9.140625" style="2"/>
    <col min="2552" max="2552" width="16.28515625" style="2" customWidth="1"/>
    <col min="2553" max="2553" width="9.5703125" style="2" customWidth="1"/>
    <col min="2554" max="2554" width="25.85546875" style="2" customWidth="1"/>
    <col min="2555" max="2555" width="10.7109375" style="2" customWidth="1"/>
    <col min="2556" max="2556" width="40.42578125" style="2" customWidth="1"/>
    <col min="2557" max="2557" width="30.5703125" style="2" customWidth="1"/>
    <col min="2558" max="2558" width="16.42578125" style="2" customWidth="1"/>
    <col min="2559" max="2559" width="13" style="2" bestFit="1" customWidth="1"/>
    <col min="2560" max="2807" width="9.140625" style="2"/>
    <col min="2808" max="2808" width="16.28515625" style="2" customWidth="1"/>
    <col min="2809" max="2809" width="9.5703125" style="2" customWidth="1"/>
    <col min="2810" max="2810" width="25.85546875" style="2" customWidth="1"/>
    <col min="2811" max="2811" width="10.7109375" style="2" customWidth="1"/>
    <col min="2812" max="2812" width="40.42578125" style="2" customWidth="1"/>
    <col min="2813" max="2813" width="30.5703125" style="2" customWidth="1"/>
    <col min="2814" max="2814" width="16.42578125" style="2" customWidth="1"/>
    <col min="2815" max="2815" width="13" style="2" bestFit="1" customWidth="1"/>
    <col min="2816" max="3063" width="9.140625" style="2"/>
    <col min="3064" max="3064" width="16.28515625" style="2" customWidth="1"/>
    <col min="3065" max="3065" width="9.5703125" style="2" customWidth="1"/>
    <col min="3066" max="3066" width="25.85546875" style="2" customWidth="1"/>
    <col min="3067" max="3067" width="10.7109375" style="2" customWidth="1"/>
    <col min="3068" max="3068" width="40.42578125" style="2" customWidth="1"/>
    <col min="3069" max="3069" width="30.5703125" style="2" customWidth="1"/>
    <col min="3070" max="3070" width="16.42578125" style="2" customWidth="1"/>
    <col min="3071" max="3071" width="13" style="2" bestFit="1" customWidth="1"/>
    <col min="3072" max="3319" width="9.140625" style="2"/>
    <col min="3320" max="3320" width="16.28515625" style="2" customWidth="1"/>
    <col min="3321" max="3321" width="9.5703125" style="2" customWidth="1"/>
    <col min="3322" max="3322" width="25.85546875" style="2" customWidth="1"/>
    <col min="3323" max="3323" width="10.7109375" style="2" customWidth="1"/>
    <col min="3324" max="3324" width="40.42578125" style="2" customWidth="1"/>
    <col min="3325" max="3325" width="30.5703125" style="2" customWidth="1"/>
    <col min="3326" max="3326" width="16.42578125" style="2" customWidth="1"/>
    <col min="3327" max="3327" width="13" style="2" bestFit="1" customWidth="1"/>
    <col min="3328" max="3575" width="9.140625" style="2"/>
    <col min="3576" max="3576" width="16.28515625" style="2" customWidth="1"/>
    <col min="3577" max="3577" width="9.5703125" style="2" customWidth="1"/>
    <col min="3578" max="3578" width="25.85546875" style="2" customWidth="1"/>
    <col min="3579" max="3579" width="10.7109375" style="2" customWidth="1"/>
    <col min="3580" max="3580" width="40.42578125" style="2" customWidth="1"/>
    <col min="3581" max="3581" width="30.5703125" style="2" customWidth="1"/>
    <col min="3582" max="3582" width="16.42578125" style="2" customWidth="1"/>
    <col min="3583" max="3583" width="13" style="2" bestFit="1" customWidth="1"/>
    <col min="3584" max="3831" width="9.140625" style="2"/>
    <col min="3832" max="3832" width="16.28515625" style="2" customWidth="1"/>
    <col min="3833" max="3833" width="9.5703125" style="2" customWidth="1"/>
    <col min="3834" max="3834" width="25.85546875" style="2" customWidth="1"/>
    <col min="3835" max="3835" width="10.7109375" style="2" customWidth="1"/>
    <col min="3836" max="3836" width="40.42578125" style="2" customWidth="1"/>
    <col min="3837" max="3837" width="30.5703125" style="2" customWidth="1"/>
    <col min="3838" max="3838" width="16.42578125" style="2" customWidth="1"/>
    <col min="3839" max="3839" width="13" style="2" bestFit="1" customWidth="1"/>
    <col min="3840" max="4087" width="9.140625" style="2"/>
    <col min="4088" max="4088" width="16.28515625" style="2" customWidth="1"/>
    <col min="4089" max="4089" width="9.5703125" style="2" customWidth="1"/>
    <col min="4090" max="4090" width="25.85546875" style="2" customWidth="1"/>
    <col min="4091" max="4091" width="10.7109375" style="2" customWidth="1"/>
    <col min="4092" max="4092" width="40.42578125" style="2" customWidth="1"/>
    <col min="4093" max="4093" width="30.5703125" style="2" customWidth="1"/>
    <col min="4094" max="4094" width="16.42578125" style="2" customWidth="1"/>
    <col min="4095" max="4095" width="13" style="2" bestFit="1" customWidth="1"/>
    <col min="4096" max="4343" width="9.140625" style="2"/>
    <col min="4344" max="4344" width="16.28515625" style="2" customWidth="1"/>
    <col min="4345" max="4345" width="9.5703125" style="2" customWidth="1"/>
    <col min="4346" max="4346" width="25.85546875" style="2" customWidth="1"/>
    <col min="4347" max="4347" width="10.7109375" style="2" customWidth="1"/>
    <col min="4348" max="4348" width="40.42578125" style="2" customWidth="1"/>
    <col min="4349" max="4349" width="30.5703125" style="2" customWidth="1"/>
    <col min="4350" max="4350" width="16.42578125" style="2" customWidth="1"/>
    <col min="4351" max="4351" width="13" style="2" bestFit="1" customWidth="1"/>
    <col min="4352" max="4599" width="9.140625" style="2"/>
    <col min="4600" max="4600" width="16.28515625" style="2" customWidth="1"/>
    <col min="4601" max="4601" width="9.5703125" style="2" customWidth="1"/>
    <col min="4602" max="4602" width="25.85546875" style="2" customWidth="1"/>
    <col min="4603" max="4603" width="10.7109375" style="2" customWidth="1"/>
    <col min="4604" max="4604" width="40.42578125" style="2" customWidth="1"/>
    <col min="4605" max="4605" width="30.5703125" style="2" customWidth="1"/>
    <col min="4606" max="4606" width="16.42578125" style="2" customWidth="1"/>
    <col min="4607" max="4607" width="13" style="2" bestFit="1" customWidth="1"/>
    <col min="4608" max="4855" width="9.140625" style="2"/>
    <col min="4856" max="4856" width="16.28515625" style="2" customWidth="1"/>
    <col min="4857" max="4857" width="9.5703125" style="2" customWidth="1"/>
    <col min="4858" max="4858" width="25.85546875" style="2" customWidth="1"/>
    <col min="4859" max="4859" width="10.7109375" style="2" customWidth="1"/>
    <col min="4860" max="4860" width="40.42578125" style="2" customWidth="1"/>
    <col min="4861" max="4861" width="30.5703125" style="2" customWidth="1"/>
    <col min="4862" max="4862" width="16.42578125" style="2" customWidth="1"/>
    <col min="4863" max="4863" width="13" style="2" bestFit="1" customWidth="1"/>
    <col min="4864" max="5111" width="9.140625" style="2"/>
    <col min="5112" max="5112" width="16.28515625" style="2" customWidth="1"/>
    <col min="5113" max="5113" width="9.5703125" style="2" customWidth="1"/>
    <col min="5114" max="5114" width="25.85546875" style="2" customWidth="1"/>
    <col min="5115" max="5115" width="10.7109375" style="2" customWidth="1"/>
    <col min="5116" max="5116" width="40.42578125" style="2" customWidth="1"/>
    <col min="5117" max="5117" width="30.5703125" style="2" customWidth="1"/>
    <col min="5118" max="5118" width="16.42578125" style="2" customWidth="1"/>
    <col min="5119" max="5119" width="13" style="2" bestFit="1" customWidth="1"/>
    <col min="5120" max="5367" width="9.140625" style="2"/>
    <col min="5368" max="5368" width="16.28515625" style="2" customWidth="1"/>
    <col min="5369" max="5369" width="9.5703125" style="2" customWidth="1"/>
    <col min="5370" max="5370" width="25.85546875" style="2" customWidth="1"/>
    <col min="5371" max="5371" width="10.7109375" style="2" customWidth="1"/>
    <col min="5372" max="5372" width="40.42578125" style="2" customWidth="1"/>
    <col min="5373" max="5373" width="30.5703125" style="2" customWidth="1"/>
    <col min="5374" max="5374" width="16.42578125" style="2" customWidth="1"/>
    <col min="5375" max="5375" width="13" style="2" bestFit="1" customWidth="1"/>
    <col min="5376" max="5623" width="9.140625" style="2"/>
    <col min="5624" max="5624" width="16.28515625" style="2" customWidth="1"/>
    <col min="5625" max="5625" width="9.5703125" style="2" customWidth="1"/>
    <col min="5626" max="5626" width="25.85546875" style="2" customWidth="1"/>
    <col min="5627" max="5627" width="10.7109375" style="2" customWidth="1"/>
    <col min="5628" max="5628" width="40.42578125" style="2" customWidth="1"/>
    <col min="5629" max="5629" width="30.5703125" style="2" customWidth="1"/>
    <col min="5630" max="5630" width="16.42578125" style="2" customWidth="1"/>
    <col min="5631" max="5631" width="13" style="2" bestFit="1" customWidth="1"/>
    <col min="5632" max="5879" width="9.140625" style="2"/>
    <col min="5880" max="5880" width="16.28515625" style="2" customWidth="1"/>
    <col min="5881" max="5881" width="9.5703125" style="2" customWidth="1"/>
    <col min="5882" max="5882" width="25.85546875" style="2" customWidth="1"/>
    <col min="5883" max="5883" width="10.7109375" style="2" customWidth="1"/>
    <col min="5884" max="5884" width="40.42578125" style="2" customWidth="1"/>
    <col min="5885" max="5885" width="30.5703125" style="2" customWidth="1"/>
    <col min="5886" max="5886" width="16.42578125" style="2" customWidth="1"/>
    <col min="5887" max="5887" width="13" style="2" bestFit="1" customWidth="1"/>
    <col min="5888" max="6135" width="9.140625" style="2"/>
    <col min="6136" max="6136" width="16.28515625" style="2" customWidth="1"/>
    <col min="6137" max="6137" width="9.5703125" style="2" customWidth="1"/>
    <col min="6138" max="6138" width="25.85546875" style="2" customWidth="1"/>
    <col min="6139" max="6139" width="10.7109375" style="2" customWidth="1"/>
    <col min="6140" max="6140" width="40.42578125" style="2" customWidth="1"/>
    <col min="6141" max="6141" width="30.5703125" style="2" customWidth="1"/>
    <col min="6142" max="6142" width="16.42578125" style="2" customWidth="1"/>
    <col min="6143" max="6143" width="13" style="2" bestFit="1" customWidth="1"/>
    <col min="6144" max="6391" width="9.140625" style="2"/>
    <col min="6392" max="6392" width="16.28515625" style="2" customWidth="1"/>
    <col min="6393" max="6393" width="9.5703125" style="2" customWidth="1"/>
    <col min="6394" max="6394" width="25.85546875" style="2" customWidth="1"/>
    <col min="6395" max="6395" width="10.7109375" style="2" customWidth="1"/>
    <col min="6396" max="6396" width="40.42578125" style="2" customWidth="1"/>
    <col min="6397" max="6397" width="30.5703125" style="2" customWidth="1"/>
    <col min="6398" max="6398" width="16.42578125" style="2" customWidth="1"/>
    <col min="6399" max="6399" width="13" style="2" bestFit="1" customWidth="1"/>
    <col min="6400" max="6647" width="9.140625" style="2"/>
    <col min="6648" max="6648" width="16.28515625" style="2" customWidth="1"/>
    <col min="6649" max="6649" width="9.5703125" style="2" customWidth="1"/>
    <col min="6650" max="6650" width="25.85546875" style="2" customWidth="1"/>
    <col min="6651" max="6651" width="10.7109375" style="2" customWidth="1"/>
    <col min="6652" max="6652" width="40.42578125" style="2" customWidth="1"/>
    <col min="6653" max="6653" width="30.5703125" style="2" customWidth="1"/>
    <col min="6654" max="6654" width="16.42578125" style="2" customWidth="1"/>
    <col min="6655" max="6655" width="13" style="2" bestFit="1" customWidth="1"/>
    <col min="6656" max="6903" width="9.140625" style="2"/>
    <col min="6904" max="6904" width="16.28515625" style="2" customWidth="1"/>
    <col min="6905" max="6905" width="9.5703125" style="2" customWidth="1"/>
    <col min="6906" max="6906" width="25.85546875" style="2" customWidth="1"/>
    <col min="6907" max="6907" width="10.7109375" style="2" customWidth="1"/>
    <col min="6908" max="6908" width="40.42578125" style="2" customWidth="1"/>
    <col min="6909" max="6909" width="30.5703125" style="2" customWidth="1"/>
    <col min="6910" max="6910" width="16.42578125" style="2" customWidth="1"/>
    <col min="6911" max="6911" width="13" style="2" bestFit="1" customWidth="1"/>
    <col min="6912" max="7159" width="9.140625" style="2"/>
    <col min="7160" max="7160" width="16.28515625" style="2" customWidth="1"/>
    <col min="7161" max="7161" width="9.5703125" style="2" customWidth="1"/>
    <col min="7162" max="7162" width="25.85546875" style="2" customWidth="1"/>
    <col min="7163" max="7163" width="10.7109375" style="2" customWidth="1"/>
    <col min="7164" max="7164" width="40.42578125" style="2" customWidth="1"/>
    <col min="7165" max="7165" width="30.5703125" style="2" customWidth="1"/>
    <col min="7166" max="7166" width="16.42578125" style="2" customWidth="1"/>
    <col min="7167" max="7167" width="13" style="2" bestFit="1" customWidth="1"/>
    <col min="7168" max="7415" width="9.140625" style="2"/>
    <col min="7416" max="7416" width="16.28515625" style="2" customWidth="1"/>
    <col min="7417" max="7417" width="9.5703125" style="2" customWidth="1"/>
    <col min="7418" max="7418" width="25.85546875" style="2" customWidth="1"/>
    <col min="7419" max="7419" width="10.7109375" style="2" customWidth="1"/>
    <col min="7420" max="7420" width="40.42578125" style="2" customWidth="1"/>
    <col min="7421" max="7421" width="30.5703125" style="2" customWidth="1"/>
    <col min="7422" max="7422" width="16.42578125" style="2" customWidth="1"/>
    <col min="7423" max="7423" width="13" style="2" bestFit="1" customWidth="1"/>
    <col min="7424" max="7671" width="9.140625" style="2"/>
    <col min="7672" max="7672" width="16.28515625" style="2" customWidth="1"/>
    <col min="7673" max="7673" width="9.5703125" style="2" customWidth="1"/>
    <col min="7674" max="7674" width="25.85546875" style="2" customWidth="1"/>
    <col min="7675" max="7675" width="10.7109375" style="2" customWidth="1"/>
    <col min="7676" max="7676" width="40.42578125" style="2" customWidth="1"/>
    <col min="7677" max="7677" width="30.5703125" style="2" customWidth="1"/>
    <col min="7678" max="7678" width="16.42578125" style="2" customWidth="1"/>
    <col min="7679" max="7679" width="13" style="2" bestFit="1" customWidth="1"/>
    <col min="7680" max="7927" width="9.140625" style="2"/>
    <col min="7928" max="7928" width="16.28515625" style="2" customWidth="1"/>
    <col min="7929" max="7929" width="9.5703125" style="2" customWidth="1"/>
    <col min="7930" max="7930" width="25.85546875" style="2" customWidth="1"/>
    <col min="7931" max="7931" width="10.7109375" style="2" customWidth="1"/>
    <col min="7932" max="7932" width="40.42578125" style="2" customWidth="1"/>
    <col min="7933" max="7933" width="30.5703125" style="2" customWidth="1"/>
    <col min="7934" max="7934" width="16.42578125" style="2" customWidth="1"/>
    <col min="7935" max="7935" width="13" style="2" bestFit="1" customWidth="1"/>
    <col min="7936" max="8183" width="9.140625" style="2"/>
    <col min="8184" max="8184" width="16.28515625" style="2" customWidth="1"/>
    <col min="8185" max="8185" width="9.5703125" style="2" customWidth="1"/>
    <col min="8186" max="8186" width="25.85546875" style="2" customWidth="1"/>
    <col min="8187" max="8187" width="10.7109375" style="2" customWidth="1"/>
    <col min="8188" max="8188" width="40.42578125" style="2" customWidth="1"/>
    <col min="8189" max="8189" width="30.5703125" style="2" customWidth="1"/>
    <col min="8190" max="8190" width="16.42578125" style="2" customWidth="1"/>
    <col min="8191" max="8191" width="13" style="2" bestFit="1" customWidth="1"/>
    <col min="8192" max="8439" width="9.140625" style="2"/>
    <col min="8440" max="8440" width="16.28515625" style="2" customWidth="1"/>
    <col min="8441" max="8441" width="9.5703125" style="2" customWidth="1"/>
    <col min="8442" max="8442" width="25.85546875" style="2" customWidth="1"/>
    <col min="8443" max="8443" width="10.7109375" style="2" customWidth="1"/>
    <col min="8444" max="8444" width="40.42578125" style="2" customWidth="1"/>
    <col min="8445" max="8445" width="30.5703125" style="2" customWidth="1"/>
    <col min="8446" max="8446" width="16.42578125" style="2" customWidth="1"/>
    <col min="8447" max="8447" width="13" style="2" bestFit="1" customWidth="1"/>
    <col min="8448" max="8695" width="9.140625" style="2"/>
    <col min="8696" max="8696" width="16.28515625" style="2" customWidth="1"/>
    <col min="8697" max="8697" width="9.5703125" style="2" customWidth="1"/>
    <col min="8698" max="8698" width="25.85546875" style="2" customWidth="1"/>
    <col min="8699" max="8699" width="10.7109375" style="2" customWidth="1"/>
    <col min="8700" max="8700" width="40.42578125" style="2" customWidth="1"/>
    <col min="8701" max="8701" width="30.5703125" style="2" customWidth="1"/>
    <col min="8702" max="8702" width="16.42578125" style="2" customWidth="1"/>
    <col min="8703" max="8703" width="13" style="2" bestFit="1" customWidth="1"/>
    <col min="8704" max="8951" width="9.140625" style="2"/>
    <col min="8952" max="8952" width="16.28515625" style="2" customWidth="1"/>
    <col min="8953" max="8953" width="9.5703125" style="2" customWidth="1"/>
    <col min="8954" max="8954" width="25.85546875" style="2" customWidth="1"/>
    <col min="8955" max="8955" width="10.7109375" style="2" customWidth="1"/>
    <col min="8956" max="8956" width="40.42578125" style="2" customWidth="1"/>
    <col min="8957" max="8957" width="30.5703125" style="2" customWidth="1"/>
    <col min="8958" max="8958" width="16.42578125" style="2" customWidth="1"/>
    <col min="8959" max="8959" width="13" style="2" bestFit="1" customWidth="1"/>
    <col min="8960" max="9207" width="9.140625" style="2"/>
    <col min="9208" max="9208" width="16.28515625" style="2" customWidth="1"/>
    <col min="9209" max="9209" width="9.5703125" style="2" customWidth="1"/>
    <col min="9210" max="9210" width="25.85546875" style="2" customWidth="1"/>
    <col min="9211" max="9211" width="10.7109375" style="2" customWidth="1"/>
    <col min="9212" max="9212" width="40.42578125" style="2" customWidth="1"/>
    <col min="9213" max="9213" width="30.5703125" style="2" customWidth="1"/>
    <col min="9214" max="9214" width="16.42578125" style="2" customWidth="1"/>
    <col min="9215" max="9215" width="13" style="2" bestFit="1" customWidth="1"/>
    <col min="9216" max="9463" width="9.140625" style="2"/>
    <col min="9464" max="9464" width="16.28515625" style="2" customWidth="1"/>
    <col min="9465" max="9465" width="9.5703125" style="2" customWidth="1"/>
    <col min="9466" max="9466" width="25.85546875" style="2" customWidth="1"/>
    <col min="9467" max="9467" width="10.7109375" style="2" customWidth="1"/>
    <col min="9468" max="9468" width="40.42578125" style="2" customWidth="1"/>
    <col min="9469" max="9469" width="30.5703125" style="2" customWidth="1"/>
    <col min="9470" max="9470" width="16.42578125" style="2" customWidth="1"/>
    <col min="9471" max="9471" width="13" style="2" bestFit="1" customWidth="1"/>
    <col min="9472" max="9719" width="9.140625" style="2"/>
    <col min="9720" max="9720" width="16.28515625" style="2" customWidth="1"/>
    <col min="9721" max="9721" width="9.5703125" style="2" customWidth="1"/>
    <col min="9722" max="9722" width="25.85546875" style="2" customWidth="1"/>
    <col min="9723" max="9723" width="10.7109375" style="2" customWidth="1"/>
    <col min="9724" max="9724" width="40.42578125" style="2" customWidth="1"/>
    <col min="9725" max="9725" width="30.5703125" style="2" customWidth="1"/>
    <col min="9726" max="9726" width="16.42578125" style="2" customWidth="1"/>
    <col min="9727" max="9727" width="13" style="2" bestFit="1" customWidth="1"/>
    <col min="9728" max="9975" width="9.140625" style="2"/>
    <col min="9976" max="9976" width="16.28515625" style="2" customWidth="1"/>
    <col min="9977" max="9977" width="9.5703125" style="2" customWidth="1"/>
    <col min="9978" max="9978" width="25.85546875" style="2" customWidth="1"/>
    <col min="9979" max="9979" width="10.7109375" style="2" customWidth="1"/>
    <col min="9980" max="9980" width="40.42578125" style="2" customWidth="1"/>
    <col min="9981" max="9981" width="30.5703125" style="2" customWidth="1"/>
    <col min="9982" max="9982" width="16.42578125" style="2" customWidth="1"/>
    <col min="9983" max="9983" width="13" style="2" bestFit="1" customWidth="1"/>
    <col min="9984" max="10231" width="9.140625" style="2"/>
    <col min="10232" max="10232" width="16.28515625" style="2" customWidth="1"/>
    <col min="10233" max="10233" width="9.5703125" style="2" customWidth="1"/>
    <col min="10234" max="10234" width="25.85546875" style="2" customWidth="1"/>
    <col min="10235" max="10235" width="10.7109375" style="2" customWidth="1"/>
    <col min="10236" max="10236" width="40.42578125" style="2" customWidth="1"/>
    <col min="10237" max="10237" width="30.5703125" style="2" customWidth="1"/>
    <col min="10238" max="10238" width="16.42578125" style="2" customWidth="1"/>
    <col min="10239" max="10239" width="13" style="2" bestFit="1" customWidth="1"/>
    <col min="10240" max="10487" width="9.140625" style="2"/>
    <col min="10488" max="10488" width="16.28515625" style="2" customWidth="1"/>
    <col min="10489" max="10489" width="9.5703125" style="2" customWidth="1"/>
    <col min="10490" max="10490" width="25.85546875" style="2" customWidth="1"/>
    <col min="10491" max="10491" width="10.7109375" style="2" customWidth="1"/>
    <col min="10492" max="10492" width="40.42578125" style="2" customWidth="1"/>
    <col min="10493" max="10493" width="30.5703125" style="2" customWidth="1"/>
    <col min="10494" max="10494" width="16.42578125" style="2" customWidth="1"/>
    <col min="10495" max="10495" width="13" style="2" bestFit="1" customWidth="1"/>
    <col min="10496" max="10743" width="9.140625" style="2"/>
    <col min="10744" max="10744" width="16.28515625" style="2" customWidth="1"/>
    <col min="10745" max="10745" width="9.5703125" style="2" customWidth="1"/>
    <col min="10746" max="10746" width="25.85546875" style="2" customWidth="1"/>
    <col min="10747" max="10747" width="10.7109375" style="2" customWidth="1"/>
    <col min="10748" max="10748" width="40.42578125" style="2" customWidth="1"/>
    <col min="10749" max="10749" width="30.5703125" style="2" customWidth="1"/>
    <col min="10750" max="10750" width="16.42578125" style="2" customWidth="1"/>
    <col min="10751" max="10751" width="13" style="2" bestFit="1" customWidth="1"/>
    <col min="10752" max="10999" width="9.140625" style="2"/>
    <col min="11000" max="11000" width="16.28515625" style="2" customWidth="1"/>
    <col min="11001" max="11001" width="9.5703125" style="2" customWidth="1"/>
    <col min="11002" max="11002" width="25.85546875" style="2" customWidth="1"/>
    <col min="11003" max="11003" width="10.7109375" style="2" customWidth="1"/>
    <col min="11004" max="11004" width="40.42578125" style="2" customWidth="1"/>
    <col min="11005" max="11005" width="30.5703125" style="2" customWidth="1"/>
    <col min="11006" max="11006" width="16.42578125" style="2" customWidth="1"/>
    <col min="11007" max="11007" width="13" style="2" bestFit="1" customWidth="1"/>
    <col min="11008" max="11255" width="9.140625" style="2"/>
    <col min="11256" max="11256" width="16.28515625" style="2" customWidth="1"/>
    <col min="11257" max="11257" width="9.5703125" style="2" customWidth="1"/>
    <col min="11258" max="11258" width="25.85546875" style="2" customWidth="1"/>
    <col min="11259" max="11259" width="10.7109375" style="2" customWidth="1"/>
    <col min="11260" max="11260" width="40.42578125" style="2" customWidth="1"/>
    <col min="11261" max="11261" width="30.5703125" style="2" customWidth="1"/>
    <col min="11262" max="11262" width="16.42578125" style="2" customWidth="1"/>
    <col min="11263" max="11263" width="13" style="2" bestFit="1" customWidth="1"/>
    <col min="11264" max="11511" width="9.140625" style="2"/>
    <col min="11512" max="11512" width="16.28515625" style="2" customWidth="1"/>
    <col min="11513" max="11513" width="9.5703125" style="2" customWidth="1"/>
    <col min="11514" max="11514" width="25.85546875" style="2" customWidth="1"/>
    <col min="11515" max="11515" width="10.7109375" style="2" customWidth="1"/>
    <col min="11516" max="11516" width="40.42578125" style="2" customWidth="1"/>
    <col min="11517" max="11517" width="30.5703125" style="2" customWidth="1"/>
    <col min="11518" max="11518" width="16.42578125" style="2" customWidth="1"/>
    <col min="11519" max="11519" width="13" style="2" bestFit="1" customWidth="1"/>
    <col min="11520" max="11767" width="9.140625" style="2"/>
    <col min="11768" max="11768" width="16.28515625" style="2" customWidth="1"/>
    <col min="11769" max="11769" width="9.5703125" style="2" customWidth="1"/>
    <col min="11770" max="11770" width="25.85546875" style="2" customWidth="1"/>
    <col min="11771" max="11771" width="10.7109375" style="2" customWidth="1"/>
    <col min="11772" max="11772" width="40.42578125" style="2" customWidth="1"/>
    <col min="11773" max="11773" width="30.5703125" style="2" customWidth="1"/>
    <col min="11774" max="11774" width="16.42578125" style="2" customWidth="1"/>
    <col min="11775" max="11775" width="13" style="2" bestFit="1" customWidth="1"/>
    <col min="11776" max="12023" width="9.140625" style="2"/>
    <col min="12024" max="12024" width="16.28515625" style="2" customWidth="1"/>
    <col min="12025" max="12025" width="9.5703125" style="2" customWidth="1"/>
    <col min="12026" max="12026" width="25.85546875" style="2" customWidth="1"/>
    <col min="12027" max="12027" width="10.7109375" style="2" customWidth="1"/>
    <col min="12028" max="12028" width="40.42578125" style="2" customWidth="1"/>
    <col min="12029" max="12029" width="30.5703125" style="2" customWidth="1"/>
    <col min="12030" max="12030" width="16.42578125" style="2" customWidth="1"/>
    <col min="12031" max="12031" width="13" style="2" bestFit="1" customWidth="1"/>
    <col min="12032" max="12279" width="9.140625" style="2"/>
    <col min="12280" max="12280" width="16.28515625" style="2" customWidth="1"/>
    <col min="12281" max="12281" width="9.5703125" style="2" customWidth="1"/>
    <col min="12282" max="12282" width="25.85546875" style="2" customWidth="1"/>
    <col min="12283" max="12283" width="10.7109375" style="2" customWidth="1"/>
    <col min="12284" max="12284" width="40.42578125" style="2" customWidth="1"/>
    <col min="12285" max="12285" width="30.5703125" style="2" customWidth="1"/>
    <col min="12286" max="12286" width="16.42578125" style="2" customWidth="1"/>
    <col min="12287" max="12287" width="13" style="2" bestFit="1" customWidth="1"/>
    <col min="12288" max="12535" width="9.140625" style="2"/>
    <col min="12536" max="12536" width="16.28515625" style="2" customWidth="1"/>
    <col min="12537" max="12537" width="9.5703125" style="2" customWidth="1"/>
    <col min="12538" max="12538" width="25.85546875" style="2" customWidth="1"/>
    <col min="12539" max="12539" width="10.7109375" style="2" customWidth="1"/>
    <col min="12540" max="12540" width="40.42578125" style="2" customWidth="1"/>
    <col min="12541" max="12541" width="30.5703125" style="2" customWidth="1"/>
    <col min="12542" max="12542" width="16.42578125" style="2" customWidth="1"/>
    <col min="12543" max="12543" width="13" style="2" bestFit="1" customWidth="1"/>
    <col min="12544" max="12791" width="9.140625" style="2"/>
    <col min="12792" max="12792" width="16.28515625" style="2" customWidth="1"/>
    <col min="12793" max="12793" width="9.5703125" style="2" customWidth="1"/>
    <col min="12794" max="12794" width="25.85546875" style="2" customWidth="1"/>
    <col min="12795" max="12795" width="10.7109375" style="2" customWidth="1"/>
    <col min="12796" max="12796" width="40.42578125" style="2" customWidth="1"/>
    <col min="12797" max="12797" width="30.5703125" style="2" customWidth="1"/>
    <col min="12798" max="12798" width="16.42578125" style="2" customWidth="1"/>
    <col min="12799" max="12799" width="13" style="2" bestFit="1" customWidth="1"/>
    <col min="12800" max="13047" width="9.140625" style="2"/>
    <col min="13048" max="13048" width="16.28515625" style="2" customWidth="1"/>
    <col min="13049" max="13049" width="9.5703125" style="2" customWidth="1"/>
    <col min="13050" max="13050" width="25.85546875" style="2" customWidth="1"/>
    <col min="13051" max="13051" width="10.7109375" style="2" customWidth="1"/>
    <col min="13052" max="13052" width="40.42578125" style="2" customWidth="1"/>
    <col min="13053" max="13053" width="30.5703125" style="2" customWidth="1"/>
    <col min="13054" max="13054" width="16.42578125" style="2" customWidth="1"/>
    <col min="13055" max="13055" width="13" style="2" bestFit="1" customWidth="1"/>
    <col min="13056" max="13303" width="9.140625" style="2"/>
    <col min="13304" max="13304" width="16.28515625" style="2" customWidth="1"/>
    <col min="13305" max="13305" width="9.5703125" style="2" customWidth="1"/>
    <col min="13306" max="13306" width="25.85546875" style="2" customWidth="1"/>
    <col min="13307" max="13307" width="10.7109375" style="2" customWidth="1"/>
    <col min="13308" max="13308" width="40.42578125" style="2" customWidth="1"/>
    <col min="13309" max="13309" width="30.5703125" style="2" customWidth="1"/>
    <col min="13310" max="13310" width="16.42578125" style="2" customWidth="1"/>
    <col min="13311" max="13311" width="13" style="2" bestFit="1" customWidth="1"/>
    <col min="13312" max="13559" width="9.140625" style="2"/>
    <col min="13560" max="13560" width="16.28515625" style="2" customWidth="1"/>
    <col min="13561" max="13561" width="9.5703125" style="2" customWidth="1"/>
    <col min="13562" max="13562" width="25.85546875" style="2" customWidth="1"/>
    <col min="13563" max="13563" width="10.7109375" style="2" customWidth="1"/>
    <col min="13564" max="13564" width="40.42578125" style="2" customWidth="1"/>
    <col min="13565" max="13565" width="30.5703125" style="2" customWidth="1"/>
    <col min="13566" max="13566" width="16.42578125" style="2" customWidth="1"/>
    <col min="13567" max="13567" width="13" style="2" bestFit="1" customWidth="1"/>
    <col min="13568" max="13815" width="9.140625" style="2"/>
    <col min="13816" max="13816" width="16.28515625" style="2" customWidth="1"/>
    <col min="13817" max="13817" width="9.5703125" style="2" customWidth="1"/>
    <col min="13818" max="13818" width="25.85546875" style="2" customWidth="1"/>
    <col min="13819" max="13819" width="10.7109375" style="2" customWidth="1"/>
    <col min="13820" max="13820" width="40.42578125" style="2" customWidth="1"/>
    <col min="13821" max="13821" width="30.5703125" style="2" customWidth="1"/>
    <col min="13822" max="13822" width="16.42578125" style="2" customWidth="1"/>
    <col min="13823" max="13823" width="13" style="2" bestFit="1" customWidth="1"/>
    <col min="13824" max="14071" width="9.140625" style="2"/>
    <col min="14072" max="14072" width="16.28515625" style="2" customWidth="1"/>
    <col min="14073" max="14073" width="9.5703125" style="2" customWidth="1"/>
    <col min="14074" max="14074" width="25.85546875" style="2" customWidth="1"/>
    <col min="14075" max="14075" width="10.7109375" style="2" customWidth="1"/>
    <col min="14076" max="14076" width="40.42578125" style="2" customWidth="1"/>
    <col min="14077" max="14077" width="30.5703125" style="2" customWidth="1"/>
    <col min="14078" max="14078" width="16.42578125" style="2" customWidth="1"/>
    <col min="14079" max="14079" width="13" style="2" bestFit="1" customWidth="1"/>
    <col min="14080" max="14327" width="9.140625" style="2"/>
    <col min="14328" max="14328" width="16.28515625" style="2" customWidth="1"/>
    <col min="14329" max="14329" width="9.5703125" style="2" customWidth="1"/>
    <col min="14330" max="14330" width="25.85546875" style="2" customWidth="1"/>
    <col min="14331" max="14331" width="10.7109375" style="2" customWidth="1"/>
    <col min="14332" max="14332" width="40.42578125" style="2" customWidth="1"/>
    <col min="14333" max="14333" width="30.5703125" style="2" customWidth="1"/>
    <col min="14334" max="14334" width="16.42578125" style="2" customWidth="1"/>
    <col min="14335" max="14335" width="13" style="2" bestFit="1" customWidth="1"/>
    <col min="14336" max="14583" width="9.140625" style="2"/>
    <col min="14584" max="14584" width="16.28515625" style="2" customWidth="1"/>
    <col min="14585" max="14585" width="9.5703125" style="2" customWidth="1"/>
    <col min="14586" max="14586" width="25.85546875" style="2" customWidth="1"/>
    <col min="14587" max="14587" width="10.7109375" style="2" customWidth="1"/>
    <col min="14588" max="14588" width="40.42578125" style="2" customWidth="1"/>
    <col min="14589" max="14589" width="30.5703125" style="2" customWidth="1"/>
    <col min="14590" max="14590" width="16.42578125" style="2" customWidth="1"/>
    <col min="14591" max="14591" width="13" style="2" bestFit="1" customWidth="1"/>
    <col min="14592" max="14839" width="9.140625" style="2"/>
    <col min="14840" max="14840" width="16.28515625" style="2" customWidth="1"/>
    <col min="14841" max="14841" width="9.5703125" style="2" customWidth="1"/>
    <col min="14842" max="14842" width="25.85546875" style="2" customWidth="1"/>
    <col min="14843" max="14843" width="10.7109375" style="2" customWidth="1"/>
    <col min="14844" max="14844" width="40.42578125" style="2" customWidth="1"/>
    <col min="14845" max="14845" width="30.5703125" style="2" customWidth="1"/>
    <col min="14846" max="14846" width="16.42578125" style="2" customWidth="1"/>
    <col min="14847" max="14847" width="13" style="2" bestFit="1" customWidth="1"/>
    <col min="14848" max="15095" width="9.140625" style="2"/>
    <col min="15096" max="15096" width="16.28515625" style="2" customWidth="1"/>
    <col min="15097" max="15097" width="9.5703125" style="2" customWidth="1"/>
    <col min="15098" max="15098" width="25.85546875" style="2" customWidth="1"/>
    <col min="15099" max="15099" width="10.7109375" style="2" customWidth="1"/>
    <col min="15100" max="15100" width="40.42578125" style="2" customWidth="1"/>
    <col min="15101" max="15101" width="30.5703125" style="2" customWidth="1"/>
    <col min="15102" max="15102" width="16.42578125" style="2" customWidth="1"/>
    <col min="15103" max="15103" width="13" style="2" bestFit="1" customWidth="1"/>
    <col min="15104" max="15351" width="9.140625" style="2"/>
    <col min="15352" max="15352" width="16.28515625" style="2" customWidth="1"/>
    <col min="15353" max="15353" width="9.5703125" style="2" customWidth="1"/>
    <col min="15354" max="15354" width="25.85546875" style="2" customWidth="1"/>
    <col min="15355" max="15355" width="10.7109375" style="2" customWidth="1"/>
    <col min="15356" max="15356" width="40.42578125" style="2" customWidth="1"/>
    <col min="15357" max="15357" width="30.5703125" style="2" customWidth="1"/>
    <col min="15358" max="15358" width="16.42578125" style="2" customWidth="1"/>
    <col min="15359" max="15359" width="13" style="2" bestFit="1" customWidth="1"/>
    <col min="15360" max="15607" width="9.140625" style="2"/>
    <col min="15608" max="15608" width="16.28515625" style="2" customWidth="1"/>
    <col min="15609" max="15609" width="9.5703125" style="2" customWidth="1"/>
    <col min="15610" max="15610" width="25.85546875" style="2" customWidth="1"/>
    <col min="15611" max="15611" width="10.7109375" style="2" customWidth="1"/>
    <col min="15612" max="15612" width="40.42578125" style="2" customWidth="1"/>
    <col min="15613" max="15613" width="30.5703125" style="2" customWidth="1"/>
    <col min="15614" max="15614" width="16.42578125" style="2" customWidth="1"/>
    <col min="15615" max="15615" width="13" style="2" bestFit="1" customWidth="1"/>
    <col min="15616" max="15863" width="9.140625" style="2"/>
    <col min="15864" max="15864" width="16.28515625" style="2" customWidth="1"/>
    <col min="15865" max="15865" width="9.5703125" style="2" customWidth="1"/>
    <col min="15866" max="15866" width="25.85546875" style="2" customWidth="1"/>
    <col min="15867" max="15867" width="10.7109375" style="2" customWidth="1"/>
    <col min="15868" max="15868" width="40.42578125" style="2" customWidth="1"/>
    <col min="15869" max="15869" width="30.5703125" style="2" customWidth="1"/>
    <col min="15870" max="15870" width="16.42578125" style="2" customWidth="1"/>
    <col min="15871" max="15871" width="13" style="2" bestFit="1" customWidth="1"/>
    <col min="15872" max="16119" width="9.140625" style="2"/>
    <col min="16120" max="16120" width="16.28515625" style="2" customWidth="1"/>
    <col min="16121" max="16121" width="9.5703125" style="2" customWidth="1"/>
    <col min="16122" max="16122" width="25.85546875" style="2" customWidth="1"/>
    <col min="16123" max="16123" width="10.7109375" style="2" customWidth="1"/>
    <col min="16124" max="16124" width="40.42578125" style="2" customWidth="1"/>
    <col min="16125" max="16125" width="30.5703125" style="2" customWidth="1"/>
    <col min="16126" max="16126" width="16.42578125" style="2" customWidth="1"/>
    <col min="16127" max="16127" width="13" style="2" bestFit="1" customWidth="1"/>
    <col min="16128" max="16384" width="9.140625" style="2"/>
  </cols>
  <sheetData>
    <row r="1" spans="1:74" ht="15" hidden="1" customHeight="1">
      <c r="AV1" s="751"/>
      <c r="AX1" s="88"/>
      <c r="AZ1" s="88"/>
      <c r="BB1" s="88"/>
    </row>
    <row r="2" spans="1:74" ht="15" hidden="1" customHeight="1">
      <c r="AV2" s="751"/>
      <c r="AX2" s="88"/>
      <c r="AZ2" s="88"/>
      <c r="BB2" s="88"/>
    </row>
    <row r="3" spans="1:74" s="358" customFormat="1">
      <c r="A3" s="836"/>
      <c r="B3" s="934"/>
      <c r="C3" s="837"/>
      <c r="D3" s="838"/>
      <c r="E3" s="836" t="s">
        <v>201</v>
      </c>
      <c r="F3" s="820"/>
      <c r="G3" s="360"/>
      <c r="H3" s="360"/>
      <c r="I3" s="360"/>
      <c r="J3" s="361"/>
      <c r="K3" s="362" t="s">
        <v>215</v>
      </c>
      <c r="L3" s="1012">
        <f t="shared" ref="L3:T3" si="0">L4</f>
        <v>0</v>
      </c>
      <c r="M3" s="363">
        <f t="shared" si="0"/>
        <v>0</v>
      </c>
      <c r="N3" s="363">
        <f t="shared" si="0"/>
        <v>0</v>
      </c>
      <c r="O3" s="363">
        <f t="shared" si="0"/>
        <v>0</v>
      </c>
      <c r="P3" s="364">
        <f t="shared" si="0"/>
        <v>0</v>
      </c>
      <c r="Q3" s="363">
        <f t="shared" si="0"/>
        <v>0</v>
      </c>
      <c r="R3" s="364">
        <f t="shared" si="0"/>
        <v>0</v>
      </c>
      <c r="S3" s="363">
        <f t="shared" si="0"/>
        <v>0</v>
      </c>
      <c r="T3" s="364">
        <f t="shared" si="0"/>
        <v>0</v>
      </c>
      <c r="U3" s="365"/>
      <c r="V3" s="366"/>
      <c r="W3" s="366"/>
      <c r="X3" s="366"/>
      <c r="Z3" s="367">
        <f>AW3+AY3+BA3</f>
        <v>0</v>
      </c>
      <c r="AA3" s="363">
        <f>AX3+AZ3+BB3</f>
        <v>0</v>
      </c>
      <c r="AB3" s="280">
        <f>Z3-AA3</f>
        <v>0</v>
      </c>
      <c r="AC3" s="367">
        <f>BC3+BE3+BG3</f>
        <v>0</v>
      </c>
      <c r="AD3" s="363">
        <f>BD3+BF3+BH3</f>
        <v>0</v>
      </c>
      <c r="AE3" s="280">
        <f>AC3-AD3</f>
        <v>0</v>
      </c>
      <c r="AF3" s="367">
        <f>BI3+BK3+BM3</f>
        <v>0</v>
      </c>
      <c r="AG3" s="363">
        <f>BJ3+BL3+BN3</f>
        <v>0</v>
      </c>
      <c r="AH3" s="280">
        <f>AF3-AG3</f>
        <v>0</v>
      </c>
      <c r="AI3" s="367">
        <f>BO3+BQ3+BS3</f>
        <v>0</v>
      </c>
      <c r="AJ3" s="363">
        <f>BP3+BR3+BT3</f>
        <v>0</v>
      </c>
      <c r="AK3" s="280">
        <f>AI3-AJ3</f>
        <v>0</v>
      </c>
      <c r="AL3" s="368"/>
      <c r="AM3" s="367">
        <f>Z3+AC3</f>
        <v>0</v>
      </c>
      <c r="AN3" s="363">
        <f>AA3+AD3</f>
        <v>0</v>
      </c>
      <c r="AO3" s="280">
        <f>AM3-AN3</f>
        <v>0</v>
      </c>
      <c r="AP3" s="367">
        <f>Z3+AC3+AF3</f>
        <v>0</v>
      </c>
      <c r="AQ3" s="363">
        <f>AA3+AD3+AG3</f>
        <v>0</v>
      </c>
      <c r="AR3" s="280">
        <f>AP3-AQ3</f>
        <v>0</v>
      </c>
      <c r="AS3" s="367">
        <f>Z3+AC3+AF3+AI3</f>
        <v>0</v>
      </c>
      <c r="AT3" s="363">
        <f>AA3+AD3+AG3+AJ3</f>
        <v>0</v>
      </c>
      <c r="AU3" s="280">
        <f>AS3-AT3</f>
        <v>0</v>
      </c>
      <c r="AV3" s="1154"/>
      <c r="AW3" s="367">
        <f t="shared" ref="AW3:BT3" si="1">AW4</f>
        <v>0</v>
      </c>
      <c r="AX3" s="1097">
        <f t="shared" si="1"/>
        <v>0</v>
      </c>
      <c r="AY3" s="363">
        <f t="shared" si="1"/>
        <v>0</v>
      </c>
      <c r="AZ3" s="1097">
        <f t="shared" si="1"/>
        <v>0</v>
      </c>
      <c r="BA3" s="363">
        <f t="shared" si="1"/>
        <v>0</v>
      </c>
      <c r="BB3" s="1119">
        <f t="shared" si="1"/>
        <v>0</v>
      </c>
      <c r="BC3" s="367">
        <f t="shared" si="1"/>
        <v>0</v>
      </c>
      <c r="BD3" s="363">
        <f t="shared" si="1"/>
        <v>0</v>
      </c>
      <c r="BE3" s="363">
        <f t="shared" si="1"/>
        <v>0</v>
      </c>
      <c r="BF3" s="363">
        <f t="shared" si="1"/>
        <v>0</v>
      </c>
      <c r="BG3" s="363">
        <f t="shared" si="1"/>
        <v>0</v>
      </c>
      <c r="BH3" s="369">
        <f t="shared" si="1"/>
        <v>0</v>
      </c>
      <c r="BI3" s="367">
        <f t="shared" si="1"/>
        <v>0</v>
      </c>
      <c r="BJ3" s="363">
        <f t="shared" si="1"/>
        <v>0</v>
      </c>
      <c r="BK3" s="363">
        <f t="shared" si="1"/>
        <v>0</v>
      </c>
      <c r="BL3" s="363">
        <f t="shared" si="1"/>
        <v>0</v>
      </c>
      <c r="BM3" s="363">
        <f t="shared" si="1"/>
        <v>0</v>
      </c>
      <c r="BN3" s="369">
        <f t="shared" si="1"/>
        <v>0</v>
      </c>
      <c r="BO3" s="367">
        <f t="shared" si="1"/>
        <v>0</v>
      </c>
      <c r="BP3" s="363">
        <f t="shared" si="1"/>
        <v>0</v>
      </c>
      <c r="BQ3" s="363">
        <f t="shared" si="1"/>
        <v>0</v>
      </c>
      <c r="BR3" s="363">
        <f t="shared" si="1"/>
        <v>0</v>
      </c>
      <c r="BS3" s="363">
        <f t="shared" si="1"/>
        <v>0</v>
      </c>
      <c r="BT3" s="280">
        <f t="shared" si="1"/>
        <v>0</v>
      </c>
    </row>
    <row r="4" spans="1:74" s="313" customFormat="1">
      <c r="A4" s="839"/>
      <c r="B4" s="935"/>
      <c r="C4" s="840"/>
      <c r="D4" s="841"/>
      <c r="E4" s="839"/>
      <c r="F4" s="821"/>
      <c r="G4" s="314"/>
      <c r="H4" s="739"/>
      <c r="I4" s="739"/>
      <c r="J4" s="740"/>
      <c r="K4" s="317" t="s">
        <v>214</v>
      </c>
      <c r="L4" s="1013"/>
      <c r="M4" s="318"/>
      <c r="N4" s="318"/>
      <c r="O4" s="318"/>
      <c r="P4" s="329"/>
      <c r="Q4" s="319"/>
      <c r="R4" s="329"/>
      <c r="S4" s="319"/>
      <c r="T4" s="329"/>
      <c r="U4" s="335"/>
      <c r="V4" s="320"/>
      <c r="W4" s="320"/>
      <c r="X4" s="320"/>
      <c r="Z4" s="336">
        <f>AW4+AY4+BA4</f>
        <v>0</v>
      </c>
      <c r="AA4" s="337">
        <f>AX4+AZ4+BB4</f>
        <v>0</v>
      </c>
      <c r="AB4" s="338">
        <f>Z4-AA4</f>
        <v>0</v>
      </c>
      <c r="AC4" s="336">
        <f>BC4+BE4+BG4</f>
        <v>0</v>
      </c>
      <c r="AD4" s="337">
        <f>BD4+BF4+BH4</f>
        <v>0</v>
      </c>
      <c r="AE4" s="338">
        <f>AC4-AD4</f>
        <v>0</v>
      </c>
      <c r="AF4" s="336">
        <f>BI4+BK4+BM4</f>
        <v>0</v>
      </c>
      <c r="AG4" s="337">
        <f>BJ4+BL4+BN4</f>
        <v>0</v>
      </c>
      <c r="AH4" s="338">
        <f>AF4-AG4</f>
        <v>0</v>
      </c>
      <c r="AI4" s="336">
        <f>BO4+BQ4+BS4</f>
        <v>0</v>
      </c>
      <c r="AJ4" s="337">
        <f>BP4+BR4+BT4</f>
        <v>0</v>
      </c>
      <c r="AK4" s="338">
        <f>AI4-AJ4</f>
        <v>0</v>
      </c>
      <c r="AL4" s="342"/>
      <c r="AM4" s="336">
        <f>Z4+AC4</f>
        <v>0</v>
      </c>
      <c r="AN4" s="339">
        <f>AA4+AD4</f>
        <v>0</v>
      </c>
      <c r="AO4" s="340">
        <f>AM4-AN4</f>
        <v>0</v>
      </c>
      <c r="AP4" s="336">
        <f>Z4+AC4+AF4</f>
        <v>0</v>
      </c>
      <c r="AQ4" s="339">
        <f>AA4+AD4+AG4</f>
        <v>0</v>
      </c>
      <c r="AR4" s="340">
        <f>AP4-AQ4</f>
        <v>0</v>
      </c>
      <c r="AS4" s="341">
        <f>Z4+AC4+AF4+AI4</f>
        <v>0</v>
      </c>
      <c r="AT4" s="339">
        <f>AA4+AD4+AG4+AJ4</f>
        <v>0</v>
      </c>
      <c r="AU4" s="340">
        <f>AS4-AT4</f>
        <v>0</v>
      </c>
      <c r="AV4" s="1155"/>
      <c r="AW4" s="343"/>
      <c r="AX4" s="1098"/>
      <c r="AY4" s="345"/>
      <c r="AZ4" s="1098"/>
      <c r="BA4" s="345"/>
      <c r="BB4" s="1120"/>
      <c r="BC4" s="347"/>
      <c r="BD4" s="348"/>
      <c r="BE4" s="349"/>
      <c r="BF4" s="348"/>
      <c r="BG4" s="349"/>
      <c r="BH4" s="350"/>
      <c r="BI4" s="351"/>
      <c r="BJ4" s="352"/>
      <c r="BK4" s="337"/>
      <c r="BL4" s="352"/>
      <c r="BM4" s="337"/>
      <c r="BN4" s="353"/>
      <c r="BO4" s="354"/>
      <c r="BP4" s="355"/>
      <c r="BQ4" s="356"/>
      <c r="BR4" s="355"/>
      <c r="BS4" s="356"/>
      <c r="BT4" s="357"/>
    </row>
    <row r="5" spans="1:74" s="523" customFormat="1" ht="39.75" customHeight="1" thickBot="1">
      <c r="A5" s="842"/>
      <c r="B5" s="934"/>
      <c r="C5" s="843"/>
      <c r="D5" s="844"/>
      <c r="E5" s="842"/>
      <c r="F5" s="822"/>
      <c r="G5" s="525"/>
      <c r="H5" s="525"/>
      <c r="I5" s="525"/>
      <c r="J5" s="526"/>
      <c r="K5" s="530" t="s">
        <v>376</v>
      </c>
      <c r="L5" s="685">
        <f t="shared" ref="L5:T5" si="2">SUBTOTAL(9,L12:L169,L175:L176,L183:L294)</f>
        <v>87945331.030000001</v>
      </c>
      <c r="M5" s="685">
        <f t="shared" si="2"/>
        <v>247442.91</v>
      </c>
      <c r="N5" s="685">
        <f t="shared" si="2"/>
        <v>836479.94</v>
      </c>
      <c r="O5" s="685">
        <f t="shared" si="2"/>
        <v>88781810.969999999</v>
      </c>
      <c r="P5" s="685">
        <f t="shared" si="2"/>
        <v>19723128.32</v>
      </c>
      <c r="Q5" s="685">
        <f t="shared" si="2"/>
        <v>69721110.739999995</v>
      </c>
      <c r="R5" s="685">
        <f t="shared" si="2"/>
        <v>0</v>
      </c>
      <c r="S5" s="685">
        <f t="shared" si="2"/>
        <v>69264600.709999993</v>
      </c>
      <c r="T5" s="685">
        <f t="shared" si="2"/>
        <v>0</v>
      </c>
      <c r="U5" s="685"/>
      <c r="V5" s="685">
        <f>SUBTOTAL(9,V12:V169,V175:V176,V183:V294)</f>
        <v>453197.09</v>
      </c>
      <c r="W5" s="685">
        <f>SUBTOTAL(9,W12:W169,W175:W176,W183:W294)</f>
        <v>0</v>
      </c>
      <c r="X5" s="685" t="e">
        <f>SUBTOTAL(9,X12:X169,X175:X176,X183:X294)</f>
        <v>#VALUE!</v>
      </c>
      <c r="Y5" s="685"/>
      <c r="Z5" s="685"/>
      <c r="AA5" s="685"/>
      <c r="AB5" s="685"/>
      <c r="AC5" s="685"/>
      <c r="AD5" s="685"/>
      <c r="AE5" s="685"/>
      <c r="AF5" s="685"/>
      <c r="AG5" s="685"/>
      <c r="AH5" s="685"/>
      <c r="AI5" s="685"/>
      <c r="AJ5" s="685"/>
      <c r="AK5" s="685"/>
      <c r="AL5" s="685"/>
      <c r="AM5" s="685">
        <f t="shared" ref="AM5:BS5" si="3">SUBTOTAL(9,AM12:AM169,AM175:AM176,AM183:AM294)</f>
        <v>57488707.890000001</v>
      </c>
      <c r="AN5" s="685">
        <f t="shared" si="3"/>
        <v>17619707.530000001</v>
      </c>
      <c r="AO5" s="685">
        <f t="shared" si="3"/>
        <v>39869000.359999999</v>
      </c>
      <c r="AP5" s="685">
        <f t="shared" si="3"/>
        <v>70435042.069999993</v>
      </c>
      <c r="AQ5" s="685">
        <f t="shared" si="3"/>
        <v>17730707.530000001</v>
      </c>
      <c r="AR5" s="685">
        <f t="shared" si="3"/>
        <v>52704334.539999999</v>
      </c>
      <c r="AS5" s="685">
        <f t="shared" si="3"/>
        <v>79471650.870000005</v>
      </c>
      <c r="AT5" s="685">
        <f t="shared" si="3"/>
        <v>17804707.530000001</v>
      </c>
      <c r="AU5" s="685">
        <f t="shared" si="3"/>
        <v>61666943.340000004</v>
      </c>
      <c r="AV5" s="1156">
        <f t="shared" si="3"/>
        <v>8443280.1600000001</v>
      </c>
      <c r="AW5" s="685">
        <f t="shared" si="3"/>
        <v>7980195.9699999997</v>
      </c>
      <c r="AX5" s="1099">
        <f t="shared" si="3"/>
        <v>970302.02</v>
      </c>
      <c r="AY5" s="685">
        <f t="shared" si="3"/>
        <v>6201007.6699999999</v>
      </c>
      <c r="AZ5" s="1099">
        <f t="shared" si="3"/>
        <v>7451652.1200000001</v>
      </c>
      <c r="BA5" s="685">
        <f t="shared" si="3"/>
        <v>12016012.43</v>
      </c>
      <c r="BB5" s="1099">
        <f t="shared" si="3"/>
        <v>9052543.3900000006</v>
      </c>
      <c r="BC5" s="685">
        <f t="shared" si="3"/>
        <v>6925610.9900000002</v>
      </c>
      <c r="BD5" s="685">
        <f t="shared" si="3"/>
        <v>81210</v>
      </c>
      <c r="BE5" s="685">
        <f t="shared" si="3"/>
        <v>7224772.46</v>
      </c>
      <c r="BF5" s="685">
        <f t="shared" si="3"/>
        <v>37000</v>
      </c>
      <c r="BG5" s="685">
        <f t="shared" si="3"/>
        <v>17151108.370000001</v>
      </c>
      <c r="BH5" s="685">
        <f t="shared" si="3"/>
        <v>37000</v>
      </c>
      <c r="BI5" s="685">
        <f t="shared" si="3"/>
        <v>5948288.7999999998</v>
      </c>
      <c r="BJ5" s="685">
        <f t="shared" si="3"/>
        <v>37000</v>
      </c>
      <c r="BK5" s="685">
        <f t="shared" si="3"/>
        <v>3723614.27</v>
      </c>
      <c r="BL5" s="685">
        <f t="shared" si="3"/>
        <v>37000</v>
      </c>
      <c r="BM5" s="685">
        <f t="shared" si="3"/>
        <v>3274431.11</v>
      </c>
      <c r="BN5" s="685">
        <f t="shared" si="3"/>
        <v>37000</v>
      </c>
      <c r="BO5" s="685">
        <f t="shared" si="3"/>
        <v>1629110.98</v>
      </c>
      <c r="BP5" s="685">
        <f t="shared" si="3"/>
        <v>37000</v>
      </c>
      <c r="BQ5" s="685">
        <f t="shared" si="3"/>
        <v>2750464.59</v>
      </c>
      <c r="BR5" s="685">
        <f t="shared" si="3"/>
        <v>37000</v>
      </c>
      <c r="BS5" s="685">
        <f t="shared" si="3"/>
        <v>4657033.2300000004</v>
      </c>
      <c r="BT5" s="575">
        <f>SUBTOTAL(9,BT7:BT163,BT169:BT170,BT177:BT260)</f>
        <v>5761430.9000000004</v>
      </c>
    </row>
    <row r="6" spans="1:74" ht="18.75">
      <c r="F6" s="322" t="s">
        <v>137</v>
      </c>
      <c r="G6" s="322"/>
      <c r="H6" s="322"/>
      <c r="I6" s="322"/>
      <c r="J6" s="322"/>
      <c r="K6" s="322"/>
      <c r="L6" s="1014"/>
      <c r="M6" s="322"/>
      <c r="N6" s="322"/>
      <c r="O6" s="322"/>
      <c r="P6" s="327"/>
      <c r="Q6" s="322"/>
      <c r="R6" s="327"/>
      <c r="S6" s="2"/>
      <c r="T6" s="327"/>
      <c r="Z6" s="2"/>
      <c r="AA6" s="2"/>
      <c r="AB6" s="2"/>
      <c r="AC6" s="2"/>
      <c r="AD6" s="2"/>
      <c r="AE6" s="2"/>
      <c r="AF6" s="2"/>
      <c r="AG6" s="2"/>
      <c r="AH6" s="2"/>
      <c r="AI6" s="2"/>
      <c r="AJ6" s="2"/>
      <c r="AK6" s="2"/>
      <c r="AL6" s="273"/>
      <c r="AM6" s="2"/>
      <c r="AN6" s="2"/>
      <c r="AO6" s="2"/>
      <c r="AP6" s="2"/>
      <c r="AQ6" s="2"/>
      <c r="AR6" s="2"/>
      <c r="AS6" s="2"/>
      <c r="AT6" s="2"/>
      <c r="AU6" s="644"/>
      <c r="AW6" s="643"/>
      <c r="AX6" s="1100"/>
      <c r="AY6" s="643"/>
      <c r="AZ6" s="1100"/>
      <c r="BA6" s="643"/>
      <c r="BB6" s="1100"/>
      <c r="BC6" s="643"/>
      <c r="BD6" s="643"/>
      <c r="BE6" s="643"/>
      <c r="BF6" s="643"/>
      <c r="BG6" s="643"/>
      <c r="BH6" s="643"/>
      <c r="BI6" s="643"/>
      <c r="BJ6" s="643"/>
      <c r="BK6" s="643"/>
      <c r="BL6" s="643"/>
      <c r="BM6" s="643"/>
      <c r="BN6" s="643" t="e">
        <f t="shared" ref="BN6:BR6" si="4">ROUND(BN12/$AV$6,0)</f>
        <v>#DIV/0!</v>
      </c>
      <c r="BO6" s="643"/>
      <c r="BP6" s="643" t="e">
        <f t="shared" si="4"/>
        <v>#DIV/0!</v>
      </c>
      <c r="BQ6" s="643"/>
      <c r="BR6" s="643" t="e">
        <f t="shared" si="4"/>
        <v>#DIV/0!</v>
      </c>
      <c r="BS6" s="643"/>
      <c r="BT6" s="2"/>
    </row>
    <row r="7" spans="1:74" ht="18.75">
      <c r="F7" s="323" t="s">
        <v>29</v>
      </c>
      <c r="G7" s="321"/>
      <c r="H7" s="321"/>
      <c r="I7" s="321"/>
      <c r="J7" s="321"/>
      <c r="K7" s="321"/>
      <c r="L7" s="1015"/>
      <c r="M7" s="321"/>
      <c r="N7" s="321"/>
      <c r="O7" s="321"/>
      <c r="Q7" s="321"/>
      <c r="S7" s="2"/>
      <c r="Z7" s="2"/>
      <c r="AA7" s="2"/>
      <c r="AB7" s="2"/>
      <c r="AC7" s="2"/>
      <c r="AD7" s="2"/>
      <c r="AE7" s="2"/>
      <c r="AF7" s="2"/>
      <c r="AG7" s="2"/>
      <c r="AH7" s="2"/>
      <c r="AI7" s="2"/>
      <c r="AJ7" s="2"/>
      <c r="AK7" s="2"/>
      <c r="AL7" s="273"/>
      <c r="AM7" s="2"/>
      <c r="AN7" s="2"/>
      <c r="AO7" s="2"/>
      <c r="AP7" s="2"/>
      <c r="AQ7" s="2"/>
      <c r="AR7" s="2"/>
      <c r="AS7" s="2"/>
      <c r="AT7" s="2"/>
      <c r="AU7" s="2"/>
      <c r="AW7" s="1132" t="s">
        <v>738</v>
      </c>
      <c r="AX7" s="1101"/>
      <c r="AY7" s="2"/>
      <c r="AZ7" s="1101"/>
      <c r="BA7" s="2"/>
      <c r="BB7" s="1101"/>
      <c r="BC7" s="2"/>
      <c r="BD7" s="2"/>
      <c r="BE7" s="2"/>
      <c r="BF7" s="2"/>
      <c r="BG7" s="2"/>
      <c r="BH7" s="2"/>
      <c r="BI7" s="2"/>
      <c r="BJ7" s="2"/>
      <c r="BK7" s="2"/>
      <c r="BL7" s="2"/>
      <c r="BM7" s="2"/>
      <c r="BN7" s="2"/>
      <c r="BO7" s="2"/>
      <c r="BP7" s="2"/>
      <c r="BQ7" s="2"/>
      <c r="BR7" s="2"/>
      <c r="BS7" s="2"/>
      <c r="BT7" s="2"/>
    </row>
    <row r="8" spans="1:74" ht="16.5" thickBot="1">
      <c r="AV8" s="1158" t="s">
        <v>449</v>
      </c>
      <c r="BA8" s="386">
        <f>BB8-AW12-AY12-BA12</f>
        <v>941214.16</v>
      </c>
      <c r="BB8" s="1121">
        <v>9724242</v>
      </c>
      <c r="BG8" s="387">
        <f>BH8-BC12-BE12-BG12</f>
        <v>-3915758</v>
      </c>
      <c r="BH8" s="385">
        <v>9724242</v>
      </c>
      <c r="BM8" s="386">
        <f>BN8-BI12-BK12-BM12</f>
        <v>9101546.2599999998</v>
      </c>
      <c r="BN8" s="385">
        <v>9724242</v>
      </c>
      <c r="BS8" s="386">
        <f>BT8-BO12-BQ12-BS12</f>
        <v>5761430.9000000004</v>
      </c>
      <c r="BT8" s="385">
        <f>ROUND($L$12*25%,2)</f>
        <v>5761430.9000000004</v>
      </c>
    </row>
    <row r="9" spans="1:74" ht="27" customHeight="1" thickBot="1">
      <c r="H9" s="4"/>
      <c r="I9" s="4"/>
      <c r="L9" s="1016"/>
      <c r="Q9" s="5"/>
      <c r="S9" s="5" t="s">
        <v>0</v>
      </c>
      <c r="V9" s="737" t="s">
        <v>382</v>
      </c>
      <c r="W9" s="736" t="s">
        <v>391</v>
      </c>
      <c r="X9" s="738" t="s">
        <v>383</v>
      </c>
      <c r="Z9" s="1489" t="s">
        <v>182</v>
      </c>
      <c r="AA9" s="1490"/>
      <c r="AB9" s="1491"/>
      <c r="AC9" s="1489" t="s">
        <v>181</v>
      </c>
      <c r="AD9" s="1490"/>
      <c r="AE9" s="1491"/>
      <c r="AF9" s="1489" t="s">
        <v>186</v>
      </c>
      <c r="AG9" s="1490"/>
      <c r="AH9" s="1491"/>
      <c r="AI9" s="1489" t="s">
        <v>189</v>
      </c>
      <c r="AJ9" s="1490"/>
      <c r="AK9" s="1491"/>
      <c r="AL9" s="275"/>
      <c r="AM9" s="1492" t="s">
        <v>188</v>
      </c>
      <c r="AN9" s="1493"/>
      <c r="AO9" s="1494"/>
      <c r="AP9" s="1492" t="s">
        <v>187</v>
      </c>
      <c r="AQ9" s="1493"/>
      <c r="AR9" s="1494"/>
      <c r="AS9" s="1492" t="s">
        <v>213</v>
      </c>
      <c r="AT9" s="1493"/>
      <c r="AU9" s="1494"/>
      <c r="AV9" s="1159"/>
      <c r="AW9" s="1495" t="s">
        <v>179</v>
      </c>
      <c r="AX9" s="1520"/>
      <c r="AY9" s="1496" t="s">
        <v>178</v>
      </c>
      <c r="AZ9" s="1520"/>
      <c r="BA9" s="1496" t="s">
        <v>180</v>
      </c>
      <c r="BB9" s="1521"/>
      <c r="BC9" s="1498" t="s">
        <v>183</v>
      </c>
      <c r="BD9" s="1488"/>
      <c r="BE9" s="1488" t="s">
        <v>184</v>
      </c>
      <c r="BF9" s="1488"/>
      <c r="BG9" s="1488" t="s">
        <v>185</v>
      </c>
      <c r="BH9" s="1501"/>
      <c r="BI9" s="1502" t="s">
        <v>190</v>
      </c>
      <c r="BJ9" s="1503"/>
      <c r="BK9" s="1503" t="s">
        <v>191</v>
      </c>
      <c r="BL9" s="1503"/>
      <c r="BM9" s="1503" t="s">
        <v>192</v>
      </c>
      <c r="BN9" s="1504"/>
      <c r="BO9" s="1505" t="s">
        <v>193</v>
      </c>
      <c r="BP9" s="1499"/>
      <c r="BQ9" s="1499" t="s">
        <v>194</v>
      </c>
      <c r="BR9" s="1499"/>
      <c r="BS9" s="1499" t="s">
        <v>195</v>
      </c>
      <c r="BT9" s="1500"/>
      <c r="BU9" s="307" t="s">
        <v>198</v>
      </c>
      <c r="BV9" s="307" t="s">
        <v>199</v>
      </c>
    </row>
    <row r="10" spans="1:74" s="31" customFormat="1" ht="73.5" customHeight="1" thickBot="1">
      <c r="A10" s="845" t="s">
        <v>450</v>
      </c>
      <c r="B10" s="936" t="s">
        <v>451</v>
      </c>
      <c r="C10" s="846" t="s">
        <v>377</v>
      </c>
      <c r="D10" s="847" t="s">
        <v>380</v>
      </c>
      <c r="E10" s="848" t="s">
        <v>200</v>
      </c>
      <c r="F10" s="823" t="s">
        <v>1</v>
      </c>
      <c r="G10" s="12" t="s">
        <v>2</v>
      </c>
      <c r="H10" s="12" t="s">
        <v>68</v>
      </c>
      <c r="I10" s="12" t="s">
        <v>4</v>
      </c>
      <c r="J10" s="12" t="s">
        <v>5</v>
      </c>
      <c r="K10" s="522" t="s">
        <v>6</v>
      </c>
      <c r="L10" s="1017" t="s">
        <v>641</v>
      </c>
      <c r="M10" s="732" t="s">
        <v>73</v>
      </c>
      <c r="N10" s="732" t="s">
        <v>203</v>
      </c>
      <c r="O10" s="732" t="s">
        <v>33</v>
      </c>
      <c r="P10" s="733" t="s">
        <v>62</v>
      </c>
      <c r="Q10" s="732" t="s">
        <v>50</v>
      </c>
      <c r="R10" s="734" t="s">
        <v>62</v>
      </c>
      <c r="S10" s="735" t="s">
        <v>138</v>
      </c>
      <c r="T10" s="659" t="s">
        <v>62</v>
      </c>
      <c r="U10" s="325"/>
      <c r="V10" s="12" t="s">
        <v>210</v>
      </c>
      <c r="W10" s="12" t="s">
        <v>211</v>
      </c>
      <c r="X10" s="12" t="s">
        <v>212</v>
      </c>
      <c r="Z10" s="261" t="s">
        <v>82</v>
      </c>
      <c r="AA10" s="252" t="s">
        <v>177</v>
      </c>
      <c r="AB10" s="268" t="s">
        <v>196</v>
      </c>
      <c r="AC10" s="261" t="s">
        <v>82</v>
      </c>
      <c r="AD10" s="252" t="s">
        <v>177</v>
      </c>
      <c r="AE10" s="268" t="s">
        <v>196</v>
      </c>
      <c r="AF10" s="261" t="s">
        <v>82</v>
      </c>
      <c r="AG10" s="252" t="s">
        <v>177</v>
      </c>
      <c r="AH10" s="268" t="s">
        <v>196</v>
      </c>
      <c r="AI10" s="261" t="s">
        <v>82</v>
      </c>
      <c r="AJ10" s="252" t="s">
        <v>177</v>
      </c>
      <c r="AK10" s="268" t="s">
        <v>196</v>
      </c>
      <c r="AL10" s="276"/>
      <c r="AM10" s="261" t="s">
        <v>82</v>
      </c>
      <c r="AN10" s="246" t="s">
        <v>177</v>
      </c>
      <c r="AO10" s="279" t="s">
        <v>196</v>
      </c>
      <c r="AP10" s="261" t="s">
        <v>82</v>
      </c>
      <c r="AQ10" s="246" t="s">
        <v>177</v>
      </c>
      <c r="AR10" s="279" t="s">
        <v>196</v>
      </c>
      <c r="AS10" s="261" t="s">
        <v>82</v>
      </c>
      <c r="AT10" s="246" t="s">
        <v>177</v>
      </c>
      <c r="AU10" s="279" t="s">
        <v>196</v>
      </c>
      <c r="AV10" s="1160"/>
      <c r="AW10" s="288" t="s">
        <v>82</v>
      </c>
      <c r="AX10" s="1103" t="s">
        <v>177</v>
      </c>
      <c r="AY10" s="285" t="s">
        <v>82</v>
      </c>
      <c r="AZ10" s="1103" t="s">
        <v>177</v>
      </c>
      <c r="BA10" s="285" t="s">
        <v>82</v>
      </c>
      <c r="BB10" s="1122" t="s">
        <v>177</v>
      </c>
      <c r="BC10" s="295" t="s">
        <v>82</v>
      </c>
      <c r="BD10" s="294" t="s">
        <v>177</v>
      </c>
      <c r="BE10" s="293" t="s">
        <v>82</v>
      </c>
      <c r="BF10" s="294" t="s">
        <v>177</v>
      </c>
      <c r="BG10" s="293" t="s">
        <v>82</v>
      </c>
      <c r="BH10" s="296" t="s">
        <v>177</v>
      </c>
      <c r="BI10" s="299" t="s">
        <v>82</v>
      </c>
      <c r="BJ10" s="298" t="s">
        <v>177</v>
      </c>
      <c r="BK10" s="297" t="s">
        <v>82</v>
      </c>
      <c r="BL10" s="298" t="s">
        <v>177</v>
      </c>
      <c r="BM10" s="297" t="s">
        <v>82</v>
      </c>
      <c r="BN10" s="300" t="s">
        <v>177</v>
      </c>
      <c r="BO10" s="304" t="s">
        <v>82</v>
      </c>
      <c r="BP10" s="303" t="s">
        <v>177</v>
      </c>
      <c r="BQ10" s="302" t="s">
        <v>82</v>
      </c>
      <c r="BR10" s="303" t="s">
        <v>177</v>
      </c>
      <c r="BS10" s="302" t="s">
        <v>82</v>
      </c>
      <c r="BT10" s="284" t="s">
        <v>177</v>
      </c>
    </row>
    <row r="11" spans="1:74" s="31" customFormat="1" ht="42" customHeight="1" thickBot="1">
      <c r="A11" s="287">
        <v>1</v>
      </c>
      <c r="B11" s="933"/>
      <c r="C11" s="845"/>
      <c r="D11" s="849"/>
      <c r="E11" s="287" t="s">
        <v>201</v>
      </c>
      <c r="F11" s="306" t="s">
        <v>219</v>
      </c>
      <c r="G11" s="306"/>
      <c r="H11" s="306"/>
      <c r="I11" s="306"/>
      <c r="J11" s="306"/>
      <c r="K11" s="306"/>
      <c r="L11" s="1018"/>
      <c r="M11" s="311"/>
      <c r="N11" s="311"/>
      <c r="O11" s="311"/>
      <c r="P11" s="333"/>
      <c r="Q11" s="311"/>
      <c r="R11" s="333"/>
      <c r="T11" s="333"/>
      <c r="U11" s="325"/>
      <c r="V11" s="308"/>
      <c r="W11" s="308"/>
      <c r="X11" s="308"/>
      <c r="Z11" s="262"/>
      <c r="AA11" s="3"/>
      <c r="AB11" s="257"/>
      <c r="AC11" s="262"/>
      <c r="AD11" s="3"/>
      <c r="AE11" s="257"/>
      <c r="AF11" s="262"/>
      <c r="AG11" s="3"/>
      <c r="AH11" s="257"/>
      <c r="AI11" s="262"/>
      <c r="AJ11" s="3"/>
      <c r="AK11" s="257"/>
      <c r="AL11" s="3"/>
      <c r="AM11" s="262"/>
      <c r="AN11" s="3"/>
      <c r="AO11" s="257"/>
      <c r="AP11" s="262"/>
      <c r="AQ11" s="3"/>
      <c r="AR11" s="257"/>
      <c r="AS11" s="262"/>
      <c r="AT11" s="3"/>
      <c r="AU11" s="257"/>
      <c r="AV11" s="593"/>
      <c r="AW11" s="289"/>
      <c r="AX11" s="1104"/>
      <c r="AY11" s="287"/>
      <c r="AZ11" s="1104"/>
      <c r="BA11" s="287"/>
      <c r="BB11" s="1123"/>
      <c r="BC11" s="289"/>
      <c r="BD11" s="287"/>
      <c r="BE11" s="287"/>
      <c r="BF11" s="287"/>
      <c r="BG11" s="287"/>
      <c r="BH11" s="292"/>
      <c r="BI11" s="289"/>
      <c r="BJ11" s="287"/>
      <c r="BK11" s="287"/>
      <c r="BL11" s="287"/>
      <c r="BM11" s="287"/>
      <c r="BN11" s="292"/>
      <c r="BO11" s="289"/>
      <c r="BP11" s="287"/>
      <c r="BQ11" s="287"/>
      <c r="BR11" s="287"/>
      <c r="BS11" s="287"/>
      <c r="BT11" s="290"/>
    </row>
    <row r="12" spans="1:74" s="378" customFormat="1" ht="32.25" thickBot="1">
      <c r="A12" s="287">
        <v>2</v>
      </c>
      <c r="B12" s="933"/>
      <c r="C12" s="850"/>
      <c r="D12" s="851"/>
      <c r="E12" s="852" t="s">
        <v>201</v>
      </c>
      <c r="F12" s="824" t="s">
        <v>7</v>
      </c>
      <c r="G12" s="376">
        <v>4</v>
      </c>
      <c r="H12" s="376" t="s">
        <v>226</v>
      </c>
      <c r="I12" s="376">
        <v>111</v>
      </c>
      <c r="J12" s="377">
        <v>211</v>
      </c>
      <c r="K12" s="531" t="s">
        <v>8</v>
      </c>
      <c r="L12" s="1019">
        <v>23045723.579999998</v>
      </c>
      <c r="M12" s="972"/>
      <c r="N12" s="972"/>
      <c r="O12" s="1057">
        <f>L12+N12</f>
        <v>23045723.579999998</v>
      </c>
      <c r="P12" s="973">
        <f>41959190-L12-L183</f>
        <v>13850355.550000001</v>
      </c>
      <c r="Q12" s="971">
        <v>24496803.949999999</v>
      </c>
      <c r="R12" s="973"/>
      <c r="S12" s="971">
        <v>24191233.949999999</v>
      </c>
      <c r="T12" s="556"/>
      <c r="U12" s="380"/>
      <c r="V12" s="381"/>
      <c r="W12" s="381"/>
      <c r="X12" s="381"/>
      <c r="Z12" s="382">
        <f t="shared" ref="Z12:AA51" si="5">AW12+AY12+BA12</f>
        <v>8783027.8399999999</v>
      </c>
      <c r="AA12" s="247">
        <f t="shared" si="5"/>
        <v>8479402.4700000007</v>
      </c>
      <c r="AB12" s="383">
        <f t="shared" ref="AB12:AB78" si="6">Z12-AA12</f>
        <v>303625.37</v>
      </c>
      <c r="AC12" s="382">
        <f t="shared" ref="AC12:AD51" si="7">BC12+BE12+BG12</f>
        <v>13640000</v>
      </c>
      <c r="AD12" s="247">
        <f t="shared" si="7"/>
        <v>0</v>
      </c>
      <c r="AE12" s="383">
        <f t="shared" ref="AE12:AE78" si="8">AC12-AD12</f>
        <v>13640000</v>
      </c>
      <c r="AF12" s="382">
        <f t="shared" ref="AF12:AG51" si="9">BI12+BK12+BM12</f>
        <v>622695.74</v>
      </c>
      <c r="AG12" s="247">
        <f t="shared" si="9"/>
        <v>0</v>
      </c>
      <c r="AH12" s="383">
        <f t="shared" ref="AH12:AH78" si="10">AF12-AG12</f>
        <v>622695.74</v>
      </c>
      <c r="AI12" s="382">
        <f t="shared" ref="AI12:AJ51" si="11">BO12+BQ12+BS12</f>
        <v>0</v>
      </c>
      <c r="AJ12" s="247">
        <f t="shared" si="11"/>
        <v>0</v>
      </c>
      <c r="AK12" s="383">
        <f t="shared" ref="AK12:AK78" si="12">AI12-AJ12</f>
        <v>0</v>
      </c>
      <c r="AL12" s="250"/>
      <c r="AM12" s="382">
        <f t="shared" ref="AM12:AN51" si="13">Z12+AC12</f>
        <v>22423027.84</v>
      </c>
      <c r="AN12" s="247">
        <f t="shared" si="13"/>
        <v>8479402.4700000007</v>
      </c>
      <c r="AO12" s="383">
        <f t="shared" ref="AO12:AO78" si="14">AM12-AN12</f>
        <v>13943625.369999999</v>
      </c>
      <c r="AP12" s="382">
        <f t="shared" ref="AP12:AQ51" si="15">Z12+AC12+AF12</f>
        <v>23045723.579999998</v>
      </c>
      <c r="AQ12" s="247">
        <f t="shared" si="15"/>
        <v>8479402.4700000007</v>
      </c>
      <c r="AR12" s="383">
        <f t="shared" ref="AR12:AR78" si="16">AP12-AQ12</f>
        <v>14566321.109999999</v>
      </c>
      <c r="AS12" s="382">
        <f>Z12+AC12+AF12+AI12</f>
        <v>23045723.579999998</v>
      </c>
      <c r="AT12" s="247">
        <f t="shared" ref="AT12:AT78" si="17">AA12+AD12+AG12+AJ12</f>
        <v>8479402.4700000007</v>
      </c>
      <c r="AU12" s="383">
        <f t="shared" ref="AU12:AU78" si="18">AS12-AT12</f>
        <v>14566321.109999999</v>
      </c>
      <c r="AV12" s="599">
        <f t="shared" ref="AV12:AV78" si="19">L12-AS12</f>
        <v>0</v>
      </c>
      <c r="AW12" s="382">
        <v>1390000</v>
      </c>
      <c r="AX12" s="1131">
        <v>948705.39</v>
      </c>
      <c r="AY12" s="247">
        <f>2420000-AY13</f>
        <v>2183027.84</v>
      </c>
      <c r="AZ12" s="1131">
        <v>3500238.93</v>
      </c>
      <c r="BA12" s="247">
        <v>5210000</v>
      </c>
      <c r="BB12" s="1124">
        <v>4030458.15</v>
      </c>
      <c r="BC12" s="382">
        <v>2420000</v>
      </c>
      <c r="BD12" s="247"/>
      <c r="BE12" s="247">
        <v>2420000</v>
      </c>
      <c r="BF12" s="247"/>
      <c r="BG12" s="247">
        <v>8800000</v>
      </c>
      <c r="BH12" s="384"/>
      <c r="BI12" s="382">
        <v>622695.74</v>
      </c>
      <c r="BJ12" s="247"/>
      <c r="BK12" s="247"/>
      <c r="BL12" s="247"/>
      <c r="BM12" s="247"/>
      <c r="BN12" s="384"/>
      <c r="BO12" s="382"/>
      <c r="BP12" s="247"/>
      <c r="BQ12" s="247"/>
      <c r="BR12" s="247"/>
      <c r="BS12" s="247"/>
      <c r="BT12" s="383"/>
      <c r="BU12" s="378">
        <v>0.01</v>
      </c>
      <c r="BV12" s="378" t="s">
        <v>197</v>
      </c>
    </row>
    <row r="13" spans="1:74" s="897" customFormat="1" ht="31.5">
      <c r="A13" s="287">
        <v>3</v>
      </c>
      <c r="B13" s="937"/>
      <c r="C13" s="887"/>
      <c r="D13" s="888"/>
      <c r="E13" s="889" t="s">
        <v>201</v>
      </c>
      <c r="F13" s="890" t="s">
        <v>7</v>
      </c>
      <c r="G13" s="891">
        <v>4</v>
      </c>
      <c r="H13" s="891" t="s">
        <v>489</v>
      </c>
      <c r="I13" s="891">
        <v>111</v>
      </c>
      <c r="J13" s="892">
        <v>211</v>
      </c>
      <c r="K13" s="893" t="s">
        <v>8</v>
      </c>
      <c r="L13" s="1020">
        <v>236972.16</v>
      </c>
      <c r="M13" s="253"/>
      <c r="N13" s="974"/>
      <c r="O13" s="1058">
        <f>L13+N13</f>
        <v>236972.16</v>
      </c>
      <c r="P13" s="975"/>
      <c r="Q13" s="974">
        <v>0</v>
      </c>
      <c r="R13" s="975"/>
      <c r="S13" s="974">
        <v>0</v>
      </c>
      <c r="T13" s="894"/>
      <c r="U13" s="895"/>
      <c r="V13" s="896"/>
      <c r="W13" s="896"/>
      <c r="X13" s="896"/>
      <c r="Z13" s="898">
        <f t="shared" si="5"/>
        <v>236972.16</v>
      </c>
      <c r="AA13" s="253">
        <f t="shared" si="5"/>
        <v>0</v>
      </c>
      <c r="AB13" s="899">
        <f t="shared" si="6"/>
        <v>236972.16</v>
      </c>
      <c r="AC13" s="898">
        <f t="shared" si="7"/>
        <v>0</v>
      </c>
      <c r="AD13" s="253">
        <f t="shared" si="7"/>
        <v>0</v>
      </c>
      <c r="AE13" s="899">
        <f t="shared" si="8"/>
        <v>0</v>
      </c>
      <c r="AF13" s="898">
        <f t="shared" si="9"/>
        <v>0</v>
      </c>
      <c r="AG13" s="253">
        <f t="shared" si="9"/>
        <v>0</v>
      </c>
      <c r="AH13" s="899">
        <f t="shared" si="10"/>
        <v>0</v>
      </c>
      <c r="AI13" s="898">
        <f t="shared" si="11"/>
        <v>0</v>
      </c>
      <c r="AJ13" s="253">
        <f t="shared" si="11"/>
        <v>0</v>
      </c>
      <c r="AK13" s="899">
        <f t="shared" si="12"/>
        <v>0</v>
      </c>
      <c r="AL13" s="256"/>
      <c r="AM13" s="898">
        <f t="shared" si="13"/>
        <v>236972.16</v>
      </c>
      <c r="AN13" s="253">
        <f t="shared" si="13"/>
        <v>0</v>
      </c>
      <c r="AO13" s="899">
        <f t="shared" si="14"/>
        <v>236972.16</v>
      </c>
      <c r="AP13" s="898">
        <f t="shared" si="15"/>
        <v>236972.16</v>
      </c>
      <c r="AQ13" s="253">
        <f t="shared" si="15"/>
        <v>0</v>
      </c>
      <c r="AR13" s="899">
        <f t="shared" si="16"/>
        <v>236972.16</v>
      </c>
      <c r="AS13" s="898">
        <f>Z13+AC13+AF13+AI13</f>
        <v>236972.16</v>
      </c>
      <c r="AT13" s="253">
        <f t="shared" si="17"/>
        <v>0</v>
      </c>
      <c r="AU13" s="899">
        <f t="shared" si="18"/>
        <v>236972.16</v>
      </c>
      <c r="AV13" s="900">
        <f t="shared" si="19"/>
        <v>0</v>
      </c>
      <c r="AW13" s="898"/>
      <c r="AX13" s="1106"/>
      <c r="AY13" s="974">
        <v>236972.16</v>
      </c>
      <c r="AZ13" s="1106"/>
      <c r="BA13" s="253"/>
      <c r="BB13" s="1125"/>
      <c r="BC13" s="898"/>
      <c r="BD13" s="253"/>
      <c r="BE13" s="253"/>
      <c r="BF13" s="253"/>
      <c r="BG13" s="253"/>
      <c r="BH13" s="901"/>
      <c r="BI13" s="898"/>
      <c r="BJ13" s="253"/>
      <c r="BK13" s="253"/>
      <c r="BL13" s="253"/>
      <c r="BM13" s="253"/>
      <c r="BN13" s="901"/>
      <c r="BO13" s="898"/>
      <c r="BP13" s="253"/>
      <c r="BQ13" s="253"/>
      <c r="BR13" s="253"/>
      <c r="BS13" s="253"/>
      <c r="BT13" s="899"/>
      <c r="BU13" s="897">
        <v>0.01</v>
      </c>
      <c r="BV13" s="897" t="s">
        <v>197</v>
      </c>
    </row>
    <row r="14" spans="1:74" s="358" customFormat="1" ht="31.5">
      <c r="A14" s="287">
        <v>4</v>
      </c>
      <c r="B14" s="933"/>
      <c r="C14" s="837"/>
      <c r="D14" s="838"/>
      <c r="E14" s="836" t="s">
        <v>201</v>
      </c>
      <c r="F14" s="820" t="s">
        <v>7</v>
      </c>
      <c r="G14" s="360">
        <v>4</v>
      </c>
      <c r="H14" s="360" t="s">
        <v>226</v>
      </c>
      <c r="I14" s="360">
        <v>119</v>
      </c>
      <c r="J14" s="361">
        <v>213</v>
      </c>
      <c r="K14" s="532" t="s">
        <v>10</v>
      </c>
      <c r="L14" s="1021">
        <v>6605204.9900000002</v>
      </c>
      <c r="M14" s="363"/>
      <c r="N14" s="363"/>
      <c r="O14" s="1051">
        <f t="shared" ref="O14:O80" si="20">L14+N14</f>
        <v>6605204.9900000002</v>
      </c>
      <c r="P14" s="557">
        <f>12475243.59-L14-L188</f>
        <v>4381804.01</v>
      </c>
      <c r="Q14" s="544">
        <v>7276356.8899999997</v>
      </c>
      <c r="R14" s="557"/>
      <c r="S14" s="544">
        <v>7185672.04</v>
      </c>
      <c r="T14" s="557"/>
      <c r="U14" s="365"/>
      <c r="V14" s="366"/>
      <c r="W14" s="366"/>
      <c r="X14" s="366"/>
      <c r="Z14" s="367">
        <f t="shared" si="5"/>
        <v>1374706.23</v>
      </c>
      <c r="AA14" s="363">
        <f t="shared" si="5"/>
        <v>1374706.23</v>
      </c>
      <c r="AB14" s="280">
        <f t="shared" si="6"/>
        <v>0</v>
      </c>
      <c r="AC14" s="367">
        <f t="shared" si="7"/>
        <v>2489448.19</v>
      </c>
      <c r="AD14" s="363">
        <f t="shared" si="7"/>
        <v>0</v>
      </c>
      <c r="AE14" s="280">
        <f t="shared" si="8"/>
        <v>2489448.19</v>
      </c>
      <c r="AF14" s="367">
        <f t="shared" si="9"/>
        <v>2741050.57</v>
      </c>
      <c r="AG14" s="363">
        <f t="shared" si="9"/>
        <v>0</v>
      </c>
      <c r="AH14" s="280">
        <f t="shared" si="10"/>
        <v>2741050.57</v>
      </c>
      <c r="AI14" s="367">
        <f t="shared" si="11"/>
        <v>0</v>
      </c>
      <c r="AJ14" s="363">
        <f t="shared" si="11"/>
        <v>0</v>
      </c>
      <c r="AK14" s="280">
        <f t="shared" si="12"/>
        <v>0</v>
      </c>
      <c r="AL14" s="368"/>
      <c r="AM14" s="367">
        <f t="shared" si="13"/>
        <v>3864154.42</v>
      </c>
      <c r="AN14" s="363">
        <f t="shared" si="13"/>
        <v>1374706.23</v>
      </c>
      <c r="AO14" s="280">
        <f t="shared" si="14"/>
        <v>2489448.19</v>
      </c>
      <c r="AP14" s="367">
        <f t="shared" si="15"/>
        <v>6605204.9900000002</v>
      </c>
      <c r="AQ14" s="363">
        <f t="shared" si="15"/>
        <v>1374706.23</v>
      </c>
      <c r="AR14" s="280">
        <f t="shared" si="16"/>
        <v>5230498.76</v>
      </c>
      <c r="AS14" s="367">
        <f t="shared" ref="AS14:AT73" si="21">Z14+AC14+AF14+AI14</f>
        <v>6605204.9900000002</v>
      </c>
      <c r="AT14" s="363">
        <f t="shared" si="17"/>
        <v>1374706.23</v>
      </c>
      <c r="AU14" s="280">
        <f t="shared" si="18"/>
        <v>5230498.76</v>
      </c>
      <c r="AV14" s="588">
        <f t="shared" si="19"/>
        <v>0</v>
      </c>
      <c r="AW14" s="367">
        <v>4830.41</v>
      </c>
      <c r="AX14" s="1097">
        <v>4830.41</v>
      </c>
      <c r="AY14" s="363">
        <v>517256.52</v>
      </c>
      <c r="AZ14" s="1097">
        <v>517256.52</v>
      </c>
      <c r="BA14" s="363">
        <v>852619.3</v>
      </c>
      <c r="BB14" s="1119">
        <v>852619.3</v>
      </c>
      <c r="BC14" s="367">
        <f>BA12*30.2%-545651.81</f>
        <v>1027768.19</v>
      </c>
      <c r="BD14" s="363"/>
      <c r="BE14" s="363">
        <f>BC12*30.2%</f>
        <v>730840</v>
      </c>
      <c r="BF14" s="363"/>
      <c r="BG14" s="363">
        <f>BE12*30.2%</f>
        <v>730840</v>
      </c>
      <c r="BH14" s="369"/>
      <c r="BI14" s="367">
        <f>BG12*30.2%</f>
        <v>2657600</v>
      </c>
      <c r="BJ14" s="363"/>
      <c r="BK14" s="363">
        <f>BI12*30.2%</f>
        <v>188054.11</v>
      </c>
      <c r="BL14" s="363"/>
      <c r="BM14" s="363">
        <f>BK12*30.2%-68794.05-35809.49</f>
        <v>-104603.54</v>
      </c>
      <c r="BN14" s="369"/>
      <c r="BO14" s="367"/>
      <c r="BP14" s="363"/>
      <c r="BQ14" s="363">
        <f>BO12*30.2%</f>
        <v>0</v>
      </c>
      <c r="BR14" s="363"/>
      <c r="BS14" s="363">
        <f>BQ12*30.2%</f>
        <v>0</v>
      </c>
      <c r="BT14" s="280"/>
      <c r="BV14" s="358" t="s">
        <v>197</v>
      </c>
    </row>
    <row r="15" spans="1:74" s="881" customFormat="1" ht="31.5">
      <c r="A15" s="287">
        <v>5</v>
      </c>
      <c r="B15" s="938"/>
      <c r="C15" s="869"/>
      <c r="D15" s="870"/>
      <c r="E15" s="871" t="s">
        <v>201</v>
      </c>
      <c r="F15" s="872" t="s">
        <v>7</v>
      </c>
      <c r="G15" s="873">
        <v>4</v>
      </c>
      <c r="H15" s="873" t="s">
        <v>489</v>
      </c>
      <c r="I15" s="873">
        <v>119</v>
      </c>
      <c r="J15" s="874">
        <v>213</v>
      </c>
      <c r="K15" s="875" t="s">
        <v>10</v>
      </c>
      <c r="L15" s="1022">
        <v>71565.58</v>
      </c>
      <c r="M15" s="877"/>
      <c r="N15" s="877"/>
      <c r="O15" s="1059">
        <f>L15+N15</f>
        <v>71565.58</v>
      </c>
      <c r="P15" s="878"/>
      <c r="Q15" s="876">
        <v>0</v>
      </c>
      <c r="R15" s="878"/>
      <c r="S15" s="876">
        <v>0</v>
      </c>
      <c r="T15" s="878"/>
      <c r="U15" s="879"/>
      <c r="V15" s="880"/>
      <c r="W15" s="880"/>
      <c r="X15" s="880"/>
      <c r="Z15" s="882">
        <f t="shared" si="5"/>
        <v>71565.58</v>
      </c>
      <c r="AA15" s="877">
        <f t="shared" si="5"/>
        <v>71565.58</v>
      </c>
      <c r="AB15" s="883">
        <f t="shared" si="6"/>
        <v>0</v>
      </c>
      <c r="AC15" s="882">
        <f t="shared" si="7"/>
        <v>0</v>
      </c>
      <c r="AD15" s="877">
        <f t="shared" si="7"/>
        <v>0</v>
      </c>
      <c r="AE15" s="883">
        <f t="shared" si="8"/>
        <v>0</v>
      </c>
      <c r="AF15" s="882">
        <f t="shared" si="9"/>
        <v>0</v>
      </c>
      <c r="AG15" s="877">
        <f t="shared" si="9"/>
        <v>0</v>
      </c>
      <c r="AH15" s="883">
        <f t="shared" si="10"/>
        <v>0</v>
      </c>
      <c r="AI15" s="882">
        <f t="shared" si="11"/>
        <v>0</v>
      </c>
      <c r="AJ15" s="877">
        <f t="shared" si="11"/>
        <v>0</v>
      </c>
      <c r="AK15" s="883">
        <f t="shared" si="12"/>
        <v>0</v>
      </c>
      <c r="AL15" s="884"/>
      <c r="AM15" s="882">
        <f t="shared" si="13"/>
        <v>71565.58</v>
      </c>
      <c r="AN15" s="877">
        <f t="shared" si="13"/>
        <v>71565.58</v>
      </c>
      <c r="AO15" s="883">
        <f t="shared" si="14"/>
        <v>0</v>
      </c>
      <c r="AP15" s="882">
        <f t="shared" si="15"/>
        <v>71565.58</v>
      </c>
      <c r="AQ15" s="877">
        <f t="shared" si="15"/>
        <v>71565.58</v>
      </c>
      <c r="AR15" s="883">
        <f t="shared" si="16"/>
        <v>0</v>
      </c>
      <c r="AS15" s="882">
        <f t="shared" si="21"/>
        <v>71565.58</v>
      </c>
      <c r="AT15" s="877">
        <f t="shared" si="17"/>
        <v>71565.58</v>
      </c>
      <c r="AU15" s="883">
        <f t="shared" si="18"/>
        <v>0</v>
      </c>
      <c r="AV15" s="885">
        <f t="shared" si="19"/>
        <v>0</v>
      </c>
      <c r="AW15" s="882"/>
      <c r="AX15" s="1107"/>
      <c r="AY15" s="877">
        <v>71565.58</v>
      </c>
      <c r="AZ15" s="1107">
        <v>71565.58</v>
      </c>
      <c r="BA15" s="877"/>
      <c r="BB15" s="1126"/>
      <c r="BC15" s="882"/>
      <c r="BD15" s="877"/>
      <c r="BE15" s="877"/>
      <c r="BF15" s="877"/>
      <c r="BG15" s="877"/>
      <c r="BH15" s="886"/>
      <c r="BI15" s="882"/>
      <c r="BJ15" s="877"/>
      <c r="BK15" s="877"/>
      <c r="BL15" s="877"/>
      <c r="BM15" s="877"/>
      <c r="BN15" s="886"/>
      <c r="BO15" s="882"/>
      <c r="BP15" s="877"/>
      <c r="BQ15" s="877"/>
      <c r="BR15" s="877"/>
      <c r="BS15" s="877"/>
      <c r="BT15" s="883"/>
      <c r="BV15" s="881" t="s">
        <v>197</v>
      </c>
    </row>
    <row r="16" spans="1:74" s="358" customFormat="1" ht="31.5">
      <c r="A16" s="287">
        <v>6</v>
      </c>
      <c r="B16" s="933"/>
      <c r="C16" s="837"/>
      <c r="D16" s="838"/>
      <c r="E16" s="836" t="s">
        <v>201</v>
      </c>
      <c r="F16" s="820" t="s">
        <v>135</v>
      </c>
      <c r="G16" s="360">
        <v>4</v>
      </c>
      <c r="H16" s="360" t="s">
        <v>226</v>
      </c>
      <c r="I16" s="360">
        <v>119</v>
      </c>
      <c r="J16" s="361">
        <v>213</v>
      </c>
      <c r="K16" s="532" t="s">
        <v>221</v>
      </c>
      <c r="L16" s="1023">
        <v>0</v>
      </c>
      <c r="M16" s="363"/>
      <c r="N16" s="363"/>
      <c r="O16" s="1051">
        <f t="shared" si="20"/>
        <v>0</v>
      </c>
      <c r="P16" s="557"/>
      <c r="Q16" s="367"/>
      <c r="R16" s="557"/>
      <c r="S16" s="367"/>
      <c r="T16" s="557"/>
      <c r="U16" s="365"/>
      <c r="V16" s="366"/>
      <c r="W16" s="366"/>
      <c r="X16" s="366"/>
      <c r="Z16" s="367">
        <f t="shared" si="5"/>
        <v>0</v>
      </c>
      <c r="AA16" s="363">
        <f t="shared" si="5"/>
        <v>0</v>
      </c>
      <c r="AB16" s="280">
        <f t="shared" si="6"/>
        <v>0</v>
      </c>
      <c r="AC16" s="367">
        <f t="shared" si="7"/>
        <v>0</v>
      </c>
      <c r="AD16" s="363">
        <f t="shared" si="7"/>
        <v>0</v>
      </c>
      <c r="AE16" s="280">
        <f t="shared" si="8"/>
        <v>0</v>
      </c>
      <c r="AF16" s="367">
        <f t="shared" si="9"/>
        <v>0</v>
      </c>
      <c r="AG16" s="363">
        <f t="shared" si="9"/>
        <v>0</v>
      </c>
      <c r="AH16" s="280">
        <f t="shared" si="10"/>
        <v>0</v>
      </c>
      <c r="AI16" s="367">
        <f t="shared" si="11"/>
        <v>0</v>
      </c>
      <c r="AJ16" s="363">
        <f t="shared" si="11"/>
        <v>0</v>
      </c>
      <c r="AK16" s="280">
        <f t="shared" si="12"/>
        <v>0</v>
      </c>
      <c r="AL16" s="368"/>
      <c r="AM16" s="367">
        <f t="shared" si="13"/>
        <v>0</v>
      </c>
      <c r="AN16" s="363">
        <f t="shared" si="13"/>
        <v>0</v>
      </c>
      <c r="AO16" s="280">
        <f t="shared" si="14"/>
        <v>0</v>
      </c>
      <c r="AP16" s="367">
        <f t="shared" si="15"/>
        <v>0</v>
      </c>
      <c r="AQ16" s="363">
        <f t="shared" si="15"/>
        <v>0</v>
      </c>
      <c r="AR16" s="280">
        <f t="shared" si="16"/>
        <v>0</v>
      </c>
      <c r="AS16" s="367">
        <f t="shared" si="21"/>
        <v>0</v>
      </c>
      <c r="AT16" s="363">
        <f t="shared" si="17"/>
        <v>0</v>
      </c>
      <c r="AU16" s="280">
        <f t="shared" si="18"/>
        <v>0</v>
      </c>
      <c r="AV16" s="588">
        <f t="shared" si="19"/>
        <v>0</v>
      </c>
      <c r="AW16" s="367"/>
      <c r="AX16" s="1097"/>
      <c r="AY16" s="363"/>
      <c r="AZ16" s="1097"/>
      <c r="BA16" s="363"/>
      <c r="BB16" s="1119"/>
      <c r="BC16" s="367"/>
      <c r="BD16" s="363"/>
      <c r="BE16" s="363"/>
      <c r="BF16" s="363"/>
      <c r="BG16" s="363"/>
      <c r="BH16" s="369"/>
      <c r="BI16" s="367"/>
      <c r="BJ16" s="363"/>
      <c r="BK16" s="363"/>
      <c r="BL16" s="363"/>
      <c r="BM16" s="363"/>
      <c r="BN16" s="369"/>
      <c r="BO16" s="367"/>
      <c r="BP16" s="363"/>
      <c r="BQ16" s="363"/>
      <c r="BR16" s="363"/>
      <c r="BS16" s="363"/>
      <c r="BT16" s="280"/>
    </row>
    <row r="17" spans="1:72" s="378" customFormat="1" ht="111" customHeight="1">
      <c r="A17" s="287">
        <v>7</v>
      </c>
      <c r="B17" s="933"/>
      <c r="C17" s="850" t="s">
        <v>377</v>
      </c>
      <c r="D17" s="851"/>
      <c r="E17" s="852" t="s">
        <v>201</v>
      </c>
      <c r="F17" s="824" t="s">
        <v>7</v>
      </c>
      <c r="G17" s="376">
        <v>4</v>
      </c>
      <c r="H17" s="376" t="s">
        <v>71</v>
      </c>
      <c r="I17" s="376">
        <v>111</v>
      </c>
      <c r="J17" s="377">
        <v>211</v>
      </c>
      <c r="K17" s="531" t="s">
        <v>513</v>
      </c>
      <c r="L17" s="1024">
        <f>SUM(L18:L22)</f>
        <v>95000</v>
      </c>
      <c r="M17" s="247"/>
      <c r="N17" s="247">
        <f>SUM(N18:N22)</f>
        <v>0</v>
      </c>
      <c r="O17" s="1060">
        <f t="shared" si="20"/>
        <v>95000</v>
      </c>
      <c r="P17" s="558"/>
      <c r="Q17" s="382">
        <f>SUM(Q18:Q22)</f>
        <v>115000</v>
      </c>
      <c r="R17" s="558"/>
      <c r="S17" s="382">
        <f t="shared" ref="S17" si="22">SUM(S18:S22)</f>
        <v>87000</v>
      </c>
      <c r="T17" s="558"/>
      <c r="U17" s="380"/>
      <c r="V17" s="381"/>
      <c r="W17" s="381"/>
      <c r="X17" s="381"/>
      <c r="Z17" s="382">
        <f t="shared" si="5"/>
        <v>15000</v>
      </c>
      <c r="AA17" s="247">
        <f t="shared" si="5"/>
        <v>15000</v>
      </c>
      <c r="AB17" s="383">
        <f t="shared" si="6"/>
        <v>0</v>
      </c>
      <c r="AC17" s="382">
        <f t="shared" si="7"/>
        <v>41000</v>
      </c>
      <c r="AD17" s="247">
        <f t="shared" si="7"/>
        <v>0</v>
      </c>
      <c r="AE17" s="383">
        <f t="shared" si="8"/>
        <v>41000</v>
      </c>
      <c r="AF17" s="382">
        <f t="shared" si="9"/>
        <v>12000</v>
      </c>
      <c r="AG17" s="247">
        <f t="shared" si="9"/>
        <v>0</v>
      </c>
      <c r="AH17" s="383">
        <f t="shared" si="10"/>
        <v>12000</v>
      </c>
      <c r="AI17" s="382">
        <f t="shared" si="11"/>
        <v>27000</v>
      </c>
      <c r="AJ17" s="247">
        <f t="shared" si="11"/>
        <v>0</v>
      </c>
      <c r="AK17" s="383">
        <f t="shared" si="12"/>
        <v>27000</v>
      </c>
      <c r="AL17" s="250"/>
      <c r="AM17" s="382">
        <f t="shared" si="13"/>
        <v>56000</v>
      </c>
      <c r="AN17" s="247">
        <f t="shared" si="13"/>
        <v>15000</v>
      </c>
      <c r="AO17" s="383">
        <f t="shared" si="14"/>
        <v>41000</v>
      </c>
      <c r="AP17" s="382">
        <f t="shared" si="15"/>
        <v>68000</v>
      </c>
      <c r="AQ17" s="247">
        <f t="shared" si="15"/>
        <v>15000</v>
      </c>
      <c r="AR17" s="383">
        <f t="shared" si="16"/>
        <v>53000</v>
      </c>
      <c r="AS17" s="382">
        <f t="shared" si="21"/>
        <v>95000</v>
      </c>
      <c r="AT17" s="247">
        <f t="shared" si="17"/>
        <v>15000</v>
      </c>
      <c r="AU17" s="383">
        <f t="shared" si="18"/>
        <v>80000</v>
      </c>
      <c r="AV17" s="599">
        <f t="shared" si="19"/>
        <v>0</v>
      </c>
      <c r="AW17" s="382">
        <f t="shared" ref="AW17:BT17" si="23">SUM(AW18:AW22)</f>
        <v>0</v>
      </c>
      <c r="AX17" s="1105">
        <f t="shared" si="23"/>
        <v>0</v>
      </c>
      <c r="AY17" s="247">
        <f t="shared" si="23"/>
        <v>15000</v>
      </c>
      <c r="AZ17" s="1105">
        <f t="shared" si="23"/>
        <v>15000</v>
      </c>
      <c r="BA17" s="247">
        <f t="shared" si="23"/>
        <v>0</v>
      </c>
      <c r="BB17" s="1124">
        <f t="shared" si="23"/>
        <v>0</v>
      </c>
      <c r="BC17" s="382">
        <f t="shared" si="23"/>
        <v>21000</v>
      </c>
      <c r="BD17" s="247">
        <f t="shared" si="23"/>
        <v>0</v>
      </c>
      <c r="BE17" s="247">
        <f t="shared" si="23"/>
        <v>20000</v>
      </c>
      <c r="BF17" s="247">
        <f t="shared" si="23"/>
        <v>0</v>
      </c>
      <c r="BG17" s="247">
        <f t="shared" si="23"/>
        <v>0</v>
      </c>
      <c r="BH17" s="384">
        <f t="shared" si="23"/>
        <v>0</v>
      </c>
      <c r="BI17" s="382">
        <f t="shared" si="23"/>
        <v>7000</v>
      </c>
      <c r="BJ17" s="247">
        <f t="shared" si="23"/>
        <v>0</v>
      </c>
      <c r="BK17" s="247">
        <f t="shared" si="23"/>
        <v>5000</v>
      </c>
      <c r="BL17" s="247">
        <f t="shared" si="23"/>
        <v>0</v>
      </c>
      <c r="BM17" s="247">
        <f t="shared" si="23"/>
        <v>0</v>
      </c>
      <c r="BN17" s="384">
        <f t="shared" si="23"/>
        <v>0</v>
      </c>
      <c r="BO17" s="382">
        <f t="shared" si="23"/>
        <v>7000</v>
      </c>
      <c r="BP17" s="247">
        <f t="shared" si="23"/>
        <v>0</v>
      </c>
      <c r="BQ17" s="247">
        <f t="shared" si="23"/>
        <v>20000</v>
      </c>
      <c r="BR17" s="247">
        <f t="shared" si="23"/>
        <v>0</v>
      </c>
      <c r="BS17" s="247">
        <f t="shared" si="23"/>
        <v>0</v>
      </c>
      <c r="BT17" s="383">
        <f t="shared" si="23"/>
        <v>0</v>
      </c>
    </row>
    <row r="18" spans="1:72" s="313" customFormat="1" ht="25.5" outlineLevel="1">
      <c r="A18" s="287">
        <v>8</v>
      </c>
      <c r="B18" s="933"/>
      <c r="C18" s="840"/>
      <c r="D18" s="841"/>
      <c r="E18" s="839"/>
      <c r="F18" s="821" t="s">
        <v>7</v>
      </c>
      <c r="G18" s="314">
        <v>4</v>
      </c>
      <c r="H18" s="739" t="s">
        <v>71</v>
      </c>
      <c r="I18" s="739">
        <v>111</v>
      </c>
      <c r="J18" s="740">
        <v>211</v>
      </c>
      <c r="K18" s="533" t="s">
        <v>316</v>
      </c>
      <c r="L18" s="1025">
        <v>10000</v>
      </c>
      <c r="M18" s="318"/>
      <c r="N18" s="318"/>
      <c r="O18" s="1052">
        <f t="shared" si="20"/>
        <v>10000</v>
      </c>
      <c r="P18" s="559"/>
      <c r="Q18" s="341">
        <f>10000*3</f>
        <v>30000</v>
      </c>
      <c r="R18" s="559"/>
      <c r="S18" s="341">
        <v>10000</v>
      </c>
      <c r="T18" s="559"/>
      <c r="U18" s="335"/>
      <c r="V18" s="320"/>
      <c r="W18" s="320"/>
      <c r="X18" s="320"/>
      <c r="Z18" s="336">
        <f t="shared" si="5"/>
        <v>0</v>
      </c>
      <c r="AA18" s="337">
        <f t="shared" si="5"/>
        <v>0</v>
      </c>
      <c r="AB18" s="338">
        <f t="shared" si="6"/>
        <v>0</v>
      </c>
      <c r="AC18" s="336">
        <f t="shared" si="7"/>
        <v>10000</v>
      </c>
      <c r="AD18" s="337">
        <f t="shared" si="7"/>
        <v>0</v>
      </c>
      <c r="AE18" s="338">
        <f t="shared" si="8"/>
        <v>10000</v>
      </c>
      <c r="AF18" s="336">
        <f t="shared" si="9"/>
        <v>0</v>
      </c>
      <c r="AG18" s="337">
        <f t="shared" si="9"/>
        <v>0</v>
      </c>
      <c r="AH18" s="338">
        <f t="shared" si="10"/>
        <v>0</v>
      </c>
      <c r="AI18" s="336">
        <f t="shared" si="11"/>
        <v>0</v>
      </c>
      <c r="AJ18" s="337">
        <f t="shared" si="11"/>
        <v>0</v>
      </c>
      <c r="AK18" s="338">
        <f t="shared" si="12"/>
        <v>0</v>
      </c>
      <c r="AL18" s="342"/>
      <c r="AM18" s="336">
        <f t="shared" si="13"/>
        <v>10000</v>
      </c>
      <c r="AN18" s="339">
        <f t="shared" si="13"/>
        <v>0</v>
      </c>
      <c r="AO18" s="340">
        <f t="shared" si="14"/>
        <v>10000</v>
      </c>
      <c r="AP18" s="336">
        <f t="shared" si="15"/>
        <v>10000</v>
      </c>
      <c r="AQ18" s="339">
        <f t="shared" si="15"/>
        <v>0</v>
      </c>
      <c r="AR18" s="340">
        <f t="shared" si="16"/>
        <v>10000</v>
      </c>
      <c r="AS18" s="341">
        <f t="shared" si="21"/>
        <v>10000</v>
      </c>
      <c r="AT18" s="339">
        <f t="shared" si="17"/>
        <v>0</v>
      </c>
      <c r="AU18" s="340">
        <f t="shared" si="18"/>
        <v>10000</v>
      </c>
      <c r="AV18" s="589">
        <f t="shared" si="19"/>
        <v>0</v>
      </c>
      <c r="AW18" s="343"/>
      <c r="AX18" s="1098"/>
      <c r="AY18" s="345"/>
      <c r="AZ18" s="1098"/>
      <c r="BA18" s="345"/>
      <c r="BB18" s="1120"/>
      <c r="BC18" s="347">
        <v>10000</v>
      </c>
      <c r="BD18" s="348"/>
      <c r="BE18" s="349"/>
      <c r="BF18" s="348"/>
      <c r="BG18" s="349"/>
      <c r="BH18" s="350"/>
      <c r="BI18" s="351"/>
      <c r="BJ18" s="352"/>
      <c r="BK18" s="337"/>
      <c r="BL18" s="352"/>
      <c r="BM18" s="337"/>
      <c r="BN18" s="353"/>
      <c r="BO18" s="354"/>
      <c r="BP18" s="355"/>
      <c r="BQ18" s="356"/>
      <c r="BR18" s="355"/>
      <c r="BS18" s="356"/>
      <c r="BT18" s="357"/>
    </row>
    <row r="19" spans="1:72" s="313" customFormat="1" ht="25.5" outlineLevel="1">
      <c r="A19" s="287">
        <v>9</v>
      </c>
      <c r="B19" s="933"/>
      <c r="C19" s="840"/>
      <c r="D19" s="841"/>
      <c r="E19" s="839"/>
      <c r="F19" s="821" t="s">
        <v>7</v>
      </c>
      <c r="G19" s="314">
        <v>4</v>
      </c>
      <c r="H19" s="739" t="s">
        <v>71</v>
      </c>
      <c r="I19" s="739">
        <v>111</v>
      </c>
      <c r="J19" s="740">
        <v>211</v>
      </c>
      <c r="K19" s="533" t="s">
        <v>317</v>
      </c>
      <c r="L19" s="1025">
        <f>20000*2</f>
        <v>40000</v>
      </c>
      <c r="M19" s="318"/>
      <c r="N19" s="318"/>
      <c r="O19" s="1052">
        <f t="shared" si="20"/>
        <v>40000</v>
      </c>
      <c r="P19" s="559"/>
      <c r="Q19" s="341">
        <f>20000*2</f>
        <v>40000</v>
      </c>
      <c r="R19" s="559"/>
      <c r="S19" s="341">
        <f>20000*2</f>
        <v>40000</v>
      </c>
      <c r="T19" s="559"/>
      <c r="U19" s="335"/>
      <c r="V19" s="320"/>
      <c r="W19" s="320"/>
      <c r="X19" s="320"/>
      <c r="Z19" s="336">
        <f t="shared" si="5"/>
        <v>0</v>
      </c>
      <c r="AA19" s="337">
        <f t="shared" si="5"/>
        <v>0</v>
      </c>
      <c r="AB19" s="338">
        <f t="shared" si="6"/>
        <v>0</v>
      </c>
      <c r="AC19" s="336">
        <f t="shared" si="7"/>
        <v>20000</v>
      </c>
      <c r="AD19" s="337">
        <f t="shared" si="7"/>
        <v>0</v>
      </c>
      <c r="AE19" s="338">
        <f t="shared" si="8"/>
        <v>20000</v>
      </c>
      <c r="AF19" s="336">
        <f t="shared" si="9"/>
        <v>0</v>
      </c>
      <c r="AG19" s="337">
        <f t="shared" si="9"/>
        <v>0</v>
      </c>
      <c r="AH19" s="338">
        <f t="shared" si="10"/>
        <v>0</v>
      </c>
      <c r="AI19" s="336">
        <f t="shared" si="11"/>
        <v>20000</v>
      </c>
      <c r="AJ19" s="337">
        <f t="shared" si="11"/>
        <v>0</v>
      </c>
      <c r="AK19" s="338">
        <f t="shared" si="12"/>
        <v>20000</v>
      </c>
      <c r="AL19" s="342"/>
      <c r="AM19" s="336">
        <f t="shared" si="13"/>
        <v>20000</v>
      </c>
      <c r="AN19" s="339">
        <f t="shared" si="13"/>
        <v>0</v>
      </c>
      <c r="AO19" s="340">
        <f t="shared" si="14"/>
        <v>20000</v>
      </c>
      <c r="AP19" s="336">
        <f t="shared" si="15"/>
        <v>20000</v>
      </c>
      <c r="AQ19" s="339">
        <f t="shared" si="15"/>
        <v>0</v>
      </c>
      <c r="AR19" s="340">
        <f t="shared" si="16"/>
        <v>20000</v>
      </c>
      <c r="AS19" s="341">
        <f t="shared" si="21"/>
        <v>40000</v>
      </c>
      <c r="AT19" s="339">
        <f t="shared" si="17"/>
        <v>0</v>
      </c>
      <c r="AU19" s="340">
        <f t="shared" si="18"/>
        <v>40000</v>
      </c>
      <c r="AV19" s="589">
        <f t="shared" si="19"/>
        <v>0</v>
      </c>
      <c r="AW19" s="343"/>
      <c r="AX19" s="1098"/>
      <c r="AY19" s="345"/>
      <c r="AZ19" s="1098"/>
      <c r="BA19" s="345"/>
      <c r="BB19" s="1120"/>
      <c r="BC19" s="347"/>
      <c r="BD19" s="348"/>
      <c r="BE19" s="349">
        <v>20000</v>
      </c>
      <c r="BF19" s="348"/>
      <c r="BG19" s="349"/>
      <c r="BH19" s="350"/>
      <c r="BI19" s="351"/>
      <c r="BJ19" s="352"/>
      <c r="BK19" s="337"/>
      <c r="BL19" s="352"/>
      <c r="BM19" s="337"/>
      <c r="BN19" s="353"/>
      <c r="BO19" s="354"/>
      <c r="BP19" s="355"/>
      <c r="BQ19" s="356">
        <v>20000</v>
      </c>
      <c r="BR19" s="355"/>
      <c r="BS19" s="356"/>
      <c r="BT19" s="357"/>
    </row>
    <row r="20" spans="1:72" s="313" customFormat="1" ht="25.5" outlineLevel="1">
      <c r="A20" s="287">
        <v>10</v>
      </c>
      <c r="B20" s="1148" t="s">
        <v>683</v>
      </c>
      <c r="C20" s="840"/>
      <c r="D20" s="841"/>
      <c r="E20" s="839"/>
      <c r="F20" s="821" t="s">
        <v>7</v>
      </c>
      <c r="G20" s="314">
        <v>4</v>
      </c>
      <c r="H20" s="739" t="s">
        <v>71</v>
      </c>
      <c r="I20" s="739">
        <v>111</v>
      </c>
      <c r="J20" s="740">
        <v>211</v>
      </c>
      <c r="K20" s="533" t="s">
        <v>318</v>
      </c>
      <c r="L20" s="1025">
        <f>5000*3-10000</f>
        <v>5000</v>
      </c>
      <c r="M20" s="318"/>
      <c r="N20" s="318"/>
      <c r="O20" s="1052">
        <f t="shared" si="20"/>
        <v>5000</v>
      </c>
      <c r="P20" s="559"/>
      <c r="Q20" s="341">
        <f>5000*3</f>
        <v>15000</v>
      </c>
      <c r="R20" s="559"/>
      <c r="S20" s="341">
        <f>5000*3</f>
        <v>15000</v>
      </c>
      <c r="T20" s="559"/>
      <c r="U20" s="335"/>
      <c r="V20" s="320"/>
      <c r="W20" s="320"/>
      <c r="X20" s="320"/>
      <c r="Z20" s="336">
        <f t="shared" si="5"/>
        <v>0</v>
      </c>
      <c r="AA20" s="337">
        <f t="shared" si="5"/>
        <v>0</v>
      </c>
      <c r="AB20" s="338">
        <f t="shared" si="6"/>
        <v>0</v>
      </c>
      <c r="AC20" s="336">
        <f t="shared" si="7"/>
        <v>0</v>
      </c>
      <c r="AD20" s="337">
        <f t="shared" si="7"/>
        <v>0</v>
      </c>
      <c r="AE20" s="338">
        <f t="shared" si="8"/>
        <v>0</v>
      </c>
      <c r="AF20" s="336">
        <f t="shared" si="9"/>
        <v>5000</v>
      </c>
      <c r="AG20" s="337">
        <f t="shared" si="9"/>
        <v>0</v>
      </c>
      <c r="AH20" s="338">
        <f t="shared" si="10"/>
        <v>5000</v>
      </c>
      <c r="AI20" s="336">
        <f t="shared" si="11"/>
        <v>0</v>
      </c>
      <c r="AJ20" s="337">
        <f t="shared" si="11"/>
        <v>0</v>
      </c>
      <c r="AK20" s="338">
        <f t="shared" si="12"/>
        <v>0</v>
      </c>
      <c r="AL20" s="342"/>
      <c r="AM20" s="336">
        <f t="shared" si="13"/>
        <v>0</v>
      </c>
      <c r="AN20" s="339">
        <f t="shared" si="13"/>
        <v>0</v>
      </c>
      <c r="AO20" s="340">
        <f t="shared" si="14"/>
        <v>0</v>
      </c>
      <c r="AP20" s="336">
        <f t="shared" si="15"/>
        <v>5000</v>
      </c>
      <c r="AQ20" s="339">
        <f t="shared" si="15"/>
        <v>0</v>
      </c>
      <c r="AR20" s="340">
        <f t="shared" si="16"/>
        <v>5000</v>
      </c>
      <c r="AS20" s="341">
        <f t="shared" si="21"/>
        <v>5000</v>
      </c>
      <c r="AT20" s="339">
        <f t="shared" si="17"/>
        <v>0</v>
      </c>
      <c r="AU20" s="340">
        <f t="shared" si="18"/>
        <v>5000</v>
      </c>
      <c r="AV20" s="589">
        <f t="shared" si="19"/>
        <v>0</v>
      </c>
      <c r="AW20" s="343"/>
      <c r="AX20" s="1098"/>
      <c r="AY20" s="345"/>
      <c r="AZ20" s="1098"/>
      <c r="BA20" s="345"/>
      <c r="BB20" s="1120"/>
      <c r="BC20" s="347"/>
      <c r="BD20" s="348"/>
      <c r="BE20" s="349"/>
      <c r="BF20" s="348"/>
      <c r="BG20" s="349"/>
      <c r="BH20" s="350"/>
      <c r="BI20" s="351"/>
      <c r="BJ20" s="352"/>
      <c r="BK20" s="337">
        <v>5000</v>
      </c>
      <c r="BL20" s="352"/>
      <c r="BM20" s="337"/>
      <c r="BN20" s="353"/>
      <c r="BO20" s="354"/>
      <c r="BP20" s="355"/>
      <c r="BQ20" s="356"/>
      <c r="BR20" s="355"/>
      <c r="BS20" s="356"/>
      <c r="BT20" s="357"/>
    </row>
    <row r="21" spans="1:72" s="313" customFormat="1" ht="25.5" outlineLevel="1">
      <c r="A21" s="287">
        <v>11</v>
      </c>
      <c r="B21" s="1151" t="s">
        <v>682</v>
      </c>
      <c r="C21" s="840"/>
      <c r="D21" s="841"/>
      <c r="E21" s="839"/>
      <c r="F21" s="821" t="s">
        <v>7</v>
      </c>
      <c r="G21" s="314">
        <v>4</v>
      </c>
      <c r="H21" s="739" t="s">
        <v>71</v>
      </c>
      <c r="I21" s="739">
        <v>111</v>
      </c>
      <c r="J21" s="740">
        <v>211</v>
      </c>
      <c r="K21" s="533" t="s">
        <v>680</v>
      </c>
      <c r="L21" s="1025">
        <v>10000</v>
      </c>
      <c r="M21" s="318"/>
      <c r="N21" s="318"/>
      <c r="O21" s="1052">
        <f t="shared" si="20"/>
        <v>10000</v>
      </c>
      <c r="P21" s="559"/>
      <c r="Q21" s="341">
        <v>0</v>
      </c>
      <c r="R21" s="559"/>
      <c r="S21" s="341">
        <v>0</v>
      </c>
      <c r="T21" s="559"/>
      <c r="U21" s="335"/>
      <c r="V21" s="320"/>
      <c r="W21" s="320"/>
      <c r="X21" s="320"/>
      <c r="Z21" s="336"/>
      <c r="AA21" s="337"/>
      <c r="AB21" s="338"/>
      <c r="AC21" s="336"/>
      <c r="AD21" s="337"/>
      <c r="AE21" s="338"/>
      <c r="AF21" s="336"/>
      <c r="AG21" s="337"/>
      <c r="AH21" s="338"/>
      <c r="AI21" s="336"/>
      <c r="AJ21" s="337"/>
      <c r="AK21" s="338"/>
      <c r="AL21" s="342"/>
      <c r="AM21" s="336"/>
      <c r="AN21" s="339"/>
      <c r="AO21" s="340"/>
      <c r="AP21" s="336"/>
      <c r="AQ21" s="339"/>
      <c r="AR21" s="340"/>
      <c r="AS21" s="341"/>
      <c r="AT21" s="339"/>
      <c r="AU21" s="340"/>
      <c r="AV21" s="589"/>
      <c r="AW21" s="343"/>
      <c r="AX21" s="1098"/>
      <c r="AY21" s="345">
        <v>10000</v>
      </c>
      <c r="AZ21" s="1098">
        <v>10000</v>
      </c>
      <c r="BA21" s="345"/>
      <c r="BB21" s="1120"/>
      <c r="BC21" s="347"/>
      <c r="BD21" s="348"/>
      <c r="BE21" s="349"/>
      <c r="BF21" s="348"/>
      <c r="BG21" s="349"/>
      <c r="BH21" s="350"/>
      <c r="BI21" s="351"/>
      <c r="BJ21" s="352"/>
      <c r="BK21" s="337"/>
      <c r="BL21" s="352"/>
      <c r="BM21" s="337"/>
      <c r="BN21" s="353"/>
      <c r="BO21" s="354"/>
      <c r="BP21" s="355"/>
      <c r="BQ21" s="356"/>
      <c r="BR21" s="355"/>
      <c r="BS21" s="356"/>
      <c r="BT21" s="357"/>
    </row>
    <row r="22" spans="1:72" s="313" customFormat="1" ht="38.25" outlineLevel="1">
      <c r="A22" s="287">
        <v>12</v>
      </c>
      <c r="B22" s="936"/>
      <c r="C22" s="840"/>
      <c r="D22" s="841"/>
      <c r="E22" s="839"/>
      <c r="F22" s="821" t="s">
        <v>7</v>
      </c>
      <c r="G22" s="314">
        <v>4</v>
      </c>
      <c r="H22" s="739" t="s">
        <v>71</v>
      </c>
      <c r="I22" s="739">
        <v>111</v>
      </c>
      <c r="J22" s="740">
        <v>211</v>
      </c>
      <c r="K22" s="533" t="s">
        <v>322</v>
      </c>
      <c r="L22" s="1025">
        <f>1000*9*4-6000</f>
        <v>30000</v>
      </c>
      <c r="M22" s="318"/>
      <c r="N22" s="318"/>
      <c r="O22" s="1052">
        <f t="shared" si="20"/>
        <v>30000</v>
      </c>
      <c r="P22" s="559"/>
      <c r="Q22" s="341">
        <f>1000*7*4+1000*1*2</f>
        <v>30000</v>
      </c>
      <c r="R22" s="559"/>
      <c r="S22" s="341">
        <f>1000*4*4+1000*2*3</f>
        <v>22000</v>
      </c>
      <c r="T22" s="559"/>
      <c r="U22" s="335"/>
      <c r="V22" s="320"/>
      <c r="W22" s="320"/>
      <c r="X22" s="320"/>
      <c r="Z22" s="336">
        <f t="shared" si="5"/>
        <v>5000</v>
      </c>
      <c r="AA22" s="337">
        <f t="shared" si="5"/>
        <v>5000</v>
      </c>
      <c r="AB22" s="338">
        <f t="shared" si="6"/>
        <v>0</v>
      </c>
      <c r="AC22" s="336">
        <f t="shared" si="7"/>
        <v>11000</v>
      </c>
      <c r="AD22" s="337">
        <f t="shared" si="7"/>
        <v>0</v>
      </c>
      <c r="AE22" s="338">
        <f t="shared" si="8"/>
        <v>11000</v>
      </c>
      <c r="AF22" s="336">
        <f t="shared" si="9"/>
        <v>7000</v>
      </c>
      <c r="AG22" s="337">
        <f t="shared" si="9"/>
        <v>0</v>
      </c>
      <c r="AH22" s="338">
        <f t="shared" si="10"/>
        <v>7000</v>
      </c>
      <c r="AI22" s="336">
        <f t="shared" si="11"/>
        <v>7000</v>
      </c>
      <c r="AJ22" s="337">
        <f t="shared" si="11"/>
        <v>0</v>
      </c>
      <c r="AK22" s="338">
        <f t="shared" si="12"/>
        <v>7000</v>
      </c>
      <c r="AL22" s="342"/>
      <c r="AM22" s="336">
        <f t="shared" si="13"/>
        <v>16000</v>
      </c>
      <c r="AN22" s="339">
        <f t="shared" si="13"/>
        <v>5000</v>
      </c>
      <c r="AO22" s="340">
        <f t="shared" si="14"/>
        <v>11000</v>
      </c>
      <c r="AP22" s="336">
        <f t="shared" si="15"/>
        <v>23000</v>
      </c>
      <c r="AQ22" s="339">
        <f t="shared" si="15"/>
        <v>5000</v>
      </c>
      <c r="AR22" s="340">
        <f t="shared" si="16"/>
        <v>18000</v>
      </c>
      <c r="AS22" s="341">
        <f t="shared" si="21"/>
        <v>30000</v>
      </c>
      <c r="AT22" s="339">
        <f t="shared" si="17"/>
        <v>5000</v>
      </c>
      <c r="AU22" s="340">
        <f t="shared" si="18"/>
        <v>25000</v>
      </c>
      <c r="AV22" s="589">
        <f t="shared" si="19"/>
        <v>0</v>
      </c>
      <c r="AW22" s="343"/>
      <c r="AX22" s="1098"/>
      <c r="AY22" s="345">
        <v>5000</v>
      </c>
      <c r="AZ22" s="1098">
        <v>5000</v>
      </c>
      <c r="BA22" s="345"/>
      <c r="BB22" s="1120"/>
      <c r="BC22" s="347">
        <f>9000-2000+4000</f>
        <v>11000</v>
      </c>
      <c r="BD22" s="348"/>
      <c r="BE22" s="349"/>
      <c r="BF22" s="348"/>
      <c r="BG22" s="349"/>
      <c r="BH22" s="350"/>
      <c r="BI22" s="351">
        <f>9000-2000</f>
        <v>7000</v>
      </c>
      <c r="BJ22" s="352"/>
      <c r="BK22" s="337"/>
      <c r="BL22" s="352"/>
      <c r="BM22" s="337"/>
      <c r="BN22" s="353"/>
      <c r="BO22" s="354">
        <f>9000-2000</f>
        <v>7000</v>
      </c>
      <c r="BP22" s="355"/>
      <c r="BQ22" s="356"/>
      <c r="BR22" s="355"/>
      <c r="BS22" s="356"/>
      <c r="BT22" s="357"/>
    </row>
    <row r="23" spans="1:72" s="358" customFormat="1" ht="94.5">
      <c r="A23" s="287">
        <v>13</v>
      </c>
      <c r="B23" s="936"/>
      <c r="C23" s="837"/>
      <c r="D23" s="838"/>
      <c r="E23" s="836" t="s">
        <v>201</v>
      </c>
      <c r="F23" s="820" t="s">
        <v>7</v>
      </c>
      <c r="G23" s="360">
        <v>4</v>
      </c>
      <c r="H23" s="360" t="s">
        <v>71</v>
      </c>
      <c r="I23" s="360">
        <v>111</v>
      </c>
      <c r="J23" s="361">
        <v>266</v>
      </c>
      <c r="K23" s="532" t="s">
        <v>536</v>
      </c>
      <c r="L23" s="1023">
        <f>SUM(L24:L26)</f>
        <v>208770.48</v>
      </c>
      <c r="M23" s="363"/>
      <c r="N23" s="363">
        <f>SUM(N24:N26)</f>
        <v>0</v>
      </c>
      <c r="O23" s="1051">
        <f t="shared" si="20"/>
        <v>208770.48</v>
      </c>
      <c r="P23" s="557"/>
      <c r="Q23" s="367">
        <f>SUM(Q24:Q26)</f>
        <v>174498.02</v>
      </c>
      <c r="R23" s="557"/>
      <c r="S23" s="367">
        <f>SUM(S24:S26)</f>
        <v>146516.96</v>
      </c>
      <c r="T23" s="557"/>
      <c r="U23" s="365"/>
      <c r="V23" s="366"/>
      <c r="W23" s="366"/>
      <c r="X23" s="366"/>
      <c r="Z23" s="367">
        <f t="shared" si="5"/>
        <v>13266</v>
      </c>
      <c r="AA23" s="363">
        <f t="shared" si="5"/>
        <v>3414.31</v>
      </c>
      <c r="AB23" s="280">
        <f t="shared" si="6"/>
        <v>9851.69</v>
      </c>
      <c r="AC23" s="367">
        <f t="shared" si="7"/>
        <v>12000</v>
      </c>
      <c r="AD23" s="363">
        <f t="shared" si="7"/>
        <v>0</v>
      </c>
      <c r="AE23" s="280">
        <f t="shared" si="8"/>
        <v>12000</v>
      </c>
      <c r="AF23" s="367">
        <f t="shared" si="9"/>
        <v>168570.48</v>
      </c>
      <c r="AG23" s="363">
        <f t="shared" si="9"/>
        <v>0</v>
      </c>
      <c r="AH23" s="280">
        <f t="shared" si="10"/>
        <v>168570.48</v>
      </c>
      <c r="AI23" s="367">
        <f t="shared" si="11"/>
        <v>14934</v>
      </c>
      <c r="AJ23" s="363">
        <f t="shared" si="11"/>
        <v>0</v>
      </c>
      <c r="AK23" s="280">
        <f t="shared" si="12"/>
        <v>14934</v>
      </c>
      <c r="AL23" s="368"/>
      <c r="AM23" s="367">
        <f t="shared" si="13"/>
        <v>25266</v>
      </c>
      <c r="AN23" s="363">
        <f t="shared" si="13"/>
        <v>3414.31</v>
      </c>
      <c r="AO23" s="280">
        <f t="shared" si="14"/>
        <v>21851.69</v>
      </c>
      <c r="AP23" s="367">
        <f t="shared" si="15"/>
        <v>193836.48</v>
      </c>
      <c r="AQ23" s="363">
        <f t="shared" si="15"/>
        <v>3414.31</v>
      </c>
      <c r="AR23" s="280">
        <f t="shared" si="16"/>
        <v>190422.17</v>
      </c>
      <c r="AS23" s="367">
        <f t="shared" si="21"/>
        <v>208770.48</v>
      </c>
      <c r="AT23" s="363">
        <f t="shared" si="17"/>
        <v>3414.31</v>
      </c>
      <c r="AU23" s="280">
        <f t="shared" si="18"/>
        <v>205356.17</v>
      </c>
      <c r="AV23" s="588">
        <f t="shared" si="19"/>
        <v>0</v>
      </c>
      <c r="AW23" s="367">
        <f t="shared" ref="AW23:BS23" si="24">SUM(AW24:AW26)</f>
        <v>0</v>
      </c>
      <c r="AX23" s="1097">
        <f t="shared" si="24"/>
        <v>1923.31</v>
      </c>
      <c r="AY23" s="363">
        <f t="shared" si="24"/>
        <v>13266</v>
      </c>
      <c r="AZ23" s="1097">
        <f t="shared" si="24"/>
        <v>574</v>
      </c>
      <c r="BA23" s="363">
        <f t="shared" si="24"/>
        <v>0</v>
      </c>
      <c r="BB23" s="1119">
        <f t="shared" si="24"/>
        <v>917</v>
      </c>
      <c r="BC23" s="367">
        <f t="shared" si="24"/>
        <v>2000</v>
      </c>
      <c r="BD23" s="363">
        <f t="shared" si="24"/>
        <v>0</v>
      </c>
      <c r="BE23" s="363">
        <f t="shared" si="24"/>
        <v>10000</v>
      </c>
      <c r="BF23" s="363">
        <f t="shared" si="24"/>
        <v>0</v>
      </c>
      <c r="BG23" s="363">
        <f t="shared" si="24"/>
        <v>0</v>
      </c>
      <c r="BH23" s="369">
        <f t="shared" si="24"/>
        <v>0</v>
      </c>
      <c r="BI23" s="367">
        <f t="shared" si="24"/>
        <v>2000</v>
      </c>
      <c r="BJ23" s="363">
        <f t="shared" si="24"/>
        <v>0</v>
      </c>
      <c r="BK23" s="363">
        <f t="shared" si="24"/>
        <v>132483.46</v>
      </c>
      <c r="BL23" s="363">
        <f t="shared" si="24"/>
        <v>0</v>
      </c>
      <c r="BM23" s="363">
        <f t="shared" si="24"/>
        <v>34087.019999999997</v>
      </c>
      <c r="BN23" s="369">
        <f t="shared" si="24"/>
        <v>0</v>
      </c>
      <c r="BO23" s="367">
        <f t="shared" si="24"/>
        <v>2000</v>
      </c>
      <c r="BP23" s="363">
        <f t="shared" si="24"/>
        <v>0</v>
      </c>
      <c r="BQ23" s="363">
        <f t="shared" si="24"/>
        <v>6200</v>
      </c>
      <c r="BR23" s="363">
        <f t="shared" si="24"/>
        <v>0</v>
      </c>
      <c r="BS23" s="363">
        <f t="shared" si="24"/>
        <v>6734</v>
      </c>
      <c r="BT23" s="280"/>
    </row>
    <row r="24" spans="1:72" s="313" customFormat="1" ht="38.25">
      <c r="A24" s="287">
        <v>14</v>
      </c>
      <c r="B24" s="936"/>
      <c r="C24" s="840"/>
      <c r="D24" s="841"/>
      <c r="E24" s="839"/>
      <c r="F24" s="821" t="s">
        <v>7</v>
      </c>
      <c r="G24" s="314">
        <v>4</v>
      </c>
      <c r="H24" s="739" t="s">
        <v>71</v>
      </c>
      <c r="I24" s="739">
        <v>111</v>
      </c>
      <c r="J24" s="740">
        <v>266</v>
      </c>
      <c r="K24" s="317" t="s">
        <v>535</v>
      </c>
      <c r="L24" s="1025">
        <v>46200</v>
      </c>
      <c r="M24" s="318"/>
      <c r="N24" s="318"/>
      <c r="O24" s="1052">
        <f t="shared" si="20"/>
        <v>46200</v>
      </c>
      <c r="P24" s="329"/>
      <c r="Q24" s="319">
        <v>46200</v>
      </c>
      <c r="R24" s="329"/>
      <c r="S24" s="319">
        <v>46200</v>
      </c>
      <c r="T24" s="329"/>
      <c r="U24" s="335"/>
      <c r="V24" s="320"/>
      <c r="W24" s="320"/>
      <c r="X24" s="320"/>
      <c r="Z24" s="336">
        <f t="shared" si="5"/>
        <v>13266</v>
      </c>
      <c r="AA24" s="337">
        <f t="shared" si="5"/>
        <v>3414.31</v>
      </c>
      <c r="AB24" s="338">
        <f t="shared" si="6"/>
        <v>9851.69</v>
      </c>
      <c r="AC24" s="336">
        <f t="shared" si="7"/>
        <v>10000</v>
      </c>
      <c r="AD24" s="337">
        <f t="shared" si="7"/>
        <v>0</v>
      </c>
      <c r="AE24" s="338">
        <f t="shared" si="8"/>
        <v>10000</v>
      </c>
      <c r="AF24" s="336">
        <f t="shared" si="9"/>
        <v>10000</v>
      </c>
      <c r="AG24" s="337">
        <f t="shared" si="9"/>
        <v>0</v>
      </c>
      <c r="AH24" s="338">
        <f t="shared" si="10"/>
        <v>10000</v>
      </c>
      <c r="AI24" s="336">
        <f t="shared" si="11"/>
        <v>12934</v>
      </c>
      <c r="AJ24" s="337">
        <f t="shared" si="11"/>
        <v>0</v>
      </c>
      <c r="AK24" s="338">
        <f t="shared" si="12"/>
        <v>12934</v>
      </c>
      <c r="AL24" s="342"/>
      <c r="AM24" s="336">
        <f t="shared" si="13"/>
        <v>23266</v>
      </c>
      <c r="AN24" s="339">
        <f t="shared" si="13"/>
        <v>3414.31</v>
      </c>
      <c r="AO24" s="340">
        <f t="shared" si="14"/>
        <v>19851.689999999999</v>
      </c>
      <c r="AP24" s="336">
        <f t="shared" si="15"/>
        <v>33266</v>
      </c>
      <c r="AQ24" s="339">
        <f t="shared" si="15"/>
        <v>3414.31</v>
      </c>
      <c r="AR24" s="340">
        <f t="shared" si="16"/>
        <v>29851.69</v>
      </c>
      <c r="AS24" s="341">
        <f t="shared" si="21"/>
        <v>46200</v>
      </c>
      <c r="AT24" s="339">
        <f t="shared" si="17"/>
        <v>3414.31</v>
      </c>
      <c r="AU24" s="340">
        <f t="shared" si="18"/>
        <v>42785.69</v>
      </c>
      <c r="AV24" s="589">
        <f t="shared" si="19"/>
        <v>0</v>
      </c>
      <c r="AW24" s="343"/>
      <c r="AX24" s="1098">
        <v>1923.31</v>
      </c>
      <c r="AY24" s="345">
        <f>20000-6734</f>
        <v>13266</v>
      </c>
      <c r="AZ24" s="1098">
        <v>574</v>
      </c>
      <c r="BA24" s="345"/>
      <c r="BB24" s="1120">
        <v>917</v>
      </c>
      <c r="BC24" s="347"/>
      <c r="BD24" s="348"/>
      <c r="BE24" s="349">
        <v>10000</v>
      </c>
      <c r="BF24" s="348"/>
      <c r="BG24" s="349"/>
      <c r="BH24" s="350"/>
      <c r="BI24" s="351"/>
      <c r="BJ24" s="352"/>
      <c r="BK24" s="337">
        <v>10000</v>
      </c>
      <c r="BL24" s="352"/>
      <c r="BM24" s="337"/>
      <c r="BN24" s="353"/>
      <c r="BO24" s="354"/>
      <c r="BP24" s="355"/>
      <c r="BQ24" s="356">
        <v>6200</v>
      </c>
      <c r="BR24" s="355"/>
      <c r="BS24" s="356">
        <v>6734</v>
      </c>
      <c r="BT24" s="357"/>
    </row>
    <row r="25" spans="1:72" s="313" customFormat="1" ht="51">
      <c r="A25" s="287">
        <v>15</v>
      </c>
      <c r="B25" s="936"/>
      <c r="C25" s="840"/>
      <c r="D25" s="841"/>
      <c r="E25" s="839"/>
      <c r="F25" s="821" t="s">
        <v>7</v>
      </c>
      <c r="G25" s="314">
        <v>4</v>
      </c>
      <c r="H25" s="739" t="s">
        <v>71</v>
      </c>
      <c r="I25" s="739">
        <v>111</v>
      </c>
      <c r="J25" s="740">
        <v>266</v>
      </c>
      <c r="K25" s="317" t="s">
        <v>527</v>
      </c>
      <c r="L25" s="1025">
        <v>6000</v>
      </c>
      <c r="M25" s="318"/>
      <c r="N25" s="318"/>
      <c r="O25" s="1052">
        <f t="shared" si="20"/>
        <v>6000</v>
      </c>
      <c r="P25" s="329"/>
      <c r="Q25" s="319">
        <v>0</v>
      </c>
      <c r="R25" s="329"/>
      <c r="S25" s="319">
        <v>0</v>
      </c>
      <c r="T25" s="329"/>
      <c r="U25" s="335"/>
      <c r="V25" s="320"/>
      <c r="W25" s="320"/>
      <c r="X25" s="320"/>
      <c r="Z25" s="336">
        <f>AW25+AY25+BA25</f>
        <v>0</v>
      </c>
      <c r="AA25" s="337">
        <f>AX25+AZ25+BB25</f>
        <v>0</v>
      </c>
      <c r="AB25" s="338">
        <f>Z25-AA25</f>
        <v>0</v>
      </c>
      <c r="AC25" s="336">
        <f>BC25+BE25+BG25</f>
        <v>2000</v>
      </c>
      <c r="AD25" s="337">
        <f>BD25+BF25+BH25</f>
        <v>0</v>
      </c>
      <c r="AE25" s="338">
        <f>AC25-AD25</f>
        <v>2000</v>
      </c>
      <c r="AF25" s="336">
        <f>BI25+BK25+BM25</f>
        <v>2000</v>
      </c>
      <c r="AG25" s="337">
        <f>BJ25+BL25+BN25</f>
        <v>0</v>
      </c>
      <c r="AH25" s="338">
        <f>AF25-AG25</f>
        <v>2000</v>
      </c>
      <c r="AI25" s="336">
        <f>BO25+BQ25+BS25</f>
        <v>2000</v>
      </c>
      <c r="AJ25" s="337">
        <f>BP25+BR25+BT25</f>
        <v>0</v>
      </c>
      <c r="AK25" s="338">
        <f>AI25-AJ25</f>
        <v>2000</v>
      </c>
      <c r="AL25" s="342"/>
      <c r="AM25" s="336">
        <f>Z25+AC25</f>
        <v>2000</v>
      </c>
      <c r="AN25" s="339">
        <f>AA25+AD25</f>
        <v>0</v>
      </c>
      <c r="AO25" s="340">
        <f>AM25-AN25</f>
        <v>2000</v>
      </c>
      <c r="AP25" s="336">
        <f>Z25+AC25+AF25</f>
        <v>4000</v>
      </c>
      <c r="AQ25" s="339">
        <f>AA25+AD25+AG25</f>
        <v>0</v>
      </c>
      <c r="AR25" s="340">
        <f>AP25-AQ25</f>
        <v>4000</v>
      </c>
      <c r="AS25" s="341">
        <f>Z25+AC25+AF25+AI25</f>
        <v>6000</v>
      </c>
      <c r="AT25" s="339">
        <f>AA25+AD25+AG25+AJ25</f>
        <v>0</v>
      </c>
      <c r="AU25" s="340">
        <f>AS25-AT25</f>
        <v>6000</v>
      </c>
      <c r="AV25" s="589"/>
      <c r="AW25" s="343"/>
      <c r="AX25" s="1098"/>
      <c r="AY25" s="345"/>
      <c r="AZ25" s="1098"/>
      <c r="BA25" s="345"/>
      <c r="BB25" s="1120"/>
      <c r="BC25" s="347">
        <v>2000</v>
      </c>
      <c r="BD25" s="348"/>
      <c r="BE25" s="349"/>
      <c r="BF25" s="348"/>
      <c r="BG25" s="349"/>
      <c r="BH25" s="350"/>
      <c r="BI25" s="351">
        <v>2000</v>
      </c>
      <c r="BJ25" s="352"/>
      <c r="BK25" s="337"/>
      <c r="BL25" s="352"/>
      <c r="BM25" s="337"/>
      <c r="BN25" s="353"/>
      <c r="BO25" s="354">
        <v>2000</v>
      </c>
      <c r="BP25" s="355"/>
      <c r="BQ25" s="356"/>
      <c r="BR25" s="355"/>
      <c r="BS25" s="356"/>
      <c r="BT25" s="357"/>
    </row>
    <row r="26" spans="1:72" s="313" customFormat="1" ht="38.25">
      <c r="A26" s="287">
        <v>16</v>
      </c>
      <c r="B26" s="936"/>
      <c r="C26" s="840"/>
      <c r="D26" s="841"/>
      <c r="E26" s="839"/>
      <c r="F26" s="821" t="s">
        <v>7</v>
      </c>
      <c r="G26" s="314">
        <v>4</v>
      </c>
      <c r="H26" s="739" t="s">
        <v>71</v>
      </c>
      <c r="I26" s="739">
        <v>111</v>
      </c>
      <c r="J26" s="740">
        <v>266</v>
      </c>
      <c r="K26" s="317" t="s">
        <v>528</v>
      </c>
      <c r="L26" s="1025">
        <v>156570.48000000001</v>
      </c>
      <c r="M26" s="318"/>
      <c r="N26" s="318"/>
      <c r="O26" s="1052">
        <f t="shared" ref="O26" si="25">L26+N26</f>
        <v>156570.48000000001</v>
      </c>
      <c r="P26" s="329"/>
      <c r="Q26" s="319">
        <f>174498.02-46200</f>
        <v>128298.02</v>
      </c>
      <c r="R26" s="329"/>
      <c r="S26" s="319">
        <f>146516.96-46200</f>
        <v>100316.96</v>
      </c>
      <c r="T26" s="329"/>
      <c r="U26" s="335"/>
      <c r="V26" s="320"/>
      <c r="W26" s="320"/>
      <c r="X26" s="320"/>
      <c r="Z26" s="336">
        <f>AW26+AY26+BA26</f>
        <v>0</v>
      </c>
      <c r="AA26" s="337">
        <f>AX26+AZ26+BB26</f>
        <v>0</v>
      </c>
      <c r="AB26" s="338">
        <f>Z26-AA26</f>
        <v>0</v>
      </c>
      <c r="AC26" s="336">
        <f>BC26+BE26+BG26</f>
        <v>0</v>
      </c>
      <c r="AD26" s="337">
        <f>BD26+BF26+BH26</f>
        <v>0</v>
      </c>
      <c r="AE26" s="338">
        <f>AC26-AD26</f>
        <v>0</v>
      </c>
      <c r="AF26" s="336">
        <f>BI26+BK26+BM26</f>
        <v>156570.48000000001</v>
      </c>
      <c r="AG26" s="337">
        <f>BJ26+BL26+BN26</f>
        <v>0</v>
      </c>
      <c r="AH26" s="338">
        <f>AF26-AG26</f>
        <v>156570.48000000001</v>
      </c>
      <c r="AI26" s="336">
        <f>BO26+BQ26+BS26</f>
        <v>0</v>
      </c>
      <c r="AJ26" s="337">
        <f>BP26+BR26+BT26</f>
        <v>0</v>
      </c>
      <c r="AK26" s="338">
        <f>AI26-AJ26</f>
        <v>0</v>
      </c>
      <c r="AL26" s="342"/>
      <c r="AM26" s="336">
        <f>Z26+AC26</f>
        <v>0</v>
      </c>
      <c r="AN26" s="339">
        <f>AA26+AD26</f>
        <v>0</v>
      </c>
      <c r="AO26" s="340">
        <f>AM26-AN26</f>
        <v>0</v>
      </c>
      <c r="AP26" s="336">
        <f>Z26+AC26+AF26</f>
        <v>156570.48000000001</v>
      </c>
      <c r="AQ26" s="339">
        <f>AA26+AD26+AG26</f>
        <v>0</v>
      </c>
      <c r="AR26" s="340">
        <f>AP26-AQ26</f>
        <v>156570.48000000001</v>
      </c>
      <c r="AS26" s="341">
        <f>Z26+AC26+AF26+AI26</f>
        <v>156570.48000000001</v>
      </c>
      <c r="AT26" s="339">
        <f>AA26+AD26+AG26+AJ26</f>
        <v>0</v>
      </c>
      <c r="AU26" s="340">
        <f>AS26-AT26</f>
        <v>156570.48000000001</v>
      </c>
      <c r="AV26" s="589"/>
      <c r="AW26" s="343"/>
      <c r="AX26" s="1098"/>
      <c r="AY26" s="345"/>
      <c r="AZ26" s="1098"/>
      <c r="BA26" s="345"/>
      <c r="BB26" s="1120"/>
      <c r="BC26" s="347"/>
      <c r="BD26" s="348"/>
      <c r="BE26" s="349"/>
      <c r="BF26" s="348"/>
      <c r="BG26" s="349"/>
      <c r="BH26" s="350"/>
      <c r="BI26" s="351"/>
      <c r="BJ26" s="352"/>
      <c r="BK26" s="337">
        <v>122483.46</v>
      </c>
      <c r="BL26" s="352"/>
      <c r="BM26" s="337">
        <v>34087.019999999997</v>
      </c>
      <c r="BN26" s="353"/>
      <c r="BO26" s="354"/>
      <c r="BP26" s="355"/>
      <c r="BQ26" s="356"/>
      <c r="BR26" s="355"/>
      <c r="BS26" s="356"/>
      <c r="BT26" s="357"/>
    </row>
    <row r="27" spans="1:72" s="358" customFormat="1" ht="85.5" customHeight="1">
      <c r="A27" s="287">
        <v>17</v>
      </c>
      <c r="B27" s="936"/>
      <c r="C27" s="837"/>
      <c r="D27" s="838"/>
      <c r="E27" s="836" t="s">
        <v>201</v>
      </c>
      <c r="F27" s="820" t="s">
        <v>7</v>
      </c>
      <c r="G27" s="360">
        <v>4</v>
      </c>
      <c r="H27" s="360" t="s">
        <v>71</v>
      </c>
      <c r="I27" s="360">
        <v>119</v>
      </c>
      <c r="J27" s="361">
        <v>266</v>
      </c>
      <c r="K27" s="532" t="s">
        <v>530</v>
      </c>
      <c r="L27" s="1023">
        <v>250000</v>
      </c>
      <c r="M27" s="363"/>
      <c r="N27" s="363"/>
      <c r="O27" s="1051">
        <f t="shared" si="20"/>
        <v>250000</v>
      </c>
      <c r="P27" s="557"/>
      <c r="Q27" s="367"/>
      <c r="R27" s="557"/>
      <c r="S27" s="367"/>
      <c r="T27" s="557"/>
      <c r="U27" s="365"/>
      <c r="V27" s="366"/>
      <c r="W27" s="366"/>
      <c r="X27" s="366"/>
      <c r="Z27" s="367">
        <f t="shared" si="5"/>
        <v>37000</v>
      </c>
      <c r="AA27" s="363">
        <f t="shared" si="5"/>
        <v>0</v>
      </c>
      <c r="AB27" s="280">
        <f t="shared" si="6"/>
        <v>37000</v>
      </c>
      <c r="AC27" s="367">
        <f t="shared" si="7"/>
        <v>87000</v>
      </c>
      <c r="AD27" s="363">
        <f t="shared" si="7"/>
        <v>111000</v>
      </c>
      <c r="AE27" s="280">
        <f t="shared" si="8"/>
        <v>-24000</v>
      </c>
      <c r="AF27" s="367">
        <f t="shared" si="9"/>
        <v>63000</v>
      </c>
      <c r="AG27" s="363">
        <f t="shared" si="9"/>
        <v>111000</v>
      </c>
      <c r="AH27" s="280">
        <f t="shared" si="10"/>
        <v>-48000</v>
      </c>
      <c r="AI27" s="367">
        <f t="shared" si="11"/>
        <v>63000</v>
      </c>
      <c r="AJ27" s="363">
        <f t="shared" si="11"/>
        <v>74000</v>
      </c>
      <c r="AK27" s="280">
        <f t="shared" si="12"/>
        <v>-11000</v>
      </c>
      <c r="AL27" s="368"/>
      <c r="AM27" s="367">
        <f t="shared" si="13"/>
        <v>124000</v>
      </c>
      <c r="AN27" s="363">
        <f t="shared" si="13"/>
        <v>111000</v>
      </c>
      <c r="AO27" s="280">
        <f t="shared" si="14"/>
        <v>13000</v>
      </c>
      <c r="AP27" s="367">
        <f t="shared" si="15"/>
        <v>187000</v>
      </c>
      <c r="AQ27" s="363">
        <f t="shared" si="15"/>
        <v>222000</v>
      </c>
      <c r="AR27" s="280">
        <f t="shared" si="16"/>
        <v>-35000</v>
      </c>
      <c r="AS27" s="367">
        <f t="shared" si="21"/>
        <v>250000</v>
      </c>
      <c r="AT27" s="363">
        <f t="shared" si="17"/>
        <v>296000</v>
      </c>
      <c r="AU27" s="280">
        <f t="shared" si="18"/>
        <v>-46000</v>
      </c>
      <c r="AV27" s="588">
        <f t="shared" si="19"/>
        <v>0</v>
      </c>
      <c r="AW27" s="367"/>
      <c r="AX27" s="1097"/>
      <c r="AY27" s="363"/>
      <c r="AZ27" s="1097"/>
      <c r="BA27" s="363">
        <f>13000+24000</f>
        <v>37000</v>
      </c>
      <c r="BB27" s="1119"/>
      <c r="BC27" s="367">
        <f t="shared" ref="BC27:BR27" si="26">13000+24000</f>
        <v>37000</v>
      </c>
      <c r="BD27" s="363">
        <f t="shared" si="26"/>
        <v>37000</v>
      </c>
      <c r="BE27" s="363">
        <f>13000</f>
        <v>13000</v>
      </c>
      <c r="BF27" s="363">
        <f t="shared" si="26"/>
        <v>37000</v>
      </c>
      <c r="BG27" s="363">
        <f t="shared" si="26"/>
        <v>37000</v>
      </c>
      <c r="BH27" s="369">
        <f t="shared" si="26"/>
        <v>37000</v>
      </c>
      <c r="BI27" s="367">
        <f t="shared" si="26"/>
        <v>37000</v>
      </c>
      <c r="BJ27" s="363">
        <f t="shared" si="26"/>
        <v>37000</v>
      </c>
      <c r="BK27" s="363">
        <f>13000</f>
        <v>13000</v>
      </c>
      <c r="BL27" s="363">
        <f t="shared" si="26"/>
        <v>37000</v>
      </c>
      <c r="BM27" s="363">
        <f>13000</f>
        <v>13000</v>
      </c>
      <c r="BN27" s="369">
        <f t="shared" si="26"/>
        <v>37000</v>
      </c>
      <c r="BO27" s="367">
        <f t="shared" si="26"/>
        <v>37000</v>
      </c>
      <c r="BP27" s="363">
        <f t="shared" si="26"/>
        <v>37000</v>
      </c>
      <c r="BQ27" s="363">
        <f>13000</f>
        <v>13000</v>
      </c>
      <c r="BR27" s="363">
        <f t="shared" si="26"/>
        <v>37000</v>
      </c>
      <c r="BS27" s="363">
        <f>13000</f>
        <v>13000</v>
      </c>
      <c r="BT27" s="280"/>
    </row>
    <row r="28" spans="1:72" s="358" customFormat="1" ht="47.25" customHeight="1">
      <c r="A28" s="287">
        <v>18</v>
      </c>
      <c r="B28" s="933"/>
      <c r="C28" s="850" t="s">
        <v>377</v>
      </c>
      <c r="D28" s="838"/>
      <c r="E28" s="836" t="s">
        <v>201</v>
      </c>
      <c r="F28" s="820" t="s">
        <v>7</v>
      </c>
      <c r="G28" s="360">
        <v>4</v>
      </c>
      <c r="H28" s="360" t="s">
        <v>71</v>
      </c>
      <c r="I28" s="360">
        <v>119</v>
      </c>
      <c r="J28" s="361">
        <v>213</v>
      </c>
      <c r="K28" s="532" t="s">
        <v>366</v>
      </c>
      <c r="L28" s="1023">
        <f>SUM(L29:L32)</f>
        <v>80866.679999999993</v>
      </c>
      <c r="M28" s="363"/>
      <c r="N28" s="363"/>
      <c r="O28" s="1051">
        <f t="shared" si="20"/>
        <v>80866.679999999993</v>
      </c>
      <c r="P28" s="557"/>
      <c r="Q28" s="367">
        <f>SUM(Q29:Q32)</f>
        <v>78368.399999999994</v>
      </c>
      <c r="R28" s="557"/>
      <c r="S28" s="367">
        <f>SUM(S29:S32)</f>
        <v>63878.12</v>
      </c>
      <c r="T28" s="557"/>
      <c r="U28" s="365"/>
      <c r="V28" s="366"/>
      <c r="W28" s="366"/>
      <c r="X28" s="366"/>
      <c r="Z28" s="367">
        <f t="shared" si="5"/>
        <v>0</v>
      </c>
      <c r="AA28" s="363">
        <f t="shared" si="5"/>
        <v>0</v>
      </c>
      <c r="AB28" s="280">
        <f t="shared" si="6"/>
        <v>0</v>
      </c>
      <c r="AC28" s="367">
        <f t="shared" si="7"/>
        <v>33306.68</v>
      </c>
      <c r="AD28" s="363">
        <f t="shared" si="7"/>
        <v>0</v>
      </c>
      <c r="AE28" s="280">
        <f t="shared" si="8"/>
        <v>33306.68</v>
      </c>
      <c r="AF28" s="367">
        <f t="shared" si="9"/>
        <v>38500</v>
      </c>
      <c r="AG28" s="363">
        <f t="shared" si="9"/>
        <v>0</v>
      </c>
      <c r="AH28" s="280">
        <f t="shared" si="10"/>
        <v>38500</v>
      </c>
      <c r="AI28" s="367">
        <f t="shared" si="11"/>
        <v>9060</v>
      </c>
      <c r="AJ28" s="363">
        <f t="shared" si="11"/>
        <v>0</v>
      </c>
      <c r="AK28" s="280">
        <f t="shared" si="12"/>
        <v>9060</v>
      </c>
      <c r="AL28" s="368"/>
      <c r="AM28" s="367">
        <f t="shared" si="13"/>
        <v>33306.68</v>
      </c>
      <c r="AN28" s="363">
        <f t="shared" si="13"/>
        <v>0</v>
      </c>
      <c r="AO28" s="280">
        <f t="shared" si="14"/>
        <v>33306.68</v>
      </c>
      <c r="AP28" s="367">
        <f t="shared" si="15"/>
        <v>71806.679999999993</v>
      </c>
      <c r="AQ28" s="363">
        <f t="shared" si="15"/>
        <v>0</v>
      </c>
      <c r="AR28" s="280">
        <f t="shared" si="16"/>
        <v>71806.679999999993</v>
      </c>
      <c r="AS28" s="367">
        <f t="shared" si="21"/>
        <v>80866.679999999993</v>
      </c>
      <c r="AT28" s="363">
        <f t="shared" si="17"/>
        <v>0</v>
      </c>
      <c r="AU28" s="280">
        <f t="shared" si="18"/>
        <v>80866.679999999993</v>
      </c>
      <c r="AV28" s="588">
        <f t="shared" si="19"/>
        <v>0</v>
      </c>
      <c r="AW28" s="367">
        <f t="shared" ref="AW28:BT28" si="27">SUM(AW29:AW32)</f>
        <v>0</v>
      </c>
      <c r="AX28" s="1097">
        <f t="shared" si="27"/>
        <v>0</v>
      </c>
      <c r="AY28" s="363">
        <f t="shared" si="27"/>
        <v>0</v>
      </c>
      <c r="AZ28" s="1097">
        <f t="shared" si="27"/>
        <v>0</v>
      </c>
      <c r="BA28" s="363">
        <f t="shared" si="27"/>
        <v>0</v>
      </c>
      <c r="BB28" s="1119">
        <f t="shared" si="27"/>
        <v>0</v>
      </c>
      <c r="BC28" s="367">
        <f t="shared" si="27"/>
        <v>3020</v>
      </c>
      <c r="BD28" s="363">
        <f t="shared" si="27"/>
        <v>0</v>
      </c>
      <c r="BE28" s="363">
        <f t="shared" si="27"/>
        <v>0</v>
      </c>
      <c r="BF28" s="363">
        <f t="shared" si="27"/>
        <v>0</v>
      </c>
      <c r="BG28" s="363">
        <f t="shared" si="27"/>
        <v>30286.68</v>
      </c>
      <c r="BH28" s="369">
        <f t="shared" si="27"/>
        <v>0</v>
      </c>
      <c r="BI28" s="367">
        <f t="shared" si="27"/>
        <v>0</v>
      </c>
      <c r="BJ28" s="363">
        <f t="shared" si="27"/>
        <v>0</v>
      </c>
      <c r="BK28" s="363">
        <f t="shared" si="27"/>
        <v>36990</v>
      </c>
      <c r="BL28" s="363">
        <f t="shared" si="27"/>
        <v>0</v>
      </c>
      <c r="BM28" s="363">
        <f t="shared" si="27"/>
        <v>1510</v>
      </c>
      <c r="BN28" s="369">
        <f t="shared" si="27"/>
        <v>0</v>
      </c>
      <c r="BO28" s="367">
        <f t="shared" si="27"/>
        <v>0</v>
      </c>
      <c r="BP28" s="363">
        <f t="shared" si="27"/>
        <v>0</v>
      </c>
      <c r="BQ28" s="363">
        <f t="shared" si="27"/>
        <v>3020</v>
      </c>
      <c r="BR28" s="363">
        <f t="shared" si="27"/>
        <v>0</v>
      </c>
      <c r="BS28" s="363">
        <f t="shared" si="27"/>
        <v>6040</v>
      </c>
      <c r="BT28" s="280">
        <f t="shared" si="27"/>
        <v>0</v>
      </c>
    </row>
    <row r="29" spans="1:72" s="313" customFormat="1" ht="51" outlineLevel="1">
      <c r="A29" s="287">
        <v>19</v>
      </c>
      <c r="B29" s="933"/>
      <c r="C29" s="840"/>
      <c r="D29" s="841"/>
      <c r="E29" s="839"/>
      <c r="F29" s="825" t="s">
        <v>7</v>
      </c>
      <c r="G29" s="314">
        <v>4</v>
      </c>
      <c r="H29" s="739" t="s">
        <v>71</v>
      </c>
      <c r="I29" s="739">
        <v>119</v>
      </c>
      <c r="J29" s="740">
        <v>213</v>
      </c>
      <c r="K29" s="533" t="s">
        <v>315</v>
      </c>
      <c r="L29" s="1025">
        <v>3020</v>
      </c>
      <c r="M29" s="318"/>
      <c r="N29" s="318"/>
      <c r="O29" s="1052">
        <f t="shared" si="20"/>
        <v>3020</v>
      </c>
      <c r="P29" s="559"/>
      <c r="Q29" s="336">
        <f>3020*3</f>
        <v>9060</v>
      </c>
      <c r="R29" s="559"/>
      <c r="S29" s="336">
        <v>3020</v>
      </c>
      <c r="T29" s="559"/>
      <c r="U29" s="335"/>
      <c r="V29" s="320"/>
      <c r="W29" s="320"/>
      <c r="X29" s="320"/>
      <c r="Z29" s="336">
        <f t="shared" si="5"/>
        <v>0</v>
      </c>
      <c r="AA29" s="337">
        <f t="shared" si="5"/>
        <v>0</v>
      </c>
      <c r="AB29" s="338">
        <f t="shared" si="6"/>
        <v>0</v>
      </c>
      <c r="AC29" s="336">
        <f t="shared" si="7"/>
        <v>3020</v>
      </c>
      <c r="AD29" s="337">
        <f t="shared" si="7"/>
        <v>0</v>
      </c>
      <c r="AE29" s="338">
        <f t="shared" si="8"/>
        <v>3020</v>
      </c>
      <c r="AF29" s="336">
        <f t="shared" si="9"/>
        <v>0</v>
      </c>
      <c r="AG29" s="337">
        <f t="shared" si="9"/>
        <v>0</v>
      </c>
      <c r="AH29" s="338">
        <f t="shared" si="10"/>
        <v>0</v>
      </c>
      <c r="AI29" s="336">
        <f t="shared" si="11"/>
        <v>0</v>
      </c>
      <c r="AJ29" s="337">
        <f t="shared" si="11"/>
        <v>0</v>
      </c>
      <c r="AK29" s="338">
        <f t="shared" si="12"/>
        <v>0</v>
      </c>
      <c r="AL29" s="342"/>
      <c r="AM29" s="336">
        <f t="shared" si="13"/>
        <v>3020</v>
      </c>
      <c r="AN29" s="339">
        <f t="shared" si="13"/>
        <v>0</v>
      </c>
      <c r="AO29" s="340">
        <f t="shared" si="14"/>
        <v>3020</v>
      </c>
      <c r="AP29" s="336">
        <f t="shared" si="15"/>
        <v>3020</v>
      </c>
      <c r="AQ29" s="339">
        <f t="shared" si="15"/>
        <v>0</v>
      </c>
      <c r="AR29" s="340">
        <f t="shared" si="16"/>
        <v>3020</v>
      </c>
      <c r="AS29" s="341">
        <f t="shared" si="21"/>
        <v>3020</v>
      </c>
      <c r="AT29" s="339">
        <f t="shared" si="17"/>
        <v>0</v>
      </c>
      <c r="AU29" s="340">
        <f t="shared" si="18"/>
        <v>3020</v>
      </c>
      <c r="AV29" s="589">
        <f t="shared" si="19"/>
        <v>0</v>
      </c>
      <c r="AW29" s="343"/>
      <c r="AX29" s="1098"/>
      <c r="AY29" s="345"/>
      <c r="AZ29" s="1098"/>
      <c r="BA29" s="345"/>
      <c r="BB29" s="1120"/>
      <c r="BC29" s="347">
        <v>3020</v>
      </c>
      <c r="BD29" s="348"/>
      <c r="BE29" s="349"/>
      <c r="BF29" s="348"/>
      <c r="BG29" s="349"/>
      <c r="BH29" s="350"/>
      <c r="BI29" s="351"/>
      <c r="BJ29" s="352"/>
      <c r="BK29" s="337"/>
      <c r="BL29" s="352"/>
      <c r="BM29" s="337"/>
      <c r="BN29" s="353"/>
      <c r="BO29" s="354"/>
      <c r="BP29" s="355"/>
      <c r="BQ29" s="356"/>
      <c r="BR29" s="355"/>
      <c r="BS29" s="356"/>
      <c r="BT29" s="357"/>
    </row>
    <row r="30" spans="1:72" s="313" customFormat="1" ht="38.25" outlineLevel="1">
      <c r="A30" s="287">
        <v>20</v>
      </c>
      <c r="B30" s="933"/>
      <c r="C30" s="840"/>
      <c r="D30" s="841"/>
      <c r="E30" s="839"/>
      <c r="F30" s="825" t="s">
        <v>7</v>
      </c>
      <c r="G30" s="314">
        <v>4</v>
      </c>
      <c r="H30" s="739" t="s">
        <v>71</v>
      </c>
      <c r="I30" s="739">
        <v>119</v>
      </c>
      <c r="J30" s="740">
        <v>213</v>
      </c>
      <c r="K30" s="533" t="s">
        <v>319</v>
      </c>
      <c r="L30" s="1025">
        <f>6040*2</f>
        <v>12080</v>
      </c>
      <c r="M30" s="318"/>
      <c r="N30" s="318"/>
      <c r="O30" s="1052">
        <f t="shared" si="20"/>
        <v>12080</v>
      </c>
      <c r="P30" s="559"/>
      <c r="Q30" s="341">
        <f>6040*2</f>
        <v>12080</v>
      </c>
      <c r="R30" s="559"/>
      <c r="S30" s="341">
        <f>6040*2</f>
        <v>12080</v>
      </c>
      <c r="T30" s="559"/>
      <c r="U30" s="335"/>
      <c r="V30" s="320"/>
      <c r="W30" s="320"/>
      <c r="X30" s="320"/>
      <c r="Z30" s="336">
        <f t="shared" si="5"/>
        <v>0</v>
      </c>
      <c r="AA30" s="337">
        <f t="shared" si="5"/>
        <v>0</v>
      </c>
      <c r="AB30" s="338">
        <f t="shared" si="6"/>
        <v>0</v>
      </c>
      <c r="AC30" s="336">
        <f t="shared" si="7"/>
        <v>6040</v>
      </c>
      <c r="AD30" s="337">
        <f t="shared" si="7"/>
        <v>0</v>
      </c>
      <c r="AE30" s="338">
        <f t="shared" si="8"/>
        <v>6040</v>
      </c>
      <c r="AF30" s="336">
        <f t="shared" si="9"/>
        <v>0</v>
      </c>
      <c r="AG30" s="337">
        <f t="shared" si="9"/>
        <v>0</v>
      </c>
      <c r="AH30" s="338">
        <f t="shared" si="10"/>
        <v>0</v>
      </c>
      <c r="AI30" s="336">
        <f t="shared" si="11"/>
        <v>6040</v>
      </c>
      <c r="AJ30" s="337">
        <f t="shared" si="11"/>
        <v>0</v>
      </c>
      <c r="AK30" s="338">
        <f t="shared" si="12"/>
        <v>6040</v>
      </c>
      <c r="AL30" s="342"/>
      <c r="AM30" s="336">
        <f t="shared" si="13"/>
        <v>6040</v>
      </c>
      <c r="AN30" s="339">
        <f t="shared" si="13"/>
        <v>0</v>
      </c>
      <c r="AO30" s="340">
        <f t="shared" si="14"/>
        <v>6040</v>
      </c>
      <c r="AP30" s="336">
        <f t="shared" si="15"/>
        <v>6040</v>
      </c>
      <c r="AQ30" s="339">
        <f t="shared" si="15"/>
        <v>0</v>
      </c>
      <c r="AR30" s="340">
        <f t="shared" si="16"/>
        <v>6040</v>
      </c>
      <c r="AS30" s="341">
        <f t="shared" si="21"/>
        <v>12080</v>
      </c>
      <c r="AT30" s="339">
        <f t="shared" si="17"/>
        <v>0</v>
      </c>
      <c r="AU30" s="340">
        <f t="shared" si="18"/>
        <v>12080</v>
      </c>
      <c r="AV30" s="589">
        <f t="shared" si="19"/>
        <v>0</v>
      </c>
      <c r="AW30" s="343"/>
      <c r="AX30" s="1098"/>
      <c r="AY30" s="345"/>
      <c r="AZ30" s="1098"/>
      <c r="BA30" s="345"/>
      <c r="BB30" s="1120"/>
      <c r="BC30" s="347"/>
      <c r="BD30" s="348"/>
      <c r="BE30" s="349"/>
      <c r="BF30" s="348"/>
      <c r="BG30" s="349">
        <v>6040</v>
      </c>
      <c r="BH30" s="350"/>
      <c r="BI30" s="351"/>
      <c r="BJ30" s="352"/>
      <c r="BK30" s="337"/>
      <c r="BL30" s="352"/>
      <c r="BM30" s="337"/>
      <c r="BN30" s="353"/>
      <c r="BO30" s="354"/>
      <c r="BP30" s="355"/>
      <c r="BQ30" s="356"/>
      <c r="BR30" s="355"/>
      <c r="BS30" s="356">
        <v>6040</v>
      </c>
      <c r="BT30" s="357"/>
    </row>
    <row r="31" spans="1:72" s="313" customFormat="1" ht="38.25" outlineLevel="1">
      <c r="A31" s="287">
        <v>21</v>
      </c>
      <c r="B31" s="933"/>
      <c r="C31" s="840"/>
      <c r="D31" s="841"/>
      <c r="E31" s="839"/>
      <c r="F31" s="825" t="s">
        <v>7</v>
      </c>
      <c r="G31" s="314">
        <v>4</v>
      </c>
      <c r="H31" s="739" t="s">
        <v>71</v>
      </c>
      <c r="I31" s="739">
        <v>119</v>
      </c>
      <c r="J31" s="740">
        <v>213</v>
      </c>
      <c r="K31" s="533" t="s">
        <v>321</v>
      </c>
      <c r="L31" s="1025">
        <f>1510*3</f>
        <v>4530</v>
      </c>
      <c r="M31" s="318"/>
      <c r="N31" s="318"/>
      <c r="O31" s="1052">
        <f t="shared" si="20"/>
        <v>4530</v>
      </c>
      <c r="P31" s="559"/>
      <c r="Q31" s="341">
        <f>1510*3</f>
        <v>4530</v>
      </c>
      <c r="R31" s="559"/>
      <c r="S31" s="341">
        <f>1510*3</f>
        <v>4530</v>
      </c>
      <c r="T31" s="559"/>
      <c r="U31" s="335"/>
      <c r="V31" s="320"/>
      <c r="W31" s="320"/>
      <c r="X31" s="320"/>
      <c r="Z31" s="336">
        <f t="shared" si="5"/>
        <v>0</v>
      </c>
      <c r="AA31" s="337">
        <f t="shared" si="5"/>
        <v>0</v>
      </c>
      <c r="AB31" s="338">
        <f t="shared" si="6"/>
        <v>0</v>
      </c>
      <c r="AC31" s="336">
        <f t="shared" si="7"/>
        <v>0</v>
      </c>
      <c r="AD31" s="337">
        <f t="shared" si="7"/>
        <v>0</v>
      </c>
      <c r="AE31" s="338">
        <f t="shared" si="8"/>
        <v>0</v>
      </c>
      <c r="AF31" s="336">
        <f t="shared" si="9"/>
        <v>1510</v>
      </c>
      <c r="AG31" s="337">
        <f t="shared" si="9"/>
        <v>0</v>
      </c>
      <c r="AH31" s="338">
        <f t="shared" si="10"/>
        <v>1510</v>
      </c>
      <c r="AI31" s="336">
        <f t="shared" si="11"/>
        <v>3020</v>
      </c>
      <c r="AJ31" s="337">
        <f t="shared" si="11"/>
        <v>0</v>
      </c>
      <c r="AK31" s="338">
        <f t="shared" si="12"/>
        <v>3020</v>
      </c>
      <c r="AL31" s="342"/>
      <c r="AM31" s="336">
        <f t="shared" si="13"/>
        <v>0</v>
      </c>
      <c r="AN31" s="339">
        <f t="shared" si="13"/>
        <v>0</v>
      </c>
      <c r="AO31" s="340">
        <f t="shared" si="14"/>
        <v>0</v>
      </c>
      <c r="AP31" s="336">
        <f t="shared" si="15"/>
        <v>1510</v>
      </c>
      <c r="AQ31" s="339">
        <f t="shared" si="15"/>
        <v>0</v>
      </c>
      <c r="AR31" s="340">
        <f t="shared" si="16"/>
        <v>1510</v>
      </c>
      <c r="AS31" s="341">
        <f t="shared" si="21"/>
        <v>4530</v>
      </c>
      <c r="AT31" s="339">
        <f t="shared" si="17"/>
        <v>0</v>
      </c>
      <c r="AU31" s="340">
        <f t="shared" si="18"/>
        <v>4530</v>
      </c>
      <c r="AV31" s="589">
        <f t="shared" si="19"/>
        <v>0</v>
      </c>
      <c r="AW31" s="343"/>
      <c r="AX31" s="1098"/>
      <c r="AY31" s="345"/>
      <c r="AZ31" s="1098"/>
      <c r="BA31" s="345"/>
      <c r="BB31" s="1120"/>
      <c r="BC31" s="347"/>
      <c r="BD31" s="348"/>
      <c r="BE31" s="349"/>
      <c r="BF31" s="348"/>
      <c r="BG31" s="349"/>
      <c r="BH31" s="350"/>
      <c r="BI31" s="351"/>
      <c r="BJ31" s="352"/>
      <c r="BK31" s="337"/>
      <c r="BL31" s="352"/>
      <c r="BM31" s="337">
        <v>1510</v>
      </c>
      <c r="BN31" s="353"/>
      <c r="BO31" s="354"/>
      <c r="BP31" s="355"/>
      <c r="BQ31" s="356">
        <v>3020</v>
      </c>
      <c r="BR31" s="355"/>
      <c r="BS31" s="356"/>
      <c r="BT31" s="357"/>
    </row>
    <row r="32" spans="1:72" s="313" customFormat="1" ht="63.75" outlineLevel="1">
      <c r="A32" s="287">
        <v>22</v>
      </c>
      <c r="B32" s="933"/>
      <c r="C32" s="840"/>
      <c r="D32" s="841"/>
      <c r="E32" s="839"/>
      <c r="F32" s="825" t="s">
        <v>7</v>
      </c>
      <c r="G32" s="314">
        <v>4</v>
      </c>
      <c r="H32" s="739" t="s">
        <v>71</v>
      </c>
      <c r="I32" s="739">
        <v>119</v>
      </c>
      <c r="J32" s="740">
        <v>213</v>
      </c>
      <c r="K32" s="533" t="s">
        <v>320</v>
      </c>
      <c r="L32" s="1025">
        <v>61236.68</v>
      </c>
      <c r="M32" s="318"/>
      <c r="N32" s="318"/>
      <c r="O32" s="1052">
        <f t="shared" si="20"/>
        <v>61236.68</v>
      </c>
      <c r="P32" s="559"/>
      <c r="Q32" s="336">
        <v>52698.400000000001</v>
      </c>
      <c r="R32" s="559"/>
      <c r="S32" s="336">
        <v>44248.12</v>
      </c>
      <c r="T32" s="559"/>
      <c r="U32" s="335"/>
      <c r="V32" s="320"/>
      <c r="W32" s="320"/>
      <c r="X32" s="320"/>
      <c r="Z32" s="336">
        <f t="shared" si="5"/>
        <v>0</v>
      </c>
      <c r="AA32" s="337">
        <f t="shared" si="5"/>
        <v>0</v>
      </c>
      <c r="AB32" s="338">
        <f t="shared" si="6"/>
        <v>0</v>
      </c>
      <c r="AC32" s="336">
        <f t="shared" si="7"/>
        <v>24246.68</v>
      </c>
      <c r="AD32" s="337">
        <f t="shared" si="7"/>
        <v>0</v>
      </c>
      <c r="AE32" s="338">
        <f t="shared" si="8"/>
        <v>24246.68</v>
      </c>
      <c r="AF32" s="336">
        <f t="shared" si="9"/>
        <v>36990</v>
      </c>
      <c r="AG32" s="337">
        <f t="shared" si="9"/>
        <v>0</v>
      </c>
      <c r="AH32" s="338">
        <f t="shared" si="10"/>
        <v>36990</v>
      </c>
      <c r="AI32" s="336">
        <f t="shared" si="11"/>
        <v>0</v>
      </c>
      <c r="AJ32" s="337">
        <f t="shared" si="11"/>
        <v>0</v>
      </c>
      <c r="AK32" s="338">
        <f t="shared" si="12"/>
        <v>0</v>
      </c>
      <c r="AL32" s="342"/>
      <c r="AM32" s="336">
        <f t="shared" si="13"/>
        <v>24246.68</v>
      </c>
      <c r="AN32" s="339">
        <f t="shared" si="13"/>
        <v>0</v>
      </c>
      <c r="AO32" s="340">
        <f t="shared" si="14"/>
        <v>24246.68</v>
      </c>
      <c r="AP32" s="336">
        <f t="shared" si="15"/>
        <v>61236.68</v>
      </c>
      <c r="AQ32" s="339">
        <f t="shared" si="15"/>
        <v>0</v>
      </c>
      <c r="AR32" s="340">
        <f t="shared" si="16"/>
        <v>61236.68</v>
      </c>
      <c r="AS32" s="341">
        <f t="shared" si="21"/>
        <v>61236.68</v>
      </c>
      <c r="AT32" s="339">
        <f t="shared" si="17"/>
        <v>0</v>
      </c>
      <c r="AU32" s="340">
        <f t="shared" si="18"/>
        <v>61236.68</v>
      </c>
      <c r="AV32" s="589">
        <f t="shared" si="19"/>
        <v>0</v>
      </c>
      <c r="AW32" s="343"/>
      <c r="AX32" s="1098"/>
      <c r="AY32" s="345"/>
      <c r="AZ32" s="1098"/>
      <c r="BA32" s="345"/>
      <c r="BB32" s="1120"/>
      <c r="BC32" s="347"/>
      <c r="BD32" s="348"/>
      <c r="BE32" s="349"/>
      <c r="BF32" s="348"/>
      <c r="BG32" s="349">
        <v>24246.68</v>
      </c>
      <c r="BH32" s="350"/>
      <c r="BI32" s="351"/>
      <c r="BJ32" s="352"/>
      <c r="BK32" s="337">
        <v>36990</v>
      </c>
      <c r="BL32" s="352"/>
      <c r="BM32" s="337"/>
      <c r="BN32" s="353"/>
      <c r="BO32" s="354"/>
      <c r="BP32" s="355"/>
      <c r="BQ32" s="356"/>
      <c r="BR32" s="355"/>
      <c r="BS32" s="356"/>
      <c r="BT32" s="357"/>
    </row>
    <row r="33" spans="1:74" s="378" customFormat="1" ht="31.5">
      <c r="A33" s="287">
        <v>23</v>
      </c>
      <c r="B33" s="933"/>
      <c r="C33" s="850"/>
      <c r="D33" s="851" t="s">
        <v>227</v>
      </c>
      <c r="E33" s="852" t="s">
        <v>201</v>
      </c>
      <c r="F33" s="824" t="s">
        <v>7</v>
      </c>
      <c r="G33" s="376">
        <v>4</v>
      </c>
      <c r="H33" s="375" t="s">
        <v>225</v>
      </c>
      <c r="I33" s="376">
        <v>111</v>
      </c>
      <c r="J33" s="377">
        <v>211</v>
      </c>
      <c r="K33" s="531" t="s">
        <v>222</v>
      </c>
      <c r="L33" s="1024">
        <v>0</v>
      </c>
      <c r="M33" s="247"/>
      <c r="N33" s="247"/>
      <c r="O33" s="1060">
        <f t="shared" si="20"/>
        <v>0</v>
      </c>
      <c r="P33" s="558"/>
      <c r="Q33" s="382"/>
      <c r="R33" s="558"/>
      <c r="S33" s="382"/>
      <c r="T33" s="558"/>
      <c r="U33" s="380"/>
      <c r="V33" s="381"/>
      <c r="W33" s="381"/>
      <c r="X33" s="381"/>
      <c r="Z33" s="382">
        <f t="shared" si="5"/>
        <v>0</v>
      </c>
      <c r="AA33" s="247">
        <f t="shared" si="5"/>
        <v>0</v>
      </c>
      <c r="AB33" s="383">
        <f t="shared" si="6"/>
        <v>0</v>
      </c>
      <c r="AC33" s="382">
        <f t="shared" si="7"/>
        <v>0</v>
      </c>
      <c r="AD33" s="247">
        <f t="shared" si="7"/>
        <v>0</v>
      </c>
      <c r="AE33" s="383">
        <f t="shared" si="8"/>
        <v>0</v>
      </c>
      <c r="AF33" s="382">
        <f t="shared" si="9"/>
        <v>0</v>
      </c>
      <c r="AG33" s="247">
        <f t="shared" si="9"/>
        <v>0</v>
      </c>
      <c r="AH33" s="383">
        <f t="shared" si="10"/>
        <v>0</v>
      </c>
      <c r="AI33" s="382">
        <f t="shared" si="11"/>
        <v>0</v>
      </c>
      <c r="AJ33" s="247">
        <f t="shared" si="11"/>
        <v>0</v>
      </c>
      <c r="AK33" s="383">
        <f t="shared" si="12"/>
        <v>0</v>
      </c>
      <c r="AL33" s="250"/>
      <c r="AM33" s="382">
        <f t="shared" si="13"/>
        <v>0</v>
      </c>
      <c r="AN33" s="247">
        <f t="shared" si="13"/>
        <v>0</v>
      </c>
      <c r="AO33" s="383">
        <f t="shared" si="14"/>
        <v>0</v>
      </c>
      <c r="AP33" s="382">
        <f t="shared" si="15"/>
        <v>0</v>
      </c>
      <c r="AQ33" s="247">
        <f t="shared" si="15"/>
        <v>0</v>
      </c>
      <c r="AR33" s="383">
        <f t="shared" si="16"/>
        <v>0</v>
      </c>
      <c r="AS33" s="382">
        <f t="shared" si="21"/>
        <v>0</v>
      </c>
      <c r="AT33" s="247">
        <f t="shared" si="17"/>
        <v>0</v>
      </c>
      <c r="AU33" s="383">
        <f t="shared" si="18"/>
        <v>0</v>
      </c>
      <c r="AV33" s="599">
        <f t="shared" si="19"/>
        <v>0</v>
      </c>
      <c r="AW33" s="382"/>
      <c r="AX33" s="1105"/>
      <c r="AY33" s="247"/>
      <c r="AZ33" s="1105"/>
      <c r="BA33" s="247"/>
      <c r="BB33" s="1124"/>
      <c r="BC33" s="382"/>
      <c r="BD33" s="247"/>
      <c r="BE33" s="247"/>
      <c r="BF33" s="247"/>
      <c r="BG33" s="247"/>
      <c r="BH33" s="384"/>
      <c r="BI33" s="382"/>
      <c r="BJ33" s="247"/>
      <c r="BK33" s="247"/>
      <c r="BL33" s="247"/>
      <c r="BM33" s="247"/>
      <c r="BN33" s="384"/>
      <c r="BO33" s="382"/>
      <c r="BP33" s="247"/>
      <c r="BQ33" s="247"/>
      <c r="BR33" s="247"/>
      <c r="BS33" s="247"/>
      <c r="BT33" s="383"/>
      <c r="BV33" s="378" t="s">
        <v>197</v>
      </c>
    </row>
    <row r="34" spans="1:74" s="358" customFormat="1" ht="31.5">
      <c r="A34" s="287">
        <v>24</v>
      </c>
      <c r="B34" s="933"/>
      <c r="C34" s="837"/>
      <c r="D34" s="838" t="s">
        <v>227</v>
      </c>
      <c r="E34" s="836" t="s">
        <v>201</v>
      </c>
      <c r="F34" s="820" t="s">
        <v>7</v>
      </c>
      <c r="G34" s="360">
        <v>4</v>
      </c>
      <c r="H34" s="360" t="s">
        <v>224</v>
      </c>
      <c r="I34" s="360">
        <v>119</v>
      </c>
      <c r="J34" s="361">
        <v>213</v>
      </c>
      <c r="K34" s="532" t="s">
        <v>223</v>
      </c>
      <c r="L34" s="1023">
        <v>0</v>
      </c>
      <c r="M34" s="363"/>
      <c r="N34" s="363"/>
      <c r="O34" s="1051">
        <f t="shared" si="20"/>
        <v>0</v>
      </c>
      <c r="P34" s="557"/>
      <c r="Q34" s="367"/>
      <c r="R34" s="557"/>
      <c r="S34" s="367"/>
      <c r="T34" s="557"/>
      <c r="U34" s="365"/>
      <c r="V34" s="366"/>
      <c r="W34" s="366"/>
      <c r="X34" s="366"/>
      <c r="Z34" s="367">
        <f t="shared" si="5"/>
        <v>0</v>
      </c>
      <c r="AA34" s="363">
        <f t="shared" si="5"/>
        <v>0</v>
      </c>
      <c r="AB34" s="280">
        <f t="shared" si="6"/>
        <v>0</v>
      </c>
      <c r="AC34" s="367">
        <f t="shared" si="7"/>
        <v>0</v>
      </c>
      <c r="AD34" s="363">
        <f t="shared" si="7"/>
        <v>0</v>
      </c>
      <c r="AE34" s="280">
        <f t="shared" si="8"/>
        <v>0</v>
      </c>
      <c r="AF34" s="367">
        <f t="shared" si="9"/>
        <v>0</v>
      </c>
      <c r="AG34" s="363">
        <f t="shared" si="9"/>
        <v>0</v>
      </c>
      <c r="AH34" s="280">
        <f t="shared" si="10"/>
        <v>0</v>
      </c>
      <c r="AI34" s="367">
        <f t="shared" si="11"/>
        <v>0</v>
      </c>
      <c r="AJ34" s="363">
        <f t="shared" si="11"/>
        <v>0</v>
      </c>
      <c r="AK34" s="280">
        <f t="shared" si="12"/>
        <v>0</v>
      </c>
      <c r="AL34" s="368"/>
      <c r="AM34" s="367">
        <f t="shared" si="13"/>
        <v>0</v>
      </c>
      <c r="AN34" s="363">
        <f t="shared" si="13"/>
        <v>0</v>
      </c>
      <c r="AO34" s="280">
        <f t="shared" si="14"/>
        <v>0</v>
      </c>
      <c r="AP34" s="367">
        <f t="shared" si="15"/>
        <v>0</v>
      </c>
      <c r="AQ34" s="363">
        <f t="shared" si="15"/>
        <v>0</v>
      </c>
      <c r="AR34" s="280">
        <f t="shared" si="16"/>
        <v>0</v>
      </c>
      <c r="AS34" s="367">
        <f t="shared" si="21"/>
        <v>0</v>
      </c>
      <c r="AT34" s="363">
        <f t="shared" si="17"/>
        <v>0</v>
      </c>
      <c r="AU34" s="280">
        <f t="shared" si="18"/>
        <v>0</v>
      </c>
      <c r="AV34" s="588">
        <f t="shared" si="19"/>
        <v>0</v>
      </c>
      <c r="AW34" s="367"/>
      <c r="AX34" s="1097"/>
      <c r="AY34" s="363"/>
      <c r="AZ34" s="1097"/>
      <c r="BA34" s="363"/>
      <c r="BB34" s="1119"/>
      <c r="BC34" s="367"/>
      <c r="BD34" s="363"/>
      <c r="BE34" s="363"/>
      <c r="BF34" s="363"/>
      <c r="BG34" s="363"/>
      <c r="BH34" s="369"/>
      <c r="BI34" s="367"/>
      <c r="BJ34" s="363"/>
      <c r="BK34" s="363"/>
      <c r="BL34" s="363"/>
      <c r="BM34" s="363"/>
      <c r="BN34" s="369"/>
      <c r="BO34" s="367"/>
      <c r="BP34" s="363"/>
      <c r="BQ34" s="363"/>
      <c r="BR34" s="363"/>
      <c r="BS34" s="363"/>
      <c r="BT34" s="280"/>
      <c r="BV34" s="358" t="s">
        <v>197</v>
      </c>
    </row>
    <row r="35" spans="1:74" s="358" customFormat="1" ht="31.5">
      <c r="A35" s="287">
        <v>25</v>
      </c>
      <c r="B35" s="1151" t="s">
        <v>624</v>
      </c>
      <c r="C35" s="837"/>
      <c r="D35" s="838"/>
      <c r="E35" s="836" t="s">
        <v>201</v>
      </c>
      <c r="F35" s="820" t="s">
        <v>7</v>
      </c>
      <c r="G35" s="360">
        <v>4</v>
      </c>
      <c r="H35" s="360" t="s">
        <v>71</v>
      </c>
      <c r="I35" s="360">
        <v>112</v>
      </c>
      <c r="J35" s="361">
        <v>214</v>
      </c>
      <c r="K35" s="532" t="s">
        <v>35</v>
      </c>
      <c r="L35" s="1023">
        <v>1000000</v>
      </c>
      <c r="M35" s="363"/>
      <c r="N35" s="363">
        <v>-6734</v>
      </c>
      <c r="O35" s="1051">
        <f t="shared" si="20"/>
        <v>993266</v>
      </c>
      <c r="P35" s="557"/>
      <c r="Q35" s="367">
        <v>900000</v>
      </c>
      <c r="R35" s="557"/>
      <c r="S35" s="367">
        <v>1000000</v>
      </c>
      <c r="T35" s="557"/>
      <c r="U35" s="365"/>
      <c r="V35" s="366"/>
      <c r="W35" s="366"/>
      <c r="X35" s="366"/>
      <c r="Z35" s="367">
        <f t="shared" si="5"/>
        <v>0</v>
      </c>
      <c r="AA35" s="363">
        <f t="shared" si="5"/>
        <v>0</v>
      </c>
      <c r="AB35" s="280">
        <f t="shared" si="6"/>
        <v>0</v>
      </c>
      <c r="AC35" s="367">
        <f t="shared" si="7"/>
        <v>800000</v>
      </c>
      <c r="AD35" s="363">
        <f t="shared" si="7"/>
        <v>0</v>
      </c>
      <c r="AE35" s="280">
        <f t="shared" si="8"/>
        <v>800000</v>
      </c>
      <c r="AF35" s="367">
        <f t="shared" si="9"/>
        <v>200000</v>
      </c>
      <c r="AG35" s="363">
        <f t="shared" si="9"/>
        <v>0</v>
      </c>
      <c r="AH35" s="280">
        <f t="shared" si="10"/>
        <v>200000</v>
      </c>
      <c r="AI35" s="367">
        <f t="shared" si="11"/>
        <v>0</v>
      </c>
      <c r="AJ35" s="363">
        <f t="shared" si="11"/>
        <v>0</v>
      </c>
      <c r="AK35" s="280">
        <f t="shared" si="12"/>
        <v>0</v>
      </c>
      <c r="AL35" s="368"/>
      <c r="AM35" s="367">
        <f t="shared" si="13"/>
        <v>800000</v>
      </c>
      <c r="AN35" s="363">
        <f t="shared" si="13"/>
        <v>0</v>
      </c>
      <c r="AO35" s="280">
        <f t="shared" si="14"/>
        <v>800000</v>
      </c>
      <c r="AP35" s="367">
        <f t="shared" si="15"/>
        <v>1000000</v>
      </c>
      <c r="AQ35" s="363">
        <f t="shared" si="15"/>
        <v>0</v>
      </c>
      <c r="AR35" s="280">
        <f t="shared" si="16"/>
        <v>1000000</v>
      </c>
      <c r="AS35" s="367">
        <f t="shared" si="21"/>
        <v>1000000</v>
      </c>
      <c r="AT35" s="363">
        <f t="shared" si="17"/>
        <v>0</v>
      </c>
      <c r="AU35" s="280">
        <f t="shared" si="18"/>
        <v>1000000</v>
      </c>
      <c r="AV35" s="588">
        <f t="shared" si="19"/>
        <v>0</v>
      </c>
      <c r="AW35" s="367"/>
      <c r="AX35" s="1097"/>
      <c r="AY35" s="363"/>
      <c r="AZ35" s="1097"/>
      <c r="BA35" s="363"/>
      <c r="BB35" s="1119"/>
      <c r="BC35" s="367"/>
      <c r="BD35" s="363"/>
      <c r="BE35" s="363"/>
      <c r="BF35" s="363"/>
      <c r="BG35" s="363">
        <v>800000</v>
      </c>
      <c r="BH35" s="369"/>
      <c r="BI35" s="367"/>
      <c r="BJ35" s="363"/>
      <c r="BK35" s="363">
        <v>200000</v>
      </c>
      <c r="BL35" s="363"/>
      <c r="BM35" s="363"/>
      <c r="BN35" s="369"/>
      <c r="BO35" s="367"/>
      <c r="BP35" s="363"/>
      <c r="BQ35" s="363"/>
      <c r="BR35" s="363"/>
      <c r="BS35" s="363"/>
      <c r="BT35" s="280"/>
    </row>
    <row r="36" spans="1:74" s="358" customFormat="1" ht="47.25">
      <c r="A36" s="287">
        <v>26</v>
      </c>
      <c r="B36" s="933"/>
      <c r="C36" s="837"/>
      <c r="D36" s="838"/>
      <c r="E36" s="836" t="s">
        <v>201</v>
      </c>
      <c r="F36" s="820" t="s">
        <v>7</v>
      </c>
      <c r="G36" s="360">
        <v>4</v>
      </c>
      <c r="H36" s="360" t="s">
        <v>71</v>
      </c>
      <c r="I36" s="360">
        <v>112</v>
      </c>
      <c r="J36" s="361">
        <v>266</v>
      </c>
      <c r="K36" s="532" t="s">
        <v>220</v>
      </c>
      <c r="L36" s="1023">
        <f>3060</f>
        <v>3060</v>
      </c>
      <c r="M36" s="363"/>
      <c r="N36" s="363"/>
      <c r="O36" s="1051">
        <f t="shared" si="20"/>
        <v>3060</v>
      </c>
      <c r="P36" s="557"/>
      <c r="Q36" s="367">
        <v>1105</v>
      </c>
      <c r="R36" s="557"/>
      <c r="S36" s="367">
        <v>0</v>
      </c>
      <c r="T36" s="557"/>
      <c r="U36" s="365"/>
      <c r="V36" s="366"/>
      <c r="W36" s="366"/>
      <c r="X36" s="366"/>
      <c r="Z36" s="367">
        <f t="shared" si="5"/>
        <v>510</v>
      </c>
      <c r="AA36" s="363">
        <f t="shared" si="5"/>
        <v>300</v>
      </c>
      <c r="AB36" s="280">
        <f t="shared" si="6"/>
        <v>210</v>
      </c>
      <c r="AC36" s="367">
        <f t="shared" si="7"/>
        <v>765</v>
      </c>
      <c r="AD36" s="363">
        <f t="shared" si="7"/>
        <v>0</v>
      </c>
      <c r="AE36" s="280">
        <f t="shared" si="8"/>
        <v>765</v>
      </c>
      <c r="AF36" s="367">
        <f t="shared" si="9"/>
        <v>765</v>
      </c>
      <c r="AG36" s="363">
        <f t="shared" si="9"/>
        <v>0</v>
      </c>
      <c r="AH36" s="280">
        <f t="shared" si="10"/>
        <v>765</v>
      </c>
      <c r="AI36" s="367">
        <f t="shared" si="11"/>
        <v>1020</v>
      </c>
      <c r="AJ36" s="363">
        <f t="shared" si="11"/>
        <v>0</v>
      </c>
      <c r="AK36" s="280">
        <f t="shared" si="12"/>
        <v>1020</v>
      </c>
      <c r="AL36" s="368"/>
      <c r="AM36" s="367">
        <f t="shared" si="13"/>
        <v>1275</v>
      </c>
      <c r="AN36" s="363">
        <f t="shared" si="13"/>
        <v>300</v>
      </c>
      <c r="AO36" s="280">
        <f t="shared" si="14"/>
        <v>975</v>
      </c>
      <c r="AP36" s="367">
        <f t="shared" si="15"/>
        <v>2040</v>
      </c>
      <c r="AQ36" s="363">
        <f t="shared" si="15"/>
        <v>300</v>
      </c>
      <c r="AR36" s="280">
        <f t="shared" si="16"/>
        <v>1740</v>
      </c>
      <c r="AS36" s="367">
        <f t="shared" si="21"/>
        <v>3060</v>
      </c>
      <c r="AT36" s="363">
        <f t="shared" si="17"/>
        <v>300</v>
      </c>
      <c r="AU36" s="280">
        <f t="shared" si="18"/>
        <v>2760</v>
      </c>
      <c r="AV36" s="588">
        <f t="shared" si="19"/>
        <v>0</v>
      </c>
      <c r="AW36" s="367"/>
      <c r="AX36" s="1097"/>
      <c r="AY36" s="363">
        <f>3*85</f>
        <v>255</v>
      </c>
      <c r="AZ36" s="1097">
        <v>150</v>
      </c>
      <c r="BA36" s="363">
        <f>3*85</f>
        <v>255</v>
      </c>
      <c r="BB36" s="1119">
        <v>150</v>
      </c>
      <c r="BC36" s="367">
        <f>3*85</f>
        <v>255</v>
      </c>
      <c r="BD36" s="363"/>
      <c r="BE36" s="363">
        <f>3*85</f>
        <v>255</v>
      </c>
      <c r="BF36" s="363"/>
      <c r="BG36" s="363">
        <f>3*85</f>
        <v>255</v>
      </c>
      <c r="BH36" s="369"/>
      <c r="BI36" s="367">
        <f>3*85</f>
        <v>255</v>
      </c>
      <c r="BJ36" s="363"/>
      <c r="BK36" s="363">
        <f>3*85</f>
        <v>255</v>
      </c>
      <c r="BL36" s="363"/>
      <c r="BM36" s="363">
        <f>3*85</f>
        <v>255</v>
      </c>
      <c r="BN36" s="369"/>
      <c r="BO36" s="367">
        <f>3*85</f>
        <v>255</v>
      </c>
      <c r="BP36" s="363"/>
      <c r="BQ36" s="363">
        <f>3*85</f>
        <v>255</v>
      </c>
      <c r="BR36" s="363"/>
      <c r="BS36" s="363">
        <f>3*85*2</f>
        <v>510</v>
      </c>
      <c r="BT36" s="280"/>
    </row>
    <row r="37" spans="1:74" s="358" customFormat="1" ht="31.5" customHeight="1">
      <c r="A37" s="287">
        <v>27</v>
      </c>
      <c r="B37" s="933"/>
      <c r="C37" s="850" t="s">
        <v>377</v>
      </c>
      <c r="D37" s="838"/>
      <c r="E37" s="836" t="s">
        <v>201</v>
      </c>
      <c r="F37" s="820" t="s">
        <v>7</v>
      </c>
      <c r="G37" s="360">
        <v>4</v>
      </c>
      <c r="H37" s="360" t="s">
        <v>71</v>
      </c>
      <c r="I37" s="360">
        <v>244</v>
      </c>
      <c r="J37" s="361">
        <v>221</v>
      </c>
      <c r="K37" s="532" t="s">
        <v>11</v>
      </c>
      <c r="L37" s="1023">
        <f>SUM(L38:L42)</f>
        <v>196510.7</v>
      </c>
      <c r="M37" s="363"/>
      <c r="N37" s="363"/>
      <c r="O37" s="1051">
        <f t="shared" si="20"/>
        <v>196510.7</v>
      </c>
      <c r="P37" s="557"/>
      <c r="Q37" s="367">
        <f>SUM(Q38:Q42)</f>
        <v>196510.72</v>
      </c>
      <c r="R37" s="557"/>
      <c r="S37" s="367">
        <f t="shared" ref="S37" si="28">SUM(S38:S42)</f>
        <v>197767.89</v>
      </c>
      <c r="T37" s="557"/>
      <c r="U37" s="365"/>
      <c r="V37" s="366"/>
      <c r="W37" s="366"/>
      <c r="X37" s="366"/>
      <c r="Z37" s="367">
        <f t="shared" si="5"/>
        <v>35716.83</v>
      </c>
      <c r="AA37" s="363">
        <f t="shared" si="5"/>
        <v>36413.230000000003</v>
      </c>
      <c r="AB37" s="280">
        <f t="shared" si="6"/>
        <v>-696.4</v>
      </c>
      <c r="AC37" s="367">
        <f t="shared" si="7"/>
        <v>52785.59</v>
      </c>
      <c r="AD37" s="363">
        <f t="shared" si="7"/>
        <v>0</v>
      </c>
      <c r="AE37" s="280">
        <f t="shared" si="8"/>
        <v>52785.59</v>
      </c>
      <c r="AF37" s="367">
        <f t="shared" si="9"/>
        <v>52550.7</v>
      </c>
      <c r="AG37" s="363">
        <f t="shared" si="9"/>
        <v>0</v>
      </c>
      <c r="AH37" s="280">
        <f t="shared" si="10"/>
        <v>52550.7</v>
      </c>
      <c r="AI37" s="367">
        <f t="shared" si="11"/>
        <v>55457.58</v>
      </c>
      <c r="AJ37" s="363">
        <f t="shared" si="11"/>
        <v>0</v>
      </c>
      <c r="AK37" s="280">
        <f t="shared" si="12"/>
        <v>55457.58</v>
      </c>
      <c r="AL37" s="368"/>
      <c r="AM37" s="367">
        <f t="shared" si="13"/>
        <v>88502.42</v>
      </c>
      <c r="AN37" s="363">
        <f t="shared" si="13"/>
        <v>36413.230000000003</v>
      </c>
      <c r="AO37" s="280">
        <f t="shared" si="14"/>
        <v>52089.19</v>
      </c>
      <c r="AP37" s="367">
        <f t="shared" si="15"/>
        <v>141053.12</v>
      </c>
      <c r="AQ37" s="363">
        <f t="shared" si="15"/>
        <v>36413.230000000003</v>
      </c>
      <c r="AR37" s="280">
        <f t="shared" si="16"/>
        <v>104639.89</v>
      </c>
      <c r="AS37" s="367">
        <f t="shared" si="21"/>
        <v>196510.7</v>
      </c>
      <c r="AT37" s="363">
        <f t="shared" si="17"/>
        <v>36413.230000000003</v>
      </c>
      <c r="AU37" s="280">
        <f t="shared" si="18"/>
        <v>160097.47</v>
      </c>
      <c r="AV37" s="588">
        <f t="shared" si="19"/>
        <v>0</v>
      </c>
      <c r="AW37" s="367">
        <f t="shared" ref="AW37:BT37" si="29">SUM(AW38:AW42)</f>
        <v>0</v>
      </c>
      <c r="AX37" s="1097">
        <f t="shared" si="29"/>
        <v>0</v>
      </c>
      <c r="AY37" s="363">
        <f t="shared" si="29"/>
        <v>17801.93</v>
      </c>
      <c r="AZ37" s="1097">
        <f t="shared" si="29"/>
        <v>18790.830000000002</v>
      </c>
      <c r="BA37" s="363">
        <f t="shared" si="29"/>
        <v>17914.900000000001</v>
      </c>
      <c r="BB37" s="1119">
        <f t="shared" si="29"/>
        <v>17622.400000000001</v>
      </c>
      <c r="BC37" s="367">
        <f t="shared" si="29"/>
        <v>17405.59</v>
      </c>
      <c r="BD37" s="363">
        <f t="shared" si="29"/>
        <v>0</v>
      </c>
      <c r="BE37" s="363">
        <f t="shared" si="29"/>
        <v>17940</v>
      </c>
      <c r="BF37" s="363">
        <f t="shared" si="29"/>
        <v>0</v>
      </c>
      <c r="BG37" s="363">
        <f t="shared" si="29"/>
        <v>17440</v>
      </c>
      <c r="BH37" s="369">
        <f t="shared" si="29"/>
        <v>0</v>
      </c>
      <c r="BI37" s="367">
        <f t="shared" si="29"/>
        <v>17670.7</v>
      </c>
      <c r="BJ37" s="363">
        <f t="shared" si="29"/>
        <v>0</v>
      </c>
      <c r="BK37" s="363">
        <f t="shared" si="29"/>
        <v>17440</v>
      </c>
      <c r="BL37" s="363">
        <f t="shared" si="29"/>
        <v>0</v>
      </c>
      <c r="BM37" s="363">
        <f t="shared" si="29"/>
        <v>17440</v>
      </c>
      <c r="BN37" s="369">
        <f t="shared" si="29"/>
        <v>0</v>
      </c>
      <c r="BO37" s="367">
        <f t="shared" si="29"/>
        <v>17440</v>
      </c>
      <c r="BP37" s="363">
        <f t="shared" si="29"/>
        <v>0</v>
      </c>
      <c r="BQ37" s="363">
        <f t="shared" si="29"/>
        <v>12640</v>
      </c>
      <c r="BR37" s="363">
        <f t="shared" si="29"/>
        <v>0</v>
      </c>
      <c r="BS37" s="363">
        <f t="shared" si="29"/>
        <v>25377.58</v>
      </c>
      <c r="BT37" s="280">
        <f t="shared" si="29"/>
        <v>0</v>
      </c>
    </row>
    <row r="38" spans="1:74" s="313" customFormat="1" ht="25.5" outlineLevel="1">
      <c r="A38" s="287">
        <v>28</v>
      </c>
      <c r="B38" s="933"/>
      <c r="C38" s="840"/>
      <c r="D38" s="841"/>
      <c r="E38" s="839"/>
      <c r="F38" s="821" t="s">
        <v>7</v>
      </c>
      <c r="G38" s="314">
        <v>4</v>
      </c>
      <c r="H38" s="739" t="s">
        <v>71</v>
      </c>
      <c r="I38" s="739">
        <v>244</v>
      </c>
      <c r="J38" s="740">
        <v>221</v>
      </c>
      <c r="K38" s="533" t="s">
        <v>236</v>
      </c>
      <c r="L38" s="1025">
        <f>2230.7-600</f>
        <v>1630.7</v>
      </c>
      <c r="M38" s="318"/>
      <c r="N38" s="318"/>
      <c r="O38" s="1052">
        <f t="shared" si="20"/>
        <v>1630.7</v>
      </c>
      <c r="P38" s="559"/>
      <c r="Q38" s="336">
        <v>2230.7199999999998</v>
      </c>
      <c r="R38" s="559"/>
      <c r="S38" s="336">
        <v>3487.89</v>
      </c>
      <c r="T38" s="559"/>
      <c r="U38" s="335"/>
      <c r="V38" s="320"/>
      <c r="W38" s="320"/>
      <c r="X38" s="320"/>
      <c r="Z38" s="336">
        <f t="shared" si="5"/>
        <v>900</v>
      </c>
      <c r="AA38" s="337">
        <f t="shared" si="5"/>
        <v>1596.4</v>
      </c>
      <c r="AB38" s="338">
        <f t="shared" si="6"/>
        <v>-696.4</v>
      </c>
      <c r="AC38" s="336">
        <f t="shared" si="7"/>
        <v>500</v>
      </c>
      <c r="AD38" s="337">
        <f t="shared" si="7"/>
        <v>0</v>
      </c>
      <c r="AE38" s="338">
        <f t="shared" si="8"/>
        <v>500</v>
      </c>
      <c r="AF38" s="336">
        <f t="shared" si="9"/>
        <v>230.7</v>
      </c>
      <c r="AG38" s="337">
        <f t="shared" si="9"/>
        <v>0</v>
      </c>
      <c r="AH38" s="338">
        <f t="shared" si="10"/>
        <v>230.7</v>
      </c>
      <c r="AI38" s="336">
        <f t="shared" si="11"/>
        <v>0</v>
      </c>
      <c r="AJ38" s="337">
        <f t="shared" si="11"/>
        <v>0</v>
      </c>
      <c r="AK38" s="338">
        <f t="shared" si="12"/>
        <v>0</v>
      </c>
      <c r="AL38" s="342"/>
      <c r="AM38" s="336">
        <f t="shared" si="13"/>
        <v>1400</v>
      </c>
      <c r="AN38" s="339">
        <f t="shared" si="13"/>
        <v>1596.4</v>
      </c>
      <c r="AO38" s="340">
        <f t="shared" si="14"/>
        <v>-196.4</v>
      </c>
      <c r="AP38" s="336">
        <f t="shared" si="15"/>
        <v>1630.7</v>
      </c>
      <c r="AQ38" s="339">
        <f t="shared" si="15"/>
        <v>1596.4</v>
      </c>
      <c r="AR38" s="340">
        <f t="shared" si="16"/>
        <v>34.299999999999997</v>
      </c>
      <c r="AS38" s="341">
        <f t="shared" si="21"/>
        <v>1630.7</v>
      </c>
      <c r="AT38" s="339">
        <f t="shared" si="17"/>
        <v>1596.4</v>
      </c>
      <c r="AU38" s="340">
        <f t="shared" si="18"/>
        <v>34.299999999999997</v>
      </c>
      <c r="AV38" s="589">
        <f t="shared" si="19"/>
        <v>0</v>
      </c>
      <c r="AW38" s="343"/>
      <c r="AX38" s="1098"/>
      <c r="AY38" s="345">
        <v>400</v>
      </c>
      <c r="AZ38" s="1098">
        <v>1388.9</v>
      </c>
      <c r="BA38" s="345">
        <v>500</v>
      </c>
      <c r="BB38" s="1120">
        <v>207.5</v>
      </c>
      <c r="BC38" s="347"/>
      <c r="BD38" s="348"/>
      <c r="BE38" s="349">
        <v>500</v>
      </c>
      <c r="BF38" s="348"/>
      <c r="BG38" s="349"/>
      <c r="BH38" s="350"/>
      <c r="BI38" s="351">
        <v>230.7</v>
      </c>
      <c r="BJ38" s="352"/>
      <c r="BK38" s="337"/>
      <c r="BL38" s="352"/>
      <c r="BM38" s="337"/>
      <c r="BN38" s="353"/>
      <c r="BO38" s="354"/>
      <c r="BP38" s="355"/>
      <c r="BQ38" s="356"/>
      <c r="BR38" s="355"/>
      <c r="BS38" s="356"/>
      <c r="BT38" s="357"/>
    </row>
    <row r="39" spans="1:74" s="313" customFormat="1" ht="38.25" outlineLevel="1">
      <c r="A39" s="287">
        <v>29</v>
      </c>
      <c r="B39" s="933"/>
      <c r="C39" s="840"/>
      <c r="D39" s="841"/>
      <c r="E39" s="839"/>
      <c r="F39" s="821" t="s">
        <v>7</v>
      </c>
      <c r="G39" s="314">
        <v>4</v>
      </c>
      <c r="H39" s="739" t="s">
        <v>71</v>
      </c>
      <c r="I39" s="739">
        <v>244</v>
      </c>
      <c r="J39" s="740">
        <v>221</v>
      </c>
      <c r="K39" s="533" t="s">
        <v>422</v>
      </c>
      <c r="L39" s="1025">
        <v>63480</v>
      </c>
      <c r="M39" s="318"/>
      <c r="N39" s="318"/>
      <c r="O39" s="1052">
        <f t="shared" si="20"/>
        <v>63480</v>
      </c>
      <c r="P39" s="559"/>
      <c r="Q39" s="336">
        <v>63480</v>
      </c>
      <c r="R39" s="559"/>
      <c r="S39" s="336">
        <v>63480</v>
      </c>
      <c r="T39" s="559"/>
      <c r="U39" s="335"/>
      <c r="V39" s="596" t="s">
        <v>231</v>
      </c>
      <c r="W39" s="597" t="s">
        <v>423</v>
      </c>
      <c r="X39" s="597" t="s">
        <v>381</v>
      </c>
      <c r="Z39" s="336">
        <f t="shared" si="5"/>
        <v>10580</v>
      </c>
      <c r="AA39" s="337">
        <f t="shared" si="5"/>
        <v>10580</v>
      </c>
      <c r="AB39" s="338">
        <f t="shared" si="6"/>
        <v>0</v>
      </c>
      <c r="AC39" s="336">
        <f t="shared" si="7"/>
        <v>15870</v>
      </c>
      <c r="AD39" s="337">
        <f t="shared" si="7"/>
        <v>0</v>
      </c>
      <c r="AE39" s="338">
        <f t="shared" si="8"/>
        <v>15870</v>
      </c>
      <c r="AF39" s="336">
        <f t="shared" si="9"/>
        <v>15870</v>
      </c>
      <c r="AG39" s="337">
        <f t="shared" si="9"/>
        <v>0</v>
      </c>
      <c r="AH39" s="338">
        <f t="shared" si="10"/>
        <v>15870</v>
      </c>
      <c r="AI39" s="336">
        <f t="shared" si="11"/>
        <v>21160</v>
      </c>
      <c r="AJ39" s="337">
        <f t="shared" si="11"/>
        <v>0</v>
      </c>
      <c r="AK39" s="338">
        <f t="shared" si="12"/>
        <v>21160</v>
      </c>
      <c r="AL39" s="342"/>
      <c r="AM39" s="336">
        <f t="shared" si="13"/>
        <v>26450</v>
      </c>
      <c r="AN39" s="339">
        <f t="shared" si="13"/>
        <v>10580</v>
      </c>
      <c r="AO39" s="340">
        <f t="shared" si="14"/>
        <v>15870</v>
      </c>
      <c r="AP39" s="336">
        <f t="shared" si="15"/>
        <v>42320</v>
      </c>
      <c r="AQ39" s="339">
        <f t="shared" si="15"/>
        <v>10580</v>
      </c>
      <c r="AR39" s="340">
        <f t="shared" si="16"/>
        <v>31740</v>
      </c>
      <c r="AS39" s="341">
        <f t="shared" si="21"/>
        <v>63480</v>
      </c>
      <c r="AT39" s="339">
        <f t="shared" si="17"/>
        <v>10580</v>
      </c>
      <c r="AU39" s="340">
        <f t="shared" si="18"/>
        <v>52900</v>
      </c>
      <c r="AV39" s="589">
        <f t="shared" si="19"/>
        <v>0</v>
      </c>
      <c r="AW39" s="343"/>
      <c r="AX39" s="1098"/>
      <c r="AY39" s="345">
        <v>5290</v>
      </c>
      <c r="AZ39" s="1098">
        <v>5290</v>
      </c>
      <c r="BA39" s="345">
        <v>5290</v>
      </c>
      <c r="BB39" s="1120">
        <v>5290</v>
      </c>
      <c r="BC39" s="347">
        <v>5290</v>
      </c>
      <c r="BD39" s="348"/>
      <c r="BE39" s="1135">
        <v>5290</v>
      </c>
      <c r="BF39" s="348"/>
      <c r="BG39" s="349">
        <v>5290</v>
      </c>
      <c r="BH39" s="350"/>
      <c r="BI39" s="351">
        <v>5290</v>
      </c>
      <c r="BJ39" s="352"/>
      <c r="BK39" s="337">
        <v>5290</v>
      </c>
      <c r="BL39" s="352"/>
      <c r="BM39" s="337">
        <v>5290</v>
      </c>
      <c r="BN39" s="353"/>
      <c r="BO39" s="354">
        <v>5290</v>
      </c>
      <c r="BP39" s="355"/>
      <c r="BQ39" s="356">
        <v>5290</v>
      </c>
      <c r="BR39" s="355"/>
      <c r="BS39" s="356">
        <f>5290*2</f>
        <v>10580</v>
      </c>
      <c r="BT39" s="357"/>
    </row>
    <row r="40" spans="1:74" s="313" customFormat="1" ht="38.25" outlineLevel="1">
      <c r="A40" s="287">
        <v>30</v>
      </c>
      <c r="B40" s="933"/>
      <c r="C40" s="840"/>
      <c r="D40" s="841"/>
      <c r="E40" s="839"/>
      <c r="F40" s="821" t="s">
        <v>7</v>
      </c>
      <c r="G40" s="314">
        <v>4</v>
      </c>
      <c r="H40" s="739" t="s">
        <v>71</v>
      </c>
      <c r="I40" s="739">
        <v>244</v>
      </c>
      <c r="J40" s="740">
        <v>221</v>
      </c>
      <c r="K40" s="533" t="s">
        <v>421</v>
      </c>
      <c r="L40" s="1025">
        <v>87600</v>
      </c>
      <c r="M40" s="318"/>
      <c r="N40" s="318"/>
      <c r="O40" s="1052">
        <f t="shared" si="20"/>
        <v>87600</v>
      </c>
      <c r="P40" s="559"/>
      <c r="Q40" s="336">
        <v>87600</v>
      </c>
      <c r="R40" s="559"/>
      <c r="S40" s="336">
        <v>87600</v>
      </c>
      <c r="T40" s="559"/>
      <c r="U40" s="335"/>
      <c r="V40" s="596" t="s">
        <v>231</v>
      </c>
      <c r="W40" s="597" t="s">
        <v>424</v>
      </c>
      <c r="X40" s="597" t="s">
        <v>381</v>
      </c>
      <c r="Z40" s="336">
        <f t="shared" si="5"/>
        <v>14600</v>
      </c>
      <c r="AA40" s="337">
        <f t="shared" si="5"/>
        <v>14600</v>
      </c>
      <c r="AB40" s="338">
        <f t="shared" si="6"/>
        <v>0</v>
      </c>
      <c r="AC40" s="336">
        <f t="shared" si="7"/>
        <v>21900</v>
      </c>
      <c r="AD40" s="337">
        <f t="shared" si="7"/>
        <v>0</v>
      </c>
      <c r="AE40" s="338">
        <f t="shared" si="8"/>
        <v>21900</v>
      </c>
      <c r="AF40" s="336">
        <f t="shared" si="9"/>
        <v>21900</v>
      </c>
      <c r="AG40" s="337">
        <f t="shared" si="9"/>
        <v>0</v>
      </c>
      <c r="AH40" s="338">
        <f t="shared" si="10"/>
        <v>21900</v>
      </c>
      <c r="AI40" s="336">
        <f t="shared" si="11"/>
        <v>29200</v>
      </c>
      <c r="AJ40" s="337">
        <f t="shared" si="11"/>
        <v>0</v>
      </c>
      <c r="AK40" s="338">
        <f t="shared" si="12"/>
        <v>29200</v>
      </c>
      <c r="AL40" s="342"/>
      <c r="AM40" s="336">
        <f t="shared" si="13"/>
        <v>36500</v>
      </c>
      <c r="AN40" s="339">
        <f t="shared" si="13"/>
        <v>14600</v>
      </c>
      <c r="AO40" s="340">
        <f t="shared" si="14"/>
        <v>21900</v>
      </c>
      <c r="AP40" s="336">
        <f t="shared" si="15"/>
        <v>58400</v>
      </c>
      <c r="AQ40" s="339">
        <f t="shared" si="15"/>
        <v>14600</v>
      </c>
      <c r="AR40" s="340">
        <f t="shared" si="16"/>
        <v>43800</v>
      </c>
      <c r="AS40" s="341">
        <f t="shared" si="21"/>
        <v>87600</v>
      </c>
      <c r="AT40" s="339">
        <f t="shared" si="17"/>
        <v>14600</v>
      </c>
      <c r="AU40" s="340">
        <f t="shared" si="18"/>
        <v>73000</v>
      </c>
      <c r="AV40" s="589">
        <f t="shared" si="19"/>
        <v>0</v>
      </c>
      <c r="AW40" s="343"/>
      <c r="AX40" s="1098"/>
      <c r="AY40" s="345">
        <v>7300</v>
      </c>
      <c r="AZ40" s="1098">
        <v>7300</v>
      </c>
      <c r="BA40" s="345">
        <v>7300</v>
      </c>
      <c r="BB40" s="1120">
        <v>7300</v>
      </c>
      <c r="BC40" s="347">
        <v>7300</v>
      </c>
      <c r="BD40" s="348"/>
      <c r="BE40" s="1135">
        <v>7300</v>
      </c>
      <c r="BF40" s="348"/>
      <c r="BG40" s="349">
        <v>7300</v>
      </c>
      <c r="BH40" s="350"/>
      <c r="BI40" s="351">
        <v>7300</v>
      </c>
      <c r="BJ40" s="352"/>
      <c r="BK40" s="337">
        <v>7300</v>
      </c>
      <c r="BL40" s="352"/>
      <c r="BM40" s="337">
        <v>7300</v>
      </c>
      <c r="BN40" s="353"/>
      <c r="BO40" s="354">
        <v>7300</v>
      </c>
      <c r="BP40" s="355"/>
      <c r="BQ40" s="356">
        <v>7300</v>
      </c>
      <c r="BR40" s="355"/>
      <c r="BS40" s="356">
        <f>7300*2</f>
        <v>14600</v>
      </c>
      <c r="BT40" s="357"/>
    </row>
    <row r="41" spans="1:74" s="313" customFormat="1" ht="38.25" outlineLevel="1">
      <c r="A41" s="287">
        <v>31</v>
      </c>
      <c r="B41" s="933"/>
      <c r="C41" s="840"/>
      <c r="D41" s="841"/>
      <c r="E41" s="839"/>
      <c r="F41" s="821" t="s">
        <v>7</v>
      </c>
      <c r="G41" s="314">
        <v>4</v>
      </c>
      <c r="H41" s="739" t="s">
        <v>71</v>
      </c>
      <c r="I41" s="739">
        <v>244</v>
      </c>
      <c r="J41" s="740">
        <v>221</v>
      </c>
      <c r="K41" s="533" t="s">
        <v>418</v>
      </c>
      <c r="L41" s="1025">
        <v>600</v>
      </c>
      <c r="M41" s="318"/>
      <c r="N41" s="318"/>
      <c r="O41" s="1052">
        <f t="shared" si="20"/>
        <v>600</v>
      </c>
      <c r="P41" s="559"/>
      <c r="Q41" s="336">
        <v>0</v>
      </c>
      <c r="R41" s="559"/>
      <c r="S41" s="336">
        <v>0</v>
      </c>
      <c r="T41" s="559"/>
      <c r="U41" s="335"/>
      <c r="V41" s="596" t="s">
        <v>419</v>
      </c>
      <c r="W41" s="597" t="s">
        <v>420</v>
      </c>
      <c r="X41" s="597" t="s">
        <v>381</v>
      </c>
      <c r="Z41" s="336">
        <f t="shared" si="5"/>
        <v>36.83</v>
      </c>
      <c r="AA41" s="337">
        <f t="shared" si="5"/>
        <v>36.83</v>
      </c>
      <c r="AB41" s="338">
        <f t="shared" si="6"/>
        <v>0</v>
      </c>
      <c r="AC41" s="336">
        <f t="shared" si="7"/>
        <v>115.59</v>
      </c>
      <c r="AD41" s="337">
        <f t="shared" si="7"/>
        <v>0</v>
      </c>
      <c r="AE41" s="338">
        <f t="shared" si="8"/>
        <v>115.59</v>
      </c>
      <c r="AF41" s="336">
        <f t="shared" si="9"/>
        <v>150</v>
      </c>
      <c r="AG41" s="337">
        <f t="shared" si="9"/>
        <v>0</v>
      </c>
      <c r="AH41" s="338">
        <f t="shared" si="10"/>
        <v>150</v>
      </c>
      <c r="AI41" s="336">
        <f t="shared" si="11"/>
        <v>297.58</v>
      </c>
      <c r="AJ41" s="337">
        <f t="shared" si="11"/>
        <v>0</v>
      </c>
      <c r="AK41" s="338">
        <f t="shared" si="12"/>
        <v>297.58</v>
      </c>
      <c r="AL41" s="342"/>
      <c r="AM41" s="336">
        <f t="shared" si="13"/>
        <v>152.41999999999999</v>
      </c>
      <c r="AN41" s="339">
        <f t="shared" si="13"/>
        <v>36.83</v>
      </c>
      <c r="AO41" s="340">
        <f t="shared" si="14"/>
        <v>115.59</v>
      </c>
      <c r="AP41" s="336">
        <f t="shared" si="15"/>
        <v>302.42</v>
      </c>
      <c r="AQ41" s="339">
        <f t="shared" si="15"/>
        <v>36.83</v>
      </c>
      <c r="AR41" s="340">
        <f t="shared" si="16"/>
        <v>265.58999999999997</v>
      </c>
      <c r="AS41" s="341">
        <f t="shared" si="21"/>
        <v>600</v>
      </c>
      <c r="AT41" s="339">
        <f t="shared" si="17"/>
        <v>36.83</v>
      </c>
      <c r="AU41" s="340">
        <f t="shared" si="18"/>
        <v>563.16999999999996</v>
      </c>
      <c r="AV41" s="589">
        <f t="shared" si="19"/>
        <v>0</v>
      </c>
      <c r="AW41" s="343"/>
      <c r="AX41" s="1098"/>
      <c r="AY41" s="345">
        <v>11.93</v>
      </c>
      <c r="AZ41" s="1098">
        <v>11.93</v>
      </c>
      <c r="BA41" s="345">
        <v>24.9</v>
      </c>
      <c r="BB41" s="1120">
        <v>24.9</v>
      </c>
      <c r="BC41" s="347">
        <v>15.59</v>
      </c>
      <c r="BD41" s="348"/>
      <c r="BE41" s="349">
        <v>50</v>
      </c>
      <c r="BF41" s="348"/>
      <c r="BG41" s="349">
        <v>50</v>
      </c>
      <c r="BH41" s="350"/>
      <c r="BI41" s="351">
        <v>50</v>
      </c>
      <c r="BJ41" s="352"/>
      <c r="BK41" s="337">
        <v>50</v>
      </c>
      <c r="BL41" s="352"/>
      <c r="BM41" s="337">
        <v>50</v>
      </c>
      <c r="BN41" s="353"/>
      <c r="BO41" s="354">
        <v>50</v>
      </c>
      <c r="BP41" s="355"/>
      <c r="BQ41" s="356">
        <v>50</v>
      </c>
      <c r="BR41" s="355"/>
      <c r="BS41" s="356">
        <f>50*2+97.58</f>
        <v>197.58</v>
      </c>
      <c r="BT41" s="357"/>
    </row>
    <row r="42" spans="1:74" s="313" customFormat="1" ht="25.5" outlineLevel="1">
      <c r="A42" s="287">
        <v>32</v>
      </c>
      <c r="B42" s="933"/>
      <c r="C42" s="840"/>
      <c r="D42" s="841"/>
      <c r="E42" s="839"/>
      <c r="F42" s="821" t="s">
        <v>7</v>
      </c>
      <c r="G42" s="314">
        <v>4</v>
      </c>
      <c r="H42" s="739" t="s">
        <v>71</v>
      </c>
      <c r="I42" s="739">
        <v>244</v>
      </c>
      <c r="J42" s="740">
        <v>221</v>
      </c>
      <c r="K42" s="533" t="s">
        <v>428</v>
      </c>
      <c r="L42" s="1025">
        <v>43200</v>
      </c>
      <c r="M42" s="318"/>
      <c r="N42" s="318"/>
      <c r="O42" s="1052">
        <f t="shared" si="20"/>
        <v>43200</v>
      </c>
      <c r="P42" s="559"/>
      <c r="Q42" s="336">
        <v>43200</v>
      </c>
      <c r="R42" s="559"/>
      <c r="S42" s="336">
        <v>43200</v>
      </c>
      <c r="T42" s="559"/>
      <c r="U42" s="335"/>
      <c r="V42" s="596" t="s">
        <v>234</v>
      </c>
      <c r="W42" s="597" t="s">
        <v>427</v>
      </c>
      <c r="X42" s="597" t="s">
        <v>381</v>
      </c>
      <c r="Z42" s="336">
        <f t="shared" si="5"/>
        <v>9600</v>
      </c>
      <c r="AA42" s="337">
        <f t="shared" si="5"/>
        <v>9600</v>
      </c>
      <c r="AB42" s="338">
        <f t="shared" si="6"/>
        <v>0</v>
      </c>
      <c r="AC42" s="336">
        <f t="shared" si="7"/>
        <v>14400</v>
      </c>
      <c r="AD42" s="337">
        <f t="shared" si="7"/>
        <v>0</v>
      </c>
      <c r="AE42" s="338">
        <f t="shared" si="8"/>
        <v>14400</v>
      </c>
      <c r="AF42" s="336">
        <f t="shared" si="9"/>
        <v>14400</v>
      </c>
      <c r="AG42" s="337">
        <f t="shared" si="9"/>
        <v>0</v>
      </c>
      <c r="AH42" s="338">
        <f t="shared" si="10"/>
        <v>14400</v>
      </c>
      <c r="AI42" s="336">
        <f t="shared" si="11"/>
        <v>4800</v>
      </c>
      <c r="AJ42" s="337">
        <f t="shared" si="11"/>
        <v>0</v>
      </c>
      <c r="AK42" s="338">
        <f t="shared" si="12"/>
        <v>4800</v>
      </c>
      <c r="AL42" s="342"/>
      <c r="AM42" s="336">
        <f t="shared" si="13"/>
        <v>24000</v>
      </c>
      <c r="AN42" s="339">
        <f t="shared" si="13"/>
        <v>9600</v>
      </c>
      <c r="AO42" s="340">
        <f t="shared" si="14"/>
        <v>14400</v>
      </c>
      <c r="AP42" s="336">
        <f t="shared" si="15"/>
        <v>38400</v>
      </c>
      <c r="AQ42" s="339">
        <f t="shared" si="15"/>
        <v>9600</v>
      </c>
      <c r="AR42" s="340">
        <f t="shared" si="16"/>
        <v>28800</v>
      </c>
      <c r="AS42" s="341">
        <f t="shared" si="21"/>
        <v>43200</v>
      </c>
      <c r="AT42" s="339">
        <f t="shared" si="17"/>
        <v>9600</v>
      </c>
      <c r="AU42" s="340">
        <f t="shared" si="18"/>
        <v>33600</v>
      </c>
      <c r="AV42" s="589">
        <f t="shared" si="19"/>
        <v>0</v>
      </c>
      <c r="AW42" s="343"/>
      <c r="AX42" s="1098"/>
      <c r="AY42" s="345">
        <v>4800</v>
      </c>
      <c r="AZ42" s="1098">
        <v>4800</v>
      </c>
      <c r="BA42" s="345">
        <v>4800</v>
      </c>
      <c r="BB42" s="1120">
        <v>4800</v>
      </c>
      <c r="BC42" s="347">
        <v>4800</v>
      </c>
      <c r="BD42" s="348"/>
      <c r="BE42" s="1135">
        <v>4800</v>
      </c>
      <c r="BF42" s="348"/>
      <c r="BG42" s="349">
        <v>4800</v>
      </c>
      <c r="BH42" s="350"/>
      <c r="BI42" s="351">
        <v>4800</v>
      </c>
      <c r="BJ42" s="352"/>
      <c r="BK42" s="337">
        <v>4800</v>
      </c>
      <c r="BL42" s="352"/>
      <c r="BM42" s="337">
        <v>4800</v>
      </c>
      <c r="BN42" s="353"/>
      <c r="BO42" s="354">
        <v>4800</v>
      </c>
      <c r="BP42" s="355"/>
      <c r="BQ42" s="356"/>
      <c r="BR42" s="355"/>
      <c r="BS42" s="356"/>
      <c r="BT42" s="357"/>
    </row>
    <row r="43" spans="1:74" s="358" customFormat="1" ht="31.5" customHeight="1">
      <c r="A43" s="287">
        <v>33</v>
      </c>
      <c r="B43" s="933"/>
      <c r="C43" s="850" t="s">
        <v>377</v>
      </c>
      <c r="D43" s="838"/>
      <c r="E43" s="836" t="s">
        <v>201</v>
      </c>
      <c r="F43" s="820" t="s">
        <v>7</v>
      </c>
      <c r="G43" s="360">
        <v>4</v>
      </c>
      <c r="H43" s="360" t="s">
        <v>71</v>
      </c>
      <c r="I43" s="360">
        <v>244</v>
      </c>
      <c r="J43" s="361">
        <v>222</v>
      </c>
      <c r="K43" s="532" t="s">
        <v>12</v>
      </c>
      <c r="L43" s="1023">
        <f>SUM(L44:L45)</f>
        <v>137727.94</v>
      </c>
      <c r="M43" s="363"/>
      <c r="N43" s="363"/>
      <c r="O43" s="1051">
        <f t="shared" si="20"/>
        <v>137727.94</v>
      </c>
      <c r="P43" s="557"/>
      <c r="Q43" s="367">
        <f>SUM(Q44:Q45)</f>
        <v>137727.94</v>
      </c>
      <c r="R43" s="557"/>
      <c r="S43" s="367">
        <f>SUM(S44:S45)</f>
        <v>138609.04999999999</v>
      </c>
      <c r="T43" s="557"/>
      <c r="U43" s="365"/>
      <c r="V43" s="366"/>
      <c r="W43" s="366"/>
      <c r="X43" s="366"/>
      <c r="Z43" s="367">
        <f t="shared" si="5"/>
        <v>10000</v>
      </c>
      <c r="AA43" s="363">
        <f t="shared" si="5"/>
        <v>22563.57</v>
      </c>
      <c r="AB43" s="280">
        <f t="shared" si="6"/>
        <v>-12563.57</v>
      </c>
      <c r="AC43" s="367">
        <f t="shared" si="7"/>
        <v>51981</v>
      </c>
      <c r="AD43" s="363">
        <f t="shared" si="7"/>
        <v>0</v>
      </c>
      <c r="AE43" s="280">
        <f t="shared" si="8"/>
        <v>51981</v>
      </c>
      <c r="AF43" s="367">
        <f t="shared" si="9"/>
        <v>39650</v>
      </c>
      <c r="AG43" s="363">
        <f t="shared" si="9"/>
        <v>0</v>
      </c>
      <c r="AH43" s="280">
        <f t="shared" si="10"/>
        <v>39650</v>
      </c>
      <c r="AI43" s="367">
        <f t="shared" si="11"/>
        <v>36096.94</v>
      </c>
      <c r="AJ43" s="363">
        <f t="shared" si="11"/>
        <v>0</v>
      </c>
      <c r="AK43" s="280">
        <f t="shared" si="12"/>
        <v>36096.94</v>
      </c>
      <c r="AL43" s="368"/>
      <c r="AM43" s="367">
        <f t="shared" si="13"/>
        <v>61981</v>
      </c>
      <c r="AN43" s="363">
        <f t="shared" si="13"/>
        <v>22563.57</v>
      </c>
      <c r="AO43" s="280">
        <f t="shared" si="14"/>
        <v>39417.43</v>
      </c>
      <c r="AP43" s="367">
        <f t="shared" si="15"/>
        <v>101631</v>
      </c>
      <c r="AQ43" s="363">
        <f t="shared" si="15"/>
        <v>22563.57</v>
      </c>
      <c r="AR43" s="280">
        <f t="shared" si="16"/>
        <v>79067.429999999993</v>
      </c>
      <c r="AS43" s="367">
        <f t="shared" si="21"/>
        <v>137727.94</v>
      </c>
      <c r="AT43" s="363">
        <f t="shared" si="17"/>
        <v>22563.57</v>
      </c>
      <c r="AU43" s="280">
        <f t="shared" si="18"/>
        <v>115164.37</v>
      </c>
      <c r="AV43" s="588">
        <f t="shared" si="19"/>
        <v>0</v>
      </c>
      <c r="AW43" s="367">
        <f t="shared" ref="AW43:BT43" si="30">SUM(AW44:AW45)</f>
        <v>0</v>
      </c>
      <c r="AX43" s="1097">
        <f t="shared" si="30"/>
        <v>5409.8</v>
      </c>
      <c r="AY43" s="363">
        <f t="shared" si="30"/>
        <v>5000</v>
      </c>
      <c r="AZ43" s="1097">
        <f t="shared" si="30"/>
        <v>4026.5</v>
      </c>
      <c r="BA43" s="363">
        <f t="shared" si="30"/>
        <v>5000</v>
      </c>
      <c r="BB43" s="1119">
        <f t="shared" si="30"/>
        <v>13127.27</v>
      </c>
      <c r="BC43" s="367">
        <f t="shared" si="30"/>
        <v>16431</v>
      </c>
      <c r="BD43" s="363">
        <f t="shared" si="30"/>
        <v>0</v>
      </c>
      <c r="BE43" s="363">
        <f t="shared" si="30"/>
        <v>7156.1</v>
      </c>
      <c r="BF43" s="363">
        <f t="shared" si="30"/>
        <v>0</v>
      </c>
      <c r="BG43" s="363">
        <f t="shared" si="30"/>
        <v>28393.9</v>
      </c>
      <c r="BH43" s="369">
        <f t="shared" si="30"/>
        <v>0</v>
      </c>
      <c r="BI43" s="367">
        <f t="shared" si="30"/>
        <v>14650</v>
      </c>
      <c r="BJ43" s="363">
        <f t="shared" si="30"/>
        <v>0</v>
      </c>
      <c r="BK43" s="363">
        <f t="shared" si="30"/>
        <v>20000</v>
      </c>
      <c r="BL43" s="363">
        <f t="shared" si="30"/>
        <v>0</v>
      </c>
      <c r="BM43" s="363">
        <f t="shared" si="30"/>
        <v>5000</v>
      </c>
      <c r="BN43" s="369">
        <f t="shared" si="30"/>
        <v>0</v>
      </c>
      <c r="BO43" s="367">
        <f t="shared" si="30"/>
        <v>5000</v>
      </c>
      <c r="BP43" s="363">
        <f t="shared" si="30"/>
        <v>0</v>
      </c>
      <c r="BQ43" s="363">
        <f t="shared" si="30"/>
        <v>5000</v>
      </c>
      <c r="BR43" s="363">
        <f t="shared" si="30"/>
        <v>0</v>
      </c>
      <c r="BS43" s="363">
        <f t="shared" si="30"/>
        <v>26096.94</v>
      </c>
      <c r="BT43" s="280">
        <f t="shared" si="30"/>
        <v>0</v>
      </c>
    </row>
    <row r="44" spans="1:74" s="313" customFormat="1" ht="25.5" outlineLevel="1">
      <c r="A44" s="287">
        <v>34</v>
      </c>
      <c r="B44" s="933"/>
      <c r="C44" s="840"/>
      <c r="D44" s="841"/>
      <c r="E44" s="839"/>
      <c r="F44" s="821" t="s">
        <v>7</v>
      </c>
      <c r="G44" s="314">
        <v>4</v>
      </c>
      <c r="H44" s="739" t="s">
        <v>71</v>
      </c>
      <c r="I44" s="739">
        <v>244</v>
      </c>
      <c r="J44" s="740">
        <v>222</v>
      </c>
      <c r="K44" s="533" t="s">
        <v>245</v>
      </c>
      <c r="L44" s="1025">
        <f>137727.94-77727.94</f>
        <v>60000</v>
      </c>
      <c r="M44" s="318"/>
      <c r="N44" s="318"/>
      <c r="O44" s="1052">
        <f t="shared" si="20"/>
        <v>60000</v>
      </c>
      <c r="P44" s="559"/>
      <c r="Q44" s="336">
        <v>137727.94</v>
      </c>
      <c r="R44" s="559"/>
      <c r="S44" s="336">
        <v>138609.04999999999</v>
      </c>
      <c r="T44" s="559"/>
      <c r="U44" s="335"/>
      <c r="V44" s="597" t="s">
        <v>240</v>
      </c>
      <c r="W44" s="597" t="s">
        <v>429</v>
      </c>
      <c r="X44" s="597" t="s">
        <v>381</v>
      </c>
      <c r="Z44" s="336">
        <f t="shared" si="5"/>
        <v>10000</v>
      </c>
      <c r="AA44" s="337">
        <f t="shared" si="5"/>
        <v>15063.57</v>
      </c>
      <c r="AB44" s="338">
        <f t="shared" si="6"/>
        <v>-5063.57</v>
      </c>
      <c r="AC44" s="336">
        <f t="shared" si="7"/>
        <v>21631</v>
      </c>
      <c r="AD44" s="337">
        <f t="shared" si="7"/>
        <v>0</v>
      </c>
      <c r="AE44" s="338">
        <f t="shared" si="8"/>
        <v>21631</v>
      </c>
      <c r="AF44" s="336">
        <f t="shared" si="9"/>
        <v>15000</v>
      </c>
      <c r="AG44" s="337">
        <f t="shared" si="9"/>
        <v>0</v>
      </c>
      <c r="AH44" s="338">
        <f t="shared" si="10"/>
        <v>15000</v>
      </c>
      <c r="AI44" s="336">
        <f t="shared" si="11"/>
        <v>13369</v>
      </c>
      <c r="AJ44" s="337">
        <f t="shared" si="11"/>
        <v>0</v>
      </c>
      <c r="AK44" s="338">
        <f t="shared" si="12"/>
        <v>13369</v>
      </c>
      <c r="AL44" s="342"/>
      <c r="AM44" s="336">
        <f t="shared" si="13"/>
        <v>31631</v>
      </c>
      <c r="AN44" s="339">
        <f t="shared" si="13"/>
        <v>15063.57</v>
      </c>
      <c r="AO44" s="340">
        <f t="shared" si="14"/>
        <v>16567.43</v>
      </c>
      <c r="AP44" s="336">
        <f t="shared" si="15"/>
        <v>46631</v>
      </c>
      <c r="AQ44" s="339">
        <f t="shared" si="15"/>
        <v>15063.57</v>
      </c>
      <c r="AR44" s="340">
        <f t="shared" si="16"/>
        <v>31567.43</v>
      </c>
      <c r="AS44" s="341">
        <f t="shared" si="21"/>
        <v>60000</v>
      </c>
      <c r="AT44" s="339">
        <f t="shared" si="17"/>
        <v>15063.57</v>
      </c>
      <c r="AU44" s="340">
        <f t="shared" si="18"/>
        <v>44936.43</v>
      </c>
      <c r="AV44" s="589">
        <f t="shared" si="19"/>
        <v>0</v>
      </c>
      <c r="AW44" s="343"/>
      <c r="AX44" s="1098">
        <v>5409.8</v>
      </c>
      <c r="AY44" s="345">
        <v>5000</v>
      </c>
      <c r="AZ44" s="1098">
        <v>2651.5</v>
      </c>
      <c r="BA44" s="345">
        <v>5000</v>
      </c>
      <c r="BB44" s="1120">
        <v>7002.27</v>
      </c>
      <c r="BC44" s="347">
        <v>11631</v>
      </c>
      <c r="BD44" s="348"/>
      <c r="BE44" s="1135">
        <v>3606.1</v>
      </c>
      <c r="BF44" s="348"/>
      <c r="BG44" s="349">
        <v>6393.9</v>
      </c>
      <c r="BH44" s="350"/>
      <c r="BI44" s="351">
        <v>5000</v>
      </c>
      <c r="BJ44" s="352"/>
      <c r="BK44" s="337">
        <v>5000</v>
      </c>
      <c r="BL44" s="352"/>
      <c r="BM44" s="337">
        <v>5000</v>
      </c>
      <c r="BN44" s="353"/>
      <c r="BO44" s="354">
        <v>5000</v>
      </c>
      <c r="BP44" s="355"/>
      <c r="BQ44" s="356">
        <v>5000</v>
      </c>
      <c r="BR44" s="355"/>
      <c r="BS44" s="356">
        <f>5000*2-6631</f>
        <v>3369</v>
      </c>
      <c r="BT44" s="357"/>
    </row>
    <row r="45" spans="1:74" s="313" customFormat="1" ht="38.25" outlineLevel="1">
      <c r="A45" s="287">
        <v>35</v>
      </c>
      <c r="B45" s="933"/>
      <c r="C45" s="840"/>
      <c r="D45" s="841"/>
      <c r="E45" s="839"/>
      <c r="F45" s="821" t="s">
        <v>7</v>
      </c>
      <c r="G45" s="314">
        <v>4</v>
      </c>
      <c r="H45" s="739" t="s">
        <v>71</v>
      </c>
      <c r="I45" s="739">
        <v>244</v>
      </c>
      <c r="J45" s="740">
        <v>222</v>
      </c>
      <c r="K45" s="533" t="s">
        <v>244</v>
      </c>
      <c r="L45" s="1025">
        <v>77727.94</v>
      </c>
      <c r="M45" s="318"/>
      <c r="N45" s="318"/>
      <c r="O45" s="1052">
        <f t="shared" si="20"/>
        <v>77727.94</v>
      </c>
      <c r="P45" s="559"/>
      <c r="Q45" s="336">
        <v>0</v>
      </c>
      <c r="R45" s="559"/>
      <c r="S45" s="336">
        <v>0</v>
      </c>
      <c r="T45" s="559"/>
      <c r="U45" s="335"/>
      <c r="V45" s="597" t="s">
        <v>459</v>
      </c>
      <c r="W45" s="597" t="s">
        <v>460</v>
      </c>
      <c r="X45" s="597" t="s">
        <v>461</v>
      </c>
      <c r="Z45" s="336">
        <f t="shared" si="5"/>
        <v>0</v>
      </c>
      <c r="AA45" s="337">
        <f t="shared" si="5"/>
        <v>7500</v>
      </c>
      <c r="AB45" s="338">
        <f t="shared" si="6"/>
        <v>-7500</v>
      </c>
      <c r="AC45" s="336">
        <f t="shared" si="7"/>
        <v>30350</v>
      </c>
      <c r="AD45" s="337">
        <f t="shared" si="7"/>
        <v>0</v>
      </c>
      <c r="AE45" s="338">
        <f t="shared" si="8"/>
        <v>30350</v>
      </c>
      <c r="AF45" s="336">
        <f t="shared" si="9"/>
        <v>24650</v>
      </c>
      <c r="AG45" s="337">
        <f t="shared" si="9"/>
        <v>0</v>
      </c>
      <c r="AH45" s="338">
        <f t="shared" si="10"/>
        <v>24650</v>
      </c>
      <c r="AI45" s="336">
        <f t="shared" si="11"/>
        <v>22727.94</v>
      </c>
      <c r="AJ45" s="337">
        <f t="shared" si="11"/>
        <v>0</v>
      </c>
      <c r="AK45" s="338">
        <f t="shared" si="12"/>
        <v>22727.94</v>
      </c>
      <c r="AL45" s="342"/>
      <c r="AM45" s="336">
        <f t="shared" si="13"/>
        <v>30350</v>
      </c>
      <c r="AN45" s="339">
        <f t="shared" si="13"/>
        <v>7500</v>
      </c>
      <c r="AO45" s="340">
        <f t="shared" si="14"/>
        <v>22850</v>
      </c>
      <c r="AP45" s="336">
        <f t="shared" si="15"/>
        <v>55000</v>
      </c>
      <c r="AQ45" s="339">
        <f t="shared" si="15"/>
        <v>7500</v>
      </c>
      <c r="AR45" s="340">
        <f t="shared" si="16"/>
        <v>47500</v>
      </c>
      <c r="AS45" s="341">
        <f t="shared" si="21"/>
        <v>77727.94</v>
      </c>
      <c r="AT45" s="339">
        <f t="shared" si="17"/>
        <v>7500</v>
      </c>
      <c r="AU45" s="340">
        <f t="shared" si="18"/>
        <v>70227.94</v>
      </c>
      <c r="AV45" s="589">
        <f t="shared" si="19"/>
        <v>0</v>
      </c>
      <c r="AW45" s="343"/>
      <c r="AX45" s="1098"/>
      <c r="AY45" s="345"/>
      <c r="AZ45" s="1098">
        <v>1375</v>
      </c>
      <c r="BA45" s="345"/>
      <c r="BB45" s="1120">
        <v>6125</v>
      </c>
      <c r="BC45" s="1134">
        <f>1800+1200+1800</f>
        <v>4800</v>
      </c>
      <c r="BD45" s="348"/>
      <c r="BE45" s="1135">
        <f>550+3000</f>
        <v>3550</v>
      </c>
      <c r="BF45" s="348"/>
      <c r="BG45" s="349">
        <f>25000-3000</f>
        <v>22000</v>
      </c>
      <c r="BH45" s="350"/>
      <c r="BI45" s="351">
        <v>9650</v>
      </c>
      <c r="BJ45" s="352"/>
      <c r="BK45" s="337">
        <v>15000</v>
      </c>
      <c r="BL45" s="352"/>
      <c r="BM45" s="337"/>
      <c r="BN45" s="353"/>
      <c r="BO45" s="354"/>
      <c r="BP45" s="355"/>
      <c r="BQ45" s="356"/>
      <c r="BR45" s="355"/>
      <c r="BS45" s="356">
        <v>22727.94</v>
      </c>
      <c r="BT45" s="357"/>
    </row>
    <row r="46" spans="1:74" s="358" customFormat="1" ht="31.5" customHeight="1">
      <c r="A46" s="287">
        <v>36</v>
      </c>
      <c r="B46" s="933"/>
      <c r="C46" s="850" t="s">
        <v>377</v>
      </c>
      <c r="D46" s="838"/>
      <c r="E46" s="836" t="s">
        <v>201</v>
      </c>
      <c r="F46" s="820" t="s">
        <v>7</v>
      </c>
      <c r="G46" s="360">
        <v>4</v>
      </c>
      <c r="H46" s="360" t="s">
        <v>71</v>
      </c>
      <c r="I46" s="360">
        <v>244</v>
      </c>
      <c r="J46" s="361">
        <v>223</v>
      </c>
      <c r="K46" s="532" t="s">
        <v>13</v>
      </c>
      <c r="L46" s="1023">
        <f>SUM(L47:L48)</f>
        <v>1044506.81</v>
      </c>
      <c r="M46" s="363"/>
      <c r="N46" s="363"/>
      <c r="O46" s="1051">
        <f t="shared" si="20"/>
        <v>1044506.81</v>
      </c>
      <c r="P46" s="557"/>
      <c r="Q46" s="367">
        <f>SUM(Q47:Q48)</f>
        <v>1121133.8700000001</v>
      </c>
      <c r="R46" s="557"/>
      <c r="S46" s="367">
        <f>SUM(S47:S48)</f>
        <v>1129802.1399999999</v>
      </c>
      <c r="T46" s="557"/>
      <c r="U46" s="365"/>
      <c r="V46" s="366"/>
      <c r="W46" s="366"/>
      <c r="X46" s="366"/>
      <c r="Z46" s="367">
        <f t="shared" si="5"/>
        <v>255340</v>
      </c>
      <c r="AA46" s="363">
        <f t="shared" si="5"/>
        <v>73050.59</v>
      </c>
      <c r="AB46" s="280">
        <f t="shared" si="6"/>
        <v>182289.41</v>
      </c>
      <c r="AC46" s="367">
        <f t="shared" si="7"/>
        <v>278010</v>
      </c>
      <c r="AD46" s="363">
        <f t="shared" si="7"/>
        <v>0</v>
      </c>
      <c r="AE46" s="280">
        <f t="shared" si="8"/>
        <v>278010</v>
      </c>
      <c r="AF46" s="367">
        <f t="shared" si="9"/>
        <v>168010</v>
      </c>
      <c r="AG46" s="363">
        <f t="shared" si="9"/>
        <v>0</v>
      </c>
      <c r="AH46" s="280">
        <f t="shared" si="10"/>
        <v>168010</v>
      </c>
      <c r="AI46" s="367">
        <f t="shared" si="11"/>
        <v>343146.81</v>
      </c>
      <c r="AJ46" s="363">
        <f t="shared" si="11"/>
        <v>0</v>
      </c>
      <c r="AK46" s="280">
        <f t="shared" si="12"/>
        <v>343146.81</v>
      </c>
      <c r="AL46" s="368"/>
      <c r="AM46" s="367">
        <f t="shared" si="13"/>
        <v>533350</v>
      </c>
      <c r="AN46" s="363">
        <f t="shared" si="13"/>
        <v>73050.59</v>
      </c>
      <c r="AO46" s="280">
        <f t="shared" si="14"/>
        <v>460299.41</v>
      </c>
      <c r="AP46" s="367">
        <f t="shared" si="15"/>
        <v>701360</v>
      </c>
      <c r="AQ46" s="363">
        <f t="shared" si="15"/>
        <v>73050.59</v>
      </c>
      <c r="AR46" s="280">
        <f t="shared" si="16"/>
        <v>628309.41</v>
      </c>
      <c r="AS46" s="367">
        <f t="shared" si="21"/>
        <v>1044506.81</v>
      </c>
      <c r="AT46" s="363">
        <f t="shared" si="17"/>
        <v>73050.59</v>
      </c>
      <c r="AU46" s="280">
        <f t="shared" si="18"/>
        <v>971456.22</v>
      </c>
      <c r="AV46" s="588">
        <f t="shared" si="19"/>
        <v>0</v>
      </c>
      <c r="AW46" s="367">
        <f t="shared" ref="AW46:BT46" si="31">SUM(AW47:AW48)</f>
        <v>0</v>
      </c>
      <c r="AX46" s="1097">
        <f t="shared" si="31"/>
        <v>0</v>
      </c>
      <c r="AY46" s="363">
        <f t="shared" si="31"/>
        <v>132670</v>
      </c>
      <c r="AZ46" s="1097">
        <f t="shared" si="31"/>
        <v>73050.59</v>
      </c>
      <c r="BA46" s="363">
        <f t="shared" si="31"/>
        <v>122670</v>
      </c>
      <c r="BB46" s="1119">
        <f t="shared" si="31"/>
        <v>0</v>
      </c>
      <c r="BC46" s="367">
        <f t="shared" si="31"/>
        <v>112670</v>
      </c>
      <c r="BD46" s="363">
        <f t="shared" si="31"/>
        <v>0</v>
      </c>
      <c r="BE46" s="363">
        <f t="shared" si="31"/>
        <v>102670</v>
      </c>
      <c r="BF46" s="363">
        <f t="shared" si="31"/>
        <v>0</v>
      </c>
      <c r="BG46" s="363">
        <f t="shared" si="31"/>
        <v>62670</v>
      </c>
      <c r="BH46" s="369">
        <f t="shared" si="31"/>
        <v>0</v>
      </c>
      <c r="BI46" s="367">
        <f t="shared" si="31"/>
        <v>62670</v>
      </c>
      <c r="BJ46" s="363">
        <f t="shared" si="31"/>
        <v>0</v>
      </c>
      <c r="BK46" s="363">
        <f t="shared" si="31"/>
        <v>52670</v>
      </c>
      <c r="BL46" s="363">
        <f t="shared" si="31"/>
        <v>0</v>
      </c>
      <c r="BM46" s="363">
        <f t="shared" si="31"/>
        <v>52670</v>
      </c>
      <c r="BN46" s="369">
        <f t="shared" si="31"/>
        <v>0</v>
      </c>
      <c r="BO46" s="367">
        <f t="shared" si="31"/>
        <v>82670</v>
      </c>
      <c r="BP46" s="363">
        <f t="shared" si="31"/>
        <v>0</v>
      </c>
      <c r="BQ46" s="363">
        <f t="shared" si="31"/>
        <v>122670</v>
      </c>
      <c r="BR46" s="363">
        <f t="shared" si="31"/>
        <v>0</v>
      </c>
      <c r="BS46" s="363">
        <f t="shared" si="31"/>
        <v>137806.81</v>
      </c>
      <c r="BT46" s="280">
        <f t="shared" si="31"/>
        <v>0</v>
      </c>
    </row>
    <row r="47" spans="1:74" s="313" customFormat="1" ht="25.5" outlineLevel="1">
      <c r="A47" s="287">
        <v>37</v>
      </c>
      <c r="B47" s="933"/>
      <c r="C47" s="840"/>
      <c r="D47" s="841"/>
      <c r="E47" s="839"/>
      <c r="F47" s="821" t="s">
        <v>7</v>
      </c>
      <c r="G47" s="314">
        <v>4</v>
      </c>
      <c r="H47" s="739" t="s">
        <v>71</v>
      </c>
      <c r="I47" s="739">
        <v>244</v>
      </c>
      <c r="J47" s="740">
        <v>223</v>
      </c>
      <c r="K47" s="533" t="s">
        <v>246</v>
      </c>
      <c r="L47" s="1025">
        <v>1016987.56</v>
      </c>
      <c r="M47" s="318"/>
      <c r="N47" s="318"/>
      <c r="O47" s="1052">
        <f t="shared" si="20"/>
        <v>1016987.56</v>
      </c>
      <c r="P47" s="559"/>
      <c r="Q47" s="336">
        <v>1092480.0900000001</v>
      </c>
      <c r="R47" s="559"/>
      <c r="S47" s="336">
        <v>1100951.1299999999</v>
      </c>
      <c r="T47" s="559"/>
      <c r="U47" s="335"/>
      <c r="V47" s="596" t="s">
        <v>444</v>
      </c>
      <c r="W47" s="610" t="s">
        <v>443</v>
      </c>
      <c r="X47" s="597" t="s">
        <v>381</v>
      </c>
      <c r="Z47" s="336">
        <f t="shared" si="5"/>
        <v>250000</v>
      </c>
      <c r="AA47" s="337">
        <f t="shared" si="5"/>
        <v>73050.59</v>
      </c>
      <c r="AB47" s="338">
        <f t="shared" si="6"/>
        <v>176949.41</v>
      </c>
      <c r="AC47" s="336">
        <f t="shared" si="7"/>
        <v>270000</v>
      </c>
      <c r="AD47" s="337">
        <f t="shared" si="7"/>
        <v>0</v>
      </c>
      <c r="AE47" s="338">
        <f t="shared" si="8"/>
        <v>270000</v>
      </c>
      <c r="AF47" s="336">
        <f t="shared" si="9"/>
        <v>160000</v>
      </c>
      <c r="AG47" s="337">
        <f t="shared" si="9"/>
        <v>0</v>
      </c>
      <c r="AH47" s="338">
        <f t="shared" si="10"/>
        <v>160000</v>
      </c>
      <c r="AI47" s="336">
        <f t="shared" si="11"/>
        <v>336987.56</v>
      </c>
      <c r="AJ47" s="337">
        <f t="shared" si="11"/>
        <v>0</v>
      </c>
      <c r="AK47" s="338">
        <f t="shared" si="12"/>
        <v>336987.56</v>
      </c>
      <c r="AL47" s="342"/>
      <c r="AM47" s="336">
        <f t="shared" si="13"/>
        <v>520000</v>
      </c>
      <c r="AN47" s="339">
        <f t="shared" si="13"/>
        <v>73050.59</v>
      </c>
      <c r="AO47" s="340">
        <f t="shared" si="14"/>
        <v>446949.41</v>
      </c>
      <c r="AP47" s="336">
        <f t="shared" si="15"/>
        <v>680000</v>
      </c>
      <c r="AQ47" s="339">
        <f t="shared" si="15"/>
        <v>73050.59</v>
      </c>
      <c r="AR47" s="340">
        <f t="shared" si="16"/>
        <v>606949.41</v>
      </c>
      <c r="AS47" s="341">
        <f t="shared" si="21"/>
        <v>1016987.56</v>
      </c>
      <c r="AT47" s="339">
        <f t="shared" si="17"/>
        <v>73050.59</v>
      </c>
      <c r="AU47" s="340">
        <f t="shared" si="18"/>
        <v>943936.97</v>
      </c>
      <c r="AV47" s="589">
        <f t="shared" si="19"/>
        <v>0</v>
      </c>
      <c r="AW47" s="343"/>
      <c r="AX47" s="1098"/>
      <c r="AY47" s="345">
        <v>130000</v>
      </c>
      <c r="AZ47" s="1098">
        <v>73050.59</v>
      </c>
      <c r="BA47" s="345">
        <v>120000</v>
      </c>
      <c r="BB47" s="1120"/>
      <c r="BC47" s="347">
        <v>110000</v>
      </c>
      <c r="BD47" s="348"/>
      <c r="BE47" s="349">
        <v>100000</v>
      </c>
      <c r="BF47" s="348"/>
      <c r="BG47" s="349">
        <v>60000</v>
      </c>
      <c r="BH47" s="350"/>
      <c r="BI47" s="351">
        <v>60000</v>
      </c>
      <c r="BJ47" s="352"/>
      <c r="BK47" s="337">
        <v>50000</v>
      </c>
      <c r="BL47" s="352"/>
      <c r="BM47" s="337">
        <v>50000</v>
      </c>
      <c r="BN47" s="353"/>
      <c r="BO47" s="354">
        <v>80000</v>
      </c>
      <c r="BP47" s="355"/>
      <c r="BQ47" s="356">
        <v>120000</v>
      </c>
      <c r="BR47" s="355"/>
      <c r="BS47" s="356">
        <f>130000+6987.56</f>
        <v>136987.56</v>
      </c>
      <c r="BT47" s="357"/>
    </row>
    <row r="48" spans="1:74" s="313" customFormat="1" ht="25.5" outlineLevel="1">
      <c r="A48" s="287">
        <v>38</v>
      </c>
      <c r="B48" s="933"/>
      <c r="C48" s="840"/>
      <c r="D48" s="841"/>
      <c r="E48" s="839"/>
      <c r="F48" s="821" t="s">
        <v>7</v>
      </c>
      <c r="G48" s="314">
        <v>4</v>
      </c>
      <c r="H48" s="739" t="s">
        <v>71</v>
      </c>
      <c r="I48" s="739">
        <v>244</v>
      </c>
      <c r="J48" s="740">
        <v>223</v>
      </c>
      <c r="K48" s="533" t="s">
        <v>252</v>
      </c>
      <c r="L48" s="1025">
        <v>27519.25</v>
      </c>
      <c r="M48" s="318"/>
      <c r="N48" s="318"/>
      <c r="O48" s="1052">
        <f t="shared" si="20"/>
        <v>27519.25</v>
      </c>
      <c r="P48" s="559"/>
      <c r="Q48" s="336">
        <v>28653.78</v>
      </c>
      <c r="R48" s="559"/>
      <c r="S48" s="336">
        <v>28851.01</v>
      </c>
      <c r="T48" s="559"/>
      <c r="U48" s="335"/>
      <c r="V48" s="596" t="s">
        <v>444</v>
      </c>
      <c r="W48" s="610" t="s">
        <v>443</v>
      </c>
      <c r="X48" s="597" t="s">
        <v>381</v>
      </c>
      <c r="Z48" s="336">
        <f t="shared" si="5"/>
        <v>5340</v>
      </c>
      <c r="AA48" s="337">
        <f t="shared" si="5"/>
        <v>0</v>
      </c>
      <c r="AB48" s="338">
        <f t="shared" si="6"/>
        <v>5340</v>
      </c>
      <c r="AC48" s="336">
        <f t="shared" si="7"/>
        <v>8010</v>
      </c>
      <c r="AD48" s="337">
        <f t="shared" si="7"/>
        <v>0</v>
      </c>
      <c r="AE48" s="338">
        <f t="shared" si="8"/>
        <v>8010</v>
      </c>
      <c r="AF48" s="336">
        <f t="shared" si="9"/>
        <v>8010</v>
      </c>
      <c r="AG48" s="337">
        <f t="shared" si="9"/>
        <v>0</v>
      </c>
      <c r="AH48" s="338">
        <f t="shared" si="10"/>
        <v>8010</v>
      </c>
      <c r="AI48" s="336">
        <f t="shared" si="11"/>
        <v>6159.25</v>
      </c>
      <c r="AJ48" s="337">
        <f t="shared" si="11"/>
        <v>0</v>
      </c>
      <c r="AK48" s="338">
        <f t="shared" si="12"/>
        <v>6159.25</v>
      </c>
      <c r="AL48" s="342"/>
      <c r="AM48" s="336">
        <f t="shared" si="13"/>
        <v>13350</v>
      </c>
      <c r="AN48" s="339">
        <f t="shared" si="13"/>
        <v>0</v>
      </c>
      <c r="AO48" s="340">
        <f t="shared" si="14"/>
        <v>13350</v>
      </c>
      <c r="AP48" s="336">
        <f t="shared" si="15"/>
        <v>21360</v>
      </c>
      <c r="AQ48" s="339">
        <f t="shared" si="15"/>
        <v>0</v>
      </c>
      <c r="AR48" s="340">
        <f t="shared" si="16"/>
        <v>21360</v>
      </c>
      <c r="AS48" s="341">
        <f t="shared" si="21"/>
        <v>27519.25</v>
      </c>
      <c r="AT48" s="339">
        <f t="shared" si="17"/>
        <v>0</v>
      </c>
      <c r="AU48" s="340">
        <f t="shared" si="18"/>
        <v>27519.25</v>
      </c>
      <c r="AV48" s="589">
        <f t="shared" si="19"/>
        <v>0</v>
      </c>
      <c r="AW48" s="343"/>
      <c r="AX48" s="1098"/>
      <c r="AY48" s="345">
        <v>2670</v>
      </c>
      <c r="AZ48" s="1098"/>
      <c r="BA48" s="345">
        <v>2670</v>
      </c>
      <c r="BB48" s="1120"/>
      <c r="BC48" s="347">
        <v>2670</v>
      </c>
      <c r="BD48" s="348"/>
      <c r="BE48" s="349">
        <v>2670</v>
      </c>
      <c r="BF48" s="348"/>
      <c r="BG48" s="349">
        <v>2670</v>
      </c>
      <c r="BH48" s="350"/>
      <c r="BI48" s="351">
        <v>2670</v>
      </c>
      <c r="BJ48" s="352"/>
      <c r="BK48" s="337">
        <v>2670</v>
      </c>
      <c r="BL48" s="352"/>
      <c r="BM48" s="337">
        <v>2670</v>
      </c>
      <c r="BN48" s="353"/>
      <c r="BO48" s="354">
        <v>2670</v>
      </c>
      <c r="BP48" s="355"/>
      <c r="BQ48" s="356">
        <v>2670</v>
      </c>
      <c r="BR48" s="355"/>
      <c r="BS48" s="356">
        <v>819.25</v>
      </c>
      <c r="BT48" s="357"/>
    </row>
    <row r="49" spans="1:72" s="358" customFormat="1" ht="31.5" customHeight="1">
      <c r="A49" s="287">
        <v>39</v>
      </c>
      <c r="B49" s="933"/>
      <c r="C49" s="850" t="s">
        <v>377</v>
      </c>
      <c r="D49" s="838"/>
      <c r="E49" s="836" t="s">
        <v>201</v>
      </c>
      <c r="F49" s="820" t="s">
        <v>7</v>
      </c>
      <c r="G49" s="360">
        <v>4</v>
      </c>
      <c r="H49" s="360" t="s">
        <v>71</v>
      </c>
      <c r="I49" s="360">
        <v>244</v>
      </c>
      <c r="J49" s="361">
        <v>224</v>
      </c>
      <c r="K49" s="532" t="s">
        <v>151</v>
      </c>
      <c r="L49" s="1021">
        <f>L50</f>
        <v>12428476.800000001</v>
      </c>
      <c r="M49" s="363"/>
      <c r="N49" s="363"/>
      <c r="O49" s="1051">
        <f t="shared" si="20"/>
        <v>12428476.800000001</v>
      </c>
      <c r="P49" s="557">
        <f>12428476.8-L49</f>
        <v>0</v>
      </c>
      <c r="Q49" s="544">
        <f>Q50</f>
        <v>3668142.76</v>
      </c>
      <c r="R49" s="557"/>
      <c r="S49" s="544">
        <f t="shared" ref="S49" si="32">S50</f>
        <v>3648174.72</v>
      </c>
      <c r="T49" s="557"/>
      <c r="U49" s="365"/>
      <c r="V49" s="366"/>
      <c r="W49" s="366"/>
      <c r="X49" s="366"/>
      <c r="Z49" s="367">
        <f>AW49+AY49+BA49</f>
        <v>2071412.8</v>
      </c>
      <c r="AA49" s="363">
        <f>AX49+AZ49+BB49</f>
        <v>2071412.8</v>
      </c>
      <c r="AB49" s="280">
        <f>Z49-AA49</f>
        <v>0</v>
      </c>
      <c r="AC49" s="367">
        <f>BC49+BE49+BG49</f>
        <v>3107119.2</v>
      </c>
      <c r="AD49" s="363">
        <f>BD49+BF49+BH49</f>
        <v>0</v>
      </c>
      <c r="AE49" s="280">
        <f>AC49-AD49</f>
        <v>3107119.2</v>
      </c>
      <c r="AF49" s="367">
        <f>BI49+BK49+BM49</f>
        <v>3107119.2</v>
      </c>
      <c r="AG49" s="363">
        <f>BJ49+BL49+BN49</f>
        <v>0</v>
      </c>
      <c r="AH49" s="280">
        <f>AF49-AG49</f>
        <v>3107119.2</v>
      </c>
      <c r="AI49" s="367">
        <f>BO49+BQ49+BS49</f>
        <v>0</v>
      </c>
      <c r="AJ49" s="363">
        <f>BP49+BR49+BT49</f>
        <v>0</v>
      </c>
      <c r="AK49" s="280">
        <f>AI49-AJ49</f>
        <v>0</v>
      </c>
      <c r="AL49" s="368"/>
      <c r="AM49" s="367">
        <f>Z49+AC49</f>
        <v>5178532</v>
      </c>
      <c r="AN49" s="363">
        <f>AA49+AD49</f>
        <v>2071412.8</v>
      </c>
      <c r="AO49" s="280">
        <f>AM49-AN49</f>
        <v>3107119.2</v>
      </c>
      <c r="AP49" s="367">
        <f>Z49+AC49+AF49</f>
        <v>8285651.2000000002</v>
      </c>
      <c r="AQ49" s="363">
        <f>AA49+AD49+AG49</f>
        <v>2071412.8</v>
      </c>
      <c r="AR49" s="280">
        <f>AP49-AQ49</f>
        <v>6214238.4000000004</v>
      </c>
      <c r="AS49" s="367">
        <f>Z49+AC49+AF49+AI49</f>
        <v>8285651.2000000002</v>
      </c>
      <c r="AT49" s="363">
        <f>AA49+AD49+AG49+AJ49</f>
        <v>2071412.8</v>
      </c>
      <c r="AU49" s="280">
        <f>AS49-AT49</f>
        <v>6214238.4000000004</v>
      </c>
      <c r="AV49" s="588">
        <f t="shared" si="19"/>
        <v>4142825.6</v>
      </c>
      <c r="AW49" s="367">
        <f t="shared" ref="AW49:BT49" si="33">AW50</f>
        <v>0</v>
      </c>
      <c r="AX49" s="1097">
        <f t="shared" si="33"/>
        <v>0</v>
      </c>
      <c r="AY49" s="363">
        <f t="shared" si="33"/>
        <v>1035706.4</v>
      </c>
      <c r="AZ49" s="1097">
        <f t="shared" si="33"/>
        <v>1035706.4</v>
      </c>
      <c r="BA49" s="363">
        <f t="shared" si="33"/>
        <v>1035706.4</v>
      </c>
      <c r="BB49" s="1119">
        <f t="shared" si="33"/>
        <v>1035706.4</v>
      </c>
      <c r="BC49" s="367">
        <f t="shared" si="33"/>
        <v>1035706.4</v>
      </c>
      <c r="BD49" s="363">
        <f t="shared" si="33"/>
        <v>0</v>
      </c>
      <c r="BE49" s="363">
        <f t="shared" si="33"/>
        <v>1035706.4</v>
      </c>
      <c r="BF49" s="363">
        <f t="shared" si="33"/>
        <v>0</v>
      </c>
      <c r="BG49" s="363">
        <f t="shared" si="33"/>
        <v>1035706.4</v>
      </c>
      <c r="BH49" s="369">
        <f t="shared" si="33"/>
        <v>0</v>
      </c>
      <c r="BI49" s="367">
        <f t="shared" si="33"/>
        <v>1035706.4</v>
      </c>
      <c r="BJ49" s="363">
        <f t="shared" si="33"/>
        <v>0</v>
      </c>
      <c r="BK49" s="363">
        <f t="shared" si="33"/>
        <v>1035706.4</v>
      </c>
      <c r="BL49" s="363">
        <f t="shared" si="33"/>
        <v>0</v>
      </c>
      <c r="BM49" s="363">
        <f t="shared" si="33"/>
        <v>1035706.4</v>
      </c>
      <c r="BN49" s="369">
        <f t="shared" si="33"/>
        <v>0</v>
      </c>
      <c r="BO49" s="367">
        <f t="shared" si="33"/>
        <v>0</v>
      </c>
      <c r="BP49" s="363">
        <f t="shared" si="33"/>
        <v>0</v>
      </c>
      <c r="BQ49" s="363">
        <f t="shared" si="33"/>
        <v>0</v>
      </c>
      <c r="BR49" s="363">
        <f t="shared" si="33"/>
        <v>0</v>
      </c>
      <c r="BS49" s="363">
        <f t="shared" si="33"/>
        <v>0</v>
      </c>
      <c r="BT49" s="280">
        <f t="shared" si="33"/>
        <v>0</v>
      </c>
    </row>
    <row r="50" spans="1:72" s="313" customFormat="1" ht="38.25" outlineLevel="1">
      <c r="A50" s="287">
        <v>40</v>
      </c>
      <c r="B50" s="933"/>
      <c r="C50" s="840"/>
      <c r="D50" s="841"/>
      <c r="E50" s="839"/>
      <c r="F50" s="821" t="s">
        <v>7</v>
      </c>
      <c r="G50" s="314">
        <v>4</v>
      </c>
      <c r="H50" s="739" t="s">
        <v>71</v>
      </c>
      <c r="I50" s="739">
        <v>244</v>
      </c>
      <c r="J50" s="740">
        <v>224</v>
      </c>
      <c r="K50" s="533" t="s">
        <v>264</v>
      </c>
      <c r="L50" s="1026">
        <v>12428476.800000001</v>
      </c>
      <c r="M50" s="318"/>
      <c r="N50" s="318"/>
      <c r="O50" s="1010">
        <f t="shared" si="20"/>
        <v>12428476.800000001</v>
      </c>
      <c r="P50" s="559"/>
      <c r="Q50" s="509">
        <v>3668142.76</v>
      </c>
      <c r="R50" s="560"/>
      <c r="S50" s="509">
        <v>3648174.72</v>
      </c>
      <c r="T50" s="559"/>
      <c r="U50" s="335"/>
      <c r="V50" s="597" t="s">
        <v>265</v>
      </c>
      <c r="W50" s="597" t="s">
        <v>414</v>
      </c>
      <c r="X50" s="597" t="s">
        <v>417</v>
      </c>
      <c r="Z50" s="336">
        <f>AW50+AY50+BA50</f>
        <v>2071412.8</v>
      </c>
      <c r="AA50" s="337">
        <f>AX50+AZ50+BB50</f>
        <v>2071412.8</v>
      </c>
      <c r="AB50" s="338">
        <f>Z50-AA50</f>
        <v>0</v>
      </c>
      <c r="AC50" s="336">
        <f>BC50+BE50+BG50</f>
        <v>3107119.2</v>
      </c>
      <c r="AD50" s="337">
        <f>BD50+BF50+BH50</f>
        <v>0</v>
      </c>
      <c r="AE50" s="338">
        <f>AC50-AD50</f>
        <v>3107119.2</v>
      </c>
      <c r="AF50" s="336">
        <f>BI50+BK50+BM50</f>
        <v>3107119.2</v>
      </c>
      <c r="AG50" s="337">
        <f>BJ50+BL50+BN50</f>
        <v>0</v>
      </c>
      <c r="AH50" s="338">
        <f>AF50-AG50</f>
        <v>3107119.2</v>
      </c>
      <c r="AI50" s="336">
        <f>BO50+BQ50+BS50</f>
        <v>0</v>
      </c>
      <c r="AJ50" s="337">
        <f>BP50+BR50+BT50</f>
        <v>0</v>
      </c>
      <c r="AK50" s="338">
        <f>AI50-AJ50</f>
        <v>0</v>
      </c>
      <c r="AL50" s="342"/>
      <c r="AM50" s="336">
        <f>Z50+AC50</f>
        <v>5178532</v>
      </c>
      <c r="AN50" s="339">
        <f>AA50+AD50</f>
        <v>2071412.8</v>
      </c>
      <c r="AO50" s="340">
        <f>AM50-AN50</f>
        <v>3107119.2</v>
      </c>
      <c r="AP50" s="336">
        <f>Z50+AC50+AF50</f>
        <v>8285651.2000000002</v>
      </c>
      <c r="AQ50" s="339">
        <f>AA50+AD50+AG50</f>
        <v>2071412.8</v>
      </c>
      <c r="AR50" s="340">
        <f>AP50-AQ50</f>
        <v>6214238.4000000004</v>
      </c>
      <c r="AS50" s="341">
        <f>Z50+AC50+AF50+AI50</f>
        <v>8285651.2000000002</v>
      </c>
      <c r="AT50" s="339">
        <f>AA50+AD50+AG50+AJ50</f>
        <v>2071412.8</v>
      </c>
      <c r="AU50" s="340">
        <f>AS50-AT50</f>
        <v>6214238.4000000004</v>
      </c>
      <c r="AV50" s="589">
        <f t="shared" si="19"/>
        <v>4142825.6</v>
      </c>
      <c r="AW50" s="343"/>
      <c r="AX50" s="1098"/>
      <c r="AY50" s="345">
        <v>1035706.4</v>
      </c>
      <c r="AZ50" s="1098">
        <v>1035706.4</v>
      </c>
      <c r="BA50" s="345">
        <v>1035706.4</v>
      </c>
      <c r="BB50" s="1120">
        <v>1035706.4</v>
      </c>
      <c r="BC50" s="347">
        <v>1035706.4</v>
      </c>
      <c r="BD50" s="348"/>
      <c r="BE50" s="349">
        <v>1035706.4</v>
      </c>
      <c r="BF50" s="348"/>
      <c r="BG50" s="349">
        <v>1035706.4</v>
      </c>
      <c r="BH50" s="350"/>
      <c r="BI50" s="351">
        <v>1035706.4</v>
      </c>
      <c r="BJ50" s="352"/>
      <c r="BK50" s="337">
        <v>1035706.4</v>
      </c>
      <c r="BL50" s="352"/>
      <c r="BM50" s="337">
        <v>1035706.4</v>
      </c>
      <c r="BN50" s="353"/>
      <c r="BO50" s="354"/>
      <c r="BP50" s="355"/>
      <c r="BQ50" s="356"/>
      <c r="BR50" s="355"/>
      <c r="BS50" s="356"/>
      <c r="BT50" s="357"/>
    </row>
    <row r="51" spans="1:72" s="358" customFormat="1" ht="31.5" customHeight="1">
      <c r="A51" s="287">
        <v>41</v>
      </c>
      <c r="B51" s="933"/>
      <c r="C51" s="850" t="s">
        <v>377</v>
      </c>
      <c r="D51" s="838" t="s">
        <v>206</v>
      </c>
      <c r="E51" s="836" t="s">
        <v>201</v>
      </c>
      <c r="F51" s="820" t="s">
        <v>7</v>
      </c>
      <c r="G51" s="360">
        <v>4</v>
      </c>
      <c r="H51" s="360" t="s">
        <v>71</v>
      </c>
      <c r="I51" s="360">
        <v>244</v>
      </c>
      <c r="J51" s="361">
        <v>225</v>
      </c>
      <c r="K51" s="532" t="s">
        <v>149</v>
      </c>
      <c r="L51" s="1023">
        <f>SUM(L52:L54)</f>
        <v>77583.179999999993</v>
      </c>
      <c r="M51" s="363"/>
      <c r="N51" s="363"/>
      <c r="O51" s="1051">
        <f t="shared" si="20"/>
        <v>77583.179999999993</v>
      </c>
      <c r="P51" s="557"/>
      <c r="Q51" s="367">
        <f>SUM(Q52:Q54)</f>
        <v>81611.22</v>
      </c>
      <c r="R51" s="557"/>
      <c r="S51" s="367">
        <f>SUM(S52:S54)</f>
        <v>81611.22</v>
      </c>
      <c r="T51" s="557"/>
      <c r="U51" s="365"/>
      <c r="V51" s="366"/>
      <c r="W51" s="366"/>
      <c r="X51" s="366"/>
      <c r="Z51" s="367">
        <f t="shared" si="5"/>
        <v>16380.54</v>
      </c>
      <c r="AA51" s="363">
        <f t="shared" si="5"/>
        <v>16380.54</v>
      </c>
      <c r="AB51" s="280">
        <f t="shared" si="6"/>
        <v>0</v>
      </c>
      <c r="AC51" s="367">
        <f t="shared" si="7"/>
        <v>30770.69</v>
      </c>
      <c r="AD51" s="363">
        <f t="shared" si="7"/>
        <v>0</v>
      </c>
      <c r="AE51" s="280">
        <f t="shared" si="8"/>
        <v>30770.69</v>
      </c>
      <c r="AF51" s="367">
        <f t="shared" si="9"/>
        <v>7570.81</v>
      </c>
      <c r="AG51" s="363">
        <f t="shared" si="9"/>
        <v>0</v>
      </c>
      <c r="AH51" s="280">
        <f t="shared" si="10"/>
        <v>7570.81</v>
      </c>
      <c r="AI51" s="367">
        <f t="shared" si="11"/>
        <v>22861.14</v>
      </c>
      <c r="AJ51" s="363">
        <f t="shared" si="11"/>
        <v>0</v>
      </c>
      <c r="AK51" s="280">
        <f t="shared" si="12"/>
        <v>22861.14</v>
      </c>
      <c r="AL51" s="368"/>
      <c r="AM51" s="367">
        <f t="shared" si="13"/>
        <v>47151.23</v>
      </c>
      <c r="AN51" s="363">
        <f t="shared" si="13"/>
        <v>16380.54</v>
      </c>
      <c r="AO51" s="280">
        <f t="shared" si="14"/>
        <v>30770.69</v>
      </c>
      <c r="AP51" s="367">
        <f t="shared" si="15"/>
        <v>54722.04</v>
      </c>
      <c r="AQ51" s="363">
        <f t="shared" si="15"/>
        <v>16380.54</v>
      </c>
      <c r="AR51" s="280">
        <f t="shared" si="16"/>
        <v>38341.5</v>
      </c>
      <c r="AS51" s="367">
        <f t="shared" si="21"/>
        <v>77583.179999999993</v>
      </c>
      <c r="AT51" s="363">
        <f t="shared" si="17"/>
        <v>16380.54</v>
      </c>
      <c r="AU51" s="280">
        <f t="shared" si="18"/>
        <v>61202.64</v>
      </c>
      <c r="AV51" s="588">
        <f t="shared" si="19"/>
        <v>0</v>
      </c>
      <c r="AW51" s="367">
        <f t="shared" ref="AW51:BT51" si="34">SUM(AW52:AW54)</f>
        <v>0</v>
      </c>
      <c r="AX51" s="1097">
        <f t="shared" si="34"/>
        <v>0</v>
      </c>
      <c r="AY51" s="363">
        <f t="shared" si="34"/>
        <v>6190.27</v>
      </c>
      <c r="AZ51" s="1097">
        <f t="shared" si="34"/>
        <v>6440.27</v>
      </c>
      <c r="BA51" s="363">
        <f t="shared" si="34"/>
        <v>10190.27</v>
      </c>
      <c r="BB51" s="1119">
        <f t="shared" si="34"/>
        <v>9940.27</v>
      </c>
      <c r="BC51" s="367">
        <f t="shared" si="34"/>
        <v>10190.27</v>
      </c>
      <c r="BD51" s="363">
        <f t="shared" si="34"/>
        <v>0</v>
      </c>
      <c r="BE51" s="363">
        <f t="shared" si="34"/>
        <v>10390.27</v>
      </c>
      <c r="BF51" s="363">
        <f t="shared" si="34"/>
        <v>0</v>
      </c>
      <c r="BG51" s="363">
        <f t="shared" si="34"/>
        <v>10190.15</v>
      </c>
      <c r="BH51" s="369">
        <f t="shared" si="34"/>
        <v>0</v>
      </c>
      <c r="BI51" s="367">
        <f t="shared" si="34"/>
        <v>5190.2700000000004</v>
      </c>
      <c r="BJ51" s="363">
        <f t="shared" si="34"/>
        <v>0</v>
      </c>
      <c r="BK51" s="363">
        <f t="shared" si="34"/>
        <v>1190.27</v>
      </c>
      <c r="BL51" s="363">
        <f t="shared" si="34"/>
        <v>0</v>
      </c>
      <c r="BM51" s="363">
        <f t="shared" si="34"/>
        <v>1190.27</v>
      </c>
      <c r="BN51" s="369">
        <f t="shared" si="34"/>
        <v>0</v>
      </c>
      <c r="BO51" s="367">
        <f t="shared" si="34"/>
        <v>5190.2700000000004</v>
      </c>
      <c r="BP51" s="363">
        <f t="shared" si="34"/>
        <v>0</v>
      </c>
      <c r="BQ51" s="363">
        <f t="shared" si="34"/>
        <v>5190.2700000000004</v>
      </c>
      <c r="BR51" s="363">
        <f t="shared" si="34"/>
        <v>0</v>
      </c>
      <c r="BS51" s="363">
        <f t="shared" si="34"/>
        <v>12480.6</v>
      </c>
      <c r="BT51" s="280">
        <f t="shared" si="34"/>
        <v>0</v>
      </c>
    </row>
    <row r="52" spans="1:72" s="313" customFormat="1" ht="63.75" outlineLevel="1">
      <c r="A52" s="287">
        <v>42</v>
      </c>
      <c r="B52" s="933"/>
      <c r="C52" s="840"/>
      <c r="D52" s="853" t="s">
        <v>588</v>
      </c>
      <c r="E52" s="839"/>
      <c r="F52" s="821" t="s">
        <v>7</v>
      </c>
      <c r="G52" s="314">
        <v>4</v>
      </c>
      <c r="H52" s="739" t="s">
        <v>71</v>
      </c>
      <c r="I52" s="739">
        <v>244</v>
      </c>
      <c r="J52" s="740">
        <v>225</v>
      </c>
      <c r="K52" s="533" t="s">
        <v>262</v>
      </c>
      <c r="L52" s="1025">
        <f>18311.28-4028.04</f>
        <v>14283.24</v>
      </c>
      <c r="M52" s="318"/>
      <c r="N52" s="318"/>
      <c r="O52" s="1052">
        <f t="shared" si="20"/>
        <v>14283.24</v>
      </c>
      <c r="P52" s="559"/>
      <c r="Q52" s="341">
        <v>18311.28</v>
      </c>
      <c r="R52" s="559"/>
      <c r="S52" s="341">
        <v>18311.28</v>
      </c>
      <c r="T52" s="559"/>
      <c r="U52" s="335"/>
      <c r="V52" s="596" t="s">
        <v>253</v>
      </c>
      <c r="W52" s="597" t="s">
        <v>394</v>
      </c>
      <c r="X52" s="597" t="s">
        <v>381</v>
      </c>
      <c r="Z52" s="336">
        <f t="shared" ref="Z52:AA96" si="35">AW52+AY52+BA52</f>
        <v>2380.54</v>
      </c>
      <c r="AA52" s="337">
        <f t="shared" si="35"/>
        <v>2380.54</v>
      </c>
      <c r="AB52" s="338">
        <f t="shared" si="6"/>
        <v>0</v>
      </c>
      <c r="AC52" s="336">
        <f t="shared" ref="AC52:AD96" si="36">BC52+BE52+BG52</f>
        <v>3570.81</v>
      </c>
      <c r="AD52" s="337">
        <f t="shared" si="36"/>
        <v>0</v>
      </c>
      <c r="AE52" s="338">
        <f t="shared" si="8"/>
        <v>3570.81</v>
      </c>
      <c r="AF52" s="336">
        <f t="shared" ref="AF52:AG96" si="37">BI52+BK52+BM52</f>
        <v>3570.81</v>
      </c>
      <c r="AG52" s="337">
        <f t="shared" si="37"/>
        <v>0</v>
      </c>
      <c r="AH52" s="338">
        <f t="shared" si="10"/>
        <v>3570.81</v>
      </c>
      <c r="AI52" s="336">
        <f t="shared" ref="AI52:AJ96" si="38">BO52+BQ52+BS52</f>
        <v>4761.08</v>
      </c>
      <c r="AJ52" s="337">
        <f t="shared" si="38"/>
        <v>0</v>
      </c>
      <c r="AK52" s="338">
        <f t="shared" si="12"/>
        <v>4761.08</v>
      </c>
      <c r="AL52" s="342"/>
      <c r="AM52" s="336">
        <f t="shared" ref="AM52:AN96" si="39">Z52+AC52</f>
        <v>5951.35</v>
      </c>
      <c r="AN52" s="339">
        <f t="shared" si="39"/>
        <v>2380.54</v>
      </c>
      <c r="AO52" s="340">
        <f t="shared" si="14"/>
        <v>3570.81</v>
      </c>
      <c r="AP52" s="336">
        <f t="shared" ref="AP52:AQ96" si="40">Z52+AC52+AF52</f>
        <v>9522.16</v>
      </c>
      <c r="AQ52" s="339">
        <f t="shared" si="40"/>
        <v>2380.54</v>
      </c>
      <c r="AR52" s="340">
        <f t="shared" si="16"/>
        <v>7141.62</v>
      </c>
      <c r="AS52" s="341">
        <f t="shared" si="21"/>
        <v>14283.24</v>
      </c>
      <c r="AT52" s="339">
        <f t="shared" si="17"/>
        <v>2380.54</v>
      </c>
      <c r="AU52" s="340">
        <f t="shared" si="18"/>
        <v>11902.7</v>
      </c>
      <c r="AV52" s="589">
        <f t="shared" si="19"/>
        <v>0</v>
      </c>
      <c r="AW52" s="343"/>
      <c r="AX52" s="1098"/>
      <c r="AY52" s="345">
        <v>1190.27</v>
      </c>
      <c r="AZ52" s="1098">
        <v>1190.27</v>
      </c>
      <c r="BA52" s="345">
        <v>1190.27</v>
      </c>
      <c r="BB52" s="1120">
        <v>1190.27</v>
      </c>
      <c r="BC52" s="347">
        <v>1190.27</v>
      </c>
      <c r="BD52" s="348"/>
      <c r="BE52" s="1135">
        <v>1190.27</v>
      </c>
      <c r="BF52" s="348"/>
      <c r="BG52" s="349">
        <v>1190.27</v>
      </c>
      <c r="BH52" s="350"/>
      <c r="BI52" s="351">
        <v>1190.27</v>
      </c>
      <c r="BJ52" s="352"/>
      <c r="BK52" s="337">
        <v>1190.27</v>
      </c>
      <c r="BL52" s="352"/>
      <c r="BM52" s="337">
        <v>1190.27</v>
      </c>
      <c r="BN52" s="353"/>
      <c r="BO52" s="354">
        <v>1190.27</v>
      </c>
      <c r="BP52" s="355"/>
      <c r="BQ52" s="356">
        <v>1190.27</v>
      </c>
      <c r="BR52" s="355"/>
      <c r="BS52" s="356">
        <f>1190.27*2</f>
        <v>2380.54</v>
      </c>
      <c r="BT52" s="357"/>
    </row>
    <row r="53" spans="1:72" s="313" customFormat="1" ht="76.5" outlineLevel="1">
      <c r="A53" s="287">
        <v>43</v>
      </c>
      <c r="B53" s="933"/>
      <c r="C53" s="840"/>
      <c r="D53" s="853" t="s">
        <v>588</v>
      </c>
      <c r="E53" s="839"/>
      <c r="F53" s="821" t="s">
        <v>7</v>
      </c>
      <c r="G53" s="314">
        <v>4</v>
      </c>
      <c r="H53" s="739" t="s">
        <v>71</v>
      </c>
      <c r="I53" s="739">
        <v>244</v>
      </c>
      <c r="J53" s="740">
        <v>225</v>
      </c>
      <c r="K53" s="533" t="s">
        <v>263</v>
      </c>
      <c r="L53" s="1025">
        <v>25199.88</v>
      </c>
      <c r="M53" s="318"/>
      <c r="N53" s="318"/>
      <c r="O53" s="1052">
        <f t="shared" si="20"/>
        <v>25199.88</v>
      </c>
      <c r="P53" s="559"/>
      <c r="Q53" s="341">
        <v>25199.88</v>
      </c>
      <c r="R53" s="559"/>
      <c r="S53" s="341">
        <v>25199.88</v>
      </c>
      <c r="T53" s="559"/>
      <c r="U53" s="335"/>
      <c r="V53" s="596" t="s">
        <v>599</v>
      </c>
      <c r="W53" s="597" t="s">
        <v>452</v>
      </c>
      <c r="X53" s="597" t="s">
        <v>453</v>
      </c>
      <c r="Z53" s="336">
        <f t="shared" si="35"/>
        <v>10000</v>
      </c>
      <c r="AA53" s="337">
        <f t="shared" si="35"/>
        <v>10000</v>
      </c>
      <c r="AB53" s="338">
        <f t="shared" si="6"/>
        <v>0</v>
      </c>
      <c r="AC53" s="336">
        <f t="shared" si="36"/>
        <v>15199.88</v>
      </c>
      <c r="AD53" s="337">
        <f t="shared" si="36"/>
        <v>0</v>
      </c>
      <c r="AE53" s="338">
        <f t="shared" si="8"/>
        <v>15199.88</v>
      </c>
      <c r="AF53" s="336">
        <f t="shared" si="37"/>
        <v>0</v>
      </c>
      <c r="AG53" s="337">
        <f t="shared" si="37"/>
        <v>0</v>
      </c>
      <c r="AH53" s="338">
        <f t="shared" si="10"/>
        <v>0</v>
      </c>
      <c r="AI53" s="336">
        <f t="shared" si="38"/>
        <v>0</v>
      </c>
      <c r="AJ53" s="337">
        <f t="shared" si="38"/>
        <v>0</v>
      </c>
      <c r="AK53" s="338">
        <f t="shared" si="12"/>
        <v>0</v>
      </c>
      <c r="AL53" s="342"/>
      <c r="AM53" s="336">
        <f t="shared" si="39"/>
        <v>25199.88</v>
      </c>
      <c r="AN53" s="339">
        <f t="shared" si="39"/>
        <v>10000</v>
      </c>
      <c r="AO53" s="340">
        <f t="shared" si="14"/>
        <v>15199.88</v>
      </c>
      <c r="AP53" s="336">
        <f t="shared" si="40"/>
        <v>25199.88</v>
      </c>
      <c r="AQ53" s="339">
        <f t="shared" si="40"/>
        <v>10000</v>
      </c>
      <c r="AR53" s="340">
        <f t="shared" si="16"/>
        <v>15199.88</v>
      </c>
      <c r="AS53" s="341">
        <f t="shared" si="21"/>
        <v>25199.88</v>
      </c>
      <c r="AT53" s="339">
        <f t="shared" si="17"/>
        <v>10000</v>
      </c>
      <c r="AU53" s="340">
        <f t="shared" si="18"/>
        <v>15199.88</v>
      </c>
      <c r="AV53" s="589">
        <f t="shared" si="19"/>
        <v>0</v>
      </c>
      <c r="AW53" s="343"/>
      <c r="AX53" s="1098"/>
      <c r="AY53" s="345">
        <v>5000</v>
      </c>
      <c r="AZ53" s="1098">
        <v>5250</v>
      </c>
      <c r="BA53" s="345">
        <v>5000</v>
      </c>
      <c r="BB53" s="1120">
        <v>4750</v>
      </c>
      <c r="BC53" s="347">
        <v>5000</v>
      </c>
      <c r="BD53" s="348"/>
      <c r="BE53" s="1135">
        <v>5200</v>
      </c>
      <c r="BF53" s="348"/>
      <c r="BG53" s="349">
        <f>5000-0.12</f>
        <v>4999.88</v>
      </c>
      <c r="BH53" s="350"/>
      <c r="BI53" s="351"/>
      <c r="BJ53" s="352"/>
      <c r="BK53" s="337"/>
      <c r="BL53" s="352"/>
      <c r="BM53" s="337"/>
      <c r="BN53" s="353"/>
      <c r="BO53" s="354"/>
      <c r="BP53" s="355"/>
      <c r="BQ53" s="356"/>
      <c r="BR53" s="355"/>
      <c r="BS53" s="356"/>
      <c r="BT53" s="357"/>
    </row>
    <row r="54" spans="1:72" s="313" customFormat="1" ht="63.75" outlineLevel="1">
      <c r="A54" s="287">
        <v>44</v>
      </c>
      <c r="B54" s="933"/>
      <c r="C54" s="840"/>
      <c r="D54" s="853" t="s">
        <v>216</v>
      </c>
      <c r="E54" s="839"/>
      <c r="F54" s="821" t="s">
        <v>7</v>
      </c>
      <c r="G54" s="314">
        <v>4</v>
      </c>
      <c r="H54" s="739" t="s">
        <v>71</v>
      </c>
      <c r="I54" s="739">
        <v>244</v>
      </c>
      <c r="J54" s="740">
        <v>225</v>
      </c>
      <c r="K54" s="533" t="s">
        <v>361</v>
      </c>
      <c r="L54" s="1025">
        <v>38100.06</v>
      </c>
      <c r="M54" s="318"/>
      <c r="N54" s="318"/>
      <c r="O54" s="1052">
        <f t="shared" si="20"/>
        <v>38100.06</v>
      </c>
      <c r="P54" s="559"/>
      <c r="Q54" s="341">
        <v>38100.06</v>
      </c>
      <c r="R54" s="559"/>
      <c r="S54" s="341">
        <v>38100.06</v>
      </c>
      <c r="T54" s="559"/>
      <c r="U54" s="335"/>
      <c r="V54" s="597" t="s">
        <v>258</v>
      </c>
      <c r="W54" s="597" t="s">
        <v>454</v>
      </c>
      <c r="X54" s="597" t="s">
        <v>455</v>
      </c>
      <c r="Z54" s="336">
        <f t="shared" si="35"/>
        <v>4000</v>
      </c>
      <c r="AA54" s="337">
        <f t="shared" si="35"/>
        <v>4000</v>
      </c>
      <c r="AB54" s="338">
        <f t="shared" si="6"/>
        <v>0</v>
      </c>
      <c r="AC54" s="336">
        <f t="shared" si="36"/>
        <v>12000</v>
      </c>
      <c r="AD54" s="337">
        <f t="shared" si="36"/>
        <v>0</v>
      </c>
      <c r="AE54" s="338">
        <f t="shared" si="8"/>
        <v>12000</v>
      </c>
      <c r="AF54" s="336">
        <f t="shared" si="37"/>
        <v>4000</v>
      </c>
      <c r="AG54" s="337">
        <f t="shared" si="37"/>
        <v>0</v>
      </c>
      <c r="AH54" s="338">
        <f t="shared" si="10"/>
        <v>4000</v>
      </c>
      <c r="AI54" s="336">
        <f t="shared" si="38"/>
        <v>18100.060000000001</v>
      </c>
      <c r="AJ54" s="337">
        <f t="shared" si="38"/>
        <v>0</v>
      </c>
      <c r="AK54" s="338">
        <f t="shared" si="12"/>
        <v>18100.060000000001</v>
      </c>
      <c r="AL54" s="342"/>
      <c r="AM54" s="336">
        <f t="shared" si="39"/>
        <v>16000</v>
      </c>
      <c r="AN54" s="339">
        <f t="shared" si="39"/>
        <v>4000</v>
      </c>
      <c r="AO54" s="340">
        <f t="shared" si="14"/>
        <v>12000</v>
      </c>
      <c r="AP54" s="336">
        <f t="shared" si="40"/>
        <v>20000</v>
      </c>
      <c r="AQ54" s="339">
        <f t="shared" si="40"/>
        <v>4000</v>
      </c>
      <c r="AR54" s="340">
        <f t="shared" si="16"/>
        <v>16000</v>
      </c>
      <c r="AS54" s="341">
        <f t="shared" si="21"/>
        <v>38100.06</v>
      </c>
      <c r="AT54" s="339">
        <f t="shared" si="17"/>
        <v>4000</v>
      </c>
      <c r="AU54" s="340">
        <f t="shared" si="18"/>
        <v>34100.06</v>
      </c>
      <c r="AV54" s="589">
        <f t="shared" si="19"/>
        <v>0</v>
      </c>
      <c r="AW54" s="343"/>
      <c r="AX54" s="1098"/>
      <c r="AY54" s="345"/>
      <c r="AZ54" s="1098"/>
      <c r="BA54" s="345">
        <v>4000</v>
      </c>
      <c r="BB54" s="1120">
        <v>4000</v>
      </c>
      <c r="BC54" s="347">
        <v>4000</v>
      </c>
      <c r="BD54" s="348"/>
      <c r="BE54" s="1135">
        <v>4000</v>
      </c>
      <c r="BF54" s="348"/>
      <c r="BG54" s="349">
        <v>4000</v>
      </c>
      <c r="BH54" s="350"/>
      <c r="BI54" s="351">
        <v>4000</v>
      </c>
      <c r="BJ54" s="352"/>
      <c r="BK54" s="337"/>
      <c r="BL54" s="352"/>
      <c r="BM54" s="337"/>
      <c r="BN54" s="353"/>
      <c r="BO54" s="354">
        <v>4000</v>
      </c>
      <c r="BP54" s="355"/>
      <c r="BQ54" s="356">
        <v>4000</v>
      </c>
      <c r="BR54" s="355"/>
      <c r="BS54" s="356">
        <f>4000*2+2100.06</f>
        <v>10100.06</v>
      </c>
      <c r="BT54" s="357"/>
    </row>
    <row r="55" spans="1:72" s="358" customFormat="1" ht="31.5" customHeight="1">
      <c r="A55" s="287">
        <v>45</v>
      </c>
      <c r="B55" s="933"/>
      <c r="C55" s="850" t="s">
        <v>377</v>
      </c>
      <c r="D55" s="853" t="s">
        <v>207</v>
      </c>
      <c r="E55" s="836" t="s">
        <v>201</v>
      </c>
      <c r="F55" s="820" t="s">
        <v>7</v>
      </c>
      <c r="G55" s="360">
        <v>4</v>
      </c>
      <c r="H55" s="360" t="s">
        <v>71</v>
      </c>
      <c r="I55" s="360">
        <v>244</v>
      </c>
      <c r="J55" s="361">
        <v>225</v>
      </c>
      <c r="K55" s="532" t="s">
        <v>148</v>
      </c>
      <c r="L55" s="1023">
        <f>L56</f>
        <v>535089.69999999995</v>
      </c>
      <c r="M55" s="363"/>
      <c r="N55" s="363"/>
      <c r="O55" s="1051">
        <f t="shared" si="20"/>
        <v>535089.69999999995</v>
      </c>
      <c r="P55" s="557"/>
      <c r="Q55" s="367">
        <f>Q56</f>
        <v>538687.53</v>
      </c>
      <c r="R55" s="557"/>
      <c r="S55" s="367">
        <f>S56</f>
        <v>538687.52</v>
      </c>
      <c r="T55" s="557"/>
      <c r="U55" s="365"/>
      <c r="V55" s="366">
        <f>L205</f>
        <v>95000</v>
      </c>
      <c r="W55" s="366"/>
      <c r="X55" s="391">
        <f>L55/(L55+V55)</f>
        <v>0.84919999999999995</v>
      </c>
      <c r="Z55" s="367">
        <f t="shared" si="35"/>
        <v>53494.18</v>
      </c>
      <c r="AA55" s="363">
        <f t="shared" si="35"/>
        <v>53494.19</v>
      </c>
      <c r="AB55" s="280">
        <f t="shared" si="6"/>
        <v>-0.01</v>
      </c>
      <c r="AC55" s="367">
        <f t="shared" si="36"/>
        <v>101255.88</v>
      </c>
      <c r="AD55" s="363">
        <f t="shared" si="36"/>
        <v>0</v>
      </c>
      <c r="AE55" s="280">
        <f t="shared" si="8"/>
        <v>101255.88</v>
      </c>
      <c r="AF55" s="367">
        <f t="shared" si="37"/>
        <v>99092.04</v>
      </c>
      <c r="AG55" s="363">
        <f t="shared" si="37"/>
        <v>0</v>
      </c>
      <c r="AH55" s="280">
        <f t="shared" si="10"/>
        <v>99092.04</v>
      </c>
      <c r="AI55" s="367">
        <f t="shared" si="38"/>
        <v>0</v>
      </c>
      <c r="AJ55" s="363">
        <f t="shared" si="38"/>
        <v>0</v>
      </c>
      <c r="AK55" s="280">
        <f t="shared" si="12"/>
        <v>0</v>
      </c>
      <c r="AL55" s="368"/>
      <c r="AM55" s="367">
        <f t="shared" si="39"/>
        <v>154750.06</v>
      </c>
      <c r="AN55" s="363">
        <f t="shared" si="39"/>
        <v>53494.19</v>
      </c>
      <c r="AO55" s="280">
        <f t="shared" si="14"/>
        <v>101255.87</v>
      </c>
      <c r="AP55" s="367">
        <f t="shared" si="40"/>
        <v>253842.1</v>
      </c>
      <c r="AQ55" s="363">
        <f t="shared" si="40"/>
        <v>53494.19</v>
      </c>
      <c r="AR55" s="280">
        <f t="shared" si="16"/>
        <v>200347.91</v>
      </c>
      <c r="AS55" s="367">
        <f t="shared" si="21"/>
        <v>253842.1</v>
      </c>
      <c r="AT55" s="363">
        <f t="shared" si="17"/>
        <v>53494.19</v>
      </c>
      <c r="AU55" s="280">
        <f t="shared" si="18"/>
        <v>200347.91</v>
      </c>
      <c r="AV55" s="588">
        <f t="shared" si="19"/>
        <v>281247.59999999998</v>
      </c>
      <c r="AW55" s="367">
        <f t="shared" ref="AW55:BT55" si="41">AW56</f>
        <v>0</v>
      </c>
      <c r="AX55" s="1097">
        <f t="shared" si="41"/>
        <v>0</v>
      </c>
      <c r="AY55" s="363">
        <f t="shared" si="41"/>
        <v>22339.96</v>
      </c>
      <c r="AZ55" s="1097">
        <f t="shared" si="41"/>
        <v>22339.96</v>
      </c>
      <c r="BA55" s="363">
        <f t="shared" si="41"/>
        <v>31154.22</v>
      </c>
      <c r="BB55" s="1119">
        <f t="shared" si="41"/>
        <v>31154.23</v>
      </c>
      <c r="BC55" s="367">
        <f t="shared" si="41"/>
        <v>35050.83</v>
      </c>
      <c r="BD55" s="363">
        <f t="shared" si="41"/>
        <v>0</v>
      </c>
      <c r="BE55" s="363">
        <f t="shared" si="41"/>
        <v>35050.83</v>
      </c>
      <c r="BF55" s="363">
        <f t="shared" si="41"/>
        <v>0</v>
      </c>
      <c r="BG55" s="363">
        <f t="shared" si="41"/>
        <v>31154.22</v>
      </c>
      <c r="BH55" s="369">
        <f t="shared" si="41"/>
        <v>0</v>
      </c>
      <c r="BI55" s="367">
        <f t="shared" si="41"/>
        <v>33561.5</v>
      </c>
      <c r="BJ55" s="363">
        <f t="shared" si="41"/>
        <v>0</v>
      </c>
      <c r="BK55" s="363">
        <f t="shared" si="41"/>
        <v>32765.27</v>
      </c>
      <c r="BL55" s="363">
        <f t="shared" si="41"/>
        <v>0</v>
      </c>
      <c r="BM55" s="363">
        <f t="shared" si="41"/>
        <v>32765.27</v>
      </c>
      <c r="BN55" s="369">
        <f t="shared" si="41"/>
        <v>0</v>
      </c>
      <c r="BO55" s="367">
        <f t="shared" si="41"/>
        <v>0</v>
      </c>
      <c r="BP55" s="363">
        <f t="shared" si="41"/>
        <v>0</v>
      </c>
      <c r="BQ55" s="363">
        <f t="shared" si="41"/>
        <v>0</v>
      </c>
      <c r="BR55" s="363">
        <f t="shared" si="41"/>
        <v>0</v>
      </c>
      <c r="BS55" s="363">
        <f t="shared" si="41"/>
        <v>0</v>
      </c>
      <c r="BT55" s="280">
        <f t="shared" si="41"/>
        <v>0</v>
      </c>
    </row>
    <row r="56" spans="1:72" s="313" customFormat="1" ht="25.5" outlineLevel="1">
      <c r="A56" s="287">
        <v>46</v>
      </c>
      <c r="B56" s="933"/>
      <c r="C56" s="840"/>
      <c r="D56" s="853" t="s">
        <v>207</v>
      </c>
      <c r="E56" s="839"/>
      <c r="F56" s="821" t="s">
        <v>7</v>
      </c>
      <c r="G56" s="314">
        <v>4</v>
      </c>
      <c r="H56" s="739" t="s">
        <v>71</v>
      </c>
      <c r="I56" s="739">
        <v>244</v>
      </c>
      <c r="J56" s="740">
        <v>225</v>
      </c>
      <c r="K56" s="533" t="s">
        <v>209</v>
      </c>
      <c r="L56" s="1025">
        <v>535089.69999999995</v>
      </c>
      <c r="M56" s="318"/>
      <c r="N56" s="318"/>
      <c r="O56" s="1052">
        <f t="shared" si="20"/>
        <v>535089.69999999995</v>
      </c>
      <c r="P56" s="559"/>
      <c r="Q56" s="336">
        <v>538687.53</v>
      </c>
      <c r="R56" s="559"/>
      <c r="S56" s="336">
        <v>538687.52</v>
      </c>
      <c r="T56" s="559"/>
      <c r="U56" s="335"/>
      <c r="V56" s="597" t="s">
        <v>208</v>
      </c>
      <c r="W56" s="597" t="s">
        <v>685</v>
      </c>
      <c r="X56" s="597" t="s">
        <v>686</v>
      </c>
      <c r="Z56" s="336">
        <f t="shared" si="35"/>
        <v>53494.18</v>
      </c>
      <c r="AA56" s="337">
        <f t="shared" si="35"/>
        <v>53494.19</v>
      </c>
      <c r="AB56" s="338">
        <f t="shared" si="6"/>
        <v>-0.01</v>
      </c>
      <c r="AC56" s="336">
        <f t="shared" si="36"/>
        <v>101255.88</v>
      </c>
      <c r="AD56" s="337">
        <f t="shared" si="36"/>
        <v>0</v>
      </c>
      <c r="AE56" s="338">
        <f t="shared" si="8"/>
        <v>101255.88</v>
      </c>
      <c r="AF56" s="336">
        <f t="shared" si="37"/>
        <v>99092.04</v>
      </c>
      <c r="AG56" s="337">
        <f t="shared" si="37"/>
        <v>0</v>
      </c>
      <c r="AH56" s="338">
        <f t="shared" si="10"/>
        <v>99092.04</v>
      </c>
      <c r="AI56" s="336">
        <f t="shared" si="38"/>
        <v>0</v>
      </c>
      <c r="AJ56" s="337">
        <f t="shared" si="38"/>
        <v>0</v>
      </c>
      <c r="AK56" s="338">
        <f t="shared" si="12"/>
        <v>0</v>
      </c>
      <c r="AL56" s="342"/>
      <c r="AM56" s="336">
        <f t="shared" si="39"/>
        <v>154750.06</v>
      </c>
      <c r="AN56" s="339">
        <f t="shared" si="39"/>
        <v>53494.19</v>
      </c>
      <c r="AO56" s="340">
        <f t="shared" si="14"/>
        <v>101255.87</v>
      </c>
      <c r="AP56" s="336">
        <f t="shared" si="40"/>
        <v>253842.1</v>
      </c>
      <c r="AQ56" s="339">
        <f t="shared" si="40"/>
        <v>53494.19</v>
      </c>
      <c r="AR56" s="340">
        <f t="shared" si="16"/>
        <v>200347.91</v>
      </c>
      <c r="AS56" s="809">
        <f t="shared" si="21"/>
        <v>253842.1</v>
      </c>
      <c r="AT56" s="339">
        <f t="shared" si="17"/>
        <v>53494.19</v>
      </c>
      <c r="AU56" s="340">
        <f t="shared" si="18"/>
        <v>200347.91</v>
      </c>
      <c r="AV56" s="589">
        <f t="shared" si="19"/>
        <v>281247.59999999998</v>
      </c>
      <c r="AW56" s="343"/>
      <c r="AX56" s="1098"/>
      <c r="AY56" s="345">
        <f>925.05*1.61*15</f>
        <v>22339.96</v>
      </c>
      <c r="AZ56" s="1098">
        <v>22339.96</v>
      </c>
      <c r="BA56" s="345">
        <f>925.05*1.61*19+354.9*1.61*5</f>
        <v>31154.22</v>
      </c>
      <c r="BB56" s="1120">
        <v>31154.23</v>
      </c>
      <c r="BC56" s="347">
        <f>925.05*1.61*22+354.9*1.61*4</f>
        <v>35050.83</v>
      </c>
      <c r="BD56" s="348"/>
      <c r="BE56" s="349">
        <f>925.05*1.61*22+354.9*1.61*4</f>
        <v>35050.83</v>
      </c>
      <c r="BF56" s="348"/>
      <c r="BG56" s="349">
        <f>925.05*1.61*19+354.9*1.61*5</f>
        <v>31154.22</v>
      </c>
      <c r="BH56" s="350"/>
      <c r="BI56" s="351">
        <f>925.05*1.61*21+354.9*1.61*4</f>
        <v>33561.5</v>
      </c>
      <c r="BJ56" s="352"/>
      <c r="BK56" s="337">
        <f>925.05*1.61*22</f>
        <v>32765.27</v>
      </c>
      <c r="BL56" s="352"/>
      <c r="BM56" s="337">
        <f>925.05*1.61*22</f>
        <v>32765.27</v>
      </c>
      <c r="BN56" s="353"/>
      <c r="BO56" s="354"/>
      <c r="BP56" s="355"/>
      <c r="BQ56" s="356"/>
      <c r="BR56" s="355"/>
      <c r="BS56" s="356"/>
      <c r="BT56" s="357"/>
    </row>
    <row r="57" spans="1:72" s="358" customFormat="1" ht="47.25" customHeight="1">
      <c r="A57" s="287">
        <v>47</v>
      </c>
      <c r="B57" s="933"/>
      <c r="C57" s="850" t="s">
        <v>377</v>
      </c>
      <c r="D57" s="838"/>
      <c r="E57" s="836" t="s">
        <v>201</v>
      </c>
      <c r="F57" s="820" t="s">
        <v>7</v>
      </c>
      <c r="G57" s="360">
        <v>4</v>
      </c>
      <c r="H57" s="360" t="s">
        <v>71</v>
      </c>
      <c r="I57" s="360">
        <v>244</v>
      </c>
      <c r="J57" s="361">
        <v>225</v>
      </c>
      <c r="K57" s="532" t="s">
        <v>364</v>
      </c>
      <c r="L57" s="1023">
        <f>SUM(L58:L61)</f>
        <v>27290.76</v>
      </c>
      <c r="M57" s="363"/>
      <c r="N57" s="363"/>
      <c r="O57" s="1051">
        <f t="shared" si="20"/>
        <v>27290.76</v>
      </c>
      <c r="P57" s="571"/>
      <c r="Q57" s="367">
        <f>SUM(Q58:Q61)</f>
        <v>27290.76</v>
      </c>
      <c r="R57" s="557"/>
      <c r="S57" s="367">
        <f>SUM(S58:S61)</f>
        <v>27290.76</v>
      </c>
      <c r="T57" s="557"/>
      <c r="U57" s="365"/>
      <c r="V57" s="366"/>
      <c r="W57" s="366"/>
      <c r="X57" s="391"/>
      <c r="Z57" s="367">
        <f>AW57+AY57+BA57</f>
        <v>6822.69</v>
      </c>
      <c r="AA57" s="363">
        <f>AX57+AZ57+BB57</f>
        <v>0</v>
      </c>
      <c r="AB57" s="280">
        <f>Z57-AA57</f>
        <v>6822.69</v>
      </c>
      <c r="AC57" s="367">
        <f>BC57+BE57+BG57</f>
        <v>2520</v>
      </c>
      <c r="AD57" s="363">
        <f>BD57+BF57+BH57</f>
        <v>0</v>
      </c>
      <c r="AE57" s="280">
        <f>AC57-AD57</f>
        <v>2520</v>
      </c>
      <c r="AF57" s="367">
        <f>BI57+BK57+BM57</f>
        <v>6822.69</v>
      </c>
      <c r="AG57" s="363">
        <f>BJ57+BL57+BN57</f>
        <v>0</v>
      </c>
      <c r="AH57" s="280">
        <f>AF57-AG57</f>
        <v>6822.69</v>
      </c>
      <c r="AI57" s="367">
        <f>BO57+BQ57+BS57</f>
        <v>6822.69</v>
      </c>
      <c r="AJ57" s="363">
        <f>BP57+BR57+BT57</f>
        <v>0</v>
      </c>
      <c r="AK57" s="280">
        <f>AI57-AJ57</f>
        <v>6822.69</v>
      </c>
      <c r="AL57" s="368"/>
      <c r="AM57" s="367">
        <f>Z57+AC57</f>
        <v>9342.69</v>
      </c>
      <c r="AN57" s="363">
        <f>AA57+AD57</f>
        <v>0</v>
      </c>
      <c r="AO57" s="280">
        <f>AM57-AN57</f>
        <v>9342.69</v>
      </c>
      <c r="AP57" s="367">
        <f>Z57+AC57+AF57</f>
        <v>16165.38</v>
      </c>
      <c r="AQ57" s="363">
        <f>AA57+AD57+AG57</f>
        <v>0</v>
      </c>
      <c r="AR57" s="280">
        <f>AP57-AQ57</f>
        <v>16165.38</v>
      </c>
      <c r="AS57" s="367">
        <f>Z57+AC57+AF57+AI57</f>
        <v>22988.07</v>
      </c>
      <c r="AT57" s="363">
        <f>AA57+AD57+AG57+AJ57</f>
        <v>0</v>
      </c>
      <c r="AU57" s="280">
        <f>AS57-AT57</f>
        <v>22988.07</v>
      </c>
      <c r="AV57" s="588">
        <f t="shared" si="19"/>
        <v>4302.6899999999996</v>
      </c>
      <c r="AW57" s="367">
        <f t="shared" ref="AW57:BT57" si="42">SUM(AW58:AW61)</f>
        <v>0</v>
      </c>
      <c r="AX57" s="1108">
        <f t="shared" si="42"/>
        <v>0</v>
      </c>
      <c r="AY57" s="367">
        <f t="shared" si="42"/>
        <v>6822.69</v>
      </c>
      <c r="AZ57" s="1108">
        <f t="shared" si="42"/>
        <v>0</v>
      </c>
      <c r="BA57" s="367">
        <f t="shared" si="42"/>
        <v>0</v>
      </c>
      <c r="BB57" s="1108">
        <f t="shared" si="42"/>
        <v>0</v>
      </c>
      <c r="BC57" s="367">
        <f t="shared" si="42"/>
        <v>2520</v>
      </c>
      <c r="BD57" s="367">
        <f t="shared" si="42"/>
        <v>0</v>
      </c>
      <c r="BE57" s="367">
        <f t="shared" si="42"/>
        <v>0</v>
      </c>
      <c r="BF57" s="367">
        <f t="shared" si="42"/>
        <v>0</v>
      </c>
      <c r="BG57" s="367">
        <f t="shared" si="42"/>
        <v>0</v>
      </c>
      <c r="BH57" s="367">
        <f t="shared" si="42"/>
        <v>0</v>
      </c>
      <c r="BI57" s="367">
        <f t="shared" si="42"/>
        <v>0</v>
      </c>
      <c r="BJ57" s="367">
        <f t="shared" si="42"/>
        <v>0</v>
      </c>
      <c r="BK57" s="367">
        <f t="shared" si="42"/>
        <v>0</v>
      </c>
      <c r="BL57" s="367">
        <f t="shared" si="42"/>
        <v>0</v>
      </c>
      <c r="BM57" s="367">
        <f t="shared" si="42"/>
        <v>6822.69</v>
      </c>
      <c r="BN57" s="367">
        <f t="shared" si="42"/>
        <v>0</v>
      </c>
      <c r="BO57" s="367">
        <f t="shared" si="42"/>
        <v>0</v>
      </c>
      <c r="BP57" s="367">
        <f t="shared" si="42"/>
        <v>0</v>
      </c>
      <c r="BQ57" s="367">
        <f t="shared" si="42"/>
        <v>6822.69</v>
      </c>
      <c r="BR57" s="367">
        <f t="shared" si="42"/>
        <v>0</v>
      </c>
      <c r="BS57" s="367">
        <f t="shared" si="42"/>
        <v>0</v>
      </c>
      <c r="BT57" s="367">
        <f t="shared" si="42"/>
        <v>0</v>
      </c>
    </row>
    <row r="58" spans="1:72" s="313" customFormat="1" ht="51" outlineLevel="1">
      <c r="A58" s="287">
        <v>48</v>
      </c>
      <c r="B58" s="933"/>
      <c r="C58" s="840"/>
      <c r="D58" s="853" t="s">
        <v>216</v>
      </c>
      <c r="E58" s="839"/>
      <c r="F58" s="821" t="s">
        <v>7</v>
      </c>
      <c r="G58" s="314">
        <v>4</v>
      </c>
      <c r="H58" s="739" t="s">
        <v>71</v>
      </c>
      <c r="I58" s="739">
        <v>244</v>
      </c>
      <c r="J58" s="740">
        <v>225</v>
      </c>
      <c r="K58" s="533" t="s">
        <v>574</v>
      </c>
      <c r="L58" s="1025">
        <v>6822.69</v>
      </c>
      <c r="M58" s="318"/>
      <c r="N58" s="318"/>
      <c r="O58" s="1052">
        <f t="shared" ref="O58" si="43">L58+N58</f>
        <v>6822.69</v>
      </c>
      <c r="P58" s="570"/>
      <c r="Q58" s="509">
        <v>6822.69</v>
      </c>
      <c r="R58" s="559"/>
      <c r="S58" s="542">
        <v>6822.69</v>
      </c>
      <c r="T58" s="559"/>
      <c r="U58" s="335"/>
      <c r="V58" s="597" t="s">
        <v>254</v>
      </c>
      <c r="W58" s="597" t="s">
        <v>653</v>
      </c>
      <c r="X58" s="597" t="s">
        <v>654</v>
      </c>
      <c r="Z58" s="336">
        <f t="shared" ref="Z58" si="44">AW58+AY58+BA58</f>
        <v>0</v>
      </c>
      <c r="AA58" s="337">
        <f t="shared" ref="AA58" si="45">AX58+AZ58+BB58</f>
        <v>0</v>
      </c>
      <c r="AB58" s="338">
        <f t="shared" ref="AB58" si="46">Z58-AA58</f>
        <v>0</v>
      </c>
      <c r="AC58" s="336">
        <f t="shared" ref="AC58" si="47">BC58+BE58+BG58</f>
        <v>2520</v>
      </c>
      <c r="AD58" s="337">
        <f t="shared" ref="AD58" si="48">BD58+BF58+BH58</f>
        <v>0</v>
      </c>
      <c r="AE58" s="338">
        <f t="shared" ref="AE58" si="49">AC58-AD58</f>
        <v>2520</v>
      </c>
      <c r="AF58" s="336">
        <f t="shared" ref="AF58" si="50">BI58+BK58+BM58</f>
        <v>0</v>
      </c>
      <c r="AG58" s="337">
        <f t="shared" ref="AG58" si="51">BJ58+BL58+BN58</f>
        <v>0</v>
      </c>
      <c r="AH58" s="338">
        <f t="shared" ref="AH58" si="52">AF58-AG58</f>
        <v>0</v>
      </c>
      <c r="AI58" s="336">
        <f t="shared" ref="AI58" si="53">BO58+BQ58+BS58</f>
        <v>0</v>
      </c>
      <c r="AJ58" s="337">
        <f t="shared" ref="AJ58" si="54">BP58+BR58+BT58</f>
        <v>0</v>
      </c>
      <c r="AK58" s="338">
        <f t="shared" ref="AK58" si="55">AI58-AJ58</f>
        <v>0</v>
      </c>
      <c r="AL58" s="342"/>
      <c r="AM58" s="336">
        <f t="shared" ref="AM58" si="56">Z58+AC58</f>
        <v>2520</v>
      </c>
      <c r="AN58" s="339">
        <f t="shared" ref="AN58" si="57">AA58+AD58</f>
        <v>0</v>
      </c>
      <c r="AO58" s="340">
        <f t="shared" ref="AO58" si="58">AM58-AN58</f>
        <v>2520</v>
      </c>
      <c r="AP58" s="336">
        <f t="shared" ref="AP58" si="59">Z58+AC58+AF58</f>
        <v>2520</v>
      </c>
      <c r="AQ58" s="339">
        <f t="shared" ref="AQ58" si="60">AA58+AD58+AG58</f>
        <v>0</v>
      </c>
      <c r="AR58" s="340">
        <f t="shared" ref="AR58" si="61">AP58-AQ58</f>
        <v>2520</v>
      </c>
      <c r="AS58" s="341">
        <f t="shared" ref="AS58" si="62">Z58+AC58+AF58+AI58</f>
        <v>2520</v>
      </c>
      <c r="AT58" s="339">
        <f t="shared" ref="AT58" si="63">AA58+AD58+AG58+AJ58</f>
        <v>0</v>
      </c>
      <c r="AU58" s="340">
        <f t="shared" ref="AU58" si="64">AS58-AT58</f>
        <v>2520</v>
      </c>
      <c r="AV58" s="1068">
        <f t="shared" ref="AV58" si="65">L58-AS58</f>
        <v>4302.6899999999996</v>
      </c>
      <c r="AW58" s="343"/>
      <c r="AX58" s="1098"/>
      <c r="AY58" s="345"/>
      <c r="AZ58" s="1098"/>
      <c r="BA58" s="345"/>
      <c r="BB58" s="1120"/>
      <c r="BC58" s="347">
        <f>(9*140+9*140)</f>
        <v>2520</v>
      </c>
      <c r="BD58" s="348"/>
      <c r="BE58" s="349"/>
      <c r="BF58" s="348"/>
      <c r="BG58" s="349"/>
      <c r="BH58" s="350"/>
      <c r="BI58" s="351"/>
      <c r="BJ58" s="352"/>
      <c r="BK58" s="337"/>
      <c r="BL58" s="352"/>
      <c r="BM58" s="337"/>
      <c r="BN58" s="353"/>
      <c r="BO58" s="354"/>
      <c r="BP58" s="355"/>
      <c r="BQ58" s="356"/>
      <c r="BR58" s="355"/>
      <c r="BS58" s="356"/>
      <c r="BT58" s="357"/>
    </row>
    <row r="59" spans="1:72" s="313" customFormat="1" ht="51" outlineLevel="1">
      <c r="A59" s="287">
        <v>49</v>
      </c>
      <c r="B59" s="933"/>
      <c r="C59" s="840"/>
      <c r="D59" s="853" t="s">
        <v>216</v>
      </c>
      <c r="E59" s="839"/>
      <c r="F59" s="821" t="s">
        <v>7</v>
      </c>
      <c r="G59" s="314">
        <v>4</v>
      </c>
      <c r="H59" s="739" t="s">
        <v>71</v>
      </c>
      <c r="I59" s="739">
        <v>244</v>
      </c>
      <c r="J59" s="740">
        <v>225</v>
      </c>
      <c r="K59" s="533" t="s">
        <v>362</v>
      </c>
      <c r="L59" s="1025">
        <v>6822.69</v>
      </c>
      <c r="M59" s="318"/>
      <c r="N59" s="318"/>
      <c r="O59" s="1052">
        <f t="shared" ref="O59" si="66">L59+N59</f>
        <v>6822.69</v>
      </c>
      <c r="P59" s="570"/>
      <c r="Q59" s="509">
        <v>6822.69</v>
      </c>
      <c r="R59" s="559"/>
      <c r="S59" s="542">
        <v>6822.69</v>
      </c>
      <c r="T59" s="559"/>
      <c r="U59" s="335"/>
      <c r="V59" s="320" t="s">
        <v>254</v>
      </c>
      <c r="W59" s="388"/>
      <c r="X59" s="388"/>
      <c r="Z59" s="336">
        <f t="shared" ref="Z59" si="67">AW59+AY59+BA59</f>
        <v>6822.69</v>
      </c>
      <c r="AA59" s="337">
        <f t="shared" ref="AA59" si="68">AX59+AZ59+BB59</f>
        <v>0</v>
      </c>
      <c r="AB59" s="338">
        <f>Z59-AA59</f>
        <v>6822.69</v>
      </c>
      <c r="AC59" s="336">
        <f t="shared" ref="AC59" si="69">BC59+BE59+BG59</f>
        <v>0</v>
      </c>
      <c r="AD59" s="337">
        <f t="shared" ref="AD59" si="70">BD59+BF59+BH59</f>
        <v>0</v>
      </c>
      <c r="AE59" s="338">
        <f>AC59-AD59</f>
        <v>0</v>
      </c>
      <c r="AF59" s="336">
        <f t="shared" ref="AF59" si="71">BI59+BK59+BM59</f>
        <v>0</v>
      </c>
      <c r="AG59" s="337">
        <f t="shared" ref="AG59" si="72">BJ59+BL59+BN59</f>
        <v>0</v>
      </c>
      <c r="AH59" s="338">
        <f>AF59-AG59</f>
        <v>0</v>
      </c>
      <c r="AI59" s="336">
        <f t="shared" ref="AI59" si="73">BO59+BQ59+BS59</f>
        <v>0</v>
      </c>
      <c r="AJ59" s="337">
        <f t="shared" ref="AJ59" si="74">BP59+BR59+BT59</f>
        <v>0</v>
      </c>
      <c r="AK59" s="338">
        <f>AI59-AJ59</f>
        <v>0</v>
      </c>
      <c r="AL59" s="342"/>
      <c r="AM59" s="336">
        <f t="shared" ref="AM59" si="75">Z59+AC59</f>
        <v>6822.69</v>
      </c>
      <c r="AN59" s="339">
        <f t="shared" ref="AN59" si="76">AA59+AD59</f>
        <v>0</v>
      </c>
      <c r="AO59" s="340">
        <f>AM59-AN59</f>
        <v>6822.69</v>
      </c>
      <c r="AP59" s="336">
        <f t="shared" ref="AP59" si="77">Z59+AC59+AF59</f>
        <v>6822.69</v>
      </c>
      <c r="AQ59" s="339">
        <f t="shared" ref="AQ59" si="78">AA59+AD59+AG59</f>
        <v>0</v>
      </c>
      <c r="AR59" s="340">
        <f>AP59-AQ59</f>
        <v>6822.69</v>
      </c>
      <c r="AS59" s="341">
        <f t="shared" ref="AS59" si="79">Z59+AC59+AF59+AI59</f>
        <v>6822.69</v>
      </c>
      <c r="AT59" s="339">
        <f t="shared" ref="AT59" si="80">AA59+AD59+AG59+AJ59</f>
        <v>0</v>
      </c>
      <c r="AU59" s="340">
        <f>AS59-AT59</f>
        <v>6822.69</v>
      </c>
      <c r="AV59" s="589">
        <f t="shared" ref="AV59" si="81">L59-AS59</f>
        <v>0</v>
      </c>
      <c r="AW59" s="343"/>
      <c r="AX59" s="1098"/>
      <c r="AY59" s="345">
        <f>35*170 + 7*124.67</f>
        <v>6822.69</v>
      </c>
      <c r="AZ59" s="1098"/>
      <c r="BA59" s="345"/>
      <c r="BB59" s="1120"/>
      <c r="BC59" s="347"/>
      <c r="BD59" s="348"/>
      <c r="BE59" s="349"/>
      <c r="BF59" s="348"/>
      <c r="BG59" s="349"/>
      <c r="BH59" s="350"/>
      <c r="BI59" s="351"/>
      <c r="BJ59" s="352"/>
      <c r="BK59" s="337"/>
      <c r="BL59" s="352"/>
      <c r="BM59" s="337"/>
      <c r="BN59" s="353"/>
      <c r="BO59" s="354"/>
      <c r="BP59" s="355"/>
      <c r="BQ59" s="356"/>
      <c r="BR59" s="355"/>
      <c r="BS59" s="356"/>
      <c r="BT59" s="357"/>
    </row>
    <row r="60" spans="1:72" s="313" customFormat="1" ht="51" outlineLevel="1">
      <c r="A60" s="287">
        <v>50</v>
      </c>
      <c r="B60" s="933"/>
      <c r="C60" s="840"/>
      <c r="D60" s="853" t="s">
        <v>216</v>
      </c>
      <c r="E60" s="839"/>
      <c r="F60" s="821" t="s">
        <v>7</v>
      </c>
      <c r="G60" s="314">
        <v>4</v>
      </c>
      <c r="H60" s="739" t="s">
        <v>71</v>
      </c>
      <c r="I60" s="739">
        <v>244</v>
      </c>
      <c r="J60" s="740">
        <v>225</v>
      </c>
      <c r="K60" s="533" t="s">
        <v>363</v>
      </c>
      <c r="L60" s="1025">
        <v>6822.69</v>
      </c>
      <c r="M60" s="318"/>
      <c r="N60" s="318"/>
      <c r="O60" s="1052">
        <f t="shared" si="20"/>
        <v>6822.69</v>
      </c>
      <c r="P60" s="570"/>
      <c r="Q60" s="509">
        <v>6822.69</v>
      </c>
      <c r="R60" s="559"/>
      <c r="S60" s="542">
        <v>6822.69</v>
      </c>
      <c r="T60" s="559"/>
      <c r="U60" s="335"/>
      <c r="V60" s="320" t="s">
        <v>254</v>
      </c>
      <c r="W60" s="388"/>
      <c r="X60" s="388"/>
      <c r="Z60" s="336">
        <f t="shared" ref="Z60:AA63" si="82">AW60+AY60+BA60</f>
        <v>0</v>
      </c>
      <c r="AA60" s="337">
        <f t="shared" si="82"/>
        <v>0</v>
      </c>
      <c r="AB60" s="338">
        <f>Z60-AA60</f>
        <v>0</v>
      </c>
      <c r="AC60" s="336">
        <f t="shared" ref="AC60:AD63" si="83">BC60+BE60+BG60</f>
        <v>0</v>
      </c>
      <c r="AD60" s="337">
        <f t="shared" si="83"/>
        <v>0</v>
      </c>
      <c r="AE60" s="338">
        <f>AC60-AD60</f>
        <v>0</v>
      </c>
      <c r="AF60" s="336">
        <f t="shared" ref="AF60:AG63" si="84">BI60+BK60+BM60</f>
        <v>6822.69</v>
      </c>
      <c r="AG60" s="337">
        <f t="shared" si="84"/>
        <v>0</v>
      </c>
      <c r="AH60" s="338">
        <f>AF60-AG60</f>
        <v>6822.69</v>
      </c>
      <c r="AI60" s="336">
        <f t="shared" ref="AI60:AJ63" si="85">BO60+BQ60+BS60</f>
        <v>0</v>
      </c>
      <c r="AJ60" s="337">
        <f t="shared" si="85"/>
        <v>0</v>
      </c>
      <c r="AK60" s="338">
        <f>AI60-AJ60</f>
        <v>0</v>
      </c>
      <c r="AL60" s="342"/>
      <c r="AM60" s="336">
        <f t="shared" ref="AM60:AN63" si="86">Z60+AC60</f>
        <v>0</v>
      </c>
      <c r="AN60" s="339">
        <f t="shared" si="86"/>
        <v>0</v>
      </c>
      <c r="AO60" s="340">
        <f>AM60-AN60</f>
        <v>0</v>
      </c>
      <c r="AP60" s="336">
        <f t="shared" ref="AP60:AQ63" si="87">Z60+AC60+AF60</f>
        <v>6822.69</v>
      </c>
      <c r="AQ60" s="339">
        <f t="shared" si="87"/>
        <v>0</v>
      </c>
      <c r="AR60" s="340">
        <f>AP60-AQ60</f>
        <v>6822.69</v>
      </c>
      <c r="AS60" s="341">
        <f t="shared" ref="AS60:AT63" si="88">Z60+AC60+AF60+AI60</f>
        <v>6822.69</v>
      </c>
      <c r="AT60" s="339">
        <f t="shared" si="88"/>
        <v>0</v>
      </c>
      <c r="AU60" s="340">
        <f>AS60-AT60</f>
        <v>6822.69</v>
      </c>
      <c r="AV60" s="589">
        <f t="shared" si="19"/>
        <v>0</v>
      </c>
      <c r="AW60" s="343"/>
      <c r="AX60" s="1098"/>
      <c r="AY60" s="345"/>
      <c r="AZ60" s="1098"/>
      <c r="BA60" s="345"/>
      <c r="BB60" s="1120"/>
      <c r="BC60" s="347"/>
      <c r="BD60" s="348"/>
      <c r="BE60" s="349"/>
      <c r="BF60" s="348"/>
      <c r="BG60" s="349"/>
      <c r="BH60" s="350"/>
      <c r="BI60" s="351"/>
      <c r="BJ60" s="352"/>
      <c r="BK60" s="337"/>
      <c r="BL60" s="352"/>
      <c r="BM60" s="337">
        <f>35*170 + 7*124.67</f>
        <v>6822.69</v>
      </c>
      <c r="BN60" s="353"/>
      <c r="BO60" s="354"/>
      <c r="BP60" s="355"/>
      <c r="BQ60" s="356"/>
      <c r="BR60" s="355"/>
      <c r="BS60" s="356"/>
      <c r="BT60" s="357"/>
    </row>
    <row r="61" spans="1:72" s="313" customFormat="1" ht="51" outlineLevel="1">
      <c r="A61" s="287">
        <v>51</v>
      </c>
      <c r="B61" s="933"/>
      <c r="C61" s="840"/>
      <c r="D61" s="853" t="s">
        <v>216</v>
      </c>
      <c r="E61" s="839"/>
      <c r="F61" s="821" t="s">
        <v>7</v>
      </c>
      <c r="G61" s="314">
        <v>4</v>
      </c>
      <c r="H61" s="739" t="s">
        <v>71</v>
      </c>
      <c r="I61" s="739">
        <v>244</v>
      </c>
      <c r="J61" s="740">
        <v>225</v>
      </c>
      <c r="K61" s="533" t="s">
        <v>261</v>
      </c>
      <c r="L61" s="1025">
        <v>6822.69</v>
      </c>
      <c r="M61" s="318"/>
      <c r="N61" s="318"/>
      <c r="O61" s="1052">
        <f t="shared" ref="O61" si="89">L61+N61</f>
        <v>6822.69</v>
      </c>
      <c r="P61" s="570"/>
      <c r="Q61" s="509">
        <v>6822.69</v>
      </c>
      <c r="R61" s="559"/>
      <c r="S61" s="542">
        <v>6822.69</v>
      </c>
      <c r="T61" s="559"/>
      <c r="U61" s="335"/>
      <c r="V61" s="320" t="s">
        <v>254</v>
      </c>
      <c r="W61" s="388"/>
      <c r="X61" s="388"/>
      <c r="Z61" s="336">
        <f t="shared" ref="Z61" si="90">AW61+AY61+BA61</f>
        <v>0</v>
      </c>
      <c r="AA61" s="337">
        <f t="shared" ref="AA61" si="91">AX61+AZ61+BB61</f>
        <v>0</v>
      </c>
      <c r="AB61" s="338">
        <f>Z61-AA61</f>
        <v>0</v>
      </c>
      <c r="AC61" s="336">
        <f t="shared" ref="AC61" si="92">BC61+BE61+BG61</f>
        <v>0</v>
      </c>
      <c r="AD61" s="337">
        <f t="shared" ref="AD61" si="93">BD61+BF61+BH61</f>
        <v>0</v>
      </c>
      <c r="AE61" s="338">
        <f>AC61-AD61</f>
        <v>0</v>
      </c>
      <c r="AF61" s="336">
        <f t="shared" ref="AF61" si="94">BI61+BK61+BM61</f>
        <v>0</v>
      </c>
      <c r="AG61" s="337">
        <f t="shared" ref="AG61" si="95">BJ61+BL61+BN61</f>
        <v>0</v>
      </c>
      <c r="AH61" s="338">
        <f>AF61-AG61</f>
        <v>0</v>
      </c>
      <c r="AI61" s="336">
        <f t="shared" ref="AI61" si="96">BO61+BQ61+BS61</f>
        <v>6822.69</v>
      </c>
      <c r="AJ61" s="337">
        <f t="shared" ref="AJ61" si="97">BP61+BR61+BT61</f>
        <v>0</v>
      </c>
      <c r="AK61" s="338">
        <f>AI61-AJ61</f>
        <v>6822.69</v>
      </c>
      <c r="AL61" s="342"/>
      <c r="AM61" s="336">
        <f t="shared" ref="AM61" si="98">Z61+AC61</f>
        <v>0</v>
      </c>
      <c r="AN61" s="339">
        <f t="shared" ref="AN61" si="99">AA61+AD61</f>
        <v>0</v>
      </c>
      <c r="AO61" s="340">
        <f>AM61-AN61</f>
        <v>0</v>
      </c>
      <c r="AP61" s="336">
        <f t="shared" ref="AP61" si="100">Z61+AC61+AF61</f>
        <v>0</v>
      </c>
      <c r="AQ61" s="339">
        <f t="shared" ref="AQ61" si="101">AA61+AD61+AG61</f>
        <v>0</v>
      </c>
      <c r="AR61" s="340">
        <f>AP61-AQ61</f>
        <v>0</v>
      </c>
      <c r="AS61" s="341">
        <f t="shared" ref="AS61" si="102">Z61+AC61+AF61+AI61</f>
        <v>6822.69</v>
      </c>
      <c r="AT61" s="339">
        <f t="shared" ref="AT61" si="103">AA61+AD61+AG61+AJ61</f>
        <v>0</v>
      </c>
      <c r="AU61" s="340">
        <f>AS61-AT61</f>
        <v>6822.69</v>
      </c>
      <c r="AV61" s="589">
        <f t="shared" ref="AV61" si="104">L61-AS61</f>
        <v>0</v>
      </c>
      <c r="AW61" s="343"/>
      <c r="AX61" s="1098"/>
      <c r="AY61" s="345"/>
      <c r="AZ61" s="1098"/>
      <c r="BA61" s="345"/>
      <c r="BB61" s="1120"/>
      <c r="BC61" s="347"/>
      <c r="BD61" s="348"/>
      <c r="BE61" s="349"/>
      <c r="BF61" s="348"/>
      <c r="BG61" s="349"/>
      <c r="BH61" s="350"/>
      <c r="BI61" s="351"/>
      <c r="BJ61" s="352"/>
      <c r="BK61" s="337"/>
      <c r="BL61" s="352"/>
      <c r="BM61" s="337"/>
      <c r="BN61" s="353"/>
      <c r="BO61" s="354"/>
      <c r="BP61" s="355"/>
      <c r="BQ61" s="356">
        <f>35*170 + 7*124.67</f>
        <v>6822.69</v>
      </c>
      <c r="BR61" s="355"/>
      <c r="BS61" s="356"/>
      <c r="BT61" s="357"/>
    </row>
    <row r="62" spans="1:72" s="358" customFormat="1" ht="60" customHeight="1">
      <c r="A62" s="287">
        <v>52</v>
      </c>
      <c r="B62" s="1148" t="s">
        <v>623</v>
      </c>
      <c r="C62" s="850" t="s">
        <v>377</v>
      </c>
      <c r="D62" s="838"/>
      <c r="E62" s="836" t="s">
        <v>201</v>
      </c>
      <c r="F62" s="820" t="s">
        <v>7</v>
      </c>
      <c r="G62" s="360">
        <v>4</v>
      </c>
      <c r="H62" s="360" t="s">
        <v>71</v>
      </c>
      <c r="I62" s="360">
        <v>112</v>
      </c>
      <c r="J62" s="361">
        <v>226</v>
      </c>
      <c r="K62" s="532" t="s">
        <v>771</v>
      </c>
      <c r="L62" s="1023">
        <f>SUM(L63:L64)</f>
        <v>0</v>
      </c>
      <c r="M62" s="363"/>
      <c r="N62" s="363">
        <f>SUM(N63:N64)</f>
        <v>6734</v>
      </c>
      <c r="O62" s="1051">
        <f t="shared" ref="O62:O64" si="105">L62+N62</f>
        <v>6734</v>
      </c>
      <c r="P62" s="557"/>
      <c r="Q62" s="367">
        <f>SUM(Q63:Q64)</f>
        <v>0</v>
      </c>
      <c r="R62" s="557"/>
      <c r="S62" s="367">
        <f>SUM(S63:S64)</f>
        <v>0</v>
      </c>
      <c r="T62" s="557"/>
      <c r="U62" s="365"/>
      <c r="V62" s="366"/>
      <c r="W62" s="366"/>
      <c r="X62" s="366"/>
      <c r="Z62" s="367">
        <f t="shared" si="82"/>
        <v>6734</v>
      </c>
      <c r="AA62" s="363">
        <f t="shared" si="82"/>
        <v>0</v>
      </c>
      <c r="AB62" s="280">
        <f t="shared" ref="AB62:AB63" si="106">Z62-AA62</f>
        <v>6734</v>
      </c>
      <c r="AC62" s="367">
        <f t="shared" si="83"/>
        <v>0</v>
      </c>
      <c r="AD62" s="363">
        <f t="shared" si="83"/>
        <v>0</v>
      </c>
      <c r="AE62" s="280">
        <f t="shared" ref="AE62:AE63" si="107">AC62-AD62</f>
        <v>0</v>
      </c>
      <c r="AF62" s="367">
        <f t="shared" si="84"/>
        <v>0</v>
      </c>
      <c r="AG62" s="363">
        <f t="shared" si="84"/>
        <v>0</v>
      </c>
      <c r="AH62" s="280">
        <f t="shared" ref="AH62:AH63" si="108">AF62-AG62</f>
        <v>0</v>
      </c>
      <c r="AI62" s="367">
        <f t="shared" si="85"/>
        <v>0</v>
      </c>
      <c r="AJ62" s="363">
        <f t="shared" si="85"/>
        <v>0</v>
      </c>
      <c r="AK62" s="280">
        <f t="shared" ref="AK62:AK63" si="109">AI62-AJ62</f>
        <v>0</v>
      </c>
      <c r="AL62" s="368"/>
      <c r="AM62" s="367">
        <f t="shared" si="86"/>
        <v>6734</v>
      </c>
      <c r="AN62" s="363">
        <f t="shared" si="86"/>
        <v>0</v>
      </c>
      <c r="AO62" s="280">
        <f t="shared" ref="AO62:AO63" si="110">AM62-AN62</f>
        <v>6734</v>
      </c>
      <c r="AP62" s="367">
        <f t="shared" si="87"/>
        <v>6734</v>
      </c>
      <c r="AQ62" s="363">
        <f t="shared" si="87"/>
        <v>0</v>
      </c>
      <c r="AR62" s="280">
        <f t="shared" ref="AR62:AR63" si="111">AP62-AQ62</f>
        <v>6734</v>
      </c>
      <c r="AS62" s="367">
        <f t="shared" si="88"/>
        <v>6734</v>
      </c>
      <c r="AT62" s="363">
        <f t="shared" si="88"/>
        <v>0</v>
      </c>
      <c r="AU62" s="280">
        <f t="shared" ref="AU62:AU63" si="112">AS62-AT62</f>
        <v>6734</v>
      </c>
      <c r="AV62" s="588">
        <f t="shared" ref="AV62:AV64" si="113">L62-AS62</f>
        <v>-6734</v>
      </c>
      <c r="AW62" s="367">
        <f t="shared" ref="AW62:BS62" si="114">SUM(AW63:AW64)</f>
        <v>0</v>
      </c>
      <c r="AX62" s="1097">
        <f t="shared" si="114"/>
        <v>0</v>
      </c>
      <c r="AY62" s="363">
        <f t="shared" si="114"/>
        <v>0</v>
      </c>
      <c r="AZ62" s="1097">
        <f t="shared" si="114"/>
        <v>0</v>
      </c>
      <c r="BA62" s="363">
        <f t="shared" si="114"/>
        <v>6734</v>
      </c>
      <c r="BB62" s="1119">
        <f t="shared" si="114"/>
        <v>0</v>
      </c>
      <c r="BC62" s="367">
        <f t="shared" si="114"/>
        <v>0</v>
      </c>
      <c r="BD62" s="363">
        <f t="shared" si="114"/>
        <v>0</v>
      </c>
      <c r="BE62" s="363">
        <f t="shared" si="114"/>
        <v>0</v>
      </c>
      <c r="BF62" s="363">
        <f t="shared" si="114"/>
        <v>0</v>
      </c>
      <c r="BG62" s="363">
        <f t="shared" si="114"/>
        <v>0</v>
      </c>
      <c r="BH62" s="369">
        <f t="shared" si="114"/>
        <v>0</v>
      </c>
      <c r="BI62" s="367">
        <f t="shared" si="114"/>
        <v>0</v>
      </c>
      <c r="BJ62" s="363">
        <f t="shared" si="114"/>
        <v>0</v>
      </c>
      <c r="BK62" s="363">
        <f t="shared" si="114"/>
        <v>0</v>
      </c>
      <c r="BL62" s="363">
        <f t="shared" si="114"/>
        <v>0</v>
      </c>
      <c r="BM62" s="363">
        <f t="shared" si="114"/>
        <v>0</v>
      </c>
      <c r="BN62" s="369">
        <f t="shared" si="114"/>
        <v>0</v>
      </c>
      <c r="BO62" s="367">
        <f t="shared" si="114"/>
        <v>0</v>
      </c>
      <c r="BP62" s="363">
        <f t="shared" si="114"/>
        <v>0</v>
      </c>
      <c r="BQ62" s="363">
        <f t="shared" si="114"/>
        <v>0</v>
      </c>
      <c r="BR62" s="363">
        <f t="shared" si="114"/>
        <v>0</v>
      </c>
      <c r="BS62" s="363">
        <f t="shared" si="114"/>
        <v>0</v>
      </c>
      <c r="BT62" s="280">
        <f>SUM(BT63:BT73)</f>
        <v>0</v>
      </c>
    </row>
    <row r="63" spans="1:72" s="313" customFormat="1" ht="38.25" outlineLevel="1">
      <c r="A63" s="287">
        <v>53</v>
      </c>
      <c r="B63" s="1148" t="s">
        <v>623</v>
      </c>
      <c r="C63" s="840"/>
      <c r="D63" s="841"/>
      <c r="E63" s="839"/>
      <c r="F63" s="821" t="s">
        <v>7</v>
      </c>
      <c r="G63" s="314">
        <v>4</v>
      </c>
      <c r="H63" s="739" t="s">
        <v>71</v>
      </c>
      <c r="I63" s="739">
        <v>112</v>
      </c>
      <c r="J63" s="740">
        <v>226</v>
      </c>
      <c r="K63" s="533" t="s">
        <v>621</v>
      </c>
      <c r="L63" s="1025">
        <v>0</v>
      </c>
      <c r="M63" s="318"/>
      <c r="N63" s="318">
        <v>3744</v>
      </c>
      <c r="O63" s="1052">
        <f t="shared" si="105"/>
        <v>3744</v>
      </c>
      <c r="P63" s="559"/>
      <c r="Q63" s="336"/>
      <c r="R63" s="559"/>
      <c r="S63" s="336"/>
      <c r="T63" s="559"/>
      <c r="U63" s="335"/>
      <c r="V63" s="801" t="s">
        <v>625</v>
      </c>
      <c r="W63" s="801" t="s">
        <v>626</v>
      </c>
      <c r="X63" s="801"/>
      <c r="Z63" s="336">
        <f t="shared" si="82"/>
        <v>3744</v>
      </c>
      <c r="AA63" s="337">
        <f t="shared" si="82"/>
        <v>0</v>
      </c>
      <c r="AB63" s="338">
        <f t="shared" si="106"/>
        <v>3744</v>
      </c>
      <c r="AC63" s="336">
        <f t="shared" si="83"/>
        <v>0</v>
      </c>
      <c r="AD63" s="337">
        <f t="shared" si="83"/>
        <v>0</v>
      </c>
      <c r="AE63" s="338">
        <f t="shared" si="107"/>
        <v>0</v>
      </c>
      <c r="AF63" s="336">
        <f t="shared" si="84"/>
        <v>0</v>
      </c>
      <c r="AG63" s="337">
        <f t="shared" si="84"/>
        <v>0</v>
      </c>
      <c r="AH63" s="338">
        <f t="shared" si="108"/>
        <v>0</v>
      </c>
      <c r="AI63" s="336">
        <f t="shared" si="85"/>
        <v>0</v>
      </c>
      <c r="AJ63" s="337">
        <f t="shared" si="85"/>
        <v>0</v>
      </c>
      <c r="AK63" s="338">
        <f t="shared" si="109"/>
        <v>0</v>
      </c>
      <c r="AL63" s="342"/>
      <c r="AM63" s="336">
        <f t="shared" si="86"/>
        <v>3744</v>
      </c>
      <c r="AN63" s="339">
        <f t="shared" si="86"/>
        <v>0</v>
      </c>
      <c r="AO63" s="340">
        <f t="shared" si="110"/>
        <v>3744</v>
      </c>
      <c r="AP63" s="336">
        <f t="shared" si="87"/>
        <v>3744</v>
      </c>
      <c r="AQ63" s="339">
        <f t="shared" si="87"/>
        <v>0</v>
      </c>
      <c r="AR63" s="340">
        <f t="shared" si="111"/>
        <v>3744</v>
      </c>
      <c r="AS63" s="341">
        <f t="shared" si="88"/>
        <v>3744</v>
      </c>
      <c r="AT63" s="339">
        <f t="shared" si="88"/>
        <v>0</v>
      </c>
      <c r="AU63" s="340">
        <f t="shared" si="112"/>
        <v>3744</v>
      </c>
      <c r="AV63" s="589">
        <f t="shared" si="113"/>
        <v>-3744</v>
      </c>
      <c r="AW63" s="343"/>
      <c r="AX63" s="1098"/>
      <c r="AY63" s="345"/>
      <c r="AZ63" s="1098"/>
      <c r="BA63" s="345">
        <v>3744</v>
      </c>
      <c r="BB63" s="1120"/>
      <c r="BC63" s="347"/>
      <c r="BD63" s="348"/>
      <c r="BE63" s="349"/>
      <c r="BF63" s="348"/>
      <c r="BG63" s="349"/>
      <c r="BH63" s="350"/>
      <c r="BI63" s="351"/>
      <c r="BJ63" s="352"/>
      <c r="BK63" s="337"/>
      <c r="BL63" s="352"/>
      <c r="BM63" s="337"/>
      <c r="BN63" s="353"/>
      <c r="BO63" s="354"/>
      <c r="BP63" s="355"/>
      <c r="BQ63" s="356"/>
      <c r="BR63" s="355"/>
      <c r="BS63" s="356"/>
      <c r="BT63" s="357"/>
    </row>
    <row r="64" spans="1:72" s="313" customFormat="1" ht="25.5" outlineLevel="1">
      <c r="A64" s="287">
        <v>54</v>
      </c>
      <c r="B64" s="1148" t="s">
        <v>623</v>
      </c>
      <c r="C64" s="840"/>
      <c r="D64" s="841"/>
      <c r="E64" s="839"/>
      <c r="F64" s="821" t="s">
        <v>7</v>
      </c>
      <c r="G64" s="314">
        <v>4</v>
      </c>
      <c r="H64" s="739" t="s">
        <v>71</v>
      </c>
      <c r="I64" s="739">
        <v>112</v>
      </c>
      <c r="J64" s="740">
        <v>226</v>
      </c>
      <c r="K64" s="533" t="s">
        <v>622</v>
      </c>
      <c r="L64" s="1025">
        <v>0</v>
      </c>
      <c r="M64" s="318"/>
      <c r="N64" s="318">
        <v>2990</v>
      </c>
      <c r="O64" s="1052">
        <f t="shared" si="105"/>
        <v>2990</v>
      </c>
      <c r="P64" s="559"/>
      <c r="Q64" s="336"/>
      <c r="R64" s="559"/>
      <c r="S64" s="336"/>
      <c r="T64" s="559"/>
      <c r="U64" s="335"/>
      <c r="V64" s="801" t="s">
        <v>650</v>
      </c>
      <c r="W64" s="801" t="s">
        <v>651</v>
      </c>
      <c r="X64" s="801"/>
      <c r="Z64" s="336">
        <f t="shared" ref="Z64:AA66" si="115">AW64+AY64+BA64</f>
        <v>2990</v>
      </c>
      <c r="AA64" s="337">
        <f t="shared" si="115"/>
        <v>0</v>
      </c>
      <c r="AB64" s="338">
        <f>Z64-AA64</f>
        <v>2990</v>
      </c>
      <c r="AC64" s="336">
        <f t="shared" ref="AC64:AD66" si="116">BC64+BE64+BG64</f>
        <v>0</v>
      </c>
      <c r="AD64" s="337">
        <f t="shared" si="116"/>
        <v>0</v>
      </c>
      <c r="AE64" s="338">
        <f>AC64-AD64</f>
        <v>0</v>
      </c>
      <c r="AF64" s="336">
        <f t="shared" ref="AF64:AG66" si="117">BI64+BK64+BM64</f>
        <v>0</v>
      </c>
      <c r="AG64" s="337">
        <f t="shared" si="117"/>
        <v>0</v>
      </c>
      <c r="AH64" s="338">
        <f>AF64-AG64</f>
        <v>0</v>
      </c>
      <c r="AI64" s="336">
        <f t="shared" ref="AI64:AJ66" si="118">BO64+BQ64+BS64</f>
        <v>0</v>
      </c>
      <c r="AJ64" s="337">
        <f t="shared" si="118"/>
        <v>0</v>
      </c>
      <c r="AK64" s="338">
        <f>AI64-AJ64</f>
        <v>0</v>
      </c>
      <c r="AL64" s="342"/>
      <c r="AM64" s="336">
        <f t="shared" ref="AM64:AN66" si="119">Z64+AC64</f>
        <v>2990</v>
      </c>
      <c r="AN64" s="339">
        <f t="shared" si="119"/>
        <v>0</v>
      </c>
      <c r="AO64" s="340">
        <f>AM64-AN64</f>
        <v>2990</v>
      </c>
      <c r="AP64" s="336">
        <f t="shared" ref="AP64:AQ66" si="120">Z64+AC64+AF64</f>
        <v>2990</v>
      </c>
      <c r="AQ64" s="339">
        <f t="shared" si="120"/>
        <v>0</v>
      </c>
      <c r="AR64" s="340">
        <f>AP64-AQ64</f>
        <v>2990</v>
      </c>
      <c r="AS64" s="341">
        <f t="shared" ref="AS64:AT66" si="121">Z64+AC64+AF64+AI64</f>
        <v>2990</v>
      </c>
      <c r="AT64" s="339">
        <f t="shared" si="121"/>
        <v>0</v>
      </c>
      <c r="AU64" s="340">
        <f>AS64-AT64</f>
        <v>2990</v>
      </c>
      <c r="AV64" s="589">
        <f t="shared" si="113"/>
        <v>-2990</v>
      </c>
      <c r="AW64" s="343"/>
      <c r="AX64" s="1098"/>
      <c r="AY64" s="345"/>
      <c r="AZ64" s="1098"/>
      <c r="BA64" s="345">
        <v>2990</v>
      </c>
      <c r="BB64" s="1120"/>
      <c r="BC64" s="347"/>
      <c r="BD64" s="348"/>
      <c r="BE64" s="349"/>
      <c r="BF64" s="348"/>
      <c r="BG64" s="349"/>
      <c r="BH64" s="350"/>
      <c r="BI64" s="351"/>
      <c r="BJ64" s="352"/>
      <c r="BK64" s="337"/>
      <c r="BL64" s="352"/>
      <c r="BM64" s="337"/>
      <c r="BN64" s="353"/>
      <c r="BO64" s="354"/>
      <c r="BP64" s="355"/>
      <c r="BQ64" s="356"/>
      <c r="BR64" s="355"/>
      <c r="BS64" s="356"/>
      <c r="BT64" s="357"/>
    </row>
    <row r="65" spans="1:72" s="358" customFormat="1" ht="31.5" customHeight="1">
      <c r="A65" s="287">
        <v>55</v>
      </c>
      <c r="B65" s="933"/>
      <c r="C65" s="850" t="s">
        <v>377</v>
      </c>
      <c r="D65" s="853" t="s">
        <v>207</v>
      </c>
      <c r="E65" s="836" t="s">
        <v>201</v>
      </c>
      <c r="F65" s="820" t="s">
        <v>7</v>
      </c>
      <c r="G65" s="360">
        <v>4</v>
      </c>
      <c r="H65" s="360" t="s">
        <v>71</v>
      </c>
      <c r="I65" s="360">
        <v>244</v>
      </c>
      <c r="J65" s="361">
        <v>226</v>
      </c>
      <c r="K65" s="532" t="s">
        <v>150</v>
      </c>
      <c r="L65" s="1023">
        <f>L66</f>
        <v>297533.71000000002</v>
      </c>
      <c r="M65" s="363"/>
      <c r="N65" s="363"/>
      <c r="O65" s="1051">
        <f t="shared" si="20"/>
        <v>297533.71000000002</v>
      </c>
      <c r="P65" s="557"/>
      <c r="Q65" s="367">
        <f>Q66</f>
        <v>215351.84</v>
      </c>
      <c r="R65" s="557"/>
      <c r="S65" s="367">
        <f>S66</f>
        <v>185247.25</v>
      </c>
      <c r="T65" s="557"/>
      <c r="U65" s="365"/>
      <c r="V65" s="366">
        <f>L215</f>
        <v>358197.09</v>
      </c>
      <c r="W65" s="366"/>
      <c r="X65" s="391">
        <f>L65/(L65+V65)</f>
        <v>0.45369999999999999</v>
      </c>
      <c r="Z65" s="367">
        <f t="shared" si="115"/>
        <v>73200</v>
      </c>
      <c r="AA65" s="363">
        <f t="shared" si="115"/>
        <v>73650</v>
      </c>
      <c r="AB65" s="280">
        <f>Z65-AA65</f>
        <v>-450</v>
      </c>
      <c r="AC65" s="367">
        <f t="shared" si="116"/>
        <v>152400</v>
      </c>
      <c r="AD65" s="363">
        <f t="shared" si="116"/>
        <v>0</v>
      </c>
      <c r="AE65" s="280">
        <f>AC65-AD65</f>
        <v>152400</v>
      </c>
      <c r="AF65" s="367">
        <f t="shared" si="117"/>
        <v>71933.710000000006</v>
      </c>
      <c r="AG65" s="363">
        <f t="shared" si="117"/>
        <v>0</v>
      </c>
      <c r="AH65" s="280">
        <f>AF65-AG65</f>
        <v>71933.710000000006</v>
      </c>
      <c r="AI65" s="367">
        <f t="shared" si="118"/>
        <v>0</v>
      </c>
      <c r="AJ65" s="363">
        <f t="shared" si="118"/>
        <v>0</v>
      </c>
      <c r="AK65" s="280">
        <f>AI65-AJ65</f>
        <v>0</v>
      </c>
      <c r="AL65" s="368"/>
      <c r="AM65" s="367">
        <f t="shared" si="119"/>
        <v>225600</v>
      </c>
      <c r="AN65" s="363">
        <f t="shared" si="119"/>
        <v>73650</v>
      </c>
      <c r="AO65" s="280">
        <f>AM65-AN65</f>
        <v>151950</v>
      </c>
      <c r="AP65" s="367">
        <f t="shared" si="120"/>
        <v>297533.71000000002</v>
      </c>
      <c r="AQ65" s="363">
        <f t="shared" si="120"/>
        <v>73650</v>
      </c>
      <c r="AR65" s="280">
        <f>AP65-AQ65</f>
        <v>223883.71</v>
      </c>
      <c r="AS65" s="367">
        <f t="shared" si="121"/>
        <v>297533.71000000002</v>
      </c>
      <c r="AT65" s="363">
        <f t="shared" si="121"/>
        <v>73650</v>
      </c>
      <c r="AU65" s="280">
        <f>AS65-AT65</f>
        <v>223883.71</v>
      </c>
      <c r="AV65" s="588">
        <f t="shared" si="19"/>
        <v>0</v>
      </c>
      <c r="AW65" s="367">
        <f>SUM(AW66)</f>
        <v>0</v>
      </c>
      <c r="AX65" s="1097">
        <f t="shared" ref="AX65:BT65" si="122">SUM(AX66)</f>
        <v>0</v>
      </c>
      <c r="AY65" s="363">
        <f t="shared" si="122"/>
        <v>27000</v>
      </c>
      <c r="AZ65" s="1097">
        <f t="shared" si="122"/>
        <v>27000</v>
      </c>
      <c r="BA65" s="363">
        <f t="shared" si="122"/>
        <v>46200</v>
      </c>
      <c r="BB65" s="1119">
        <f t="shared" si="122"/>
        <v>46650</v>
      </c>
      <c r="BC65" s="367">
        <f t="shared" si="122"/>
        <v>51600</v>
      </c>
      <c r="BD65" s="363">
        <f t="shared" si="122"/>
        <v>0</v>
      </c>
      <c r="BE65" s="363">
        <f t="shared" si="122"/>
        <v>51600</v>
      </c>
      <c r="BF65" s="363">
        <f t="shared" si="122"/>
        <v>0</v>
      </c>
      <c r="BG65" s="363">
        <f t="shared" si="122"/>
        <v>49200</v>
      </c>
      <c r="BH65" s="369">
        <f t="shared" si="122"/>
        <v>0</v>
      </c>
      <c r="BI65" s="367">
        <f t="shared" si="122"/>
        <v>49800</v>
      </c>
      <c r="BJ65" s="363">
        <f t="shared" si="122"/>
        <v>0</v>
      </c>
      <c r="BK65" s="363">
        <f t="shared" si="122"/>
        <v>22133.71</v>
      </c>
      <c r="BL65" s="363">
        <f t="shared" si="122"/>
        <v>0</v>
      </c>
      <c r="BM65" s="363">
        <f t="shared" si="122"/>
        <v>0</v>
      </c>
      <c r="BN65" s="369">
        <f t="shared" si="122"/>
        <v>0</v>
      </c>
      <c r="BO65" s="367">
        <f t="shared" si="122"/>
        <v>0</v>
      </c>
      <c r="BP65" s="363">
        <f t="shared" si="122"/>
        <v>0</v>
      </c>
      <c r="BQ65" s="363">
        <f t="shared" si="122"/>
        <v>0</v>
      </c>
      <c r="BR65" s="363">
        <f t="shared" si="122"/>
        <v>0</v>
      </c>
      <c r="BS65" s="363">
        <f t="shared" si="122"/>
        <v>0</v>
      </c>
      <c r="BT65" s="280">
        <f t="shared" si="122"/>
        <v>0</v>
      </c>
    </row>
    <row r="66" spans="1:72" s="313" customFormat="1" ht="51" outlineLevel="1">
      <c r="A66" s="287">
        <v>56</v>
      </c>
      <c r="B66" s="933"/>
      <c r="C66" s="840"/>
      <c r="D66" s="853" t="s">
        <v>207</v>
      </c>
      <c r="E66" s="839"/>
      <c r="F66" s="821" t="s">
        <v>7</v>
      </c>
      <c r="G66" s="314">
        <v>4</v>
      </c>
      <c r="H66" s="739" t="s">
        <v>71</v>
      </c>
      <c r="I66" s="739">
        <v>244</v>
      </c>
      <c r="J66" s="740">
        <v>226</v>
      </c>
      <c r="K66" s="533" t="s">
        <v>267</v>
      </c>
      <c r="L66" s="1025">
        <v>297533.71000000002</v>
      </c>
      <c r="M66" s="318"/>
      <c r="N66" s="318"/>
      <c r="O66" s="1052">
        <f t="shared" si="20"/>
        <v>297533.71000000002</v>
      </c>
      <c r="P66" s="559"/>
      <c r="Q66" s="336">
        <v>215351.84</v>
      </c>
      <c r="R66" s="559"/>
      <c r="S66" s="336">
        <v>185247.25</v>
      </c>
      <c r="T66" s="559"/>
      <c r="U66" s="335"/>
      <c r="V66" s="596" t="s">
        <v>268</v>
      </c>
      <c r="W66" s="597" t="s">
        <v>465</v>
      </c>
      <c r="X66" s="597" t="s">
        <v>416</v>
      </c>
      <c r="Z66" s="336">
        <f t="shared" si="115"/>
        <v>73200</v>
      </c>
      <c r="AA66" s="337">
        <f t="shared" si="115"/>
        <v>73650</v>
      </c>
      <c r="AB66" s="338">
        <f>Z66-AA66</f>
        <v>-450</v>
      </c>
      <c r="AC66" s="336">
        <f t="shared" si="116"/>
        <v>152400</v>
      </c>
      <c r="AD66" s="337">
        <f t="shared" si="116"/>
        <v>0</v>
      </c>
      <c r="AE66" s="338">
        <f>AC66-AD66</f>
        <v>152400</v>
      </c>
      <c r="AF66" s="336">
        <f t="shared" si="117"/>
        <v>71933.710000000006</v>
      </c>
      <c r="AG66" s="337">
        <f t="shared" si="117"/>
        <v>0</v>
      </c>
      <c r="AH66" s="338">
        <f>AF66-AG66</f>
        <v>71933.710000000006</v>
      </c>
      <c r="AI66" s="336">
        <f t="shared" si="118"/>
        <v>0</v>
      </c>
      <c r="AJ66" s="337">
        <f t="shared" si="118"/>
        <v>0</v>
      </c>
      <c r="AK66" s="338">
        <f>AI66-AJ66</f>
        <v>0</v>
      </c>
      <c r="AL66" s="342"/>
      <c r="AM66" s="336">
        <f t="shared" si="119"/>
        <v>225600</v>
      </c>
      <c r="AN66" s="339">
        <f t="shared" si="119"/>
        <v>73650</v>
      </c>
      <c r="AO66" s="340">
        <f>AM66-AN66</f>
        <v>151950</v>
      </c>
      <c r="AP66" s="336">
        <f t="shared" si="120"/>
        <v>297533.71000000002</v>
      </c>
      <c r="AQ66" s="339">
        <f t="shared" si="120"/>
        <v>73650</v>
      </c>
      <c r="AR66" s="340">
        <f>AP66-AQ66</f>
        <v>223883.71</v>
      </c>
      <c r="AS66" s="341">
        <f t="shared" si="121"/>
        <v>297533.71000000002</v>
      </c>
      <c r="AT66" s="339">
        <f t="shared" si="121"/>
        <v>73650</v>
      </c>
      <c r="AU66" s="340">
        <f>AS66-AT66</f>
        <v>223883.71</v>
      </c>
      <c r="AV66" s="589">
        <f t="shared" si="19"/>
        <v>0</v>
      </c>
      <c r="AW66" s="343"/>
      <c r="AX66" s="1098"/>
      <c r="AY66" s="345">
        <f>150*12*15</f>
        <v>27000</v>
      </c>
      <c r="AZ66" s="1098">
        <v>27000</v>
      </c>
      <c r="BA66" s="345">
        <f>150*12*23+150*4*8</f>
        <v>46200</v>
      </c>
      <c r="BB66" s="1120">
        <f>46200+450</f>
        <v>46650</v>
      </c>
      <c r="BC66" s="347">
        <f>150*12*26+150*4*8</f>
        <v>51600</v>
      </c>
      <c r="BD66" s="348"/>
      <c r="BE66" s="349">
        <f>150*12*26+150*4*8</f>
        <v>51600</v>
      </c>
      <c r="BF66" s="348"/>
      <c r="BG66" s="349">
        <f>150*12*24+150*5*8</f>
        <v>49200</v>
      </c>
      <c r="BH66" s="350"/>
      <c r="BI66" s="351">
        <f>150*12*25+150*4*8</f>
        <v>49800</v>
      </c>
      <c r="BJ66" s="352"/>
      <c r="BK66" s="351">
        <f>(150*12*27+150*4*8)-31266.29</f>
        <v>22133.71</v>
      </c>
      <c r="BL66" s="352"/>
      <c r="BM66" s="337"/>
      <c r="BN66" s="353"/>
      <c r="BO66" s="354"/>
      <c r="BP66" s="355"/>
      <c r="BQ66" s="356"/>
      <c r="BR66" s="355"/>
      <c r="BS66" s="356"/>
      <c r="BT66" s="357"/>
    </row>
    <row r="67" spans="1:72" s="358" customFormat="1" ht="60" customHeight="1">
      <c r="A67" s="287">
        <v>57</v>
      </c>
      <c r="B67" s="933"/>
      <c r="C67" s="850" t="s">
        <v>377</v>
      </c>
      <c r="D67" s="838"/>
      <c r="E67" s="836" t="s">
        <v>201</v>
      </c>
      <c r="F67" s="820" t="s">
        <v>7</v>
      </c>
      <c r="G67" s="360">
        <v>4</v>
      </c>
      <c r="H67" s="360" t="s">
        <v>71</v>
      </c>
      <c r="I67" s="360">
        <v>244</v>
      </c>
      <c r="J67" s="361">
        <v>226</v>
      </c>
      <c r="K67" s="532" t="s">
        <v>170</v>
      </c>
      <c r="L67" s="1023">
        <f>SUM(L68:L77)</f>
        <v>419234.9</v>
      </c>
      <c r="M67" s="363"/>
      <c r="N67" s="363"/>
      <c r="O67" s="1051">
        <f t="shared" si="20"/>
        <v>419234.9</v>
      </c>
      <c r="P67" s="557"/>
      <c r="Q67" s="367">
        <f>SUM(Q68:Q77)</f>
        <v>515206.86</v>
      </c>
      <c r="R67" s="557"/>
      <c r="S67" s="367">
        <f>SUM(S68:S77)</f>
        <v>515206.86</v>
      </c>
      <c r="T67" s="557"/>
      <c r="U67" s="365"/>
      <c r="V67" s="366"/>
      <c r="W67" s="366"/>
      <c r="X67" s="366"/>
      <c r="Z67" s="367">
        <f t="shared" si="35"/>
        <v>75225.2</v>
      </c>
      <c r="AA67" s="363">
        <f t="shared" si="35"/>
        <v>64599.96</v>
      </c>
      <c r="AB67" s="280">
        <f t="shared" si="6"/>
        <v>10625.24</v>
      </c>
      <c r="AC67" s="367">
        <f t="shared" si="36"/>
        <v>98896.44</v>
      </c>
      <c r="AD67" s="363">
        <f t="shared" si="36"/>
        <v>0</v>
      </c>
      <c r="AE67" s="280">
        <f t="shared" si="8"/>
        <v>98896.44</v>
      </c>
      <c r="AF67" s="367">
        <f t="shared" si="37"/>
        <v>68896.44</v>
      </c>
      <c r="AG67" s="363">
        <f t="shared" si="37"/>
        <v>0</v>
      </c>
      <c r="AH67" s="280">
        <f t="shared" si="10"/>
        <v>68896.44</v>
      </c>
      <c r="AI67" s="367">
        <f t="shared" si="38"/>
        <v>176216.82</v>
      </c>
      <c r="AJ67" s="363">
        <f t="shared" si="38"/>
        <v>0</v>
      </c>
      <c r="AK67" s="280">
        <f t="shared" si="12"/>
        <v>176216.82</v>
      </c>
      <c r="AL67" s="368"/>
      <c r="AM67" s="367">
        <f t="shared" si="39"/>
        <v>174121.64</v>
      </c>
      <c r="AN67" s="363">
        <f t="shared" si="39"/>
        <v>64599.96</v>
      </c>
      <c r="AO67" s="280">
        <f t="shared" si="14"/>
        <v>109521.68</v>
      </c>
      <c r="AP67" s="367">
        <f t="shared" si="40"/>
        <v>243018.08</v>
      </c>
      <c r="AQ67" s="363">
        <f t="shared" si="40"/>
        <v>64599.96</v>
      </c>
      <c r="AR67" s="280">
        <f t="shared" si="16"/>
        <v>178418.12</v>
      </c>
      <c r="AS67" s="367">
        <f t="shared" si="21"/>
        <v>419234.9</v>
      </c>
      <c r="AT67" s="363">
        <f t="shared" si="17"/>
        <v>64599.96</v>
      </c>
      <c r="AU67" s="280">
        <f t="shared" si="18"/>
        <v>354634.94</v>
      </c>
      <c r="AV67" s="588">
        <f t="shared" si="19"/>
        <v>0</v>
      </c>
      <c r="AW67" s="367">
        <f t="shared" ref="AW67:BT67" si="123">SUM(AW68:AW77)</f>
        <v>0</v>
      </c>
      <c r="AX67" s="1097">
        <f t="shared" si="123"/>
        <v>0</v>
      </c>
      <c r="AY67" s="363">
        <f t="shared" si="123"/>
        <v>27453.32</v>
      </c>
      <c r="AZ67" s="1097">
        <f t="shared" si="123"/>
        <v>16828.080000000002</v>
      </c>
      <c r="BA67" s="363">
        <f t="shared" si="123"/>
        <v>47771.88</v>
      </c>
      <c r="BB67" s="1119">
        <f t="shared" si="123"/>
        <v>47771.88</v>
      </c>
      <c r="BC67" s="367">
        <f t="shared" si="123"/>
        <v>32989.68</v>
      </c>
      <c r="BD67" s="363">
        <f t="shared" si="123"/>
        <v>0</v>
      </c>
      <c r="BE67" s="363">
        <f t="shared" si="123"/>
        <v>32917.08</v>
      </c>
      <c r="BF67" s="363">
        <f t="shared" si="123"/>
        <v>0</v>
      </c>
      <c r="BG67" s="363">
        <f t="shared" si="123"/>
        <v>32989.68</v>
      </c>
      <c r="BH67" s="369">
        <f t="shared" si="123"/>
        <v>0</v>
      </c>
      <c r="BI67" s="367">
        <f t="shared" si="123"/>
        <v>32917.08</v>
      </c>
      <c r="BJ67" s="363">
        <f t="shared" si="123"/>
        <v>0</v>
      </c>
      <c r="BK67" s="363">
        <f t="shared" si="123"/>
        <v>17989.68</v>
      </c>
      <c r="BL67" s="363">
        <f t="shared" si="123"/>
        <v>0</v>
      </c>
      <c r="BM67" s="363">
        <f t="shared" si="123"/>
        <v>17989.68</v>
      </c>
      <c r="BN67" s="369">
        <f t="shared" si="123"/>
        <v>0</v>
      </c>
      <c r="BO67" s="367">
        <f t="shared" si="123"/>
        <v>32320.38</v>
      </c>
      <c r="BP67" s="363">
        <f t="shared" si="123"/>
        <v>0</v>
      </c>
      <c r="BQ67" s="363">
        <f t="shared" si="123"/>
        <v>17989.68</v>
      </c>
      <c r="BR67" s="363">
        <f t="shared" si="123"/>
        <v>0</v>
      </c>
      <c r="BS67" s="363">
        <f t="shared" si="123"/>
        <v>125906.76</v>
      </c>
      <c r="BT67" s="280">
        <f t="shared" si="123"/>
        <v>0</v>
      </c>
    </row>
    <row r="68" spans="1:72" s="313" customFormat="1" ht="63.75" outlineLevel="1">
      <c r="A68" s="287">
        <v>58</v>
      </c>
      <c r="B68" s="933"/>
      <c r="C68" s="840"/>
      <c r="D68" s="841"/>
      <c r="E68" s="839"/>
      <c r="F68" s="821" t="s">
        <v>7</v>
      </c>
      <c r="G68" s="314">
        <v>4</v>
      </c>
      <c r="H68" s="739" t="s">
        <v>71</v>
      </c>
      <c r="I68" s="739">
        <v>244</v>
      </c>
      <c r="J68" s="740">
        <v>226</v>
      </c>
      <c r="K68" s="533" t="s">
        <v>447</v>
      </c>
      <c r="L68" s="1025">
        <f>17950.7+7386.7</f>
        <v>25337.4</v>
      </c>
      <c r="M68" s="318"/>
      <c r="N68" s="318"/>
      <c r="O68" s="1052">
        <f t="shared" si="20"/>
        <v>25337.4</v>
      </c>
      <c r="P68" s="559"/>
      <c r="Q68" s="336">
        <v>17950.7</v>
      </c>
      <c r="R68" s="559"/>
      <c r="S68" s="336">
        <v>17950.7</v>
      </c>
      <c r="T68" s="559"/>
      <c r="U68" s="335"/>
      <c r="V68" s="801" t="s">
        <v>448</v>
      </c>
      <c r="W68" s="801" t="s">
        <v>474</v>
      </c>
      <c r="X68" s="801" t="s">
        <v>446</v>
      </c>
      <c r="Z68" s="336">
        <f t="shared" si="35"/>
        <v>3121.8</v>
      </c>
      <c r="AA68" s="337">
        <f t="shared" si="35"/>
        <v>3121.8</v>
      </c>
      <c r="AB68" s="338">
        <f t="shared" si="6"/>
        <v>0</v>
      </c>
      <c r="AC68" s="336">
        <f t="shared" si="36"/>
        <v>6679.2</v>
      </c>
      <c r="AD68" s="337">
        <f t="shared" si="36"/>
        <v>0</v>
      </c>
      <c r="AE68" s="338">
        <f t="shared" si="8"/>
        <v>6679.2</v>
      </c>
      <c r="AF68" s="336">
        <f t="shared" si="37"/>
        <v>6679.2</v>
      </c>
      <c r="AG68" s="337">
        <f t="shared" si="37"/>
        <v>0</v>
      </c>
      <c r="AH68" s="338">
        <f t="shared" si="10"/>
        <v>6679.2</v>
      </c>
      <c r="AI68" s="336">
        <f t="shared" si="38"/>
        <v>8857.2000000000007</v>
      </c>
      <c r="AJ68" s="337">
        <f t="shared" si="38"/>
        <v>0</v>
      </c>
      <c r="AK68" s="338">
        <f t="shared" si="12"/>
        <v>8857.2000000000007</v>
      </c>
      <c r="AL68" s="342"/>
      <c r="AM68" s="336">
        <f t="shared" si="39"/>
        <v>9801</v>
      </c>
      <c r="AN68" s="339">
        <f t="shared" si="39"/>
        <v>3121.8</v>
      </c>
      <c r="AO68" s="340">
        <f t="shared" si="14"/>
        <v>6679.2</v>
      </c>
      <c r="AP68" s="336">
        <f t="shared" si="40"/>
        <v>16480.2</v>
      </c>
      <c r="AQ68" s="339">
        <f t="shared" si="40"/>
        <v>3121.8</v>
      </c>
      <c r="AR68" s="340">
        <f t="shared" si="16"/>
        <v>13358.4</v>
      </c>
      <c r="AS68" s="341">
        <f t="shared" si="21"/>
        <v>25337.4</v>
      </c>
      <c r="AT68" s="339">
        <f t="shared" si="17"/>
        <v>3121.8</v>
      </c>
      <c r="AU68" s="340">
        <f t="shared" si="18"/>
        <v>22215.599999999999</v>
      </c>
      <c r="AV68" s="803">
        <f t="shared" si="19"/>
        <v>0</v>
      </c>
      <c r="AW68" s="343"/>
      <c r="AX68" s="1098"/>
      <c r="AY68" s="345">
        <f>180*6.05</f>
        <v>1089</v>
      </c>
      <c r="AZ68" s="1098">
        <v>1089</v>
      </c>
      <c r="BA68" s="345">
        <f>336*6.05</f>
        <v>2032.8</v>
      </c>
      <c r="BB68" s="1120">
        <v>2032.8</v>
      </c>
      <c r="BC68" s="347">
        <f>372*6.05</f>
        <v>2250.6</v>
      </c>
      <c r="BD68" s="348"/>
      <c r="BE68" s="349">
        <f>360*6.05</f>
        <v>2178</v>
      </c>
      <c r="BF68" s="348"/>
      <c r="BG68" s="349">
        <f>372*6.05</f>
        <v>2250.6</v>
      </c>
      <c r="BH68" s="350"/>
      <c r="BI68" s="351">
        <f>360*6.05</f>
        <v>2178</v>
      </c>
      <c r="BJ68" s="352"/>
      <c r="BK68" s="337">
        <f>372*6.05</f>
        <v>2250.6</v>
      </c>
      <c r="BL68" s="352"/>
      <c r="BM68" s="337">
        <f>372*6.05</f>
        <v>2250.6</v>
      </c>
      <c r="BN68" s="353"/>
      <c r="BO68" s="354">
        <f>360*6.05</f>
        <v>2178</v>
      </c>
      <c r="BP68" s="355"/>
      <c r="BQ68" s="356">
        <f>372*6.05</f>
        <v>2250.6</v>
      </c>
      <c r="BR68" s="355"/>
      <c r="BS68" s="356">
        <f>360*6.05+372*6.05</f>
        <v>4428.6000000000004</v>
      </c>
      <c r="BT68" s="357"/>
    </row>
    <row r="69" spans="1:72" s="313" customFormat="1" ht="38.25" outlineLevel="1">
      <c r="A69" s="287">
        <v>59</v>
      </c>
      <c r="B69" s="933"/>
      <c r="C69" s="840"/>
      <c r="D69" s="841"/>
      <c r="E69" s="839"/>
      <c r="F69" s="821" t="s">
        <v>7</v>
      </c>
      <c r="G69" s="314">
        <v>4</v>
      </c>
      <c r="H69" s="739" t="s">
        <v>71</v>
      </c>
      <c r="I69" s="739">
        <v>244</v>
      </c>
      <c r="J69" s="740">
        <v>226</v>
      </c>
      <c r="K69" s="533" t="s">
        <v>343</v>
      </c>
      <c r="L69" s="1025">
        <v>52171.199999999997</v>
      </c>
      <c r="M69" s="318"/>
      <c r="N69" s="318"/>
      <c r="O69" s="1052">
        <f t="shared" si="20"/>
        <v>52171.199999999997</v>
      </c>
      <c r="P69" s="559"/>
      <c r="Q69" s="336">
        <v>52171.199999999997</v>
      </c>
      <c r="R69" s="559"/>
      <c r="S69" s="336">
        <v>52171.199999999997</v>
      </c>
      <c r="T69" s="559"/>
      <c r="U69" s="335"/>
      <c r="V69" s="596" t="s">
        <v>253</v>
      </c>
      <c r="W69" s="597" t="s">
        <v>395</v>
      </c>
      <c r="X69" s="597" t="s">
        <v>381</v>
      </c>
      <c r="Z69" s="336">
        <f t="shared" ref="Z69:AA71" si="124">AW69+AY69+BA69</f>
        <v>8695.2000000000007</v>
      </c>
      <c r="AA69" s="337">
        <f t="shared" si="124"/>
        <v>8695.2000000000007</v>
      </c>
      <c r="AB69" s="338">
        <f>Z69-AA69</f>
        <v>0</v>
      </c>
      <c r="AC69" s="336">
        <f t="shared" ref="AC69:AD71" si="125">BC69+BE69+BG69</f>
        <v>13042.8</v>
      </c>
      <c r="AD69" s="337">
        <f t="shared" si="125"/>
        <v>0</v>
      </c>
      <c r="AE69" s="338">
        <f>AC69-AD69</f>
        <v>13042.8</v>
      </c>
      <c r="AF69" s="336">
        <f t="shared" ref="AF69:AG71" si="126">BI69+BK69+BM69</f>
        <v>13042.8</v>
      </c>
      <c r="AG69" s="337">
        <f t="shared" si="126"/>
        <v>0</v>
      </c>
      <c r="AH69" s="338">
        <f>AF69-AG69</f>
        <v>13042.8</v>
      </c>
      <c r="AI69" s="336">
        <f t="shared" ref="AI69:AJ71" si="127">BO69+BQ69+BS69</f>
        <v>17390.400000000001</v>
      </c>
      <c r="AJ69" s="337">
        <f t="shared" si="127"/>
        <v>0</v>
      </c>
      <c r="AK69" s="338">
        <f>AI69-AJ69</f>
        <v>17390.400000000001</v>
      </c>
      <c r="AL69" s="342"/>
      <c r="AM69" s="336">
        <f t="shared" ref="AM69:AN71" si="128">Z69+AC69</f>
        <v>21738</v>
      </c>
      <c r="AN69" s="339">
        <f t="shared" si="128"/>
        <v>8695.2000000000007</v>
      </c>
      <c r="AO69" s="340">
        <f>AM69-AN69</f>
        <v>13042.8</v>
      </c>
      <c r="AP69" s="336">
        <f t="shared" ref="AP69:AQ71" si="129">Z69+AC69+AF69</f>
        <v>34780.800000000003</v>
      </c>
      <c r="AQ69" s="339">
        <f t="shared" si="129"/>
        <v>8695.2000000000007</v>
      </c>
      <c r="AR69" s="340">
        <f>AP69-AQ69</f>
        <v>26085.599999999999</v>
      </c>
      <c r="AS69" s="341">
        <f t="shared" ref="AS69:AT71" si="130">Z69+AC69+AF69+AI69</f>
        <v>52171.199999999997</v>
      </c>
      <c r="AT69" s="339">
        <f t="shared" si="130"/>
        <v>8695.2000000000007</v>
      </c>
      <c r="AU69" s="340">
        <f>AS69-AT69</f>
        <v>43476</v>
      </c>
      <c r="AV69" s="589">
        <f t="shared" si="19"/>
        <v>0</v>
      </c>
      <c r="AW69" s="343"/>
      <c r="AX69" s="1098"/>
      <c r="AY69" s="345">
        <v>4347.6000000000004</v>
      </c>
      <c r="AZ69" s="1098">
        <v>4347.6000000000004</v>
      </c>
      <c r="BA69" s="345">
        <v>4347.6000000000004</v>
      </c>
      <c r="BB69" s="1120">
        <v>4347.6000000000004</v>
      </c>
      <c r="BC69" s="347">
        <v>4347.6000000000004</v>
      </c>
      <c r="BD69" s="348"/>
      <c r="BE69" s="1135">
        <v>4347.6000000000004</v>
      </c>
      <c r="BF69" s="348"/>
      <c r="BG69" s="349">
        <v>4347.6000000000004</v>
      </c>
      <c r="BH69" s="350"/>
      <c r="BI69" s="351">
        <v>4347.6000000000004</v>
      </c>
      <c r="BJ69" s="352"/>
      <c r="BK69" s="337">
        <v>4347.6000000000004</v>
      </c>
      <c r="BL69" s="352"/>
      <c r="BM69" s="337">
        <v>4347.6000000000004</v>
      </c>
      <c r="BN69" s="353"/>
      <c r="BO69" s="354">
        <v>4347.6000000000004</v>
      </c>
      <c r="BP69" s="355"/>
      <c r="BQ69" s="356">
        <v>4347.6000000000004</v>
      </c>
      <c r="BR69" s="355"/>
      <c r="BS69" s="356">
        <f>4347.6*2</f>
        <v>8695.2000000000007</v>
      </c>
      <c r="BT69" s="357"/>
    </row>
    <row r="70" spans="1:72" s="313" customFormat="1" ht="38.25" outlineLevel="1">
      <c r="A70" s="287">
        <v>60</v>
      </c>
      <c r="B70" s="933"/>
      <c r="C70" s="840"/>
      <c r="D70" s="841"/>
      <c r="E70" s="839"/>
      <c r="F70" s="821" t="s">
        <v>7</v>
      </c>
      <c r="G70" s="314">
        <v>4</v>
      </c>
      <c r="H70" s="739" t="s">
        <v>71</v>
      </c>
      <c r="I70" s="739">
        <v>244</v>
      </c>
      <c r="J70" s="740">
        <v>226</v>
      </c>
      <c r="K70" s="533" t="s">
        <v>814</v>
      </c>
      <c r="L70" s="1025">
        <f>33361.68+4028.04-691.92</f>
        <v>36697.800000000003</v>
      </c>
      <c r="M70" s="318"/>
      <c r="N70" s="318"/>
      <c r="O70" s="1052">
        <f>L70+N70</f>
        <v>36697.800000000003</v>
      </c>
      <c r="P70" s="559"/>
      <c r="Q70" s="336">
        <v>33361.68</v>
      </c>
      <c r="R70" s="559"/>
      <c r="S70" s="336">
        <v>33361.68</v>
      </c>
      <c r="T70" s="559"/>
      <c r="U70" s="335"/>
      <c r="V70" s="596" t="s">
        <v>253</v>
      </c>
      <c r="W70" s="597" t="s">
        <v>394</v>
      </c>
      <c r="X70" s="597" t="s">
        <v>381</v>
      </c>
      <c r="Z70" s="336">
        <f t="shared" si="124"/>
        <v>6116.3</v>
      </c>
      <c r="AA70" s="337">
        <f t="shared" si="124"/>
        <v>6116.3</v>
      </c>
      <c r="AB70" s="338">
        <f>Z70-AA70</f>
        <v>0</v>
      </c>
      <c r="AC70" s="336">
        <f t="shared" si="125"/>
        <v>9174.4500000000007</v>
      </c>
      <c r="AD70" s="337">
        <f t="shared" si="125"/>
        <v>0</v>
      </c>
      <c r="AE70" s="338">
        <f>AC70-AD70</f>
        <v>9174.4500000000007</v>
      </c>
      <c r="AF70" s="336">
        <f t="shared" si="126"/>
        <v>9174.4500000000007</v>
      </c>
      <c r="AG70" s="337">
        <f t="shared" si="126"/>
        <v>0</v>
      </c>
      <c r="AH70" s="338">
        <f>AF70-AG70</f>
        <v>9174.4500000000007</v>
      </c>
      <c r="AI70" s="336">
        <f t="shared" si="127"/>
        <v>12232.6</v>
      </c>
      <c r="AJ70" s="337">
        <f t="shared" si="127"/>
        <v>0</v>
      </c>
      <c r="AK70" s="338">
        <f>AI70-AJ70</f>
        <v>12232.6</v>
      </c>
      <c r="AL70" s="342"/>
      <c r="AM70" s="336">
        <f t="shared" si="128"/>
        <v>15290.75</v>
      </c>
      <c r="AN70" s="339">
        <f t="shared" si="128"/>
        <v>6116.3</v>
      </c>
      <c r="AO70" s="340">
        <f>AM70-AN70</f>
        <v>9174.4500000000007</v>
      </c>
      <c r="AP70" s="336">
        <f t="shared" si="129"/>
        <v>24465.200000000001</v>
      </c>
      <c r="AQ70" s="339">
        <f t="shared" si="129"/>
        <v>6116.3</v>
      </c>
      <c r="AR70" s="340">
        <f>AP70-AQ70</f>
        <v>18348.900000000001</v>
      </c>
      <c r="AS70" s="341">
        <f t="shared" si="130"/>
        <v>36697.800000000003</v>
      </c>
      <c r="AT70" s="339">
        <f t="shared" si="130"/>
        <v>6116.3</v>
      </c>
      <c r="AU70" s="340">
        <f>AS70-AT70</f>
        <v>30581.5</v>
      </c>
      <c r="AV70" s="589">
        <f>L70-AS70</f>
        <v>0</v>
      </c>
      <c r="AW70" s="343"/>
      <c r="AX70" s="1098"/>
      <c r="AY70" s="345">
        <f>104.24+2171.99+781.92</f>
        <v>3058.15</v>
      </c>
      <c r="AZ70" s="1098">
        <v>3058.15</v>
      </c>
      <c r="BA70" s="345">
        <f>104.24+2171.99+781.92</f>
        <v>3058.15</v>
      </c>
      <c r="BB70" s="1120">
        <v>3058.15</v>
      </c>
      <c r="BC70" s="347">
        <f>104.24+2171.99+781.92</f>
        <v>3058.15</v>
      </c>
      <c r="BD70" s="348"/>
      <c r="BE70" s="1135">
        <f>104.24+2171.99+781.92</f>
        <v>3058.15</v>
      </c>
      <c r="BF70" s="348"/>
      <c r="BG70" s="349">
        <f>104.24+2171.99+781.92</f>
        <v>3058.15</v>
      </c>
      <c r="BH70" s="350"/>
      <c r="BI70" s="351">
        <f>104.24+2171.99+781.92</f>
        <v>3058.15</v>
      </c>
      <c r="BJ70" s="352"/>
      <c r="BK70" s="337">
        <f>104.24+2171.99+781.92</f>
        <v>3058.15</v>
      </c>
      <c r="BL70" s="352"/>
      <c r="BM70" s="337">
        <f>104.24+2171.99+781.92</f>
        <v>3058.15</v>
      </c>
      <c r="BN70" s="353"/>
      <c r="BO70" s="354">
        <f>104.24+2171.99+781.92</f>
        <v>3058.15</v>
      </c>
      <c r="BP70" s="355"/>
      <c r="BQ70" s="356">
        <f>104.24+2171.99+781.92</f>
        <v>3058.15</v>
      </c>
      <c r="BR70" s="355"/>
      <c r="BS70" s="356">
        <f>(104.24+2171.99+781.92)*2</f>
        <v>6116.3</v>
      </c>
      <c r="BT70" s="357"/>
    </row>
    <row r="71" spans="1:72" s="313" customFormat="1" ht="25.5" outlineLevel="1">
      <c r="A71" s="287">
        <v>61</v>
      </c>
      <c r="B71" s="933"/>
      <c r="C71" s="840"/>
      <c r="D71" s="841"/>
      <c r="E71" s="839"/>
      <c r="F71" s="821" t="s">
        <v>7</v>
      </c>
      <c r="G71" s="314">
        <v>4</v>
      </c>
      <c r="H71" s="739" t="s">
        <v>71</v>
      </c>
      <c r="I71" s="739">
        <v>244</v>
      </c>
      <c r="J71" s="740">
        <v>226</v>
      </c>
      <c r="K71" s="533" t="s">
        <v>344</v>
      </c>
      <c r="L71" s="1025">
        <f>21790-7386.7</f>
        <v>14403.3</v>
      </c>
      <c r="M71" s="318"/>
      <c r="N71" s="318"/>
      <c r="O71" s="1052">
        <f t="shared" si="20"/>
        <v>14403.3</v>
      </c>
      <c r="P71" s="559"/>
      <c r="Q71" s="336">
        <v>21790</v>
      </c>
      <c r="R71" s="559"/>
      <c r="S71" s="336">
        <v>21790</v>
      </c>
      <c r="T71" s="559"/>
      <c r="U71" s="335"/>
      <c r="V71" s="320" t="s">
        <v>599</v>
      </c>
      <c r="W71" s="388" t="s">
        <v>333</v>
      </c>
      <c r="X71" s="388" t="s">
        <v>334</v>
      </c>
      <c r="Z71" s="336">
        <f t="shared" si="124"/>
        <v>0</v>
      </c>
      <c r="AA71" s="337">
        <f t="shared" si="124"/>
        <v>0</v>
      </c>
      <c r="AB71" s="338">
        <f>Z71-AA71</f>
        <v>0</v>
      </c>
      <c r="AC71" s="336">
        <f t="shared" si="125"/>
        <v>0</v>
      </c>
      <c r="AD71" s="337">
        <f t="shared" si="125"/>
        <v>0</v>
      </c>
      <c r="AE71" s="338">
        <f>AC71-AD71</f>
        <v>0</v>
      </c>
      <c r="AF71" s="336">
        <f t="shared" si="126"/>
        <v>0</v>
      </c>
      <c r="AG71" s="337">
        <f t="shared" si="126"/>
        <v>0</v>
      </c>
      <c r="AH71" s="338">
        <f>AF71-AG71</f>
        <v>0</v>
      </c>
      <c r="AI71" s="336">
        <f t="shared" si="127"/>
        <v>14403.3</v>
      </c>
      <c r="AJ71" s="337">
        <f t="shared" si="127"/>
        <v>0</v>
      </c>
      <c r="AK71" s="338">
        <f>AI71-AJ71</f>
        <v>14403.3</v>
      </c>
      <c r="AL71" s="342"/>
      <c r="AM71" s="336">
        <f t="shared" si="128"/>
        <v>0</v>
      </c>
      <c r="AN71" s="339">
        <f t="shared" si="128"/>
        <v>0</v>
      </c>
      <c r="AO71" s="340">
        <f>AM71-AN71</f>
        <v>0</v>
      </c>
      <c r="AP71" s="336">
        <f t="shared" si="129"/>
        <v>0</v>
      </c>
      <c r="AQ71" s="339">
        <f t="shared" si="129"/>
        <v>0</v>
      </c>
      <c r="AR71" s="340">
        <f>AP71-AQ71</f>
        <v>0</v>
      </c>
      <c r="AS71" s="341">
        <f t="shared" si="130"/>
        <v>14403.3</v>
      </c>
      <c r="AT71" s="339">
        <f t="shared" si="130"/>
        <v>0</v>
      </c>
      <c r="AU71" s="340">
        <f>AS71-AT71</f>
        <v>14403.3</v>
      </c>
      <c r="AV71" s="589">
        <f t="shared" si="19"/>
        <v>0</v>
      </c>
      <c r="AW71" s="343"/>
      <c r="AX71" s="1098"/>
      <c r="AY71" s="345"/>
      <c r="AZ71" s="1098"/>
      <c r="BA71" s="345"/>
      <c r="BB71" s="1120"/>
      <c r="BC71" s="347"/>
      <c r="BD71" s="348"/>
      <c r="BE71" s="349"/>
      <c r="BF71" s="348"/>
      <c r="BG71" s="349"/>
      <c r="BH71" s="350"/>
      <c r="BI71" s="351"/>
      <c r="BJ71" s="352"/>
      <c r="BK71" s="337"/>
      <c r="BL71" s="352"/>
      <c r="BM71" s="337"/>
      <c r="BN71" s="353"/>
      <c r="BO71" s="354">
        <f>21790-7386.7</f>
        <v>14403.3</v>
      </c>
      <c r="BP71" s="355"/>
      <c r="BQ71" s="356"/>
      <c r="BR71" s="355"/>
      <c r="BS71" s="356"/>
      <c r="BT71" s="357"/>
    </row>
    <row r="72" spans="1:72" s="313" customFormat="1" ht="25.5" outlineLevel="1">
      <c r="A72" s="287">
        <v>62</v>
      </c>
      <c r="B72" s="933"/>
      <c r="C72" s="840"/>
      <c r="D72" s="841"/>
      <c r="E72" s="839"/>
      <c r="F72" s="821" t="s">
        <v>7</v>
      </c>
      <c r="G72" s="314">
        <v>4</v>
      </c>
      <c r="H72" s="739" t="s">
        <v>71</v>
      </c>
      <c r="I72" s="739">
        <v>244</v>
      </c>
      <c r="J72" s="740">
        <v>226</v>
      </c>
      <c r="K72" s="533" t="s">
        <v>345</v>
      </c>
      <c r="L72" s="1025">
        <v>0</v>
      </c>
      <c r="M72" s="318"/>
      <c r="N72" s="318"/>
      <c r="O72" s="1052">
        <f t="shared" si="20"/>
        <v>0</v>
      </c>
      <c r="P72" s="559"/>
      <c r="Q72" s="336">
        <v>100000</v>
      </c>
      <c r="R72" s="559"/>
      <c r="S72" s="336">
        <v>100000</v>
      </c>
      <c r="T72" s="559"/>
      <c r="U72" s="335"/>
      <c r="V72" s="320" t="s">
        <v>470</v>
      </c>
      <c r="W72" s="388" t="s">
        <v>328</v>
      </c>
      <c r="X72" s="388" t="s">
        <v>329</v>
      </c>
      <c r="Z72" s="336">
        <f t="shared" si="35"/>
        <v>0</v>
      </c>
      <c r="AA72" s="337">
        <f t="shared" si="35"/>
        <v>0</v>
      </c>
      <c r="AB72" s="338">
        <f t="shared" si="6"/>
        <v>0</v>
      </c>
      <c r="AC72" s="336">
        <f t="shared" si="36"/>
        <v>0</v>
      </c>
      <c r="AD72" s="337">
        <f t="shared" si="36"/>
        <v>0</v>
      </c>
      <c r="AE72" s="338">
        <f t="shared" si="8"/>
        <v>0</v>
      </c>
      <c r="AF72" s="336">
        <f t="shared" si="37"/>
        <v>0</v>
      </c>
      <c r="AG72" s="337">
        <f t="shared" si="37"/>
        <v>0</v>
      </c>
      <c r="AH72" s="338">
        <f t="shared" si="10"/>
        <v>0</v>
      </c>
      <c r="AI72" s="336">
        <f t="shared" si="38"/>
        <v>0</v>
      </c>
      <c r="AJ72" s="337">
        <f t="shared" si="38"/>
        <v>0</v>
      </c>
      <c r="AK72" s="338">
        <f t="shared" si="12"/>
        <v>0</v>
      </c>
      <c r="AL72" s="342"/>
      <c r="AM72" s="336">
        <f t="shared" si="39"/>
        <v>0</v>
      </c>
      <c r="AN72" s="339">
        <f t="shared" si="39"/>
        <v>0</v>
      </c>
      <c r="AO72" s="340">
        <f t="shared" si="14"/>
        <v>0</v>
      </c>
      <c r="AP72" s="336">
        <f t="shared" si="40"/>
        <v>0</v>
      </c>
      <c r="AQ72" s="339">
        <f t="shared" si="40"/>
        <v>0</v>
      </c>
      <c r="AR72" s="340">
        <f t="shared" si="16"/>
        <v>0</v>
      </c>
      <c r="AS72" s="341">
        <f t="shared" si="21"/>
        <v>0</v>
      </c>
      <c r="AT72" s="339">
        <f t="shared" si="17"/>
        <v>0</v>
      </c>
      <c r="AU72" s="340">
        <f t="shared" si="18"/>
        <v>0</v>
      </c>
      <c r="AV72" s="589">
        <f t="shared" si="19"/>
        <v>0</v>
      </c>
      <c r="AW72" s="343"/>
      <c r="AX72" s="1098"/>
      <c r="AY72" s="345"/>
      <c r="AZ72" s="1098"/>
      <c r="BA72" s="345"/>
      <c r="BB72" s="1120"/>
      <c r="BC72" s="347"/>
      <c r="BD72" s="348"/>
      <c r="BE72" s="349"/>
      <c r="BF72" s="348"/>
      <c r="BG72" s="349"/>
      <c r="BH72" s="350"/>
      <c r="BI72" s="351"/>
      <c r="BJ72" s="352"/>
      <c r="BK72" s="337"/>
      <c r="BL72" s="352"/>
      <c r="BM72" s="337"/>
      <c r="BN72" s="353"/>
      <c r="BO72" s="354"/>
      <c r="BP72" s="355"/>
      <c r="BQ72" s="356"/>
      <c r="BR72" s="355"/>
      <c r="BS72" s="356"/>
      <c r="BT72" s="357"/>
    </row>
    <row r="73" spans="1:72" s="313" customFormat="1" ht="51" outlineLevel="1">
      <c r="A73" s="287">
        <v>63</v>
      </c>
      <c r="B73" s="933"/>
      <c r="C73" s="840"/>
      <c r="D73" s="841"/>
      <c r="E73" s="839"/>
      <c r="F73" s="821" t="s">
        <v>7</v>
      </c>
      <c r="G73" s="314">
        <v>4</v>
      </c>
      <c r="H73" s="739" t="s">
        <v>71</v>
      </c>
      <c r="I73" s="739">
        <v>244</v>
      </c>
      <c r="J73" s="740">
        <v>226</v>
      </c>
      <c r="K73" s="533" t="s">
        <v>346</v>
      </c>
      <c r="L73" s="1025">
        <f>15000*12</f>
        <v>180000</v>
      </c>
      <c r="M73" s="318"/>
      <c r="N73" s="318"/>
      <c r="O73" s="1052">
        <f t="shared" si="20"/>
        <v>180000</v>
      </c>
      <c r="P73" s="559"/>
      <c r="Q73" s="336">
        <v>180000</v>
      </c>
      <c r="R73" s="559"/>
      <c r="S73" s="336">
        <v>180000</v>
      </c>
      <c r="T73" s="559"/>
      <c r="U73" s="335"/>
      <c r="V73" s="596" t="s">
        <v>611</v>
      </c>
      <c r="W73" s="597" t="s">
        <v>612</v>
      </c>
      <c r="X73" s="597" t="s">
        <v>392</v>
      </c>
      <c r="Z73" s="336">
        <f t="shared" si="35"/>
        <v>30000</v>
      </c>
      <c r="AA73" s="337">
        <f t="shared" si="35"/>
        <v>30000</v>
      </c>
      <c r="AB73" s="338">
        <f>Z73-AA73</f>
        <v>0</v>
      </c>
      <c r="AC73" s="336">
        <f t="shared" si="36"/>
        <v>45000</v>
      </c>
      <c r="AD73" s="337">
        <f t="shared" si="36"/>
        <v>0</v>
      </c>
      <c r="AE73" s="338">
        <f>AC73-AD73</f>
        <v>45000</v>
      </c>
      <c r="AF73" s="336">
        <f t="shared" si="37"/>
        <v>15000</v>
      </c>
      <c r="AG73" s="337">
        <f t="shared" si="37"/>
        <v>0</v>
      </c>
      <c r="AH73" s="338">
        <f>AF73-AG73</f>
        <v>15000</v>
      </c>
      <c r="AI73" s="336">
        <f t="shared" si="38"/>
        <v>90000</v>
      </c>
      <c r="AJ73" s="337">
        <f t="shared" si="38"/>
        <v>0</v>
      </c>
      <c r="AK73" s="338">
        <f>AI73-AJ73</f>
        <v>90000</v>
      </c>
      <c r="AL73" s="342"/>
      <c r="AM73" s="336">
        <f t="shared" si="39"/>
        <v>75000</v>
      </c>
      <c r="AN73" s="339">
        <f t="shared" si="39"/>
        <v>30000</v>
      </c>
      <c r="AO73" s="340">
        <f>AM73-AN73</f>
        <v>45000</v>
      </c>
      <c r="AP73" s="336">
        <f t="shared" si="40"/>
        <v>90000</v>
      </c>
      <c r="AQ73" s="339">
        <f t="shared" si="40"/>
        <v>30000</v>
      </c>
      <c r="AR73" s="340">
        <f>AP73-AQ73</f>
        <v>60000</v>
      </c>
      <c r="AS73" s="341">
        <f t="shared" si="21"/>
        <v>180000</v>
      </c>
      <c r="AT73" s="339">
        <f t="shared" si="21"/>
        <v>30000</v>
      </c>
      <c r="AU73" s="340">
        <f>AS73-AT73</f>
        <v>150000</v>
      </c>
      <c r="AV73" s="589">
        <f t="shared" si="19"/>
        <v>0</v>
      </c>
      <c r="AW73" s="343"/>
      <c r="AX73" s="1098"/>
      <c r="AY73" s="345"/>
      <c r="AZ73" s="1098"/>
      <c r="BA73" s="345">
        <v>30000</v>
      </c>
      <c r="BB73" s="1120">
        <v>30000</v>
      </c>
      <c r="BC73" s="347">
        <v>15000</v>
      </c>
      <c r="BD73" s="348"/>
      <c r="BE73" s="349">
        <v>15000</v>
      </c>
      <c r="BF73" s="348"/>
      <c r="BG73" s="349">
        <v>15000</v>
      </c>
      <c r="BH73" s="350"/>
      <c r="BI73" s="351">
        <v>15000</v>
      </c>
      <c r="BJ73" s="352"/>
      <c r="BK73" s="337"/>
      <c r="BL73" s="352"/>
      <c r="BM73" s="337"/>
      <c r="BN73" s="353"/>
      <c r="BO73" s="354"/>
      <c r="BP73" s="355"/>
      <c r="BQ73" s="356"/>
      <c r="BR73" s="355"/>
      <c r="BS73" s="356">
        <v>90000</v>
      </c>
      <c r="BT73" s="357"/>
    </row>
    <row r="74" spans="1:72" s="313" customFormat="1" ht="38.25" outlineLevel="1">
      <c r="A74" s="287">
        <v>64</v>
      </c>
      <c r="B74" s="933"/>
      <c r="C74" s="840"/>
      <c r="D74" s="841"/>
      <c r="E74" s="839"/>
      <c r="F74" s="821" t="s">
        <v>7</v>
      </c>
      <c r="G74" s="314">
        <v>4</v>
      </c>
      <c r="H74" s="739" t="s">
        <v>71</v>
      </c>
      <c r="I74" s="739">
        <v>244</v>
      </c>
      <c r="J74" s="740">
        <v>226</v>
      </c>
      <c r="K74" s="533" t="s">
        <v>371</v>
      </c>
      <c r="L74" s="1025">
        <f>9933.32+691.92</f>
        <v>10625.24</v>
      </c>
      <c r="M74" s="318"/>
      <c r="N74" s="318"/>
      <c r="O74" s="1052">
        <f t="shared" si="20"/>
        <v>10625.24</v>
      </c>
      <c r="P74" s="559"/>
      <c r="Q74" s="336">
        <v>9933.32</v>
      </c>
      <c r="R74" s="559"/>
      <c r="S74" s="336">
        <v>9933.32</v>
      </c>
      <c r="T74" s="559"/>
      <c r="U74" s="335"/>
      <c r="V74" s="388" t="s">
        <v>384</v>
      </c>
      <c r="W74" s="320"/>
      <c r="X74" s="320"/>
      <c r="Z74" s="336">
        <f t="shared" si="35"/>
        <v>10625.24</v>
      </c>
      <c r="AA74" s="337">
        <f t="shared" si="35"/>
        <v>0</v>
      </c>
      <c r="AB74" s="338">
        <f>Z74-AA74</f>
        <v>10625.24</v>
      </c>
      <c r="AC74" s="336">
        <f t="shared" si="36"/>
        <v>0</v>
      </c>
      <c r="AD74" s="337">
        <f t="shared" si="36"/>
        <v>0</v>
      </c>
      <c r="AE74" s="338">
        <f>AC74-AD74</f>
        <v>0</v>
      </c>
      <c r="AF74" s="336">
        <f t="shared" si="37"/>
        <v>0</v>
      </c>
      <c r="AG74" s="337">
        <f t="shared" si="37"/>
        <v>0</v>
      </c>
      <c r="AH74" s="338">
        <f>AF74-AG74</f>
        <v>0</v>
      </c>
      <c r="AI74" s="336">
        <f t="shared" si="38"/>
        <v>0</v>
      </c>
      <c r="AJ74" s="337">
        <f t="shared" si="38"/>
        <v>0</v>
      </c>
      <c r="AK74" s="338">
        <f>AI74-AJ74</f>
        <v>0</v>
      </c>
      <c r="AL74" s="342"/>
      <c r="AM74" s="336">
        <f t="shared" si="39"/>
        <v>10625.24</v>
      </c>
      <c r="AN74" s="339">
        <f t="shared" si="39"/>
        <v>0</v>
      </c>
      <c r="AO74" s="340">
        <f>AM74-AN74</f>
        <v>10625.24</v>
      </c>
      <c r="AP74" s="336">
        <f t="shared" si="40"/>
        <v>10625.24</v>
      </c>
      <c r="AQ74" s="339">
        <f t="shared" si="40"/>
        <v>0</v>
      </c>
      <c r="AR74" s="340">
        <f>AP74-AQ74</f>
        <v>10625.24</v>
      </c>
      <c r="AS74" s="341">
        <f t="shared" ref="AS74:AT90" si="131">Z74+AC74+AF74+AI74</f>
        <v>10625.24</v>
      </c>
      <c r="AT74" s="339">
        <f t="shared" si="131"/>
        <v>0</v>
      </c>
      <c r="AU74" s="340">
        <f>AS74-AT74</f>
        <v>10625.24</v>
      </c>
      <c r="AV74" s="589">
        <f t="shared" si="19"/>
        <v>0</v>
      </c>
      <c r="AW74" s="343"/>
      <c r="AX74" s="1098"/>
      <c r="AY74" s="345">
        <f>9933.32+691.92</f>
        <v>10625.24</v>
      </c>
      <c r="AZ74" s="1098"/>
      <c r="BA74" s="345"/>
      <c r="BB74" s="1120"/>
      <c r="BC74" s="347"/>
      <c r="BD74" s="348"/>
      <c r="BE74" s="349"/>
      <c r="BF74" s="348"/>
      <c r="BG74" s="349"/>
      <c r="BH74" s="350"/>
      <c r="BI74" s="351"/>
      <c r="BJ74" s="352"/>
      <c r="BK74" s="337"/>
      <c r="BL74" s="352"/>
      <c r="BM74" s="337"/>
      <c r="BN74" s="353"/>
      <c r="BO74" s="354"/>
      <c r="BP74" s="355"/>
      <c r="BQ74" s="356"/>
      <c r="BR74" s="355"/>
      <c r="BS74" s="356"/>
      <c r="BT74" s="357"/>
    </row>
    <row r="75" spans="1:72" s="313" customFormat="1" ht="38.25" outlineLevel="1">
      <c r="A75" s="287">
        <v>65</v>
      </c>
      <c r="B75" s="933"/>
      <c r="C75" s="840"/>
      <c r="D75" s="841"/>
      <c r="E75" s="839"/>
      <c r="F75" s="821" t="s">
        <v>7</v>
      </c>
      <c r="G75" s="314">
        <v>4</v>
      </c>
      <c r="H75" s="739" t="s">
        <v>71</v>
      </c>
      <c r="I75" s="739">
        <v>244</v>
      </c>
      <c r="J75" s="740">
        <v>226</v>
      </c>
      <c r="K75" s="533" t="s">
        <v>396</v>
      </c>
      <c r="L75" s="1025">
        <f>8333.33*12</f>
        <v>99999.96</v>
      </c>
      <c r="M75" s="318"/>
      <c r="N75" s="318"/>
      <c r="O75" s="1052">
        <f t="shared" si="20"/>
        <v>99999.96</v>
      </c>
      <c r="P75" s="559"/>
      <c r="Q75" s="336">
        <v>99999.96</v>
      </c>
      <c r="R75" s="559"/>
      <c r="S75" s="336">
        <v>99999.96</v>
      </c>
      <c r="T75" s="559"/>
      <c r="U75" s="335"/>
      <c r="V75" s="596" t="s">
        <v>331</v>
      </c>
      <c r="W75" s="597" t="s">
        <v>386</v>
      </c>
      <c r="X75" s="597" t="s">
        <v>381</v>
      </c>
      <c r="Z75" s="336">
        <f t="shared" si="35"/>
        <v>16666.66</v>
      </c>
      <c r="AA75" s="337">
        <f t="shared" si="35"/>
        <v>16666.66</v>
      </c>
      <c r="AB75" s="338">
        <f>Z75-AA75</f>
        <v>0</v>
      </c>
      <c r="AC75" s="336">
        <f t="shared" si="36"/>
        <v>24999.99</v>
      </c>
      <c r="AD75" s="337">
        <f t="shared" si="36"/>
        <v>0</v>
      </c>
      <c r="AE75" s="338">
        <f>AC75-AD75</f>
        <v>24999.99</v>
      </c>
      <c r="AF75" s="336">
        <f t="shared" si="37"/>
        <v>24999.99</v>
      </c>
      <c r="AG75" s="337">
        <f t="shared" si="37"/>
        <v>0</v>
      </c>
      <c r="AH75" s="338">
        <f>AF75-AG75</f>
        <v>24999.99</v>
      </c>
      <c r="AI75" s="336">
        <f t="shared" si="38"/>
        <v>33333.32</v>
      </c>
      <c r="AJ75" s="337">
        <f t="shared" si="38"/>
        <v>0</v>
      </c>
      <c r="AK75" s="338">
        <f>AI75-AJ75</f>
        <v>33333.32</v>
      </c>
      <c r="AL75" s="342"/>
      <c r="AM75" s="336">
        <f t="shared" si="39"/>
        <v>41666.65</v>
      </c>
      <c r="AN75" s="339">
        <f t="shared" si="39"/>
        <v>16666.66</v>
      </c>
      <c r="AO75" s="340">
        <f>AM75-AN75</f>
        <v>24999.99</v>
      </c>
      <c r="AP75" s="336">
        <f t="shared" si="40"/>
        <v>66666.64</v>
      </c>
      <c r="AQ75" s="339">
        <f t="shared" si="40"/>
        <v>16666.66</v>
      </c>
      <c r="AR75" s="340">
        <f>AP75-AQ75</f>
        <v>49999.98</v>
      </c>
      <c r="AS75" s="341">
        <f t="shared" si="131"/>
        <v>99999.96</v>
      </c>
      <c r="AT75" s="339">
        <f t="shared" si="131"/>
        <v>16666.66</v>
      </c>
      <c r="AU75" s="340">
        <f>AS75-AT75</f>
        <v>83333.3</v>
      </c>
      <c r="AV75" s="589">
        <f t="shared" si="19"/>
        <v>0</v>
      </c>
      <c r="AW75" s="343"/>
      <c r="AX75" s="1098"/>
      <c r="AY75" s="345">
        <v>8333.33</v>
      </c>
      <c r="AZ75" s="1098">
        <v>8333.33</v>
      </c>
      <c r="BA75" s="345">
        <v>8333.33</v>
      </c>
      <c r="BB75" s="1120">
        <v>8333.33</v>
      </c>
      <c r="BC75" s="347">
        <v>8333.33</v>
      </c>
      <c r="BD75" s="348"/>
      <c r="BE75" s="349">
        <v>8333.33</v>
      </c>
      <c r="BF75" s="348"/>
      <c r="BG75" s="349">
        <v>8333.33</v>
      </c>
      <c r="BH75" s="350"/>
      <c r="BI75" s="351">
        <v>8333.33</v>
      </c>
      <c r="BJ75" s="352"/>
      <c r="BK75" s="337">
        <v>8333.33</v>
      </c>
      <c r="BL75" s="352"/>
      <c r="BM75" s="337">
        <v>8333.33</v>
      </c>
      <c r="BN75" s="353"/>
      <c r="BO75" s="354">
        <v>8333.33</v>
      </c>
      <c r="BP75" s="355"/>
      <c r="BQ75" s="356">
        <v>8333.33</v>
      </c>
      <c r="BR75" s="355"/>
      <c r="BS75" s="356">
        <f>8333.33*2</f>
        <v>16666.66</v>
      </c>
      <c r="BT75" s="357"/>
    </row>
    <row r="76" spans="1:72" s="313" customFormat="1" ht="38.25" outlineLevel="1">
      <c r="A76" s="287">
        <v>66</v>
      </c>
      <c r="B76" s="933"/>
      <c r="C76" s="840"/>
      <c r="D76" s="841"/>
      <c r="E76" s="839"/>
      <c r="F76" s="821" t="s">
        <v>7</v>
      </c>
      <c r="G76" s="314">
        <v>4</v>
      </c>
      <c r="H76" s="739" t="s">
        <v>71</v>
      </c>
      <c r="I76" s="739">
        <v>244</v>
      </c>
      <c r="J76" s="740">
        <v>226</v>
      </c>
      <c r="K76" s="533" t="s">
        <v>347</v>
      </c>
      <c r="L76" s="1025">
        <v>0</v>
      </c>
      <c r="M76" s="318"/>
      <c r="N76" s="318"/>
      <c r="O76" s="1052">
        <f t="shared" si="20"/>
        <v>0</v>
      </c>
      <c r="P76" s="559"/>
      <c r="Q76" s="336">
        <v>0</v>
      </c>
      <c r="R76" s="559"/>
      <c r="S76" s="336">
        <v>0</v>
      </c>
      <c r="T76" s="559"/>
      <c r="U76" s="335"/>
      <c r="V76" s="320" t="s">
        <v>338</v>
      </c>
      <c r="W76" s="388" t="s">
        <v>339</v>
      </c>
      <c r="X76" s="388" t="s">
        <v>340</v>
      </c>
      <c r="Z76" s="336">
        <f t="shared" si="35"/>
        <v>0</v>
      </c>
      <c r="AA76" s="337">
        <f t="shared" si="35"/>
        <v>0</v>
      </c>
      <c r="AB76" s="338">
        <f>Z76-AA76</f>
        <v>0</v>
      </c>
      <c r="AC76" s="336">
        <f t="shared" si="36"/>
        <v>0</v>
      </c>
      <c r="AD76" s="337">
        <f t="shared" si="36"/>
        <v>0</v>
      </c>
      <c r="AE76" s="338">
        <f>AC76-AD76</f>
        <v>0</v>
      </c>
      <c r="AF76" s="336">
        <f t="shared" si="37"/>
        <v>0</v>
      </c>
      <c r="AG76" s="337">
        <f t="shared" si="37"/>
        <v>0</v>
      </c>
      <c r="AH76" s="338">
        <f>AF76-AG76</f>
        <v>0</v>
      </c>
      <c r="AI76" s="336">
        <f t="shared" si="38"/>
        <v>0</v>
      </c>
      <c r="AJ76" s="337">
        <f t="shared" si="38"/>
        <v>0</v>
      </c>
      <c r="AK76" s="338">
        <f>AI76-AJ76</f>
        <v>0</v>
      </c>
      <c r="AL76" s="342"/>
      <c r="AM76" s="336">
        <f t="shared" si="39"/>
        <v>0</v>
      </c>
      <c r="AN76" s="339">
        <f t="shared" si="39"/>
        <v>0</v>
      </c>
      <c r="AO76" s="340">
        <f>AM76-AN76</f>
        <v>0</v>
      </c>
      <c r="AP76" s="336">
        <f t="shared" si="40"/>
        <v>0</v>
      </c>
      <c r="AQ76" s="339">
        <f t="shared" si="40"/>
        <v>0</v>
      </c>
      <c r="AR76" s="340">
        <f>AP76-AQ76</f>
        <v>0</v>
      </c>
      <c r="AS76" s="341">
        <f t="shared" si="131"/>
        <v>0</v>
      </c>
      <c r="AT76" s="339">
        <f t="shared" si="131"/>
        <v>0</v>
      </c>
      <c r="AU76" s="340">
        <f>AS76-AT76</f>
        <v>0</v>
      </c>
      <c r="AV76" s="589">
        <f t="shared" si="19"/>
        <v>0</v>
      </c>
      <c r="AW76" s="343"/>
      <c r="AX76" s="1098"/>
      <c r="AY76" s="345"/>
      <c r="AZ76" s="1098"/>
      <c r="BA76" s="345"/>
      <c r="BB76" s="1120"/>
      <c r="BC76" s="347"/>
      <c r="BD76" s="348"/>
      <c r="BE76" s="349"/>
      <c r="BF76" s="348"/>
      <c r="BG76" s="349"/>
      <c r="BH76" s="350"/>
      <c r="BI76" s="351"/>
      <c r="BJ76" s="352"/>
      <c r="BK76" s="337"/>
      <c r="BL76" s="352"/>
      <c r="BM76" s="337"/>
      <c r="BN76" s="353"/>
      <c r="BO76" s="354"/>
      <c r="BP76" s="355"/>
      <c r="BQ76" s="356"/>
      <c r="BR76" s="355"/>
      <c r="BS76" s="356"/>
      <c r="BT76" s="357"/>
    </row>
    <row r="77" spans="1:72" s="313" customFormat="1" ht="25.5" outlineLevel="1">
      <c r="A77" s="287">
        <v>67</v>
      </c>
      <c r="B77" s="933"/>
      <c r="C77" s="840"/>
      <c r="D77" s="841"/>
      <c r="E77" s="839"/>
      <c r="F77" s="821" t="s">
        <v>7</v>
      </c>
      <c r="G77" s="314">
        <v>4</v>
      </c>
      <c r="H77" s="739" t="s">
        <v>71</v>
      </c>
      <c r="I77" s="739">
        <v>244</v>
      </c>
      <c r="J77" s="740">
        <v>226</v>
      </c>
      <c r="K77" s="534" t="s">
        <v>353</v>
      </c>
      <c r="L77" s="1025"/>
      <c r="M77" s="318"/>
      <c r="N77" s="318"/>
      <c r="O77" s="1052">
        <f t="shared" si="20"/>
        <v>0</v>
      </c>
      <c r="P77" s="559"/>
      <c r="Q77" s="336"/>
      <c r="R77" s="559"/>
      <c r="S77" s="336"/>
      <c r="T77" s="559"/>
      <c r="U77" s="335"/>
      <c r="V77" s="320" t="s">
        <v>335</v>
      </c>
      <c r="W77" s="388" t="s">
        <v>336</v>
      </c>
      <c r="X77" s="388" t="s">
        <v>337</v>
      </c>
      <c r="Z77" s="336">
        <f>AW77+AY77+BA77</f>
        <v>0</v>
      </c>
      <c r="AA77" s="337">
        <f>AX77+AZ77+BB77</f>
        <v>0</v>
      </c>
      <c r="AB77" s="338">
        <f>Z77-AA77</f>
        <v>0</v>
      </c>
      <c r="AC77" s="336">
        <f>BC77+BE77+BG77</f>
        <v>0</v>
      </c>
      <c r="AD77" s="337">
        <f>BD77+BF77+BH77</f>
        <v>0</v>
      </c>
      <c r="AE77" s="338">
        <f>AC77-AD77</f>
        <v>0</v>
      </c>
      <c r="AF77" s="336">
        <f>BI77+BK77+BM77</f>
        <v>0</v>
      </c>
      <c r="AG77" s="337">
        <f>BJ77+BL77+BN77</f>
        <v>0</v>
      </c>
      <c r="AH77" s="338">
        <f>AF77-AG77</f>
        <v>0</v>
      </c>
      <c r="AI77" s="336">
        <f>BO77+BQ77+BS77</f>
        <v>0</v>
      </c>
      <c r="AJ77" s="337">
        <f>BP77+BR77+BT77</f>
        <v>0</v>
      </c>
      <c r="AK77" s="338">
        <f>AI77-AJ77</f>
        <v>0</v>
      </c>
      <c r="AL77" s="342"/>
      <c r="AM77" s="336">
        <f>Z77+AC77</f>
        <v>0</v>
      </c>
      <c r="AN77" s="339">
        <f>AA77+AD77</f>
        <v>0</v>
      </c>
      <c r="AO77" s="340">
        <f>AM77-AN77</f>
        <v>0</v>
      </c>
      <c r="AP77" s="336">
        <f>Z77+AC77+AF77</f>
        <v>0</v>
      </c>
      <c r="AQ77" s="339">
        <f>AA77+AD77+AG77</f>
        <v>0</v>
      </c>
      <c r="AR77" s="340">
        <f>AP77-AQ77</f>
        <v>0</v>
      </c>
      <c r="AS77" s="341">
        <f>Z77+AC77+AF77+AI77</f>
        <v>0</v>
      </c>
      <c r="AT77" s="339">
        <f>AA77+AD77+AG77+AJ77</f>
        <v>0</v>
      </c>
      <c r="AU77" s="340">
        <f>AS77-AT77</f>
        <v>0</v>
      </c>
      <c r="AV77" s="589">
        <f t="shared" si="19"/>
        <v>0</v>
      </c>
      <c r="AW77" s="343"/>
      <c r="AX77" s="1098"/>
      <c r="AY77" s="345"/>
      <c r="AZ77" s="1098"/>
      <c r="BA77" s="345"/>
      <c r="BB77" s="1120"/>
      <c r="BC77" s="347"/>
      <c r="BD77" s="348"/>
      <c r="BE77" s="349"/>
      <c r="BF77" s="348"/>
      <c r="BG77" s="349"/>
      <c r="BH77" s="350"/>
      <c r="BI77" s="351"/>
      <c r="BJ77" s="352"/>
      <c r="BK77" s="337"/>
      <c r="BL77" s="352"/>
      <c r="BM77" s="337"/>
      <c r="BN77" s="353"/>
      <c r="BO77" s="354"/>
      <c r="BP77" s="355"/>
      <c r="BQ77" s="356"/>
      <c r="BR77" s="355"/>
      <c r="BS77" s="356"/>
      <c r="BT77" s="357"/>
    </row>
    <row r="78" spans="1:72" s="965" customFormat="1" ht="48.75" customHeight="1">
      <c r="A78" s="287">
        <v>68</v>
      </c>
      <c r="B78" s="952"/>
      <c r="C78" s="953" t="s">
        <v>377</v>
      </c>
      <c r="D78" s="954"/>
      <c r="E78" s="955" t="s">
        <v>201</v>
      </c>
      <c r="F78" s="956" t="s">
        <v>7</v>
      </c>
      <c r="G78" s="957">
        <v>4</v>
      </c>
      <c r="H78" s="957" t="s">
        <v>266</v>
      </c>
      <c r="I78" s="957">
        <v>244</v>
      </c>
      <c r="J78" s="958">
        <v>226</v>
      </c>
      <c r="K78" s="959" t="s">
        <v>307</v>
      </c>
      <c r="L78" s="1027">
        <v>2100099.31</v>
      </c>
      <c r="M78" s="961"/>
      <c r="N78" s="961"/>
      <c r="O78" s="1061">
        <f t="shared" si="20"/>
        <v>2100099.31</v>
      </c>
      <c r="P78" s="962"/>
      <c r="Q78" s="960">
        <f>Q87</f>
        <v>2256788.4500000002</v>
      </c>
      <c r="R78" s="962"/>
      <c r="S78" s="960">
        <f>S87</f>
        <v>2150208.7400000002</v>
      </c>
      <c r="T78" s="962"/>
      <c r="U78" s="963"/>
      <c r="V78" s="964"/>
      <c r="W78" s="964"/>
      <c r="X78" s="964"/>
      <c r="Z78" s="960">
        <f t="shared" si="35"/>
        <v>340187.83</v>
      </c>
      <c r="AA78" s="961">
        <f t="shared" si="35"/>
        <v>340187.83</v>
      </c>
      <c r="AB78" s="966">
        <f t="shared" si="6"/>
        <v>0</v>
      </c>
      <c r="AC78" s="960">
        <f t="shared" si="36"/>
        <v>559569.35</v>
      </c>
      <c r="AD78" s="961">
        <f t="shared" si="36"/>
        <v>0</v>
      </c>
      <c r="AE78" s="966">
        <f t="shared" si="8"/>
        <v>559569.35</v>
      </c>
      <c r="AF78" s="960">
        <f t="shared" si="37"/>
        <v>340187.83</v>
      </c>
      <c r="AG78" s="961">
        <f t="shared" si="37"/>
        <v>0</v>
      </c>
      <c r="AH78" s="966">
        <f t="shared" si="10"/>
        <v>340187.83</v>
      </c>
      <c r="AI78" s="960">
        <f t="shared" si="38"/>
        <v>860154.3</v>
      </c>
      <c r="AJ78" s="961">
        <f t="shared" si="38"/>
        <v>0</v>
      </c>
      <c r="AK78" s="966">
        <f t="shared" si="12"/>
        <v>860154.3</v>
      </c>
      <c r="AL78" s="967"/>
      <c r="AM78" s="960">
        <f t="shared" si="39"/>
        <v>899757.18</v>
      </c>
      <c r="AN78" s="961">
        <f t="shared" si="39"/>
        <v>340187.83</v>
      </c>
      <c r="AO78" s="966">
        <f t="shared" si="14"/>
        <v>559569.35</v>
      </c>
      <c r="AP78" s="960">
        <f t="shared" si="40"/>
        <v>1239945.01</v>
      </c>
      <c r="AQ78" s="961">
        <f t="shared" si="40"/>
        <v>340187.83</v>
      </c>
      <c r="AR78" s="966">
        <f t="shared" si="16"/>
        <v>899757.18</v>
      </c>
      <c r="AS78" s="960">
        <f t="shared" si="131"/>
        <v>2100099.31</v>
      </c>
      <c r="AT78" s="961">
        <f t="shared" si="17"/>
        <v>340187.83</v>
      </c>
      <c r="AU78" s="966">
        <f t="shared" si="18"/>
        <v>1759911.48</v>
      </c>
      <c r="AV78" s="968">
        <f t="shared" si="19"/>
        <v>0</v>
      </c>
      <c r="AW78" s="960">
        <f t="shared" ref="AW78:BT78" si="132">SUM(AW86,AW79,AW95,AW98,AW107,AW111)</f>
        <v>0</v>
      </c>
      <c r="AX78" s="1109">
        <f t="shared" si="132"/>
        <v>0</v>
      </c>
      <c r="AY78" s="961">
        <f t="shared" si="132"/>
        <v>0</v>
      </c>
      <c r="AZ78" s="1109">
        <f t="shared" si="132"/>
        <v>0</v>
      </c>
      <c r="BA78" s="961">
        <f t="shared" si="132"/>
        <v>340187.83</v>
      </c>
      <c r="BB78" s="1127">
        <f t="shared" si="132"/>
        <v>340187.83</v>
      </c>
      <c r="BC78" s="960">
        <f t="shared" si="132"/>
        <v>25300</v>
      </c>
      <c r="BD78" s="961">
        <f t="shared" si="132"/>
        <v>0</v>
      </c>
      <c r="BE78" s="961">
        <f t="shared" si="132"/>
        <v>0</v>
      </c>
      <c r="BF78" s="961">
        <f t="shared" si="132"/>
        <v>0</v>
      </c>
      <c r="BG78" s="961">
        <f t="shared" si="132"/>
        <v>534269.35</v>
      </c>
      <c r="BH78" s="969">
        <f t="shared" si="132"/>
        <v>0</v>
      </c>
      <c r="BI78" s="960">
        <f t="shared" si="132"/>
        <v>0</v>
      </c>
      <c r="BJ78" s="961">
        <f t="shared" si="132"/>
        <v>0</v>
      </c>
      <c r="BK78" s="961">
        <f t="shared" si="132"/>
        <v>100000</v>
      </c>
      <c r="BL78" s="961">
        <f t="shared" si="132"/>
        <v>0</v>
      </c>
      <c r="BM78" s="961">
        <f t="shared" si="132"/>
        <v>240187.83</v>
      </c>
      <c r="BN78" s="969">
        <f t="shared" si="132"/>
        <v>0</v>
      </c>
      <c r="BO78" s="960">
        <f t="shared" si="132"/>
        <v>233059.9</v>
      </c>
      <c r="BP78" s="961">
        <f t="shared" si="132"/>
        <v>0</v>
      </c>
      <c r="BQ78" s="961">
        <f t="shared" si="132"/>
        <v>534034.63</v>
      </c>
      <c r="BR78" s="961">
        <f t="shared" si="132"/>
        <v>0</v>
      </c>
      <c r="BS78" s="961">
        <f t="shared" si="132"/>
        <v>93059.77</v>
      </c>
      <c r="BT78" s="966">
        <f t="shared" si="132"/>
        <v>0</v>
      </c>
    </row>
    <row r="79" spans="1:72" s="459" customFormat="1" ht="97.5" outlineLevel="1">
      <c r="A79" s="287">
        <v>69</v>
      </c>
      <c r="B79" s="933"/>
      <c r="C79" s="922" t="s">
        <v>378</v>
      </c>
      <c r="D79" s="854" t="s">
        <v>273</v>
      </c>
      <c r="E79" s="855"/>
      <c r="F79" s="923" t="s">
        <v>7</v>
      </c>
      <c r="G79" s="462">
        <v>4</v>
      </c>
      <c r="H79" s="741" t="s">
        <v>70</v>
      </c>
      <c r="I79" s="741">
        <v>244</v>
      </c>
      <c r="J79" s="742">
        <v>226</v>
      </c>
      <c r="K79" s="535" t="s">
        <v>492</v>
      </c>
      <c r="L79" s="1028">
        <f>SUM(L80:L85)</f>
        <v>340187.83</v>
      </c>
      <c r="M79" s="352"/>
      <c r="N79" s="352"/>
      <c r="O79" s="1062">
        <f t="shared" si="20"/>
        <v>340187.83</v>
      </c>
      <c r="P79" s="924"/>
      <c r="Q79" s="464"/>
      <c r="R79" s="924"/>
      <c r="S79" s="464"/>
      <c r="T79" s="924"/>
      <c r="U79" s="925"/>
      <c r="V79" s="926"/>
      <c r="W79" s="926"/>
      <c r="X79" s="926"/>
      <c r="Y79" s="927"/>
      <c r="Z79" s="928">
        <f t="shared" si="35"/>
        <v>340187.83</v>
      </c>
      <c r="AA79" s="929">
        <f t="shared" si="35"/>
        <v>340187.83</v>
      </c>
      <c r="AB79" s="930">
        <f t="shared" ref="AB79:AB171" si="133">Z79-AA79</f>
        <v>0</v>
      </c>
      <c r="AC79" s="928">
        <f t="shared" si="36"/>
        <v>0</v>
      </c>
      <c r="AD79" s="929">
        <f t="shared" si="36"/>
        <v>0</v>
      </c>
      <c r="AE79" s="930">
        <f t="shared" ref="AE79:AE171" si="134">AC79-AD79</f>
        <v>0</v>
      </c>
      <c r="AF79" s="928">
        <f t="shared" si="37"/>
        <v>0</v>
      </c>
      <c r="AG79" s="929">
        <f t="shared" si="37"/>
        <v>0</v>
      </c>
      <c r="AH79" s="930">
        <f t="shared" ref="AH79:AH171" si="135">AF79-AG79</f>
        <v>0</v>
      </c>
      <c r="AI79" s="928">
        <f t="shared" si="38"/>
        <v>0</v>
      </c>
      <c r="AJ79" s="929">
        <f t="shared" si="38"/>
        <v>0</v>
      </c>
      <c r="AK79" s="930">
        <f t="shared" ref="AK79:AK171" si="136">AI79-AJ79</f>
        <v>0</v>
      </c>
      <c r="AL79" s="931"/>
      <c r="AM79" s="464">
        <f t="shared" si="39"/>
        <v>340187.83</v>
      </c>
      <c r="AN79" s="352">
        <f t="shared" si="39"/>
        <v>340187.83</v>
      </c>
      <c r="AO79" s="465">
        <f t="shared" ref="AO79:AO171" si="137">AM79-AN79</f>
        <v>0</v>
      </c>
      <c r="AP79" s="464">
        <f t="shared" si="40"/>
        <v>340187.83</v>
      </c>
      <c r="AQ79" s="352">
        <f t="shared" si="40"/>
        <v>340187.83</v>
      </c>
      <c r="AR79" s="465">
        <f t="shared" ref="AR79:AR171" si="138">AP79-AQ79</f>
        <v>0</v>
      </c>
      <c r="AS79" s="464">
        <f t="shared" si="131"/>
        <v>340187.83</v>
      </c>
      <c r="AT79" s="352">
        <f t="shared" si="131"/>
        <v>340187.83</v>
      </c>
      <c r="AU79" s="465">
        <f t="shared" ref="AU79:AU169" si="139">AS79-AT79</f>
        <v>0</v>
      </c>
      <c r="AV79" s="600">
        <f t="shared" ref="AV79:AV177" si="140">L79-AS79</f>
        <v>0</v>
      </c>
      <c r="AW79" s="464">
        <f t="shared" ref="AW79:BT79" si="141">SUM(AW80:AW85)</f>
        <v>0</v>
      </c>
      <c r="AX79" s="1110">
        <f t="shared" si="141"/>
        <v>0</v>
      </c>
      <c r="AY79" s="352">
        <f t="shared" si="141"/>
        <v>0</v>
      </c>
      <c r="AZ79" s="1110">
        <f t="shared" si="141"/>
        <v>0</v>
      </c>
      <c r="BA79" s="352">
        <f t="shared" si="141"/>
        <v>340187.83</v>
      </c>
      <c r="BB79" s="1128">
        <f t="shared" si="141"/>
        <v>340187.83</v>
      </c>
      <c r="BC79" s="464">
        <f t="shared" si="141"/>
        <v>0</v>
      </c>
      <c r="BD79" s="352">
        <f t="shared" si="141"/>
        <v>0</v>
      </c>
      <c r="BE79" s="352">
        <f t="shared" si="141"/>
        <v>0</v>
      </c>
      <c r="BF79" s="352">
        <f t="shared" si="141"/>
        <v>0</v>
      </c>
      <c r="BG79" s="352">
        <f t="shared" si="141"/>
        <v>0</v>
      </c>
      <c r="BH79" s="353">
        <f t="shared" si="141"/>
        <v>0</v>
      </c>
      <c r="BI79" s="464">
        <f t="shared" si="141"/>
        <v>0</v>
      </c>
      <c r="BJ79" s="352">
        <f t="shared" si="141"/>
        <v>0</v>
      </c>
      <c r="BK79" s="352">
        <f t="shared" si="141"/>
        <v>0</v>
      </c>
      <c r="BL79" s="352">
        <f t="shared" si="141"/>
        <v>0</v>
      </c>
      <c r="BM79" s="352">
        <f t="shared" si="141"/>
        <v>0</v>
      </c>
      <c r="BN79" s="353">
        <f t="shared" si="141"/>
        <v>0</v>
      </c>
      <c r="BO79" s="464">
        <f t="shared" si="141"/>
        <v>0</v>
      </c>
      <c r="BP79" s="352">
        <f t="shared" si="141"/>
        <v>0</v>
      </c>
      <c r="BQ79" s="352">
        <f t="shared" si="141"/>
        <v>0</v>
      </c>
      <c r="BR79" s="352">
        <f t="shared" si="141"/>
        <v>0</v>
      </c>
      <c r="BS79" s="352">
        <f t="shared" si="141"/>
        <v>0</v>
      </c>
      <c r="BT79" s="465">
        <f t="shared" si="141"/>
        <v>0</v>
      </c>
    </row>
    <row r="80" spans="1:72" s="399" customFormat="1" ht="38.25" customHeight="1" outlineLevel="2">
      <c r="A80" s="287">
        <v>70</v>
      </c>
      <c r="B80" s="933"/>
      <c r="C80" s="859"/>
      <c r="D80" s="841" t="s">
        <v>273</v>
      </c>
      <c r="E80" s="860"/>
      <c r="F80" s="829" t="s">
        <v>7</v>
      </c>
      <c r="G80" s="400">
        <v>4</v>
      </c>
      <c r="H80" s="747" t="s">
        <v>70</v>
      </c>
      <c r="I80" s="747">
        <v>244</v>
      </c>
      <c r="J80" s="748">
        <v>226</v>
      </c>
      <c r="K80" s="538" t="s">
        <v>493</v>
      </c>
      <c r="L80" s="1029">
        <v>36399</v>
      </c>
      <c r="M80" s="403"/>
      <c r="N80" s="403"/>
      <c r="O80" s="1063">
        <f t="shared" si="20"/>
        <v>36399</v>
      </c>
      <c r="P80" s="565"/>
      <c r="Q80" s="406"/>
      <c r="R80" s="565"/>
      <c r="S80" s="406"/>
      <c r="T80" s="565"/>
      <c r="U80" s="428"/>
      <c r="V80" s="597" t="s">
        <v>494</v>
      </c>
      <c r="W80" s="597" t="s">
        <v>539</v>
      </c>
      <c r="X80" s="597" t="s">
        <v>540</v>
      </c>
      <c r="Z80" s="406">
        <f t="shared" si="35"/>
        <v>36399</v>
      </c>
      <c r="AA80" s="407">
        <f t="shared" si="35"/>
        <v>36399</v>
      </c>
      <c r="AB80" s="408">
        <f t="shared" si="133"/>
        <v>0</v>
      </c>
      <c r="AC80" s="406">
        <f t="shared" si="36"/>
        <v>0</v>
      </c>
      <c r="AD80" s="407">
        <f t="shared" si="36"/>
        <v>0</v>
      </c>
      <c r="AE80" s="408">
        <f t="shared" si="134"/>
        <v>0</v>
      </c>
      <c r="AF80" s="406">
        <f t="shared" si="37"/>
        <v>0</v>
      </c>
      <c r="AG80" s="407">
        <f t="shared" si="37"/>
        <v>0</v>
      </c>
      <c r="AH80" s="408">
        <f t="shared" si="135"/>
        <v>0</v>
      </c>
      <c r="AI80" s="406">
        <f t="shared" si="38"/>
        <v>0</v>
      </c>
      <c r="AJ80" s="407">
        <f t="shared" si="38"/>
        <v>0</v>
      </c>
      <c r="AK80" s="408">
        <f t="shared" si="136"/>
        <v>0</v>
      </c>
      <c r="AL80" s="409"/>
      <c r="AM80" s="406">
        <f t="shared" si="39"/>
        <v>36399</v>
      </c>
      <c r="AN80" s="410">
        <f t="shared" si="39"/>
        <v>36399</v>
      </c>
      <c r="AO80" s="411">
        <f t="shared" si="137"/>
        <v>0</v>
      </c>
      <c r="AP80" s="406">
        <f t="shared" si="40"/>
        <v>36399</v>
      </c>
      <c r="AQ80" s="410">
        <f t="shared" si="40"/>
        <v>36399</v>
      </c>
      <c r="AR80" s="411">
        <f t="shared" si="138"/>
        <v>0</v>
      </c>
      <c r="AS80" s="412">
        <f t="shared" si="131"/>
        <v>36399</v>
      </c>
      <c r="AT80" s="410">
        <f t="shared" si="131"/>
        <v>36399</v>
      </c>
      <c r="AU80" s="411">
        <f t="shared" si="139"/>
        <v>0</v>
      </c>
      <c r="AV80" s="603">
        <f t="shared" si="140"/>
        <v>0</v>
      </c>
      <c r="AW80" s="413"/>
      <c r="AX80" s="1098"/>
      <c r="AY80" s="415"/>
      <c r="AZ80" s="1098"/>
      <c r="BA80" s="415">
        <v>36399</v>
      </c>
      <c r="BB80" s="1120">
        <v>36399</v>
      </c>
      <c r="BC80" s="417"/>
      <c r="BD80" s="418"/>
      <c r="BE80" s="419"/>
      <c r="BF80" s="418"/>
      <c r="BG80" s="419"/>
      <c r="BH80" s="420"/>
      <c r="BI80" s="421"/>
      <c r="BJ80" s="422"/>
      <c r="BK80" s="407"/>
      <c r="BL80" s="422"/>
      <c r="BM80" s="407"/>
      <c r="BN80" s="423"/>
      <c r="BO80" s="424"/>
      <c r="BP80" s="425"/>
      <c r="BQ80" s="426"/>
      <c r="BR80" s="425"/>
      <c r="BS80" s="426"/>
      <c r="BT80" s="427"/>
    </row>
    <row r="81" spans="1:72" s="399" customFormat="1" ht="38.25" customHeight="1" outlineLevel="2">
      <c r="A81" s="287">
        <v>71</v>
      </c>
      <c r="B81" s="933"/>
      <c r="C81" s="859"/>
      <c r="D81" s="841" t="s">
        <v>273</v>
      </c>
      <c r="E81" s="860"/>
      <c r="F81" s="829" t="s">
        <v>7</v>
      </c>
      <c r="G81" s="400">
        <v>4</v>
      </c>
      <c r="H81" s="747" t="s">
        <v>70</v>
      </c>
      <c r="I81" s="747">
        <v>244</v>
      </c>
      <c r="J81" s="748">
        <v>226</v>
      </c>
      <c r="K81" s="538" t="s">
        <v>504</v>
      </c>
      <c r="L81" s="1029">
        <v>126600</v>
      </c>
      <c r="M81" s="403"/>
      <c r="N81" s="403"/>
      <c r="O81" s="1063">
        <f t="shared" ref="O81:O161" si="142">L81+N81</f>
        <v>126600</v>
      </c>
      <c r="P81" s="565"/>
      <c r="Q81" s="406"/>
      <c r="R81" s="565"/>
      <c r="S81" s="406"/>
      <c r="T81" s="565"/>
      <c r="U81" s="428"/>
      <c r="V81" s="597" t="s">
        <v>592</v>
      </c>
      <c r="W81" s="597" t="s">
        <v>593</v>
      </c>
      <c r="X81" s="597" t="s">
        <v>594</v>
      </c>
      <c r="Z81" s="406">
        <f t="shared" si="35"/>
        <v>126600</v>
      </c>
      <c r="AA81" s="407">
        <f t="shared" si="35"/>
        <v>126600</v>
      </c>
      <c r="AB81" s="408">
        <f t="shared" si="133"/>
        <v>0</v>
      </c>
      <c r="AC81" s="406">
        <f t="shared" si="36"/>
        <v>0</v>
      </c>
      <c r="AD81" s="407">
        <f t="shared" si="36"/>
        <v>0</v>
      </c>
      <c r="AE81" s="408">
        <f t="shared" si="134"/>
        <v>0</v>
      </c>
      <c r="AF81" s="406">
        <f t="shared" si="37"/>
        <v>0</v>
      </c>
      <c r="AG81" s="407">
        <f t="shared" si="37"/>
        <v>0</v>
      </c>
      <c r="AH81" s="408">
        <f t="shared" si="135"/>
        <v>0</v>
      </c>
      <c r="AI81" s="406">
        <f t="shared" si="38"/>
        <v>0</v>
      </c>
      <c r="AJ81" s="407">
        <f t="shared" si="38"/>
        <v>0</v>
      </c>
      <c r="AK81" s="408">
        <f t="shared" si="136"/>
        <v>0</v>
      </c>
      <c r="AL81" s="409"/>
      <c r="AM81" s="406">
        <f t="shared" si="39"/>
        <v>126600</v>
      </c>
      <c r="AN81" s="410">
        <f t="shared" si="39"/>
        <v>126600</v>
      </c>
      <c r="AO81" s="411">
        <f t="shared" si="137"/>
        <v>0</v>
      </c>
      <c r="AP81" s="406">
        <f t="shared" si="40"/>
        <v>126600</v>
      </c>
      <c r="AQ81" s="410">
        <f t="shared" si="40"/>
        <v>126600</v>
      </c>
      <c r="AR81" s="411">
        <f t="shared" si="138"/>
        <v>0</v>
      </c>
      <c r="AS81" s="412">
        <f t="shared" si="131"/>
        <v>126600</v>
      </c>
      <c r="AT81" s="410">
        <f t="shared" si="131"/>
        <v>126600</v>
      </c>
      <c r="AU81" s="411">
        <f t="shared" si="139"/>
        <v>0</v>
      </c>
      <c r="AV81" s="603">
        <f t="shared" si="140"/>
        <v>0</v>
      </c>
      <c r="AW81" s="413"/>
      <c r="AX81" s="1098"/>
      <c r="AY81" s="415"/>
      <c r="AZ81" s="1098"/>
      <c r="BA81" s="415">
        <v>126600</v>
      </c>
      <c r="BB81" s="1120">
        <v>126600</v>
      </c>
      <c r="BC81" s="417"/>
      <c r="BD81" s="418"/>
      <c r="BE81" s="419"/>
      <c r="BF81" s="418"/>
      <c r="BG81" s="419"/>
      <c r="BH81" s="420"/>
      <c r="BI81" s="421"/>
      <c r="BJ81" s="422"/>
      <c r="BK81" s="407"/>
      <c r="BL81" s="422"/>
      <c r="BM81" s="407"/>
      <c r="BN81" s="423"/>
      <c r="BO81" s="424"/>
      <c r="BP81" s="425"/>
      <c r="BQ81" s="426"/>
      <c r="BR81" s="425"/>
      <c r="BS81" s="426"/>
      <c r="BT81" s="427"/>
    </row>
    <row r="82" spans="1:72" s="399" customFormat="1" ht="38.25" customHeight="1" outlineLevel="2">
      <c r="A82" s="287">
        <v>72</v>
      </c>
      <c r="B82" s="933"/>
      <c r="C82" s="859"/>
      <c r="D82" s="841" t="s">
        <v>273</v>
      </c>
      <c r="E82" s="860"/>
      <c r="F82" s="829" t="s">
        <v>7</v>
      </c>
      <c r="G82" s="400">
        <v>4</v>
      </c>
      <c r="H82" s="747" t="s">
        <v>70</v>
      </c>
      <c r="I82" s="747">
        <v>244</v>
      </c>
      <c r="J82" s="748">
        <v>226</v>
      </c>
      <c r="K82" s="538" t="s">
        <v>646</v>
      </c>
      <c r="L82" s="1029">
        <v>53200</v>
      </c>
      <c r="M82" s="403"/>
      <c r="N82" s="403"/>
      <c r="O82" s="1063">
        <f t="shared" si="142"/>
        <v>53200</v>
      </c>
      <c r="P82" s="565"/>
      <c r="Q82" s="406"/>
      <c r="R82" s="565"/>
      <c r="S82" s="406"/>
      <c r="T82" s="565"/>
      <c r="U82" s="428"/>
      <c r="V82" s="597" t="s">
        <v>544</v>
      </c>
      <c r="W82" s="597" t="s">
        <v>647</v>
      </c>
      <c r="X82" s="597" t="s">
        <v>602</v>
      </c>
      <c r="Z82" s="406">
        <f t="shared" si="35"/>
        <v>53200</v>
      </c>
      <c r="AA82" s="407">
        <f t="shared" si="35"/>
        <v>53200</v>
      </c>
      <c r="AB82" s="408">
        <f t="shared" si="133"/>
        <v>0</v>
      </c>
      <c r="AC82" s="406">
        <f t="shared" si="36"/>
        <v>0</v>
      </c>
      <c r="AD82" s="407">
        <f t="shared" si="36"/>
        <v>0</v>
      </c>
      <c r="AE82" s="408">
        <f t="shared" si="134"/>
        <v>0</v>
      </c>
      <c r="AF82" s="406">
        <f t="shared" si="37"/>
        <v>0</v>
      </c>
      <c r="AG82" s="407">
        <f t="shared" si="37"/>
        <v>0</v>
      </c>
      <c r="AH82" s="408">
        <f t="shared" si="135"/>
        <v>0</v>
      </c>
      <c r="AI82" s="406">
        <f t="shared" si="38"/>
        <v>0</v>
      </c>
      <c r="AJ82" s="407">
        <f t="shared" si="38"/>
        <v>0</v>
      </c>
      <c r="AK82" s="408">
        <f t="shared" si="136"/>
        <v>0</v>
      </c>
      <c r="AL82" s="409"/>
      <c r="AM82" s="406">
        <f t="shared" si="39"/>
        <v>53200</v>
      </c>
      <c r="AN82" s="410">
        <f t="shared" si="39"/>
        <v>53200</v>
      </c>
      <c r="AO82" s="411">
        <f t="shared" si="137"/>
        <v>0</v>
      </c>
      <c r="AP82" s="406">
        <f t="shared" si="40"/>
        <v>53200</v>
      </c>
      <c r="AQ82" s="410">
        <f t="shared" si="40"/>
        <v>53200</v>
      </c>
      <c r="AR82" s="411">
        <f t="shared" si="138"/>
        <v>0</v>
      </c>
      <c r="AS82" s="412">
        <f t="shared" si="131"/>
        <v>53200</v>
      </c>
      <c r="AT82" s="410">
        <f t="shared" si="131"/>
        <v>53200</v>
      </c>
      <c r="AU82" s="411">
        <f t="shared" si="139"/>
        <v>0</v>
      </c>
      <c r="AV82" s="603">
        <f t="shared" si="140"/>
        <v>0</v>
      </c>
      <c r="AW82" s="413"/>
      <c r="AX82" s="1098"/>
      <c r="AY82" s="415"/>
      <c r="AZ82" s="1098"/>
      <c r="BA82" s="415">
        <v>53200</v>
      </c>
      <c r="BB82" s="1120">
        <v>53200</v>
      </c>
      <c r="BC82" s="417"/>
      <c r="BD82" s="418"/>
      <c r="BE82" s="419"/>
      <c r="BF82" s="418"/>
      <c r="BG82" s="419"/>
      <c r="BH82" s="420"/>
      <c r="BI82" s="421"/>
      <c r="BJ82" s="422"/>
      <c r="BK82" s="407"/>
      <c r="BL82" s="422"/>
      <c r="BM82" s="407"/>
      <c r="BN82" s="423"/>
      <c r="BO82" s="424"/>
      <c r="BP82" s="425"/>
      <c r="BQ82" s="426"/>
      <c r="BR82" s="425"/>
      <c r="BS82" s="426"/>
      <c r="BT82" s="427"/>
    </row>
    <row r="83" spans="1:72" s="399" customFormat="1" ht="38.25" customHeight="1" outlineLevel="2">
      <c r="A83" s="287">
        <v>73</v>
      </c>
      <c r="B83" s="933"/>
      <c r="C83" s="859"/>
      <c r="D83" s="841" t="s">
        <v>273</v>
      </c>
      <c r="E83" s="860"/>
      <c r="F83" s="829" t="s">
        <v>7</v>
      </c>
      <c r="G83" s="400">
        <v>4</v>
      </c>
      <c r="H83" s="747" t="s">
        <v>70</v>
      </c>
      <c r="I83" s="747">
        <v>244</v>
      </c>
      <c r="J83" s="748">
        <v>226</v>
      </c>
      <c r="K83" s="538" t="s">
        <v>545</v>
      </c>
      <c r="L83" s="1029">
        <v>95800</v>
      </c>
      <c r="M83" s="403"/>
      <c r="N83" s="403"/>
      <c r="O83" s="1063">
        <f t="shared" si="142"/>
        <v>95800</v>
      </c>
      <c r="P83" s="565"/>
      <c r="Q83" s="406"/>
      <c r="R83" s="565"/>
      <c r="S83" s="406"/>
      <c r="T83" s="565"/>
      <c r="U83" s="428"/>
      <c r="V83" s="597" t="s">
        <v>659</v>
      </c>
      <c r="W83" s="597" t="s">
        <v>658</v>
      </c>
      <c r="X83" s="597" t="s">
        <v>660</v>
      </c>
      <c r="Z83" s="406">
        <f t="shared" si="35"/>
        <v>95800</v>
      </c>
      <c r="AA83" s="407">
        <f t="shared" si="35"/>
        <v>95800</v>
      </c>
      <c r="AB83" s="408">
        <f t="shared" si="133"/>
        <v>0</v>
      </c>
      <c r="AC83" s="406">
        <f t="shared" si="36"/>
        <v>0</v>
      </c>
      <c r="AD83" s="407">
        <f t="shared" si="36"/>
        <v>0</v>
      </c>
      <c r="AE83" s="408">
        <f t="shared" si="134"/>
        <v>0</v>
      </c>
      <c r="AF83" s="406">
        <f t="shared" si="37"/>
        <v>0</v>
      </c>
      <c r="AG83" s="407">
        <f t="shared" si="37"/>
        <v>0</v>
      </c>
      <c r="AH83" s="408">
        <f t="shared" si="135"/>
        <v>0</v>
      </c>
      <c r="AI83" s="406">
        <f t="shared" si="38"/>
        <v>0</v>
      </c>
      <c r="AJ83" s="407">
        <f t="shared" si="38"/>
        <v>0</v>
      </c>
      <c r="AK83" s="408">
        <f t="shared" si="136"/>
        <v>0</v>
      </c>
      <c r="AL83" s="409"/>
      <c r="AM83" s="406">
        <f t="shared" si="39"/>
        <v>95800</v>
      </c>
      <c r="AN83" s="410">
        <f t="shared" si="39"/>
        <v>95800</v>
      </c>
      <c r="AO83" s="411">
        <f t="shared" si="137"/>
        <v>0</v>
      </c>
      <c r="AP83" s="406">
        <f t="shared" si="40"/>
        <v>95800</v>
      </c>
      <c r="AQ83" s="410">
        <f t="shared" si="40"/>
        <v>95800</v>
      </c>
      <c r="AR83" s="411">
        <f t="shared" si="138"/>
        <v>0</v>
      </c>
      <c r="AS83" s="412">
        <f t="shared" si="131"/>
        <v>95800</v>
      </c>
      <c r="AT83" s="410">
        <f t="shared" si="131"/>
        <v>95800</v>
      </c>
      <c r="AU83" s="411">
        <f t="shared" si="139"/>
        <v>0</v>
      </c>
      <c r="AV83" s="603">
        <f t="shared" si="140"/>
        <v>0</v>
      </c>
      <c r="AW83" s="413"/>
      <c r="AX83" s="1098"/>
      <c r="AY83" s="415"/>
      <c r="AZ83" s="1098"/>
      <c r="BA83" s="415">
        <v>95800</v>
      </c>
      <c r="BB83" s="1120">
        <v>95800</v>
      </c>
      <c r="BC83" s="417"/>
      <c r="BD83" s="418"/>
      <c r="BE83" s="419"/>
      <c r="BF83" s="418"/>
      <c r="BG83" s="419"/>
      <c r="BH83" s="420"/>
      <c r="BI83" s="421"/>
      <c r="BJ83" s="422"/>
      <c r="BK83" s="407"/>
      <c r="BL83" s="422"/>
      <c r="BM83" s="407"/>
      <c r="BN83" s="423"/>
      <c r="BO83" s="424"/>
      <c r="BP83" s="425"/>
      <c r="BQ83" s="426"/>
      <c r="BR83" s="425"/>
      <c r="BS83" s="426"/>
      <c r="BT83" s="427"/>
    </row>
    <row r="84" spans="1:72" s="399" customFormat="1" ht="38.25" customHeight="1" outlineLevel="2">
      <c r="A84" s="287">
        <v>74</v>
      </c>
      <c r="B84" s="933"/>
      <c r="C84" s="859"/>
      <c r="D84" s="841" t="s">
        <v>273</v>
      </c>
      <c r="E84" s="860"/>
      <c r="F84" s="829" t="s">
        <v>7</v>
      </c>
      <c r="G84" s="400">
        <v>4</v>
      </c>
      <c r="H84" s="747" t="s">
        <v>70</v>
      </c>
      <c r="I84" s="747">
        <v>244</v>
      </c>
      <c r="J84" s="748">
        <v>226</v>
      </c>
      <c r="K84" s="538" t="s">
        <v>552</v>
      </c>
      <c r="L84" s="1029">
        <v>28188.83</v>
      </c>
      <c r="M84" s="403"/>
      <c r="N84" s="403"/>
      <c r="O84" s="1063">
        <f t="shared" si="142"/>
        <v>28188.83</v>
      </c>
      <c r="P84" s="565"/>
      <c r="Q84" s="406"/>
      <c r="R84" s="565"/>
      <c r="S84" s="406"/>
      <c r="T84" s="565"/>
      <c r="U84" s="428"/>
      <c r="V84" s="597" t="s">
        <v>553</v>
      </c>
      <c r="W84" s="597" t="s">
        <v>661</v>
      </c>
      <c r="X84" s="597" t="s">
        <v>657</v>
      </c>
      <c r="Z84" s="406">
        <f t="shared" si="35"/>
        <v>28188.83</v>
      </c>
      <c r="AA84" s="407">
        <f t="shared" si="35"/>
        <v>28188.83</v>
      </c>
      <c r="AB84" s="408">
        <f t="shared" si="133"/>
        <v>0</v>
      </c>
      <c r="AC84" s="406">
        <f t="shared" si="36"/>
        <v>0</v>
      </c>
      <c r="AD84" s="407">
        <f t="shared" si="36"/>
        <v>0</v>
      </c>
      <c r="AE84" s="408">
        <f t="shared" si="134"/>
        <v>0</v>
      </c>
      <c r="AF84" s="406">
        <f t="shared" si="37"/>
        <v>0</v>
      </c>
      <c r="AG84" s="407">
        <f t="shared" si="37"/>
        <v>0</v>
      </c>
      <c r="AH84" s="408">
        <f t="shared" si="135"/>
        <v>0</v>
      </c>
      <c r="AI84" s="406">
        <f t="shared" si="38"/>
        <v>0</v>
      </c>
      <c r="AJ84" s="407">
        <f t="shared" si="38"/>
        <v>0</v>
      </c>
      <c r="AK84" s="408">
        <f t="shared" si="136"/>
        <v>0</v>
      </c>
      <c r="AL84" s="409"/>
      <c r="AM84" s="406">
        <f t="shared" si="39"/>
        <v>28188.83</v>
      </c>
      <c r="AN84" s="410">
        <f t="shared" si="39"/>
        <v>28188.83</v>
      </c>
      <c r="AO84" s="411">
        <f t="shared" si="137"/>
        <v>0</v>
      </c>
      <c r="AP84" s="406">
        <f t="shared" si="40"/>
        <v>28188.83</v>
      </c>
      <c r="AQ84" s="410">
        <f t="shared" si="40"/>
        <v>28188.83</v>
      </c>
      <c r="AR84" s="411">
        <f t="shared" si="138"/>
        <v>0</v>
      </c>
      <c r="AS84" s="412">
        <f t="shared" si="131"/>
        <v>28188.83</v>
      </c>
      <c r="AT84" s="410">
        <f t="shared" si="131"/>
        <v>28188.83</v>
      </c>
      <c r="AU84" s="411">
        <f t="shared" si="139"/>
        <v>0</v>
      </c>
      <c r="AV84" s="603">
        <f t="shared" si="140"/>
        <v>0</v>
      </c>
      <c r="AW84" s="413"/>
      <c r="AX84" s="1098"/>
      <c r="AY84" s="415"/>
      <c r="AZ84" s="1098"/>
      <c r="BA84" s="415">
        <v>28188.83</v>
      </c>
      <c r="BB84" s="1120">
        <v>28188.83</v>
      </c>
      <c r="BC84" s="417"/>
      <c r="BD84" s="418"/>
      <c r="BE84" s="419"/>
      <c r="BF84" s="418"/>
      <c r="BG84" s="419"/>
      <c r="BH84" s="420"/>
      <c r="BI84" s="421"/>
      <c r="BJ84" s="422"/>
      <c r="BK84" s="407"/>
      <c r="BL84" s="422"/>
      <c r="BM84" s="407"/>
      <c r="BN84" s="423"/>
      <c r="BO84" s="424"/>
      <c r="BP84" s="425"/>
      <c r="BQ84" s="426"/>
      <c r="BR84" s="425"/>
      <c r="BS84" s="426"/>
      <c r="BT84" s="427"/>
    </row>
    <row r="85" spans="1:72" s="430" customFormat="1" ht="25.5" customHeight="1" outlineLevel="2">
      <c r="A85" s="287">
        <v>75</v>
      </c>
      <c r="B85" s="933"/>
      <c r="C85" s="743"/>
      <c r="D85" s="856" t="s">
        <v>273</v>
      </c>
      <c r="E85" s="857"/>
      <c r="F85" s="827" t="s">
        <v>7</v>
      </c>
      <c r="G85" s="431">
        <v>4</v>
      </c>
      <c r="H85" s="474" t="s">
        <v>70</v>
      </c>
      <c r="I85" s="743">
        <v>244</v>
      </c>
      <c r="J85" s="744">
        <v>226</v>
      </c>
      <c r="K85" s="536" t="s">
        <v>284</v>
      </c>
      <c r="L85" s="1030"/>
      <c r="M85" s="434"/>
      <c r="N85" s="434"/>
      <c r="O85" s="1064">
        <f t="shared" si="142"/>
        <v>0</v>
      </c>
      <c r="P85" s="563"/>
      <c r="Q85" s="437"/>
      <c r="R85" s="563"/>
      <c r="S85" s="437"/>
      <c r="T85" s="563"/>
      <c r="U85" s="467"/>
      <c r="V85" s="436"/>
      <c r="W85" s="436"/>
      <c r="X85" s="436"/>
      <c r="Z85" s="437">
        <f t="shared" si="35"/>
        <v>0</v>
      </c>
      <c r="AA85" s="438">
        <f t="shared" si="35"/>
        <v>0</v>
      </c>
      <c r="AB85" s="439">
        <f t="shared" si="133"/>
        <v>0</v>
      </c>
      <c r="AC85" s="437">
        <f t="shared" si="36"/>
        <v>0</v>
      </c>
      <c r="AD85" s="438">
        <f t="shared" si="36"/>
        <v>0</v>
      </c>
      <c r="AE85" s="439">
        <f t="shared" si="134"/>
        <v>0</v>
      </c>
      <c r="AF85" s="437">
        <f t="shared" si="37"/>
        <v>0</v>
      </c>
      <c r="AG85" s="438">
        <f t="shared" si="37"/>
        <v>0</v>
      </c>
      <c r="AH85" s="439">
        <f t="shared" si="135"/>
        <v>0</v>
      </c>
      <c r="AI85" s="437">
        <f t="shared" si="38"/>
        <v>0</v>
      </c>
      <c r="AJ85" s="438">
        <f t="shared" si="38"/>
        <v>0</v>
      </c>
      <c r="AK85" s="439">
        <f t="shared" si="136"/>
        <v>0</v>
      </c>
      <c r="AL85" s="440"/>
      <c r="AM85" s="437">
        <f t="shared" si="39"/>
        <v>0</v>
      </c>
      <c r="AN85" s="441">
        <f t="shared" si="39"/>
        <v>0</v>
      </c>
      <c r="AO85" s="442">
        <f t="shared" si="137"/>
        <v>0</v>
      </c>
      <c r="AP85" s="437">
        <f t="shared" si="40"/>
        <v>0</v>
      </c>
      <c r="AQ85" s="441">
        <f t="shared" si="40"/>
        <v>0</v>
      </c>
      <c r="AR85" s="442">
        <f t="shared" si="138"/>
        <v>0</v>
      </c>
      <c r="AS85" s="443">
        <f t="shared" si="131"/>
        <v>0</v>
      </c>
      <c r="AT85" s="441">
        <f t="shared" si="131"/>
        <v>0</v>
      </c>
      <c r="AU85" s="442">
        <f t="shared" si="139"/>
        <v>0</v>
      </c>
      <c r="AV85" s="601">
        <f t="shared" si="140"/>
        <v>0</v>
      </c>
      <c r="AW85" s="444"/>
      <c r="AX85" s="1111"/>
      <c r="AY85" s="446"/>
      <c r="AZ85" s="1111"/>
      <c r="BA85" s="446"/>
      <c r="BB85" s="1129"/>
      <c r="BC85" s="448"/>
      <c r="BD85" s="449"/>
      <c r="BE85" s="450"/>
      <c r="BF85" s="449"/>
      <c r="BG85" s="450"/>
      <c r="BH85" s="451"/>
      <c r="BI85" s="452"/>
      <c r="BJ85" s="453"/>
      <c r="BK85" s="438"/>
      <c r="BL85" s="453"/>
      <c r="BM85" s="438"/>
      <c r="BN85" s="454"/>
      <c r="BO85" s="455"/>
      <c r="BP85" s="456"/>
      <c r="BQ85" s="457"/>
      <c r="BR85" s="456"/>
      <c r="BS85" s="457"/>
      <c r="BT85" s="458"/>
    </row>
    <row r="86" spans="1:72" s="459" customFormat="1" ht="66.75" outlineLevel="1">
      <c r="A86" s="287">
        <v>76</v>
      </c>
      <c r="B86" s="933"/>
      <c r="C86" s="850" t="s">
        <v>378</v>
      </c>
      <c r="D86" s="854" t="s">
        <v>807</v>
      </c>
      <c r="E86" s="855"/>
      <c r="F86" s="826" t="s">
        <v>7</v>
      </c>
      <c r="G86" s="462">
        <v>4</v>
      </c>
      <c r="H86" s="741" t="s">
        <v>70</v>
      </c>
      <c r="I86" s="741">
        <v>244</v>
      </c>
      <c r="J86" s="742">
        <v>226</v>
      </c>
      <c r="K86" s="907" t="s">
        <v>687</v>
      </c>
      <c r="L86" s="1028">
        <v>559569.35</v>
      </c>
      <c r="M86" s="352"/>
      <c r="N86" s="352">
        <f>SUM(N87:N94)</f>
        <v>0</v>
      </c>
      <c r="O86" s="1062">
        <f t="shared" si="142"/>
        <v>559569.35</v>
      </c>
      <c r="P86" s="561"/>
      <c r="Q86" s="464">
        <f>Q87</f>
        <v>2256788.4500000002</v>
      </c>
      <c r="R86" s="561"/>
      <c r="S86" s="464">
        <f>S87</f>
        <v>2150208.7400000002</v>
      </c>
      <c r="T86" s="561"/>
      <c r="U86" s="393"/>
      <c r="V86" s="394"/>
      <c r="W86" s="394"/>
      <c r="X86" s="394"/>
      <c r="Y86" s="392"/>
      <c r="Z86" s="395">
        <f t="shared" si="35"/>
        <v>0</v>
      </c>
      <c r="AA86" s="396">
        <f t="shared" si="35"/>
        <v>0</v>
      </c>
      <c r="AB86" s="397">
        <f t="shared" si="133"/>
        <v>0</v>
      </c>
      <c r="AC86" s="395">
        <f t="shared" si="36"/>
        <v>559569.35</v>
      </c>
      <c r="AD86" s="396">
        <f t="shared" si="36"/>
        <v>0</v>
      </c>
      <c r="AE86" s="397">
        <f t="shared" si="134"/>
        <v>559569.35</v>
      </c>
      <c r="AF86" s="395">
        <f t="shared" si="37"/>
        <v>0</v>
      </c>
      <c r="AG86" s="396">
        <f t="shared" si="37"/>
        <v>0</v>
      </c>
      <c r="AH86" s="397">
        <f t="shared" si="135"/>
        <v>0</v>
      </c>
      <c r="AI86" s="395">
        <f t="shared" si="38"/>
        <v>0</v>
      </c>
      <c r="AJ86" s="396">
        <f t="shared" si="38"/>
        <v>0</v>
      </c>
      <c r="AK86" s="397">
        <f t="shared" si="136"/>
        <v>0</v>
      </c>
      <c r="AL86" s="398"/>
      <c r="AM86" s="464">
        <f t="shared" si="39"/>
        <v>559569.35</v>
      </c>
      <c r="AN86" s="352">
        <f t="shared" si="39"/>
        <v>0</v>
      </c>
      <c r="AO86" s="465">
        <f t="shared" si="137"/>
        <v>559569.35</v>
      </c>
      <c r="AP86" s="464">
        <f t="shared" si="40"/>
        <v>559569.35</v>
      </c>
      <c r="AQ86" s="352">
        <f t="shared" si="40"/>
        <v>0</v>
      </c>
      <c r="AR86" s="465">
        <f t="shared" si="138"/>
        <v>559569.35</v>
      </c>
      <c r="AS86" s="464">
        <f t="shared" si="131"/>
        <v>559569.35</v>
      </c>
      <c r="AT86" s="352">
        <f t="shared" si="131"/>
        <v>0</v>
      </c>
      <c r="AU86" s="465">
        <f t="shared" si="139"/>
        <v>559569.35</v>
      </c>
      <c r="AV86" s="600">
        <f t="shared" si="140"/>
        <v>0</v>
      </c>
      <c r="AW86" s="464">
        <f t="shared" ref="AW86:BT86" si="143">SUM(AW87:AW94)</f>
        <v>0</v>
      </c>
      <c r="AX86" s="1110">
        <f t="shared" si="143"/>
        <v>0</v>
      </c>
      <c r="AY86" s="352">
        <f t="shared" si="143"/>
        <v>0</v>
      </c>
      <c r="AZ86" s="1110">
        <f t="shared" si="143"/>
        <v>0</v>
      </c>
      <c r="BA86" s="352">
        <f t="shared" si="143"/>
        <v>0</v>
      </c>
      <c r="BB86" s="1128">
        <f t="shared" si="143"/>
        <v>0</v>
      </c>
      <c r="BC86" s="464">
        <f t="shared" si="143"/>
        <v>25300</v>
      </c>
      <c r="BD86" s="352">
        <f t="shared" si="143"/>
        <v>0</v>
      </c>
      <c r="BE86" s="352">
        <f t="shared" si="143"/>
        <v>0</v>
      </c>
      <c r="BF86" s="352">
        <f t="shared" si="143"/>
        <v>0</v>
      </c>
      <c r="BG86" s="352">
        <f t="shared" si="143"/>
        <v>534269.35</v>
      </c>
      <c r="BH86" s="353">
        <f t="shared" si="143"/>
        <v>0</v>
      </c>
      <c r="BI86" s="464">
        <f t="shared" si="143"/>
        <v>0</v>
      </c>
      <c r="BJ86" s="352">
        <f t="shared" si="143"/>
        <v>0</v>
      </c>
      <c r="BK86" s="352">
        <f t="shared" si="143"/>
        <v>0</v>
      </c>
      <c r="BL86" s="352">
        <f t="shared" si="143"/>
        <v>0</v>
      </c>
      <c r="BM86" s="352">
        <f t="shared" si="143"/>
        <v>0</v>
      </c>
      <c r="BN86" s="353">
        <f t="shared" si="143"/>
        <v>0</v>
      </c>
      <c r="BO86" s="464">
        <f t="shared" si="143"/>
        <v>0</v>
      </c>
      <c r="BP86" s="352">
        <f t="shared" si="143"/>
        <v>0</v>
      </c>
      <c r="BQ86" s="352">
        <f t="shared" si="143"/>
        <v>0</v>
      </c>
      <c r="BR86" s="352">
        <f t="shared" si="143"/>
        <v>0</v>
      </c>
      <c r="BS86" s="352">
        <f t="shared" si="143"/>
        <v>0</v>
      </c>
      <c r="BT86" s="465">
        <f t="shared" si="143"/>
        <v>0</v>
      </c>
    </row>
    <row r="87" spans="1:72" s="313" customFormat="1" ht="38.25" customHeight="1" outlineLevel="2">
      <c r="A87" s="287">
        <v>77</v>
      </c>
      <c r="B87" s="933"/>
      <c r="C87" s="840"/>
      <c r="D87" s="841" t="s">
        <v>807</v>
      </c>
      <c r="E87" s="839"/>
      <c r="F87" s="821" t="s">
        <v>7</v>
      </c>
      <c r="G87" s="314">
        <v>4</v>
      </c>
      <c r="H87" s="739" t="s">
        <v>70</v>
      </c>
      <c r="I87" s="739">
        <v>244</v>
      </c>
      <c r="J87" s="740">
        <v>226</v>
      </c>
      <c r="K87" s="533" t="s">
        <v>285</v>
      </c>
      <c r="L87" s="1031">
        <v>0</v>
      </c>
      <c r="M87" s="318"/>
      <c r="N87" s="318"/>
      <c r="O87" s="1052">
        <f t="shared" si="142"/>
        <v>0</v>
      </c>
      <c r="P87" s="562"/>
      <c r="Q87" s="336">
        <v>2256788.4500000002</v>
      </c>
      <c r="R87" s="562"/>
      <c r="S87" s="336">
        <v>2150208.7400000002</v>
      </c>
      <c r="T87" s="562"/>
      <c r="U87" s="466"/>
      <c r="V87" s="320"/>
      <c r="W87" s="320"/>
      <c r="X87" s="320"/>
      <c r="Z87" s="336">
        <f t="shared" si="35"/>
        <v>0</v>
      </c>
      <c r="AA87" s="337">
        <f t="shared" si="35"/>
        <v>0</v>
      </c>
      <c r="AB87" s="338">
        <f t="shared" si="133"/>
        <v>0</v>
      </c>
      <c r="AC87" s="336">
        <f t="shared" si="36"/>
        <v>0</v>
      </c>
      <c r="AD87" s="337">
        <f t="shared" si="36"/>
        <v>0</v>
      </c>
      <c r="AE87" s="338">
        <f t="shared" si="134"/>
        <v>0</v>
      </c>
      <c r="AF87" s="336">
        <f t="shared" si="37"/>
        <v>0</v>
      </c>
      <c r="AG87" s="337">
        <f t="shared" si="37"/>
        <v>0</v>
      </c>
      <c r="AH87" s="338">
        <f t="shared" si="135"/>
        <v>0</v>
      </c>
      <c r="AI87" s="336">
        <f t="shared" si="38"/>
        <v>0</v>
      </c>
      <c r="AJ87" s="337">
        <f t="shared" si="38"/>
        <v>0</v>
      </c>
      <c r="AK87" s="338">
        <f t="shared" si="136"/>
        <v>0</v>
      </c>
      <c r="AL87" s="342"/>
      <c r="AM87" s="336">
        <f t="shared" si="39"/>
        <v>0</v>
      </c>
      <c r="AN87" s="339">
        <f t="shared" si="39"/>
        <v>0</v>
      </c>
      <c r="AO87" s="340">
        <f t="shared" si="137"/>
        <v>0</v>
      </c>
      <c r="AP87" s="336">
        <f t="shared" si="40"/>
        <v>0</v>
      </c>
      <c r="AQ87" s="339">
        <f t="shared" si="40"/>
        <v>0</v>
      </c>
      <c r="AR87" s="340">
        <f t="shared" si="138"/>
        <v>0</v>
      </c>
      <c r="AS87" s="341">
        <f t="shared" si="131"/>
        <v>0</v>
      </c>
      <c r="AT87" s="339">
        <f t="shared" si="131"/>
        <v>0</v>
      </c>
      <c r="AU87" s="340">
        <f t="shared" si="139"/>
        <v>0</v>
      </c>
      <c r="AV87" s="589">
        <f t="shared" si="140"/>
        <v>0</v>
      </c>
      <c r="AW87" s="343"/>
      <c r="AX87" s="1098"/>
      <c r="AY87" s="345"/>
      <c r="AZ87" s="1098"/>
      <c r="BA87" s="345"/>
      <c r="BB87" s="1120"/>
      <c r="BC87" s="347"/>
      <c r="BD87" s="348"/>
      <c r="BE87" s="349"/>
      <c r="BF87" s="348"/>
      <c r="BG87" s="349"/>
      <c r="BH87" s="350"/>
      <c r="BI87" s="351"/>
      <c r="BJ87" s="352"/>
      <c r="BK87" s="337"/>
      <c r="BL87" s="352"/>
      <c r="BM87" s="337"/>
      <c r="BN87" s="353"/>
      <c r="BO87" s="354"/>
      <c r="BP87" s="355"/>
      <c r="BQ87" s="356"/>
      <c r="BR87" s="355"/>
      <c r="BS87" s="356"/>
      <c r="BT87" s="357"/>
    </row>
    <row r="88" spans="1:72" s="313" customFormat="1" ht="38.25" customHeight="1" outlineLevel="2">
      <c r="A88" s="287">
        <v>77</v>
      </c>
      <c r="B88" s="933"/>
      <c r="C88" s="840"/>
      <c r="D88" s="841" t="s">
        <v>807</v>
      </c>
      <c r="E88" s="839"/>
      <c r="F88" s="821" t="s">
        <v>7</v>
      </c>
      <c r="G88" s="314">
        <v>4</v>
      </c>
      <c r="H88" s="739" t="s">
        <v>70</v>
      </c>
      <c r="I88" s="739">
        <v>244</v>
      </c>
      <c r="J88" s="740">
        <v>226</v>
      </c>
      <c r="K88" s="538" t="s">
        <v>780</v>
      </c>
      <c r="L88" s="1029">
        <v>285966</v>
      </c>
      <c r="M88" s="318"/>
      <c r="N88" s="318"/>
      <c r="O88" s="1063">
        <f t="shared" si="142"/>
        <v>285966</v>
      </c>
      <c r="P88" s="562"/>
      <c r="Q88" s="336"/>
      <c r="R88" s="562"/>
      <c r="S88" s="336"/>
      <c r="T88" s="562"/>
      <c r="U88" s="466"/>
      <c r="V88" s="597" t="s">
        <v>776</v>
      </c>
      <c r="W88" s="597" t="s">
        <v>810</v>
      </c>
      <c r="X88" s="597" t="s">
        <v>809</v>
      </c>
      <c r="Z88" s="336">
        <f t="shared" si="35"/>
        <v>0</v>
      </c>
      <c r="AA88" s="337">
        <f t="shared" si="35"/>
        <v>0</v>
      </c>
      <c r="AB88" s="338">
        <f t="shared" si="133"/>
        <v>0</v>
      </c>
      <c r="AC88" s="336">
        <f t="shared" si="36"/>
        <v>285966</v>
      </c>
      <c r="AD88" s="337">
        <f t="shared" si="36"/>
        <v>0</v>
      </c>
      <c r="AE88" s="338">
        <f t="shared" si="134"/>
        <v>285966</v>
      </c>
      <c r="AF88" s="336">
        <f t="shared" si="37"/>
        <v>0</v>
      </c>
      <c r="AG88" s="337">
        <f t="shared" si="37"/>
        <v>0</v>
      </c>
      <c r="AH88" s="338">
        <f t="shared" si="135"/>
        <v>0</v>
      </c>
      <c r="AI88" s="336">
        <f t="shared" si="38"/>
        <v>0</v>
      </c>
      <c r="AJ88" s="337">
        <f t="shared" si="38"/>
        <v>0</v>
      </c>
      <c r="AK88" s="338">
        <f t="shared" si="136"/>
        <v>0</v>
      </c>
      <c r="AL88" s="342"/>
      <c r="AM88" s="336">
        <f t="shared" si="39"/>
        <v>285966</v>
      </c>
      <c r="AN88" s="339">
        <f t="shared" si="39"/>
        <v>0</v>
      </c>
      <c r="AO88" s="340">
        <f t="shared" si="137"/>
        <v>285966</v>
      </c>
      <c r="AP88" s="336">
        <f t="shared" si="40"/>
        <v>285966</v>
      </c>
      <c r="AQ88" s="339">
        <f t="shared" si="40"/>
        <v>0</v>
      </c>
      <c r="AR88" s="340">
        <f t="shared" si="138"/>
        <v>285966</v>
      </c>
      <c r="AS88" s="341">
        <f t="shared" si="131"/>
        <v>285966</v>
      </c>
      <c r="AT88" s="339">
        <f t="shared" si="131"/>
        <v>0</v>
      </c>
      <c r="AU88" s="340">
        <f t="shared" si="139"/>
        <v>285966</v>
      </c>
      <c r="AV88" s="589">
        <f t="shared" si="140"/>
        <v>0</v>
      </c>
      <c r="AW88" s="343"/>
      <c r="AX88" s="1098"/>
      <c r="AY88" s="345"/>
      <c r="AZ88" s="1098"/>
      <c r="BA88" s="345"/>
      <c r="BB88" s="1120"/>
      <c r="BC88" s="347"/>
      <c r="BD88" s="348"/>
      <c r="BE88" s="349"/>
      <c r="BF88" s="348"/>
      <c r="BG88" s="349">
        <f>288966-3000</f>
        <v>285966</v>
      </c>
      <c r="BH88" s="350"/>
      <c r="BI88" s="351"/>
      <c r="BJ88" s="352"/>
      <c r="BK88" s="337"/>
      <c r="BL88" s="352"/>
      <c r="BM88" s="337"/>
      <c r="BN88" s="353"/>
      <c r="BO88" s="354"/>
      <c r="BP88" s="355"/>
      <c r="BQ88" s="356"/>
      <c r="BR88" s="355"/>
      <c r="BS88" s="356"/>
      <c r="BT88" s="357"/>
    </row>
    <row r="89" spans="1:72" s="313" customFormat="1" ht="38.25" customHeight="1" outlineLevel="2">
      <c r="A89" s="287">
        <v>77</v>
      </c>
      <c r="B89" s="933"/>
      <c r="C89" s="840"/>
      <c r="D89" s="841" t="s">
        <v>807</v>
      </c>
      <c r="E89" s="839"/>
      <c r="F89" s="821" t="s">
        <v>7</v>
      </c>
      <c r="G89" s="314">
        <v>4</v>
      </c>
      <c r="H89" s="739" t="s">
        <v>70</v>
      </c>
      <c r="I89" s="739">
        <v>244</v>
      </c>
      <c r="J89" s="740">
        <v>226</v>
      </c>
      <c r="K89" s="538" t="s">
        <v>774</v>
      </c>
      <c r="L89" s="1029">
        <v>248303.35</v>
      </c>
      <c r="M89" s="318"/>
      <c r="N89" s="318"/>
      <c r="O89" s="1063">
        <f t="shared" ref="O89" si="144">L89+N89</f>
        <v>248303.35</v>
      </c>
      <c r="P89" s="562"/>
      <c r="Q89" s="336"/>
      <c r="R89" s="562"/>
      <c r="S89" s="336"/>
      <c r="T89" s="562"/>
      <c r="U89" s="466"/>
      <c r="V89" s="597" t="s">
        <v>777</v>
      </c>
      <c r="W89" s="597" t="s">
        <v>808</v>
      </c>
      <c r="X89" s="597" t="s">
        <v>809</v>
      </c>
      <c r="Z89" s="336">
        <f t="shared" ref="Z89" si="145">AW89+AY89+BA89</f>
        <v>0</v>
      </c>
      <c r="AA89" s="337">
        <f t="shared" ref="AA89" si="146">AX89+AZ89+BB89</f>
        <v>0</v>
      </c>
      <c r="AB89" s="338">
        <f t="shared" ref="AB89" si="147">Z89-AA89</f>
        <v>0</v>
      </c>
      <c r="AC89" s="336">
        <f t="shared" ref="AC89" si="148">BC89+BE89+BG89</f>
        <v>248303.35</v>
      </c>
      <c r="AD89" s="337">
        <f t="shared" ref="AD89" si="149">BD89+BF89+BH89</f>
        <v>0</v>
      </c>
      <c r="AE89" s="338">
        <f t="shared" ref="AE89" si="150">AC89-AD89</f>
        <v>248303.35</v>
      </c>
      <c r="AF89" s="336">
        <f t="shared" ref="AF89" si="151">BI89+BK89+BM89</f>
        <v>0</v>
      </c>
      <c r="AG89" s="337">
        <f t="shared" ref="AG89" si="152">BJ89+BL89+BN89</f>
        <v>0</v>
      </c>
      <c r="AH89" s="338">
        <f t="shared" ref="AH89" si="153">AF89-AG89</f>
        <v>0</v>
      </c>
      <c r="AI89" s="336">
        <f t="shared" ref="AI89" si="154">BO89+BQ89+BS89</f>
        <v>0</v>
      </c>
      <c r="AJ89" s="337">
        <f t="shared" ref="AJ89" si="155">BP89+BR89+BT89</f>
        <v>0</v>
      </c>
      <c r="AK89" s="338">
        <f t="shared" ref="AK89" si="156">AI89-AJ89</f>
        <v>0</v>
      </c>
      <c r="AL89" s="342"/>
      <c r="AM89" s="336">
        <f t="shared" ref="AM89" si="157">Z89+AC89</f>
        <v>248303.35</v>
      </c>
      <c r="AN89" s="339">
        <f t="shared" ref="AN89" si="158">AA89+AD89</f>
        <v>0</v>
      </c>
      <c r="AO89" s="340">
        <f t="shared" ref="AO89" si="159">AM89-AN89</f>
        <v>248303.35</v>
      </c>
      <c r="AP89" s="336">
        <f t="shared" ref="AP89" si="160">Z89+AC89+AF89</f>
        <v>248303.35</v>
      </c>
      <c r="AQ89" s="339">
        <f t="shared" ref="AQ89" si="161">AA89+AD89+AG89</f>
        <v>0</v>
      </c>
      <c r="AR89" s="340">
        <f t="shared" ref="AR89" si="162">AP89-AQ89</f>
        <v>248303.35</v>
      </c>
      <c r="AS89" s="341">
        <f t="shared" ref="AS89" si="163">Z89+AC89+AF89+AI89</f>
        <v>248303.35</v>
      </c>
      <c r="AT89" s="339">
        <f t="shared" ref="AT89" si="164">AA89+AD89+AG89+AJ89</f>
        <v>0</v>
      </c>
      <c r="AU89" s="340">
        <f t="shared" ref="AU89" si="165">AS89-AT89</f>
        <v>248303.35</v>
      </c>
      <c r="AV89" s="589">
        <f t="shared" ref="AV89" si="166">L89-AS89</f>
        <v>0</v>
      </c>
      <c r="AW89" s="343"/>
      <c r="AX89" s="1098"/>
      <c r="AY89" s="345"/>
      <c r="AZ89" s="1098"/>
      <c r="BA89" s="345"/>
      <c r="BB89" s="1120"/>
      <c r="BC89" s="347"/>
      <c r="BD89" s="348"/>
      <c r="BE89" s="349"/>
      <c r="BF89" s="348"/>
      <c r="BG89" s="349">
        <v>248303.35</v>
      </c>
      <c r="BH89" s="350"/>
      <c r="BI89" s="351"/>
      <c r="BJ89" s="352"/>
      <c r="BK89" s="337"/>
      <c r="BL89" s="352"/>
      <c r="BM89" s="337"/>
      <c r="BN89" s="353"/>
      <c r="BO89" s="354"/>
      <c r="BP89" s="355"/>
      <c r="BQ89" s="356"/>
      <c r="BR89" s="355"/>
      <c r="BS89" s="356"/>
      <c r="BT89" s="357"/>
    </row>
    <row r="90" spans="1:72" s="313" customFormat="1" ht="25.5" customHeight="1" outlineLevel="2">
      <c r="A90" s="287">
        <v>78</v>
      </c>
      <c r="B90" s="933"/>
      <c r="C90" s="840"/>
      <c r="D90" s="841" t="s">
        <v>807</v>
      </c>
      <c r="E90" s="839"/>
      <c r="F90" s="821" t="s">
        <v>7</v>
      </c>
      <c r="G90" s="314">
        <v>4</v>
      </c>
      <c r="H90" s="739" t="s">
        <v>70</v>
      </c>
      <c r="I90" s="739">
        <v>244</v>
      </c>
      <c r="J90" s="740">
        <v>226</v>
      </c>
      <c r="K90" s="533" t="s">
        <v>286</v>
      </c>
      <c r="L90" s="1031">
        <v>0</v>
      </c>
      <c r="M90" s="318"/>
      <c r="N90" s="318"/>
      <c r="O90" s="1052">
        <f t="shared" si="142"/>
        <v>0</v>
      </c>
      <c r="P90" s="562"/>
      <c r="Q90" s="336"/>
      <c r="R90" s="562"/>
      <c r="S90" s="336"/>
      <c r="T90" s="562"/>
      <c r="U90" s="466"/>
      <c r="V90" s="320"/>
      <c r="W90" s="320"/>
      <c r="X90" s="320"/>
      <c r="Z90" s="336">
        <f t="shared" si="35"/>
        <v>0</v>
      </c>
      <c r="AA90" s="337">
        <f t="shared" si="35"/>
        <v>0</v>
      </c>
      <c r="AB90" s="338">
        <f t="shared" si="133"/>
        <v>0</v>
      </c>
      <c r="AC90" s="336">
        <f t="shared" si="36"/>
        <v>0</v>
      </c>
      <c r="AD90" s="337">
        <f t="shared" si="36"/>
        <v>0</v>
      </c>
      <c r="AE90" s="338">
        <f t="shared" si="134"/>
        <v>0</v>
      </c>
      <c r="AF90" s="336">
        <f t="shared" si="37"/>
        <v>0</v>
      </c>
      <c r="AG90" s="337">
        <f t="shared" si="37"/>
        <v>0</v>
      </c>
      <c r="AH90" s="338">
        <f t="shared" si="135"/>
        <v>0</v>
      </c>
      <c r="AI90" s="336">
        <f t="shared" si="38"/>
        <v>0</v>
      </c>
      <c r="AJ90" s="337">
        <f t="shared" si="38"/>
        <v>0</v>
      </c>
      <c r="AK90" s="338">
        <f t="shared" si="136"/>
        <v>0</v>
      </c>
      <c r="AL90" s="342"/>
      <c r="AM90" s="336">
        <f t="shared" si="39"/>
        <v>0</v>
      </c>
      <c r="AN90" s="339">
        <f t="shared" si="39"/>
        <v>0</v>
      </c>
      <c r="AO90" s="340">
        <f t="shared" si="137"/>
        <v>0</v>
      </c>
      <c r="AP90" s="336">
        <f t="shared" si="40"/>
        <v>0</v>
      </c>
      <c r="AQ90" s="339">
        <f t="shared" si="40"/>
        <v>0</v>
      </c>
      <c r="AR90" s="340">
        <f t="shared" si="138"/>
        <v>0</v>
      </c>
      <c r="AS90" s="341">
        <f t="shared" si="131"/>
        <v>0</v>
      </c>
      <c r="AT90" s="339">
        <f t="shared" si="131"/>
        <v>0</v>
      </c>
      <c r="AU90" s="340">
        <f t="shared" si="139"/>
        <v>0</v>
      </c>
      <c r="AV90" s="589">
        <f t="shared" si="140"/>
        <v>0</v>
      </c>
      <c r="AW90" s="343"/>
      <c r="AX90" s="1098"/>
      <c r="AY90" s="345"/>
      <c r="AZ90" s="1098"/>
      <c r="BA90" s="345"/>
      <c r="BB90" s="1120"/>
      <c r="BC90" s="347"/>
      <c r="BD90" s="348"/>
      <c r="BE90" s="349"/>
      <c r="BF90" s="348"/>
      <c r="BG90" s="349"/>
      <c r="BH90" s="350"/>
      <c r="BI90" s="351"/>
      <c r="BJ90" s="352"/>
      <c r="BK90" s="337"/>
      <c r="BL90" s="352"/>
      <c r="BM90" s="337"/>
      <c r="BN90" s="353"/>
      <c r="BO90" s="354"/>
      <c r="BP90" s="355"/>
      <c r="BQ90" s="356"/>
      <c r="BR90" s="355"/>
      <c r="BS90" s="356"/>
      <c r="BT90" s="357"/>
    </row>
    <row r="91" spans="1:72" s="313" customFormat="1" ht="25.5" customHeight="1" outlineLevel="2">
      <c r="A91" s="287">
        <v>79</v>
      </c>
      <c r="B91" s="933"/>
      <c r="C91" s="840"/>
      <c r="D91" s="841" t="s">
        <v>807</v>
      </c>
      <c r="E91" s="839"/>
      <c r="F91" s="821" t="s">
        <v>7</v>
      </c>
      <c r="G91" s="314">
        <v>4</v>
      </c>
      <c r="H91" s="739" t="s">
        <v>70</v>
      </c>
      <c r="I91" s="739">
        <v>244</v>
      </c>
      <c r="J91" s="740">
        <v>226</v>
      </c>
      <c r="K91" s="533" t="s">
        <v>287</v>
      </c>
      <c r="L91" s="1031">
        <v>0</v>
      </c>
      <c r="M91" s="318"/>
      <c r="N91" s="318"/>
      <c r="O91" s="1052">
        <f t="shared" si="142"/>
        <v>0</v>
      </c>
      <c r="P91" s="562"/>
      <c r="Q91" s="336"/>
      <c r="R91" s="562"/>
      <c r="S91" s="336"/>
      <c r="T91" s="562"/>
      <c r="U91" s="466"/>
      <c r="V91" s="320"/>
      <c r="W91" s="320"/>
      <c r="X91" s="320"/>
      <c r="Z91" s="336">
        <f t="shared" si="35"/>
        <v>0</v>
      </c>
      <c r="AA91" s="337">
        <f t="shared" si="35"/>
        <v>0</v>
      </c>
      <c r="AB91" s="338">
        <f t="shared" si="133"/>
        <v>0</v>
      </c>
      <c r="AC91" s="336">
        <f t="shared" si="36"/>
        <v>0</v>
      </c>
      <c r="AD91" s="337">
        <f t="shared" si="36"/>
        <v>0</v>
      </c>
      <c r="AE91" s="338">
        <f t="shared" si="134"/>
        <v>0</v>
      </c>
      <c r="AF91" s="336">
        <f t="shared" si="37"/>
        <v>0</v>
      </c>
      <c r="AG91" s="337">
        <f t="shared" si="37"/>
        <v>0</v>
      </c>
      <c r="AH91" s="338">
        <f t="shared" si="135"/>
        <v>0</v>
      </c>
      <c r="AI91" s="336">
        <f t="shared" si="38"/>
        <v>0</v>
      </c>
      <c r="AJ91" s="337">
        <f t="shared" si="38"/>
        <v>0</v>
      </c>
      <c r="AK91" s="338">
        <f t="shared" si="136"/>
        <v>0</v>
      </c>
      <c r="AL91" s="342"/>
      <c r="AM91" s="336">
        <f t="shared" si="39"/>
        <v>0</v>
      </c>
      <c r="AN91" s="339">
        <f t="shared" si="39"/>
        <v>0</v>
      </c>
      <c r="AO91" s="340">
        <f t="shared" si="137"/>
        <v>0</v>
      </c>
      <c r="AP91" s="336">
        <f t="shared" si="40"/>
        <v>0</v>
      </c>
      <c r="AQ91" s="339">
        <f t="shared" si="40"/>
        <v>0</v>
      </c>
      <c r="AR91" s="340">
        <f t="shared" si="138"/>
        <v>0</v>
      </c>
      <c r="AS91" s="341">
        <f t="shared" ref="AS91:AT106" si="167">Z91+AC91+AF91+AI91</f>
        <v>0</v>
      </c>
      <c r="AT91" s="339">
        <f t="shared" si="167"/>
        <v>0</v>
      </c>
      <c r="AU91" s="340">
        <f t="shared" si="139"/>
        <v>0</v>
      </c>
      <c r="AV91" s="589">
        <f t="shared" si="140"/>
        <v>0</v>
      </c>
      <c r="AW91" s="343"/>
      <c r="AX91" s="1098"/>
      <c r="AY91" s="345"/>
      <c r="AZ91" s="1098"/>
      <c r="BA91" s="345"/>
      <c r="BB91" s="1120"/>
      <c r="BC91" s="347"/>
      <c r="BD91" s="348"/>
      <c r="BE91" s="349"/>
      <c r="BF91" s="348"/>
      <c r="BG91" s="349"/>
      <c r="BH91" s="350"/>
      <c r="BI91" s="351"/>
      <c r="BJ91" s="352"/>
      <c r="BK91" s="337"/>
      <c r="BL91" s="352"/>
      <c r="BM91" s="337"/>
      <c r="BN91" s="353"/>
      <c r="BO91" s="354"/>
      <c r="BP91" s="355"/>
      <c r="BQ91" s="356"/>
      <c r="BR91" s="355"/>
      <c r="BS91" s="356"/>
      <c r="BT91" s="357"/>
    </row>
    <row r="92" spans="1:72" s="313" customFormat="1" ht="25.5" customHeight="1" outlineLevel="2">
      <c r="A92" s="287">
        <v>80</v>
      </c>
      <c r="B92" s="933"/>
      <c r="C92" s="840"/>
      <c r="D92" s="841" t="s">
        <v>807</v>
      </c>
      <c r="E92" s="839"/>
      <c r="F92" s="821" t="s">
        <v>7</v>
      </c>
      <c r="G92" s="314">
        <v>4</v>
      </c>
      <c r="H92" s="739" t="s">
        <v>70</v>
      </c>
      <c r="I92" s="739">
        <v>244</v>
      </c>
      <c r="J92" s="740">
        <v>226</v>
      </c>
      <c r="K92" s="538" t="s">
        <v>493</v>
      </c>
      <c r="L92" s="1029">
        <v>25300</v>
      </c>
      <c r="M92" s="318"/>
      <c r="N92" s="318"/>
      <c r="O92" s="1063">
        <f t="shared" si="142"/>
        <v>25300</v>
      </c>
      <c r="P92" s="562"/>
      <c r="Q92" s="336"/>
      <c r="R92" s="562"/>
      <c r="S92" s="336"/>
      <c r="T92" s="562"/>
      <c r="U92" s="466"/>
      <c r="V92" s="597" t="s">
        <v>494</v>
      </c>
      <c r="W92" s="597" t="s">
        <v>763</v>
      </c>
      <c r="X92" s="597" t="s">
        <v>764</v>
      </c>
      <c r="Z92" s="336">
        <f t="shared" si="35"/>
        <v>0</v>
      </c>
      <c r="AA92" s="337">
        <f t="shared" si="35"/>
        <v>0</v>
      </c>
      <c r="AB92" s="338">
        <f t="shared" si="133"/>
        <v>0</v>
      </c>
      <c r="AC92" s="336">
        <f t="shared" si="36"/>
        <v>25300</v>
      </c>
      <c r="AD92" s="337">
        <f t="shared" si="36"/>
        <v>0</v>
      </c>
      <c r="AE92" s="338">
        <f t="shared" si="134"/>
        <v>25300</v>
      </c>
      <c r="AF92" s="336">
        <f t="shared" si="37"/>
        <v>0</v>
      </c>
      <c r="AG92" s="337">
        <f t="shared" si="37"/>
        <v>0</v>
      </c>
      <c r="AH92" s="338">
        <f t="shared" si="135"/>
        <v>0</v>
      </c>
      <c r="AI92" s="336">
        <f t="shared" si="38"/>
        <v>0</v>
      </c>
      <c r="AJ92" s="337">
        <f t="shared" si="38"/>
        <v>0</v>
      </c>
      <c r="AK92" s="338">
        <f t="shared" si="136"/>
        <v>0</v>
      </c>
      <c r="AL92" s="342"/>
      <c r="AM92" s="336">
        <f t="shared" si="39"/>
        <v>25300</v>
      </c>
      <c r="AN92" s="339">
        <f t="shared" si="39"/>
        <v>0</v>
      </c>
      <c r="AO92" s="340">
        <f t="shared" si="137"/>
        <v>25300</v>
      </c>
      <c r="AP92" s="336">
        <f t="shared" si="40"/>
        <v>25300</v>
      </c>
      <c r="AQ92" s="339">
        <f t="shared" si="40"/>
        <v>0</v>
      </c>
      <c r="AR92" s="340">
        <f t="shared" si="138"/>
        <v>25300</v>
      </c>
      <c r="AS92" s="341">
        <f t="shared" si="167"/>
        <v>25300</v>
      </c>
      <c r="AT92" s="339">
        <f t="shared" si="167"/>
        <v>0</v>
      </c>
      <c r="AU92" s="340">
        <f t="shared" si="139"/>
        <v>25300</v>
      </c>
      <c r="AV92" s="589">
        <f t="shared" si="140"/>
        <v>0</v>
      </c>
      <c r="AW92" s="343"/>
      <c r="AX92" s="1098"/>
      <c r="AY92" s="345"/>
      <c r="AZ92" s="1098"/>
      <c r="BA92" s="345"/>
      <c r="BB92" s="1120"/>
      <c r="BC92" s="347">
        <v>25300</v>
      </c>
      <c r="BD92" s="348"/>
      <c r="BE92" s="349"/>
      <c r="BF92" s="348"/>
      <c r="BG92" s="349"/>
      <c r="BH92" s="350"/>
      <c r="BI92" s="351"/>
      <c r="BJ92" s="352"/>
      <c r="BK92" s="337"/>
      <c r="BL92" s="352"/>
      <c r="BM92" s="337"/>
      <c r="BN92" s="353"/>
      <c r="BO92" s="354"/>
      <c r="BP92" s="355"/>
      <c r="BQ92" s="356"/>
      <c r="BR92" s="355"/>
      <c r="BS92" s="356"/>
      <c r="BT92" s="357"/>
    </row>
    <row r="93" spans="1:72" s="313" customFormat="1" ht="25.5" customHeight="1" outlineLevel="2">
      <c r="A93" s="287">
        <v>81</v>
      </c>
      <c r="B93" s="933"/>
      <c r="C93" s="840"/>
      <c r="D93" s="841" t="s">
        <v>807</v>
      </c>
      <c r="E93" s="839"/>
      <c r="F93" s="821" t="s">
        <v>7</v>
      </c>
      <c r="G93" s="314">
        <v>4</v>
      </c>
      <c r="H93" s="739" t="s">
        <v>70</v>
      </c>
      <c r="I93" s="739">
        <v>244</v>
      </c>
      <c r="J93" s="740">
        <v>226</v>
      </c>
      <c r="K93" s="533" t="s">
        <v>289</v>
      </c>
      <c r="L93" s="1031">
        <v>0</v>
      </c>
      <c r="M93" s="318"/>
      <c r="N93" s="318"/>
      <c r="O93" s="1052">
        <f t="shared" si="142"/>
        <v>0</v>
      </c>
      <c r="P93" s="562"/>
      <c r="Q93" s="336"/>
      <c r="R93" s="562"/>
      <c r="S93" s="336"/>
      <c r="T93" s="562"/>
      <c r="U93" s="466"/>
      <c r="V93" s="320"/>
      <c r="W93" s="320"/>
      <c r="X93" s="320"/>
      <c r="Z93" s="336">
        <f t="shared" si="35"/>
        <v>0</v>
      </c>
      <c r="AA93" s="337">
        <f t="shared" si="35"/>
        <v>0</v>
      </c>
      <c r="AB93" s="338">
        <f t="shared" si="133"/>
        <v>0</v>
      </c>
      <c r="AC93" s="336">
        <f t="shared" si="36"/>
        <v>0</v>
      </c>
      <c r="AD93" s="337">
        <f t="shared" si="36"/>
        <v>0</v>
      </c>
      <c r="AE93" s="338">
        <f t="shared" si="134"/>
        <v>0</v>
      </c>
      <c r="AF93" s="336">
        <f t="shared" si="37"/>
        <v>0</v>
      </c>
      <c r="AG93" s="337">
        <f t="shared" si="37"/>
        <v>0</v>
      </c>
      <c r="AH93" s="338">
        <f t="shared" si="135"/>
        <v>0</v>
      </c>
      <c r="AI93" s="336">
        <f t="shared" si="38"/>
        <v>0</v>
      </c>
      <c r="AJ93" s="337">
        <f t="shared" si="38"/>
        <v>0</v>
      </c>
      <c r="AK93" s="338">
        <f t="shared" si="136"/>
        <v>0</v>
      </c>
      <c r="AL93" s="342"/>
      <c r="AM93" s="336">
        <f t="shared" si="39"/>
        <v>0</v>
      </c>
      <c r="AN93" s="339">
        <f t="shared" si="39"/>
        <v>0</v>
      </c>
      <c r="AO93" s="340">
        <f t="shared" si="137"/>
        <v>0</v>
      </c>
      <c r="AP93" s="336">
        <f t="shared" si="40"/>
        <v>0</v>
      </c>
      <c r="AQ93" s="339">
        <f t="shared" si="40"/>
        <v>0</v>
      </c>
      <c r="AR93" s="340">
        <f t="shared" si="138"/>
        <v>0</v>
      </c>
      <c r="AS93" s="341">
        <f t="shared" si="167"/>
        <v>0</v>
      </c>
      <c r="AT93" s="339">
        <f t="shared" si="167"/>
        <v>0</v>
      </c>
      <c r="AU93" s="340">
        <f t="shared" si="139"/>
        <v>0</v>
      </c>
      <c r="AV93" s="589">
        <f t="shared" si="140"/>
        <v>0</v>
      </c>
      <c r="AW93" s="343"/>
      <c r="AX93" s="1098"/>
      <c r="AY93" s="345"/>
      <c r="AZ93" s="1098"/>
      <c r="BA93" s="345"/>
      <c r="BB93" s="1120"/>
      <c r="BC93" s="347"/>
      <c r="BD93" s="348"/>
      <c r="BE93" s="349"/>
      <c r="BF93" s="348"/>
      <c r="BG93" s="349"/>
      <c r="BH93" s="350"/>
      <c r="BI93" s="351"/>
      <c r="BJ93" s="352"/>
      <c r="BK93" s="337"/>
      <c r="BL93" s="352"/>
      <c r="BM93" s="337"/>
      <c r="BN93" s="353"/>
      <c r="BO93" s="354"/>
      <c r="BP93" s="355"/>
      <c r="BQ93" s="356"/>
      <c r="BR93" s="355"/>
      <c r="BS93" s="356"/>
      <c r="BT93" s="357"/>
    </row>
    <row r="94" spans="1:72" s="430" customFormat="1" ht="25.5" customHeight="1" outlineLevel="2">
      <c r="A94" s="287">
        <v>82</v>
      </c>
      <c r="B94" s="936" t="s">
        <v>775</v>
      </c>
      <c r="C94" s="743"/>
      <c r="D94" s="856" t="s">
        <v>807</v>
      </c>
      <c r="E94" s="857"/>
      <c r="F94" s="827" t="s">
        <v>7</v>
      </c>
      <c r="G94" s="431">
        <v>4</v>
      </c>
      <c r="H94" s="474" t="s">
        <v>70</v>
      </c>
      <c r="I94" s="743">
        <v>244</v>
      </c>
      <c r="J94" s="744">
        <v>226</v>
      </c>
      <c r="K94" s="536" t="s">
        <v>688</v>
      </c>
      <c r="L94" s="1030">
        <f>559569.35-SUM(L87:L93)</f>
        <v>0</v>
      </c>
      <c r="M94" s="434"/>
      <c r="N94" s="434"/>
      <c r="O94" s="1064">
        <f t="shared" si="142"/>
        <v>0</v>
      </c>
      <c r="P94" s="563"/>
      <c r="Q94" s="437"/>
      <c r="R94" s="563"/>
      <c r="S94" s="437"/>
      <c r="T94" s="563"/>
      <c r="U94" s="467"/>
      <c r="V94" s="436"/>
      <c r="W94" s="436"/>
      <c r="X94" s="436"/>
      <c r="Z94" s="437">
        <f t="shared" si="35"/>
        <v>0</v>
      </c>
      <c r="AA94" s="438">
        <f t="shared" si="35"/>
        <v>0</v>
      </c>
      <c r="AB94" s="439">
        <f t="shared" si="133"/>
        <v>0</v>
      </c>
      <c r="AC94" s="437">
        <f t="shared" si="36"/>
        <v>0</v>
      </c>
      <c r="AD94" s="438">
        <f t="shared" si="36"/>
        <v>0</v>
      </c>
      <c r="AE94" s="439">
        <f t="shared" si="134"/>
        <v>0</v>
      </c>
      <c r="AF94" s="437">
        <f t="shared" si="37"/>
        <v>0</v>
      </c>
      <c r="AG94" s="438">
        <f t="shared" si="37"/>
        <v>0</v>
      </c>
      <c r="AH94" s="439">
        <f t="shared" si="135"/>
        <v>0</v>
      </c>
      <c r="AI94" s="437">
        <f t="shared" si="38"/>
        <v>0</v>
      </c>
      <c r="AJ94" s="438">
        <f t="shared" si="38"/>
        <v>0</v>
      </c>
      <c r="AK94" s="439">
        <f t="shared" si="136"/>
        <v>0</v>
      </c>
      <c r="AL94" s="440"/>
      <c r="AM94" s="437">
        <f t="shared" si="39"/>
        <v>0</v>
      </c>
      <c r="AN94" s="441">
        <f t="shared" si="39"/>
        <v>0</v>
      </c>
      <c r="AO94" s="442">
        <f t="shared" si="137"/>
        <v>0</v>
      </c>
      <c r="AP94" s="437">
        <f t="shared" si="40"/>
        <v>0</v>
      </c>
      <c r="AQ94" s="441">
        <f t="shared" si="40"/>
        <v>0</v>
      </c>
      <c r="AR94" s="442">
        <f t="shared" si="138"/>
        <v>0</v>
      </c>
      <c r="AS94" s="443">
        <f t="shared" si="167"/>
        <v>0</v>
      </c>
      <c r="AT94" s="441">
        <f t="shared" si="167"/>
        <v>0</v>
      </c>
      <c r="AU94" s="442">
        <f t="shared" si="139"/>
        <v>0</v>
      </c>
      <c r="AV94" s="601">
        <f t="shared" si="140"/>
        <v>0</v>
      </c>
      <c r="AW94" s="444"/>
      <c r="AX94" s="1111"/>
      <c r="AY94" s="446"/>
      <c r="AZ94" s="1111"/>
      <c r="BA94" s="446"/>
      <c r="BB94" s="1129"/>
      <c r="BC94" s="448"/>
      <c r="BD94" s="449"/>
      <c r="BE94" s="450"/>
      <c r="BF94" s="449"/>
      <c r="BG94" s="450"/>
      <c r="BH94" s="451"/>
      <c r="BI94" s="452"/>
      <c r="BJ94" s="453"/>
      <c r="BK94" s="438"/>
      <c r="BL94" s="453"/>
      <c r="BM94" s="438"/>
      <c r="BN94" s="454"/>
      <c r="BO94" s="455"/>
      <c r="BP94" s="456"/>
      <c r="BQ94" s="457"/>
      <c r="BR94" s="456"/>
      <c r="BS94" s="457"/>
      <c r="BT94" s="458"/>
    </row>
    <row r="95" spans="1:72" s="459" customFormat="1" ht="66.75" customHeight="1" outlineLevel="1">
      <c r="A95" s="287">
        <v>83</v>
      </c>
      <c r="B95" s="933"/>
      <c r="C95" s="850" t="s">
        <v>378</v>
      </c>
      <c r="D95" s="854" t="s">
        <v>272</v>
      </c>
      <c r="E95" s="855"/>
      <c r="F95" s="826" t="s">
        <v>7</v>
      </c>
      <c r="G95" s="462">
        <v>4</v>
      </c>
      <c r="H95" s="741" t="s">
        <v>70</v>
      </c>
      <c r="I95" s="741">
        <v>244</v>
      </c>
      <c r="J95" s="742">
        <v>226</v>
      </c>
      <c r="K95" s="535" t="s">
        <v>278</v>
      </c>
      <c r="L95" s="1028">
        <v>340187.83</v>
      </c>
      <c r="M95" s="352"/>
      <c r="N95" s="352"/>
      <c r="O95" s="1062">
        <f t="shared" si="142"/>
        <v>340187.83</v>
      </c>
      <c r="P95" s="561"/>
      <c r="Q95" s="464"/>
      <c r="R95" s="561"/>
      <c r="S95" s="464"/>
      <c r="T95" s="561"/>
      <c r="U95" s="393"/>
      <c r="V95" s="394"/>
      <c r="W95" s="394"/>
      <c r="X95" s="394"/>
      <c r="Y95" s="392"/>
      <c r="Z95" s="395">
        <f t="shared" si="35"/>
        <v>0</v>
      </c>
      <c r="AA95" s="396">
        <f t="shared" si="35"/>
        <v>0</v>
      </c>
      <c r="AB95" s="397">
        <f t="shared" si="133"/>
        <v>0</v>
      </c>
      <c r="AC95" s="395">
        <f t="shared" si="36"/>
        <v>0</v>
      </c>
      <c r="AD95" s="396">
        <f t="shared" si="36"/>
        <v>0</v>
      </c>
      <c r="AE95" s="397">
        <f t="shared" si="134"/>
        <v>0</v>
      </c>
      <c r="AF95" s="395">
        <f t="shared" si="37"/>
        <v>340187.83</v>
      </c>
      <c r="AG95" s="396">
        <f t="shared" si="37"/>
        <v>0</v>
      </c>
      <c r="AH95" s="397">
        <f t="shared" si="135"/>
        <v>340187.83</v>
      </c>
      <c r="AI95" s="395">
        <f t="shared" si="38"/>
        <v>0</v>
      </c>
      <c r="AJ95" s="396">
        <f t="shared" si="38"/>
        <v>0</v>
      </c>
      <c r="AK95" s="397">
        <f t="shared" si="136"/>
        <v>0</v>
      </c>
      <c r="AL95" s="398"/>
      <c r="AM95" s="464">
        <f t="shared" si="39"/>
        <v>0</v>
      </c>
      <c r="AN95" s="352">
        <f t="shared" si="39"/>
        <v>0</v>
      </c>
      <c r="AO95" s="465">
        <f t="shared" si="137"/>
        <v>0</v>
      </c>
      <c r="AP95" s="464">
        <f t="shared" si="40"/>
        <v>340187.83</v>
      </c>
      <c r="AQ95" s="352">
        <f t="shared" si="40"/>
        <v>0</v>
      </c>
      <c r="AR95" s="465">
        <f t="shared" si="138"/>
        <v>340187.83</v>
      </c>
      <c r="AS95" s="464">
        <f t="shared" si="167"/>
        <v>340187.83</v>
      </c>
      <c r="AT95" s="352">
        <f t="shared" si="167"/>
        <v>0</v>
      </c>
      <c r="AU95" s="465">
        <f t="shared" si="139"/>
        <v>340187.83</v>
      </c>
      <c r="AV95" s="600">
        <f t="shared" si="140"/>
        <v>0</v>
      </c>
      <c r="AW95" s="464">
        <f t="shared" ref="AW95:BT95" si="168">SUM(AW96:AW97)</f>
        <v>0</v>
      </c>
      <c r="AX95" s="1110">
        <f t="shared" si="168"/>
        <v>0</v>
      </c>
      <c r="AY95" s="352">
        <f t="shared" si="168"/>
        <v>0</v>
      </c>
      <c r="AZ95" s="1110">
        <f t="shared" si="168"/>
        <v>0</v>
      </c>
      <c r="BA95" s="352">
        <f t="shared" si="168"/>
        <v>0</v>
      </c>
      <c r="BB95" s="1128">
        <f t="shared" si="168"/>
        <v>0</v>
      </c>
      <c r="BC95" s="464">
        <f t="shared" si="168"/>
        <v>0</v>
      </c>
      <c r="BD95" s="352">
        <f t="shared" si="168"/>
        <v>0</v>
      </c>
      <c r="BE95" s="352">
        <f t="shared" si="168"/>
        <v>0</v>
      </c>
      <c r="BF95" s="352">
        <f t="shared" si="168"/>
        <v>0</v>
      </c>
      <c r="BG95" s="352">
        <f t="shared" si="168"/>
        <v>0</v>
      </c>
      <c r="BH95" s="353">
        <f t="shared" si="168"/>
        <v>0</v>
      </c>
      <c r="BI95" s="464">
        <f t="shared" si="168"/>
        <v>0</v>
      </c>
      <c r="BJ95" s="352">
        <f t="shared" si="168"/>
        <v>0</v>
      </c>
      <c r="BK95" s="352">
        <f t="shared" si="168"/>
        <v>100000</v>
      </c>
      <c r="BL95" s="352">
        <f t="shared" si="168"/>
        <v>0</v>
      </c>
      <c r="BM95" s="352">
        <f t="shared" si="168"/>
        <v>240187.83</v>
      </c>
      <c r="BN95" s="353">
        <f t="shared" si="168"/>
        <v>0</v>
      </c>
      <c r="BO95" s="464">
        <f t="shared" si="168"/>
        <v>0</v>
      </c>
      <c r="BP95" s="352">
        <f t="shared" si="168"/>
        <v>0</v>
      </c>
      <c r="BQ95" s="352">
        <f t="shared" si="168"/>
        <v>0</v>
      </c>
      <c r="BR95" s="352">
        <f t="shared" si="168"/>
        <v>0</v>
      </c>
      <c r="BS95" s="352">
        <f t="shared" si="168"/>
        <v>0</v>
      </c>
      <c r="BT95" s="465">
        <f t="shared" si="168"/>
        <v>0</v>
      </c>
    </row>
    <row r="96" spans="1:72" s="313" customFormat="1" ht="38.25" customHeight="1" outlineLevel="2">
      <c r="A96" s="287">
        <v>84</v>
      </c>
      <c r="B96" s="933"/>
      <c r="C96" s="840"/>
      <c r="D96" s="841" t="s">
        <v>272</v>
      </c>
      <c r="E96" s="839"/>
      <c r="F96" s="821" t="s">
        <v>7</v>
      </c>
      <c r="G96" s="314">
        <v>4</v>
      </c>
      <c r="H96" s="739" t="s">
        <v>70</v>
      </c>
      <c r="I96" s="739">
        <v>244</v>
      </c>
      <c r="J96" s="740">
        <v>226</v>
      </c>
      <c r="K96" s="533" t="s">
        <v>291</v>
      </c>
      <c r="L96" s="1031">
        <v>340187.83</v>
      </c>
      <c r="M96" s="318"/>
      <c r="N96" s="318"/>
      <c r="O96" s="1052">
        <f t="shared" si="142"/>
        <v>340187.83</v>
      </c>
      <c r="P96" s="562"/>
      <c r="Q96" s="336"/>
      <c r="R96" s="562"/>
      <c r="S96" s="336"/>
      <c r="T96" s="562"/>
      <c r="U96" s="466"/>
      <c r="V96" s="320"/>
      <c r="W96" s="320"/>
      <c r="X96" s="320"/>
      <c r="Z96" s="336">
        <f t="shared" si="35"/>
        <v>0</v>
      </c>
      <c r="AA96" s="337">
        <f t="shared" si="35"/>
        <v>0</v>
      </c>
      <c r="AB96" s="338">
        <f t="shared" si="133"/>
        <v>0</v>
      </c>
      <c r="AC96" s="336">
        <f t="shared" si="36"/>
        <v>0</v>
      </c>
      <c r="AD96" s="337">
        <f t="shared" si="36"/>
        <v>0</v>
      </c>
      <c r="AE96" s="338">
        <f t="shared" si="134"/>
        <v>0</v>
      </c>
      <c r="AF96" s="336">
        <f t="shared" si="37"/>
        <v>340187.83</v>
      </c>
      <c r="AG96" s="337">
        <f t="shared" si="37"/>
        <v>0</v>
      </c>
      <c r="AH96" s="338">
        <f t="shared" si="135"/>
        <v>340187.83</v>
      </c>
      <c r="AI96" s="336">
        <f t="shared" si="38"/>
        <v>0</v>
      </c>
      <c r="AJ96" s="337">
        <f t="shared" si="38"/>
        <v>0</v>
      </c>
      <c r="AK96" s="338">
        <f t="shared" si="136"/>
        <v>0</v>
      </c>
      <c r="AL96" s="342"/>
      <c r="AM96" s="336">
        <f t="shared" si="39"/>
        <v>0</v>
      </c>
      <c r="AN96" s="339">
        <f t="shared" si="39"/>
        <v>0</v>
      </c>
      <c r="AO96" s="340">
        <f t="shared" si="137"/>
        <v>0</v>
      </c>
      <c r="AP96" s="336">
        <f t="shared" si="40"/>
        <v>340187.83</v>
      </c>
      <c r="AQ96" s="339">
        <f t="shared" si="40"/>
        <v>0</v>
      </c>
      <c r="AR96" s="340">
        <f t="shared" si="138"/>
        <v>340187.83</v>
      </c>
      <c r="AS96" s="341">
        <f t="shared" si="167"/>
        <v>340187.83</v>
      </c>
      <c r="AT96" s="339">
        <f t="shared" si="167"/>
        <v>0</v>
      </c>
      <c r="AU96" s="340">
        <f t="shared" si="139"/>
        <v>340187.83</v>
      </c>
      <c r="AV96" s="589">
        <f t="shared" si="140"/>
        <v>0</v>
      </c>
      <c r="AW96" s="343"/>
      <c r="AX96" s="1098"/>
      <c r="AY96" s="345"/>
      <c r="AZ96" s="1098"/>
      <c r="BA96" s="345"/>
      <c r="BB96" s="1120"/>
      <c r="BC96" s="347"/>
      <c r="BD96" s="348"/>
      <c r="BE96" s="349"/>
      <c r="BF96" s="348"/>
      <c r="BG96" s="349"/>
      <c r="BH96" s="350"/>
      <c r="BI96" s="351"/>
      <c r="BJ96" s="352"/>
      <c r="BK96" s="337">
        <v>100000</v>
      </c>
      <c r="BL96" s="352"/>
      <c r="BM96" s="337">
        <v>240187.83</v>
      </c>
      <c r="BN96" s="353"/>
      <c r="BO96" s="354"/>
      <c r="BP96" s="355"/>
      <c r="BQ96" s="356"/>
      <c r="BR96" s="355"/>
      <c r="BS96" s="356"/>
      <c r="BT96" s="357"/>
    </row>
    <row r="97" spans="1:72" s="430" customFormat="1" ht="25.5" customHeight="1" outlineLevel="2">
      <c r="A97" s="287">
        <v>85</v>
      </c>
      <c r="B97" s="933"/>
      <c r="C97" s="743"/>
      <c r="D97" s="856" t="s">
        <v>272</v>
      </c>
      <c r="E97" s="857"/>
      <c r="F97" s="827" t="s">
        <v>7</v>
      </c>
      <c r="G97" s="431">
        <v>4</v>
      </c>
      <c r="H97" s="474" t="s">
        <v>70</v>
      </c>
      <c r="I97" s="743">
        <v>244</v>
      </c>
      <c r="J97" s="744">
        <v>226</v>
      </c>
      <c r="K97" s="536" t="s">
        <v>284</v>
      </c>
      <c r="L97" s="1030"/>
      <c r="M97" s="434"/>
      <c r="N97" s="434"/>
      <c r="O97" s="1064">
        <f t="shared" si="142"/>
        <v>0</v>
      </c>
      <c r="P97" s="563"/>
      <c r="Q97" s="437"/>
      <c r="R97" s="563"/>
      <c r="S97" s="437"/>
      <c r="T97" s="563"/>
      <c r="U97" s="467"/>
      <c r="V97" s="436"/>
      <c r="W97" s="436"/>
      <c r="X97" s="436"/>
      <c r="Z97" s="437">
        <f t="shared" ref="Z97:AA150" si="169">AW97+AY97+BA97</f>
        <v>0</v>
      </c>
      <c r="AA97" s="438">
        <f t="shared" si="169"/>
        <v>0</v>
      </c>
      <c r="AB97" s="439">
        <f t="shared" si="133"/>
        <v>0</v>
      </c>
      <c r="AC97" s="437">
        <f t="shared" ref="AC97:AD150" si="170">BC97+BE97+BG97</f>
        <v>0</v>
      </c>
      <c r="AD97" s="438">
        <f t="shared" si="170"/>
        <v>0</v>
      </c>
      <c r="AE97" s="439">
        <f t="shared" si="134"/>
        <v>0</v>
      </c>
      <c r="AF97" s="437">
        <f t="shared" ref="AF97:AG150" si="171">BI97+BK97+BM97</f>
        <v>0</v>
      </c>
      <c r="AG97" s="438">
        <f t="shared" si="171"/>
        <v>0</v>
      </c>
      <c r="AH97" s="439">
        <f t="shared" si="135"/>
        <v>0</v>
      </c>
      <c r="AI97" s="437">
        <f t="shared" ref="AI97:AJ150" si="172">BO97+BQ97+BS97</f>
        <v>0</v>
      </c>
      <c r="AJ97" s="438">
        <f t="shared" si="172"/>
        <v>0</v>
      </c>
      <c r="AK97" s="439">
        <f t="shared" si="136"/>
        <v>0</v>
      </c>
      <c r="AL97" s="440"/>
      <c r="AM97" s="437">
        <f t="shared" ref="AM97:AN150" si="173">Z97+AC97</f>
        <v>0</v>
      </c>
      <c r="AN97" s="441">
        <f t="shared" si="173"/>
        <v>0</v>
      </c>
      <c r="AO97" s="442">
        <f t="shared" si="137"/>
        <v>0</v>
      </c>
      <c r="AP97" s="437">
        <f t="shared" ref="AP97:AQ150" si="174">Z97+AC97+AF97</f>
        <v>0</v>
      </c>
      <c r="AQ97" s="441">
        <f t="shared" si="174"/>
        <v>0</v>
      </c>
      <c r="AR97" s="442">
        <f t="shared" si="138"/>
        <v>0</v>
      </c>
      <c r="AS97" s="443">
        <f t="shared" si="167"/>
        <v>0</v>
      </c>
      <c r="AT97" s="441">
        <f t="shared" si="167"/>
        <v>0</v>
      </c>
      <c r="AU97" s="442">
        <f t="shared" si="139"/>
        <v>0</v>
      </c>
      <c r="AV97" s="601">
        <f t="shared" si="140"/>
        <v>0</v>
      </c>
      <c r="AW97" s="444"/>
      <c r="AX97" s="1111"/>
      <c r="AY97" s="446"/>
      <c r="AZ97" s="1111"/>
      <c r="BA97" s="446"/>
      <c r="BB97" s="1129"/>
      <c r="BC97" s="448"/>
      <c r="BD97" s="449"/>
      <c r="BE97" s="450"/>
      <c r="BF97" s="449"/>
      <c r="BG97" s="450"/>
      <c r="BH97" s="451"/>
      <c r="BI97" s="452"/>
      <c r="BJ97" s="453"/>
      <c r="BK97" s="438"/>
      <c r="BL97" s="453"/>
      <c r="BM97" s="438"/>
      <c r="BN97" s="454"/>
      <c r="BO97" s="455"/>
      <c r="BP97" s="456"/>
      <c r="BQ97" s="457"/>
      <c r="BR97" s="456"/>
      <c r="BS97" s="457"/>
      <c r="BT97" s="458"/>
    </row>
    <row r="98" spans="1:72" s="468" customFormat="1" ht="66.75" customHeight="1" outlineLevel="1">
      <c r="A98" s="287">
        <v>86</v>
      </c>
      <c r="B98" s="933"/>
      <c r="C98" s="850" t="s">
        <v>378</v>
      </c>
      <c r="D98" s="854" t="s">
        <v>276</v>
      </c>
      <c r="E98" s="858"/>
      <c r="F98" s="828" t="s">
        <v>7</v>
      </c>
      <c r="G98" s="469">
        <v>4</v>
      </c>
      <c r="H98" s="745" t="s">
        <v>70</v>
      </c>
      <c r="I98" s="745">
        <v>244</v>
      </c>
      <c r="J98" s="746">
        <v>226</v>
      </c>
      <c r="K98" s="537" t="s">
        <v>281</v>
      </c>
      <c r="L98" s="1032">
        <v>421906.7</v>
      </c>
      <c r="M98" s="422"/>
      <c r="N98" s="422"/>
      <c r="O98" s="1065">
        <f t="shared" si="142"/>
        <v>421906.7</v>
      </c>
      <c r="P98" s="564">
        <v>741617.76</v>
      </c>
      <c r="Q98" s="472"/>
      <c r="R98" s="564"/>
      <c r="S98" s="472"/>
      <c r="T98" s="564"/>
      <c r="U98" s="393"/>
      <c r="V98" s="394"/>
      <c r="W98" s="394"/>
      <c r="X98" s="394"/>
      <c r="Y98" s="392"/>
      <c r="Z98" s="395">
        <f t="shared" si="169"/>
        <v>0</v>
      </c>
      <c r="AA98" s="396">
        <f t="shared" si="169"/>
        <v>0</v>
      </c>
      <c r="AB98" s="397">
        <f t="shared" si="133"/>
        <v>0</v>
      </c>
      <c r="AC98" s="395">
        <f t="shared" si="170"/>
        <v>0</v>
      </c>
      <c r="AD98" s="396">
        <f t="shared" si="170"/>
        <v>0</v>
      </c>
      <c r="AE98" s="397">
        <f t="shared" si="134"/>
        <v>0</v>
      </c>
      <c r="AF98" s="395">
        <f t="shared" si="171"/>
        <v>0</v>
      </c>
      <c r="AG98" s="396">
        <f t="shared" si="171"/>
        <v>0</v>
      </c>
      <c r="AH98" s="397">
        <f t="shared" si="135"/>
        <v>0</v>
      </c>
      <c r="AI98" s="395">
        <f t="shared" si="172"/>
        <v>421906.7</v>
      </c>
      <c r="AJ98" s="396">
        <f t="shared" si="172"/>
        <v>0</v>
      </c>
      <c r="AK98" s="397">
        <f t="shared" si="136"/>
        <v>421906.7</v>
      </c>
      <c r="AL98" s="398"/>
      <c r="AM98" s="472">
        <f t="shared" si="173"/>
        <v>0</v>
      </c>
      <c r="AN98" s="422">
        <f t="shared" si="173"/>
        <v>0</v>
      </c>
      <c r="AO98" s="473">
        <f t="shared" si="137"/>
        <v>0</v>
      </c>
      <c r="AP98" s="472">
        <f t="shared" si="174"/>
        <v>0</v>
      </c>
      <c r="AQ98" s="422">
        <f t="shared" si="174"/>
        <v>0</v>
      </c>
      <c r="AR98" s="473">
        <f t="shared" si="138"/>
        <v>0</v>
      </c>
      <c r="AS98" s="472">
        <f t="shared" si="167"/>
        <v>421906.7</v>
      </c>
      <c r="AT98" s="422">
        <f t="shared" si="167"/>
        <v>0</v>
      </c>
      <c r="AU98" s="473">
        <f t="shared" si="139"/>
        <v>421906.7</v>
      </c>
      <c r="AV98" s="602">
        <f t="shared" si="140"/>
        <v>0</v>
      </c>
      <c r="AW98" s="472">
        <f t="shared" ref="AW98:BT98" si="175">SUM(AW99:AW106)</f>
        <v>0</v>
      </c>
      <c r="AX98" s="1110">
        <f t="shared" si="175"/>
        <v>0</v>
      </c>
      <c r="AY98" s="422">
        <f t="shared" si="175"/>
        <v>0</v>
      </c>
      <c r="AZ98" s="1110">
        <f t="shared" si="175"/>
        <v>0</v>
      </c>
      <c r="BA98" s="422">
        <f t="shared" si="175"/>
        <v>0</v>
      </c>
      <c r="BB98" s="1128">
        <f t="shared" si="175"/>
        <v>0</v>
      </c>
      <c r="BC98" s="472">
        <f t="shared" si="175"/>
        <v>0</v>
      </c>
      <c r="BD98" s="422">
        <f t="shared" si="175"/>
        <v>0</v>
      </c>
      <c r="BE98" s="422">
        <f t="shared" si="175"/>
        <v>0</v>
      </c>
      <c r="BF98" s="422">
        <f t="shared" si="175"/>
        <v>0</v>
      </c>
      <c r="BG98" s="422">
        <f t="shared" si="175"/>
        <v>0</v>
      </c>
      <c r="BH98" s="423">
        <f t="shared" si="175"/>
        <v>0</v>
      </c>
      <c r="BI98" s="472">
        <f t="shared" si="175"/>
        <v>0</v>
      </c>
      <c r="BJ98" s="422">
        <f t="shared" si="175"/>
        <v>0</v>
      </c>
      <c r="BK98" s="422">
        <f t="shared" si="175"/>
        <v>0</v>
      </c>
      <c r="BL98" s="422">
        <f t="shared" si="175"/>
        <v>0</v>
      </c>
      <c r="BM98" s="422">
        <f t="shared" si="175"/>
        <v>0</v>
      </c>
      <c r="BN98" s="423">
        <f t="shared" si="175"/>
        <v>0</v>
      </c>
      <c r="BO98" s="472">
        <f t="shared" si="175"/>
        <v>233059.9</v>
      </c>
      <c r="BP98" s="422">
        <f t="shared" si="175"/>
        <v>0</v>
      </c>
      <c r="BQ98" s="422">
        <f t="shared" si="175"/>
        <v>188846.8</v>
      </c>
      <c r="BR98" s="422">
        <f t="shared" si="175"/>
        <v>0</v>
      </c>
      <c r="BS98" s="422">
        <f t="shared" si="175"/>
        <v>0</v>
      </c>
      <c r="BT98" s="473">
        <f t="shared" si="175"/>
        <v>0</v>
      </c>
    </row>
    <row r="99" spans="1:72" s="399" customFormat="1" ht="25.5" customHeight="1" outlineLevel="2">
      <c r="A99" s="287">
        <v>87</v>
      </c>
      <c r="B99" s="933"/>
      <c r="C99" s="859"/>
      <c r="D99" s="841" t="s">
        <v>276</v>
      </c>
      <c r="E99" s="860"/>
      <c r="F99" s="829" t="s">
        <v>7</v>
      </c>
      <c r="G99" s="400">
        <v>4</v>
      </c>
      <c r="H99" s="747" t="s">
        <v>70</v>
      </c>
      <c r="I99" s="747">
        <v>244</v>
      </c>
      <c r="J99" s="748">
        <v>226</v>
      </c>
      <c r="K99" s="538" t="s">
        <v>292</v>
      </c>
      <c r="L99" s="1031">
        <v>388846.8</v>
      </c>
      <c r="M99" s="403"/>
      <c r="N99" s="403"/>
      <c r="O99" s="1063">
        <f t="shared" si="142"/>
        <v>388846.8</v>
      </c>
      <c r="P99" s="565">
        <v>0</v>
      </c>
      <c r="Q99" s="406"/>
      <c r="R99" s="565"/>
      <c r="S99" s="406"/>
      <c r="T99" s="565"/>
      <c r="U99" s="428"/>
      <c r="V99" s="405"/>
      <c r="W99" s="405"/>
      <c r="X99" s="405"/>
      <c r="Z99" s="406">
        <f t="shared" si="169"/>
        <v>0</v>
      </c>
      <c r="AA99" s="407">
        <f t="shared" si="169"/>
        <v>0</v>
      </c>
      <c r="AB99" s="408">
        <f t="shared" si="133"/>
        <v>0</v>
      </c>
      <c r="AC99" s="406">
        <f t="shared" si="170"/>
        <v>0</v>
      </c>
      <c r="AD99" s="407">
        <f t="shared" si="170"/>
        <v>0</v>
      </c>
      <c r="AE99" s="408">
        <f t="shared" si="134"/>
        <v>0</v>
      </c>
      <c r="AF99" s="406">
        <f t="shared" si="171"/>
        <v>0</v>
      </c>
      <c r="AG99" s="407">
        <f t="shared" si="171"/>
        <v>0</v>
      </c>
      <c r="AH99" s="408">
        <f t="shared" si="135"/>
        <v>0</v>
      </c>
      <c r="AI99" s="406">
        <f t="shared" si="172"/>
        <v>388846.8</v>
      </c>
      <c r="AJ99" s="407">
        <f t="shared" si="172"/>
        <v>0</v>
      </c>
      <c r="AK99" s="408">
        <f t="shared" si="136"/>
        <v>388846.8</v>
      </c>
      <c r="AL99" s="409"/>
      <c r="AM99" s="406">
        <f t="shared" si="173"/>
        <v>0</v>
      </c>
      <c r="AN99" s="410">
        <f t="shared" si="173"/>
        <v>0</v>
      </c>
      <c r="AO99" s="411">
        <f t="shared" si="137"/>
        <v>0</v>
      </c>
      <c r="AP99" s="406">
        <f t="shared" si="174"/>
        <v>0</v>
      </c>
      <c r="AQ99" s="410">
        <f t="shared" si="174"/>
        <v>0</v>
      </c>
      <c r="AR99" s="411">
        <f t="shared" si="138"/>
        <v>0</v>
      </c>
      <c r="AS99" s="412">
        <f t="shared" si="167"/>
        <v>388846.8</v>
      </c>
      <c r="AT99" s="410">
        <f t="shared" si="167"/>
        <v>0</v>
      </c>
      <c r="AU99" s="411">
        <f t="shared" si="139"/>
        <v>388846.8</v>
      </c>
      <c r="AV99" s="603">
        <f t="shared" si="140"/>
        <v>0</v>
      </c>
      <c r="AW99" s="413"/>
      <c r="AX99" s="1098"/>
      <c r="AY99" s="415"/>
      <c r="AZ99" s="1098"/>
      <c r="BA99" s="415"/>
      <c r="BB99" s="1120"/>
      <c r="BC99" s="417"/>
      <c r="BD99" s="418"/>
      <c r="BE99" s="419"/>
      <c r="BF99" s="418"/>
      <c r="BG99" s="419"/>
      <c r="BH99" s="420"/>
      <c r="BI99" s="421"/>
      <c r="BJ99" s="422"/>
      <c r="BK99" s="407"/>
      <c r="BL99" s="422"/>
      <c r="BM99" s="407"/>
      <c r="BN99" s="423"/>
      <c r="BO99" s="424">
        <v>200000</v>
      </c>
      <c r="BP99" s="425"/>
      <c r="BQ99" s="426">
        <v>188846.8</v>
      </c>
      <c r="BR99" s="425"/>
      <c r="BS99" s="426"/>
      <c r="BT99" s="427"/>
    </row>
    <row r="100" spans="1:72" s="399" customFormat="1" ht="25.5" customHeight="1" outlineLevel="2">
      <c r="A100" s="287">
        <v>88</v>
      </c>
      <c r="B100" s="933"/>
      <c r="C100" s="859"/>
      <c r="D100" s="841" t="s">
        <v>276</v>
      </c>
      <c r="E100" s="860"/>
      <c r="F100" s="829" t="s">
        <v>7</v>
      </c>
      <c r="G100" s="400">
        <v>4</v>
      </c>
      <c r="H100" s="747" t="s">
        <v>70</v>
      </c>
      <c r="I100" s="747">
        <v>244</v>
      </c>
      <c r="J100" s="748">
        <v>226</v>
      </c>
      <c r="K100" s="538" t="s">
        <v>293</v>
      </c>
      <c r="L100" s="1031">
        <v>0</v>
      </c>
      <c r="M100" s="403"/>
      <c r="N100" s="403"/>
      <c r="O100" s="1063">
        <f t="shared" si="142"/>
        <v>0</v>
      </c>
      <c r="P100" s="565">
        <v>165393.4</v>
      </c>
      <c r="Q100" s="406"/>
      <c r="R100" s="565"/>
      <c r="S100" s="406"/>
      <c r="T100" s="565"/>
      <c r="U100" s="428"/>
      <c r="V100" s="405"/>
      <c r="W100" s="405"/>
      <c r="X100" s="405"/>
      <c r="Z100" s="406">
        <f t="shared" si="169"/>
        <v>0</v>
      </c>
      <c r="AA100" s="407">
        <f t="shared" si="169"/>
        <v>0</v>
      </c>
      <c r="AB100" s="408">
        <f t="shared" si="133"/>
        <v>0</v>
      </c>
      <c r="AC100" s="406">
        <f t="shared" si="170"/>
        <v>0</v>
      </c>
      <c r="AD100" s="407">
        <f t="shared" si="170"/>
        <v>0</v>
      </c>
      <c r="AE100" s="408">
        <f t="shared" si="134"/>
        <v>0</v>
      </c>
      <c r="AF100" s="406">
        <f t="shared" si="171"/>
        <v>0</v>
      </c>
      <c r="AG100" s="407">
        <f t="shared" si="171"/>
        <v>0</v>
      </c>
      <c r="AH100" s="408">
        <f t="shared" si="135"/>
        <v>0</v>
      </c>
      <c r="AI100" s="406">
        <f t="shared" si="172"/>
        <v>0</v>
      </c>
      <c r="AJ100" s="407">
        <f t="shared" si="172"/>
        <v>0</v>
      </c>
      <c r="AK100" s="408">
        <f t="shared" si="136"/>
        <v>0</v>
      </c>
      <c r="AL100" s="409"/>
      <c r="AM100" s="406">
        <f t="shared" si="173"/>
        <v>0</v>
      </c>
      <c r="AN100" s="410">
        <f t="shared" si="173"/>
        <v>0</v>
      </c>
      <c r="AO100" s="411">
        <f t="shared" si="137"/>
        <v>0</v>
      </c>
      <c r="AP100" s="406">
        <f t="shared" si="174"/>
        <v>0</v>
      </c>
      <c r="AQ100" s="410">
        <f t="shared" si="174"/>
        <v>0</v>
      </c>
      <c r="AR100" s="411">
        <f t="shared" si="138"/>
        <v>0</v>
      </c>
      <c r="AS100" s="412">
        <f t="shared" si="167"/>
        <v>0</v>
      </c>
      <c r="AT100" s="410">
        <f t="shared" si="167"/>
        <v>0</v>
      </c>
      <c r="AU100" s="411">
        <f t="shared" si="139"/>
        <v>0</v>
      </c>
      <c r="AV100" s="603">
        <f t="shared" si="140"/>
        <v>0</v>
      </c>
      <c r="AW100" s="413"/>
      <c r="AX100" s="1098"/>
      <c r="AY100" s="415"/>
      <c r="AZ100" s="1098"/>
      <c r="BA100" s="415"/>
      <c r="BB100" s="1120"/>
      <c r="BC100" s="417"/>
      <c r="BD100" s="418"/>
      <c r="BE100" s="419"/>
      <c r="BF100" s="418"/>
      <c r="BG100" s="419"/>
      <c r="BH100" s="420"/>
      <c r="BI100" s="421"/>
      <c r="BJ100" s="422"/>
      <c r="BK100" s="407"/>
      <c r="BL100" s="422"/>
      <c r="BM100" s="407"/>
      <c r="BN100" s="423"/>
      <c r="BO100" s="424"/>
      <c r="BP100" s="425"/>
      <c r="BQ100" s="426"/>
      <c r="BR100" s="425"/>
      <c r="BS100" s="426"/>
      <c r="BT100" s="427"/>
    </row>
    <row r="101" spans="1:72" s="399" customFormat="1" ht="25.5" customHeight="1" outlineLevel="2">
      <c r="A101" s="287">
        <v>89</v>
      </c>
      <c r="B101" s="933"/>
      <c r="C101" s="859"/>
      <c r="D101" s="841" t="s">
        <v>276</v>
      </c>
      <c r="E101" s="860"/>
      <c r="F101" s="829" t="s">
        <v>7</v>
      </c>
      <c r="G101" s="400">
        <v>4</v>
      </c>
      <c r="H101" s="747" t="s">
        <v>70</v>
      </c>
      <c r="I101" s="747">
        <v>244</v>
      </c>
      <c r="J101" s="748">
        <v>226</v>
      </c>
      <c r="K101" s="538" t="s">
        <v>294</v>
      </c>
      <c r="L101" s="1031">
        <v>0</v>
      </c>
      <c r="M101" s="403"/>
      <c r="N101" s="403"/>
      <c r="O101" s="1063">
        <f t="shared" si="142"/>
        <v>0</v>
      </c>
      <c r="P101" s="565">
        <v>246736.08</v>
      </c>
      <c r="Q101" s="406"/>
      <c r="R101" s="565"/>
      <c r="S101" s="406"/>
      <c r="T101" s="565"/>
      <c r="U101" s="428"/>
      <c r="V101" s="405"/>
      <c r="W101" s="405"/>
      <c r="X101" s="405"/>
      <c r="Z101" s="406">
        <f t="shared" si="169"/>
        <v>0</v>
      </c>
      <c r="AA101" s="407">
        <f t="shared" si="169"/>
        <v>0</v>
      </c>
      <c r="AB101" s="408">
        <f t="shared" si="133"/>
        <v>0</v>
      </c>
      <c r="AC101" s="406">
        <f t="shared" si="170"/>
        <v>0</v>
      </c>
      <c r="AD101" s="407">
        <f t="shared" si="170"/>
        <v>0</v>
      </c>
      <c r="AE101" s="408">
        <f t="shared" si="134"/>
        <v>0</v>
      </c>
      <c r="AF101" s="406">
        <f t="shared" si="171"/>
        <v>0</v>
      </c>
      <c r="AG101" s="407">
        <f t="shared" si="171"/>
        <v>0</v>
      </c>
      <c r="AH101" s="408">
        <f t="shared" si="135"/>
        <v>0</v>
      </c>
      <c r="AI101" s="406">
        <f t="shared" si="172"/>
        <v>0</v>
      </c>
      <c r="AJ101" s="407">
        <f t="shared" si="172"/>
        <v>0</v>
      </c>
      <c r="AK101" s="408">
        <f t="shared" si="136"/>
        <v>0</v>
      </c>
      <c r="AL101" s="409"/>
      <c r="AM101" s="406">
        <f t="shared" si="173"/>
        <v>0</v>
      </c>
      <c r="AN101" s="410">
        <f t="shared" si="173"/>
        <v>0</v>
      </c>
      <c r="AO101" s="411">
        <f t="shared" si="137"/>
        <v>0</v>
      </c>
      <c r="AP101" s="406">
        <f t="shared" si="174"/>
        <v>0</v>
      </c>
      <c r="AQ101" s="410">
        <f t="shared" si="174"/>
        <v>0</v>
      </c>
      <c r="AR101" s="411">
        <f t="shared" si="138"/>
        <v>0</v>
      </c>
      <c r="AS101" s="412">
        <f t="shared" si="167"/>
        <v>0</v>
      </c>
      <c r="AT101" s="410">
        <f t="shared" si="167"/>
        <v>0</v>
      </c>
      <c r="AU101" s="411">
        <f t="shared" si="139"/>
        <v>0</v>
      </c>
      <c r="AV101" s="603">
        <f t="shared" si="140"/>
        <v>0</v>
      </c>
      <c r="AW101" s="413"/>
      <c r="AX101" s="1098"/>
      <c r="AY101" s="415"/>
      <c r="AZ101" s="1098"/>
      <c r="BA101" s="415"/>
      <c r="BB101" s="1120"/>
      <c r="BC101" s="417"/>
      <c r="BD101" s="418"/>
      <c r="BE101" s="419"/>
      <c r="BF101" s="418"/>
      <c r="BG101" s="419"/>
      <c r="BH101" s="420"/>
      <c r="BI101" s="421"/>
      <c r="BJ101" s="422"/>
      <c r="BK101" s="407"/>
      <c r="BL101" s="422"/>
      <c r="BM101" s="407"/>
      <c r="BN101" s="423"/>
      <c r="BO101" s="424"/>
      <c r="BP101" s="425"/>
      <c r="BQ101" s="426"/>
      <c r="BR101" s="425"/>
      <c r="BS101" s="426"/>
      <c r="BT101" s="427"/>
    </row>
    <row r="102" spans="1:72" s="399" customFormat="1" ht="25.5" customHeight="1" outlineLevel="2">
      <c r="A102" s="287">
        <v>90</v>
      </c>
      <c r="B102" s="933"/>
      <c r="C102" s="859"/>
      <c r="D102" s="841" t="s">
        <v>276</v>
      </c>
      <c r="E102" s="860"/>
      <c r="F102" s="829" t="s">
        <v>7</v>
      </c>
      <c r="G102" s="400">
        <v>4</v>
      </c>
      <c r="H102" s="747" t="s">
        <v>70</v>
      </c>
      <c r="I102" s="747">
        <v>244</v>
      </c>
      <c r="J102" s="748">
        <v>226</v>
      </c>
      <c r="K102" s="538" t="s">
        <v>295</v>
      </c>
      <c r="L102" s="1031">
        <v>0</v>
      </c>
      <c r="M102" s="403"/>
      <c r="N102" s="403"/>
      <c r="O102" s="1063">
        <f t="shared" si="142"/>
        <v>0</v>
      </c>
      <c r="P102" s="565">
        <v>299886.7</v>
      </c>
      <c r="Q102" s="406"/>
      <c r="R102" s="565"/>
      <c r="S102" s="406"/>
      <c r="T102" s="565"/>
      <c r="U102" s="428"/>
      <c r="V102" s="405"/>
      <c r="W102" s="405"/>
      <c r="X102" s="405"/>
      <c r="Z102" s="406">
        <f t="shared" si="169"/>
        <v>0</v>
      </c>
      <c r="AA102" s="407">
        <f t="shared" si="169"/>
        <v>0</v>
      </c>
      <c r="AB102" s="408">
        <f t="shared" si="133"/>
        <v>0</v>
      </c>
      <c r="AC102" s="406">
        <f t="shared" si="170"/>
        <v>0</v>
      </c>
      <c r="AD102" s="407">
        <f t="shared" si="170"/>
        <v>0</v>
      </c>
      <c r="AE102" s="408">
        <f t="shared" si="134"/>
        <v>0</v>
      </c>
      <c r="AF102" s="406">
        <f t="shared" si="171"/>
        <v>0</v>
      </c>
      <c r="AG102" s="407">
        <f t="shared" si="171"/>
        <v>0</v>
      </c>
      <c r="AH102" s="408">
        <f t="shared" si="135"/>
        <v>0</v>
      </c>
      <c r="AI102" s="406">
        <f t="shared" si="172"/>
        <v>0</v>
      </c>
      <c r="AJ102" s="407">
        <f t="shared" si="172"/>
        <v>0</v>
      </c>
      <c r="AK102" s="408">
        <f t="shared" si="136"/>
        <v>0</v>
      </c>
      <c r="AL102" s="409"/>
      <c r="AM102" s="406">
        <f t="shared" si="173"/>
        <v>0</v>
      </c>
      <c r="AN102" s="410">
        <f t="shared" si="173"/>
        <v>0</v>
      </c>
      <c r="AO102" s="411">
        <f t="shared" si="137"/>
        <v>0</v>
      </c>
      <c r="AP102" s="406">
        <f t="shared" si="174"/>
        <v>0</v>
      </c>
      <c r="AQ102" s="410">
        <f t="shared" si="174"/>
        <v>0</v>
      </c>
      <c r="AR102" s="411">
        <f t="shared" si="138"/>
        <v>0</v>
      </c>
      <c r="AS102" s="412">
        <f t="shared" si="167"/>
        <v>0</v>
      </c>
      <c r="AT102" s="410">
        <f t="shared" si="167"/>
        <v>0</v>
      </c>
      <c r="AU102" s="411">
        <f t="shared" si="139"/>
        <v>0</v>
      </c>
      <c r="AV102" s="603">
        <f t="shared" si="140"/>
        <v>0</v>
      </c>
      <c r="AW102" s="413"/>
      <c r="AX102" s="1098"/>
      <c r="AY102" s="415"/>
      <c r="AZ102" s="1098"/>
      <c r="BA102" s="415"/>
      <c r="BB102" s="1120"/>
      <c r="BC102" s="417"/>
      <c r="BD102" s="418"/>
      <c r="BE102" s="419"/>
      <c r="BF102" s="418"/>
      <c r="BG102" s="419"/>
      <c r="BH102" s="420"/>
      <c r="BI102" s="421"/>
      <c r="BJ102" s="422"/>
      <c r="BK102" s="407"/>
      <c r="BL102" s="422"/>
      <c r="BM102" s="407"/>
      <c r="BN102" s="423"/>
      <c r="BO102" s="424"/>
      <c r="BP102" s="425"/>
      <c r="BQ102" s="426"/>
      <c r="BR102" s="425"/>
      <c r="BS102" s="426"/>
      <c r="BT102" s="427"/>
    </row>
    <row r="103" spans="1:72" s="399" customFormat="1" ht="25.5" customHeight="1" outlineLevel="2">
      <c r="A103" s="287">
        <v>91</v>
      </c>
      <c r="B103" s="933"/>
      <c r="C103" s="859"/>
      <c r="D103" s="841" t="s">
        <v>276</v>
      </c>
      <c r="E103" s="860"/>
      <c r="F103" s="829" t="s">
        <v>7</v>
      </c>
      <c r="G103" s="400">
        <v>4</v>
      </c>
      <c r="H103" s="747" t="s">
        <v>70</v>
      </c>
      <c r="I103" s="747">
        <v>244</v>
      </c>
      <c r="J103" s="748">
        <v>226</v>
      </c>
      <c r="K103" s="538" t="s">
        <v>296</v>
      </c>
      <c r="L103" s="1031">
        <v>28059.9</v>
      </c>
      <c r="M103" s="403"/>
      <c r="N103" s="403"/>
      <c r="O103" s="1063">
        <f t="shared" si="142"/>
        <v>28059.9</v>
      </c>
      <c r="P103" s="565">
        <v>27268.25</v>
      </c>
      <c r="Q103" s="406"/>
      <c r="R103" s="565"/>
      <c r="S103" s="406"/>
      <c r="T103" s="565"/>
      <c r="U103" s="428"/>
      <c r="V103" s="405"/>
      <c r="W103" s="405"/>
      <c r="X103" s="405"/>
      <c r="Z103" s="406">
        <f t="shared" si="169"/>
        <v>0</v>
      </c>
      <c r="AA103" s="407">
        <f t="shared" si="169"/>
        <v>0</v>
      </c>
      <c r="AB103" s="408">
        <f t="shared" si="133"/>
        <v>0</v>
      </c>
      <c r="AC103" s="406">
        <f t="shared" si="170"/>
        <v>0</v>
      </c>
      <c r="AD103" s="407">
        <f t="shared" si="170"/>
        <v>0</v>
      </c>
      <c r="AE103" s="408">
        <f t="shared" si="134"/>
        <v>0</v>
      </c>
      <c r="AF103" s="406">
        <f t="shared" si="171"/>
        <v>0</v>
      </c>
      <c r="AG103" s="407">
        <f t="shared" si="171"/>
        <v>0</v>
      </c>
      <c r="AH103" s="408">
        <f t="shared" si="135"/>
        <v>0</v>
      </c>
      <c r="AI103" s="406">
        <f t="shared" si="172"/>
        <v>28059.9</v>
      </c>
      <c r="AJ103" s="407">
        <f t="shared" si="172"/>
        <v>0</v>
      </c>
      <c r="AK103" s="408">
        <f t="shared" si="136"/>
        <v>28059.9</v>
      </c>
      <c r="AL103" s="409"/>
      <c r="AM103" s="406">
        <f t="shared" si="173"/>
        <v>0</v>
      </c>
      <c r="AN103" s="410">
        <f t="shared" si="173"/>
        <v>0</v>
      </c>
      <c r="AO103" s="411">
        <f t="shared" si="137"/>
        <v>0</v>
      </c>
      <c r="AP103" s="406">
        <f t="shared" si="174"/>
        <v>0</v>
      </c>
      <c r="AQ103" s="410">
        <f t="shared" si="174"/>
        <v>0</v>
      </c>
      <c r="AR103" s="411">
        <f t="shared" si="138"/>
        <v>0</v>
      </c>
      <c r="AS103" s="412">
        <f t="shared" si="167"/>
        <v>28059.9</v>
      </c>
      <c r="AT103" s="410">
        <f t="shared" si="167"/>
        <v>0</v>
      </c>
      <c r="AU103" s="411">
        <f t="shared" si="139"/>
        <v>28059.9</v>
      </c>
      <c r="AV103" s="603">
        <f t="shared" si="140"/>
        <v>0</v>
      </c>
      <c r="AW103" s="413"/>
      <c r="AX103" s="1098"/>
      <c r="AY103" s="415"/>
      <c r="AZ103" s="1098"/>
      <c r="BA103" s="415"/>
      <c r="BB103" s="1120"/>
      <c r="BC103" s="417"/>
      <c r="BD103" s="418"/>
      <c r="BE103" s="419"/>
      <c r="BF103" s="418"/>
      <c r="BG103" s="419"/>
      <c r="BH103" s="420"/>
      <c r="BI103" s="421"/>
      <c r="BJ103" s="422"/>
      <c r="BK103" s="407"/>
      <c r="BL103" s="422"/>
      <c r="BM103" s="407"/>
      <c r="BN103" s="423"/>
      <c r="BO103" s="424">
        <v>28059.9</v>
      </c>
      <c r="BP103" s="425"/>
      <c r="BQ103" s="426"/>
      <c r="BR103" s="425"/>
      <c r="BS103" s="426"/>
      <c r="BT103" s="427"/>
    </row>
    <row r="104" spans="1:72" s="399" customFormat="1" ht="25.5" customHeight="1" outlineLevel="2">
      <c r="A104" s="287">
        <v>92</v>
      </c>
      <c r="B104" s="933"/>
      <c r="C104" s="859"/>
      <c r="D104" s="841" t="s">
        <v>276</v>
      </c>
      <c r="E104" s="860"/>
      <c r="F104" s="829" t="s">
        <v>7</v>
      </c>
      <c r="G104" s="400">
        <v>4</v>
      </c>
      <c r="H104" s="747" t="s">
        <v>70</v>
      </c>
      <c r="I104" s="747">
        <v>244</v>
      </c>
      <c r="J104" s="748">
        <v>226</v>
      </c>
      <c r="K104" s="538" t="s">
        <v>288</v>
      </c>
      <c r="L104" s="1031">
        <v>5000</v>
      </c>
      <c r="M104" s="403"/>
      <c r="N104" s="403"/>
      <c r="O104" s="1063">
        <f t="shared" si="142"/>
        <v>5000</v>
      </c>
      <c r="P104" s="565">
        <v>0</v>
      </c>
      <c r="Q104" s="406"/>
      <c r="R104" s="565"/>
      <c r="S104" s="406"/>
      <c r="T104" s="565"/>
      <c r="U104" s="428"/>
      <c r="V104" s="405"/>
      <c r="W104" s="405"/>
      <c r="X104" s="405"/>
      <c r="Z104" s="406">
        <f t="shared" si="169"/>
        <v>0</v>
      </c>
      <c r="AA104" s="407">
        <f t="shared" si="169"/>
        <v>0</v>
      </c>
      <c r="AB104" s="408">
        <f t="shared" si="133"/>
        <v>0</v>
      </c>
      <c r="AC104" s="406">
        <f t="shared" si="170"/>
        <v>0</v>
      </c>
      <c r="AD104" s="407">
        <f t="shared" si="170"/>
        <v>0</v>
      </c>
      <c r="AE104" s="408">
        <f t="shared" si="134"/>
        <v>0</v>
      </c>
      <c r="AF104" s="406">
        <f t="shared" si="171"/>
        <v>0</v>
      </c>
      <c r="AG104" s="407">
        <f t="shared" si="171"/>
        <v>0</v>
      </c>
      <c r="AH104" s="408">
        <f t="shared" si="135"/>
        <v>0</v>
      </c>
      <c r="AI104" s="406">
        <f t="shared" si="172"/>
        <v>5000</v>
      </c>
      <c r="AJ104" s="407">
        <f t="shared" si="172"/>
        <v>0</v>
      </c>
      <c r="AK104" s="408">
        <f t="shared" si="136"/>
        <v>5000</v>
      </c>
      <c r="AL104" s="409"/>
      <c r="AM104" s="406">
        <f t="shared" si="173"/>
        <v>0</v>
      </c>
      <c r="AN104" s="410">
        <f t="shared" si="173"/>
        <v>0</v>
      </c>
      <c r="AO104" s="411">
        <f t="shared" si="137"/>
        <v>0</v>
      </c>
      <c r="AP104" s="406">
        <f t="shared" si="174"/>
        <v>0</v>
      </c>
      <c r="AQ104" s="410">
        <f t="shared" si="174"/>
        <v>0</v>
      </c>
      <c r="AR104" s="411">
        <f t="shared" si="138"/>
        <v>0</v>
      </c>
      <c r="AS104" s="412">
        <f t="shared" si="167"/>
        <v>5000</v>
      </c>
      <c r="AT104" s="410">
        <f t="shared" si="167"/>
        <v>0</v>
      </c>
      <c r="AU104" s="411">
        <f t="shared" si="139"/>
        <v>5000</v>
      </c>
      <c r="AV104" s="603">
        <f t="shared" si="140"/>
        <v>0</v>
      </c>
      <c r="AW104" s="413"/>
      <c r="AX104" s="1098"/>
      <c r="AY104" s="415"/>
      <c r="AZ104" s="1098"/>
      <c r="BA104" s="415"/>
      <c r="BB104" s="1120"/>
      <c r="BC104" s="417"/>
      <c r="BD104" s="418"/>
      <c r="BE104" s="419"/>
      <c r="BF104" s="418"/>
      <c r="BG104" s="419"/>
      <c r="BH104" s="420"/>
      <c r="BI104" s="421"/>
      <c r="BJ104" s="422"/>
      <c r="BK104" s="407"/>
      <c r="BL104" s="422"/>
      <c r="BM104" s="407"/>
      <c r="BN104" s="423"/>
      <c r="BO104" s="424">
        <v>5000</v>
      </c>
      <c r="BP104" s="425"/>
      <c r="BQ104" s="426"/>
      <c r="BR104" s="425"/>
      <c r="BS104" s="426"/>
      <c r="BT104" s="427"/>
    </row>
    <row r="105" spans="1:72" s="399" customFormat="1" ht="25.5" customHeight="1" outlineLevel="2">
      <c r="A105" s="287">
        <v>93</v>
      </c>
      <c r="B105" s="933"/>
      <c r="C105" s="859"/>
      <c r="D105" s="841" t="s">
        <v>276</v>
      </c>
      <c r="E105" s="860"/>
      <c r="F105" s="829" t="s">
        <v>7</v>
      </c>
      <c r="G105" s="400">
        <v>4</v>
      </c>
      <c r="H105" s="747" t="s">
        <v>70</v>
      </c>
      <c r="I105" s="747">
        <v>244</v>
      </c>
      <c r="J105" s="748">
        <v>226</v>
      </c>
      <c r="K105" s="538" t="s">
        <v>297</v>
      </c>
      <c r="L105" s="1031">
        <v>0</v>
      </c>
      <c r="M105" s="403"/>
      <c r="N105" s="403"/>
      <c r="O105" s="1063">
        <f t="shared" si="142"/>
        <v>0</v>
      </c>
      <c r="P105" s="565">
        <v>2333.33</v>
      </c>
      <c r="Q105" s="406"/>
      <c r="R105" s="565"/>
      <c r="S105" s="406"/>
      <c r="T105" s="565"/>
      <c r="U105" s="428"/>
      <c r="V105" s="405"/>
      <c r="W105" s="405"/>
      <c r="X105" s="405"/>
      <c r="Z105" s="406">
        <f t="shared" si="169"/>
        <v>0</v>
      </c>
      <c r="AA105" s="407">
        <f t="shared" si="169"/>
        <v>0</v>
      </c>
      <c r="AB105" s="408">
        <f t="shared" si="133"/>
        <v>0</v>
      </c>
      <c r="AC105" s="406">
        <f t="shared" si="170"/>
        <v>0</v>
      </c>
      <c r="AD105" s="407">
        <f t="shared" si="170"/>
        <v>0</v>
      </c>
      <c r="AE105" s="408">
        <f t="shared" si="134"/>
        <v>0</v>
      </c>
      <c r="AF105" s="406">
        <f t="shared" si="171"/>
        <v>0</v>
      </c>
      <c r="AG105" s="407">
        <f t="shared" si="171"/>
        <v>0</v>
      </c>
      <c r="AH105" s="408">
        <f t="shared" si="135"/>
        <v>0</v>
      </c>
      <c r="AI105" s="406">
        <f t="shared" si="172"/>
        <v>0</v>
      </c>
      <c r="AJ105" s="407">
        <f t="shared" si="172"/>
        <v>0</v>
      </c>
      <c r="AK105" s="408">
        <f t="shared" si="136"/>
        <v>0</v>
      </c>
      <c r="AL105" s="409"/>
      <c r="AM105" s="406">
        <f t="shared" si="173"/>
        <v>0</v>
      </c>
      <c r="AN105" s="410">
        <f t="shared" si="173"/>
        <v>0</v>
      </c>
      <c r="AO105" s="411">
        <f t="shared" si="137"/>
        <v>0</v>
      </c>
      <c r="AP105" s="406">
        <f t="shared" si="174"/>
        <v>0</v>
      </c>
      <c r="AQ105" s="410">
        <f t="shared" si="174"/>
        <v>0</v>
      </c>
      <c r="AR105" s="411">
        <f t="shared" si="138"/>
        <v>0</v>
      </c>
      <c r="AS105" s="412">
        <f t="shared" si="167"/>
        <v>0</v>
      </c>
      <c r="AT105" s="410">
        <f t="shared" si="167"/>
        <v>0</v>
      </c>
      <c r="AU105" s="411">
        <f t="shared" si="139"/>
        <v>0</v>
      </c>
      <c r="AV105" s="603">
        <f t="shared" si="140"/>
        <v>0</v>
      </c>
      <c r="AW105" s="413"/>
      <c r="AX105" s="1098"/>
      <c r="AY105" s="415"/>
      <c r="AZ105" s="1098"/>
      <c r="BA105" s="415"/>
      <c r="BB105" s="1120"/>
      <c r="BC105" s="417"/>
      <c r="BD105" s="418"/>
      <c r="BE105" s="419"/>
      <c r="BF105" s="418"/>
      <c r="BG105" s="419"/>
      <c r="BH105" s="420"/>
      <c r="BI105" s="421"/>
      <c r="BJ105" s="422"/>
      <c r="BK105" s="407"/>
      <c r="BL105" s="422"/>
      <c r="BM105" s="407"/>
      <c r="BN105" s="423"/>
      <c r="BO105" s="424"/>
      <c r="BP105" s="425"/>
      <c r="BQ105" s="426"/>
      <c r="BR105" s="425"/>
      <c r="BS105" s="426"/>
      <c r="BT105" s="427"/>
    </row>
    <row r="106" spans="1:72" s="430" customFormat="1" ht="25.5" customHeight="1" outlineLevel="2">
      <c r="A106" s="287">
        <v>94</v>
      </c>
      <c r="B106" s="933"/>
      <c r="C106" s="743"/>
      <c r="D106" s="856" t="s">
        <v>276</v>
      </c>
      <c r="E106" s="857"/>
      <c r="F106" s="827" t="s">
        <v>7</v>
      </c>
      <c r="G106" s="431">
        <v>4</v>
      </c>
      <c r="H106" s="474" t="s">
        <v>70</v>
      </c>
      <c r="I106" s="743">
        <v>244</v>
      </c>
      <c r="J106" s="744">
        <v>226</v>
      </c>
      <c r="K106" s="536" t="s">
        <v>284</v>
      </c>
      <c r="L106" s="1030"/>
      <c r="M106" s="434"/>
      <c r="N106" s="434"/>
      <c r="O106" s="1064">
        <f t="shared" si="142"/>
        <v>0</v>
      </c>
      <c r="P106" s="563"/>
      <c r="Q106" s="437"/>
      <c r="R106" s="563"/>
      <c r="S106" s="437"/>
      <c r="T106" s="563"/>
      <c r="U106" s="467"/>
      <c r="V106" s="436"/>
      <c r="W106" s="436"/>
      <c r="X106" s="436"/>
      <c r="Z106" s="437">
        <f t="shared" si="169"/>
        <v>0</v>
      </c>
      <c r="AA106" s="438">
        <f t="shared" si="169"/>
        <v>0</v>
      </c>
      <c r="AB106" s="439">
        <f t="shared" si="133"/>
        <v>0</v>
      </c>
      <c r="AC106" s="437">
        <f t="shared" si="170"/>
        <v>0</v>
      </c>
      <c r="AD106" s="438">
        <f t="shared" si="170"/>
        <v>0</v>
      </c>
      <c r="AE106" s="439">
        <f t="shared" si="134"/>
        <v>0</v>
      </c>
      <c r="AF106" s="437">
        <f t="shared" si="171"/>
        <v>0</v>
      </c>
      <c r="AG106" s="438">
        <f t="shared" si="171"/>
        <v>0</v>
      </c>
      <c r="AH106" s="439">
        <f t="shared" si="135"/>
        <v>0</v>
      </c>
      <c r="AI106" s="437">
        <f t="shared" si="172"/>
        <v>0</v>
      </c>
      <c r="AJ106" s="438">
        <f t="shared" si="172"/>
        <v>0</v>
      </c>
      <c r="AK106" s="439">
        <f t="shared" si="136"/>
        <v>0</v>
      </c>
      <c r="AL106" s="440"/>
      <c r="AM106" s="437">
        <f t="shared" si="173"/>
        <v>0</v>
      </c>
      <c r="AN106" s="441">
        <f t="shared" si="173"/>
        <v>0</v>
      </c>
      <c r="AO106" s="442">
        <f t="shared" si="137"/>
        <v>0</v>
      </c>
      <c r="AP106" s="437">
        <f t="shared" si="174"/>
        <v>0</v>
      </c>
      <c r="AQ106" s="441">
        <f t="shared" si="174"/>
        <v>0</v>
      </c>
      <c r="AR106" s="442">
        <f t="shared" si="138"/>
        <v>0</v>
      </c>
      <c r="AS106" s="443">
        <f t="shared" si="167"/>
        <v>0</v>
      </c>
      <c r="AT106" s="441">
        <f t="shared" si="167"/>
        <v>0</v>
      </c>
      <c r="AU106" s="442">
        <f t="shared" si="139"/>
        <v>0</v>
      </c>
      <c r="AV106" s="601">
        <f t="shared" si="140"/>
        <v>0</v>
      </c>
      <c r="AW106" s="444"/>
      <c r="AX106" s="1111"/>
      <c r="AY106" s="446"/>
      <c r="AZ106" s="1111"/>
      <c r="BA106" s="446"/>
      <c r="BB106" s="1129"/>
      <c r="BC106" s="448"/>
      <c r="BD106" s="449"/>
      <c r="BE106" s="450"/>
      <c r="BF106" s="449"/>
      <c r="BG106" s="450"/>
      <c r="BH106" s="451"/>
      <c r="BI106" s="452"/>
      <c r="BJ106" s="453"/>
      <c r="BK106" s="438"/>
      <c r="BL106" s="453"/>
      <c r="BM106" s="438"/>
      <c r="BN106" s="454"/>
      <c r="BO106" s="455"/>
      <c r="BP106" s="456"/>
      <c r="BQ106" s="457"/>
      <c r="BR106" s="456"/>
      <c r="BS106" s="457"/>
      <c r="BT106" s="458"/>
    </row>
    <row r="107" spans="1:72" s="459" customFormat="1" ht="66.75" customHeight="1" outlineLevel="1">
      <c r="A107" s="287">
        <v>95</v>
      </c>
      <c r="B107" s="933"/>
      <c r="C107" s="850" t="s">
        <v>378</v>
      </c>
      <c r="D107" s="854" t="s">
        <v>274</v>
      </c>
      <c r="E107" s="855"/>
      <c r="F107" s="826" t="s">
        <v>7</v>
      </c>
      <c r="G107" s="462">
        <v>4</v>
      </c>
      <c r="H107" s="741" t="s">
        <v>70</v>
      </c>
      <c r="I107" s="741">
        <v>244</v>
      </c>
      <c r="J107" s="742">
        <v>226</v>
      </c>
      <c r="K107" s="535" t="s">
        <v>283</v>
      </c>
      <c r="L107" s="1028">
        <v>345187.83</v>
      </c>
      <c r="M107" s="352"/>
      <c r="N107" s="352"/>
      <c r="O107" s="1062">
        <f t="shared" si="142"/>
        <v>345187.83</v>
      </c>
      <c r="P107" s="561"/>
      <c r="Q107" s="464"/>
      <c r="R107" s="561"/>
      <c r="S107" s="464"/>
      <c r="T107" s="561"/>
      <c r="U107" s="393"/>
      <c r="V107" s="394"/>
      <c r="W107" s="394"/>
      <c r="X107" s="394"/>
      <c r="Y107" s="392"/>
      <c r="Z107" s="395">
        <f t="shared" si="169"/>
        <v>0</v>
      </c>
      <c r="AA107" s="396">
        <f t="shared" si="169"/>
        <v>0</v>
      </c>
      <c r="AB107" s="397">
        <f t="shared" si="133"/>
        <v>0</v>
      </c>
      <c r="AC107" s="395">
        <f t="shared" si="170"/>
        <v>0</v>
      </c>
      <c r="AD107" s="396">
        <f t="shared" si="170"/>
        <v>0</v>
      </c>
      <c r="AE107" s="397">
        <f t="shared" si="134"/>
        <v>0</v>
      </c>
      <c r="AF107" s="395">
        <f t="shared" si="171"/>
        <v>0</v>
      </c>
      <c r="AG107" s="396">
        <f t="shared" si="171"/>
        <v>0</v>
      </c>
      <c r="AH107" s="397">
        <f t="shared" si="135"/>
        <v>0</v>
      </c>
      <c r="AI107" s="395">
        <f t="shared" si="172"/>
        <v>345187.83</v>
      </c>
      <c r="AJ107" s="396">
        <f t="shared" si="172"/>
        <v>0</v>
      </c>
      <c r="AK107" s="397">
        <f t="shared" si="136"/>
        <v>345187.83</v>
      </c>
      <c r="AL107" s="398"/>
      <c r="AM107" s="464">
        <f t="shared" si="173"/>
        <v>0</v>
      </c>
      <c r="AN107" s="352">
        <f t="shared" si="173"/>
        <v>0</v>
      </c>
      <c r="AO107" s="465">
        <f t="shared" si="137"/>
        <v>0</v>
      </c>
      <c r="AP107" s="464">
        <f t="shared" si="174"/>
        <v>0</v>
      </c>
      <c r="AQ107" s="352">
        <f t="shared" si="174"/>
        <v>0</v>
      </c>
      <c r="AR107" s="465">
        <f t="shared" si="138"/>
        <v>0</v>
      </c>
      <c r="AS107" s="464">
        <f t="shared" ref="AS107:AT166" si="176">Z107+AC107+AF107+AI107</f>
        <v>345187.83</v>
      </c>
      <c r="AT107" s="352">
        <f t="shared" si="176"/>
        <v>0</v>
      </c>
      <c r="AU107" s="465">
        <f t="shared" si="139"/>
        <v>345187.83</v>
      </c>
      <c r="AV107" s="600">
        <f t="shared" si="140"/>
        <v>0</v>
      </c>
      <c r="AW107" s="464">
        <f t="shared" ref="AW107:BT107" si="177">SUM(AW108:AW110)</f>
        <v>0</v>
      </c>
      <c r="AX107" s="1110">
        <f t="shared" si="177"/>
        <v>0</v>
      </c>
      <c r="AY107" s="352">
        <f t="shared" si="177"/>
        <v>0</v>
      </c>
      <c r="AZ107" s="1110">
        <f t="shared" si="177"/>
        <v>0</v>
      </c>
      <c r="BA107" s="352">
        <f t="shared" si="177"/>
        <v>0</v>
      </c>
      <c r="BB107" s="1128">
        <f t="shared" si="177"/>
        <v>0</v>
      </c>
      <c r="BC107" s="464">
        <f t="shared" si="177"/>
        <v>0</v>
      </c>
      <c r="BD107" s="352">
        <f t="shared" si="177"/>
        <v>0</v>
      </c>
      <c r="BE107" s="352">
        <f t="shared" si="177"/>
        <v>0</v>
      </c>
      <c r="BF107" s="352">
        <f t="shared" si="177"/>
        <v>0</v>
      </c>
      <c r="BG107" s="352">
        <f t="shared" si="177"/>
        <v>0</v>
      </c>
      <c r="BH107" s="353">
        <f t="shared" si="177"/>
        <v>0</v>
      </c>
      <c r="BI107" s="464">
        <f t="shared" si="177"/>
        <v>0</v>
      </c>
      <c r="BJ107" s="352">
        <f t="shared" si="177"/>
        <v>0</v>
      </c>
      <c r="BK107" s="352">
        <f t="shared" si="177"/>
        <v>0</v>
      </c>
      <c r="BL107" s="352">
        <f t="shared" si="177"/>
        <v>0</v>
      </c>
      <c r="BM107" s="352">
        <f t="shared" si="177"/>
        <v>0</v>
      </c>
      <c r="BN107" s="353">
        <f t="shared" si="177"/>
        <v>0</v>
      </c>
      <c r="BO107" s="464">
        <f t="shared" si="177"/>
        <v>0</v>
      </c>
      <c r="BP107" s="352">
        <f t="shared" si="177"/>
        <v>0</v>
      </c>
      <c r="BQ107" s="352">
        <f t="shared" si="177"/>
        <v>345187.83</v>
      </c>
      <c r="BR107" s="352">
        <f t="shared" si="177"/>
        <v>0</v>
      </c>
      <c r="BS107" s="352">
        <f t="shared" si="177"/>
        <v>0</v>
      </c>
      <c r="BT107" s="465">
        <f t="shared" si="177"/>
        <v>0</v>
      </c>
    </row>
    <row r="108" spans="1:72" s="313" customFormat="1" ht="38.25" customHeight="1" outlineLevel="2">
      <c r="A108" s="287">
        <v>96</v>
      </c>
      <c r="B108" s="933"/>
      <c r="C108" s="840"/>
      <c r="D108" s="841" t="s">
        <v>274</v>
      </c>
      <c r="E108" s="839"/>
      <c r="F108" s="821" t="s">
        <v>7</v>
      </c>
      <c r="G108" s="314">
        <v>4</v>
      </c>
      <c r="H108" s="739" t="s">
        <v>70</v>
      </c>
      <c r="I108" s="739">
        <v>244</v>
      </c>
      <c r="J108" s="740">
        <v>226</v>
      </c>
      <c r="K108" s="533" t="s">
        <v>290</v>
      </c>
      <c r="L108" s="1031">
        <v>340187.83</v>
      </c>
      <c r="M108" s="318"/>
      <c r="N108" s="318"/>
      <c r="O108" s="1052">
        <f t="shared" si="142"/>
        <v>340187.83</v>
      </c>
      <c r="P108" s="562"/>
      <c r="Q108" s="336"/>
      <c r="R108" s="562"/>
      <c r="S108" s="336"/>
      <c r="T108" s="562"/>
      <c r="U108" s="466"/>
      <c r="V108" s="320"/>
      <c r="W108" s="320"/>
      <c r="X108" s="320"/>
      <c r="Z108" s="336">
        <f t="shared" si="169"/>
        <v>0</v>
      </c>
      <c r="AA108" s="337">
        <f t="shared" si="169"/>
        <v>0</v>
      </c>
      <c r="AB108" s="338">
        <f t="shared" si="133"/>
        <v>0</v>
      </c>
      <c r="AC108" s="336">
        <f t="shared" si="170"/>
        <v>0</v>
      </c>
      <c r="AD108" s="337">
        <f t="shared" si="170"/>
        <v>0</v>
      </c>
      <c r="AE108" s="338">
        <f t="shared" si="134"/>
        <v>0</v>
      </c>
      <c r="AF108" s="336">
        <f t="shared" si="171"/>
        <v>0</v>
      </c>
      <c r="AG108" s="337">
        <f t="shared" si="171"/>
        <v>0</v>
      </c>
      <c r="AH108" s="338">
        <f t="shared" si="135"/>
        <v>0</v>
      </c>
      <c r="AI108" s="336">
        <f t="shared" si="172"/>
        <v>340187.83</v>
      </c>
      <c r="AJ108" s="337">
        <f t="shared" si="172"/>
        <v>0</v>
      </c>
      <c r="AK108" s="338">
        <f t="shared" si="136"/>
        <v>340187.83</v>
      </c>
      <c r="AL108" s="342"/>
      <c r="AM108" s="336">
        <f t="shared" si="173"/>
        <v>0</v>
      </c>
      <c r="AN108" s="339">
        <f t="shared" si="173"/>
        <v>0</v>
      </c>
      <c r="AO108" s="340">
        <f t="shared" si="137"/>
        <v>0</v>
      </c>
      <c r="AP108" s="336">
        <f t="shared" si="174"/>
        <v>0</v>
      </c>
      <c r="AQ108" s="339">
        <f t="shared" si="174"/>
        <v>0</v>
      </c>
      <c r="AR108" s="340">
        <f t="shared" si="138"/>
        <v>0</v>
      </c>
      <c r="AS108" s="341">
        <f t="shared" si="176"/>
        <v>340187.83</v>
      </c>
      <c r="AT108" s="339">
        <f t="shared" si="176"/>
        <v>0</v>
      </c>
      <c r="AU108" s="340">
        <f t="shared" si="139"/>
        <v>340187.83</v>
      </c>
      <c r="AV108" s="589">
        <f t="shared" si="140"/>
        <v>0</v>
      </c>
      <c r="AW108" s="343"/>
      <c r="AX108" s="1098"/>
      <c r="AY108" s="345"/>
      <c r="AZ108" s="1098"/>
      <c r="BA108" s="345"/>
      <c r="BB108" s="1120"/>
      <c r="BC108" s="347"/>
      <c r="BD108" s="348"/>
      <c r="BE108" s="349"/>
      <c r="BF108" s="348"/>
      <c r="BG108" s="349"/>
      <c r="BH108" s="350"/>
      <c r="BI108" s="351"/>
      <c r="BJ108" s="352"/>
      <c r="BK108" s="337"/>
      <c r="BL108" s="352"/>
      <c r="BM108" s="337"/>
      <c r="BN108" s="353"/>
      <c r="BO108" s="354"/>
      <c r="BP108" s="355"/>
      <c r="BQ108" s="356">
        <v>340187.83</v>
      </c>
      <c r="BR108" s="355"/>
      <c r="BS108" s="356"/>
      <c r="BT108" s="357"/>
    </row>
    <row r="109" spans="1:72" s="313" customFormat="1" ht="25.5" customHeight="1" outlineLevel="2">
      <c r="A109" s="287">
        <v>97</v>
      </c>
      <c r="B109" s="933"/>
      <c r="C109" s="840"/>
      <c r="D109" s="841" t="s">
        <v>274</v>
      </c>
      <c r="E109" s="839"/>
      <c r="F109" s="821" t="s">
        <v>7</v>
      </c>
      <c r="G109" s="314">
        <v>4</v>
      </c>
      <c r="H109" s="739" t="s">
        <v>70</v>
      </c>
      <c r="I109" s="739">
        <v>244</v>
      </c>
      <c r="J109" s="740">
        <v>226</v>
      </c>
      <c r="K109" s="533" t="s">
        <v>288</v>
      </c>
      <c r="L109" s="1031">
        <v>5000</v>
      </c>
      <c r="M109" s="318"/>
      <c r="N109" s="318"/>
      <c r="O109" s="1052">
        <f t="shared" si="142"/>
        <v>5000</v>
      </c>
      <c r="P109" s="562"/>
      <c r="Q109" s="336"/>
      <c r="R109" s="562"/>
      <c r="S109" s="336"/>
      <c r="T109" s="562"/>
      <c r="U109" s="466"/>
      <c r="V109" s="320"/>
      <c r="W109" s="320"/>
      <c r="X109" s="320"/>
      <c r="Z109" s="336">
        <f t="shared" si="169"/>
        <v>0</v>
      </c>
      <c r="AA109" s="337">
        <f t="shared" si="169"/>
        <v>0</v>
      </c>
      <c r="AB109" s="338">
        <f t="shared" si="133"/>
        <v>0</v>
      </c>
      <c r="AC109" s="336">
        <f t="shared" si="170"/>
        <v>0</v>
      </c>
      <c r="AD109" s="337">
        <f t="shared" si="170"/>
        <v>0</v>
      </c>
      <c r="AE109" s="338">
        <f t="shared" si="134"/>
        <v>0</v>
      </c>
      <c r="AF109" s="336">
        <f t="shared" si="171"/>
        <v>0</v>
      </c>
      <c r="AG109" s="337">
        <f t="shared" si="171"/>
        <v>0</v>
      </c>
      <c r="AH109" s="338">
        <f t="shared" si="135"/>
        <v>0</v>
      </c>
      <c r="AI109" s="336">
        <f t="shared" si="172"/>
        <v>5000</v>
      </c>
      <c r="AJ109" s="337">
        <f t="shared" si="172"/>
        <v>0</v>
      </c>
      <c r="AK109" s="338">
        <f t="shared" si="136"/>
        <v>5000</v>
      </c>
      <c r="AL109" s="342"/>
      <c r="AM109" s="336">
        <f t="shared" si="173"/>
        <v>0</v>
      </c>
      <c r="AN109" s="339">
        <f t="shared" si="173"/>
        <v>0</v>
      </c>
      <c r="AO109" s="340">
        <f t="shared" si="137"/>
        <v>0</v>
      </c>
      <c r="AP109" s="336">
        <f t="shared" si="174"/>
        <v>0</v>
      </c>
      <c r="AQ109" s="339">
        <f t="shared" si="174"/>
        <v>0</v>
      </c>
      <c r="AR109" s="340">
        <f t="shared" si="138"/>
        <v>0</v>
      </c>
      <c r="AS109" s="341">
        <f t="shared" si="176"/>
        <v>5000</v>
      </c>
      <c r="AT109" s="339">
        <f t="shared" si="176"/>
        <v>0</v>
      </c>
      <c r="AU109" s="340">
        <f t="shared" si="139"/>
        <v>5000</v>
      </c>
      <c r="AV109" s="589">
        <f t="shared" si="140"/>
        <v>0</v>
      </c>
      <c r="AW109" s="343"/>
      <c r="AX109" s="1098"/>
      <c r="AY109" s="345"/>
      <c r="AZ109" s="1098"/>
      <c r="BA109" s="345"/>
      <c r="BB109" s="1120"/>
      <c r="BC109" s="347"/>
      <c r="BD109" s="348"/>
      <c r="BE109" s="349"/>
      <c r="BF109" s="348"/>
      <c r="BG109" s="349"/>
      <c r="BH109" s="350"/>
      <c r="BI109" s="351"/>
      <c r="BJ109" s="352"/>
      <c r="BK109" s="337"/>
      <c r="BL109" s="352"/>
      <c r="BM109" s="337"/>
      <c r="BN109" s="353"/>
      <c r="BO109" s="354"/>
      <c r="BP109" s="355"/>
      <c r="BQ109" s="356">
        <v>5000</v>
      </c>
      <c r="BR109" s="355"/>
      <c r="BS109" s="356"/>
      <c r="BT109" s="357"/>
    </row>
    <row r="110" spans="1:72" s="430" customFormat="1" ht="25.5" customHeight="1" outlineLevel="2">
      <c r="A110" s="287">
        <v>98</v>
      </c>
      <c r="B110" s="933"/>
      <c r="C110" s="743"/>
      <c r="D110" s="856" t="s">
        <v>274</v>
      </c>
      <c r="E110" s="857"/>
      <c r="F110" s="827" t="s">
        <v>7</v>
      </c>
      <c r="G110" s="431">
        <v>4</v>
      </c>
      <c r="H110" s="474" t="s">
        <v>70</v>
      </c>
      <c r="I110" s="743">
        <v>244</v>
      </c>
      <c r="J110" s="744">
        <v>226</v>
      </c>
      <c r="K110" s="536" t="s">
        <v>284</v>
      </c>
      <c r="L110" s="1030"/>
      <c r="M110" s="434"/>
      <c r="N110" s="434"/>
      <c r="O110" s="1064">
        <f t="shared" si="142"/>
        <v>0</v>
      </c>
      <c r="P110" s="563"/>
      <c r="Q110" s="437"/>
      <c r="R110" s="563"/>
      <c r="S110" s="437"/>
      <c r="T110" s="563"/>
      <c r="U110" s="467"/>
      <c r="V110" s="436"/>
      <c r="W110" s="436"/>
      <c r="X110" s="436"/>
      <c r="Z110" s="437">
        <f t="shared" si="169"/>
        <v>0</v>
      </c>
      <c r="AA110" s="438">
        <f t="shared" si="169"/>
        <v>0</v>
      </c>
      <c r="AB110" s="439">
        <f t="shared" si="133"/>
        <v>0</v>
      </c>
      <c r="AC110" s="437">
        <f t="shared" si="170"/>
        <v>0</v>
      </c>
      <c r="AD110" s="438">
        <f t="shared" si="170"/>
        <v>0</v>
      </c>
      <c r="AE110" s="439">
        <f t="shared" si="134"/>
        <v>0</v>
      </c>
      <c r="AF110" s="437">
        <f t="shared" si="171"/>
        <v>0</v>
      </c>
      <c r="AG110" s="438">
        <f t="shared" si="171"/>
        <v>0</v>
      </c>
      <c r="AH110" s="439">
        <f t="shared" si="135"/>
        <v>0</v>
      </c>
      <c r="AI110" s="437">
        <f t="shared" si="172"/>
        <v>0</v>
      </c>
      <c r="AJ110" s="438">
        <f t="shared" si="172"/>
        <v>0</v>
      </c>
      <c r="AK110" s="439">
        <f t="shared" si="136"/>
        <v>0</v>
      </c>
      <c r="AL110" s="440"/>
      <c r="AM110" s="437">
        <f t="shared" si="173"/>
        <v>0</v>
      </c>
      <c r="AN110" s="441">
        <f t="shared" si="173"/>
        <v>0</v>
      </c>
      <c r="AO110" s="442">
        <f t="shared" si="137"/>
        <v>0</v>
      </c>
      <c r="AP110" s="437">
        <f t="shared" si="174"/>
        <v>0</v>
      </c>
      <c r="AQ110" s="441">
        <f t="shared" si="174"/>
        <v>0</v>
      </c>
      <c r="AR110" s="442">
        <f t="shared" si="138"/>
        <v>0</v>
      </c>
      <c r="AS110" s="443">
        <f t="shared" si="176"/>
        <v>0</v>
      </c>
      <c r="AT110" s="441">
        <f t="shared" si="176"/>
        <v>0</v>
      </c>
      <c r="AU110" s="442">
        <f t="shared" si="139"/>
        <v>0</v>
      </c>
      <c r="AV110" s="601">
        <f t="shared" si="140"/>
        <v>0</v>
      </c>
      <c r="AW110" s="444"/>
      <c r="AX110" s="1111"/>
      <c r="AY110" s="446"/>
      <c r="AZ110" s="1111"/>
      <c r="BA110" s="446"/>
      <c r="BB110" s="1129"/>
      <c r="BC110" s="448"/>
      <c r="BD110" s="449"/>
      <c r="BE110" s="450"/>
      <c r="BF110" s="449"/>
      <c r="BG110" s="450"/>
      <c r="BH110" s="451"/>
      <c r="BI110" s="452"/>
      <c r="BJ110" s="453"/>
      <c r="BK110" s="438"/>
      <c r="BL110" s="453"/>
      <c r="BM110" s="438"/>
      <c r="BN110" s="454"/>
      <c r="BO110" s="455"/>
      <c r="BP110" s="456"/>
      <c r="BQ110" s="457"/>
      <c r="BR110" s="456"/>
      <c r="BS110" s="457"/>
      <c r="BT110" s="458"/>
    </row>
    <row r="111" spans="1:72" s="468" customFormat="1" ht="72.75" customHeight="1" outlineLevel="1">
      <c r="A111" s="287">
        <v>99</v>
      </c>
      <c r="B111" s="933"/>
      <c r="C111" s="850" t="s">
        <v>378</v>
      </c>
      <c r="D111" s="854" t="s">
        <v>277</v>
      </c>
      <c r="E111" s="858"/>
      <c r="F111" s="828" t="s">
        <v>7</v>
      </c>
      <c r="G111" s="469">
        <v>4</v>
      </c>
      <c r="H111" s="745" t="s">
        <v>70</v>
      </c>
      <c r="I111" s="745">
        <v>244</v>
      </c>
      <c r="J111" s="746">
        <v>226</v>
      </c>
      <c r="K111" s="537" t="s">
        <v>282</v>
      </c>
      <c r="L111" s="1032">
        <v>93059.77</v>
      </c>
      <c r="M111" s="422"/>
      <c r="N111" s="422"/>
      <c r="O111" s="1065">
        <f t="shared" si="142"/>
        <v>93059.77</v>
      </c>
      <c r="P111" s="564"/>
      <c r="Q111" s="472"/>
      <c r="R111" s="564"/>
      <c r="S111" s="472"/>
      <c r="T111" s="564"/>
      <c r="U111" s="393"/>
      <c r="V111" s="394"/>
      <c r="W111" s="394"/>
      <c r="X111" s="394"/>
      <c r="Y111" s="392"/>
      <c r="Z111" s="395">
        <f t="shared" si="169"/>
        <v>0</v>
      </c>
      <c r="AA111" s="396">
        <f t="shared" si="169"/>
        <v>0</v>
      </c>
      <c r="AB111" s="397">
        <f t="shared" si="133"/>
        <v>0</v>
      </c>
      <c r="AC111" s="395">
        <f t="shared" si="170"/>
        <v>0</v>
      </c>
      <c r="AD111" s="396">
        <f t="shared" si="170"/>
        <v>0</v>
      </c>
      <c r="AE111" s="397">
        <f t="shared" si="134"/>
        <v>0</v>
      </c>
      <c r="AF111" s="395">
        <f t="shared" si="171"/>
        <v>0</v>
      </c>
      <c r="AG111" s="396">
        <f t="shared" si="171"/>
        <v>0</v>
      </c>
      <c r="AH111" s="397">
        <f t="shared" si="135"/>
        <v>0</v>
      </c>
      <c r="AI111" s="395">
        <f t="shared" si="172"/>
        <v>93059.77</v>
      </c>
      <c r="AJ111" s="396">
        <f t="shared" si="172"/>
        <v>0</v>
      </c>
      <c r="AK111" s="397">
        <f t="shared" si="136"/>
        <v>93059.77</v>
      </c>
      <c r="AL111" s="398"/>
      <c r="AM111" s="472">
        <f t="shared" si="173"/>
        <v>0</v>
      </c>
      <c r="AN111" s="422">
        <f t="shared" si="173"/>
        <v>0</v>
      </c>
      <c r="AO111" s="473">
        <f t="shared" si="137"/>
        <v>0</v>
      </c>
      <c r="AP111" s="472">
        <f t="shared" si="174"/>
        <v>0</v>
      </c>
      <c r="AQ111" s="422">
        <f t="shared" si="174"/>
        <v>0</v>
      </c>
      <c r="AR111" s="473">
        <f t="shared" si="138"/>
        <v>0</v>
      </c>
      <c r="AS111" s="472">
        <f t="shared" si="176"/>
        <v>93059.77</v>
      </c>
      <c r="AT111" s="422">
        <f t="shared" si="176"/>
        <v>0</v>
      </c>
      <c r="AU111" s="473">
        <f t="shared" si="139"/>
        <v>93059.77</v>
      </c>
      <c r="AV111" s="602">
        <f t="shared" si="140"/>
        <v>0</v>
      </c>
      <c r="AW111" s="472">
        <f t="shared" ref="AW111:BT111" si="178">SUM(AW112:AW115)</f>
        <v>0</v>
      </c>
      <c r="AX111" s="1110">
        <f t="shared" si="178"/>
        <v>0</v>
      </c>
      <c r="AY111" s="422">
        <f t="shared" si="178"/>
        <v>0</v>
      </c>
      <c r="AZ111" s="1110">
        <f t="shared" si="178"/>
        <v>0</v>
      </c>
      <c r="BA111" s="422">
        <f t="shared" si="178"/>
        <v>0</v>
      </c>
      <c r="BB111" s="1128">
        <f t="shared" si="178"/>
        <v>0</v>
      </c>
      <c r="BC111" s="472">
        <f t="shared" si="178"/>
        <v>0</v>
      </c>
      <c r="BD111" s="422">
        <f t="shared" si="178"/>
        <v>0</v>
      </c>
      <c r="BE111" s="422">
        <f t="shared" si="178"/>
        <v>0</v>
      </c>
      <c r="BF111" s="422">
        <f t="shared" si="178"/>
        <v>0</v>
      </c>
      <c r="BG111" s="422">
        <f t="shared" si="178"/>
        <v>0</v>
      </c>
      <c r="BH111" s="423">
        <f t="shared" si="178"/>
        <v>0</v>
      </c>
      <c r="BI111" s="472">
        <f t="shared" si="178"/>
        <v>0</v>
      </c>
      <c r="BJ111" s="422">
        <f t="shared" si="178"/>
        <v>0</v>
      </c>
      <c r="BK111" s="422">
        <f t="shared" si="178"/>
        <v>0</v>
      </c>
      <c r="BL111" s="422">
        <f t="shared" si="178"/>
        <v>0</v>
      </c>
      <c r="BM111" s="422">
        <f t="shared" si="178"/>
        <v>0</v>
      </c>
      <c r="BN111" s="423">
        <f t="shared" si="178"/>
        <v>0</v>
      </c>
      <c r="BO111" s="472">
        <f t="shared" si="178"/>
        <v>0</v>
      </c>
      <c r="BP111" s="422">
        <f t="shared" si="178"/>
        <v>0</v>
      </c>
      <c r="BQ111" s="422">
        <f t="shared" si="178"/>
        <v>0</v>
      </c>
      <c r="BR111" s="422">
        <f t="shared" si="178"/>
        <v>0</v>
      </c>
      <c r="BS111" s="422">
        <f t="shared" si="178"/>
        <v>93059.77</v>
      </c>
      <c r="BT111" s="473">
        <f t="shared" si="178"/>
        <v>0</v>
      </c>
    </row>
    <row r="112" spans="1:72" s="399" customFormat="1" ht="25.5" customHeight="1" outlineLevel="2">
      <c r="A112" s="287">
        <v>100</v>
      </c>
      <c r="B112" s="933"/>
      <c r="C112" s="859"/>
      <c r="D112" s="841" t="s">
        <v>277</v>
      </c>
      <c r="E112" s="860"/>
      <c r="F112" s="829" t="s">
        <v>7</v>
      </c>
      <c r="G112" s="400">
        <v>4</v>
      </c>
      <c r="H112" s="747" t="s">
        <v>70</v>
      </c>
      <c r="I112" s="747">
        <v>244</v>
      </c>
      <c r="J112" s="748">
        <v>226</v>
      </c>
      <c r="K112" s="538" t="s">
        <v>298</v>
      </c>
      <c r="L112" s="1031">
        <v>5666.67</v>
      </c>
      <c r="M112" s="403"/>
      <c r="N112" s="403"/>
      <c r="O112" s="1063">
        <f t="shared" si="142"/>
        <v>5666.67</v>
      </c>
      <c r="P112" s="566"/>
      <c r="Q112" s="406"/>
      <c r="R112" s="566"/>
      <c r="S112" s="406"/>
      <c r="T112" s="566"/>
      <c r="U112" s="404"/>
      <c r="V112" s="405"/>
      <c r="W112" s="405"/>
      <c r="X112" s="405"/>
      <c r="Z112" s="406">
        <f t="shared" si="169"/>
        <v>0</v>
      </c>
      <c r="AA112" s="407">
        <f t="shared" si="169"/>
        <v>0</v>
      </c>
      <c r="AB112" s="408">
        <f t="shared" si="133"/>
        <v>0</v>
      </c>
      <c r="AC112" s="406">
        <f t="shared" si="170"/>
        <v>0</v>
      </c>
      <c r="AD112" s="407">
        <f t="shared" si="170"/>
        <v>0</v>
      </c>
      <c r="AE112" s="408">
        <f t="shared" si="134"/>
        <v>0</v>
      </c>
      <c r="AF112" s="406">
        <f t="shared" si="171"/>
        <v>0</v>
      </c>
      <c r="AG112" s="407">
        <f t="shared" si="171"/>
        <v>0</v>
      </c>
      <c r="AH112" s="408">
        <f t="shared" si="135"/>
        <v>0</v>
      </c>
      <c r="AI112" s="406">
        <f t="shared" si="172"/>
        <v>5666.67</v>
      </c>
      <c r="AJ112" s="407">
        <f t="shared" si="172"/>
        <v>0</v>
      </c>
      <c r="AK112" s="408">
        <f t="shared" si="136"/>
        <v>5666.67</v>
      </c>
      <c r="AL112" s="409"/>
      <c r="AM112" s="406">
        <f t="shared" si="173"/>
        <v>0</v>
      </c>
      <c r="AN112" s="410">
        <f t="shared" si="173"/>
        <v>0</v>
      </c>
      <c r="AO112" s="411">
        <f t="shared" si="137"/>
        <v>0</v>
      </c>
      <c r="AP112" s="406">
        <f t="shared" si="174"/>
        <v>0</v>
      </c>
      <c r="AQ112" s="410">
        <f t="shared" si="174"/>
        <v>0</v>
      </c>
      <c r="AR112" s="411">
        <f t="shared" si="138"/>
        <v>0</v>
      </c>
      <c r="AS112" s="412">
        <f t="shared" si="176"/>
        <v>5666.67</v>
      </c>
      <c r="AT112" s="410">
        <f t="shared" si="176"/>
        <v>0</v>
      </c>
      <c r="AU112" s="411">
        <f t="shared" si="139"/>
        <v>5666.67</v>
      </c>
      <c r="AV112" s="603">
        <f t="shared" si="140"/>
        <v>0</v>
      </c>
      <c r="AW112" s="413"/>
      <c r="AX112" s="1098"/>
      <c r="AY112" s="415"/>
      <c r="AZ112" s="1098"/>
      <c r="BA112" s="415"/>
      <c r="BB112" s="1120"/>
      <c r="BC112" s="417"/>
      <c r="BD112" s="418"/>
      <c r="BE112" s="419"/>
      <c r="BF112" s="418"/>
      <c r="BG112" s="419"/>
      <c r="BH112" s="420"/>
      <c r="BI112" s="421"/>
      <c r="BJ112" s="422"/>
      <c r="BK112" s="407"/>
      <c r="BL112" s="422"/>
      <c r="BM112" s="407"/>
      <c r="BN112" s="423"/>
      <c r="BO112" s="424"/>
      <c r="BP112" s="425"/>
      <c r="BQ112" s="426"/>
      <c r="BR112" s="425"/>
      <c r="BS112" s="426">
        <v>5666.67</v>
      </c>
      <c r="BT112" s="427"/>
    </row>
    <row r="113" spans="1:72" s="399" customFormat="1" ht="25.5" customHeight="1" outlineLevel="2">
      <c r="A113" s="287">
        <v>101</v>
      </c>
      <c r="B113" s="933"/>
      <c r="C113" s="859"/>
      <c r="D113" s="841" t="s">
        <v>277</v>
      </c>
      <c r="E113" s="860"/>
      <c r="F113" s="829" t="s">
        <v>7</v>
      </c>
      <c r="G113" s="400">
        <v>4</v>
      </c>
      <c r="H113" s="747" t="s">
        <v>70</v>
      </c>
      <c r="I113" s="747">
        <v>244</v>
      </c>
      <c r="J113" s="748">
        <v>226</v>
      </c>
      <c r="K113" s="538" t="s">
        <v>299</v>
      </c>
      <c r="L113" s="1031">
        <v>28059.9</v>
      </c>
      <c r="M113" s="403"/>
      <c r="N113" s="403"/>
      <c r="O113" s="1063">
        <f t="shared" si="142"/>
        <v>28059.9</v>
      </c>
      <c r="P113" s="566"/>
      <c r="Q113" s="406"/>
      <c r="R113" s="566"/>
      <c r="S113" s="406"/>
      <c r="T113" s="566"/>
      <c r="U113" s="404"/>
      <c r="V113" s="405"/>
      <c r="W113" s="405"/>
      <c r="X113" s="405"/>
      <c r="Z113" s="406">
        <f t="shared" si="169"/>
        <v>0</v>
      </c>
      <c r="AA113" s="407">
        <f t="shared" si="169"/>
        <v>0</v>
      </c>
      <c r="AB113" s="408">
        <f t="shared" si="133"/>
        <v>0</v>
      </c>
      <c r="AC113" s="406">
        <f t="shared" si="170"/>
        <v>0</v>
      </c>
      <c r="AD113" s="407">
        <f t="shared" si="170"/>
        <v>0</v>
      </c>
      <c r="AE113" s="408">
        <f t="shared" si="134"/>
        <v>0</v>
      </c>
      <c r="AF113" s="406">
        <f t="shared" si="171"/>
        <v>0</v>
      </c>
      <c r="AG113" s="407">
        <f t="shared" si="171"/>
        <v>0</v>
      </c>
      <c r="AH113" s="408">
        <f t="shared" si="135"/>
        <v>0</v>
      </c>
      <c r="AI113" s="406">
        <f t="shared" si="172"/>
        <v>28059.9</v>
      </c>
      <c r="AJ113" s="407">
        <f t="shared" si="172"/>
        <v>0</v>
      </c>
      <c r="AK113" s="408">
        <f t="shared" si="136"/>
        <v>28059.9</v>
      </c>
      <c r="AL113" s="409"/>
      <c r="AM113" s="406">
        <f t="shared" si="173"/>
        <v>0</v>
      </c>
      <c r="AN113" s="410">
        <f t="shared" si="173"/>
        <v>0</v>
      </c>
      <c r="AO113" s="411">
        <f t="shared" si="137"/>
        <v>0</v>
      </c>
      <c r="AP113" s="406">
        <f t="shared" si="174"/>
        <v>0</v>
      </c>
      <c r="AQ113" s="410">
        <f t="shared" si="174"/>
        <v>0</v>
      </c>
      <c r="AR113" s="411">
        <f t="shared" si="138"/>
        <v>0</v>
      </c>
      <c r="AS113" s="412">
        <f t="shared" si="176"/>
        <v>28059.9</v>
      </c>
      <c r="AT113" s="410">
        <f t="shared" si="176"/>
        <v>0</v>
      </c>
      <c r="AU113" s="411">
        <f t="shared" si="139"/>
        <v>28059.9</v>
      </c>
      <c r="AV113" s="603">
        <f t="shared" si="140"/>
        <v>0</v>
      </c>
      <c r="AW113" s="413"/>
      <c r="AX113" s="1098"/>
      <c r="AY113" s="415"/>
      <c r="AZ113" s="1098"/>
      <c r="BA113" s="415"/>
      <c r="BB113" s="1120"/>
      <c r="BC113" s="417"/>
      <c r="BD113" s="418"/>
      <c r="BE113" s="419"/>
      <c r="BF113" s="418"/>
      <c r="BG113" s="419"/>
      <c r="BH113" s="420"/>
      <c r="BI113" s="421"/>
      <c r="BJ113" s="422"/>
      <c r="BK113" s="407"/>
      <c r="BL113" s="422"/>
      <c r="BM113" s="407"/>
      <c r="BN113" s="423"/>
      <c r="BO113" s="424"/>
      <c r="BP113" s="425"/>
      <c r="BQ113" s="426"/>
      <c r="BR113" s="425"/>
      <c r="BS113" s="426">
        <v>28059.9</v>
      </c>
      <c r="BT113" s="427"/>
    </row>
    <row r="114" spans="1:72" s="399" customFormat="1" ht="25.5" customHeight="1" outlineLevel="2">
      <c r="A114" s="287">
        <v>102</v>
      </c>
      <c r="B114" s="933"/>
      <c r="C114" s="859"/>
      <c r="D114" s="841" t="s">
        <v>277</v>
      </c>
      <c r="E114" s="860"/>
      <c r="F114" s="829" t="s">
        <v>7</v>
      </c>
      <c r="G114" s="400">
        <v>4</v>
      </c>
      <c r="H114" s="747" t="s">
        <v>70</v>
      </c>
      <c r="I114" s="747">
        <v>244</v>
      </c>
      <c r="J114" s="748">
        <v>226</v>
      </c>
      <c r="K114" s="538" t="s">
        <v>300</v>
      </c>
      <c r="L114" s="1031">
        <v>59333.2</v>
      </c>
      <c r="M114" s="403"/>
      <c r="N114" s="403"/>
      <c r="O114" s="1063">
        <f t="shared" si="142"/>
        <v>59333.2</v>
      </c>
      <c r="P114" s="566"/>
      <c r="Q114" s="406"/>
      <c r="R114" s="566"/>
      <c r="S114" s="406"/>
      <c r="T114" s="566"/>
      <c r="U114" s="404"/>
      <c r="V114" s="405"/>
      <c r="W114" s="405"/>
      <c r="X114" s="405"/>
      <c r="Z114" s="406">
        <f t="shared" si="169"/>
        <v>0</v>
      </c>
      <c r="AA114" s="407">
        <f t="shared" si="169"/>
        <v>0</v>
      </c>
      <c r="AB114" s="408">
        <f t="shared" si="133"/>
        <v>0</v>
      </c>
      <c r="AC114" s="406">
        <f t="shared" si="170"/>
        <v>0</v>
      </c>
      <c r="AD114" s="407">
        <f t="shared" si="170"/>
        <v>0</v>
      </c>
      <c r="AE114" s="408">
        <f t="shared" si="134"/>
        <v>0</v>
      </c>
      <c r="AF114" s="406">
        <f t="shared" si="171"/>
        <v>0</v>
      </c>
      <c r="AG114" s="407">
        <f t="shared" si="171"/>
        <v>0</v>
      </c>
      <c r="AH114" s="408">
        <f t="shared" si="135"/>
        <v>0</v>
      </c>
      <c r="AI114" s="406">
        <f t="shared" si="172"/>
        <v>59333.2</v>
      </c>
      <c r="AJ114" s="407">
        <f t="shared" si="172"/>
        <v>0</v>
      </c>
      <c r="AK114" s="408">
        <f t="shared" si="136"/>
        <v>59333.2</v>
      </c>
      <c r="AL114" s="409"/>
      <c r="AM114" s="406">
        <f t="shared" si="173"/>
        <v>0</v>
      </c>
      <c r="AN114" s="410">
        <f t="shared" si="173"/>
        <v>0</v>
      </c>
      <c r="AO114" s="411">
        <f t="shared" si="137"/>
        <v>0</v>
      </c>
      <c r="AP114" s="406">
        <f t="shared" si="174"/>
        <v>0</v>
      </c>
      <c r="AQ114" s="410">
        <f t="shared" si="174"/>
        <v>0</v>
      </c>
      <c r="AR114" s="411">
        <f t="shared" si="138"/>
        <v>0</v>
      </c>
      <c r="AS114" s="412">
        <f t="shared" si="176"/>
        <v>59333.2</v>
      </c>
      <c r="AT114" s="410">
        <f t="shared" si="176"/>
        <v>0</v>
      </c>
      <c r="AU114" s="411">
        <f t="shared" si="139"/>
        <v>59333.2</v>
      </c>
      <c r="AV114" s="603">
        <f t="shared" si="140"/>
        <v>0</v>
      </c>
      <c r="AW114" s="413"/>
      <c r="AX114" s="1098"/>
      <c r="AY114" s="415"/>
      <c r="AZ114" s="1098"/>
      <c r="BA114" s="415"/>
      <c r="BB114" s="1120"/>
      <c r="BC114" s="417"/>
      <c r="BD114" s="418"/>
      <c r="BE114" s="419"/>
      <c r="BF114" s="418"/>
      <c r="BG114" s="419"/>
      <c r="BH114" s="420"/>
      <c r="BI114" s="421"/>
      <c r="BJ114" s="422"/>
      <c r="BK114" s="407"/>
      <c r="BL114" s="422"/>
      <c r="BM114" s="407"/>
      <c r="BN114" s="423"/>
      <c r="BO114" s="424"/>
      <c r="BP114" s="425"/>
      <c r="BQ114" s="426"/>
      <c r="BR114" s="425"/>
      <c r="BS114" s="426">
        <v>59333.2</v>
      </c>
      <c r="BT114" s="427"/>
    </row>
    <row r="115" spans="1:72" s="430" customFormat="1" ht="25.5" customHeight="1" outlineLevel="2">
      <c r="A115" s="287">
        <v>103</v>
      </c>
      <c r="B115" s="933"/>
      <c r="C115" s="743"/>
      <c r="D115" s="856" t="s">
        <v>277</v>
      </c>
      <c r="E115" s="857"/>
      <c r="F115" s="827" t="s">
        <v>7</v>
      </c>
      <c r="G115" s="431">
        <v>4</v>
      </c>
      <c r="H115" s="474" t="s">
        <v>70</v>
      </c>
      <c r="I115" s="743">
        <v>244</v>
      </c>
      <c r="J115" s="744">
        <v>226</v>
      </c>
      <c r="K115" s="536" t="s">
        <v>284</v>
      </c>
      <c r="L115" s="1030"/>
      <c r="M115" s="434"/>
      <c r="N115" s="434"/>
      <c r="O115" s="1064">
        <f t="shared" si="142"/>
        <v>0</v>
      </c>
      <c r="P115" s="567"/>
      <c r="Q115" s="437"/>
      <c r="R115" s="567"/>
      <c r="S115" s="437"/>
      <c r="T115" s="567"/>
      <c r="U115" s="435"/>
      <c r="V115" s="436"/>
      <c r="W115" s="436"/>
      <c r="X115" s="436"/>
      <c r="Z115" s="437">
        <f t="shared" si="169"/>
        <v>0</v>
      </c>
      <c r="AA115" s="438">
        <f t="shared" si="169"/>
        <v>0</v>
      </c>
      <c r="AB115" s="439">
        <f t="shared" si="133"/>
        <v>0</v>
      </c>
      <c r="AC115" s="437">
        <f t="shared" si="170"/>
        <v>0</v>
      </c>
      <c r="AD115" s="438">
        <f t="shared" si="170"/>
        <v>0</v>
      </c>
      <c r="AE115" s="439">
        <f t="shared" si="134"/>
        <v>0</v>
      </c>
      <c r="AF115" s="437">
        <f t="shared" si="171"/>
        <v>0</v>
      </c>
      <c r="AG115" s="438">
        <f t="shared" si="171"/>
        <v>0</v>
      </c>
      <c r="AH115" s="439">
        <f t="shared" si="135"/>
        <v>0</v>
      </c>
      <c r="AI115" s="437">
        <f t="shared" si="172"/>
        <v>0</v>
      </c>
      <c r="AJ115" s="438">
        <f t="shared" si="172"/>
        <v>0</v>
      </c>
      <c r="AK115" s="439">
        <f t="shared" si="136"/>
        <v>0</v>
      </c>
      <c r="AL115" s="440"/>
      <c r="AM115" s="437">
        <f t="shared" si="173"/>
        <v>0</v>
      </c>
      <c r="AN115" s="441">
        <f t="shared" si="173"/>
        <v>0</v>
      </c>
      <c r="AO115" s="442">
        <f t="shared" si="137"/>
        <v>0</v>
      </c>
      <c r="AP115" s="437">
        <f t="shared" si="174"/>
        <v>0</v>
      </c>
      <c r="AQ115" s="441">
        <f t="shared" si="174"/>
        <v>0</v>
      </c>
      <c r="AR115" s="442">
        <f t="shared" si="138"/>
        <v>0</v>
      </c>
      <c r="AS115" s="443">
        <f t="shared" si="176"/>
        <v>0</v>
      </c>
      <c r="AT115" s="441">
        <f t="shared" si="176"/>
        <v>0</v>
      </c>
      <c r="AU115" s="442">
        <f t="shared" si="139"/>
        <v>0</v>
      </c>
      <c r="AV115" s="601">
        <f t="shared" si="140"/>
        <v>0</v>
      </c>
      <c r="AW115" s="444"/>
      <c r="AX115" s="1111"/>
      <c r="AY115" s="446"/>
      <c r="AZ115" s="1111"/>
      <c r="BA115" s="446"/>
      <c r="BB115" s="1129"/>
      <c r="BC115" s="448"/>
      <c r="BD115" s="449"/>
      <c r="BE115" s="450"/>
      <c r="BF115" s="449"/>
      <c r="BG115" s="450"/>
      <c r="BH115" s="451"/>
      <c r="BI115" s="452"/>
      <c r="BJ115" s="453"/>
      <c r="BK115" s="438"/>
      <c r="BL115" s="453"/>
      <c r="BM115" s="438"/>
      <c r="BN115" s="454"/>
      <c r="BO115" s="455"/>
      <c r="BP115" s="456"/>
      <c r="BQ115" s="457"/>
      <c r="BR115" s="456"/>
      <c r="BS115" s="457"/>
      <c r="BT115" s="458"/>
    </row>
    <row r="116" spans="1:72" s="965" customFormat="1" ht="51" customHeight="1">
      <c r="A116" s="287">
        <v>104</v>
      </c>
      <c r="B116" s="952"/>
      <c r="C116" s="953" t="s">
        <v>377</v>
      </c>
      <c r="D116" s="954"/>
      <c r="E116" s="955" t="s">
        <v>201</v>
      </c>
      <c r="F116" s="956" t="s">
        <v>7</v>
      </c>
      <c r="G116" s="957">
        <v>4</v>
      </c>
      <c r="H116" s="957" t="s">
        <v>266</v>
      </c>
      <c r="I116" s="957">
        <v>244</v>
      </c>
      <c r="J116" s="958">
        <v>346</v>
      </c>
      <c r="K116" s="959" t="s">
        <v>306</v>
      </c>
      <c r="L116" s="1027">
        <v>359298.91</v>
      </c>
      <c r="M116" s="961"/>
      <c r="N116" s="961"/>
      <c r="O116" s="1061">
        <f t="shared" si="142"/>
        <v>359298.91</v>
      </c>
      <c r="P116" s="962"/>
      <c r="Q116" s="960">
        <f>Q131</f>
        <v>379130.88</v>
      </c>
      <c r="R116" s="962">
        <f>R131</f>
        <v>0</v>
      </c>
      <c r="S116" s="960">
        <f>S131</f>
        <v>485710.59</v>
      </c>
      <c r="T116" s="962"/>
      <c r="U116" s="963"/>
      <c r="V116" s="964"/>
      <c r="W116" s="964"/>
      <c r="X116" s="964"/>
      <c r="Z116" s="960">
        <f t="shared" si="169"/>
        <v>199494.17</v>
      </c>
      <c r="AA116" s="961">
        <f t="shared" si="169"/>
        <v>65488.35</v>
      </c>
      <c r="AB116" s="966">
        <f t="shared" si="133"/>
        <v>134005.82</v>
      </c>
      <c r="AC116" s="960">
        <f t="shared" si="170"/>
        <v>100830.52</v>
      </c>
      <c r="AD116" s="961">
        <f t="shared" si="170"/>
        <v>0</v>
      </c>
      <c r="AE116" s="966">
        <f t="shared" si="134"/>
        <v>100830.52</v>
      </c>
      <c r="AF116" s="960">
        <f t="shared" si="171"/>
        <v>27459.5</v>
      </c>
      <c r="AG116" s="961">
        <f t="shared" si="171"/>
        <v>0</v>
      </c>
      <c r="AH116" s="966">
        <f t="shared" si="135"/>
        <v>27459.5</v>
      </c>
      <c r="AI116" s="960">
        <f t="shared" si="172"/>
        <v>132954.44</v>
      </c>
      <c r="AJ116" s="961">
        <f t="shared" si="172"/>
        <v>0</v>
      </c>
      <c r="AK116" s="966">
        <f t="shared" si="136"/>
        <v>132954.44</v>
      </c>
      <c r="AL116" s="967"/>
      <c r="AM116" s="960">
        <f t="shared" si="173"/>
        <v>300324.69</v>
      </c>
      <c r="AN116" s="961">
        <f t="shared" si="173"/>
        <v>65488.35</v>
      </c>
      <c r="AO116" s="966">
        <f t="shared" si="137"/>
        <v>234836.34</v>
      </c>
      <c r="AP116" s="960">
        <f t="shared" si="174"/>
        <v>327784.19</v>
      </c>
      <c r="AQ116" s="961">
        <f t="shared" si="174"/>
        <v>65488.35</v>
      </c>
      <c r="AR116" s="966">
        <f t="shared" si="138"/>
        <v>262295.84000000003</v>
      </c>
      <c r="AS116" s="960">
        <f t="shared" si="176"/>
        <v>460738.63</v>
      </c>
      <c r="AT116" s="961">
        <f t="shared" si="176"/>
        <v>65488.35</v>
      </c>
      <c r="AU116" s="966">
        <f t="shared" si="139"/>
        <v>395250.28</v>
      </c>
      <c r="AV116" s="968">
        <f t="shared" si="140"/>
        <v>-101439.72</v>
      </c>
      <c r="AW116" s="960">
        <f t="shared" ref="AW116:BT116" si="179">SUM(AW131,AW117,AW145,AW148,AW151,AW154)</f>
        <v>0</v>
      </c>
      <c r="AX116" s="1109">
        <f t="shared" si="179"/>
        <v>0</v>
      </c>
      <c r="AY116" s="961">
        <f t="shared" si="179"/>
        <v>151004.81</v>
      </c>
      <c r="AZ116" s="1109">
        <f t="shared" si="179"/>
        <v>16998.990000000002</v>
      </c>
      <c r="BA116" s="961">
        <f t="shared" si="179"/>
        <v>48489.36</v>
      </c>
      <c r="BB116" s="1127">
        <f t="shared" si="179"/>
        <v>48489.36</v>
      </c>
      <c r="BC116" s="960">
        <f t="shared" si="179"/>
        <v>56563.519999999997</v>
      </c>
      <c r="BD116" s="961">
        <f t="shared" si="179"/>
        <v>0</v>
      </c>
      <c r="BE116" s="961">
        <f t="shared" si="179"/>
        <v>44267</v>
      </c>
      <c r="BF116" s="961">
        <f t="shared" si="179"/>
        <v>0</v>
      </c>
      <c r="BG116" s="961">
        <f t="shared" si="179"/>
        <v>0</v>
      </c>
      <c r="BH116" s="969">
        <f t="shared" si="179"/>
        <v>0</v>
      </c>
      <c r="BI116" s="960">
        <f t="shared" si="179"/>
        <v>0</v>
      </c>
      <c r="BJ116" s="961">
        <f t="shared" si="179"/>
        <v>0</v>
      </c>
      <c r="BK116" s="961">
        <f t="shared" si="179"/>
        <v>10000</v>
      </c>
      <c r="BL116" s="961">
        <f t="shared" si="179"/>
        <v>0</v>
      </c>
      <c r="BM116" s="961">
        <f t="shared" si="179"/>
        <v>17459.5</v>
      </c>
      <c r="BN116" s="969">
        <f t="shared" si="179"/>
        <v>0</v>
      </c>
      <c r="BO116" s="960">
        <f t="shared" si="179"/>
        <v>20000</v>
      </c>
      <c r="BP116" s="961">
        <f t="shared" si="179"/>
        <v>0</v>
      </c>
      <c r="BQ116" s="961">
        <f t="shared" si="179"/>
        <v>78871.14</v>
      </c>
      <c r="BR116" s="961">
        <f t="shared" si="179"/>
        <v>0</v>
      </c>
      <c r="BS116" s="961">
        <f t="shared" si="179"/>
        <v>34083.300000000003</v>
      </c>
      <c r="BT116" s="966">
        <f t="shared" si="179"/>
        <v>0</v>
      </c>
    </row>
    <row r="117" spans="1:72" s="459" customFormat="1" ht="97.5" outlineLevel="1">
      <c r="A117" s="287">
        <v>105</v>
      </c>
      <c r="B117" s="933"/>
      <c r="C117" s="850" t="s">
        <v>378</v>
      </c>
      <c r="D117" s="854" t="s">
        <v>273</v>
      </c>
      <c r="E117" s="855"/>
      <c r="F117" s="923" t="s">
        <v>7</v>
      </c>
      <c r="G117" s="462">
        <v>4</v>
      </c>
      <c r="H117" s="741" t="s">
        <v>70</v>
      </c>
      <c r="I117" s="741">
        <v>244</v>
      </c>
      <c r="J117" s="742">
        <v>346</v>
      </c>
      <c r="K117" s="535" t="s">
        <v>492</v>
      </c>
      <c r="L117" s="1028">
        <f>SUM(L118:L130)</f>
        <v>64879.15</v>
      </c>
      <c r="M117" s="352"/>
      <c r="N117" s="352"/>
      <c r="O117" s="1062">
        <f t="shared" si="142"/>
        <v>64879.15</v>
      </c>
      <c r="P117" s="924"/>
      <c r="Q117" s="464"/>
      <c r="R117" s="924"/>
      <c r="S117" s="464"/>
      <c r="T117" s="924"/>
      <c r="U117" s="925"/>
      <c r="V117" s="926"/>
      <c r="W117" s="926"/>
      <c r="X117" s="1067" t="s">
        <v>645</v>
      </c>
      <c r="Y117" s="927"/>
      <c r="Z117" s="928">
        <f t="shared" si="169"/>
        <v>64879.15</v>
      </c>
      <c r="AA117" s="929">
        <f t="shared" si="169"/>
        <v>64879.15</v>
      </c>
      <c r="AB117" s="930">
        <f t="shared" si="133"/>
        <v>0</v>
      </c>
      <c r="AC117" s="928">
        <f t="shared" si="170"/>
        <v>0</v>
      </c>
      <c r="AD117" s="929">
        <f t="shared" si="170"/>
        <v>0</v>
      </c>
      <c r="AE117" s="930">
        <f t="shared" si="134"/>
        <v>0</v>
      </c>
      <c r="AF117" s="928">
        <f t="shared" si="171"/>
        <v>0</v>
      </c>
      <c r="AG117" s="929">
        <f t="shared" si="171"/>
        <v>0</v>
      </c>
      <c r="AH117" s="930">
        <f t="shared" si="135"/>
        <v>0</v>
      </c>
      <c r="AI117" s="928">
        <f t="shared" si="172"/>
        <v>0</v>
      </c>
      <c r="AJ117" s="929">
        <f t="shared" si="172"/>
        <v>0</v>
      </c>
      <c r="AK117" s="930">
        <f t="shared" si="136"/>
        <v>0</v>
      </c>
      <c r="AL117" s="931"/>
      <c r="AM117" s="464">
        <f t="shared" si="173"/>
        <v>64879.15</v>
      </c>
      <c r="AN117" s="352">
        <f t="shared" si="173"/>
        <v>64879.15</v>
      </c>
      <c r="AO117" s="465">
        <f t="shared" si="137"/>
        <v>0</v>
      </c>
      <c r="AP117" s="464">
        <f t="shared" si="174"/>
        <v>64879.15</v>
      </c>
      <c r="AQ117" s="352">
        <f t="shared" si="174"/>
        <v>64879.15</v>
      </c>
      <c r="AR117" s="465">
        <f t="shared" si="138"/>
        <v>0</v>
      </c>
      <c r="AS117" s="464">
        <f t="shared" si="176"/>
        <v>64879.15</v>
      </c>
      <c r="AT117" s="352">
        <f t="shared" si="176"/>
        <v>64879.15</v>
      </c>
      <c r="AU117" s="465">
        <f t="shared" si="139"/>
        <v>0</v>
      </c>
      <c r="AV117" s="600">
        <f t="shared" si="140"/>
        <v>0</v>
      </c>
      <c r="AW117" s="464">
        <f t="shared" ref="AW117:BT117" si="180">SUM(AW118:AW130)</f>
        <v>0</v>
      </c>
      <c r="AX117" s="1110">
        <f t="shared" si="180"/>
        <v>0</v>
      </c>
      <c r="AY117" s="352">
        <f t="shared" si="180"/>
        <v>16998.990000000002</v>
      </c>
      <c r="AZ117" s="1110">
        <f t="shared" si="180"/>
        <v>16998.990000000002</v>
      </c>
      <c r="BA117" s="352">
        <f t="shared" si="180"/>
        <v>47880.160000000003</v>
      </c>
      <c r="BB117" s="1128">
        <f t="shared" si="180"/>
        <v>47880.160000000003</v>
      </c>
      <c r="BC117" s="464">
        <f t="shared" si="180"/>
        <v>0</v>
      </c>
      <c r="BD117" s="352">
        <f t="shared" si="180"/>
        <v>0</v>
      </c>
      <c r="BE117" s="352">
        <f t="shared" si="180"/>
        <v>0</v>
      </c>
      <c r="BF117" s="352">
        <f t="shared" si="180"/>
        <v>0</v>
      </c>
      <c r="BG117" s="352">
        <f t="shared" si="180"/>
        <v>0</v>
      </c>
      <c r="BH117" s="353">
        <f t="shared" si="180"/>
        <v>0</v>
      </c>
      <c r="BI117" s="464">
        <f t="shared" si="180"/>
        <v>0</v>
      </c>
      <c r="BJ117" s="352">
        <f t="shared" si="180"/>
        <v>0</v>
      </c>
      <c r="BK117" s="352">
        <f t="shared" si="180"/>
        <v>0</v>
      </c>
      <c r="BL117" s="352">
        <f t="shared" si="180"/>
        <v>0</v>
      </c>
      <c r="BM117" s="352">
        <f t="shared" si="180"/>
        <v>0</v>
      </c>
      <c r="BN117" s="353">
        <f t="shared" si="180"/>
        <v>0</v>
      </c>
      <c r="BO117" s="464">
        <f t="shared" si="180"/>
        <v>0</v>
      </c>
      <c r="BP117" s="352">
        <f t="shared" si="180"/>
        <v>0</v>
      </c>
      <c r="BQ117" s="352">
        <f t="shared" si="180"/>
        <v>0</v>
      </c>
      <c r="BR117" s="352">
        <f t="shared" si="180"/>
        <v>0</v>
      </c>
      <c r="BS117" s="352">
        <f t="shared" si="180"/>
        <v>0</v>
      </c>
      <c r="BT117" s="465">
        <f t="shared" si="180"/>
        <v>0</v>
      </c>
    </row>
    <row r="118" spans="1:72" s="313" customFormat="1" ht="25.5" customHeight="1" outlineLevel="2">
      <c r="A118" s="287">
        <v>106</v>
      </c>
      <c r="B118" s="933"/>
      <c r="C118" s="840"/>
      <c r="D118" s="841" t="s">
        <v>273</v>
      </c>
      <c r="E118" s="839"/>
      <c r="F118" s="821" t="s">
        <v>7</v>
      </c>
      <c r="G118" s="314">
        <v>4</v>
      </c>
      <c r="H118" s="739" t="s">
        <v>70</v>
      </c>
      <c r="I118" s="739">
        <v>244</v>
      </c>
      <c r="J118" s="740">
        <v>346</v>
      </c>
      <c r="K118" s="533" t="s">
        <v>643</v>
      </c>
      <c r="L118" s="1025">
        <v>19125.16</v>
      </c>
      <c r="M118" s="318"/>
      <c r="N118" s="318"/>
      <c r="O118" s="1052">
        <f t="shared" si="142"/>
        <v>19125.16</v>
      </c>
      <c r="P118" s="562"/>
      <c r="Q118" s="336"/>
      <c r="R118" s="562"/>
      <c r="S118" s="336"/>
      <c r="T118" s="562"/>
      <c r="U118" s="466"/>
      <c r="V118" s="597" t="s">
        <v>644</v>
      </c>
      <c r="W118" s="597" t="s">
        <v>655</v>
      </c>
      <c r="X118" s="597" t="s">
        <v>773</v>
      </c>
      <c r="Z118" s="336">
        <f t="shared" si="169"/>
        <v>19125.16</v>
      </c>
      <c r="AA118" s="337">
        <f t="shared" si="169"/>
        <v>19125.16</v>
      </c>
      <c r="AB118" s="338">
        <f t="shared" si="133"/>
        <v>0</v>
      </c>
      <c r="AC118" s="336">
        <f t="shared" si="170"/>
        <v>0</v>
      </c>
      <c r="AD118" s="337">
        <f t="shared" si="170"/>
        <v>0</v>
      </c>
      <c r="AE118" s="338">
        <f t="shared" si="134"/>
        <v>0</v>
      </c>
      <c r="AF118" s="336">
        <f t="shared" si="171"/>
        <v>0</v>
      </c>
      <c r="AG118" s="337">
        <f t="shared" si="171"/>
        <v>0</v>
      </c>
      <c r="AH118" s="338">
        <f t="shared" si="135"/>
        <v>0</v>
      </c>
      <c r="AI118" s="336">
        <f t="shared" si="172"/>
        <v>0</v>
      </c>
      <c r="AJ118" s="337">
        <f t="shared" si="172"/>
        <v>0</v>
      </c>
      <c r="AK118" s="338">
        <f t="shared" si="136"/>
        <v>0</v>
      </c>
      <c r="AL118" s="342"/>
      <c r="AM118" s="336">
        <f t="shared" si="173"/>
        <v>19125.16</v>
      </c>
      <c r="AN118" s="339">
        <f t="shared" si="173"/>
        <v>19125.16</v>
      </c>
      <c r="AO118" s="340">
        <f t="shared" si="137"/>
        <v>0</v>
      </c>
      <c r="AP118" s="336">
        <f t="shared" si="174"/>
        <v>19125.16</v>
      </c>
      <c r="AQ118" s="339">
        <f t="shared" si="174"/>
        <v>19125.16</v>
      </c>
      <c r="AR118" s="340">
        <f t="shared" si="138"/>
        <v>0</v>
      </c>
      <c r="AS118" s="341">
        <f t="shared" si="176"/>
        <v>19125.16</v>
      </c>
      <c r="AT118" s="339">
        <f t="shared" si="176"/>
        <v>19125.16</v>
      </c>
      <c r="AU118" s="340">
        <f t="shared" si="139"/>
        <v>0</v>
      </c>
      <c r="AV118" s="589">
        <f t="shared" si="140"/>
        <v>0</v>
      </c>
      <c r="AW118" s="343"/>
      <c r="AX118" s="1098"/>
      <c r="AY118" s="345"/>
      <c r="AZ118" s="1098"/>
      <c r="BA118" s="345">
        <v>19125.16</v>
      </c>
      <c r="BB118" s="1120">
        <v>19125.16</v>
      </c>
      <c r="BC118" s="347"/>
      <c r="BD118" s="348"/>
      <c r="BE118" s="349"/>
      <c r="BF118" s="348"/>
      <c r="BG118" s="349"/>
      <c r="BH118" s="350"/>
      <c r="BI118" s="351"/>
      <c r="BJ118" s="352"/>
      <c r="BK118" s="337"/>
      <c r="BL118" s="352"/>
      <c r="BM118" s="337"/>
      <c r="BN118" s="353"/>
      <c r="BO118" s="354"/>
      <c r="BP118" s="355"/>
      <c r="BQ118" s="356"/>
      <c r="BR118" s="355"/>
      <c r="BS118" s="356"/>
      <c r="BT118" s="357"/>
    </row>
    <row r="119" spans="1:72" s="313" customFormat="1" ht="25.5" customHeight="1" outlineLevel="2">
      <c r="A119" s="287">
        <v>107</v>
      </c>
      <c r="B119" s="933"/>
      <c r="C119" s="840"/>
      <c r="D119" s="841" t="s">
        <v>273</v>
      </c>
      <c r="E119" s="839"/>
      <c r="F119" s="821" t="s">
        <v>7</v>
      </c>
      <c r="G119" s="314">
        <v>4</v>
      </c>
      <c r="H119" s="739" t="s">
        <v>70</v>
      </c>
      <c r="I119" s="739">
        <v>244</v>
      </c>
      <c r="J119" s="740">
        <v>346</v>
      </c>
      <c r="K119" s="533" t="s">
        <v>486</v>
      </c>
      <c r="L119" s="1025">
        <v>275</v>
      </c>
      <c r="M119" s="318"/>
      <c r="N119" s="318"/>
      <c r="O119" s="1052">
        <f>L119+N119</f>
        <v>275</v>
      </c>
      <c r="P119" s="562"/>
      <c r="Q119" s="336"/>
      <c r="R119" s="562"/>
      <c r="S119" s="336"/>
      <c r="T119" s="562"/>
      <c r="U119" s="466"/>
      <c r="V119" s="597" t="s">
        <v>483</v>
      </c>
      <c r="W119" s="597" t="s">
        <v>484</v>
      </c>
      <c r="X119" s="320" t="s">
        <v>557</v>
      </c>
      <c r="Z119" s="336">
        <f>AW119+AY119+BA119</f>
        <v>275</v>
      </c>
      <c r="AA119" s="337">
        <f>AX119+AZ119+BB119</f>
        <v>275</v>
      </c>
      <c r="AB119" s="338">
        <f>Z119-AA119</f>
        <v>0</v>
      </c>
      <c r="AC119" s="336">
        <f>BC119+BE119+BG119</f>
        <v>0</v>
      </c>
      <c r="AD119" s="337">
        <f>BD119+BF119+BH119</f>
        <v>0</v>
      </c>
      <c r="AE119" s="338">
        <f>AC119-AD119</f>
        <v>0</v>
      </c>
      <c r="AF119" s="336">
        <f>BI119+BK119+BM119</f>
        <v>0</v>
      </c>
      <c r="AG119" s="337">
        <f>BJ119+BL119+BN119</f>
        <v>0</v>
      </c>
      <c r="AH119" s="338">
        <f>AF119-AG119</f>
        <v>0</v>
      </c>
      <c r="AI119" s="336">
        <f>BO119+BQ119+BS119</f>
        <v>0</v>
      </c>
      <c r="AJ119" s="337">
        <f>BP119+BR119+BT119</f>
        <v>0</v>
      </c>
      <c r="AK119" s="338">
        <f>AI119-AJ119</f>
        <v>0</v>
      </c>
      <c r="AL119" s="342"/>
      <c r="AM119" s="336">
        <f>Z119+AC119</f>
        <v>275</v>
      </c>
      <c r="AN119" s="339">
        <f>AA119+AD119</f>
        <v>275</v>
      </c>
      <c r="AO119" s="340">
        <f>AM119-AN119</f>
        <v>0</v>
      </c>
      <c r="AP119" s="336">
        <f>Z119+AC119+AF119</f>
        <v>275</v>
      </c>
      <c r="AQ119" s="339">
        <f>AA119+AD119+AG119</f>
        <v>275</v>
      </c>
      <c r="AR119" s="340">
        <f>AP119-AQ119</f>
        <v>0</v>
      </c>
      <c r="AS119" s="341">
        <f>Z119+AC119+AF119+AI119</f>
        <v>275</v>
      </c>
      <c r="AT119" s="339">
        <f>AA119+AD119+AG119+AJ119</f>
        <v>275</v>
      </c>
      <c r="AU119" s="340">
        <f>AS119-AT119</f>
        <v>0</v>
      </c>
      <c r="AV119" s="589">
        <f>L119-AS119</f>
        <v>0</v>
      </c>
      <c r="AW119" s="343"/>
      <c r="AX119" s="1098"/>
      <c r="AY119" s="345">
        <v>275</v>
      </c>
      <c r="AZ119" s="1098">
        <v>275</v>
      </c>
      <c r="BA119" s="345"/>
      <c r="BB119" s="1120"/>
      <c r="BC119" s="347"/>
      <c r="BD119" s="348"/>
      <c r="BE119" s="349"/>
      <c r="BF119" s="348"/>
      <c r="BG119" s="349"/>
      <c r="BH119" s="350"/>
      <c r="BI119" s="351"/>
      <c r="BJ119" s="352"/>
      <c r="BK119" s="337"/>
      <c r="BL119" s="352"/>
      <c r="BM119" s="337"/>
      <c r="BN119" s="353"/>
      <c r="BO119" s="354"/>
      <c r="BP119" s="355"/>
      <c r="BQ119" s="356"/>
      <c r="BR119" s="355"/>
      <c r="BS119" s="356"/>
      <c r="BT119" s="357"/>
    </row>
    <row r="120" spans="1:72" s="313" customFormat="1" ht="25.5" customHeight="1" outlineLevel="2">
      <c r="A120" s="287">
        <v>108</v>
      </c>
      <c r="B120" s="933"/>
      <c r="C120" s="840"/>
      <c r="D120" s="841" t="s">
        <v>273</v>
      </c>
      <c r="E120" s="839"/>
      <c r="F120" s="821" t="s">
        <v>7</v>
      </c>
      <c r="G120" s="314">
        <v>4</v>
      </c>
      <c r="H120" s="739" t="s">
        <v>70</v>
      </c>
      <c r="I120" s="739">
        <v>244</v>
      </c>
      <c r="J120" s="740">
        <v>346</v>
      </c>
      <c r="K120" s="533" t="s">
        <v>487</v>
      </c>
      <c r="L120" s="1025">
        <v>2874</v>
      </c>
      <c r="M120" s="318"/>
      <c r="N120" s="318"/>
      <c r="O120" s="1052">
        <f t="shared" ref="O120:O127" si="181">L120+N120</f>
        <v>2874</v>
      </c>
      <c r="P120" s="562"/>
      <c r="Q120" s="336"/>
      <c r="R120" s="562"/>
      <c r="S120" s="336"/>
      <c r="T120" s="562"/>
      <c r="U120" s="466"/>
      <c r="V120" s="597" t="s">
        <v>483</v>
      </c>
      <c r="W120" s="597" t="s">
        <v>485</v>
      </c>
      <c r="X120" s="320" t="s">
        <v>557</v>
      </c>
      <c r="Z120" s="336">
        <f t="shared" ref="Z120:AA127" si="182">AW120+AY120+BA120</f>
        <v>2874</v>
      </c>
      <c r="AA120" s="337">
        <f t="shared" si="182"/>
        <v>2874</v>
      </c>
      <c r="AB120" s="338">
        <f t="shared" ref="AB120:AB127" si="183">Z120-AA120</f>
        <v>0</v>
      </c>
      <c r="AC120" s="336">
        <f t="shared" ref="AC120:AD127" si="184">BC120+BE120+BG120</f>
        <v>0</v>
      </c>
      <c r="AD120" s="337">
        <f t="shared" si="184"/>
        <v>0</v>
      </c>
      <c r="AE120" s="338">
        <f t="shared" ref="AE120:AE127" si="185">AC120-AD120</f>
        <v>0</v>
      </c>
      <c r="AF120" s="336">
        <f t="shared" ref="AF120:AG127" si="186">BI120+BK120+BM120</f>
        <v>0</v>
      </c>
      <c r="AG120" s="337">
        <f t="shared" si="186"/>
        <v>0</v>
      </c>
      <c r="AH120" s="338">
        <f t="shared" ref="AH120:AH127" si="187">AF120-AG120</f>
        <v>0</v>
      </c>
      <c r="AI120" s="336">
        <f t="shared" ref="AI120:AJ127" si="188">BO120+BQ120+BS120</f>
        <v>0</v>
      </c>
      <c r="AJ120" s="337">
        <f t="shared" si="188"/>
        <v>0</v>
      </c>
      <c r="AK120" s="338">
        <f t="shared" ref="AK120:AK127" si="189">AI120-AJ120</f>
        <v>0</v>
      </c>
      <c r="AL120" s="342"/>
      <c r="AM120" s="336">
        <f t="shared" ref="AM120:AN127" si="190">Z120+AC120</f>
        <v>2874</v>
      </c>
      <c r="AN120" s="339">
        <f t="shared" si="190"/>
        <v>2874</v>
      </c>
      <c r="AO120" s="340">
        <f t="shared" ref="AO120:AO127" si="191">AM120-AN120</f>
        <v>0</v>
      </c>
      <c r="AP120" s="336">
        <f t="shared" ref="AP120:AQ127" si="192">Z120+AC120+AF120</f>
        <v>2874</v>
      </c>
      <c r="AQ120" s="339">
        <f t="shared" si="192"/>
        <v>2874</v>
      </c>
      <c r="AR120" s="340">
        <f t="shared" ref="AR120:AR127" si="193">AP120-AQ120</f>
        <v>0</v>
      </c>
      <c r="AS120" s="341">
        <f t="shared" ref="AS120:AT127" si="194">Z120+AC120+AF120+AI120</f>
        <v>2874</v>
      </c>
      <c r="AT120" s="339">
        <f t="shared" si="194"/>
        <v>2874</v>
      </c>
      <c r="AU120" s="340">
        <f t="shared" ref="AU120:AU127" si="195">AS120-AT120</f>
        <v>0</v>
      </c>
      <c r="AV120" s="589">
        <f t="shared" ref="AV120:AV127" si="196">L120-AS120</f>
        <v>0</v>
      </c>
      <c r="AW120" s="343"/>
      <c r="AX120" s="1098"/>
      <c r="AY120" s="345">
        <v>2874</v>
      </c>
      <c r="AZ120" s="1098">
        <v>2874</v>
      </c>
      <c r="BA120" s="345"/>
      <c r="BB120" s="1120"/>
      <c r="BC120" s="347"/>
      <c r="BD120" s="348"/>
      <c r="BE120" s="349"/>
      <c r="BF120" s="348"/>
      <c r="BG120" s="349"/>
      <c r="BH120" s="350"/>
      <c r="BI120" s="351"/>
      <c r="BJ120" s="352"/>
      <c r="BK120" s="337"/>
      <c r="BL120" s="352"/>
      <c r="BM120" s="337"/>
      <c r="BN120" s="353"/>
      <c r="BO120" s="354"/>
      <c r="BP120" s="355"/>
      <c r="BQ120" s="356"/>
      <c r="BR120" s="355"/>
      <c r="BS120" s="356"/>
      <c r="BT120" s="357"/>
    </row>
    <row r="121" spans="1:72" s="313" customFormat="1" ht="51" outlineLevel="2">
      <c r="A121" s="287">
        <v>109</v>
      </c>
      <c r="B121" s="933"/>
      <c r="C121" s="840"/>
      <c r="D121" s="841" t="s">
        <v>273</v>
      </c>
      <c r="E121" s="839"/>
      <c r="F121" s="821" t="s">
        <v>7</v>
      </c>
      <c r="G121" s="314">
        <v>4</v>
      </c>
      <c r="H121" s="739" t="s">
        <v>70</v>
      </c>
      <c r="I121" s="739">
        <v>244</v>
      </c>
      <c r="J121" s="740">
        <v>346</v>
      </c>
      <c r="K121" s="533" t="s">
        <v>497</v>
      </c>
      <c r="L121" s="1025">
        <v>3475</v>
      </c>
      <c r="M121" s="318"/>
      <c r="N121" s="318"/>
      <c r="O121" s="1052">
        <f t="shared" si="181"/>
        <v>3475</v>
      </c>
      <c r="P121" s="562"/>
      <c r="Q121" s="336"/>
      <c r="R121" s="562"/>
      <c r="S121" s="336"/>
      <c r="T121" s="562"/>
      <c r="U121" s="466"/>
      <c r="V121" s="597" t="s">
        <v>495</v>
      </c>
      <c r="W121" s="597" t="s">
        <v>496</v>
      </c>
      <c r="X121" s="320" t="s">
        <v>557</v>
      </c>
      <c r="Z121" s="336">
        <f t="shared" si="182"/>
        <v>3475</v>
      </c>
      <c r="AA121" s="337">
        <f t="shared" si="182"/>
        <v>3475</v>
      </c>
      <c r="AB121" s="338">
        <f t="shared" si="183"/>
        <v>0</v>
      </c>
      <c r="AC121" s="336">
        <f t="shared" si="184"/>
        <v>0</v>
      </c>
      <c r="AD121" s="337">
        <f t="shared" si="184"/>
        <v>0</v>
      </c>
      <c r="AE121" s="338">
        <f t="shared" si="185"/>
        <v>0</v>
      </c>
      <c r="AF121" s="336">
        <f t="shared" si="186"/>
        <v>0</v>
      </c>
      <c r="AG121" s="337">
        <f t="shared" si="186"/>
        <v>0</v>
      </c>
      <c r="AH121" s="338">
        <f t="shared" si="187"/>
        <v>0</v>
      </c>
      <c r="AI121" s="336">
        <f t="shared" si="188"/>
        <v>0</v>
      </c>
      <c r="AJ121" s="337">
        <f t="shared" si="188"/>
        <v>0</v>
      </c>
      <c r="AK121" s="338">
        <f t="shared" si="189"/>
        <v>0</v>
      </c>
      <c r="AL121" s="342"/>
      <c r="AM121" s="336">
        <f t="shared" si="190"/>
        <v>3475</v>
      </c>
      <c r="AN121" s="339">
        <f t="shared" si="190"/>
        <v>3475</v>
      </c>
      <c r="AO121" s="340">
        <f t="shared" si="191"/>
        <v>0</v>
      </c>
      <c r="AP121" s="336">
        <f t="shared" si="192"/>
        <v>3475</v>
      </c>
      <c r="AQ121" s="339">
        <f t="shared" si="192"/>
        <v>3475</v>
      </c>
      <c r="AR121" s="340">
        <f t="shared" si="193"/>
        <v>0</v>
      </c>
      <c r="AS121" s="341">
        <f t="shared" si="194"/>
        <v>3475</v>
      </c>
      <c r="AT121" s="339">
        <f t="shared" si="194"/>
        <v>3475</v>
      </c>
      <c r="AU121" s="340">
        <f t="shared" si="195"/>
        <v>0</v>
      </c>
      <c r="AV121" s="589">
        <f t="shared" si="196"/>
        <v>0</v>
      </c>
      <c r="AW121" s="343"/>
      <c r="AX121" s="1098"/>
      <c r="AY121" s="345">
        <v>3475</v>
      </c>
      <c r="AZ121" s="1098">
        <v>3475</v>
      </c>
      <c r="BA121" s="345"/>
      <c r="BB121" s="1120"/>
      <c r="BC121" s="347"/>
      <c r="BD121" s="348"/>
      <c r="BE121" s="349"/>
      <c r="BF121" s="348"/>
      <c r="BG121" s="349"/>
      <c r="BH121" s="350"/>
      <c r="BI121" s="351"/>
      <c r="BJ121" s="352"/>
      <c r="BK121" s="337"/>
      <c r="BL121" s="352"/>
      <c r="BM121" s="337"/>
      <c r="BN121" s="353"/>
      <c r="BO121" s="354"/>
      <c r="BP121" s="355"/>
      <c r="BQ121" s="356"/>
      <c r="BR121" s="355"/>
      <c r="BS121" s="356"/>
      <c r="BT121" s="357"/>
    </row>
    <row r="122" spans="1:72" s="313" customFormat="1" ht="89.25" outlineLevel="2">
      <c r="A122" s="287">
        <v>110</v>
      </c>
      <c r="B122" s="933"/>
      <c r="C122" s="840"/>
      <c r="D122" s="841" t="s">
        <v>273</v>
      </c>
      <c r="E122" s="839"/>
      <c r="F122" s="821" t="s">
        <v>7</v>
      </c>
      <c r="G122" s="314">
        <v>4</v>
      </c>
      <c r="H122" s="739" t="s">
        <v>70</v>
      </c>
      <c r="I122" s="739">
        <v>244</v>
      </c>
      <c r="J122" s="740">
        <v>346</v>
      </c>
      <c r="K122" s="533" t="s">
        <v>618</v>
      </c>
      <c r="L122" s="1025">
        <f>5425+40</f>
        <v>5465</v>
      </c>
      <c r="M122" s="318"/>
      <c r="N122" s="318"/>
      <c r="O122" s="1052">
        <f t="shared" si="181"/>
        <v>5465</v>
      </c>
      <c r="P122" s="562"/>
      <c r="Q122" s="336"/>
      <c r="R122" s="562"/>
      <c r="S122" s="336"/>
      <c r="T122" s="562"/>
      <c r="U122" s="466"/>
      <c r="V122" s="597" t="s">
        <v>555</v>
      </c>
      <c r="W122" s="597" t="s">
        <v>556</v>
      </c>
      <c r="X122" s="320" t="s">
        <v>557</v>
      </c>
      <c r="Z122" s="336">
        <f t="shared" si="182"/>
        <v>5465</v>
      </c>
      <c r="AA122" s="337">
        <f t="shared" si="182"/>
        <v>5465</v>
      </c>
      <c r="AB122" s="338">
        <f t="shared" si="183"/>
        <v>0</v>
      </c>
      <c r="AC122" s="336">
        <f t="shared" si="184"/>
        <v>0</v>
      </c>
      <c r="AD122" s="337">
        <f t="shared" si="184"/>
        <v>0</v>
      </c>
      <c r="AE122" s="338">
        <f t="shared" si="185"/>
        <v>0</v>
      </c>
      <c r="AF122" s="336">
        <f t="shared" si="186"/>
        <v>0</v>
      </c>
      <c r="AG122" s="337">
        <f t="shared" si="186"/>
        <v>0</v>
      </c>
      <c r="AH122" s="338">
        <f t="shared" si="187"/>
        <v>0</v>
      </c>
      <c r="AI122" s="336">
        <f t="shared" si="188"/>
        <v>0</v>
      </c>
      <c r="AJ122" s="337">
        <f t="shared" si="188"/>
        <v>0</v>
      </c>
      <c r="AK122" s="338">
        <f t="shared" si="189"/>
        <v>0</v>
      </c>
      <c r="AL122" s="342"/>
      <c r="AM122" s="336">
        <f t="shared" si="190"/>
        <v>5465</v>
      </c>
      <c r="AN122" s="339">
        <f t="shared" si="190"/>
        <v>5465</v>
      </c>
      <c r="AO122" s="340">
        <f t="shared" si="191"/>
        <v>0</v>
      </c>
      <c r="AP122" s="336">
        <f t="shared" si="192"/>
        <v>5465</v>
      </c>
      <c r="AQ122" s="339">
        <f t="shared" si="192"/>
        <v>5465</v>
      </c>
      <c r="AR122" s="340">
        <f t="shared" si="193"/>
        <v>0</v>
      </c>
      <c r="AS122" s="341">
        <f t="shared" si="194"/>
        <v>5465</v>
      </c>
      <c r="AT122" s="339">
        <f t="shared" si="194"/>
        <v>5465</v>
      </c>
      <c r="AU122" s="340">
        <f t="shared" si="195"/>
        <v>0</v>
      </c>
      <c r="AV122" s="589">
        <f t="shared" si="196"/>
        <v>0</v>
      </c>
      <c r="AW122" s="343"/>
      <c r="AX122" s="1098"/>
      <c r="AY122" s="345">
        <v>5465</v>
      </c>
      <c r="AZ122" s="1098">
        <v>5465</v>
      </c>
      <c r="BA122" s="345"/>
      <c r="BB122" s="1120"/>
      <c r="BC122" s="347"/>
      <c r="BD122" s="348"/>
      <c r="BE122" s="349"/>
      <c r="BF122" s="348"/>
      <c r="BG122" s="349"/>
      <c r="BH122" s="350"/>
      <c r="BI122" s="351"/>
      <c r="BJ122" s="352"/>
      <c r="BK122" s="337"/>
      <c r="BL122" s="352"/>
      <c r="BM122" s="337"/>
      <c r="BN122" s="353"/>
      <c r="BO122" s="354"/>
      <c r="BP122" s="355"/>
      <c r="BQ122" s="356"/>
      <c r="BR122" s="355"/>
      <c r="BS122" s="356"/>
      <c r="BT122" s="357"/>
    </row>
    <row r="123" spans="1:72" s="313" customFormat="1" ht="76.5" outlineLevel="2">
      <c r="A123" s="287">
        <v>111</v>
      </c>
      <c r="B123" s="933"/>
      <c r="C123" s="840"/>
      <c r="D123" s="841" t="s">
        <v>273</v>
      </c>
      <c r="E123" s="839"/>
      <c r="F123" s="821" t="s">
        <v>7</v>
      </c>
      <c r="G123" s="314">
        <v>4</v>
      </c>
      <c r="H123" s="739" t="s">
        <v>70</v>
      </c>
      <c r="I123" s="739">
        <v>244</v>
      </c>
      <c r="J123" s="740">
        <v>346</v>
      </c>
      <c r="K123" s="533" t="s">
        <v>560</v>
      </c>
      <c r="L123" s="1025">
        <v>4713.99</v>
      </c>
      <c r="M123" s="318"/>
      <c r="N123" s="318"/>
      <c r="O123" s="1052">
        <f t="shared" si="181"/>
        <v>4713.99</v>
      </c>
      <c r="P123" s="562"/>
      <c r="Q123" s="336"/>
      <c r="R123" s="562"/>
      <c r="S123" s="336"/>
      <c r="T123" s="562"/>
      <c r="U123" s="466"/>
      <c r="V123" s="597" t="s">
        <v>558</v>
      </c>
      <c r="W123" s="597" t="s">
        <v>559</v>
      </c>
      <c r="X123" s="388" t="s">
        <v>561</v>
      </c>
      <c r="Z123" s="336">
        <f t="shared" si="182"/>
        <v>4713.99</v>
      </c>
      <c r="AA123" s="337">
        <f t="shared" si="182"/>
        <v>4713.99</v>
      </c>
      <c r="AB123" s="338">
        <f t="shared" si="183"/>
        <v>0</v>
      </c>
      <c r="AC123" s="336">
        <f t="shared" si="184"/>
        <v>0</v>
      </c>
      <c r="AD123" s="337">
        <f t="shared" si="184"/>
        <v>0</v>
      </c>
      <c r="AE123" s="338">
        <f t="shared" si="185"/>
        <v>0</v>
      </c>
      <c r="AF123" s="336">
        <f t="shared" si="186"/>
        <v>0</v>
      </c>
      <c r="AG123" s="337">
        <f t="shared" si="186"/>
        <v>0</v>
      </c>
      <c r="AH123" s="338">
        <f t="shared" si="187"/>
        <v>0</v>
      </c>
      <c r="AI123" s="336">
        <f t="shared" si="188"/>
        <v>0</v>
      </c>
      <c r="AJ123" s="337">
        <f t="shared" si="188"/>
        <v>0</v>
      </c>
      <c r="AK123" s="338">
        <f t="shared" si="189"/>
        <v>0</v>
      </c>
      <c r="AL123" s="342"/>
      <c r="AM123" s="336">
        <f t="shared" si="190"/>
        <v>4713.99</v>
      </c>
      <c r="AN123" s="339">
        <f t="shared" si="190"/>
        <v>4713.99</v>
      </c>
      <c r="AO123" s="340">
        <f t="shared" si="191"/>
        <v>0</v>
      </c>
      <c r="AP123" s="336">
        <f t="shared" si="192"/>
        <v>4713.99</v>
      </c>
      <c r="AQ123" s="339">
        <f t="shared" si="192"/>
        <v>4713.99</v>
      </c>
      <c r="AR123" s="340">
        <f t="shared" si="193"/>
        <v>0</v>
      </c>
      <c r="AS123" s="341">
        <f t="shared" si="194"/>
        <v>4713.99</v>
      </c>
      <c r="AT123" s="339">
        <f t="shared" si="194"/>
        <v>4713.99</v>
      </c>
      <c r="AU123" s="340">
        <f t="shared" si="195"/>
        <v>0</v>
      </c>
      <c r="AV123" s="589">
        <f t="shared" si="196"/>
        <v>0</v>
      </c>
      <c r="AW123" s="343"/>
      <c r="AX123" s="1098"/>
      <c r="AY123" s="345">
        <v>4713.99</v>
      </c>
      <c r="AZ123" s="1098">
        <v>4713.99</v>
      </c>
      <c r="BA123" s="345"/>
      <c r="BB123" s="1120"/>
      <c r="BC123" s="347"/>
      <c r="BD123" s="348"/>
      <c r="BE123" s="349"/>
      <c r="BF123" s="348"/>
      <c r="BG123" s="349"/>
      <c r="BH123" s="350"/>
      <c r="BI123" s="351"/>
      <c r="BJ123" s="352"/>
      <c r="BK123" s="337"/>
      <c r="BL123" s="352"/>
      <c r="BM123" s="337"/>
      <c r="BN123" s="353"/>
      <c r="BO123" s="354"/>
      <c r="BP123" s="355"/>
      <c r="BQ123" s="356"/>
      <c r="BR123" s="355"/>
      <c r="BS123" s="356"/>
      <c r="BT123" s="357"/>
    </row>
    <row r="124" spans="1:72" s="313" customFormat="1" ht="25.5" outlineLevel="2">
      <c r="A124" s="287">
        <v>112</v>
      </c>
      <c r="B124" s="933"/>
      <c r="C124" s="840"/>
      <c r="D124" s="841" t="s">
        <v>273</v>
      </c>
      <c r="E124" s="839"/>
      <c r="F124" s="821" t="s">
        <v>7</v>
      </c>
      <c r="G124" s="314">
        <v>4</v>
      </c>
      <c r="H124" s="739" t="s">
        <v>70</v>
      </c>
      <c r="I124" s="739">
        <v>244</v>
      </c>
      <c r="J124" s="740">
        <v>346</v>
      </c>
      <c r="K124" s="533" t="s">
        <v>562</v>
      </c>
      <c r="L124" s="1025">
        <v>196</v>
      </c>
      <c r="M124" s="318"/>
      <c r="N124" s="318"/>
      <c r="O124" s="1052">
        <f t="shared" si="181"/>
        <v>196</v>
      </c>
      <c r="P124" s="562"/>
      <c r="Q124" s="336"/>
      <c r="R124" s="562"/>
      <c r="S124" s="336"/>
      <c r="T124" s="562"/>
      <c r="U124" s="466"/>
      <c r="V124" s="597" t="s">
        <v>483</v>
      </c>
      <c r="W124" s="597" t="s">
        <v>563</v>
      </c>
      <c r="X124" s="320" t="s">
        <v>557</v>
      </c>
      <c r="Z124" s="336">
        <f t="shared" si="182"/>
        <v>196</v>
      </c>
      <c r="AA124" s="337">
        <f t="shared" si="182"/>
        <v>196</v>
      </c>
      <c r="AB124" s="338">
        <f t="shared" si="183"/>
        <v>0</v>
      </c>
      <c r="AC124" s="336">
        <f t="shared" si="184"/>
        <v>0</v>
      </c>
      <c r="AD124" s="337">
        <f t="shared" si="184"/>
        <v>0</v>
      </c>
      <c r="AE124" s="338">
        <f t="shared" si="185"/>
        <v>0</v>
      </c>
      <c r="AF124" s="336">
        <f t="shared" si="186"/>
        <v>0</v>
      </c>
      <c r="AG124" s="337">
        <f t="shared" si="186"/>
        <v>0</v>
      </c>
      <c r="AH124" s="338">
        <f t="shared" si="187"/>
        <v>0</v>
      </c>
      <c r="AI124" s="336">
        <f t="shared" si="188"/>
        <v>0</v>
      </c>
      <c r="AJ124" s="337">
        <f t="shared" si="188"/>
        <v>0</v>
      </c>
      <c r="AK124" s="338">
        <f t="shared" si="189"/>
        <v>0</v>
      </c>
      <c r="AL124" s="342"/>
      <c r="AM124" s="336">
        <f t="shared" si="190"/>
        <v>196</v>
      </c>
      <c r="AN124" s="339">
        <f t="shared" si="190"/>
        <v>196</v>
      </c>
      <c r="AO124" s="340">
        <f t="shared" si="191"/>
        <v>0</v>
      </c>
      <c r="AP124" s="336">
        <f t="shared" si="192"/>
        <v>196</v>
      </c>
      <c r="AQ124" s="339">
        <f t="shared" si="192"/>
        <v>196</v>
      </c>
      <c r="AR124" s="340">
        <f t="shared" si="193"/>
        <v>0</v>
      </c>
      <c r="AS124" s="341">
        <f t="shared" si="194"/>
        <v>196</v>
      </c>
      <c r="AT124" s="339">
        <f t="shared" si="194"/>
        <v>196</v>
      </c>
      <c r="AU124" s="340">
        <f t="shared" si="195"/>
        <v>0</v>
      </c>
      <c r="AV124" s="589">
        <f t="shared" si="196"/>
        <v>0</v>
      </c>
      <c r="AW124" s="343"/>
      <c r="AX124" s="1098"/>
      <c r="AY124" s="345">
        <v>196</v>
      </c>
      <c r="AZ124" s="1098">
        <v>196</v>
      </c>
      <c r="BA124" s="345"/>
      <c r="BB124" s="1120"/>
      <c r="BC124" s="347"/>
      <c r="BD124" s="348"/>
      <c r="BE124" s="349"/>
      <c r="BF124" s="348"/>
      <c r="BG124" s="349"/>
      <c r="BH124" s="350"/>
      <c r="BI124" s="351"/>
      <c r="BJ124" s="352"/>
      <c r="BK124" s="337"/>
      <c r="BL124" s="352"/>
      <c r="BM124" s="337"/>
      <c r="BN124" s="353"/>
      <c r="BO124" s="354"/>
      <c r="BP124" s="355"/>
      <c r="BQ124" s="356"/>
      <c r="BR124" s="355"/>
      <c r="BS124" s="356"/>
      <c r="BT124" s="357"/>
    </row>
    <row r="125" spans="1:72" s="313" customFormat="1" ht="25.5" outlineLevel="2">
      <c r="A125" s="287">
        <v>113</v>
      </c>
      <c r="B125" s="933"/>
      <c r="C125" s="840"/>
      <c r="D125" s="841" t="s">
        <v>273</v>
      </c>
      <c r="E125" s="839"/>
      <c r="F125" s="821" t="s">
        <v>7</v>
      </c>
      <c r="G125" s="314">
        <v>4</v>
      </c>
      <c r="H125" s="739" t="s">
        <v>70</v>
      </c>
      <c r="I125" s="739">
        <v>244</v>
      </c>
      <c r="J125" s="740">
        <v>346</v>
      </c>
      <c r="K125" s="533" t="s">
        <v>564</v>
      </c>
      <c r="L125" s="1025">
        <v>598</v>
      </c>
      <c r="M125" s="318"/>
      <c r="N125" s="318"/>
      <c r="O125" s="1052">
        <f t="shared" si="181"/>
        <v>598</v>
      </c>
      <c r="P125" s="562"/>
      <c r="Q125" s="336"/>
      <c r="R125" s="562"/>
      <c r="S125" s="336"/>
      <c r="T125" s="562"/>
      <c r="U125" s="466"/>
      <c r="V125" s="597" t="s">
        <v>483</v>
      </c>
      <c r="W125" s="597" t="s">
        <v>566</v>
      </c>
      <c r="X125" s="320" t="s">
        <v>557</v>
      </c>
      <c r="Z125" s="336">
        <f t="shared" si="182"/>
        <v>598</v>
      </c>
      <c r="AA125" s="337">
        <f t="shared" si="182"/>
        <v>598</v>
      </c>
      <c r="AB125" s="338">
        <f t="shared" si="183"/>
        <v>0</v>
      </c>
      <c r="AC125" s="336">
        <f t="shared" si="184"/>
        <v>0</v>
      </c>
      <c r="AD125" s="337">
        <f t="shared" si="184"/>
        <v>0</v>
      </c>
      <c r="AE125" s="338">
        <f t="shared" si="185"/>
        <v>0</v>
      </c>
      <c r="AF125" s="336">
        <f t="shared" si="186"/>
        <v>0</v>
      </c>
      <c r="AG125" s="337">
        <f t="shared" si="186"/>
        <v>0</v>
      </c>
      <c r="AH125" s="338">
        <f t="shared" si="187"/>
        <v>0</v>
      </c>
      <c r="AI125" s="336">
        <f t="shared" si="188"/>
        <v>0</v>
      </c>
      <c r="AJ125" s="337">
        <f t="shared" si="188"/>
        <v>0</v>
      </c>
      <c r="AK125" s="338">
        <f t="shared" si="189"/>
        <v>0</v>
      </c>
      <c r="AL125" s="342"/>
      <c r="AM125" s="336">
        <f t="shared" si="190"/>
        <v>598</v>
      </c>
      <c r="AN125" s="339">
        <f t="shared" si="190"/>
        <v>598</v>
      </c>
      <c r="AO125" s="340">
        <f t="shared" si="191"/>
        <v>0</v>
      </c>
      <c r="AP125" s="336">
        <f t="shared" si="192"/>
        <v>598</v>
      </c>
      <c r="AQ125" s="339">
        <f t="shared" si="192"/>
        <v>598</v>
      </c>
      <c r="AR125" s="340">
        <f t="shared" si="193"/>
        <v>0</v>
      </c>
      <c r="AS125" s="341">
        <f t="shared" si="194"/>
        <v>598</v>
      </c>
      <c r="AT125" s="339">
        <f t="shared" si="194"/>
        <v>598</v>
      </c>
      <c r="AU125" s="340">
        <f t="shared" si="195"/>
        <v>0</v>
      </c>
      <c r="AV125" s="589">
        <f t="shared" si="196"/>
        <v>0</v>
      </c>
      <c r="AW125" s="343"/>
      <c r="AX125" s="1098"/>
      <c r="AY125" s="345"/>
      <c r="AZ125" s="1098"/>
      <c r="BA125" s="345">
        <v>598</v>
      </c>
      <c r="BB125" s="1120">
        <v>598</v>
      </c>
      <c r="BC125" s="347"/>
      <c r="BD125" s="348"/>
      <c r="BE125" s="349"/>
      <c r="BF125" s="348"/>
      <c r="BG125" s="349"/>
      <c r="BH125" s="350"/>
      <c r="BI125" s="351"/>
      <c r="BJ125" s="352"/>
      <c r="BK125" s="337"/>
      <c r="BL125" s="352"/>
      <c r="BM125" s="337"/>
      <c r="BN125" s="353"/>
      <c r="BO125" s="354"/>
      <c r="BP125" s="355"/>
      <c r="BQ125" s="356"/>
      <c r="BR125" s="355"/>
      <c r="BS125" s="356"/>
      <c r="BT125" s="357"/>
    </row>
    <row r="126" spans="1:72" s="313" customFormat="1" ht="51" outlineLevel="2">
      <c r="A126" s="287">
        <v>114</v>
      </c>
      <c r="B126" s="933"/>
      <c r="C126" s="840"/>
      <c r="D126" s="841" t="s">
        <v>273</v>
      </c>
      <c r="E126" s="839"/>
      <c r="F126" s="821" t="s">
        <v>7</v>
      </c>
      <c r="G126" s="314">
        <v>4</v>
      </c>
      <c r="H126" s="739" t="s">
        <v>70</v>
      </c>
      <c r="I126" s="739">
        <v>244</v>
      </c>
      <c r="J126" s="740">
        <v>346</v>
      </c>
      <c r="K126" s="533" t="s">
        <v>569</v>
      </c>
      <c r="L126" s="1025">
        <v>3995</v>
      </c>
      <c r="M126" s="318"/>
      <c r="N126" s="318"/>
      <c r="O126" s="1052">
        <f t="shared" si="181"/>
        <v>3995</v>
      </c>
      <c r="P126" s="562"/>
      <c r="Q126" s="336"/>
      <c r="R126" s="562"/>
      <c r="S126" s="336"/>
      <c r="T126" s="562"/>
      <c r="U126" s="466"/>
      <c r="V126" s="597" t="s">
        <v>570</v>
      </c>
      <c r="W126" s="597" t="s">
        <v>571</v>
      </c>
      <c r="X126" s="388" t="s">
        <v>572</v>
      </c>
      <c r="Z126" s="336">
        <f t="shared" si="182"/>
        <v>3995</v>
      </c>
      <c r="AA126" s="337">
        <f t="shared" si="182"/>
        <v>3995</v>
      </c>
      <c r="AB126" s="338">
        <f t="shared" si="183"/>
        <v>0</v>
      </c>
      <c r="AC126" s="336">
        <f t="shared" si="184"/>
        <v>0</v>
      </c>
      <c r="AD126" s="337">
        <f t="shared" si="184"/>
        <v>0</v>
      </c>
      <c r="AE126" s="338">
        <f t="shared" si="185"/>
        <v>0</v>
      </c>
      <c r="AF126" s="336">
        <f t="shared" si="186"/>
        <v>0</v>
      </c>
      <c r="AG126" s="337">
        <f t="shared" si="186"/>
        <v>0</v>
      </c>
      <c r="AH126" s="338">
        <f t="shared" si="187"/>
        <v>0</v>
      </c>
      <c r="AI126" s="336">
        <f t="shared" si="188"/>
        <v>0</v>
      </c>
      <c r="AJ126" s="337">
        <f t="shared" si="188"/>
        <v>0</v>
      </c>
      <c r="AK126" s="338">
        <f t="shared" si="189"/>
        <v>0</v>
      </c>
      <c r="AL126" s="342"/>
      <c r="AM126" s="336">
        <f t="shared" si="190"/>
        <v>3995</v>
      </c>
      <c r="AN126" s="339">
        <f t="shared" si="190"/>
        <v>3995</v>
      </c>
      <c r="AO126" s="340">
        <f t="shared" si="191"/>
        <v>0</v>
      </c>
      <c r="AP126" s="336">
        <f t="shared" si="192"/>
        <v>3995</v>
      </c>
      <c r="AQ126" s="339">
        <f t="shared" si="192"/>
        <v>3995</v>
      </c>
      <c r="AR126" s="340">
        <f t="shared" si="193"/>
        <v>0</v>
      </c>
      <c r="AS126" s="341">
        <f t="shared" si="194"/>
        <v>3995</v>
      </c>
      <c r="AT126" s="339">
        <f t="shared" si="194"/>
        <v>3995</v>
      </c>
      <c r="AU126" s="340">
        <f t="shared" si="195"/>
        <v>0</v>
      </c>
      <c r="AV126" s="589">
        <f t="shared" si="196"/>
        <v>0</v>
      </c>
      <c r="AW126" s="343"/>
      <c r="AX126" s="1098"/>
      <c r="AY126" s="345"/>
      <c r="AZ126" s="1098"/>
      <c r="BA126" s="345">
        <v>3995</v>
      </c>
      <c r="BB126" s="1120">
        <v>3995</v>
      </c>
      <c r="BC126" s="347"/>
      <c r="BD126" s="348"/>
      <c r="BE126" s="349"/>
      <c r="BF126" s="348"/>
      <c r="BG126" s="349"/>
      <c r="BH126" s="350"/>
      <c r="BI126" s="351"/>
      <c r="BJ126" s="352"/>
      <c r="BK126" s="337"/>
      <c r="BL126" s="352"/>
      <c r="BM126" s="337"/>
      <c r="BN126" s="353"/>
      <c r="BO126" s="354"/>
      <c r="BP126" s="355"/>
      <c r="BQ126" s="356"/>
      <c r="BR126" s="355"/>
      <c r="BS126" s="356"/>
      <c r="BT126" s="357"/>
    </row>
    <row r="127" spans="1:72" s="313" customFormat="1" ht="63.75" outlineLevel="2">
      <c r="A127" s="287">
        <v>115</v>
      </c>
      <c r="B127" s="933"/>
      <c r="C127" s="840"/>
      <c r="D127" s="841" t="s">
        <v>273</v>
      </c>
      <c r="E127" s="839"/>
      <c r="F127" s="821" t="s">
        <v>7</v>
      </c>
      <c r="G127" s="314">
        <v>4</v>
      </c>
      <c r="H127" s="739" t="s">
        <v>70</v>
      </c>
      <c r="I127" s="739">
        <v>244</v>
      </c>
      <c r="J127" s="740">
        <v>346</v>
      </c>
      <c r="K127" s="533" t="s">
        <v>583</v>
      </c>
      <c r="L127" s="1025">
        <v>3977</v>
      </c>
      <c r="M127" s="318"/>
      <c r="N127" s="318"/>
      <c r="O127" s="1052">
        <f t="shared" si="181"/>
        <v>3977</v>
      </c>
      <c r="P127" s="562"/>
      <c r="Q127" s="336"/>
      <c r="R127" s="562"/>
      <c r="S127" s="336"/>
      <c r="T127" s="562"/>
      <c r="U127" s="466"/>
      <c r="V127" s="597" t="s">
        <v>582</v>
      </c>
      <c r="W127" s="597" t="s">
        <v>581</v>
      </c>
      <c r="X127" s="320" t="s">
        <v>557</v>
      </c>
      <c r="Z127" s="336">
        <f t="shared" si="182"/>
        <v>3977</v>
      </c>
      <c r="AA127" s="337">
        <f t="shared" si="182"/>
        <v>3977</v>
      </c>
      <c r="AB127" s="338">
        <f t="shared" si="183"/>
        <v>0</v>
      </c>
      <c r="AC127" s="336">
        <f t="shared" si="184"/>
        <v>0</v>
      </c>
      <c r="AD127" s="337">
        <f t="shared" si="184"/>
        <v>0</v>
      </c>
      <c r="AE127" s="338">
        <f t="shared" si="185"/>
        <v>0</v>
      </c>
      <c r="AF127" s="336">
        <f t="shared" si="186"/>
        <v>0</v>
      </c>
      <c r="AG127" s="337">
        <f t="shared" si="186"/>
        <v>0</v>
      </c>
      <c r="AH127" s="338">
        <f t="shared" si="187"/>
        <v>0</v>
      </c>
      <c r="AI127" s="336">
        <f t="shared" si="188"/>
        <v>0</v>
      </c>
      <c r="AJ127" s="337">
        <f t="shared" si="188"/>
        <v>0</v>
      </c>
      <c r="AK127" s="338">
        <f t="shared" si="189"/>
        <v>0</v>
      </c>
      <c r="AL127" s="342"/>
      <c r="AM127" s="336">
        <f t="shared" si="190"/>
        <v>3977</v>
      </c>
      <c r="AN127" s="339">
        <f t="shared" si="190"/>
        <v>3977</v>
      </c>
      <c r="AO127" s="340">
        <f t="shared" si="191"/>
        <v>0</v>
      </c>
      <c r="AP127" s="336">
        <f t="shared" si="192"/>
        <v>3977</v>
      </c>
      <c r="AQ127" s="339">
        <f t="shared" si="192"/>
        <v>3977</v>
      </c>
      <c r="AR127" s="340">
        <f t="shared" si="193"/>
        <v>0</v>
      </c>
      <c r="AS127" s="341">
        <f t="shared" si="194"/>
        <v>3977</v>
      </c>
      <c r="AT127" s="339">
        <f t="shared" si="194"/>
        <v>3977</v>
      </c>
      <c r="AU127" s="340">
        <f t="shared" si="195"/>
        <v>0</v>
      </c>
      <c r="AV127" s="589">
        <f t="shared" si="196"/>
        <v>0</v>
      </c>
      <c r="AW127" s="343"/>
      <c r="AX127" s="1098"/>
      <c r="AY127" s="345"/>
      <c r="AZ127" s="1098"/>
      <c r="BA127" s="345">
        <v>3977</v>
      </c>
      <c r="BB127" s="1120">
        <v>3977</v>
      </c>
      <c r="BC127" s="347"/>
      <c r="BD127" s="348"/>
      <c r="BE127" s="349"/>
      <c r="BF127" s="348"/>
      <c r="BG127" s="349"/>
      <c r="BH127" s="350"/>
      <c r="BI127" s="351"/>
      <c r="BJ127" s="352"/>
      <c r="BK127" s="337"/>
      <c r="BL127" s="352"/>
      <c r="BM127" s="337"/>
      <c r="BN127" s="353"/>
      <c r="BO127" s="354"/>
      <c r="BP127" s="355"/>
      <c r="BQ127" s="356"/>
      <c r="BR127" s="355"/>
      <c r="BS127" s="356"/>
      <c r="BT127" s="357"/>
    </row>
    <row r="128" spans="1:72" s="313" customFormat="1" ht="25.5" customHeight="1" outlineLevel="2">
      <c r="A128" s="287">
        <v>116</v>
      </c>
      <c r="B128" s="933"/>
      <c r="C128" s="840"/>
      <c r="D128" s="841" t="s">
        <v>273</v>
      </c>
      <c r="E128" s="839"/>
      <c r="F128" s="821" t="s">
        <v>7</v>
      </c>
      <c r="G128" s="314">
        <v>4</v>
      </c>
      <c r="H128" s="739" t="s">
        <v>70</v>
      </c>
      <c r="I128" s="739">
        <v>244</v>
      </c>
      <c r="J128" s="740">
        <v>346</v>
      </c>
      <c r="K128" s="533" t="s">
        <v>779</v>
      </c>
      <c r="L128" s="1025">
        <v>1174</v>
      </c>
      <c r="M128" s="318"/>
      <c r="N128" s="318"/>
      <c r="O128" s="1052">
        <f>L128+N128</f>
        <v>1174</v>
      </c>
      <c r="P128" s="562"/>
      <c r="Q128" s="336"/>
      <c r="R128" s="562"/>
      <c r="S128" s="336"/>
      <c r="T128" s="562"/>
      <c r="U128" s="466"/>
      <c r="V128" s="597" t="s">
        <v>483</v>
      </c>
      <c r="W128" s="597" t="s">
        <v>617</v>
      </c>
      <c r="X128" s="320" t="s">
        <v>557</v>
      </c>
      <c r="Z128" s="336">
        <f>AW128+AY128+BA128</f>
        <v>1174</v>
      </c>
      <c r="AA128" s="337">
        <f>AX128+AZ128+BB128</f>
        <v>1174</v>
      </c>
      <c r="AB128" s="338">
        <f>Z128-AA128</f>
        <v>0</v>
      </c>
      <c r="AC128" s="336">
        <f>BC128+BE128+BG128</f>
        <v>0</v>
      </c>
      <c r="AD128" s="337">
        <f>BD128+BF128+BH128</f>
        <v>0</v>
      </c>
      <c r="AE128" s="338">
        <f>AC128-AD128</f>
        <v>0</v>
      </c>
      <c r="AF128" s="336">
        <f>BI128+BK128+BM128</f>
        <v>0</v>
      </c>
      <c r="AG128" s="337">
        <f>BJ128+BL128+BN128</f>
        <v>0</v>
      </c>
      <c r="AH128" s="338">
        <f>AF128-AG128</f>
        <v>0</v>
      </c>
      <c r="AI128" s="336">
        <f>BO128+BQ128+BS128</f>
        <v>0</v>
      </c>
      <c r="AJ128" s="337">
        <f>BP128+BR128+BT128</f>
        <v>0</v>
      </c>
      <c r="AK128" s="338">
        <f>AI128-AJ128</f>
        <v>0</v>
      </c>
      <c r="AL128" s="342"/>
      <c r="AM128" s="336">
        <f>Z128+AC128</f>
        <v>1174</v>
      </c>
      <c r="AN128" s="339">
        <f>AA128+AD128</f>
        <v>1174</v>
      </c>
      <c r="AO128" s="340">
        <f>AM128-AN128</f>
        <v>0</v>
      </c>
      <c r="AP128" s="336">
        <f>Z128+AC128+AF128</f>
        <v>1174</v>
      </c>
      <c r="AQ128" s="339">
        <f>AA128+AD128+AG128</f>
        <v>1174</v>
      </c>
      <c r="AR128" s="340">
        <f>AP128-AQ128</f>
        <v>0</v>
      </c>
      <c r="AS128" s="341">
        <f>Z128+AC128+AF128+AI128</f>
        <v>1174</v>
      </c>
      <c r="AT128" s="339">
        <f>AA128+AD128+AG128+AJ128</f>
        <v>1174</v>
      </c>
      <c r="AU128" s="340">
        <f>AS128-AT128</f>
        <v>0</v>
      </c>
      <c r="AV128" s="589">
        <f>L128-AS128</f>
        <v>0</v>
      </c>
      <c r="AW128" s="343"/>
      <c r="AX128" s="1098"/>
      <c r="AY128" s="345"/>
      <c r="AZ128" s="1098"/>
      <c r="BA128" s="345">
        <v>1174</v>
      </c>
      <c r="BB128" s="1120">
        <v>1174</v>
      </c>
      <c r="BC128" s="347"/>
      <c r="BD128" s="348"/>
      <c r="BE128" s="349"/>
      <c r="BF128" s="348"/>
      <c r="BG128" s="349"/>
      <c r="BH128" s="350"/>
      <c r="BI128" s="351"/>
      <c r="BJ128" s="352"/>
      <c r="BK128" s="337"/>
      <c r="BL128" s="352"/>
      <c r="BM128" s="337"/>
      <c r="BN128" s="353"/>
      <c r="BO128" s="354"/>
      <c r="BP128" s="355"/>
      <c r="BQ128" s="356"/>
      <c r="BR128" s="355"/>
      <c r="BS128" s="356"/>
      <c r="BT128" s="357"/>
    </row>
    <row r="129" spans="1:72" s="313" customFormat="1" ht="25.5" outlineLevel="2">
      <c r="A129" s="287">
        <v>117</v>
      </c>
      <c r="B129" s="933"/>
      <c r="C129" s="840"/>
      <c r="D129" s="841" t="s">
        <v>273</v>
      </c>
      <c r="E129" s="839"/>
      <c r="F129" s="821" t="s">
        <v>7</v>
      </c>
      <c r="G129" s="314">
        <v>4</v>
      </c>
      <c r="H129" s="739" t="s">
        <v>70</v>
      </c>
      <c r="I129" s="739">
        <v>244</v>
      </c>
      <c r="J129" s="740">
        <v>346</v>
      </c>
      <c r="K129" s="533" t="s">
        <v>615</v>
      </c>
      <c r="L129" s="1025">
        <v>19011</v>
      </c>
      <c r="M129" s="318"/>
      <c r="N129" s="318"/>
      <c r="O129" s="1052">
        <f t="shared" ref="O129" si="197">L129+N129</f>
        <v>19011</v>
      </c>
      <c r="P129" s="562"/>
      <c r="Q129" s="336"/>
      <c r="R129" s="562"/>
      <c r="S129" s="336"/>
      <c r="T129" s="562"/>
      <c r="U129" s="466"/>
      <c r="V129" s="597" t="s">
        <v>616</v>
      </c>
      <c r="W129" s="597" t="s">
        <v>656</v>
      </c>
      <c r="X129" s="597" t="s">
        <v>657</v>
      </c>
      <c r="Z129" s="336">
        <f t="shared" ref="Z129" si="198">AW129+AY129+BA129</f>
        <v>19011</v>
      </c>
      <c r="AA129" s="337">
        <f t="shared" ref="AA129" si="199">AX129+AZ129+BB129</f>
        <v>19011</v>
      </c>
      <c r="AB129" s="338">
        <f t="shared" ref="AB129" si="200">Z129-AA129</f>
        <v>0</v>
      </c>
      <c r="AC129" s="336">
        <f t="shared" ref="AC129" si="201">BC129+BE129+BG129</f>
        <v>0</v>
      </c>
      <c r="AD129" s="337">
        <f t="shared" ref="AD129" si="202">BD129+BF129+BH129</f>
        <v>0</v>
      </c>
      <c r="AE129" s="338">
        <f t="shared" ref="AE129" si="203">AC129-AD129</f>
        <v>0</v>
      </c>
      <c r="AF129" s="336">
        <f t="shared" ref="AF129" si="204">BI129+BK129+BM129</f>
        <v>0</v>
      </c>
      <c r="AG129" s="337">
        <f t="shared" ref="AG129" si="205">BJ129+BL129+BN129</f>
        <v>0</v>
      </c>
      <c r="AH129" s="338">
        <f t="shared" ref="AH129" si="206">AF129-AG129</f>
        <v>0</v>
      </c>
      <c r="AI129" s="336">
        <f t="shared" ref="AI129" si="207">BO129+BQ129+BS129</f>
        <v>0</v>
      </c>
      <c r="AJ129" s="337">
        <f t="shared" ref="AJ129" si="208">BP129+BR129+BT129</f>
        <v>0</v>
      </c>
      <c r="AK129" s="338">
        <f t="shared" ref="AK129" si="209">AI129-AJ129</f>
        <v>0</v>
      </c>
      <c r="AL129" s="342"/>
      <c r="AM129" s="336">
        <f t="shared" ref="AM129" si="210">Z129+AC129</f>
        <v>19011</v>
      </c>
      <c r="AN129" s="339">
        <f t="shared" ref="AN129" si="211">AA129+AD129</f>
        <v>19011</v>
      </c>
      <c r="AO129" s="340">
        <f t="shared" ref="AO129" si="212">AM129-AN129</f>
        <v>0</v>
      </c>
      <c r="AP129" s="336">
        <f t="shared" ref="AP129" si="213">Z129+AC129+AF129</f>
        <v>19011</v>
      </c>
      <c r="AQ129" s="339">
        <f t="shared" ref="AQ129" si="214">AA129+AD129+AG129</f>
        <v>19011</v>
      </c>
      <c r="AR129" s="340">
        <f t="shared" ref="AR129" si="215">AP129-AQ129</f>
        <v>0</v>
      </c>
      <c r="AS129" s="341">
        <f t="shared" ref="AS129" si="216">Z129+AC129+AF129+AI129</f>
        <v>19011</v>
      </c>
      <c r="AT129" s="339">
        <f t="shared" ref="AT129" si="217">AA129+AD129+AG129+AJ129</f>
        <v>19011</v>
      </c>
      <c r="AU129" s="340">
        <f t="shared" ref="AU129" si="218">AS129-AT129</f>
        <v>0</v>
      </c>
      <c r="AV129" s="589">
        <f t="shared" ref="AV129" si="219">L129-AS129</f>
        <v>0</v>
      </c>
      <c r="AW129" s="343"/>
      <c r="AX129" s="1098"/>
      <c r="AY129" s="345"/>
      <c r="AZ129" s="1098"/>
      <c r="BA129" s="345">
        <v>19011</v>
      </c>
      <c r="BB129" s="1120">
        <v>19011</v>
      </c>
      <c r="BC129" s="347"/>
      <c r="BD129" s="348"/>
      <c r="BE129" s="349"/>
      <c r="BF129" s="348"/>
      <c r="BG129" s="349"/>
      <c r="BH129" s="350"/>
      <c r="BI129" s="351"/>
      <c r="BJ129" s="352"/>
      <c r="BK129" s="337"/>
      <c r="BL129" s="352"/>
      <c r="BM129" s="337"/>
      <c r="BN129" s="353"/>
      <c r="BO129" s="354"/>
      <c r="BP129" s="355"/>
      <c r="BQ129" s="356"/>
      <c r="BR129" s="355"/>
      <c r="BS129" s="356"/>
      <c r="BT129" s="357"/>
    </row>
    <row r="130" spans="1:72" s="430" customFormat="1" ht="25.5" customHeight="1" outlineLevel="2">
      <c r="A130" s="287">
        <v>118</v>
      </c>
      <c r="B130" s="933"/>
      <c r="C130" s="743"/>
      <c r="D130" s="856" t="s">
        <v>273</v>
      </c>
      <c r="E130" s="857"/>
      <c r="F130" s="827" t="s">
        <v>7</v>
      </c>
      <c r="G130" s="431">
        <v>4</v>
      </c>
      <c r="H130" s="474" t="s">
        <v>70</v>
      </c>
      <c r="I130" s="743">
        <v>244</v>
      </c>
      <c r="J130" s="744">
        <v>346</v>
      </c>
      <c r="K130" s="536" t="s">
        <v>284</v>
      </c>
      <c r="L130" s="1030"/>
      <c r="M130" s="434"/>
      <c r="N130" s="434"/>
      <c r="O130" s="1064">
        <f t="shared" si="142"/>
        <v>0</v>
      </c>
      <c r="P130" s="563"/>
      <c r="Q130" s="437"/>
      <c r="R130" s="563"/>
      <c r="S130" s="437"/>
      <c r="T130" s="563"/>
      <c r="U130" s="467"/>
      <c r="V130" s="436"/>
      <c r="W130" s="436"/>
      <c r="X130" s="436"/>
      <c r="Z130" s="437">
        <f t="shared" si="169"/>
        <v>0</v>
      </c>
      <c r="AA130" s="438">
        <f t="shared" si="169"/>
        <v>0</v>
      </c>
      <c r="AB130" s="439">
        <f t="shared" si="133"/>
        <v>0</v>
      </c>
      <c r="AC130" s="437">
        <f t="shared" si="170"/>
        <v>0</v>
      </c>
      <c r="AD130" s="438">
        <f t="shared" si="170"/>
        <v>0</v>
      </c>
      <c r="AE130" s="439">
        <f t="shared" si="134"/>
        <v>0</v>
      </c>
      <c r="AF130" s="437">
        <f t="shared" si="171"/>
        <v>0</v>
      </c>
      <c r="AG130" s="438">
        <f t="shared" si="171"/>
        <v>0</v>
      </c>
      <c r="AH130" s="439">
        <f t="shared" si="135"/>
        <v>0</v>
      </c>
      <c r="AI130" s="437">
        <f t="shared" si="172"/>
        <v>0</v>
      </c>
      <c r="AJ130" s="438">
        <f t="shared" si="172"/>
        <v>0</v>
      </c>
      <c r="AK130" s="439">
        <f t="shared" si="136"/>
        <v>0</v>
      </c>
      <c r="AL130" s="440"/>
      <c r="AM130" s="437">
        <f t="shared" si="173"/>
        <v>0</v>
      </c>
      <c r="AN130" s="441">
        <f t="shared" si="173"/>
        <v>0</v>
      </c>
      <c r="AO130" s="442">
        <f t="shared" si="137"/>
        <v>0</v>
      </c>
      <c r="AP130" s="437">
        <f t="shared" si="174"/>
        <v>0</v>
      </c>
      <c r="AQ130" s="441">
        <f t="shared" si="174"/>
        <v>0</v>
      </c>
      <c r="AR130" s="442">
        <f t="shared" si="138"/>
        <v>0</v>
      </c>
      <c r="AS130" s="443">
        <f t="shared" si="176"/>
        <v>0</v>
      </c>
      <c r="AT130" s="441">
        <f t="shared" si="176"/>
        <v>0</v>
      </c>
      <c r="AU130" s="442">
        <f t="shared" si="139"/>
        <v>0</v>
      </c>
      <c r="AV130" s="601">
        <f t="shared" si="140"/>
        <v>0</v>
      </c>
      <c r="AW130" s="444"/>
      <c r="AX130" s="1111"/>
      <c r="AY130" s="446"/>
      <c r="AZ130" s="1111"/>
      <c r="BA130" s="446"/>
      <c r="BB130" s="1129"/>
      <c r="BC130" s="448"/>
      <c r="BD130" s="449"/>
      <c r="BE130" s="450"/>
      <c r="BF130" s="449"/>
      <c r="BG130" s="450"/>
      <c r="BH130" s="451"/>
      <c r="BI130" s="452"/>
      <c r="BJ130" s="453"/>
      <c r="BK130" s="438"/>
      <c r="BL130" s="453"/>
      <c r="BM130" s="438"/>
      <c r="BN130" s="454"/>
      <c r="BO130" s="455"/>
      <c r="BP130" s="456"/>
      <c r="BQ130" s="457"/>
      <c r="BR130" s="456"/>
      <c r="BS130" s="457"/>
      <c r="BT130" s="458"/>
    </row>
    <row r="131" spans="1:72" s="921" customFormat="1" ht="54" customHeight="1" outlineLevel="1">
      <c r="A131" s="287">
        <v>119</v>
      </c>
      <c r="B131" s="933"/>
      <c r="C131" s="850" t="s">
        <v>378</v>
      </c>
      <c r="D131" s="854" t="s">
        <v>807</v>
      </c>
      <c r="E131" s="902"/>
      <c r="F131" s="903" t="s">
        <v>7</v>
      </c>
      <c r="G131" s="904">
        <v>4</v>
      </c>
      <c r="H131" s="905" t="s">
        <v>70</v>
      </c>
      <c r="I131" s="905">
        <v>244</v>
      </c>
      <c r="J131" s="906">
        <v>346</v>
      </c>
      <c r="K131" s="907" t="s">
        <v>687</v>
      </c>
      <c r="L131" s="1033">
        <v>134005.82</v>
      </c>
      <c r="M131" s="909"/>
      <c r="N131" s="909"/>
      <c r="O131" s="1066">
        <f>L131+N131</f>
        <v>134005.82</v>
      </c>
      <c r="P131" s="910"/>
      <c r="Q131" s="908">
        <f>Q132</f>
        <v>379130.88</v>
      </c>
      <c r="R131" s="910"/>
      <c r="S131" s="908">
        <f>S132</f>
        <v>485710.59</v>
      </c>
      <c r="T131" s="910"/>
      <c r="U131" s="911"/>
      <c r="V131" s="912"/>
      <c r="W131" s="912"/>
      <c r="X131" s="912"/>
      <c r="Y131" s="913"/>
      <c r="Z131" s="914">
        <f t="shared" si="169"/>
        <v>134615.01999999999</v>
      </c>
      <c r="AA131" s="915">
        <f t="shared" si="169"/>
        <v>609.20000000000005</v>
      </c>
      <c r="AB131" s="916">
        <f>Z131-AA131</f>
        <v>134005.82</v>
      </c>
      <c r="AC131" s="914">
        <f t="shared" si="170"/>
        <v>100830.52</v>
      </c>
      <c r="AD131" s="915">
        <f t="shared" si="170"/>
        <v>0</v>
      </c>
      <c r="AE131" s="916">
        <f>AC131-AD131</f>
        <v>100830.52</v>
      </c>
      <c r="AF131" s="914">
        <f t="shared" si="171"/>
        <v>0</v>
      </c>
      <c r="AG131" s="915">
        <f t="shared" si="171"/>
        <v>0</v>
      </c>
      <c r="AH131" s="916">
        <f>AF131-AG131</f>
        <v>0</v>
      </c>
      <c r="AI131" s="914">
        <f t="shared" si="172"/>
        <v>0</v>
      </c>
      <c r="AJ131" s="915">
        <f t="shared" si="172"/>
        <v>0</v>
      </c>
      <c r="AK131" s="916">
        <f>AI131-AJ131</f>
        <v>0</v>
      </c>
      <c r="AL131" s="917"/>
      <c r="AM131" s="908">
        <f t="shared" si="173"/>
        <v>235445.54</v>
      </c>
      <c r="AN131" s="909">
        <f t="shared" si="173"/>
        <v>609.20000000000005</v>
      </c>
      <c r="AO131" s="918">
        <f>AM131-AN131</f>
        <v>234836.34</v>
      </c>
      <c r="AP131" s="908">
        <f t="shared" si="174"/>
        <v>235445.54</v>
      </c>
      <c r="AQ131" s="909">
        <f t="shared" si="174"/>
        <v>609.20000000000005</v>
      </c>
      <c r="AR131" s="918">
        <f>AP131-AQ131</f>
        <v>234836.34</v>
      </c>
      <c r="AS131" s="908">
        <f t="shared" si="176"/>
        <v>235445.54</v>
      </c>
      <c r="AT131" s="909">
        <f t="shared" si="176"/>
        <v>609.20000000000005</v>
      </c>
      <c r="AU131" s="918">
        <f>AS131-AT131</f>
        <v>234836.34</v>
      </c>
      <c r="AV131" s="919">
        <f>L131-AS131</f>
        <v>-101439.72</v>
      </c>
      <c r="AW131" s="908">
        <f t="shared" ref="AW131:BT131" si="220">SUM(AW132:AW144)</f>
        <v>0</v>
      </c>
      <c r="AX131" s="1110">
        <f t="shared" si="220"/>
        <v>0</v>
      </c>
      <c r="AY131" s="909">
        <f t="shared" si="220"/>
        <v>134005.82</v>
      </c>
      <c r="AZ131" s="1110">
        <f t="shared" si="220"/>
        <v>0</v>
      </c>
      <c r="BA131" s="909">
        <f t="shared" si="220"/>
        <v>609.20000000000005</v>
      </c>
      <c r="BB131" s="1128">
        <f t="shared" si="220"/>
        <v>609.20000000000005</v>
      </c>
      <c r="BC131" s="908">
        <f t="shared" si="220"/>
        <v>56563.519999999997</v>
      </c>
      <c r="BD131" s="909">
        <f t="shared" si="220"/>
        <v>0</v>
      </c>
      <c r="BE131" s="909">
        <f t="shared" si="220"/>
        <v>44267</v>
      </c>
      <c r="BF131" s="909">
        <f t="shared" si="220"/>
        <v>0</v>
      </c>
      <c r="BG131" s="909">
        <f t="shared" si="220"/>
        <v>0</v>
      </c>
      <c r="BH131" s="920">
        <f t="shared" si="220"/>
        <v>0</v>
      </c>
      <c r="BI131" s="908">
        <f t="shared" si="220"/>
        <v>0</v>
      </c>
      <c r="BJ131" s="909">
        <f t="shared" si="220"/>
        <v>0</v>
      </c>
      <c r="BK131" s="909">
        <f t="shared" si="220"/>
        <v>0</v>
      </c>
      <c r="BL131" s="909">
        <f t="shared" si="220"/>
        <v>0</v>
      </c>
      <c r="BM131" s="909">
        <f t="shared" si="220"/>
        <v>0</v>
      </c>
      <c r="BN131" s="920">
        <f t="shared" si="220"/>
        <v>0</v>
      </c>
      <c r="BO131" s="908">
        <f t="shared" si="220"/>
        <v>0</v>
      </c>
      <c r="BP131" s="909">
        <f t="shared" si="220"/>
        <v>0</v>
      </c>
      <c r="BQ131" s="909">
        <f t="shared" si="220"/>
        <v>0</v>
      </c>
      <c r="BR131" s="909">
        <f t="shared" si="220"/>
        <v>0</v>
      </c>
      <c r="BS131" s="909">
        <f t="shared" si="220"/>
        <v>0</v>
      </c>
      <c r="BT131" s="918">
        <f t="shared" si="220"/>
        <v>0</v>
      </c>
    </row>
    <row r="132" spans="1:72" s="313" customFormat="1" ht="25.5" customHeight="1" outlineLevel="2">
      <c r="A132" s="287">
        <v>120</v>
      </c>
      <c r="B132" s="933"/>
      <c r="C132" s="840"/>
      <c r="D132" s="854" t="s">
        <v>807</v>
      </c>
      <c r="E132" s="839"/>
      <c r="F132" s="821" t="s">
        <v>7</v>
      </c>
      <c r="G132" s="314">
        <v>4</v>
      </c>
      <c r="H132" s="739" t="s">
        <v>70</v>
      </c>
      <c r="I132" s="739">
        <v>244</v>
      </c>
      <c r="J132" s="740">
        <v>346</v>
      </c>
      <c r="K132" s="1005" t="s">
        <v>747</v>
      </c>
      <c r="L132" s="1031">
        <f>134005.82-SUM(L133:L144)</f>
        <v>32566.1</v>
      </c>
      <c r="M132" s="318"/>
      <c r="N132" s="318"/>
      <c r="O132" s="1052">
        <f>L132+N132</f>
        <v>32566.1</v>
      </c>
      <c r="P132" s="562"/>
      <c r="Q132" s="336">
        <v>379130.88</v>
      </c>
      <c r="R132" s="562">
        <v>0</v>
      </c>
      <c r="S132" s="336">
        <v>485710.59</v>
      </c>
      <c r="T132" s="562"/>
      <c r="U132" s="466"/>
      <c r="V132" s="320"/>
      <c r="W132" s="320"/>
      <c r="X132" s="320"/>
      <c r="Z132" s="336">
        <f t="shared" si="169"/>
        <v>134005.82</v>
      </c>
      <c r="AA132" s="337">
        <f t="shared" si="169"/>
        <v>0</v>
      </c>
      <c r="AB132" s="338">
        <f>Z132-AA132</f>
        <v>134005.82</v>
      </c>
      <c r="AC132" s="336">
        <f t="shared" si="170"/>
        <v>0</v>
      </c>
      <c r="AD132" s="337">
        <f t="shared" si="170"/>
        <v>0</v>
      </c>
      <c r="AE132" s="338">
        <f>AC132-AD132</f>
        <v>0</v>
      </c>
      <c r="AF132" s="336">
        <f t="shared" si="171"/>
        <v>0</v>
      </c>
      <c r="AG132" s="337">
        <f t="shared" si="171"/>
        <v>0</v>
      </c>
      <c r="AH132" s="338">
        <f>AF132-AG132</f>
        <v>0</v>
      </c>
      <c r="AI132" s="336">
        <f t="shared" si="172"/>
        <v>0</v>
      </c>
      <c r="AJ132" s="337">
        <f t="shared" si="172"/>
        <v>0</v>
      </c>
      <c r="AK132" s="338">
        <f>AI132-AJ132</f>
        <v>0</v>
      </c>
      <c r="AL132" s="342"/>
      <c r="AM132" s="336">
        <f t="shared" si="173"/>
        <v>134005.82</v>
      </c>
      <c r="AN132" s="339">
        <f t="shared" si="173"/>
        <v>0</v>
      </c>
      <c r="AO132" s="340">
        <f>AM132-AN132</f>
        <v>134005.82</v>
      </c>
      <c r="AP132" s="336">
        <f t="shared" si="174"/>
        <v>134005.82</v>
      </c>
      <c r="AQ132" s="339">
        <f t="shared" si="174"/>
        <v>0</v>
      </c>
      <c r="AR132" s="340">
        <f>AP132-AQ132</f>
        <v>134005.82</v>
      </c>
      <c r="AS132" s="341">
        <f t="shared" si="176"/>
        <v>134005.82</v>
      </c>
      <c r="AT132" s="339">
        <f t="shared" si="176"/>
        <v>0</v>
      </c>
      <c r="AU132" s="340">
        <f>AS132-AT132</f>
        <v>134005.82</v>
      </c>
      <c r="AV132" s="589">
        <f>L132-AS132</f>
        <v>-101439.72</v>
      </c>
      <c r="AW132" s="343"/>
      <c r="AX132" s="1098"/>
      <c r="AY132" s="345">
        <v>134005.82</v>
      </c>
      <c r="AZ132" s="1098"/>
      <c r="BA132" s="345"/>
      <c r="BB132" s="1120"/>
      <c r="BC132" s="347"/>
      <c r="BD132" s="348"/>
      <c r="BE132" s="349"/>
      <c r="BF132" s="348"/>
      <c r="BG132" s="349"/>
      <c r="BH132" s="350"/>
      <c r="BI132" s="351"/>
      <c r="BJ132" s="352"/>
      <c r="BK132" s="337"/>
      <c r="BL132" s="352"/>
      <c r="BM132" s="337"/>
      <c r="BN132" s="353"/>
      <c r="BO132" s="354"/>
      <c r="BP132" s="355"/>
      <c r="BQ132" s="356"/>
      <c r="BR132" s="355"/>
      <c r="BS132" s="356"/>
      <c r="BT132" s="357"/>
    </row>
    <row r="133" spans="1:72" s="313" customFormat="1" ht="25.5" outlineLevel="2">
      <c r="A133" s="287">
        <v>121</v>
      </c>
      <c r="B133" s="933"/>
      <c r="C133" s="840"/>
      <c r="D133" s="854" t="s">
        <v>807</v>
      </c>
      <c r="E133" s="839"/>
      <c r="F133" s="821" t="s">
        <v>7</v>
      </c>
      <c r="G133" s="314">
        <v>4</v>
      </c>
      <c r="H133" s="739" t="s">
        <v>70</v>
      </c>
      <c r="I133" s="739">
        <v>244</v>
      </c>
      <c r="J133" s="740">
        <v>346</v>
      </c>
      <c r="K133" s="533" t="s">
        <v>726</v>
      </c>
      <c r="L133" s="1025">
        <v>609.20000000000005</v>
      </c>
      <c r="M133" s="318"/>
      <c r="N133" s="318"/>
      <c r="O133" s="1052">
        <f t="shared" ref="O133:O135" si="221">L133+N133</f>
        <v>609.20000000000005</v>
      </c>
      <c r="P133" s="562"/>
      <c r="Q133" s="336"/>
      <c r="R133" s="562"/>
      <c r="S133" s="336"/>
      <c r="T133" s="562"/>
      <c r="U133" s="466"/>
      <c r="V133" s="597" t="s">
        <v>483</v>
      </c>
      <c r="W133" s="597" t="s">
        <v>614</v>
      </c>
      <c r="X133" s="320" t="s">
        <v>557</v>
      </c>
      <c r="Z133" s="336">
        <f t="shared" si="169"/>
        <v>609.20000000000005</v>
      </c>
      <c r="AA133" s="337">
        <f t="shared" si="169"/>
        <v>609.20000000000005</v>
      </c>
      <c r="AB133" s="338">
        <f t="shared" ref="AB133:AB135" si="222">Z133-AA133</f>
        <v>0</v>
      </c>
      <c r="AC133" s="336">
        <f t="shared" si="170"/>
        <v>0</v>
      </c>
      <c r="AD133" s="337">
        <f t="shared" si="170"/>
        <v>0</v>
      </c>
      <c r="AE133" s="338">
        <f t="shared" ref="AE133:AE135" si="223">AC133-AD133</f>
        <v>0</v>
      </c>
      <c r="AF133" s="336">
        <f t="shared" si="171"/>
        <v>0</v>
      </c>
      <c r="AG133" s="337">
        <f t="shared" si="171"/>
        <v>0</v>
      </c>
      <c r="AH133" s="338">
        <f t="shared" ref="AH133:AH135" si="224">AF133-AG133</f>
        <v>0</v>
      </c>
      <c r="AI133" s="336">
        <f t="shared" si="172"/>
        <v>0</v>
      </c>
      <c r="AJ133" s="337">
        <f t="shared" si="172"/>
        <v>0</v>
      </c>
      <c r="AK133" s="338">
        <f t="shared" ref="AK133:AK135" si="225">AI133-AJ133</f>
        <v>0</v>
      </c>
      <c r="AL133" s="342"/>
      <c r="AM133" s="336">
        <f t="shared" si="173"/>
        <v>609.20000000000005</v>
      </c>
      <c r="AN133" s="339">
        <f t="shared" si="173"/>
        <v>609.20000000000005</v>
      </c>
      <c r="AO133" s="340">
        <f t="shared" ref="AO133:AO135" si="226">AM133-AN133</f>
        <v>0</v>
      </c>
      <c r="AP133" s="336">
        <f t="shared" si="174"/>
        <v>609.20000000000005</v>
      </c>
      <c r="AQ133" s="339">
        <f t="shared" si="174"/>
        <v>609.20000000000005</v>
      </c>
      <c r="AR133" s="340">
        <f t="shared" ref="AR133:AR135" si="227">AP133-AQ133</f>
        <v>0</v>
      </c>
      <c r="AS133" s="341">
        <f t="shared" si="176"/>
        <v>609.20000000000005</v>
      </c>
      <c r="AT133" s="339">
        <f t="shared" si="176"/>
        <v>609.20000000000005</v>
      </c>
      <c r="AU133" s="340">
        <f t="shared" ref="AU133:AU135" si="228">AS133-AT133</f>
        <v>0</v>
      </c>
      <c r="AV133" s="589">
        <f t="shared" ref="AV133:AV135" si="229">L133-AS133</f>
        <v>0</v>
      </c>
      <c r="AW133" s="343"/>
      <c r="AX133" s="1098"/>
      <c r="AY133" s="345"/>
      <c r="AZ133" s="1098"/>
      <c r="BA133" s="345">
        <v>609.20000000000005</v>
      </c>
      <c r="BB133" s="1120">
        <v>609.20000000000005</v>
      </c>
      <c r="BC133" s="347"/>
      <c r="BD133" s="348"/>
      <c r="BE133" s="349"/>
      <c r="BF133" s="348"/>
      <c r="BG133" s="349"/>
      <c r="BH133" s="350"/>
      <c r="BI133" s="351"/>
      <c r="BJ133" s="352"/>
      <c r="BK133" s="337"/>
      <c r="BL133" s="352"/>
      <c r="BM133" s="337"/>
      <c r="BN133" s="353"/>
      <c r="BO133" s="354"/>
      <c r="BP133" s="355"/>
      <c r="BQ133" s="356"/>
      <c r="BR133" s="355"/>
      <c r="BS133" s="356"/>
      <c r="BT133" s="357"/>
    </row>
    <row r="134" spans="1:72" s="313" customFormat="1" ht="25.5" outlineLevel="2">
      <c r="A134" s="287">
        <v>121</v>
      </c>
      <c r="B134" s="933"/>
      <c r="C134" s="840"/>
      <c r="D134" s="854" t="s">
        <v>807</v>
      </c>
      <c r="E134" s="839"/>
      <c r="F134" s="821" t="s">
        <v>7</v>
      </c>
      <c r="G134" s="314">
        <v>4</v>
      </c>
      <c r="H134" s="739" t="s">
        <v>70</v>
      </c>
      <c r="I134" s="739">
        <v>244</v>
      </c>
      <c r="J134" s="740">
        <v>346</v>
      </c>
      <c r="K134" s="533" t="s">
        <v>727</v>
      </c>
      <c r="L134" s="1025">
        <v>1705</v>
      </c>
      <c r="M134" s="318"/>
      <c r="N134" s="318"/>
      <c r="O134" s="1052">
        <f t="shared" si="221"/>
        <v>1705</v>
      </c>
      <c r="P134" s="562"/>
      <c r="Q134" s="336"/>
      <c r="R134" s="562"/>
      <c r="S134" s="336"/>
      <c r="T134" s="562"/>
      <c r="U134" s="466"/>
      <c r="V134" s="597" t="s">
        <v>728</v>
      </c>
      <c r="W134" s="320" t="s">
        <v>481</v>
      </c>
      <c r="X134" s="320" t="s">
        <v>557</v>
      </c>
      <c r="Z134" s="336">
        <f t="shared" si="169"/>
        <v>0</v>
      </c>
      <c r="AA134" s="337">
        <f t="shared" si="169"/>
        <v>0</v>
      </c>
      <c r="AB134" s="338">
        <f t="shared" si="222"/>
        <v>0</v>
      </c>
      <c r="AC134" s="336">
        <f t="shared" si="170"/>
        <v>1705</v>
      </c>
      <c r="AD134" s="337">
        <f t="shared" si="170"/>
        <v>0</v>
      </c>
      <c r="AE134" s="338">
        <f t="shared" si="223"/>
        <v>1705</v>
      </c>
      <c r="AF134" s="336">
        <f t="shared" si="171"/>
        <v>0</v>
      </c>
      <c r="AG134" s="337">
        <f t="shared" si="171"/>
        <v>0</v>
      </c>
      <c r="AH134" s="338">
        <f t="shared" si="224"/>
        <v>0</v>
      </c>
      <c r="AI134" s="336">
        <f t="shared" si="172"/>
        <v>0</v>
      </c>
      <c r="AJ134" s="337">
        <f t="shared" si="172"/>
        <v>0</v>
      </c>
      <c r="AK134" s="338">
        <f t="shared" si="225"/>
        <v>0</v>
      </c>
      <c r="AL134" s="342"/>
      <c r="AM134" s="336">
        <f t="shared" si="173"/>
        <v>1705</v>
      </c>
      <c r="AN134" s="339">
        <f t="shared" si="173"/>
        <v>0</v>
      </c>
      <c r="AO134" s="340">
        <f t="shared" si="226"/>
        <v>1705</v>
      </c>
      <c r="AP134" s="336">
        <f t="shared" si="174"/>
        <v>1705</v>
      </c>
      <c r="AQ134" s="339">
        <f t="shared" si="174"/>
        <v>0</v>
      </c>
      <c r="AR134" s="340">
        <f t="shared" si="227"/>
        <v>1705</v>
      </c>
      <c r="AS134" s="341">
        <f t="shared" si="176"/>
        <v>1705</v>
      </c>
      <c r="AT134" s="339">
        <f t="shared" si="176"/>
        <v>0</v>
      </c>
      <c r="AU134" s="340">
        <f t="shared" si="228"/>
        <v>1705</v>
      </c>
      <c r="AV134" s="589">
        <f t="shared" si="229"/>
        <v>0</v>
      </c>
      <c r="AW134" s="343"/>
      <c r="AX134" s="1098"/>
      <c r="AY134" s="345"/>
      <c r="AZ134" s="1098"/>
      <c r="BA134" s="345"/>
      <c r="BB134" s="1120"/>
      <c r="BC134" s="1134">
        <v>1705</v>
      </c>
      <c r="BD134" s="348"/>
      <c r="BE134" s="349"/>
      <c r="BF134" s="348"/>
      <c r="BG134" s="349"/>
      <c r="BH134" s="350"/>
      <c r="BI134" s="351"/>
      <c r="BJ134" s="352"/>
      <c r="BK134" s="337"/>
      <c r="BL134" s="352"/>
      <c r="BM134" s="337"/>
      <c r="BN134" s="353"/>
      <c r="BO134" s="354"/>
      <c r="BP134" s="355"/>
      <c r="BQ134" s="356"/>
      <c r="BR134" s="355"/>
      <c r="BS134" s="356"/>
      <c r="BT134" s="357"/>
    </row>
    <row r="135" spans="1:72" s="313" customFormat="1" ht="89.25" outlineLevel="2">
      <c r="A135" s="287">
        <v>121</v>
      </c>
      <c r="B135" s="933"/>
      <c r="C135" s="840"/>
      <c r="D135" s="854" t="s">
        <v>807</v>
      </c>
      <c r="E135" s="839"/>
      <c r="F135" s="821" t="s">
        <v>7</v>
      </c>
      <c r="G135" s="314">
        <v>4</v>
      </c>
      <c r="H135" s="739" t="s">
        <v>70</v>
      </c>
      <c r="I135" s="739">
        <v>244</v>
      </c>
      <c r="J135" s="740">
        <v>346</v>
      </c>
      <c r="K135" s="533" t="s">
        <v>729</v>
      </c>
      <c r="L135" s="1025">
        <v>13942.02</v>
      </c>
      <c r="M135" s="318"/>
      <c r="N135" s="318"/>
      <c r="O135" s="1052">
        <f t="shared" si="221"/>
        <v>13942.02</v>
      </c>
      <c r="P135" s="562"/>
      <c r="Q135" s="336"/>
      <c r="R135" s="562"/>
      <c r="S135" s="336"/>
      <c r="T135" s="562"/>
      <c r="U135" s="466"/>
      <c r="V135" s="597" t="s">
        <v>730</v>
      </c>
      <c r="W135" s="597" t="s">
        <v>736</v>
      </c>
      <c r="X135" s="1094" t="s">
        <v>737</v>
      </c>
      <c r="Z135" s="336">
        <f t="shared" si="169"/>
        <v>0</v>
      </c>
      <c r="AA135" s="337">
        <f t="shared" si="169"/>
        <v>0</v>
      </c>
      <c r="AB135" s="338">
        <f t="shared" si="222"/>
        <v>0</v>
      </c>
      <c r="AC135" s="336">
        <f t="shared" si="170"/>
        <v>13942.02</v>
      </c>
      <c r="AD135" s="337">
        <f t="shared" si="170"/>
        <v>0</v>
      </c>
      <c r="AE135" s="338">
        <f t="shared" si="223"/>
        <v>13942.02</v>
      </c>
      <c r="AF135" s="336">
        <f t="shared" si="171"/>
        <v>0</v>
      </c>
      <c r="AG135" s="337">
        <f t="shared" si="171"/>
        <v>0</v>
      </c>
      <c r="AH135" s="338">
        <f t="shared" si="224"/>
        <v>0</v>
      </c>
      <c r="AI135" s="336">
        <f t="shared" si="172"/>
        <v>0</v>
      </c>
      <c r="AJ135" s="337">
        <f t="shared" si="172"/>
        <v>0</v>
      </c>
      <c r="AK135" s="338">
        <f t="shared" si="225"/>
        <v>0</v>
      </c>
      <c r="AL135" s="342"/>
      <c r="AM135" s="336">
        <f t="shared" si="173"/>
        <v>13942.02</v>
      </c>
      <c r="AN135" s="339">
        <f t="shared" si="173"/>
        <v>0</v>
      </c>
      <c r="AO135" s="340">
        <f t="shared" si="226"/>
        <v>13942.02</v>
      </c>
      <c r="AP135" s="336">
        <f t="shared" si="174"/>
        <v>13942.02</v>
      </c>
      <c r="AQ135" s="339">
        <f t="shared" si="174"/>
        <v>0</v>
      </c>
      <c r="AR135" s="340">
        <f t="shared" si="227"/>
        <v>13942.02</v>
      </c>
      <c r="AS135" s="341">
        <f t="shared" si="176"/>
        <v>13942.02</v>
      </c>
      <c r="AT135" s="339">
        <f t="shared" si="176"/>
        <v>0</v>
      </c>
      <c r="AU135" s="340">
        <f t="shared" si="228"/>
        <v>13942.02</v>
      </c>
      <c r="AV135" s="589">
        <f t="shared" si="229"/>
        <v>0</v>
      </c>
      <c r="AW135" s="343"/>
      <c r="AX135" s="1098"/>
      <c r="AY135" s="345"/>
      <c r="AZ135" s="1098"/>
      <c r="BA135" s="345"/>
      <c r="BB135" s="1120"/>
      <c r="BC135" s="1134">
        <v>13942.02</v>
      </c>
      <c r="BD135" s="348"/>
      <c r="BE135" s="349"/>
      <c r="BF135" s="348"/>
      <c r="BG135" s="349"/>
      <c r="BH135" s="350"/>
      <c r="BI135" s="351"/>
      <c r="BJ135" s="352"/>
      <c r="BK135" s="337"/>
      <c r="BL135" s="352"/>
      <c r="BM135" s="337"/>
      <c r="BN135" s="353"/>
      <c r="BO135" s="354"/>
      <c r="BP135" s="355"/>
      <c r="BQ135" s="356"/>
      <c r="BR135" s="355"/>
      <c r="BS135" s="356"/>
      <c r="BT135" s="357"/>
    </row>
    <row r="136" spans="1:72" s="313" customFormat="1" ht="38.25" outlineLevel="2">
      <c r="A136" s="287">
        <v>121</v>
      </c>
      <c r="B136" s="933"/>
      <c r="C136" s="840"/>
      <c r="D136" s="854" t="s">
        <v>807</v>
      </c>
      <c r="E136" s="839"/>
      <c r="F136" s="821" t="s">
        <v>7</v>
      </c>
      <c r="G136" s="314">
        <v>4</v>
      </c>
      <c r="H136" s="739" t="s">
        <v>70</v>
      </c>
      <c r="I136" s="739">
        <v>244</v>
      </c>
      <c r="J136" s="740">
        <v>346</v>
      </c>
      <c r="K136" s="533" t="s">
        <v>731</v>
      </c>
      <c r="L136" s="1025">
        <v>20760</v>
      </c>
      <c r="M136" s="318"/>
      <c r="N136" s="318"/>
      <c r="O136" s="1052">
        <f t="shared" ref="O136:O137" si="230">L136+N136</f>
        <v>20760</v>
      </c>
      <c r="P136" s="562"/>
      <c r="Q136" s="336"/>
      <c r="R136" s="562"/>
      <c r="S136" s="336"/>
      <c r="T136" s="562"/>
      <c r="U136" s="466"/>
      <c r="V136" s="597" t="s">
        <v>555</v>
      </c>
      <c r="W136" s="597" t="s">
        <v>734</v>
      </c>
      <c r="X136" s="811" t="s">
        <v>735</v>
      </c>
      <c r="Z136" s="336">
        <f t="shared" ref="Z136:Z137" si="231">AW136+AY136+BA136</f>
        <v>0</v>
      </c>
      <c r="AA136" s="337">
        <f t="shared" ref="AA136:AA137" si="232">AX136+AZ136+BB136</f>
        <v>0</v>
      </c>
      <c r="AB136" s="338">
        <f t="shared" ref="AB136:AB137" si="233">Z136-AA136</f>
        <v>0</v>
      </c>
      <c r="AC136" s="336">
        <f t="shared" ref="AC136:AC137" si="234">BC136+BE136+BG136</f>
        <v>20760</v>
      </c>
      <c r="AD136" s="337">
        <f t="shared" ref="AD136:AD137" si="235">BD136+BF136+BH136</f>
        <v>0</v>
      </c>
      <c r="AE136" s="338">
        <f t="shared" ref="AE136:AE137" si="236">AC136-AD136</f>
        <v>20760</v>
      </c>
      <c r="AF136" s="336">
        <f t="shared" ref="AF136:AF137" si="237">BI136+BK136+BM136</f>
        <v>0</v>
      </c>
      <c r="AG136" s="337">
        <f t="shared" ref="AG136:AG137" si="238">BJ136+BL136+BN136</f>
        <v>0</v>
      </c>
      <c r="AH136" s="338">
        <f t="shared" ref="AH136:AH137" si="239">AF136-AG136</f>
        <v>0</v>
      </c>
      <c r="AI136" s="336">
        <f t="shared" ref="AI136:AI137" si="240">BO136+BQ136+BS136</f>
        <v>0</v>
      </c>
      <c r="AJ136" s="337">
        <f t="shared" ref="AJ136:AJ137" si="241">BP136+BR136+BT136</f>
        <v>0</v>
      </c>
      <c r="AK136" s="338">
        <f t="shared" ref="AK136:AK137" si="242">AI136-AJ136</f>
        <v>0</v>
      </c>
      <c r="AL136" s="342"/>
      <c r="AM136" s="336">
        <f t="shared" ref="AM136:AM137" si="243">Z136+AC136</f>
        <v>20760</v>
      </c>
      <c r="AN136" s="339">
        <f t="shared" ref="AN136:AN137" si="244">AA136+AD136</f>
        <v>0</v>
      </c>
      <c r="AO136" s="340">
        <f t="shared" ref="AO136:AO137" si="245">AM136-AN136</f>
        <v>20760</v>
      </c>
      <c r="AP136" s="336">
        <f t="shared" ref="AP136:AP137" si="246">Z136+AC136+AF136</f>
        <v>20760</v>
      </c>
      <c r="AQ136" s="339">
        <f t="shared" ref="AQ136:AQ137" si="247">AA136+AD136+AG136</f>
        <v>0</v>
      </c>
      <c r="AR136" s="340">
        <f t="shared" ref="AR136:AR137" si="248">AP136-AQ136</f>
        <v>20760</v>
      </c>
      <c r="AS136" s="341">
        <f t="shared" ref="AS136:AS137" si="249">Z136+AC136+AF136+AI136</f>
        <v>20760</v>
      </c>
      <c r="AT136" s="339">
        <f t="shared" ref="AT136:AT137" si="250">AA136+AD136+AG136+AJ136</f>
        <v>0</v>
      </c>
      <c r="AU136" s="340">
        <f t="shared" ref="AU136:AU137" si="251">AS136-AT136</f>
        <v>20760</v>
      </c>
      <c r="AV136" s="589">
        <f t="shared" ref="AV136:AV137" si="252">L136-AS136</f>
        <v>0</v>
      </c>
      <c r="AW136" s="343"/>
      <c r="AX136" s="1098"/>
      <c r="AY136" s="345"/>
      <c r="AZ136" s="1098"/>
      <c r="BA136" s="345"/>
      <c r="BB136" s="1120"/>
      <c r="BC136" s="1134">
        <v>20760</v>
      </c>
      <c r="BD136" s="348"/>
      <c r="BE136" s="349"/>
      <c r="BF136" s="348"/>
      <c r="BG136" s="349"/>
      <c r="BH136" s="350"/>
      <c r="BI136" s="351"/>
      <c r="BJ136" s="352"/>
      <c r="BK136" s="337"/>
      <c r="BL136" s="352"/>
      <c r="BM136" s="337"/>
      <c r="BN136" s="353"/>
      <c r="BO136" s="354"/>
      <c r="BP136" s="355"/>
      <c r="BQ136" s="356"/>
      <c r="BR136" s="355"/>
      <c r="BS136" s="356"/>
      <c r="BT136" s="357"/>
    </row>
    <row r="137" spans="1:72" s="313" customFormat="1" ht="38.25" outlineLevel="2">
      <c r="A137" s="287">
        <v>121</v>
      </c>
      <c r="B137" s="933"/>
      <c r="C137" s="840"/>
      <c r="D137" s="854" t="s">
        <v>807</v>
      </c>
      <c r="E137" s="839"/>
      <c r="F137" s="821" t="s">
        <v>7</v>
      </c>
      <c r="G137" s="314">
        <v>4</v>
      </c>
      <c r="H137" s="739" t="s">
        <v>70</v>
      </c>
      <c r="I137" s="739">
        <v>244</v>
      </c>
      <c r="J137" s="740">
        <v>346</v>
      </c>
      <c r="K137" s="533" t="s">
        <v>732</v>
      </c>
      <c r="L137" s="1025">
        <v>2694</v>
      </c>
      <c r="M137" s="318"/>
      <c r="N137" s="318"/>
      <c r="O137" s="1052">
        <f t="shared" si="230"/>
        <v>2694</v>
      </c>
      <c r="P137" s="562"/>
      <c r="Q137" s="336"/>
      <c r="R137" s="562"/>
      <c r="S137" s="336"/>
      <c r="T137" s="562"/>
      <c r="U137" s="466"/>
      <c r="V137" s="597" t="s">
        <v>706</v>
      </c>
      <c r="W137" s="597" t="s">
        <v>733</v>
      </c>
      <c r="X137" s="811" t="s">
        <v>557</v>
      </c>
      <c r="Z137" s="336">
        <f t="shared" si="231"/>
        <v>0</v>
      </c>
      <c r="AA137" s="337">
        <f t="shared" si="232"/>
        <v>0</v>
      </c>
      <c r="AB137" s="338">
        <f t="shared" si="233"/>
        <v>0</v>
      </c>
      <c r="AC137" s="336">
        <f t="shared" si="234"/>
        <v>2694</v>
      </c>
      <c r="AD137" s="337">
        <f t="shared" si="235"/>
        <v>0</v>
      </c>
      <c r="AE137" s="338">
        <f t="shared" si="236"/>
        <v>2694</v>
      </c>
      <c r="AF137" s="336">
        <f t="shared" si="237"/>
        <v>0</v>
      </c>
      <c r="AG137" s="337">
        <f t="shared" si="238"/>
        <v>0</v>
      </c>
      <c r="AH137" s="338">
        <f t="shared" si="239"/>
        <v>0</v>
      </c>
      <c r="AI137" s="336">
        <f t="shared" si="240"/>
        <v>0</v>
      </c>
      <c r="AJ137" s="337">
        <f t="shared" si="241"/>
        <v>0</v>
      </c>
      <c r="AK137" s="338">
        <f t="shared" si="242"/>
        <v>0</v>
      </c>
      <c r="AL137" s="342"/>
      <c r="AM137" s="336">
        <f t="shared" si="243"/>
        <v>2694</v>
      </c>
      <c r="AN137" s="339">
        <f t="shared" si="244"/>
        <v>0</v>
      </c>
      <c r="AO137" s="340">
        <f t="shared" si="245"/>
        <v>2694</v>
      </c>
      <c r="AP137" s="336">
        <f t="shared" si="246"/>
        <v>2694</v>
      </c>
      <c r="AQ137" s="339">
        <f t="shared" si="247"/>
        <v>0</v>
      </c>
      <c r="AR137" s="340">
        <f t="shared" si="248"/>
        <v>2694</v>
      </c>
      <c r="AS137" s="341">
        <f t="shared" si="249"/>
        <v>2694</v>
      </c>
      <c r="AT137" s="339">
        <f t="shared" si="250"/>
        <v>0</v>
      </c>
      <c r="AU137" s="340">
        <f t="shared" si="251"/>
        <v>2694</v>
      </c>
      <c r="AV137" s="589">
        <f t="shared" si="252"/>
        <v>0</v>
      </c>
      <c r="AW137" s="343"/>
      <c r="AX137" s="1098"/>
      <c r="AY137" s="345"/>
      <c r="AZ137" s="1098"/>
      <c r="BA137" s="345"/>
      <c r="BB137" s="1120"/>
      <c r="BC137" s="1134">
        <v>2694</v>
      </c>
      <c r="BD137" s="348"/>
      <c r="BE137" s="349"/>
      <c r="BF137" s="348"/>
      <c r="BG137" s="349"/>
      <c r="BH137" s="350"/>
      <c r="BI137" s="351"/>
      <c r="BJ137" s="352"/>
      <c r="BK137" s="337"/>
      <c r="BL137" s="352"/>
      <c r="BM137" s="337"/>
      <c r="BN137" s="353"/>
      <c r="BO137" s="354"/>
      <c r="BP137" s="355"/>
      <c r="BQ137" s="356"/>
      <c r="BR137" s="355"/>
      <c r="BS137" s="356"/>
      <c r="BT137" s="357"/>
    </row>
    <row r="138" spans="1:72" s="313" customFormat="1" ht="51" outlineLevel="2">
      <c r="A138" s="287">
        <v>121</v>
      </c>
      <c r="B138" s="933"/>
      <c r="C138" s="840"/>
      <c r="D138" s="854" t="s">
        <v>807</v>
      </c>
      <c r="E138" s="839"/>
      <c r="F138" s="821" t="s">
        <v>7</v>
      </c>
      <c r="G138" s="314">
        <v>4</v>
      </c>
      <c r="H138" s="739" t="s">
        <v>70</v>
      </c>
      <c r="I138" s="739">
        <v>244</v>
      </c>
      <c r="J138" s="740">
        <v>346</v>
      </c>
      <c r="K138" s="533" t="s">
        <v>743</v>
      </c>
      <c r="L138" s="1025">
        <v>8389</v>
      </c>
      <c r="M138" s="318"/>
      <c r="N138" s="318"/>
      <c r="O138" s="1052">
        <f t="shared" ref="O138:O140" si="253">L138+N138</f>
        <v>8389</v>
      </c>
      <c r="P138" s="562"/>
      <c r="Q138" s="336"/>
      <c r="R138" s="562"/>
      <c r="S138" s="336"/>
      <c r="T138" s="562"/>
      <c r="U138" s="466"/>
      <c r="V138" s="597" t="s">
        <v>495</v>
      </c>
      <c r="W138" s="320" t="s">
        <v>481</v>
      </c>
      <c r="X138" s="1094" t="s">
        <v>744</v>
      </c>
      <c r="Z138" s="336">
        <f t="shared" ref="Z138:Z140" si="254">AW138+AY138+BA138</f>
        <v>0</v>
      </c>
      <c r="AA138" s="337">
        <f t="shared" ref="AA138:AA140" si="255">AX138+AZ138+BB138</f>
        <v>0</v>
      </c>
      <c r="AB138" s="338">
        <f t="shared" ref="AB138:AB140" si="256">Z138-AA138</f>
        <v>0</v>
      </c>
      <c r="AC138" s="336">
        <f t="shared" ref="AC138:AC140" si="257">BC138+BE138+BG138</f>
        <v>8389</v>
      </c>
      <c r="AD138" s="337">
        <f t="shared" ref="AD138:AD140" si="258">BD138+BF138+BH138</f>
        <v>0</v>
      </c>
      <c r="AE138" s="338">
        <f t="shared" ref="AE138:AE140" si="259">AC138-AD138</f>
        <v>8389</v>
      </c>
      <c r="AF138" s="336">
        <f t="shared" ref="AF138:AF140" si="260">BI138+BK138+BM138</f>
        <v>0</v>
      </c>
      <c r="AG138" s="337">
        <f t="shared" ref="AG138:AG140" si="261">BJ138+BL138+BN138</f>
        <v>0</v>
      </c>
      <c r="AH138" s="338">
        <f t="shared" ref="AH138:AH140" si="262">AF138-AG138</f>
        <v>0</v>
      </c>
      <c r="AI138" s="336">
        <f t="shared" ref="AI138:AI140" si="263">BO138+BQ138+BS138</f>
        <v>0</v>
      </c>
      <c r="AJ138" s="337">
        <f t="shared" ref="AJ138:AJ140" si="264">BP138+BR138+BT138</f>
        <v>0</v>
      </c>
      <c r="AK138" s="338">
        <f t="shared" ref="AK138:AK140" si="265">AI138-AJ138</f>
        <v>0</v>
      </c>
      <c r="AL138" s="342"/>
      <c r="AM138" s="336">
        <f t="shared" ref="AM138:AM140" si="266">Z138+AC138</f>
        <v>8389</v>
      </c>
      <c r="AN138" s="339">
        <f t="shared" ref="AN138:AN140" si="267">AA138+AD138</f>
        <v>0</v>
      </c>
      <c r="AO138" s="340">
        <f t="shared" ref="AO138:AO140" si="268">AM138-AN138</f>
        <v>8389</v>
      </c>
      <c r="AP138" s="336">
        <f t="shared" ref="AP138:AP140" si="269">Z138+AC138+AF138</f>
        <v>8389</v>
      </c>
      <c r="AQ138" s="339">
        <f t="shared" ref="AQ138:AQ140" si="270">AA138+AD138+AG138</f>
        <v>0</v>
      </c>
      <c r="AR138" s="340">
        <f t="shared" ref="AR138:AR140" si="271">AP138-AQ138</f>
        <v>8389</v>
      </c>
      <c r="AS138" s="341">
        <f t="shared" ref="AS138:AS140" si="272">Z138+AC138+AF138+AI138</f>
        <v>8389</v>
      </c>
      <c r="AT138" s="339">
        <f t="shared" ref="AT138:AT140" si="273">AA138+AD138+AG138+AJ138</f>
        <v>0</v>
      </c>
      <c r="AU138" s="340">
        <f t="shared" ref="AU138:AU140" si="274">AS138-AT138</f>
        <v>8389</v>
      </c>
      <c r="AV138" s="589">
        <f t="shared" ref="AV138:AV140" si="275">L138-AS138</f>
        <v>0</v>
      </c>
      <c r="AW138" s="343"/>
      <c r="AX138" s="1098"/>
      <c r="AY138" s="345"/>
      <c r="AZ138" s="1098"/>
      <c r="BA138" s="345"/>
      <c r="BB138" s="1120"/>
      <c r="BC138" s="1134">
        <v>8389</v>
      </c>
      <c r="BD138" s="348"/>
      <c r="BE138" s="349"/>
      <c r="BF138" s="348"/>
      <c r="BG138" s="349"/>
      <c r="BH138" s="350"/>
      <c r="BI138" s="351"/>
      <c r="BJ138" s="352"/>
      <c r="BK138" s="337"/>
      <c r="BL138" s="352"/>
      <c r="BM138" s="337"/>
      <c r="BN138" s="353"/>
      <c r="BO138" s="354"/>
      <c r="BP138" s="355"/>
      <c r="BQ138" s="356"/>
      <c r="BR138" s="355"/>
      <c r="BS138" s="356"/>
      <c r="BT138" s="357"/>
    </row>
    <row r="139" spans="1:72" s="313" customFormat="1" ht="25.5" outlineLevel="2">
      <c r="A139" s="287">
        <v>121</v>
      </c>
      <c r="B139" s="933"/>
      <c r="C139" s="840"/>
      <c r="D139" s="854" t="s">
        <v>807</v>
      </c>
      <c r="E139" s="839"/>
      <c r="F139" s="821" t="s">
        <v>7</v>
      </c>
      <c r="G139" s="314">
        <v>4</v>
      </c>
      <c r="H139" s="739" t="s">
        <v>70</v>
      </c>
      <c r="I139" s="739">
        <v>244</v>
      </c>
      <c r="J139" s="740">
        <v>346</v>
      </c>
      <c r="K139" s="533" t="s">
        <v>745</v>
      </c>
      <c r="L139" s="1025">
        <v>8483.5</v>
      </c>
      <c r="M139" s="318"/>
      <c r="N139" s="318"/>
      <c r="O139" s="1052">
        <f t="shared" si="253"/>
        <v>8483.5</v>
      </c>
      <c r="P139" s="562"/>
      <c r="Q139" s="336"/>
      <c r="R139" s="562"/>
      <c r="S139" s="336"/>
      <c r="T139" s="562"/>
      <c r="U139" s="466"/>
      <c r="V139" s="597" t="s">
        <v>582</v>
      </c>
      <c r="W139" s="811" t="s">
        <v>481</v>
      </c>
      <c r="X139" s="320" t="s">
        <v>746</v>
      </c>
      <c r="Z139" s="336">
        <f t="shared" si="254"/>
        <v>0</v>
      </c>
      <c r="AA139" s="337">
        <f t="shared" si="255"/>
        <v>0</v>
      </c>
      <c r="AB139" s="338">
        <f t="shared" si="256"/>
        <v>0</v>
      </c>
      <c r="AC139" s="336">
        <f t="shared" si="257"/>
        <v>8483.5</v>
      </c>
      <c r="AD139" s="337">
        <f t="shared" si="258"/>
        <v>0</v>
      </c>
      <c r="AE139" s="338">
        <f t="shared" si="259"/>
        <v>8483.5</v>
      </c>
      <c r="AF139" s="336">
        <f t="shared" si="260"/>
        <v>0</v>
      </c>
      <c r="AG139" s="337">
        <f t="shared" si="261"/>
        <v>0</v>
      </c>
      <c r="AH139" s="338">
        <f t="shared" si="262"/>
        <v>0</v>
      </c>
      <c r="AI139" s="336">
        <f t="shared" si="263"/>
        <v>0</v>
      </c>
      <c r="AJ139" s="337">
        <f t="shared" si="264"/>
        <v>0</v>
      </c>
      <c r="AK139" s="338">
        <f t="shared" si="265"/>
        <v>0</v>
      </c>
      <c r="AL139" s="342"/>
      <c r="AM139" s="336">
        <f t="shared" si="266"/>
        <v>8483.5</v>
      </c>
      <c r="AN139" s="339">
        <f t="shared" si="267"/>
        <v>0</v>
      </c>
      <c r="AO139" s="340">
        <f t="shared" si="268"/>
        <v>8483.5</v>
      </c>
      <c r="AP139" s="336">
        <f t="shared" si="269"/>
        <v>8483.5</v>
      </c>
      <c r="AQ139" s="339">
        <f t="shared" si="270"/>
        <v>0</v>
      </c>
      <c r="AR139" s="340">
        <f t="shared" si="271"/>
        <v>8483.5</v>
      </c>
      <c r="AS139" s="341">
        <f t="shared" si="272"/>
        <v>8483.5</v>
      </c>
      <c r="AT139" s="339">
        <f t="shared" si="273"/>
        <v>0</v>
      </c>
      <c r="AU139" s="340">
        <f t="shared" si="274"/>
        <v>8483.5</v>
      </c>
      <c r="AV139" s="589">
        <f t="shared" si="275"/>
        <v>0</v>
      </c>
      <c r="AW139" s="343"/>
      <c r="AX139" s="1098"/>
      <c r="AY139" s="345"/>
      <c r="AZ139" s="1098"/>
      <c r="BA139" s="345"/>
      <c r="BB139" s="1120"/>
      <c r="BC139" s="1134">
        <v>8483.5</v>
      </c>
      <c r="BD139" s="348"/>
      <c r="BE139" s="349"/>
      <c r="BF139" s="348"/>
      <c r="BG139" s="349"/>
      <c r="BH139" s="350"/>
      <c r="BI139" s="351"/>
      <c r="BJ139" s="352"/>
      <c r="BK139" s="337"/>
      <c r="BL139" s="352"/>
      <c r="BM139" s="337"/>
      <c r="BN139" s="353"/>
      <c r="BO139" s="354"/>
      <c r="BP139" s="355"/>
      <c r="BQ139" s="356"/>
      <c r="BR139" s="355"/>
      <c r="BS139" s="356"/>
      <c r="BT139" s="357"/>
    </row>
    <row r="140" spans="1:72" s="313" customFormat="1" ht="38.25" outlineLevel="2">
      <c r="A140" s="287">
        <v>121</v>
      </c>
      <c r="B140" s="933"/>
      <c r="C140" s="840"/>
      <c r="D140" s="854" t="s">
        <v>807</v>
      </c>
      <c r="E140" s="839"/>
      <c r="F140" s="821" t="s">
        <v>7</v>
      </c>
      <c r="G140" s="314">
        <v>4</v>
      </c>
      <c r="H140" s="739" t="s">
        <v>70</v>
      </c>
      <c r="I140" s="739">
        <v>244</v>
      </c>
      <c r="J140" s="740">
        <v>346</v>
      </c>
      <c r="K140" s="533" t="s">
        <v>761</v>
      </c>
      <c r="L140" s="1025">
        <v>590</v>
      </c>
      <c r="M140" s="318"/>
      <c r="N140" s="318"/>
      <c r="O140" s="1052">
        <f t="shared" si="253"/>
        <v>590</v>
      </c>
      <c r="P140" s="562"/>
      <c r="Q140" s="336"/>
      <c r="R140" s="562"/>
      <c r="S140" s="336"/>
      <c r="T140" s="562"/>
      <c r="U140" s="466"/>
      <c r="V140" s="597" t="s">
        <v>706</v>
      </c>
      <c r="W140" s="597" t="s">
        <v>762</v>
      </c>
      <c r="X140" s="811" t="s">
        <v>557</v>
      </c>
      <c r="Z140" s="336">
        <f t="shared" si="254"/>
        <v>0</v>
      </c>
      <c r="AA140" s="337">
        <f t="shared" si="255"/>
        <v>0</v>
      </c>
      <c r="AB140" s="338">
        <f t="shared" si="256"/>
        <v>0</v>
      </c>
      <c r="AC140" s="336">
        <f t="shared" si="257"/>
        <v>590</v>
      </c>
      <c r="AD140" s="337">
        <f t="shared" si="258"/>
        <v>0</v>
      </c>
      <c r="AE140" s="338">
        <f t="shared" si="259"/>
        <v>590</v>
      </c>
      <c r="AF140" s="336">
        <f t="shared" si="260"/>
        <v>0</v>
      </c>
      <c r="AG140" s="337">
        <f t="shared" si="261"/>
        <v>0</v>
      </c>
      <c r="AH140" s="338">
        <f t="shared" si="262"/>
        <v>0</v>
      </c>
      <c r="AI140" s="336">
        <f t="shared" si="263"/>
        <v>0</v>
      </c>
      <c r="AJ140" s="337">
        <f t="shared" si="264"/>
        <v>0</v>
      </c>
      <c r="AK140" s="338">
        <f t="shared" si="265"/>
        <v>0</v>
      </c>
      <c r="AL140" s="342"/>
      <c r="AM140" s="336">
        <f t="shared" si="266"/>
        <v>590</v>
      </c>
      <c r="AN140" s="339">
        <f t="shared" si="267"/>
        <v>0</v>
      </c>
      <c r="AO140" s="340">
        <f t="shared" si="268"/>
        <v>590</v>
      </c>
      <c r="AP140" s="336">
        <f t="shared" si="269"/>
        <v>590</v>
      </c>
      <c r="AQ140" s="339">
        <f t="shared" si="270"/>
        <v>0</v>
      </c>
      <c r="AR140" s="340">
        <f t="shared" si="271"/>
        <v>590</v>
      </c>
      <c r="AS140" s="341">
        <f t="shared" si="272"/>
        <v>590</v>
      </c>
      <c r="AT140" s="339">
        <f t="shared" si="273"/>
        <v>0</v>
      </c>
      <c r="AU140" s="340">
        <f t="shared" si="274"/>
        <v>590</v>
      </c>
      <c r="AV140" s="589">
        <f t="shared" si="275"/>
        <v>0</v>
      </c>
      <c r="AW140" s="343"/>
      <c r="AX140" s="1098"/>
      <c r="AY140" s="345"/>
      <c r="AZ140" s="1098"/>
      <c r="BA140" s="345"/>
      <c r="BB140" s="1120"/>
      <c r="BC140" s="1134">
        <v>590</v>
      </c>
      <c r="BD140" s="348"/>
      <c r="BE140" s="349"/>
      <c r="BF140" s="348"/>
      <c r="BG140" s="349"/>
      <c r="BH140" s="350"/>
      <c r="BI140" s="351"/>
      <c r="BJ140" s="352"/>
      <c r="BK140" s="337"/>
      <c r="BL140" s="352"/>
      <c r="BM140" s="337"/>
      <c r="BN140" s="353"/>
      <c r="BO140" s="354"/>
      <c r="BP140" s="355"/>
      <c r="BQ140" s="356"/>
      <c r="BR140" s="355"/>
      <c r="BS140" s="356"/>
      <c r="BT140" s="357"/>
    </row>
    <row r="141" spans="1:72" s="313" customFormat="1" ht="25.5" outlineLevel="2">
      <c r="A141" s="287">
        <v>121</v>
      </c>
      <c r="B141" s="933"/>
      <c r="C141" s="840"/>
      <c r="D141" s="854" t="s">
        <v>807</v>
      </c>
      <c r="E141" s="839"/>
      <c r="F141" s="821" t="s">
        <v>7</v>
      </c>
      <c r="G141" s="314">
        <v>4</v>
      </c>
      <c r="H141" s="739" t="s">
        <v>70</v>
      </c>
      <c r="I141" s="739">
        <v>244</v>
      </c>
      <c r="J141" s="740">
        <v>346</v>
      </c>
      <c r="K141" s="533" t="s">
        <v>778</v>
      </c>
      <c r="L141" s="1025">
        <v>32572</v>
      </c>
      <c r="M141" s="318"/>
      <c r="N141" s="318"/>
      <c r="O141" s="1052">
        <f t="shared" ref="O141" si="276">L141+N141</f>
        <v>32572</v>
      </c>
      <c r="P141" s="562"/>
      <c r="Q141" s="336"/>
      <c r="R141" s="562"/>
      <c r="S141" s="336"/>
      <c r="T141" s="562"/>
      <c r="U141" s="466"/>
      <c r="V141" s="597" t="s">
        <v>616</v>
      </c>
      <c r="W141" s="597" t="s">
        <v>803</v>
      </c>
      <c r="X141" s="597" t="s">
        <v>804</v>
      </c>
      <c r="Z141" s="336">
        <f t="shared" ref="Z141" si="277">AW141+AY141+BA141</f>
        <v>0</v>
      </c>
      <c r="AA141" s="337">
        <f t="shared" ref="AA141" si="278">AX141+AZ141+BB141</f>
        <v>0</v>
      </c>
      <c r="AB141" s="338">
        <f t="shared" ref="AB141" si="279">Z141-AA141</f>
        <v>0</v>
      </c>
      <c r="AC141" s="336">
        <f t="shared" ref="AC141" si="280">BC141+BE141+BG141</f>
        <v>32572</v>
      </c>
      <c r="AD141" s="337">
        <f t="shared" ref="AD141" si="281">BD141+BF141+BH141</f>
        <v>0</v>
      </c>
      <c r="AE141" s="338">
        <f t="shared" ref="AE141" si="282">AC141-AD141</f>
        <v>32572</v>
      </c>
      <c r="AF141" s="336">
        <f t="shared" ref="AF141" si="283">BI141+BK141+BM141</f>
        <v>0</v>
      </c>
      <c r="AG141" s="337">
        <f t="shared" ref="AG141" si="284">BJ141+BL141+BN141</f>
        <v>0</v>
      </c>
      <c r="AH141" s="338">
        <f t="shared" ref="AH141" si="285">AF141-AG141</f>
        <v>0</v>
      </c>
      <c r="AI141" s="336">
        <f t="shared" ref="AI141" si="286">BO141+BQ141+BS141</f>
        <v>0</v>
      </c>
      <c r="AJ141" s="337">
        <f t="shared" ref="AJ141" si="287">BP141+BR141+BT141</f>
        <v>0</v>
      </c>
      <c r="AK141" s="338">
        <f t="shared" ref="AK141" si="288">AI141-AJ141</f>
        <v>0</v>
      </c>
      <c r="AL141" s="342"/>
      <c r="AM141" s="336">
        <f t="shared" ref="AM141" si="289">Z141+AC141</f>
        <v>32572</v>
      </c>
      <c r="AN141" s="339">
        <f t="shared" ref="AN141" si="290">AA141+AD141</f>
        <v>0</v>
      </c>
      <c r="AO141" s="340">
        <f t="shared" ref="AO141" si="291">AM141-AN141</f>
        <v>32572</v>
      </c>
      <c r="AP141" s="336">
        <f t="shared" ref="AP141" si="292">Z141+AC141+AF141</f>
        <v>32572</v>
      </c>
      <c r="AQ141" s="339">
        <f t="shared" ref="AQ141" si="293">AA141+AD141+AG141</f>
        <v>0</v>
      </c>
      <c r="AR141" s="340">
        <f t="shared" ref="AR141" si="294">AP141-AQ141</f>
        <v>32572</v>
      </c>
      <c r="AS141" s="341">
        <f t="shared" ref="AS141" si="295">Z141+AC141+AF141+AI141</f>
        <v>32572</v>
      </c>
      <c r="AT141" s="339">
        <f t="shared" ref="AT141" si="296">AA141+AD141+AG141+AJ141</f>
        <v>0</v>
      </c>
      <c r="AU141" s="340">
        <f t="shared" ref="AU141" si="297">AS141-AT141</f>
        <v>32572</v>
      </c>
      <c r="AV141" s="589">
        <f t="shared" ref="AV141" si="298">L141-AS141</f>
        <v>0</v>
      </c>
      <c r="AW141" s="343"/>
      <c r="AX141" s="1098"/>
      <c r="AY141" s="345"/>
      <c r="AZ141" s="1098"/>
      <c r="BA141" s="345"/>
      <c r="BB141" s="1120"/>
      <c r="BC141" s="1134"/>
      <c r="BD141" s="348"/>
      <c r="BE141" s="1135">
        <v>32572</v>
      </c>
      <c r="BF141" s="348"/>
      <c r="BG141" s="349"/>
      <c r="BH141" s="350"/>
      <c r="BI141" s="351"/>
      <c r="BJ141" s="352"/>
      <c r="BK141" s="337"/>
      <c r="BL141" s="352"/>
      <c r="BM141" s="337"/>
      <c r="BN141" s="353"/>
      <c r="BO141" s="354"/>
      <c r="BP141" s="355"/>
      <c r="BQ141" s="356"/>
      <c r="BR141" s="355"/>
      <c r="BS141" s="356"/>
      <c r="BT141" s="357"/>
    </row>
    <row r="142" spans="1:72" s="313" customFormat="1" ht="25.5" outlineLevel="2">
      <c r="A142" s="287">
        <v>121</v>
      </c>
      <c r="B142" s="933"/>
      <c r="C142" s="840"/>
      <c r="D142" s="854" t="s">
        <v>807</v>
      </c>
      <c r="E142" s="839"/>
      <c r="F142" s="821" t="s">
        <v>7</v>
      </c>
      <c r="G142" s="314">
        <v>4</v>
      </c>
      <c r="H142" s="739" t="s">
        <v>70</v>
      </c>
      <c r="I142" s="739">
        <v>244</v>
      </c>
      <c r="J142" s="740">
        <v>346</v>
      </c>
      <c r="K142" s="533" t="s">
        <v>643</v>
      </c>
      <c r="L142" s="1025">
        <v>7865</v>
      </c>
      <c r="M142" s="318"/>
      <c r="N142" s="318"/>
      <c r="O142" s="1052">
        <f t="shared" ref="O142:O143" si="299">L142+N142</f>
        <v>7865</v>
      </c>
      <c r="P142" s="562"/>
      <c r="Q142" s="336"/>
      <c r="R142" s="562"/>
      <c r="S142" s="336"/>
      <c r="T142" s="562"/>
      <c r="U142" s="466"/>
      <c r="V142" s="597" t="s">
        <v>644</v>
      </c>
      <c r="W142" s="597" t="s">
        <v>805</v>
      </c>
      <c r="X142" s="597" t="s">
        <v>806</v>
      </c>
      <c r="Z142" s="336">
        <f t="shared" ref="Z142" si="300">AW142+AY142+BA142</f>
        <v>0</v>
      </c>
      <c r="AA142" s="337">
        <f t="shared" ref="AA142" si="301">AX142+AZ142+BB142</f>
        <v>0</v>
      </c>
      <c r="AB142" s="338">
        <f t="shared" ref="AB142" si="302">Z142-AA142</f>
        <v>0</v>
      </c>
      <c r="AC142" s="336">
        <f t="shared" ref="AC142" si="303">BC142+BE142+BG142</f>
        <v>7865</v>
      </c>
      <c r="AD142" s="337">
        <f t="shared" ref="AD142" si="304">BD142+BF142+BH142</f>
        <v>0</v>
      </c>
      <c r="AE142" s="338">
        <f t="shared" ref="AE142" si="305">AC142-AD142</f>
        <v>7865</v>
      </c>
      <c r="AF142" s="336">
        <f t="shared" ref="AF142" si="306">BI142+BK142+BM142</f>
        <v>0</v>
      </c>
      <c r="AG142" s="337">
        <f t="shared" ref="AG142" si="307">BJ142+BL142+BN142</f>
        <v>0</v>
      </c>
      <c r="AH142" s="338">
        <f t="shared" ref="AH142" si="308">AF142-AG142</f>
        <v>0</v>
      </c>
      <c r="AI142" s="336">
        <f t="shared" ref="AI142" si="309">BO142+BQ142+BS142</f>
        <v>0</v>
      </c>
      <c r="AJ142" s="337">
        <f t="shared" ref="AJ142" si="310">BP142+BR142+BT142</f>
        <v>0</v>
      </c>
      <c r="AK142" s="338">
        <f t="shared" ref="AK142" si="311">AI142-AJ142</f>
        <v>0</v>
      </c>
      <c r="AL142" s="342"/>
      <c r="AM142" s="336">
        <f t="shared" ref="AM142" si="312">Z142+AC142</f>
        <v>7865</v>
      </c>
      <c r="AN142" s="339">
        <f t="shared" ref="AN142" si="313">AA142+AD142</f>
        <v>0</v>
      </c>
      <c r="AO142" s="340">
        <f t="shared" ref="AO142" si="314">AM142-AN142</f>
        <v>7865</v>
      </c>
      <c r="AP142" s="336">
        <f t="shared" ref="AP142" si="315">Z142+AC142+AF142</f>
        <v>7865</v>
      </c>
      <c r="AQ142" s="339">
        <f t="shared" ref="AQ142" si="316">AA142+AD142+AG142</f>
        <v>0</v>
      </c>
      <c r="AR142" s="340">
        <f t="shared" ref="AR142" si="317">AP142-AQ142</f>
        <v>7865</v>
      </c>
      <c r="AS142" s="341">
        <f t="shared" ref="AS142" si="318">Z142+AC142+AF142+AI142</f>
        <v>7865</v>
      </c>
      <c r="AT142" s="339">
        <f t="shared" ref="AT142" si="319">AA142+AD142+AG142+AJ142</f>
        <v>0</v>
      </c>
      <c r="AU142" s="340">
        <f t="shared" ref="AU142" si="320">AS142-AT142</f>
        <v>7865</v>
      </c>
      <c r="AV142" s="589">
        <f t="shared" ref="AV142:AV143" si="321">L142-AS142</f>
        <v>0</v>
      </c>
      <c r="AW142" s="343"/>
      <c r="AX142" s="1098"/>
      <c r="AY142" s="345"/>
      <c r="AZ142" s="1098"/>
      <c r="BA142" s="345"/>
      <c r="BB142" s="1120"/>
      <c r="BC142" s="1134"/>
      <c r="BD142" s="348"/>
      <c r="BE142" s="1135">
        <v>7865</v>
      </c>
      <c r="BF142" s="348"/>
      <c r="BG142" s="349"/>
      <c r="BH142" s="350"/>
      <c r="BI142" s="351"/>
      <c r="BJ142" s="352"/>
      <c r="BK142" s="337"/>
      <c r="BL142" s="352"/>
      <c r="BM142" s="337"/>
      <c r="BN142" s="353"/>
      <c r="BO142" s="354"/>
      <c r="BP142" s="355"/>
      <c r="BQ142" s="356"/>
      <c r="BR142" s="355"/>
      <c r="BS142" s="356"/>
      <c r="BT142" s="357"/>
    </row>
    <row r="143" spans="1:72" s="313" customFormat="1" ht="51">
      <c r="A143" s="839"/>
      <c r="B143" s="935"/>
      <c r="C143" s="840"/>
      <c r="D143" s="841"/>
      <c r="E143" s="839"/>
      <c r="F143" s="821" t="s">
        <v>7</v>
      </c>
      <c r="G143" s="314">
        <v>4</v>
      </c>
      <c r="H143" s="739" t="s">
        <v>70</v>
      </c>
      <c r="I143" s="739">
        <v>244</v>
      </c>
      <c r="J143" s="740">
        <v>346</v>
      </c>
      <c r="K143" s="533" t="s">
        <v>811</v>
      </c>
      <c r="L143" s="1025">
        <v>3830</v>
      </c>
      <c r="M143" s="318"/>
      <c r="N143" s="318"/>
      <c r="O143" s="1052">
        <f t="shared" si="299"/>
        <v>3830</v>
      </c>
      <c r="P143" s="570"/>
      <c r="Q143" s="336">
        <v>0</v>
      </c>
      <c r="R143" s="559"/>
      <c r="S143" s="541">
        <v>0</v>
      </c>
      <c r="T143" s="329"/>
      <c r="U143" s="335"/>
      <c r="V143" s="597" t="s">
        <v>570</v>
      </c>
      <c r="W143" s="597" t="s">
        <v>812</v>
      </c>
      <c r="X143" s="320"/>
      <c r="Z143" s="336">
        <f>AW143+AY143+BA143</f>
        <v>0</v>
      </c>
      <c r="AA143" s="337">
        <f>AX143+AZ143+BB143</f>
        <v>0</v>
      </c>
      <c r="AB143" s="338">
        <f>Z143-AA143</f>
        <v>0</v>
      </c>
      <c r="AC143" s="336">
        <f>BC143+BE143+BG143</f>
        <v>3830</v>
      </c>
      <c r="AD143" s="337">
        <f>BD143+BF143+BH143</f>
        <v>0</v>
      </c>
      <c r="AE143" s="338">
        <f>AC143-AD143</f>
        <v>3830</v>
      </c>
      <c r="AF143" s="336">
        <f>BI143+BK143+BM143</f>
        <v>0</v>
      </c>
      <c r="AG143" s="337">
        <f>BJ143+BL143+BN143</f>
        <v>0</v>
      </c>
      <c r="AH143" s="338">
        <f>AF143-AG143</f>
        <v>0</v>
      </c>
      <c r="AI143" s="336">
        <f>BO143+BQ143+BS143</f>
        <v>0</v>
      </c>
      <c r="AJ143" s="337">
        <f>BP143+BR143+BT143</f>
        <v>0</v>
      </c>
      <c r="AK143" s="338">
        <f>AI143-AJ143</f>
        <v>0</v>
      </c>
      <c r="AL143" s="342"/>
      <c r="AM143" s="336">
        <f>Z143+AC143</f>
        <v>3830</v>
      </c>
      <c r="AN143" s="339">
        <f>AA143+AD143</f>
        <v>0</v>
      </c>
      <c r="AO143" s="340">
        <f>AM143-AN143</f>
        <v>3830</v>
      </c>
      <c r="AP143" s="336">
        <f>Z143+AC143+AF143</f>
        <v>3830</v>
      </c>
      <c r="AQ143" s="339">
        <f>AA143+AD143+AG143</f>
        <v>0</v>
      </c>
      <c r="AR143" s="340">
        <f>AP143-AQ143</f>
        <v>3830</v>
      </c>
      <c r="AS143" s="341">
        <f>Z143+AC143+AF143+AI143</f>
        <v>3830</v>
      </c>
      <c r="AT143" s="339">
        <f>AA143+AD143+AG143+AJ143</f>
        <v>0</v>
      </c>
      <c r="AU143" s="340">
        <f>AS143-AT143</f>
        <v>3830</v>
      </c>
      <c r="AV143" s="1155">
        <f t="shared" si="321"/>
        <v>0</v>
      </c>
      <c r="AW143" s="343"/>
      <c r="AX143" s="1098"/>
      <c r="AY143" s="345"/>
      <c r="AZ143" s="1098"/>
      <c r="BA143" s="345"/>
      <c r="BB143" s="1120"/>
      <c r="BC143" s="347"/>
      <c r="BD143" s="348"/>
      <c r="BE143" s="1135">
        <v>3830</v>
      </c>
      <c r="BF143" s="348"/>
      <c r="BG143" s="349"/>
      <c r="BH143" s="350"/>
      <c r="BI143" s="351"/>
      <c r="BJ143" s="352"/>
      <c r="BK143" s="337"/>
      <c r="BL143" s="352"/>
      <c r="BM143" s="337"/>
      <c r="BN143" s="353"/>
      <c r="BO143" s="354"/>
      <c r="BP143" s="355"/>
      <c r="BQ143" s="356"/>
      <c r="BR143" s="355"/>
      <c r="BS143" s="356"/>
      <c r="BT143" s="357"/>
    </row>
    <row r="144" spans="1:72" s="430" customFormat="1" ht="25.5" customHeight="1" outlineLevel="2">
      <c r="A144" s="287">
        <v>122</v>
      </c>
      <c r="B144" s="933"/>
      <c r="C144" s="743"/>
      <c r="D144" s="856" t="s">
        <v>807</v>
      </c>
      <c r="E144" s="857"/>
      <c r="F144" s="827" t="s">
        <v>7</v>
      </c>
      <c r="G144" s="431">
        <v>4</v>
      </c>
      <c r="H144" s="474" t="s">
        <v>70</v>
      </c>
      <c r="I144" s="743">
        <v>244</v>
      </c>
      <c r="J144" s="744">
        <v>346</v>
      </c>
      <c r="K144" s="536" t="s">
        <v>284</v>
      </c>
      <c r="L144" s="1030">
        <v>0</v>
      </c>
      <c r="M144" s="434"/>
      <c r="N144" s="434"/>
      <c r="O144" s="1064">
        <f>L144+N144</f>
        <v>0</v>
      </c>
      <c r="P144" s="563"/>
      <c r="Q144" s="437"/>
      <c r="R144" s="563"/>
      <c r="S144" s="437"/>
      <c r="T144" s="563"/>
      <c r="U144" s="467"/>
      <c r="V144" s="436"/>
      <c r="W144" s="436"/>
      <c r="X144" s="436"/>
      <c r="Z144" s="437">
        <f t="shared" si="169"/>
        <v>0</v>
      </c>
      <c r="AA144" s="438">
        <f t="shared" si="169"/>
        <v>0</v>
      </c>
      <c r="AB144" s="439">
        <f>Z144-AA144</f>
        <v>0</v>
      </c>
      <c r="AC144" s="437">
        <f t="shared" si="170"/>
        <v>0</v>
      </c>
      <c r="AD144" s="438">
        <f t="shared" si="170"/>
        <v>0</v>
      </c>
      <c r="AE144" s="439">
        <f>AC144-AD144</f>
        <v>0</v>
      </c>
      <c r="AF144" s="437">
        <f t="shared" si="171"/>
        <v>0</v>
      </c>
      <c r="AG144" s="438">
        <f t="shared" si="171"/>
        <v>0</v>
      </c>
      <c r="AH144" s="439">
        <f>AF144-AG144</f>
        <v>0</v>
      </c>
      <c r="AI144" s="437">
        <f t="shared" si="172"/>
        <v>0</v>
      </c>
      <c r="AJ144" s="438">
        <f t="shared" si="172"/>
        <v>0</v>
      </c>
      <c r="AK144" s="439">
        <f>AI144-AJ144</f>
        <v>0</v>
      </c>
      <c r="AL144" s="440"/>
      <c r="AM144" s="437">
        <f t="shared" si="173"/>
        <v>0</v>
      </c>
      <c r="AN144" s="441">
        <f t="shared" si="173"/>
        <v>0</v>
      </c>
      <c r="AO144" s="442">
        <f>AM144-AN144</f>
        <v>0</v>
      </c>
      <c r="AP144" s="437">
        <f t="shared" si="174"/>
        <v>0</v>
      </c>
      <c r="AQ144" s="441">
        <f t="shared" si="174"/>
        <v>0</v>
      </c>
      <c r="AR144" s="442">
        <f>AP144-AQ144</f>
        <v>0</v>
      </c>
      <c r="AS144" s="443">
        <f t="shared" si="176"/>
        <v>0</v>
      </c>
      <c r="AT144" s="441">
        <f t="shared" si="176"/>
        <v>0</v>
      </c>
      <c r="AU144" s="442">
        <f>AS144-AT144</f>
        <v>0</v>
      </c>
      <c r="AV144" s="601">
        <f>L144-AS144</f>
        <v>0</v>
      </c>
      <c r="AW144" s="444"/>
      <c r="AX144" s="1111"/>
      <c r="AY144" s="446"/>
      <c r="AZ144" s="1111"/>
      <c r="BA144" s="446"/>
      <c r="BB144" s="1129"/>
      <c r="BC144" s="448"/>
      <c r="BD144" s="449"/>
      <c r="BE144" s="450"/>
      <c r="BF144" s="449"/>
      <c r="BG144" s="450"/>
      <c r="BH144" s="451"/>
      <c r="BI144" s="452"/>
      <c r="BJ144" s="453"/>
      <c r="BK144" s="438"/>
      <c r="BL144" s="453"/>
      <c r="BM144" s="438"/>
      <c r="BN144" s="454"/>
      <c r="BO144" s="455"/>
      <c r="BP144" s="456"/>
      <c r="BQ144" s="457"/>
      <c r="BR144" s="456"/>
      <c r="BS144" s="457"/>
      <c r="BT144" s="458"/>
    </row>
    <row r="145" spans="1:72" s="459" customFormat="1" ht="66.75" customHeight="1" outlineLevel="1">
      <c r="A145" s="287">
        <v>123</v>
      </c>
      <c r="B145" s="933"/>
      <c r="C145" s="850" t="s">
        <v>378</v>
      </c>
      <c r="D145" s="854" t="s">
        <v>272</v>
      </c>
      <c r="E145" s="855"/>
      <c r="F145" s="826" t="s">
        <v>7</v>
      </c>
      <c r="G145" s="462">
        <v>4</v>
      </c>
      <c r="H145" s="741" t="s">
        <v>70</v>
      </c>
      <c r="I145" s="741">
        <v>244</v>
      </c>
      <c r="J145" s="742">
        <v>346</v>
      </c>
      <c r="K145" s="535" t="s">
        <v>278</v>
      </c>
      <c r="L145" s="1028">
        <v>27459.5</v>
      </c>
      <c r="M145" s="352"/>
      <c r="N145" s="352"/>
      <c r="O145" s="1062">
        <f t="shared" si="142"/>
        <v>27459.5</v>
      </c>
      <c r="P145" s="561"/>
      <c r="Q145" s="464"/>
      <c r="R145" s="561"/>
      <c r="S145" s="464"/>
      <c r="T145" s="561"/>
      <c r="U145" s="393"/>
      <c r="V145" s="394"/>
      <c r="W145" s="394"/>
      <c r="X145" s="394"/>
      <c r="Y145" s="392"/>
      <c r="Z145" s="395">
        <f t="shared" si="169"/>
        <v>0</v>
      </c>
      <c r="AA145" s="396">
        <f t="shared" si="169"/>
        <v>0</v>
      </c>
      <c r="AB145" s="397">
        <f t="shared" si="133"/>
        <v>0</v>
      </c>
      <c r="AC145" s="395">
        <f t="shared" si="170"/>
        <v>0</v>
      </c>
      <c r="AD145" s="396">
        <f t="shared" si="170"/>
        <v>0</v>
      </c>
      <c r="AE145" s="397">
        <f t="shared" si="134"/>
        <v>0</v>
      </c>
      <c r="AF145" s="395">
        <f t="shared" si="171"/>
        <v>27459.5</v>
      </c>
      <c r="AG145" s="396">
        <f t="shared" si="171"/>
        <v>0</v>
      </c>
      <c r="AH145" s="397">
        <f t="shared" si="135"/>
        <v>27459.5</v>
      </c>
      <c r="AI145" s="395">
        <f t="shared" si="172"/>
        <v>0</v>
      </c>
      <c r="AJ145" s="396">
        <f t="shared" si="172"/>
        <v>0</v>
      </c>
      <c r="AK145" s="397">
        <f t="shared" si="136"/>
        <v>0</v>
      </c>
      <c r="AL145" s="398"/>
      <c r="AM145" s="464">
        <f t="shared" si="173"/>
        <v>0</v>
      </c>
      <c r="AN145" s="352">
        <f t="shared" si="173"/>
        <v>0</v>
      </c>
      <c r="AO145" s="465">
        <f t="shared" si="137"/>
        <v>0</v>
      </c>
      <c r="AP145" s="464">
        <f t="shared" si="174"/>
        <v>27459.5</v>
      </c>
      <c r="AQ145" s="352">
        <f t="shared" si="174"/>
        <v>0</v>
      </c>
      <c r="AR145" s="465">
        <f t="shared" si="138"/>
        <v>27459.5</v>
      </c>
      <c r="AS145" s="464">
        <f t="shared" si="176"/>
        <v>27459.5</v>
      </c>
      <c r="AT145" s="352">
        <f t="shared" si="176"/>
        <v>0</v>
      </c>
      <c r="AU145" s="465">
        <f t="shared" si="139"/>
        <v>27459.5</v>
      </c>
      <c r="AV145" s="600">
        <f t="shared" si="140"/>
        <v>0</v>
      </c>
      <c r="AW145" s="464">
        <f t="shared" ref="AW145:BT145" si="322">SUM(AW146:AW147)</f>
        <v>0</v>
      </c>
      <c r="AX145" s="1110">
        <f t="shared" si="322"/>
        <v>0</v>
      </c>
      <c r="AY145" s="352">
        <f t="shared" si="322"/>
        <v>0</v>
      </c>
      <c r="AZ145" s="1110">
        <f t="shared" si="322"/>
        <v>0</v>
      </c>
      <c r="BA145" s="352">
        <f t="shared" si="322"/>
        <v>0</v>
      </c>
      <c r="BB145" s="1128">
        <f t="shared" si="322"/>
        <v>0</v>
      </c>
      <c r="BC145" s="464">
        <f t="shared" si="322"/>
        <v>0</v>
      </c>
      <c r="BD145" s="352">
        <f t="shared" si="322"/>
        <v>0</v>
      </c>
      <c r="BE145" s="352">
        <f t="shared" si="322"/>
        <v>0</v>
      </c>
      <c r="BF145" s="352">
        <f t="shared" si="322"/>
        <v>0</v>
      </c>
      <c r="BG145" s="352">
        <f t="shared" si="322"/>
        <v>0</v>
      </c>
      <c r="BH145" s="353">
        <f t="shared" si="322"/>
        <v>0</v>
      </c>
      <c r="BI145" s="464">
        <f t="shared" si="322"/>
        <v>0</v>
      </c>
      <c r="BJ145" s="352">
        <f t="shared" si="322"/>
        <v>0</v>
      </c>
      <c r="BK145" s="352">
        <f t="shared" si="322"/>
        <v>10000</v>
      </c>
      <c r="BL145" s="352">
        <f t="shared" si="322"/>
        <v>0</v>
      </c>
      <c r="BM145" s="352">
        <f t="shared" si="322"/>
        <v>17459.5</v>
      </c>
      <c r="BN145" s="353">
        <f t="shared" si="322"/>
        <v>0</v>
      </c>
      <c r="BO145" s="464">
        <f t="shared" si="322"/>
        <v>0</v>
      </c>
      <c r="BP145" s="352">
        <f t="shared" si="322"/>
        <v>0</v>
      </c>
      <c r="BQ145" s="352">
        <f t="shared" si="322"/>
        <v>0</v>
      </c>
      <c r="BR145" s="352">
        <f t="shared" si="322"/>
        <v>0</v>
      </c>
      <c r="BS145" s="352">
        <f t="shared" si="322"/>
        <v>0</v>
      </c>
      <c r="BT145" s="465">
        <f t="shared" si="322"/>
        <v>0</v>
      </c>
    </row>
    <row r="146" spans="1:72" s="313" customFormat="1" ht="25.5" customHeight="1" outlineLevel="2">
      <c r="A146" s="287">
        <v>124</v>
      </c>
      <c r="B146" s="933"/>
      <c r="C146" s="840"/>
      <c r="D146" s="841" t="s">
        <v>272</v>
      </c>
      <c r="E146" s="839"/>
      <c r="F146" s="821" t="s">
        <v>7</v>
      </c>
      <c r="G146" s="314">
        <v>4</v>
      </c>
      <c r="H146" s="739" t="s">
        <v>70</v>
      </c>
      <c r="I146" s="739">
        <v>244</v>
      </c>
      <c r="J146" s="740">
        <v>346</v>
      </c>
      <c r="K146" s="533" t="s">
        <v>301</v>
      </c>
      <c r="L146" s="1031">
        <f>27459.5</f>
        <v>27459.5</v>
      </c>
      <c r="M146" s="318"/>
      <c r="N146" s="318"/>
      <c r="O146" s="1052">
        <f t="shared" si="142"/>
        <v>27459.5</v>
      </c>
      <c r="P146" s="562"/>
      <c r="Q146" s="336"/>
      <c r="R146" s="562"/>
      <c r="S146" s="336"/>
      <c r="T146" s="562"/>
      <c r="U146" s="466"/>
      <c r="V146" s="320"/>
      <c r="W146" s="320"/>
      <c r="X146" s="320"/>
      <c r="Z146" s="336">
        <f t="shared" si="169"/>
        <v>0</v>
      </c>
      <c r="AA146" s="337">
        <f t="shared" si="169"/>
        <v>0</v>
      </c>
      <c r="AB146" s="338">
        <f t="shared" si="133"/>
        <v>0</v>
      </c>
      <c r="AC146" s="336">
        <f t="shared" si="170"/>
        <v>0</v>
      </c>
      <c r="AD146" s="337">
        <f t="shared" si="170"/>
        <v>0</v>
      </c>
      <c r="AE146" s="338">
        <f t="shared" si="134"/>
        <v>0</v>
      </c>
      <c r="AF146" s="336">
        <f t="shared" si="171"/>
        <v>27459.5</v>
      </c>
      <c r="AG146" s="337">
        <f t="shared" si="171"/>
        <v>0</v>
      </c>
      <c r="AH146" s="338">
        <f t="shared" si="135"/>
        <v>27459.5</v>
      </c>
      <c r="AI146" s="336">
        <f t="shared" si="172"/>
        <v>0</v>
      </c>
      <c r="AJ146" s="337">
        <f t="shared" si="172"/>
        <v>0</v>
      </c>
      <c r="AK146" s="338">
        <f t="shared" si="136"/>
        <v>0</v>
      </c>
      <c r="AL146" s="342"/>
      <c r="AM146" s="336">
        <f t="shared" si="173"/>
        <v>0</v>
      </c>
      <c r="AN146" s="339">
        <f t="shared" si="173"/>
        <v>0</v>
      </c>
      <c r="AO146" s="340">
        <f t="shared" si="137"/>
        <v>0</v>
      </c>
      <c r="AP146" s="336">
        <f t="shared" si="174"/>
        <v>27459.5</v>
      </c>
      <c r="AQ146" s="339">
        <f t="shared" si="174"/>
        <v>0</v>
      </c>
      <c r="AR146" s="340">
        <f t="shared" si="138"/>
        <v>27459.5</v>
      </c>
      <c r="AS146" s="341">
        <f t="shared" si="176"/>
        <v>27459.5</v>
      </c>
      <c r="AT146" s="339">
        <f t="shared" si="176"/>
        <v>0</v>
      </c>
      <c r="AU146" s="340">
        <f t="shared" si="139"/>
        <v>27459.5</v>
      </c>
      <c r="AV146" s="589">
        <f t="shared" si="140"/>
        <v>0</v>
      </c>
      <c r="AW146" s="343"/>
      <c r="AX146" s="1098"/>
      <c r="AY146" s="345"/>
      <c r="AZ146" s="1098"/>
      <c r="BA146" s="345"/>
      <c r="BB146" s="1120"/>
      <c r="BC146" s="347"/>
      <c r="BD146" s="348"/>
      <c r="BE146" s="349"/>
      <c r="BF146" s="348"/>
      <c r="BG146" s="349"/>
      <c r="BH146" s="350"/>
      <c r="BI146" s="351"/>
      <c r="BJ146" s="352"/>
      <c r="BK146" s="337">
        <v>10000</v>
      </c>
      <c r="BL146" s="352"/>
      <c r="BM146" s="337">
        <v>17459.5</v>
      </c>
      <c r="BN146" s="353"/>
      <c r="BO146" s="354"/>
      <c r="BP146" s="355"/>
      <c r="BQ146" s="356"/>
      <c r="BR146" s="355"/>
      <c r="BS146" s="356"/>
      <c r="BT146" s="357"/>
    </row>
    <row r="147" spans="1:72" s="430" customFormat="1" ht="25.5" customHeight="1" outlineLevel="2">
      <c r="A147" s="287">
        <v>125</v>
      </c>
      <c r="B147" s="933"/>
      <c r="C147" s="743"/>
      <c r="D147" s="856" t="s">
        <v>272</v>
      </c>
      <c r="E147" s="857"/>
      <c r="F147" s="827" t="s">
        <v>7</v>
      </c>
      <c r="G147" s="431">
        <v>4</v>
      </c>
      <c r="H147" s="474" t="s">
        <v>70</v>
      </c>
      <c r="I147" s="743">
        <v>244</v>
      </c>
      <c r="J147" s="744">
        <v>346</v>
      </c>
      <c r="K147" s="536" t="s">
        <v>284</v>
      </c>
      <c r="L147" s="1030"/>
      <c r="M147" s="434"/>
      <c r="N147" s="434"/>
      <c r="O147" s="1064">
        <f t="shared" si="142"/>
        <v>0</v>
      </c>
      <c r="P147" s="563"/>
      <c r="Q147" s="437"/>
      <c r="R147" s="563"/>
      <c r="S147" s="437"/>
      <c r="T147" s="563"/>
      <c r="U147" s="467"/>
      <c r="V147" s="436"/>
      <c r="W147" s="436"/>
      <c r="X147" s="436"/>
      <c r="Z147" s="437">
        <f t="shared" si="169"/>
        <v>0</v>
      </c>
      <c r="AA147" s="438">
        <f t="shared" si="169"/>
        <v>0</v>
      </c>
      <c r="AB147" s="439">
        <f t="shared" si="133"/>
        <v>0</v>
      </c>
      <c r="AC147" s="437">
        <f t="shared" si="170"/>
        <v>0</v>
      </c>
      <c r="AD147" s="438">
        <f t="shared" si="170"/>
        <v>0</v>
      </c>
      <c r="AE147" s="439">
        <f t="shared" si="134"/>
        <v>0</v>
      </c>
      <c r="AF147" s="437">
        <f t="shared" si="171"/>
        <v>0</v>
      </c>
      <c r="AG147" s="438">
        <f t="shared" si="171"/>
        <v>0</v>
      </c>
      <c r="AH147" s="439">
        <f t="shared" si="135"/>
        <v>0</v>
      </c>
      <c r="AI147" s="437">
        <f t="shared" si="172"/>
        <v>0</v>
      </c>
      <c r="AJ147" s="438">
        <f t="shared" si="172"/>
        <v>0</v>
      </c>
      <c r="AK147" s="439">
        <f t="shared" si="136"/>
        <v>0</v>
      </c>
      <c r="AL147" s="440"/>
      <c r="AM147" s="437">
        <f t="shared" si="173"/>
        <v>0</v>
      </c>
      <c r="AN147" s="441">
        <f t="shared" si="173"/>
        <v>0</v>
      </c>
      <c r="AO147" s="442">
        <f t="shared" si="137"/>
        <v>0</v>
      </c>
      <c r="AP147" s="437">
        <f t="shared" si="174"/>
        <v>0</v>
      </c>
      <c r="AQ147" s="441">
        <f t="shared" si="174"/>
        <v>0</v>
      </c>
      <c r="AR147" s="442">
        <f t="shared" si="138"/>
        <v>0</v>
      </c>
      <c r="AS147" s="443">
        <f t="shared" si="176"/>
        <v>0</v>
      </c>
      <c r="AT147" s="441">
        <f t="shared" si="176"/>
        <v>0</v>
      </c>
      <c r="AU147" s="442">
        <f t="shared" si="139"/>
        <v>0</v>
      </c>
      <c r="AV147" s="601">
        <f t="shared" si="140"/>
        <v>0</v>
      </c>
      <c r="AW147" s="444"/>
      <c r="AX147" s="1111"/>
      <c r="AY147" s="446"/>
      <c r="AZ147" s="1111"/>
      <c r="BA147" s="446"/>
      <c r="BB147" s="1129"/>
      <c r="BC147" s="448"/>
      <c r="BD147" s="449"/>
      <c r="BE147" s="450"/>
      <c r="BF147" s="449"/>
      <c r="BG147" s="450"/>
      <c r="BH147" s="451"/>
      <c r="BI147" s="452"/>
      <c r="BJ147" s="453"/>
      <c r="BK147" s="438"/>
      <c r="BL147" s="453"/>
      <c r="BM147" s="438"/>
      <c r="BN147" s="454"/>
      <c r="BO147" s="455"/>
      <c r="BP147" s="456"/>
      <c r="BQ147" s="457"/>
      <c r="BR147" s="456"/>
      <c r="BS147" s="457"/>
      <c r="BT147" s="458"/>
    </row>
    <row r="148" spans="1:72" s="468" customFormat="1" ht="66.75" customHeight="1" outlineLevel="1">
      <c r="A148" s="287">
        <v>126</v>
      </c>
      <c r="B148" s="933"/>
      <c r="C148" s="850" t="s">
        <v>378</v>
      </c>
      <c r="D148" s="854" t="s">
        <v>276</v>
      </c>
      <c r="E148" s="858"/>
      <c r="F148" s="828" t="s">
        <v>7</v>
      </c>
      <c r="G148" s="469">
        <v>4</v>
      </c>
      <c r="H148" s="745" t="s">
        <v>70</v>
      </c>
      <c r="I148" s="745">
        <v>244</v>
      </c>
      <c r="J148" s="746">
        <v>346</v>
      </c>
      <c r="K148" s="537" t="s">
        <v>488</v>
      </c>
      <c r="L148" s="1032">
        <v>40774.18</v>
      </c>
      <c r="M148" s="422"/>
      <c r="N148" s="422"/>
      <c r="O148" s="1065">
        <f t="shared" si="142"/>
        <v>40774.18</v>
      </c>
      <c r="P148" s="564"/>
      <c r="Q148" s="472"/>
      <c r="R148" s="564"/>
      <c r="S148" s="472"/>
      <c r="T148" s="564"/>
      <c r="U148" s="393"/>
      <c r="V148" s="394"/>
      <c r="W148" s="394"/>
      <c r="X148" s="394"/>
      <c r="Y148" s="392"/>
      <c r="Z148" s="395">
        <f t="shared" si="169"/>
        <v>0</v>
      </c>
      <c r="AA148" s="396">
        <f t="shared" si="169"/>
        <v>0</v>
      </c>
      <c r="AB148" s="397">
        <f t="shared" si="133"/>
        <v>0</v>
      </c>
      <c r="AC148" s="395">
        <f t="shared" si="170"/>
        <v>0</v>
      </c>
      <c r="AD148" s="396">
        <f t="shared" si="170"/>
        <v>0</v>
      </c>
      <c r="AE148" s="397">
        <f t="shared" si="134"/>
        <v>0</v>
      </c>
      <c r="AF148" s="395">
        <f t="shared" si="171"/>
        <v>0</v>
      </c>
      <c r="AG148" s="396">
        <f t="shared" si="171"/>
        <v>0</v>
      </c>
      <c r="AH148" s="397">
        <f t="shared" si="135"/>
        <v>0</v>
      </c>
      <c r="AI148" s="395">
        <f t="shared" si="172"/>
        <v>40774.18</v>
      </c>
      <c r="AJ148" s="396">
        <f t="shared" si="172"/>
        <v>0</v>
      </c>
      <c r="AK148" s="397">
        <f t="shared" si="136"/>
        <v>40774.18</v>
      </c>
      <c r="AL148" s="398"/>
      <c r="AM148" s="472">
        <f t="shared" si="173"/>
        <v>0</v>
      </c>
      <c r="AN148" s="422">
        <f t="shared" si="173"/>
        <v>0</v>
      </c>
      <c r="AO148" s="473">
        <f t="shared" si="137"/>
        <v>0</v>
      </c>
      <c r="AP148" s="472">
        <f t="shared" si="174"/>
        <v>0</v>
      </c>
      <c r="AQ148" s="422">
        <f t="shared" si="174"/>
        <v>0</v>
      </c>
      <c r="AR148" s="473">
        <f t="shared" si="138"/>
        <v>0</v>
      </c>
      <c r="AS148" s="472">
        <f t="shared" si="176"/>
        <v>40774.18</v>
      </c>
      <c r="AT148" s="422">
        <f t="shared" si="176"/>
        <v>0</v>
      </c>
      <c r="AU148" s="473">
        <f t="shared" si="139"/>
        <v>40774.18</v>
      </c>
      <c r="AV148" s="602">
        <f t="shared" si="140"/>
        <v>0</v>
      </c>
      <c r="AW148" s="472">
        <f t="shared" ref="AW148:BT148" si="323">SUM(AW149:AW150)</f>
        <v>0</v>
      </c>
      <c r="AX148" s="1110">
        <f t="shared" si="323"/>
        <v>0</v>
      </c>
      <c r="AY148" s="422">
        <f t="shared" si="323"/>
        <v>0</v>
      </c>
      <c r="AZ148" s="1110">
        <f t="shared" si="323"/>
        <v>0</v>
      </c>
      <c r="BA148" s="422">
        <f t="shared" si="323"/>
        <v>0</v>
      </c>
      <c r="BB148" s="1128">
        <f t="shared" si="323"/>
        <v>0</v>
      </c>
      <c r="BC148" s="472">
        <f t="shared" si="323"/>
        <v>0</v>
      </c>
      <c r="BD148" s="422">
        <f t="shared" si="323"/>
        <v>0</v>
      </c>
      <c r="BE148" s="422">
        <f t="shared" si="323"/>
        <v>0</v>
      </c>
      <c r="BF148" s="422">
        <f t="shared" si="323"/>
        <v>0</v>
      </c>
      <c r="BG148" s="422">
        <f t="shared" si="323"/>
        <v>0</v>
      </c>
      <c r="BH148" s="423">
        <f t="shared" si="323"/>
        <v>0</v>
      </c>
      <c r="BI148" s="472">
        <f t="shared" si="323"/>
        <v>0</v>
      </c>
      <c r="BJ148" s="422">
        <f t="shared" si="323"/>
        <v>0</v>
      </c>
      <c r="BK148" s="422">
        <f t="shared" si="323"/>
        <v>0</v>
      </c>
      <c r="BL148" s="422">
        <f t="shared" si="323"/>
        <v>0</v>
      </c>
      <c r="BM148" s="422">
        <f t="shared" si="323"/>
        <v>0</v>
      </c>
      <c r="BN148" s="423">
        <f t="shared" si="323"/>
        <v>0</v>
      </c>
      <c r="BO148" s="472">
        <f t="shared" si="323"/>
        <v>20000</v>
      </c>
      <c r="BP148" s="422">
        <f t="shared" si="323"/>
        <v>0</v>
      </c>
      <c r="BQ148" s="422">
        <f t="shared" si="323"/>
        <v>20774.18</v>
      </c>
      <c r="BR148" s="422">
        <f t="shared" si="323"/>
        <v>0</v>
      </c>
      <c r="BS148" s="422">
        <f t="shared" si="323"/>
        <v>0</v>
      </c>
      <c r="BT148" s="473">
        <f t="shared" si="323"/>
        <v>0</v>
      </c>
    </row>
    <row r="149" spans="1:72" s="399" customFormat="1" ht="25.5" customHeight="1" outlineLevel="2">
      <c r="A149" s="287">
        <v>127</v>
      </c>
      <c r="B149" s="933"/>
      <c r="C149" s="859"/>
      <c r="D149" s="841" t="s">
        <v>276</v>
      </c>
      <c r="E149" s="860"/>
      <c r="F149" s="829" t="s">
        <v>7</v>
      </c>
      <c r="G149" s="400">
        <v>4</v>
      </c>
      <c r="H149" s="747" t="s">
        <v>70</v>
      </c>
      <c r="I149" s="747">
        <v>244</v>
      </c>
      <c r="J149" s="748">
        <v>346</v>
      </c>
      <c r="K149" s="538" t="s">
        <v>301</v>
      </c>
      <c r="L149" s="1031">
        <v>40774.18</v>
      </c>
      <c r="M149" s="403"/>
      <c r="N149" s="403"/>
      <c r="O149" s="1063">
        <f t="shared" si="142"/>
        <v>40774.18</v>
      </c>
      <c r="P149" s="565"/>
      <c r="Q149" s="406"/>
      <c r="R149" s="565"/>
      <c r="S149" s="406"/>
      <c r="T149" s="565"/>
      <c r="U149" s="428"/>
      <c r="V149" s="405"/>
      <c r="W149" s="405"/>
      <c r="X149" s="405"/>
      <c r="Z149" s="406">
        <f t="shared" si="169"/>
        <v>0</v>
      </c>
      <c r="AA149" s="407">
        <f t="shared" si="169"/>
        <v>0</v>
      </c>
      <c r="AB149" s="408">
        <f t="shared" si="133"/>
        <v>0</v>
      </c>
      <c r="AC149" s="406">
        <f t="shared" si="170"/>
        <v>0</v>
      </c>
      <c r="AD149" s="407">
        <f t="shared" si="170"/>
        <v>0</v>
      </c>
      <c r="AE149" s="408">
        <f t="shared" si="134"/>
        <v>0</v>
      </c>
      <c r="AF149" s="406">
        <f t="shared" si="171"/>
        <v>0</v>
      </c>
      <c r="AG149" s="407">
        <f t="shared" si="171"/>
        <v>0</v>
      </c>
      <c r="AH149" s="408">
        <f t="shared" si="135"/>
        <v>0</v>
      </c>
      <c r="AI149" s="406">
        <f t="shared" si="172"/>
        <v>40774.18</v>
      </c>
      <c r="AJ149" s="407">
        <f t="shared" si="172"/>
        <v>0</v>
      </c>
      <c r="AK149" s="408">
        <f t="shared" si="136"/>
        <v>40774.18</v>
      </c>
      <c r="AL149" s="409"/>
      <c r="AM149" s="406">
        <f t="shared" si="173"/>
        <v>0</v>
      </c>
      <c r="AN149" s="410">
        <f t="shared" si="173"/>
        <v>0</v>
      </c>
      <c r="AO149" s="411">
        <f t="shared" si="137"/>
        <v>0</v>
      </c>
      <c r="AP149" s="406">
        <f t="shared" si="174"/>
        <v>0</v>
      </c>
      <c r="AQ149" s="410">
        <f t="shared" si="174"/>
        <v>0</v>
      </c>
      <c r="AR149" s="411">
        <f t="shared" si="138"/>
        <v>0</v>
      </c>
      <c r="AS149" s="412">
        <f t="shared" si="176"/>
        <v>40774.18</v>
      </c>
      <c r="AT149" s="410">
        <f t="shared" si="176"/>
        <v>0</v>
      </c>
      <c r="AU149" s="411">
        <f t="shared" si="139"/>
        <v>40774.18</v>
      </c>
      <c r="AV149" s="603">
        <f t="shared" si="140"/>
        <v>0</v>
      </c>
      <c r="AW149" s="413"/>
      <c r="AX149" s="1098"/>
      <c r="AY149" s="415"/>
      <c r="AZ149" s="1098"/>
      <c r="BA149" s="415"/>
      <c r="BB149" s="1120"/>
      <c r="BC149" s="417"/>
      <c r="BD149" s="418"/>
      <c r="BE149" s="419"/>
      <c r="BF149" s="418"/>
      <c r="BG149" s="419"/>
      <c r="BH149" s="420"/>
      <c r="BI149" s="421"/>
      <c r="BJ149" s="422"/>
      <c r="BK149" s="407"/>
      <c r="BL149" s="422"/>
      <c r="BM149" s="407"/>
      <c r="BN149" s="423"/>
      <c r="BO149" s="424">
        <v>20000</v>
      </c>
      <c r="BP149" s="425"/>
      <c r="BQ149" s="426">
        <v>20774.18</v>
      </c>
      <c r="BR149" s="425"/>
      <c r="BS149" s="426"/>
      <c r="BT149" s="427"/>
    </row>
    <row r="150" spans="1:72" s="430" customFormat="1" ht="25.5" customHeight="1" outlineLevel="2">
      <c r="A150" s="287">
        <v>128</v>
      </c>
      <c r="B150" s="933"/>
      <c r="C150" s="743"/>
      <c r="D150" s="856" t="s">
        <v>276</v>
      </c>
      <c r="E150" s="857"/>
      <c r="F150" s="827" t="s">
        <v>7</v>
      </c>
      <c r="G150" s="431">
        <v>4</v>
      </c>
      <c r="H150" s="474" t="s">
        <v>70</v>
      </c>
      <c r="I150" s="743">
        <v>244</v>
      </c>
      <c r="J150" s="744">
        <v>346</v>
      </c>
      <c r="K150" s="536" t="s">
        <v>284</v>
      </c>
      <c r="L150" s="1030"/>
      <c r="M150" s="434"/>
      <c r="N150" s="434"/>
      <c r="O150" s="1064">
        <f t="shared" si="142"/>
        <v>0</v>
      </c>
      <c r="P150" s="563"/>
      <c r="Q150" s="437"/>
      <c r="R150" s="563"/>
      <c r="S150" s="437"/>
      <c r="T150" s="563"/>
      <c r="U150" s="467"/>
      <c r="V150" s="436"/>
      <c r="W150" s="436"/>
      <c r="X150" s="436"/>
      <c r="Z150" s="437">
        <f t="shared" si="169"/>
        <v>0</v>
      </c>
      <c r="AA150" s="438">
        <f t="shared" si="169"/>
        <v>0</v>
      </c>
      <c r="AB150" s="439">
        <f t="shared" si="133"/>
        <v>0</v>
      </c>
      <c r="AC150" s="437">
        <f t="shared" si="170"/>
        <v>0</v>
      </c>
      <c r="AD150" s="438">
        <f t="shared" si="170"/>
        <v>0</v>
      </c>
      <c r="AE150" s="439">
        <f t="shared" si="134"/>
        <v>0</v>
      </c>
      <c r="AF150" s="437">
        <f t="shared" si="171"/>
        <v>0</v>
      </c>
      <c r="AG150" s="438">
        <f t="shared" si="171"/>
        <v>0</v>
      </c>
      <c r="AH150" s="439">
        <f t="shared" si="135"/>
        <v>0</v>
      </c>
      <c r="AI150" s="437">
        <f t="shared" si="172"/>
        <v>0</v>
      </c>
      <c r="AJ150" s="438">
        <f t="shared" si="172"/>
        <v>0</v>
      </c>
      <c r="AK150" s="439">
        <f t="shared" si="136"/>
        <v>0</v>
      </c>
      <c r="AL150" s="440"/>
      <c r="AM150" s="437">
        <f t="shared" si="173"/>
        <v>0</v>
      </c>
      <c r="AN150" s="441">
        <f t="shared" si="173"/>
        <v>0</v>
      </c>
      <c r="AO150" s="442">
        <f t="shared" si="137"/>
        <v>0</v>
      </c>
      <c r="AP150" s="437">
        <f t="shared" si="174"/>
        <v>0</v>
      </c>
      <c r="AQ150" s="441">
        <f t="shared" si="174"/>
        <v>0</v>
      </c>
      <c r="AR150" s="442">
        <f t="shared" si="138"/>
        <v>0</v>
      </c>
      <c r="AS150" s="443">
        <f t="shared" si="176"/>
        <v>0</v>
      </c>
      <c r="AT150" s="441">
        <f t="shared" si="176"/>
        <v>0</v>
      </c>
      <c r="AU150" s="442">
        <f t="shared" si="139"/>
        <v>0</v>
      </c>
      <c r="AV150" s="601">
        <f t="shared" si="140"/>
        <v>0</v>
      </c>
      <c r="AW150" s="444"/>
      <c r="AX150" s="1111"/>
      <c r="AY150" s="446"/>
      <c r="AZ150" s="1111"/>
      <c r="BA150" s="446"/>
      <c r="BB150" s="1129"/>
      <c r="BC150" s="448"/>
      <c r="BD150" s="449"/>
      <c r="BE150" s="450"/>
      <c r="BF150" s="449"/>
      <c r="BG150" s="450"/>
      <c r="BH150" s="451"/>
      <c r="BI150" s="452"/>
      <c r="BJ150" s="453"/>
      <c r="BK150" s="438"/>
      <c r="BL150" s="453"/>
      <c r="BM150" s="438"/>
      <c r="BN150" s="454"/>
      <c r="BO150" s="455"/>
      <c r="BP150" s="456"/>
      <c r="BQ150" s="457"/>
      <c r="BR150" s="456"/>
      <c r="BS150" s="457"/>
      <c r="BT150" s="458"/>
    </row>
    <row r="151" spans="1:72" s="459" customFormat="1" ht="66.75" customHeight="1" outlineLevel="1">
      <c r="A151" s="287">
        <v>129</v>
      </c>
      <c r="B151" s="933"/>
      <c r="C151" s="850" t="s">
        <v>378</v>
      </c>
      <c r="D151" s="854" t="s">
        <v>274</v>
      </c>
      <c r="E151" s="855"/>
      <c r="F151" s="826" t="s">
        <v>7</v>
      </c>
      <c r="G151" s="462">
        <v>4</v>
      </c>
      <c r="H151" s="741" t="s">
        <v>70</v>
      </c>
      <c r="I151" s="741">
        <v>244</v>
      </c>
      <c r="J151" s="742">
        <v>346</v>
      </c>
      <c r="K151" s="535" t="s">
        <v>283</v>
      </c>
      <c r="L151" s="1028">
        <v>58096.959999999999</v>
      </c>
      <c r="M151" s="352"/>
      <c r="N151" s="352"/>
      <c r="O151" s="1062">
        <f t="shared" si="142"/>
        <v>58096.959999999999</v>
      </c>
      <c r="P151" s="561"/>
      <c r="Q151" s="464"/>
      <c r="R151" s="561"/>
      <c r="S151" s="464"/>
      <c r="T151" s="561"/>
      <c r="U151" s="393"/>
      <c r="V151" s="394"/>
      <c r="W151" s="394"/>
      <c r="X151" s="394"/>
      <c r="Y151" s="392"/>
      <c r="Z151" s="395">
        <f t="shared" ref="Z151:AA168" si="324">AW151+AY151+BA151</f>
        <v>0</v>
      </c>
      <c r="AA151" s="396">
        <f t="shared" si="324"/>
        <v>0</v>
      </c>
      <c r="AB151" s="397">
        <f t="shared" si="133"/>
        <v>0</v>
      </c>
      <c r="AC151" s="395">
        <f t="shared" ref="AC151:AD168" si="325">BC151+BE151+BG151</f>
        <v>0</v>
      </c>
      <c r="AD151" s="396">
        <f t="shared" si="325"/>
        <v>0</v>
      </c>
      <c r="AE151" s="397">
        <f t="shared" si="134"/>
        <v>0</v>
      </c>
      <c r="AF151" s="395">
        <f t="shared" ref="AF151:AG168" si="326">BI151+BK151+BM151</f>
        <v>0</v>
      </c>
      <c r="AG151" s="396">
        <f t="shared" si="326"/>
        <v>0</v>
      </c>
      <c r="AH151" s="397">
        <f t="shared" si="135"/>
        <v>0</v>
      </c>
      <c r="AI151" s="395">
        <f t="shared" ref="AI151:AJ168" si="327">BO151+BQ151+BS151</f>
        <v>58096.959999999999</v>
      </c>
      <c r="AJ151" s="396">
        <f t="shared" si="327"/>
        <v>0</v>
      </c>
      <c r="AK151" s="397">
        <f t="shared" si="136"/>
        <v>58096.959999999999</v>
      </c>
      <c r="AL151" s="398"/>
      <c r="AM151" s="464">
        <f t="shared" ref="AM151:AN168" si="328">Z151+AC151</f>
        <v>0</v>
      </c>
      <c r="AN151" s="352">
        <f t="shared" si="328"/>
        <v>0</v>
      </c>
      <c r="AO151" s="465">
        <f t="shared" si="137"/>
        <v>0</v>
      </c>
      <c r="AP151" s="464">
        <f t="shared" ref="AP151:AQ168" si="329">Z151+AC151+AF151</f>
        <v>0</v>
      </c>
      <c r="AQ151" s="352">
        <f t="shared" si="329"/>
        <v>0</v>
      </c>
      <c r="AR151" s="465">
        <f t="shared" si="138"/>
        <v>0</v>
      </c>
      <c r="AS151" s="464">
        <f t="shared" si="176"/>
        <v>58096.959999999999</v>
      </c>
      <c r="AT151" s="352">
        <f t="shared" si="176"/>
        <v>0</v>
      </c>
      <c r="AU151" s="465">
        <f t="shared" si="139"/>
        <v>58096.959999999999</v>
      </c>
      <c r="AV151" s="600">
        <f t="shared" si="140"/>
        <v>0</v>
      </c>
      <c r="AW151" s="464">
        <f t="shared" ref="AW151:BT151" si="330">SUM(AW152:AW153)</f>
        <v>0</v>
      </c>
      <c r="AX151" s="1110">
        <f t="shared" si="330"/>
        <v>0</v>
      </c>
      <c r="AY151" s="352">
        <f t="shared" si="330"/>
        <v>0</v>
      </c>
      <c r="AZ151" s="1110">
        <f t="shared" si="330"/>
        <v>0</v>
      </c>
      <c r="BA151" s="352">
        <f t="shared" si="330"/>
        <v>0</v>
      </c>
      <c r="BB151" s="1128">
        <f t="shared" si="330"/>
        <v>0</v>
      </c>
      <c r="BC151" s="464">
        <f t="shared" si="330"/>
        <v>0</v>
      </c>
      <c r="BD151" s="352">
        <f t="shared" si="330"/>
        <v>0</v>
      </c>
      <c r="BE151" s="352">
        <f t="shared" si="330"/>
        <v>0</v>
      </c>
      <c r="BF151" s="352">
        <f t="shared" si="330"/>
        <v>0</v>
      </c>
      <c r="BG151" s="352">
        <f t="shared" si="330"/>
        <v>0</v>
      </c>
      <c r="BH151" s="353">
        <f t="shared" si="330"/>
        <v>0</v>
      </c>
      <c r="BI151" s="464">
        <f t="shared" si="330"/>
        <v>0</v>
      </c>
      <c r="BJ151" s="352">
        <f t="shared" si="330"/>
        <v>0</v>
      </c>
      <c r="BK151" s="352">
        <f t="shared" si="330"/>
        <v>0</v>
      </c>
      <c r="BL151" s="352">
        <f t="shared" si="330"/>
        <v>0</v>
      </c>
      <c r="BM151" s="352">
        <f t="shared" si="330"/>
        <v>0</v>
      </c>
      <c r="BN151" s="353">
        <f t="shared" si="330"/>
        <v>0</v>
      </c>
      <c r="BO151" s="464">
        <f t="shared" si="330"/>
        <v>0</v>
      </c>
      <c r="BP151" s="352">
        <f t="shared" si="330"/>
        <v>0</v>
      </c>
      <c r="BQ151" s="352">
        <f t="shared" si="330"/>
        <v>58096.959999999999</v>
      </c>
      <c r="BR151" s="352">
        <f t="shared" si="330"/>
        <v>0</v>
      </c>
      <c r="BS151" s="352">
        <f t="shared" si="330"/>
        <v>0</v>
      </c>
      <c r="BT151" s="465">
        <f t="shared" si="330"/>
        <v>0</v>
      </c>
    </row>
    <row r="152" spans="1:72" s="313" customFormat="1" ht="25.5" customHeight="1" outlineLevel="2">
      <c r="A152" s="287">
        <v>130</v>
      </c>
      <c r="B152" s="933"/>
      <c r="C152" s="840"/>
      <c r="D152" s="841" t="s">
        <v>274</v>
      </c>
      <c r="E152" s="839"/>
      <c r="F152" s="821" t="s">
        <v>7</v>
      </c>
      <c r="G152" s="314">
        <v>4</v>
      </c>
      <c r="H152" s="739" t="s">
        <v>70</v>
      </c>
      <c r="I152" s="739">
        <v>244</v>
      </c>
      <c r="J152" s="740">
        <v>346</v>
      </c>
      <c r="K152" s="533" t="s">
        <v>301</v>
      </c>
      <c r="L152" s="1031">
        <v>58096.959999999999</v>
      </c>
      <c r="M152" s="318"/>
      <c r="N152" s="318"/>
      <c r="O152" s="1052">
        <f t="shared" si="142"/>
        <v>58096.959999999999</v>
      </c>
      <c r="P152" s="562"/>
      <c r="Q152" s="336"/>
      <c r="R152" s="562"/>
      <c r="S152" s="336"/>
      <c r="T152" s="562"/>
      <c r="U152" s="466"/>
      <c r="V152" s="320"/>
      <c r="W152" s="320"/>
      <c r="X152" s="320"/>
      <c r="Z152" s="336">
        <f t="shared" si="324"/>
        <v>0</v>
      </c>
      <c r="AA152" s="337">
        <f t="shared" si="324"/>
        <v>0</v>
      </c>
      <c r="AB152" s="338">
        <f t="shared" si="133"/>
        <v>0</v>
      </c>
      <c r="AC152" s="336">
        <f t="shared" si="325"/>
        <v>0</v>
      </c>
      <c r="AD152" s="337">
        <f t="shared" si="325"/>
        <v>0</v>
      </c>
      <c r="AE152" s="338">
        <f t="shared" si="134"/>
        <v>0</v>
      </c>
      <c r="AF152" s="336">
        <f t="shared" si="326"/>
        <v>0</v>
      </c>
      <c r="AG152" s="337">
        <f t="shared" si="326"/>
        <v>0</v>
      </c>
      <c r="AH152" s="338">
        <f t="shared" si="135"/>
        <v>0</v>
      </c>
      <c r="AI152" s="336">
        <f t="shared" si="327"/>
        <v>58096.959999999999</v>
      </c>
      <c r="AJ152" s="337">
        <f t="shared" si="327"/>
        <v>0</v>
      </c>
      <c r="AK152" s="338">
        <f t="shared" si="136"/>
        <v>58096.959999999999</v>
      </c>
      <c r="AL152" s="342"/>
      <c r="AM152" s="336">
        <f t="shared" si="328"/>
        <v>0</v>
      </c>
      <c r="AN152" s="339">
        <f t="shared" si="328"/>
        <v>0</v>
      </c>
      <c r="AO152" s="340">
        <f t="shared" si="137"/>
        <v>0</v>
      </c>
      <c r="AP152" s="336">
        <f t="shared" si="329"/>
        <v>0</v>
      </c>
      <c r="AQ152" s="339">
        <f t="shared" si="329"/>
        <v>0</v>
      </c>
      <c r="AR152" s="340">
        <f t="shared" si="138"/>
        <v>0</v>
      </c>
      <c r="AS152" s="341">
        <f t="shared" si="176"/>
        <v>58096.959999999999</v>
      </c>
      <c r="AT152" s="339">
        <f t="shared" si="176"/>
        <v>0</v>
      </c>
      <c r="AU152" s="340">
        <f t="shared" si="139"/>
        <v>58096.959999999999</v>
      </c>
      <c r="AV152" s="589">
        <f t="shared" si="140"/>
        <v>0</v>
      </c>
      <c r="AW152" s="343"/>
      <c r="AX152" s="1098"/>
      <c r="AY152" s="345"/>
      <c r="AZ152" s="1098"/>
      <c r="BA152" s="345"/>
      <c r="BB152" s="1120"/>
      <c r="BC152" s="347"/>
      <c r="BD152" s="348"/>
      <c r="BE152" s="349"/>
      <c r="BF152" s="348"/>
      <c r="BG152" s="349"/>
      <c r="BH152" s="350"/>
      <c r="BI152" s="351"/>
      <c r="BJ152" s="352"/>
      <c r="BK152" s="337"/>
      <c r="BL152" s="352"/>
      <c r="BM152" s="337"/>
      <c r="BN152" s="353"/>
      <c r="BO152" s="354"/>
      <c r="BP152" s="355"/>
      <c r="BQ152" s="356">
        <v>58096.959999999999</v>
      </c>
      <c r="BR152" s="355"/>
      <c r="BS152" s="356"/>
      <c r="BT152" s="357"/>
    </row>
    <row r="153" spans="1:72" s="430" customFormat="1" ht="25.5" customHeight="1" outlineLevel="2">
      <c r="A153" s="287">
        <v>131</v>
      </c>
      <c r="B153" s="933"/>
      <c r="C153" s="743"/>
      <c r="D153" s="856" t="s">
        <v>274</v>
      </c>
      <c r="E153" s="857"/>
      <c r="F153" s="827" t="s">
        <v>7</v>
      </c>
      <c r="G153" s="431">
        <v>4</v>
      </c>
      <c r="H153" s="474" t="s">
        <v>70</v>
      </c>
      <c r="I153" s="743">
        <v>244</v>
      </c>
      <c r="J153" s="744">
        <v>346</v>
      </c>
      <c r="K153" s="536" t="s">
        <v>284</v>
      </c>
      <c r="L153" s="1030"/>
      <c r="M153" s="434"/>
      <c r="N153" s="434"/>
      <c r="O153" s="1064">
        <f t="shared" si="142"/>
        <v>0</v>
      </c>
      <c r="P153" s="563"/>
      <c r="Q153" s="437"/>
      <c r="R153" s="563"/>
      <c r="S153" s="437"/>
      <c r="T153" s="563"/>
      <c r="U153" s="467"/>
      <c r="V153" s="436"/>
      <c r="W153" s="436"/>
      <c r="X153" s="436"/>
      <c r="Z153" s="437">
        <f t="shared" si="324"/>
        <v>0</v>
      </c>
      <c r="AA153" s="438">
        <f t="shared" si="324"/>
        <v>0</v>
      </c>
      <c r="AB153" s="439">
        <f t="shared" si="133"/>
        <v>0</v>
      </c>
      <c r="AC153" s="437">
        <f t="shared" si="325"/>
        <v>0</v>
      </c>
      <c r="AD153" s="438">
        <f t="shared" si="325"/>
        <v>0</v>
      </c>
      <c r="AE153" s="439">
        <f t="shared" si="134"/>
        <v>0</v>
      </c>
      <c r="AF153" s="437">
        <f t="shared" si="326"/>
        <v>0</v>
      </c>
      <c r="AG153" s="438">
        <f t="shared" si="326"/>
        <v>0</v>
      </c>
      <c r="AH153" s="439">
        <f t="shared" si="135"/>
        <v>0</v>
      </c>
      <c r="AI153" s="437">
        <f t="shared" si="327"/>
        <v>0</v>
      </c>
      <c r="AJ153" s="438">
        <f t="shared" si="327"/>
        <v>0</v>
      </c>
      <c r="AK153" s="439">
        <f t="shared" si="136"/>
        <v>0</v>
      </c>
      <c r="AL153" s="440"/>
      <c r="AM153" s="437">
        <f t="shared" si="328"/>
        <v>0</v>
      </c>
      <c r="AN153" s="441">
        <f t="shared" si="328"/>
        <v>0</v>
      </c>
      <c r="AO153" s="442">
        <f t="shared" si="137"/>
        <v>0</v>
      </c>
      <c r="AP153" s="437">
        <f t="shared" si="329"/>
        <v>0</v>
      </c>
      <c r="AQ153" s="441">
        <f t="shared" si="329"/>
        <v>0</v>
      </c>
      <c r="AR153" s="442">
        <f t="shared" si="138"/>
        <v>0</v>
      </c>
      <c r="AS153" s="443">
        <f t="shared" si="176"/>
        <v>0</v>
      </c>
      <c r="AT153" s="441">
        <f t="shared" si="176"/>
        <v>0</v>
      </c>
      <c r="AU153" s="442">
        <f t="shared" si="139"/>
        <v>0</v>
      </c>
      <c r="AV153" s="601">
        <f t="shared" si="140"/>
        <v>0</v>
      </c>
      <c r="AW153" s="444"/>
      <c r="AX153" s="1111"/>
      <c r="AY153" s="446"/>
      <c r="AZ153" s="1111"/>
      <c r="BA153" s="446"/>
      <c r="BB153" s="1129"/>
      <c r="BC153" s="448"/>
      <c r="BD153" s="449"/>
      <c r="BE153" s="450"/>
      <c r="BF153" s="449"/>
      <c r="BG153" s="450"/>
      <c r="BH153" s="451"/>
      <c r="BI153" s="452"/>
      <c r="BJ153" s="453"/>
      <c r="BK153" s="438"/>
      <c r="BL153" s="453"/>
      <c r="BM153" s="438"/>
      <c r="BN153" s="454"/>
      <c r="BO153" s="455"/>
      <c r="BP153" s="456"/>
      <c r="BQ153" s="457"/>
      <c r="BR153" s="456"/>
      <c r="BS153" s="457"/>
      <c r="BT153" s="458"/>
    </row>
    <row r="154" spans="1:72" s="468" customFormat="1" ht="72.75" customHeight="1" outlineLevel="1">
      <c r="A154" s="287">
        <v>132</v>
      </c>
      <c r="B154" s="933"/>
      <c r="C154" s="850" t="s">
        <v>378</v>
      </c>
      <c r="D154" s="854" t="s">
        <v>277</v>
      </c>
      <c r="E154" s="858"/>
      <c r="F154" s="828" t="s">
        <v>7</v>
      </c>
      <c r="G154" s="469">
        <v>4</v>
      </c>
      <c r="H154" s="745" t="s">
        <v>70</v>
      </c>
      <c r="I154" s="745">
        <v>244</v>
      </c>
      <c r="J154" s="746">
        <v>346</v>
      </c>
      <c r="K154" s="537" t="s">
        <v>282</v>
      </c>
      <c r="L154" s="1032">
        <v>34083.300000000003</v>
      </c>
      <c r="M154" s="422"/>
      <c r="N154" s="422"/>
      <c r="O154" s="1065">
        <f t="shared" si="142"/>
        <v>34083.300000000003</v>
      </c>
      <c r="P154" s="564"/>
      <c r="Q154" s="472"/>
      <c r="R154" s="564"/>
      <c r="S154" s="472"/>
      <c r="T154" s="564"/>
      <c r="U154" s="393"/>
      <c r="V154" s="394"/>
      <c r="W154" s="394"/>
      <c r="X154" s="394"/>
      <c r="Y154" s="392"/>
      <c r="Z154" s="395">
        <f t="shared" si="324"/>
        <v>0</v>
      </c>
      <c r="AA154" s="396">
        <f t="shared" si="324"/>
        <v>0</v>
      </c>
      <c r="AB154" s="397">
        <f t="shared" si="133"/>
        <v>0</v>
      </c>
      <c r="AC154" s="395">
        <f t="shared" si="325"/>
        <v>0</v>
      </c>
      <c r="AD154" s="396">
        <f t="shared" si="325"/>
        <v>0</v>
      </c>
      <c r="AE154" s="397">
        <f t="shared" si="134"/>
        <v>0</v>
      </c>
      <c r="AF154" s="395">
        <f t="shared" si="326"/>
        <v>0</v>
      </c>
      <c r="AG154" s="396">
        <f t="shared" si="326"/>
        <v>0</v>
      </c>
      <c r="AH154" s="397">
        <f t="shared" si="135"/>
        <v>0</v>
      </c>
      <c r="AI154" s="395">
        <f t="shared" si="327"/>
        <v>34083.300000000003</v>
      </c>
      <c r="AJ154" s="396">
        <f t="shared" si="327"/>
        <v>0</v>
      </c>
      <c r="AK154" s="397">
        <f t="shared" si="136"/>
        <v>34083.300000000003</v>
      </c>
      <c r="AL154" s="398"/>
      <c r="AM154" s="472">
        <f t="shared" si="328"/>
        <v>0</v>
      </c>
      <c r="AN154" s="422">
        <f t="shared" si="328"/>
        <v>0</v>
      </c>
      <c r="AO154" s="473">
        <f t="shared" si="137"/>
        <v>0</v>
      </c>
      <c r="AP154" s="472">
        <f t="shared" si="329"/>
        <v>0</v>
      </c>
      <c r="AQ154" s="422">
        <f t="shared" si="329"/>
        <v>0</v>
      </c>
      <c r="AR154" s="473">
        <f t="shared" si="138"/>
        <v>0</v>
      </c>
      <c r="AS154" s="472">
        <f t="shared" si="176"/>
        <v>34083.300000000003</v>
      </c>
      <c r="AT154" s="422">
        <f t="shared" si="176"/>
        <v>0</v>
      </c>
      <c r="AU154" s="473">
        <f t="shared" si="139"/>
        <v>34083.300000000003</v>
      </c>
      <c r="AV154" s="602">
        <f t="shared" si="140"/>
        <v>0</v>
      </c>
      <c r="AW154" s="472">
        <f t="shared" ref="AW154:BT154" si="331">SUM(AW155:AW156)</f>
        <v>0</v>
      </c>
      <c r="AX154" s="1110">
        <f t="shared" si="331"/>
        <v>0</v>
      </c>
      <c r="AY154" s="422">
        <f t="shared" si="331"/>
        <v>0</v>
      </c>
      <c r="AZ154" s="1110">
        <f t="shared" si="331"/>
        <v>0</v>
      </c>
      <c r="BA154" s="422">
        <f t="shared" si="331"/>
        <v>0</v>
      </c>
      <c r="BB154" s="1128">
        <f t="shared" si="331"/>
        <v>0</v>
      </c>
      <c r="BC154" s="472">
        <f t="shared" si="331"/>
        <v>0</v>
      </c>
      <c r="BD154" s="422">
        <f t="shared" si="331"/>
        <v>0</v>
      </c>
      <c r="BE154" s="422">
        <f t="shared" si="331"/>
        <v>0</v>
      </c>
      <c r="BF154" s="422">
        <f t="shared" si="331"/>
        <v>0</v>
      </c>
      <c r="BG154" s="422">
        <f t="shared" si="331"/>
        <v>0</v>
      </c>
      <c r="BH154" s="423">
        <f t="shared" si="331"/>
        <v>0</v>
      </c>
      <c r="BI154" s="472">
        <f t="shared" si="331"/>
        <v>0</v>
      </c>
      <c r="BJ154" s="422">
        <f t="shared" si="331"/>
        <v>0</v>
      </c>
      <c r="BK154" s="422">
        <f t="shared" si="331"/>
        <v>0</v>
      </c>
      <c r="BL154" s="422">
        <f t="shared" si="331"/>
        <v>0</v>
      </c>
      <c r="BM154" s="422">
        <f t="shared" si="331"/>
        <v>0</v>
      </c>
      <c r="BN154" s="423">
        <f t="shared" si="331"/>
        <v>0</v>
      </c>
      <c r="BO154" s="472">
        <f t="shared" si="331"/>
        <v>0</v>
      </c>
      <c r="BP154" s="422">
        <f t="shared" si="331"/>
        <v>0</v>
      </c>
      <c r="BQ154" s="422">
        <f t="shared" si="331"/>
        <v>0</v>
      </c>
      <c r="BR154" s="422">
        <f t="shared" si="331"/>
        <v>0</v>
      </c>
      <c r="BS154" s="422">
        <f t="shared" si="331"/>
        <v>34083.300000000003</v>
      </c>
      <c r="BT154" s="473">
        <f t="shared" si="331"/>
        <v>0</v>
      </c>
    </row>
    <row r="155" spans="1:72" s="399" customFormat="1" ht="25.5" customHeight="1" outlineLevel="2">
      <c r="A155" s="287">
        <v>133</v>
      </c>
      <c r="B155" s="933"/>
      <c r="C155" s="859"/>
      <c r="D155" s="841" t="s">
        <v>277</v>
      </c>
      <c r="E155" s="860"/>
      <c r="F155" s="829" t="s">
        <v>7</v>
      </c>
      <c r="G155" s="400">
        <v>4</v>
      </c>
      <c r="H155" s="747" t="s">
        <v>70</v>
      </c>
      <c r="I155" s="747">
        <v>244</v>
      </c>
      <c r="J155" s="748">
        <v>346</v>
      </c>
      <c r="K155" s="538" t="s">
        <v>301</v>
      </c>
      <c r="L155" s="1031">
        <v>34083.300000000003</v>
      </c>
      <c r="M155" s="403"/>
      <c r="N155" s="403"/>
      <c r="O155" s="1063">
        <f t="shared" si="142"/>
        <v>34083.300000000003</v>
      </c>
      <c r="P155" s="566"/>
      <c r="Q155" s="406"/>
      <c r="R155" s="566"/>
      <c r="S155" s="406"/>
      <c r="T155" s="566"/>
      <c r="U155" s="404"/>
      <c r="V155" s="405"/>
      <c r="W155" s="405"/>
      <c r="X155" s="405"/>
      <c r="Z155" s="406">
        <f t="shared" si="324"/>
        <v>0</v>
      </c>
      <c r="AA155" s="407">
        <f t="shared" si="324"/>
        <v>0</v>
      </c>
      <c r="AB155" s="408">
        <f t="shared" si="133"/>
        <v>0</v>
      </c>
      <c r="AC155" s="406">
        <f t="shared" si="325"/>
        <v>0</v>
      </c>
      <c r="AD155" s="407">
        <f t="shared" si="325"/>
        <v>0</v>
      </c>
      <c r="AE155" s="408">
        <f t="shared" si="134"/>
        <v>0</v>
      </c>
      <c r="AF155" s="406">
        <f t="shared" si="326"/>
        <v>0</v>
      </c>
      <c r="AG155" s="407">
        <f t="shared" si="326"/>
        <v>0</v>
      </c>
      <c r="AH155" s="408">
        <f t="shared" si="135"/>
        <v>0</v>
      </c>
      <c r="AI155" s="406">
        <f t="shared" si="327"/>
        <v>34083.300000000003</v>
      </c>
      <c r="AJ155" s="407">
        <f t="shared" si="327"/>
        <v>0</v>
      </c>
      <c r="AK155" s="408">
        <f t="shared" si="136"/>
        <v>34083.300000000003</v>
      </c>
      <c r="AL155" s="409"/>
      <c r="AM155" s="406">
        <f t="shared" si="328"/>
        <v>0</v>
      </c>
      <c r="AN155" s="410">
        <f t="shared" si="328"/>
        <v>0</v>
      </c>
      <c r="AO155" s="411">
        <f t="shared" si="137"/>
        <v>0</v>
      </c>
      <c r="AP155" s="406">
        <f t="shared" si="329"/>
        <v>0</v>
      </c>
      <c r="AQ155" s="410">
        <f t="shared" si="329"/>
        <v>0</v>
      </c>
      <c r="AR155" s="411">
        <f t="shared" si="138"/>
        <v>0</v>
      </c>
      <c r="AS155" s="412">
        <f t="shared" si="176"/>
        <v>34083.300000000003</v>
      </c>
      <c r="AT155" s="410">
        <f t="shared" si="176"/>
        <v>0</v>
      </c>
      <c r="AU155" s="411">
        <f t="shared" si="139"/>
        <v>34083.300000000003</v>
      </c>
      <c r="AV155" s="603">
        <f t="shared" si="140"/>
        <v>0</v>
      </c>
      <c r="AW155" s="413"/>
      <c r="AX155" s="1098"/>
      <c r="AY155" s="415"/>
      <c r="AZ155" s="1098"/>
      <c r="BA155" s="415"/>
      <c r="BB155" s="1120"/>
      <c r="BC155" s="417"/>
      <c r="BD155" s="418"/>
      <c r="BE155" s="419"/>
      <c r="BF155" s="418"/>
      <c r="BG155" s="419"/>
      <c r="BH155" s="420"/>
      <c r="BI155" s="421"/>
      <c r="BJ155" s="422"/>
      <c r="BK155" s="407"/>
      <c r="BL155" s="422"/>
      <c r="BM155" s="407"/>
      <c r="BN155" s="423"/>
      <c r="BO155" s="424"/>
      <c r="BP155" s="425"/>
      <c r="BQ155" s="426"/>
      <c r="BR155" s="425"/>
      <c r="BS155" s="426">
        <v>34083.300000000003</v>
      </c>
      <c r="BT155" s="427"/>
    </row>
    <row r="156" spans="1:72" s="430" customFormat="1" ht="25.5" customHeight="1" outlineLevel="2">
      <c r="A156" s="287">
        <v>134</v>
      </c>
      <c r="B156" s="933"/>
      <c r="C156" s="743"/>
      <c r="D156" s="856" t="s">
        <v>277</v>
      </c>
      <c r="E156" s="857"/>
      <c r="F156" s="827" t="s">
        <v>7</v>
      </c>
      <c r="G156" s="431">
        <v>4</v>
      </c>
      <c r="H156" s="474" t="s">
        <v>70</v>
      </c>
      <c r="I156" s="743">
        <v>244</v>
      </c>
      <c r="J156" s="744">
        <v>346</v>
      </c>
      <c r="K156" s="536" t="s">
        <v>284</v>
      </c>
      <c r="L156" s="1030"/>
      <c r="M156" s="434"/>
      <c r="N156" s="434"/>
      <c r="O156" s="1064">
        <f t="shared" si="142"/>
        <v>0</v>
      </c>
      <c r="P156" s="567"/>
      <c r="Q156" s="437"/>
      <c r="R156" s="567"/>
      <c r="S156" s="437"/>
      <c r="T156" s="567"/>
      <c r="U156" s="435"/>
      <c r="V156" s="436"/>
      <c r="W156" s="436"/>
      <c r="X156" s="436"/>
      <c r="Z156" s="437">
        <f t="shared" si="324"/>
        <v>0</v>
      </c>
      <c r="AA156" s="438">
        <f t="shared" si="324"/>
        <v>0</v>
      </c>
      <c r="AB156" s="439">
        <f t="shared" si="133"/>
        <v>0</v>
      </c>
      <c r="AC156" s="437">
        <f t="shared" si="325"/>
        <v>0</v>
      </c>
      <c r="AD156" s="438">
        <f t="shared" si="325"/>
        <v>0</v>
      </c>
      <c r="AE156" s="439">
        <f t="shared" si="134"/>
        <v>0</v>
      </c>
      <c r="AF156" s="437">
        <f t="shared" si="326"/>
        <v>0</v>
      </c>
      <c r="AG156" s="438">
        <f t="shared" si="326"/>
        <v>0</v>
      </c>
      <c r="AH156" s="439">
        <f t="shared" si="135"/>
        <v>0</v>
      </c>
      <c r="AI156" s="437">
        <f t="shared" si="327"/>
        <v>0</v>
      </c>
      <c r="AJ156" s="438">
        <f t="shared" si="327"/>
        <v>0</v>
      </c>
      <c r="AK156" s="439">
        <f t="shared" si="136"/>
        <v>0</v>
      </c>
      <c r="AL156" s="440"/>
      <c r="AM156" s="437">
        <f t="shared" si="328"/>
        <v>0</v>
      </c>
      <c r="AN156" s="441">
        <f t="shared" si="328"/>
        <v>0</v>
      </c>
      <c r="AO156" s="442">
        <f t="shared" si="137"/>
        <v>0</v>
      </c>
      <c r="AP156" s="437">
        <f t="shared" si="329"/>
        <v>0</v>
      </c>
      <c r="AQ156" s="441">
        <f t="shared" si="329"/>
        <v>0</v>
      </c>
      <c r="AR156" s="442">
        <f t="shared" si="138"/>
        <v>0</v>
      </c>
      <c r="AS156" s="443">
        <f t="shared" si="176"/>
        <v>0</v>
      </c>
      <c r="AT156" s="441">
        <f t="shared" si="176"/>
        <v>0</v>
      </c>
      <c r="AU156" s="442">
        <f t="shared" si="139"/>
        <v>0</v>
      </c>
      <c r="AV156" s="601">
        <f t="shared" si="140"/>
        <v>0</v>
      </c>
      <c r="AW156" s="444"/>
      <c r="AX156" s="1111"/>
      <c r="AY156" s="446"/>
      <c r="AZ156" s="1111"/>
      <c r="BA156" s="446"/>
      <c r="BB156" s="1129"/>
      <c r="BC156" s="448"/>
      <c r="BD156" s="449"/>
      <c r="BE156" s="450"/>
      <c r="BF156" s="449"/>
      <c r="BG156" s="450"/>
      <c r="BH156" s="451"/>
      <c r="BI156" s="452"/>
      <c r="BJ156" s="453"/>
      <c r="BK156" s="438"/>
      <c r="BL156" s="453"/>
      <c r="BM156" s="438"/>
      <c r="BN156" s="454"/>
      <c r="BO156" s="455"/>
      <c r="BP156" s="456"/>
      <c r="BQ156" s="457"/>
      <c r="BR156" s="456"/>
      <c r="BS156" s="457"/>
      <c r="BT156" s="458"/>
    </row>
    <row r="157" spans="1:72" s="358" customFormat="1" ht="31.5" customHeight="1">
      <c r="A157" s="287">
        <v>135</v>
      </c>
      <c r="B157" s="933"/>
      <c r="C157" s="850" t="s">
        <v>377</v>
      </c>
      <c r="D157" s="838"/>
      <c r="E157" s="836" t="s">
        <v>201</v>
      </c>
      <c r="F157" s="820" t="s">
        <v>7</v>
      </c>
      <c r="G157" s="360">
        <v>4</v>
      </c>
      <c r="H157" s="360" t="s">
        <v>71</v>
      </c>
      <c r="I157" s="360">
        <v>244</v>
      </c>
      <c r="J157" s="361">
        <v>346</v>
      </c>
      <c r="K157" s="532" t="s">
        <v>16</v>
      </c>
      <c r="L157" s="1023">
        <f>SUM(L158:L160)</f>
        <v>65398.55</v>
      </c>
      <c r="M157" s="363"/>
      <c r="N157" s="1023">
        <f>SUM(N158:N160)</f>
        <v>0</v>
      </c>
      <c r="O157" s="1051">
        <f t="shared" si="142"/>
        <v>65398.55</v>
      </c>
      <c r="P157" s="557"/>
      <c r="Q157" s="367">
        <f>Q160</f>
        <v>0</v>
      </c>
      <c r="R157" s="557">
        <f t="shared" ref="R157:S157" si="332">R160</f>
        <v>0</v>
      </c>
      <c r="S157" s="367">
        <f t="shared" si="332"/>
        <v>0</v>
      </c>
      <c r="T157" s="557"/>
      <c r="U157" s="365"/>
      <c r="V157" s="366"/>
      <c r="W157" s="366"/>
      <c r="X157" s="366"/>
      <c r="Z157" s="367">
        <f t="shared" si="324"/>
        <v>1050</v>
      </c>
      <c r="AA157" s="363">
        <f t="shared" si="324"/>
        <v>1050</v>
      </c>
      <c r="AB157" s="280">
        <f t="shared" si="133"/>
        <v>0</v>
      </c>
      <c r="AC157" s="367">
        <f t="shared" si="325"/>
        <v>0</v>
      </c>
      <c r="AD157" s="363">
        <f t="shared" si="325"/>
        <v>0</v>
      </c>
      <c r="AE157" s="280">
        <f t="shared" si="134"/>
        <v>0</v>
      </c>
      <c r="AF157" s="367">
        <f t="shared" si="326"/>
        <v>0</v>
      </c>
      <c r="AG157" s="363">
        <f t="shared" si="326"/>
        <v>0</v>
      </c>
      <c r="AH157" s="280">
        <f t="shared" si="135"/>
        <v>0</v>
      </c>
      <c r="AI157" s="367">
        <f t="shared" si="327"/>
        <v>0</v>
      </c>
      <c r="AJ157" s="363">
        <f t="shared" si="327"/>
        <v>0</v>
      </c>
      <c r="AK157" s="280">
        <f t="shared" si="136"/>
        <v>0</v>
      </c>
      <c r="AL157" s="368"/>
      <c r="AM157" s="367">
        <f t="shared" si="328"/>
        <v>1050</v>
      </c>
      <c r="AN157" s="363">
        <f t="shared" si="328"/>
        <v>1050</v>
      </c>
      <c r="AO157" s="280">
        <f t="shared" si="137"/>
        <v>0</v>
      </c>
      <c r="AP157" s="367">
        <f t="shared" si="329"/>
        <v>1050</v>
      </c>
      <c r="AQ157" s="363">
        <f t="shared" si="329"/>
        <v>1050</v>
      </c>
      <c r="AR157" s="280">
        <f t="shared" si="138"/>
        <v>0</v>
      </c>
      <c r="AS157" s="367">
        <f t="shared" si="176"/>
        <v>1050</v>
      </c>
      <c r="AT157" s="363">
        <f t="shared" si="176"/>
        <v>1050</v>
      </c>
      <c r="AU157" s="280">
        <f t="shared" si="139"/>
        <v>0</v>
      </c>
      <c r="AV157" s="588">
        <f t="shared" si="140"/>
        <v>64348.55</v>
      </c>
      <c r="AW157" s="367">
        <f>SUM(AW158:AW160)</f>
        <v>1050</v>
      </c>
      <c r="AX157" s="1097">
        <f t="shared" ref="AX157:BT157" si="333">SUM(AX160:AX160)</f>
        <v>1050</v>
      </c>
      <c r="AY157" s="363">
        <f t="shared" si="333"/>
        <v>0</v>
      </c>
      <c r="AZ157" s="1097">
        <f t="shared" si="333"/>
        <v>0</v>
      </c>
      <c r="BA157" s="363">
        <f t="shared" si="333"/>
        <v>0</v>
      </c>
      <c r="BB157" s="1119">
        <f t="shared" si="333"/>
        <v>0</v>
      </c>
      <c r="BC157" s="367">
        <f t="shared" si="333"/>
        <v>0</v>
      </c>
      <c r="BD157" s="363">
        <f t="shared" si="333"/>
        <v>0</v>
      </c>
      <c r="BE157" s="363">
        <f t="shared" si="333"/>
        <v>0</v>
      </c>
      <c r="BF157" s="363">
        <f t="shared" si="333"/>
        <v>0</v>
      </c>
      <c r="BG157" s="363">
        <f t="shared" si="333"/>
        <v>0</v>
      </c>
      <c r="BH157" s="369">
        <f t="shared" si="333"/>
        <v>0</v>
      </c>
      <c r="BI157" s="367">
        <f t="shared" si="333"/>
        <v>0</v>
      </c>
      <c r="BJ157" s="363">
        <f t="shared" si="333"/>
        <v>0</v>
      </c>
      <c r="BK157" s="363">
        <f t="shared" si="333"/>
        <v>0</v>
      </c>
      <c r="BL157" s="363">
        <f t="shared" si="333"/>
        <v>0</v>
      </c>
      <c r="BM157" s="363">
        <f t="shared" si="333"/>
        <v>0</v>
      </c>
      <c r="BN157" s="369">
        <f t="shared" si="333"/>
        <v>0</v>
      </c>
      <c r="BO157" s="367">
        <f t="shared" si="333"/>
        <v>0</v>
      </c>
      <c r="BP157" s="363">
        <f t="shared" si="333"/>
        <v>0</v>
      </c>
      <c r="BQ157" s="363">
        <f t="shared" si="333"/>
        <v>0</v>
      </c>
      <c r="BR157" s="363">
        <f t="shared" si="333"/>
        <v>0</v>
      </c>
      <c r="BS157" s="363">
        <f t="shared" si="333"/>
        <v>0</v>
      </c>
      <c r="BT157" s="280">
        <f t="shared" si="333"/>
        <v>0</v>
      </c>
    </row>
    <row r="158" spans="1:72" s="313" customFormat="1" ht="108" customHeight="1" outlineLevel="1">
      <c r="A158" s="287">
        <v>136</v>
      </c>
      <c r="B158" s="936" t="s">
        <v>772</v>
      </c>
      <c r="C158" s="840"/>
      <c r="D158" s="841"/>
      <c r="E158" s="839"/>
      <c r="F158" s="821" t="s">
        <v>7</v>
      </c>
      <c r="G158" s="314">
        <v>4</v>
      </c>
      <c r="H158" s="739" t="s">
        <v>71</v>
      </c>
      <c r="I158" s="739">
        <v>244</v>
      </c>
      <c r="J158" s="740">
        <v>346</v>
      </c>
      <c r="K158" s="533" t="s">
        <v>312</v>
      </c>
      <c r="L158" s="1025">
        <f>65398.55-1050</f>
        <v>64348.55</v>
      </c>
      <c r="M158" s="318"/>
      <c r="N158" s="1069"/>
      <c r="O158" s="1052">
        <f t="shared" ref="O158" si="334">L158+N158</f>
        <v>64348.55</v>
      </c>
      <c r="P158" s="559"/>
      <c r="Q158" s="341">
        <v>0</v>
      </c>
      <c r="R158" s="559"/>
      <c r="S158" s="341">
        <v>0</v>
      </c>
      <c r="T158" s="559"/>
      <c r="U158" s="335"/>
      <c r="V158" s="597" t="s">
        <v>456</v>
      </c>
      <c r="W158" s="597" t="s">
        <v>692</v>
      </c>
      <c r="X158" s="597" t="s">
        <v>691</v>
      </c>
      <c r="Z158" s="336">
        <f t="shared" ref="Z158" si="335">AW158+AY158+BA158</f>
        <v>31640</v>
      </c>
      <c r="AA158" s="337">
        <f t="shared" ref="AA158" si="336">AX158+AZ158+BB158</f>
        <v>31640</v>
      </c>
      <c r="AB158" s="338">
        <f t="shared" ref="AB158" si="337">Z158-AA158</f>
        <v>0</v>
      </c>
      <c r="AC158" s="336">
        <f t="shared" ref="AC158" si="338">BC158+BE158+BG158</f>
        <v>12962.5</v>
      </c>
      <c r="AD158" s="337">
        <f t="shared" ref="AD158" si="339">BD158+BF158+BH158</f>
        <v>0</v>
      </c>
      <c r="AE158" s="338">
        <f t="shared" ref="AE158" si="340">AC158-AD158</f>
        <v>12962.5</v>
      </c>
      <c r="AF158" s="336">
        <f t="shared" ref="AF158" si="341">BI158+BK158+BM158</f>
        <v>0</v>
      </c>
      <c r="AG158" s="337">
        <f t="shared" ref="AG158" si="342">BJ158+BL158+BN158</f>
        <v>0</v>
      </c>
      <c r="AH158" s="338">
        <f t="shared" ref="AH158" si="343">AF158-AG158</f>
        <v>0</v>
      </c>
      <c r="AI158" s="336">
        <f t="shared" ref="AI158" si="344">BO158+BQ158+BS158</f>
        <v>0</v>
      </c>
      <c r="AJ158" s="337">
        <f t="shared" ref="AJ158" si="345">BP158+BR158+BT158</f>
        <v>0</v>
      </c>
      <c r="AK158" s="338">
        <f t="shared" ref="AK158" si="346">AI158-AJ158</f>
        <v>0</v>
      </c>
      <c r="AL158" s="342"/>
      <c r="AM158" s="336">
        <f t="shared" ref="AM158" si="347">Z158+AC158</f>
        <v>44602.5</v>
      </c>
      <c r="AN158" s="339">
        <f t="shared" ref="AN158" si="348">AA158+AD158</f>
        <v>31640</v>
      </c>
      <c r="AO158" s="340">
        <f t="shared" ref="AO158" si="349">AM158-AN158</f>
        <v>12962.5</v>
      </c>
      <c r="AP158" s="336">
        <f t="shared" ref="AP158" si="350">Z158+AC158+AF158</f>
        <v>44602.5</v>
      </c>
      <c r="AQ158" s="339">
        <f t="shared" ref="AQ158" si="351">AA158+AD158+AG158</f>
        <v>31640</v>
      </c>
      <c r="AR158" s="340">
        <f t="shared" ref="AR158" si="352">AP158-AQ158</f>
        <v>12962.5</v>
      </c>
      <c r="AS158" s="341">
        <f t="shared" ref="AS158" si="353">Z158+AC158+AF158+AI158</f>
        <v>44602.5</v>
      </c>
      <c r="AT158" s="339">
        <f t="shared" ref="AT158" si="354">AA158+AD158+AG158+AJ158</f>
        <v>31640</v>
      </c>
      <c r="AU158" s="340">
        <f t="shared" ref="AU158" si="355">AS158-AT158</f>
        <v>12962.5</v>
      </c>
      <c r="AV158" s="589">
        <f t="shared" ref="AV158" si="356">L158-AS158</f>
        <v>19746.05</v>
      </c>
      <c r="AW158" s="343"/>
      <c r="AX158" s="1098"/>
      <c r="AY158" s="345">
        <v>31640</v>
      </c>
      <c r="AZ158" s="1098">
        <v>31640</v>
      </c>
      <c r="BA158" s="345"/>
      <c r="BB158" s="1120"/>
      <c r="BC158" s="347">
        <f>12962.5</f>
        <v>12962.5</v>
      </c>
      <c r="BD158" s="348"/>
      <c r="BE158" s="419"/>
      <c r="BF158" s="348"/>
      <c r="BG158" s="349"/>
      <c r="BH158" s="350"/>
      <c r="BI158" s="351"/>
      <c r="BJ158" s="352"/>
      <c r="BK158" s="337"/>
      <c r="BL158" s="352"/>
      <c r="BM158" s="337"/>
      <c r="BN158" s="353"/>
      <c r="BO158" s="354"/>
      <c r="BP158" s="355"/>
      <c r="BQ158" s="356"/>
      <c r="BR158" s="355"/>
      <c r="BS158" s="356"/>
      <c r="BT158" s="357"/>
    </row>
    <row r="159" spans="1:72" s="1087" customFormat="1" ht="38.25" outlineLevel="1">
      <c r="A159" s="1070">
        <v>136</v>
      </c>
      <c r="B159" s="1095" t="s">
        <v>716</v>
      </c>
      <c r="C159" s="1071"/>
      <c r="D159" s="1072"/>
      <c r="E159" s="1073"/>
      <c r="F159" s="1074" t="s">
        <v>7</v>
      </c>
      <c r="G159" s="1075">
        <v>4</v>
      </c>
      <c r="H159" s="1076" t="s">
        <v>71</v>
      </c>
      <c r="I159" s="1076">
        <v>244</v>
      </c>
      <c r="J159" s="1077">
        <v>346</v>
      </c>
      <c r="K159" s="1078" t="s">
        <v>715</v>
      </c>
      <c r="L159" s="1079">
        <v>0</v>
      </c>
      <c r="M159" s="1080"/>
      <c r="N159" s="1081"/>
      <c r="O159" s="1082">
        <f t="shared" ref="O159" si="357">L159+N159</f>
        <v>0</v>
      </c>
      <c r="P159" s="1083"/>
      <c r="Q159" s="1084">
        <v>0</v>
      </c>
      <c r="R159" s="1083"/>
      <c r="S159" s="1084">
        <v>0</v>
      </c>
      <c r="T159" s="1083"/>
      <c r="U159" s="1085"/>
      <c r="V159" s="1086" t="s">
        <v>718</v>
      </c>
      <c r="W159" s="1086"/>
      <c r="X159" s="1086"/>
      <c r="Z159" s="1088">
        <f t="shared" ref="Z159" si="358">AW159+AY159+BA159</f>
        <v>0</v>
      </c>
      <c r="AA159" s="1089">
        <f t="shared" ref="AA159" si="359">AX159+AZ159+BB159</f>
        <v>0</v>
      </c>
      <c r="AB159" s="1090">
        <f t="shared" ref="AB159" si="360">Z159-AA159</f>
        <v>0</v>
      </c>
      <c r="AC159" s="1088">
        <f t="shared" ref="AC159" si="361">BC159+BE159+BG159</f>
        <v>0</v>
      </c>
      <c r="AD159" s="1089">
        <f t="shared" ref="AD159" si="362">BD159+BF159+BH159</f>
        <v>0</v>
      </c>
      <c r="AE159" s="1090">
        <f t="shared" ref="AE159" si="363">AC159-AD159</f>
        <v>0</v>
      </c>
      <c r="AF159" s="1088">
        <f t="shared" ref="AF159" si="364">BI159+BK159+BM159</f>
        <v>0</v>
      </c>
      <c r="AG159" s="1089">
        <f t="shared" ref="AG159" si="365">BJ159+BL159+BN159</f>
        <v>0</v>
      </c>
      <c r="AH159" s="1090">
        <f t="shared" ref="AH159" si="366">AF159-AG159</f>
        <v>0</v>
      </c>
      <c r="AI159" s="1088">
        <f t="shared" ref="AI159" si="367">BO159+BQ159+BS159</f>
        <v>0</v>
      </c>
      <c r="AJ159" s="1089">
        <f t="shared" ref="AJ159" si="368">BP159+BR159+BT159</f>
        <v>0</v>
      </c>
      <c r="AK159" s="1090">
        <f t="shared" ref="AK159" si="369">AI159-AJ159</f>
        <v>0</v>
      </c>
      <c r="AL159" s="1091"/>
      <c r="AM159" s="1088">
        <f t="shared" ref="AM159" si="370">Z159+AC159</f>
        <v>0</v>
      </c>
      <c r="AN159" s="1089">
        <f t="shared" ref="AN159" si="371">AA159+AD159</f>
        <v>0</v>
      </c>
      <c r="AO159" s="1090">
        <f t="shared" ref="AO159" si="372">AM159-AN159</f>
        <v>0</v>
      </c>
      <c r="AP159" s="1088">
        <f t="shared" ref="AP159" si="373">Z159+AC159+AF159</f>
        <v>0</v>
      </c>
      <c r="AQ159" s="1089">
        <f t="shared" ref="AQ159" si="374">AA159+AD159+AG159</f>
        <v>0</v>
      </c>
      <c r="AR159" s="1090">
        <f t="shared" ref="AR159" si="375">AP159-AQ159</f>
        <v>0</v>
      </c>
      <c r="AS159" s="1084">
        <f t="shared" ref="AS159" si="376">Z159+AC159+AF159+AI159</f>
        <v>0</v>
      </c>
      <c r="AT159" s="1089">
        <f t="shared" ref="AT159" si="377">AA159+AD159+AG159+AJ159</f>
        <v>0</v>
      </c>
      <c r="AU159" s="1090">
        <f t="shared" ref="AU159" si="378">AS159-AT159</f>
        <v>0</v>
      </c>
      <c r="AV159" s="1092">
        <f t="shared" ref="AV159" si="379">L159-AS159</f>
        <v>0</v>
      </c>
      <c r="AW159" s="1088"/>
      <c r="AX159" s="1112"/>
      <c r="AY159" s="1089"/>
      <c r="AZ159" s="1112"/>
      <c r="BA159" s="1089"/>
      <c r="BB159" s="1130"/>
      <c r="BC159" s="1088"/>
      <c r="BD159" s="1089"/>
      <c r="BE159" s="1089"/>
      <c r="BF159" s="1089"/>
      <c r="BG159" s="1089"/>
      <c r="BH159" s="1093"/>
      <c r="BI159" s="1088"/>
      <c r="BJ159" s="1089"/>
      <c r="BK159" s="1089"/>
      <c r="BL159" s="1089"/>
      <c r="BM159" s="1089"/>
      <c r="BN159" s="1093"/>
      <c r="BO159" s="1088"/>
      <c r="BP159" s="1089"/>
      <c r="BQ159" s="1089"/>
      <c r="BR159" s="1089"/>
      <c r="BS159" s="1089"/>
      <c r="BT159" s="1090"/>
    </row>
    <row r="160" spans="1:72" s="313" customFormat="1" ht="25.5" outlineLevel="1">
      <c r="A160" s="287">
        <v>137</v>
      </c>
      <c r="B160" s="1148" t="s">
        <v>717</v>
      </c>
      <c r="C160" s="840"/>
      <c r="D160" s="841"/>
      <c r="E160" s="839"/>
      <c r="F160" s="821" t="s">
        <v>7</v>
      </c>
      <c r="G160" s="314">
        <v>4</v>
      </c>
      <c r="H160" s="739" t="s">
        <v>71</v>
      </c>
      <c r="I160" s="739">
        <v>244</v>
      </c>
      <c r="J160" s="740">
        <v>346</v>
      </c>
      <c r="K160" s="533" t="s">
        <v>667</v>
      </c>
      <c r="L160" s="1025">
        <v>1050</v>
      </c>
      <c r="M160" s="318"/>
      <c r="N160" s="1069"/>
      <c r="O160" s="1052">
        <f t="shared" si="142"/>
        <v>1050</v>
      </c>
      <c r="P160" s="559"/>
      <c r="Q160" s="341">
        <v>0</v>
      </c>
      <c r="R160" s="559"/>
      <c r="S160" s="341">
        <v>0</v>
      </c>
      <c r="T160" s="559"/>
      <c r="U160" s="335"/>
      <c r="V160" s="597" t="s">
        <v>665</v>
      </c>
      <c r="W160" s="597" t="s">
        <v>666</v>
      </c>
      <c r="X160" s="597"/>
      <c r="Z160" s="336">
        <f t="shared" si="324"/>
        <v>1050</v>
      </c>
      <c r="AA160" s="337">
        <f t="shared" si="324"/>
        <v>1050</v>
      </c>
      <c r="AB160" s="338">
        <f t="shared" si="133"/>
        <v>0</v>
      </c>
      <c r="AC160" s="336">
        <f t="shared" si="325"/>
        <v>0</v>
      </c>
      <c r="AD160" s="337">
        <f t="shared" si="325"/>
        <v>0</v>
      </c>
      <c r="AE160" s="338">
        <f t="shared" si="134"/>
        <v>0</v>
      </c>
      <c r="AF160" s="336">
        <f t="shared" si="326"/>
        <v>0</v>
      </c>
      <c r="AG160" s="337">
        <f t="shared" si="326"/>
        <v>0</v>
      </c>
      <c r="AH160" s="338">
        <f t="shared" si="135"/>
        <v>0</v>
      </c>
      <c r="AI160" s="336">
        <f t="shared" si="327"/>
        <v>0</v>
      </c>
      <c r="AJ160" s="337">
        <f t="shared" si="327"/>
        <v>0</v>
      </c>
      <c r="AK160" s="338">
        <f t="shared" si="136"/>
        <v>0</v>
      </c>
      <c r="AL160" s="342"/>
      <c r="AM160" s="336">
        <f t="shared" si="328"/>
        <v>1050</v>
      </c>
      <c r="AN160" s="339">
        <f t="shared" si="328"/>
        <v>1050</v>
      </c>
      <c r="AO160" s="340">
        <f t="shared" si="137"/>
        <v>0</v>
      </c>
      <c r="AP160" s="336">
        <f t="shared" si="329"/>
        <v>1050</v>
      </c>
      <c r="AQ160" s="339">
        <f t="shared" si="329"/>
        <v>1050</v>
      </c>
      <c r="AR160" s="340">
        <f t="shared" si="138"/>
        <v>0</v>
      </c>
      <c r="AS160" s="341">
        <f t="shared" si="176"/>
        <v>1050</v>
      </c>
      <c r="AT160" s="339">
        <f t="shared" si="176"/>
        <v>1050</v>
      </c>
      <c r="AU160" s="340">
        <f t="shared" si="139"/>
        <v>0</v>
      </c>
      <c r="AV160" s="589">
        <f t="shared" si="140"/>
        <v>0</v>
      </c>
      <c r="AW160" s="343">
        <v>1050</v>
      </c>
      <c r="AX160" s="1098">
        <v>1050</v>
      </c>
      <c r="AY160" s="345"/>
      <c r="AZ160" s="1098"/>
      <c r="BA160" s="345"/>
      <c r="BB160" s="1120"/>
      <c r="BC160" s="347"/>
      <c r="BD160" s="348"/>
      <c r="BE160" s="349"/>
      <c r="BF160" s="348"/>
      <c r="BG160" s="349"/>
      <c r="BH160" s="350"/>
      <c r="BI160" s="351"/>
      <c r="BJ160" s="352"/>
      <c r="BK160" s="337"/>
      <c r="BL160" s="352"/>
      <c r="BM160" s="337"/>
      <c r="BN160" s="353"/>
      <c r="BO160" s="354"/>
      <c r="BP160" s="355"/>
      <c r="BQ160" s="356"/>
      <c r="BR160" s="355"/>
      <c r="BS160" s="356"/>
      <c r="BT160" s="357"/>
    </row>
    <row r="161" spans="1:72" s="358" customFormat="1" ht="31.5">
      <c r="A161" s="287">
        <v>138</v>
      </c>
      <c r="B161" s="933"/>
      <c r="C161" s="837"/>
      <c r="D161" s="838"/>
      <c r="E161" s="836" t="s">
        <v>201</v>
      </c>
      <c r="F161" s="820" t="s">
        <v>7</v>
      </c>
      <c r="G161" s="360">
        <v>4</v>
      </c>
      <c r="H161" s="360" t="s">
        <v>71</v>
      </c>
      <c r="I161" s="360">
        <v>244</v>
      </c>
      <c r="J161" s="489">
        <v>345</v>
      </c>
      <c r="K161" s="532" t="s">
        <v>311</v>
      </c>
      <c r="L161" s="1023">
        <v>12502</v>
      </c>
      <c r="M161" s="363"/>
      <c r="N161" s="363"/>
      <c r="O161" s="1051">
        <f t="shared" si="142"/>
        <v>12502</v>
      </c>
      <c r="P161" s="557"/>
      <c r="Q161" s="367">
        <v>0</v>
      </c>
      <c r="R161" s="557"/>
      <c r="S161" s="367">
        <v>0</v>
      </c>
      <c r="T161" s="557"/>
      <c r="U161" s="365"/>
      <c r="V161" s="320"/>
      <c r="W161" s="320"/>
      <c r="X161" s="320"/>
      <c r="Z161" s="367">
        <f t="shared" si="324"/>
        <v>0</v>
      </c>
      <c r="AA161" s="363">
        <f t="shared" si="324"/>
        <v>0</v>
      </c>
      <c r="AB161" s="280">
        <f t="shared" si="133"/>
        <v>0</v>
      </c>
      <c r="AC161" s="367">
        <f t="shared" si="325"/>
        <v>0</v>
      </c>
      <c r="AD161" s="363">
        <f t="shared" si="325"/>
        <v>0</v>
      </c>
      <c r="AE161" s="280">
        <f t="shared" si="134"/>
        <v>0</v>
      </c>
      <c r="AF161" s="367">
        <f t="shared" si="326"/>
        <v>0</v>
      </c>
      <c r="AG161" s="363">
        <f t="shared" si="326"/>
        <v>0</v>
      </c>
      <c r="AH161" s="280">
        <f t="shared" si="135"/>
        <v>0</v>
      </c>
      <c r="AI161" s="367">
        <f t="shared" si="327"/>
        <v>12502</v>
      </c>
      <c r="AJ161" s="363">
        <f t="shared" si="327"/>
        <v>0</v>
      </c>
      <c r="AK161" s="280">
        <f t="shared" si="136"/>
        <v>12502</v>
      </c>
      <c r="AL161" s="368"/>
      <c r="AM161" s="367">
        <f t="shared" si="328"/>
        <v>0</v>
      </c>
      <c r="AN161" s="363">
        <f t="shared" si="328"/>
        <v>0</v>
      </c>
      <c r="AO161" s="280">
        <f t="shared" si="137"/>
        <v>0</v>
      </c>
      <c r="AP161" s="367">
        <f t="shared" si="329"/>
        <v>0</v>
      </c>
      <c r="AQ161" s="363">
        <f t="shared" si="329"/>
        <v>0</v>
      </c>
      <c r="AR161" s="280">
        <f t="shared" si="138"/>
        <v>0</v>
      </c>
      <c r="AS161" s="367">
        <f t="shared" si="176"/>
        <v>12502</v>
      </c>
      <c r="AT161" s="363">
        <f t="shared" si="176"/>
        <v>0</v>
      </c>
      <c r="AU161" s="280">
        <f t="shared" si="139"/>
        <v>12502</v>
      </c>
      <c r="AV161" s="588">
        <f t="shared" si="140"/>
        <v>0</v>
      </c>
      <c r="AW161" s="367"/>
      <c r="AX161" s="1097"/>
      <c r="AY161" s="363"/>
      <c r="AZ161" s="1097"/>
      <c r="BA161" s="363"/>
      <c r="BB161" s="1119"/>
      <c r="BC161" s="367"/>
      <c r="BD161" s="363"/>
      <c r="BE161" s="363"/>
      <c r="BF161" s="363"/>
      <c r="BG161" s="363"/>
      <c r="BH161" s="369"/>
      <c r="BI161" s="367"/>
      <c r="BJ161" s="363"/>
      <c r="BK161" s="363"/>
      <c r="BL161" s="363"/>
      <c r="BM161" s="363"/>
      <c r="BN161" s="369"/>
      <c r="BO161" s="367"/>
      <c r="BP161" s="363"/>
      <c r="BQ161" s="363">
        <v>12502</v>
      </c>
      <c r="BR161" s="363"/>
      <c r="BS161" s="363"/>
      <c r="BT161" s="280"/>
    </row>
    <row r="162" spans="1:72" s="358" customFormat="1" ht="31.5">
      <c r="A162" s="287">
        <v>139</v>
      </c>
      <c r="B162" s="933"/>
      <c r="C162" s="837"/>
      <c r="D162" s="853" t="s">
        <v>216</v>
      </c>
      <c r="E162" s="836" t="s">
        <v>201</v>
      </c>
      <c r="F162" s="820" t="s">
        <v>7</v>
      </c>
      <c r="G162" s="360">
        <v>4</v>
      </c>
      <c r="H162" s="360" t="s">
        <v>71</v>
      </c>
      <c r="I162" s="360">
        <v>851</v>
      </c>
      <c r="J162" s="361">
        <v>291</v>
      </c>
      <c r="K162" s="532" t="s">
        <v>28</v>
      </c>
      <c r="L162" s="1023">
        <f>119325-19888</f>
        <v>99437</v>
      </c>
      <c r="M162" s="363"/>
      <c r="N162" s="363"/>
      <c r="O162" s="1051">
        <f t="shared" ref="O162:O169" si="380">L162+N162</f>
        <v>99437</v>
      </c>
      <c r="P162" s="557"/>
      <c r="Q162" s="367">
        <v>0</v>
      </c>
      <c r="R162" s="557"/>
      <c r="S162" s="367">
        <v>0</v>
      </c>
      <c r="T162" s="557"/>
      <c r="U162" s="365"/>
      <c r="V162" s="366"/>
      <c r="W162" s="366"/>
      <c r="X162" s="366"/>
      <c r="Z162" s="367">
        <f t="shared" si="324"/>
        <v>99437</v>
      </c>
      <c r="AA162" s="363">
        <f t="shared" si="324"/>
        <v>99437</v>
      </c>
      <c r="AB162" s="280">
        <f t="shared" si="133"/>
        <v>0</v>
      </c>
      <c r="AC162" s="367">
        <f t="shared" si="325"/>
        <v>0</v>
      </c>
      <c r="AD162" s="363">
        <f t="shared" si="325"/>
        <v>0</v>
      </c>
      <c r="AE162" s="280">
        <f t="shared" si="134"/>
        <v>0</v>
      </c>
      <c r="AF162" s="367">
        <f t="shared" si="326"/>
        <v>0</v>
      </c>
      <c r="AG162" s="363">
        <f t="shared" si="326"/>
        <v>0</v>
      </c>
      <c r="AH162" s="280">
        <f t="shared" si="135"/>
        <v>0</v>
      </c>
      <c r="AI162" s="367">
        <f t="shared" si="327"/>
        <v>0</v>
      </c>
      <c r="AJ162" s="363">
        <f t="shared" si="327"/>
        <v>0</v>
      </c>
      <c r="AK162" s="280">
        <f t="shared" si="136"/>
        <v>0</v>
      </c>
      <c r="AL162" s="368"/>
      <c r="AM162" s="367">
        <f t="shared" si="328"/>
        <v>99437</v>
      </c>
      <c r="AN162" s="363">
        <f t="shared" si="328"/>
        <v>99437</v>
      </c>
      <c r="AO162" s="280">
        <f t="shared" si="137"/>
        <v>0</v>
      </c>
      <c r="AP162" s="367">
        <f t="shared" si="329"/>
        <v>99437</v>
      </c>
      <c r="AQ162" s="363">
        <f t="shared" si="329"/>
        <v>99437</v>
      </c>
      <c r="AR162" s="280">
        <f t="shared" si="138"/>
        <v>0</v>
      </c>
      <c r="AS162" s="367">
        <f t="shared" si="176"/>
        <v>99437</v>
      </c>
      <c r="AT162" s="363">
        <f t="shared" si="176"/>
        <v>99437</v>
      </c>
      <c r="AU162" s="280">
        <f t="shared" si="139"/>
        <v>0</v>
      </c>
      <c r="AV162" s="588">
        <f t="shared" si="140"/>
        <v>0</v>
      </c>
      <c r="AW162" s="367"/>
      <c r="AX162" s="1097"/>
      <c r="AY162" s="363"/>
      <c r="AZ162" s="1097"/>
      <c r="BA162" s="363">
        <v>99437</v>
      </c>
      <c r="BB162" s="1119">
        <v>99437</v>
      </c>
      <c r="BC162" s="367"/>
      <c r="BD162" s="363"/>
      <c r="BE162" s="363"/>
      <c r="BF162" s="363"/>
      <c r="BG162" s="363"/>
      <c r="BH162" s="369"/>
      <c r="BI162" s="367"/>
      <c r="BJ162" s="363"/>
      <c r="BK162" s="363"/>
      <c r="BL162" s="363"/>
      <c r="BM162" s="363"/>
      <c r="BN162" s="369"/>
      <c r="BO162" s="367"/>
      <c r="BP162" s="363"/>
      <c r="BQ162" s="363"/>
      <c r="BR162" s="363"/>
      <c r="BS162" s="363"/>
      <c r="BT162" s="280"/>
    </row>
    <row r="163" spans="1:72" s="358" customFormat="1" ht="31.5">
      <c r="A163" s="287">
        <v>140</v>
      </c>
      <c r="B163" s="933"/>
      <c r="C163" s="837"/>
      <c r="D163" s="838"/>
      <c r="E163" s="836" t="s">
        <v>201</v>
      </c>
      <c r="F163" s="820" t="s">
        <v>7</v>
      </c>
      <c r="G163" s="360">
        <v>4</v>
      </c>
      <c r="H163" s="360" t="s">
        <v>71</v>
      </c>
      <c r="I163" s="360">
        <v>853</v>
      </c>
      <c r="J163" s="361">
        <v>297</v>
      </c>
      <c r="K163" s="532" t="s">
        <v>38</v>
      </c>
      <c r="L163" s="1042">
        <v>47779.58</v>
      </c>
      <c r="M163" s="363"/>
      <c r="N163" s="363"/>
      <c r="O163" s="1051">
        <f t="shared" si="380"/>
        <v>47779.58</v>
      </c>
      <c r="P163" s="557">
        <f>62938.83-L163-L242</f>
        <v>7733.24</v>
      </c>
      <c r="Q163" s="585">
        <v>26356.95</v>
      </c>
      <c r="R163" s="585"/>
      <c r="S163" s="585">
        <v>26256.63</v>
      </c>
      <c r="T163" s="557"/>
      <c r="U163" s="365"/>
      <c r="V163" s="366"/>
      <c r="W163" s="366"/>
      <c r="X163" s="366"/>
      <c r="Z163" s="367">
        <f t="shared" si="324"/>
        <v>0</v>
      </c>
      <c r="AA163" s="363">
        <f t="shared" si="324"/>
        <v>0</v>
      </c>
      <c r="AB163" s="280">
        <f t="shared" si="133"/>
        <v>0</v>
      </c>
      <c r="AC163" s="367">
        <f t="shared" si="325"/>
        <v>0</v>
      </c>
      <c r="AD163" s="363">
        <f t="shared" si="325"/>
        <v>0</v>
      </c>
      <c r="AE163" s="280">
        <f t="shared" si="134"/>
        <v>0</v>
      </c>
      <c r="AF163" s="367">
        <f t="shared" si="326"/>
        <v>0</v>
      </c>
      <c r="AG163" s="363">
        <f t="shared" si="326"/>
        <v>0</v>
      </c>
      <c r="AH163" s="280">
        <f t="shared" si="135"/>
        <v>0</v>
      </c>
      <c r="AI163" s="367">
        <f t="shared" si="327"/>
        <v>47779.58</v>
      </c>
      <c r="AJ163" s="363">
        <f t="shared" si="327"/>
        <v>0</v>
      </c>
      <c r="AK163" s="280">
        <f t="shared" si="136"/>
        <v>47779.58</v>
      </c>
      <c r="AL163" s="368"/>
      <c r="AM163" s="367">
        <f t="shared" si="328"/>
        <v>0</v>
      </c>
      <c r="AN163" s="363">
        <f t="shared" si="328"/>
        <v>0</v>
      </c>
      <c r="AO163" s="280">
        <f t="shared" si="137"/>
        <v>0</v>
      </c>
      <c r="AP163" s="367">
        <f t="shared" si="329"/>
        <v>0</v>
      </c>
      <c r="AQ163" s="363">
        <f t="shared" si="329"/>
        <v>0</v>
      </c>
      <c r="AR163" s="280">
        <f t="shared" si="138"/>
        <v>0</v>
      </c>
      <c r="AS163" s="367">
        <f t="shared" si="176"/>
        <v>47779.58</v>
      </c>
      <c r="AT163" s="363">
        <f t="shared" si="176"/>
        <v>0</v>
      </c>
      <c r="AU163" s="280">
        <f t="shared" si="139"/>
        <v>47779.58</v>
      </c>
      <c r="AV163" s="588">
        <f t="shared" si="140"/>
        <v>0</v>
      </c>
      <c r="AW163" s="367"/>
      <c r="AX163" s="1097"/>
      <c r="AY163" s="363"/>
      <c r="AZ163" s="1097"/>
      <c r="BA163" s="363"/>
      <c r="BB163" s="1119"/>
      <c r="BC163" s="367"/>
      <c r="BD163" s="363"/>
      <c r="BE163" s="363"/>
      <c r="BF163" s="363"/>
      <c r="BG163" s="363"/>
      <c r="BH163" s="369"/>
      <c r="BI163" s="367"/>
      <c r="BJ163" s="363"/>
      <c r="BK163" s="363"/>
      <c r="BL163" s="363"/>
      <c r="BM163" s="363"/>
      <c r="BN163" s="369"/>
      <c r="BO163" s="367"/>
      <c r="BP163" s="363"/>
      <c r="BQ163" s="363"/>
      <c r="BR163" s="363"/>
      <c r="BS163" s="363">
        <v>47779.58</v>
      </c>
      <c r="BT163" s="280"/>
    </row>
    <row r="164" spans="1:72" s="358" customFormat="1" ht="63">
      <c r="A164" s="287">
        <v>141</v>
      </c>
      <c r="B164" s="933"/>
      <c r="C164" s="837" t="s">
        <v>377</v>
      </c>
      <c r="D164" s="838"/>
      <c r="E164" s="836" t="s">
        <v>201</v>
      </c>
      <c r="F164" s="830" t="s">
        <v>30</v>
      </c>
      <c r="G164" s="360">
        <v>4</v>
      </c>
      <c r="H164" s="506" t="s">
        <v>47</v>
      </c>
      <c r="I164" s="360">
        <v>244</v>
      </c>
      <c r="J164" s="361">
        <v>310</v>
      </c>
      <c r="K164" s="362" t="s">
        <v>790</v>
      </c>
      <c r="L164" s="1023">
        <f>L165</f>
        <v>306800</v>
      </c>
      <c r="M164" s="363"/>
      <c r="N164" s="363">
        <f>N165</f>
        <v>34100</v>
      </c>
      <c r="O164" s="1051">
        <f t="shared" si="380"/>
        <v>340900</v>
      </c>
      <c r="P164" s="557"/>
      <c r="Q164" s="367">
        <v>0</v>
      </c>
      <c r="R164" s="557"/>
      <c r="S164" s="367">
        <v>0</v>
      </c>
      <c r="T164" s="557"/>
      <c r="U164" s="365"/>
      <c r="V164" s="366"/>
      <c r="W164" s="366"/>
      <c r="X164" s="366"/>
      <c r="Z164" s="367">
        <f t="shared" si="324"/>
        <v>0</v>
      </c>
      <c r="AA164" s="363">
        <f t="shared" si="324"/>
        <v>0</v>
      </c>
      <c r="AB164" s="280">
        <f t="shared" si="133"/>
        <v>0</v>
      </c>
      <c r="AC164" s="367">
        <f t="shared" si="325"/>
        <v>306800</v>
      </c>
      <c r="AD164" s="363">
        <f t="shared" si="325"/>
        <v>0</v>
      </c>
      <c r="AE164" s="280">
        <f t="shared" si="134"/>
        <v>306800</v>
      </c>
      <c r="AF164" s="367">
        <f t="shared" si="326"/>
        <v>0</v>
      </c>
      <c r="AG164" s="363">
        <f t="shared" si="326"/>
        <v>0</v>
      </c>
      <c r="AH164" s="280">
        <f t="shared" si="135"/>
        <v>0</v>
      </c>
      <c r="AI164" s="367">
        <f t="shared" si="327"/>
        <v>0</v>
      </c>
      <c r="AJ164" s="363">
        <f t="shared" si="327"/>
        <v>0</v>
      </c>
      <c r="AK164" s="280">
        <f t="shared" si="136"/>
        <v>0</v>
      </c>
      <c r="AL164" s="368"/>
      <c r="AM164" s="367">
        <f t="shared" si="328"/>
        <v>306800</v>
      </c>
      <c r="AN164" s="363">
        <f t="shared" si="328"/>
        <v>0</v>
      </c>
      <c r="AO164" s="280">
        <f t="shared" si="137"/>
        <v>306800</v>
      </c>
      <c r="AP164" s="367">
        <f t="shared" si="329"/>
        <v>306800</v>
      </c>
      <c r="AQ164" s="363">
        <f t="shared" si="329"/>
        <v>0</v>
      </c>
      <c r="AR164" s="280">
        <f t="shared" si="138"/>
        <v>306800</v>
      </c>
      <c r="AS164" s="367">
        <f t="shared" si="176"/>
        <v>306800</v>
      </c>
      <c r="AT164" s="363">
        <f t="shared" si="176"/>
        <v>0</v>
      </c>
      <c r="AU164" s="280">
        <f t="shared" si="139"/>
        <v>306800</v>
      </c>
      <c r="AV164" s="588">
        <f t="shared" si="140"/>
        <v>0</v>
      </c>
      <c r="AW164" s="367">
        <f t="shared" ref="AW164:BT164" si="381">SUM(AW165:AW165)</f>
        <v>0</v>
      </c>
      <c r="AX164" s="1097">
        <f t="shared" si="381"/>
        <v>0</v>
      </c>
      <c r="AY164" s="363">
        <f t="shared" si="381"/>
        <v>0</v>
      </c>
      <c r="AZ164" s="1097">
        <f t="shared" si="381"/>
        <v>0</v>
      </c>
      <c r="BA164" s="363">
        <f t="shared" si="381"/>
        <v>0</v>
      </c>
      <c r="BB164" s="1119">
        <f t="shared" si="381"/>
        <v>0</v>
      </c>
      <c r="BC164" s="367">
        <f t="shared" si="381"/>
        <v>0</v>
      </c>
      <c r="BD164" s="363">
        <f t="shared" si="381"/>
        <v>0</v>
      </c>
      <c r="BE164" s="363">
        <f t="shared" si="381"/>
        <v>0</v>
      </c>
      <c r="BF164" s="363">
        <f t="shared" si="381"/>
        <v>0</v>
      </c>
      <c r="BG164" s="363">
        <f t="shared" si="381"/>
        <v>306800</v>
      </c>
      <c r="BH164" s="369">
        <f t="shared" si="381"/>
        <v>0</v>
      </c>
      <c r="BI164" s="367">
        <f t="shared" si="381"/>
        <v>0</v>
      </c>
      <c r="BJ164" s="363">
        <f t="shared" si="381"/>
        <v>0</v>
      </c>
      <c r="BK164" s="363">
        <f t="shared" si="381"/>
        <v>0</v>
      </c>
      <c r="BL164" s="363">
        <f t="shared" si="381"/>
        <v>0</v>
      </c>
      <c r="BM164" s="363">
        <f t="shared" si="381"/>
        <v>0</v>
      </c>
      <c r="BN164" s="369">
        <f t="shared" si="381"/>
        <v>0</v>
      </c>
      <c r="BO164" s="367">
        <f t="shared" si="381"/>
        <v>0</v>
      </c>
      <c r="BP164" s="363">
        <f t="shared" si="381"/>
        <v>0</v>
      </c>
      <c r="BQ164" s="363">
        <f t="shared" si="381"/>
        <v>0</v>
      </c>
      <c r="BR164" s="363">
        <f t="shared" si="381"/>
        <v>0</v>
      </c>
      <c r="BS164" s="363">
        <f t="shared" si="381"/>
        <v>0</v>
      </c>
      <c r="BT164" s="280">
        <f t="shared" si="381"/>
        <v>0</v>
      </c>
    </row>
    <row r="165" spans="1:72" s="313" customFormat="1" ht="25.5" outlineLevel="1">
      <c r="A165" s="287">
        <v>142</v>
      </c>
      <c r="B165" s="940">
        <v>340900</v>
      </c>
      <c r="C165" s="840"/>
      <c r="D165" s="841"/>
      <c r="E165" s="839"/>
      <c r="F165" s="821" t="s">
        <v>30</v>
      </c>
      <c r="G165" s="314">
        <v>4</v>
      </c>
      <c r="H165" s="739" t="s">
        <v>47</v>
      </c>
      <c r="I165" s="739">
        <v>244</v>
      </c>
      <c r="J165" s="740">
        <v>310</v>
      </c>
      <c r="K165" s="317" t="s">
        <v>303</v>
      </c>
      <c r="L165" s="1029">
        <v>306800</v>
      </c>
      <c r="M165" s="403"/>
      <c r="N165" s="403">
        <v>34100</v>
      </c>
      <c r="O165" s="1063">
        <f t="shared" si="380"/>
        <v>340900</v>
      </c>
      <c r="P165" s="566"/>
      <c r="Q165" s="406">
        <v>0</v>
      </c>
      <c r="R165" s="566"/>
      <c r="S165" s="406">
        <v>0</v>
      </c>
      <c r="T165" s="566"/>
      <c r="U165" s="335"/>
      <c r="V165" s="320"/>
      <c r="W165" s="320"/>
      <c r="X165" s="320"/>
      <c r="Z165" s="336">
        <f t="shared" si="324"/>
        <v>0</v>
      </c>
      <c r="AA165" s="337">
        <f t="shared" si="324"/>
        <v>0</v>
      </c>
      <c r="AB165" s="338">
        <f t="shared" si="133"/>
        <v>0</v>
      </c>
      <c r="AC165" s="336">
        <f t="shared" si="325"/>
        <v>306800</v>
      </c>
      <c r="AD165" s="337">
        <f t="shared" si="325"/>
        <v>0</v>
      </c>
      <c r="AE165" s="338">
        <f t="shared" si="134"/>
        <v>306800</v>
      </c>
      <c r="AF165" s="336">
        <f t="shared" si="326"/>
        <v>0</v>
      </c>
      <c r="AG165" s="337">
        <f t="shared" si="326"/>
        <v>0</v>
      </c>
      <c r="AH165" s="338">
        <f t="shared" si="135"/>
        <v>0</v>
      </c>
      <c r="AI165" s="336">
        <f t="shared" si="327"/>
        <v>0</v>
      </c>
      <c r="AJ165" s="337">
        <f t="shared" si="327"/>
        <v>0</v>
      </c>
      <c r="AK165" s="338">
        <f t="shared" si="136"/>
        <v>0</v>
      </c>
      <c r="AL165" s="342"/>
      <c r="AM165" s="336">
        <f t="shared" si="328"/>
        <v>306800</v>
      </c>
      <c r="AN165" s="339">
        <f t="shared" si="328"/>
        <v>0</v>
      </c>
      <c r="AO165" s="340">
        <f t="shared" si="137"/>
        <v>306800</v>
      </c>
      <c r="AP165" s="336">
        <f t="shared" si="329"/>
        <v>306800</v>
      </c>
      <c r="AQ165" s="339">
        <f t="shared" si="329"/>
        <v>0</v>
      </c>
      <c r="AR165" s="340">
        <f t="shared" si="138"/>
        <v>306800</v>
      </c>
      <c r="AS165" s="341">
        <f t="shared" si="176"/>
        <v>306800</v>
      </c>
      <c r="AT165" s="339">
        <f t="shared" si="176"/>
        <v>0</v>
      </c>
      <c r="AU165" s="340">
        <f t="shared" si="139"/>
        <v>306800</v>
      </c>
      <c r="AV165" s="589">
        <f t="shared" si="140"/>
        <v>0</v>
      </c>
      <c r="AW165" s="343"/>
      <c r="AX165" s="1098"/>
      <c r="AY165" s="345"/>
      <c r="AZ165" s="1098"/>
      <c r="BA165" s="345"/>
      <c r="BB165" s="1120"/>
      <c r="BC165" s="347"/>
      <c r="BD165" s="348"/>
      <c r="BE165" s="349"/>
      <c r="BF165" s="348"/>
      <c r="BG165" s="349">
        <v>306800</v>
      </c>
      <c r="BH165" s="350"/>
      <c r="BI165" s="351"/>
      <c r="BJ165" s="352"/>
      <c r="BK165" s="337"/>
      <c r="BL165" s="352"/>
      <c r="BM165" s="337"/>
      <c r="BN165" s="353"/>
      <c r="BO165" s="354"/>
      <c r="BP165" s="355"/>
      <c r="BQ165" s="356"/>
      <c r="BR165" s="355"/>
      <c r="BS165" s="356"/>
      <c r="BT165" s="357"/>
    </row>
    <row r="166" spans="1:72" s="358" customFormat="1" ht="63">
      <c r="A166" s="287">
        <v>143</v>
      </c>
      <c r="B166" s="933"/>
      <c r="C166" s="837" t="s">
        <v>377</v>
      </c>
      <c r="D166" s="838"/>
      <c r="E166" s="836" t="s">
        <v>201</v>
      </c>
      <c r="F166" s="830" t="s">
        <v>31</v>
      </c>
      <c r="G166" s="360">
        <v>4</v>
      </c>
      <c r="H166" s="506" t="s">
        <v>47</v>
      </c>
      <c r="I166" s="360">
        <v>244</v>
      </c>
      <c r="J166" s="361">
        <v>310</v>
      </c>
      <c r="K166" s="362" t="s">
        <v>790</v>
      </c>
      <c r="L166" s="1023">
        <f>L167</f>
        <v>715900</v>
      </c>
      <c r="M166" s="363"/>
      <c r="N166" s="363">
        <f>N167</f>
        <v>79500</v>
      </c>
      <c r="O166" s="1051">
        <f t="shared" si="380"/>
        <v>795400</v>
      </c>
      <c r="P166" s="557"/>
      <c r="Q166" s="367">
        <v>0</v>
      </c>
      <c r="R166" s="557"/>
      <c r="S166" s="367">
        <v>0</v>
      </c>
      <c r="T166" s="557"/>
      <c r="U166" s="365"/>
      <c r="V166" s="366"/>
      <c r="W166" s="366"/>
      <c r="X166" s="366"/>
      <c r="Z166" s="367">
        <f t="shared" si="324"/>
        <v>0</v>
      </c>
      <c r="AA166" s="363">
        <f t="shared" si="324"/>
        <v>0</v>
      </c>
      <c r="AB166" s="280">
        <f t="shared" si="133"/>
        <v>0</v>
      </c>
      <c r="AC166" s="367">
        <f t="shared" si="325"/>
        <v>715900</v>
      </c>
      <c r="AD166" s="363">
        <f t="shared" si="325"/>
        <v>0</v>
      </c>
      <c r="AE166" s="280">
        <f t="shared" si="134"/>
        <v>715900</v>
      </c>
      <c r="AF166" s="367">
        <f t="shared" si="326"/>
        <v>0</v>
      </c>
      <c r="AG166" s="363">
        <f t="shared" si="326"/>
        <v>0</v>
      </c>
      <c r="AH166" s="280">
        <f t="shared" si="135"/>
        <v>0</v>
      </c>
      <c r="AI166" s="367">
        <f t="shared" si="327"/>
        <v>0</v>
      </c>
      <c r="AJ166" s="363">
        <f t="shared" si="327"/>
        <v>0</v>
      </c>
      <c r="AK166" s="280">
        <f t="shared" si="136"/>
        <v>0</v>
      </c>
      <c r="AL166" s="368"/>
      <c r="AM166" s="367">
        <f t="shared" si="328"/>
        <v>715900</v>
      </c>
      <c r="AN166" s="363">
        <f t="shared" si="328"/>
        <v>0</v>
      </c>
      <c r="AO166" s="280">
        <f t="shared" si="137"/>
        <v>715900</v>
      </c>
      <c r="AP166" s="367">
        <f t="shared" si="329"/>
        <v>715900</v>
      </c>
      <c r="AQ166" s="363">
        <f t="shared" si="329"/>
        <v>0</v>
      </c>
      <c r="AR166" s="280">
        <f t="shared" si="138"/>
        <v>715900</v>
      </c>
      <c r="AS166" s="367">
        <f t="shared" si="176"/>
        <v>715900</v>
      </c>
      <c r="AT166" s="363">
        <f t="shared" si="176"/>
        <v>0</v>
      </c>
      <c r="AU166" s="280">
        <f t="shared" si="139"/>
        <v>715900</v>
      </c>
      <c r="AV166" s="588">
        <f t="shared" si="140"/>
        <v>0</v>
      </c>
      <c r="AW166" s="367">
        <f t="shared" ref="AW166:BT166" si="382">SUM(AW167:AW167)</f>
        <v>0</v>
      </c>
      <c r="AX166" s="1097">
        <f t="shared" si="382"/>
        <v>0</v>
      </c>
      <c r="AY166" s="363">
        <f t="shared" si="382"/>
        <v>0</v>
      </c>
      <c r="AZ166" s="1097">
        <f t="shared" si="382"/>
        <v>0</v>
      </c>
      <c r="BA166" s="363">
        <f t="shared" si="382"/>
        <v>0</v>
      </c>
      <c r="BB166" s="1119">
        <f t="shared" si="382"/>
        <v>0</v>
      </c>
      <c r="BC166" s="367">
        <f t="shared" si="382"/>
        <v>0</v>
      </c>
      <c r="BD166" s="363">
        <f t="shared" si="382"/>
        <v>0</v>
      </c>
      <c r="BE166" s="363">
        <f t="shared" si="382"/>
        <v>0</v>
      </c>
      <c r="BF166" s="363">
        <f t="shared" si="382"/>
        <v>0</v>
      </c>
      <c r="BG166" s="363">
        <f t="shared" si="382"/>
        <v>715900</v>
      </c>
      <c r="BH166" s="369">
        <f t="shared" si="382"/>
        <v>0</v>
      </c>
      <c r="BI166" s="367">
        <f t="shared" si="382"/>
        <v>0</v>
      </c>
      <c r="BJ166" s="363">
        <f t="shared" si="382"/>
        <v>0</v>
      </c>
      <c r="BK166" s="363">
        <f t="shared" si="382"/>
        <v>0</v>
      </c>
      <c r="BL166" s="363">
        <f t="shared" si="382"/>
        <v>0</v>
      </c>
      <c r="BM166" s="363">
        <f t="shared" si="382"/>
        <v>0</v>
      </c>
      <c r="BN166" s="369">
        <f t="shared" si="382"/>
        <v>0</v>
      </c>
      <c r="BO166" s="367">
        <f t="shared" si="382"/>
        <v>0</v>
      </c>
      <c r="BP166" s="363">
        <f t="shared" si="382"/>
        <v>0</v>
      </c>
      <c r="BQ166" s="363">
        <f t="shared" si="382"/>
        <v>0</v>
      </c>
      <c r="BR166" s="363">
        <f t="shared" si="382"/>
        <v>0</v>
      </c>
      <c r="BS166" s="363">
        <f t="shared" si="382"/>
        <v>0</v>
      </c>
      <c r="BT166" s="280">
        <f t="shared" si="382"/>
        <v>0</v>
      </c>
    </row>
    <row r="167" spans="1:72" s="313" customFormat="1" ht="25.5" outlineLevel="1">
      <c r="A167" s="287">
        <v>144</v>
      </c>
      <c r="B167" s="940">
        <v>795400</v>
      </c>
      <c r="C167" s="840"/>
      <c r="D167" s="841"/>
      <c r="E167" s="839"/>
      <c r="F167" s="821" t="s">
        <v>31</v>
      </c>
      <c r="G167" s="314">
        <v>4</v>
      </c>
      <c r="H167" s="739" t="s">
        <v>47</v>
      </c>
      <c r="I167" s="739">
        <v>244</v>
      </c>
      <c r="J167" s="740">
        <v>310</v>
      </c>
      <c r="K167" s="317" t="s">
        <v>303</v>
      </c>
      <c r="L167" s="1029">
        <v>715900</v>
      </c>
      <c r="M167" s="403"/>
      <c r="N167" s="403">
        <v>79500</v>
      </c>
      <c r="O167" s="1063">
        <f t="shared" si="380"/>
        <v>795400</v>
      </c>
      <c r="P167" s="566"/>
      <c r="Q167" s="406">
        <v>0</v>
      </c>
      <c r="R167" s="566"/>
      <c r="S167" s="406">
        <v>0</v>
      </c>
      <c r="T167" s="566"/>
      <c r="U167" s="335"/>
      <c r="V167" s="320"/>
      <c r="W167" s="320"/>
      <c r="X167" s="320"/>
      <c r="Z167" s="336">
        <f t="shared" si="324"/>
        <v>0</v>
      </c>
      <c r="AA167" s="337">
        <f t="shared" si="324"/>
        <v>0</v>
      </c>
      <c r="AB167" s="338">
        <f t="shared" si="133"/>
        <v>0</v>
      </c>
      <c r="AC167" s="336">
        <f t="shared" si="325"/>
        <v>715900</v>
      </c>
      <c r="AD167" s="337">
        <f t="shared" si="325"/>
        <v>0</v>
      </c>
      <c r="AE167" s="338">
        <f t="shared" si="134"/>
        <v>715900</v>
      </c>
      <c r="AF167" s="336">
        <f t="shared" si="326"/>
        <v>0</v>
      </c>
      <c r="AG167" s="337">
        <f t="shared" si="326"/>
        <v>0</v>
      </c>
      <c r="AH167" s="338">
        <f t="shared" si="135"/>
        <v>0</v>
      </c>
      <c r="AI167" s="336">
        <f t="shared" si="327"/>
        <v>0</v>
      </c>
      <c r="AJ167" s="337">
        <f t="shared" si="327"/>
        <v>0</v>
      </c>
      <c r="AK167" s="338">
        <f t="shared" si="136"/>
        <v>0</v>
      </c>
      <c r="AL167" s="342"/>
      <c r="AM167" s="336">
        <f t="shared" si="328"/>
        <v>715900</v>
      </c>
      <c r="AN167" s="339">
        <f t="shared" si="328"/>
        <v>0</v>
      </c>
      <c r="AO167" s="340">
        <f t="shared" si="137"/>
        <v>715900</v>
      </c>
      <c r="AP167" s="336">
        <f t="shared" si="329"/>
        <v>715900</v>
      </c>
      <c r="AQ167" s="339">
        <f t="shared" si="329"/>
        <v>0</v>
      </c>
      <c r="AR167" s="340">
        <f t="shared" si="138"/>
        <v>715900</v>
      </c>
      <c r="AS167" s="341">
        <f t="shared" ref="AS167:AT169" si="383">Z167+AC167+AF167+AI167</f>
        <v>715900</v>
      </c>
      <c r="AT167" s="339">
        <f t="shared" si="383"/>
        <v>0</v>
      </c>
      <c r="AU167" s="340">
        <f t="shared" si="139"/>
        <v>715900</v>
      </c>
      <c r="AV167" s="589">
        <f t="shared" si="140"/>
        <v>0</v>
      </c>
      <c r="AW167" s="343"/>
      <c r="AX167" s="1098"/>
      <c r="AY167" s="345"/>
      <c r="AZ167" s="1098"/>
      <c r="BA167" s="345"/>
      <c r="BB167" s="1120"/>
      <c r="BC167" s="347"/>
      <c r="BD167" s="348"/>
      <c r="BE167" s="349"/>
      <c r="BF167" s="348"/>
      <c r="BG167" s="349">
        <v>715900</v>
      </c>
      <c r="BH167" s="350"/>
      <c r="BI167" s="351"/>
      <c r="BJ167" s="352"/>
      <c r="BK167" s="337"/>
      <c r="BL167" s="352"/>
      <c r="BM167" s="337"/>
      <c r="BN167" s="353"/>
      <c r="BO167" s="354"/>
      <c r="BP167" s="355"/>
      <c r="BQ167" s="356"/>
      <c r="BR167" s="355"/>
      <c r="BS167" s="356"/>
      <c r="BT167" s="357"/>
    </row>
    <row r="168" spans="1:72" s="358" customFormat="1" ht="63">
      <c r="A168" s="287">
        <v>145</v>
      </c>
      <c r="B168" s="933"/>
      <c r="C168" s="837" t="s">
        <v>377</v>
      </c>
      <c r="D168" s="838"/>
      <c r="E168" s="836" t="s">
        <v>201</v>
      </c>
      <c r="F168" s="830" t="s">
        <v>7</v>
      </c>
      <c r="G168" s="360">
        <v>4</v>
      </c>
      <c r="H168" s="506" t="s">
        <v>47</v>
      </c>
      <c r="I168" s="360">
        <v>244</v>
      </c>
      <c r="J168" s="361">
        <v>310</v>
      </c>
      <c r="K168" s="362" t="s">
        <v>790</v>
      </c>
      <c r="L168" s="1023">
        <f>L169</f>
        <v>53826.32</v>
      </c>
      <c r="M168" s="363"/>
      <c r="N168" s="363">
        <f>N169</f>
        <v>6022.63</v>
      </c>
      <c r="O168" s="1051">
        <f t="shared" si="380"/>
        <v>59848.95</v>
      </c>
      <c r="P168" s="557"/>
      <c r="Q168" s="367">
        <v>0</v>
      </c>
      <c r="R168" s="557"/>
      <c r="S168" s="367">
        <v>0</v>
      </c>
      <c r="T168" s="557"/>
      <c r="U168" s="365"/>
      <c r="V168" s="366"/>
      <c r="W168" s="366"/>
      <c r="X168" s="366"/>
      <c r="Z168" s="367">
        <f t="shared" si="324"/>
        <v>0</v>
      </c>
      <c r="AA168" s="363">
        <f t="shared" si="324"/>
        <v>0</v>
      </c>
      <c r="AB168" s="280">
        <f t="shared" si="133"/>
        <v>0</v>
      </c>
      <c r="AC168" s="367">
        <f t="shared" si="325"/>
        <v>53826.32</v>
      </c>
      <c r="AD168" s="363">
        <f t="shared" si="325"/>
        <v>0</v>
      </c>
      <c r="AE168" s="280">
        <f t="shared" si="134"/>
        <v>53826.32</v>
      </c>
      <c r="AF168" s="367">
        <f t="shared" si="326"/>
        <v>0</v>
      </c>
      <c r="AG168" s="363">
        <f t="shared" si="326"/>
        <v>0</v>
      </c>
      <c r="AH168" s="280">
        <f t="shared" si="135"/>
        <v>0</v>
      </c>
      <c r="AI168" s="367">
        <f t="shared" si="327"/>
        <v>0</v>
      </c>
      <c r="AJ168" s="363">
        <f t="shared" si="327"/>
        <v>0</v>
      </c>
      <c r="AK168" s="280">
        <f t="shared" si="136"/>
        <v>0</v>
      </c>
      <c r="AL168" s="368"/>
      <c r="AM168" s="367">
        <f t="shared" si="328"/>
        <v>53826.32</v>
      </c>
      <c r="AN168" s="363">
        <f t="shared" si="328"/>
        <v>0</v>
      </c>
      <c r="AO168" s="280">
        <f t="shared" si="137"/>
        <v>53826.32</v>
      </c>
      <c r="AP168" s="367">
        <f t="shared" si="329"/>
        <v>53826.32</v>
      </c>
      <c r="AQ168" s="363">
        <f t="shared" si="329"/>
        <v>0</v>
      </c>
      <c r="AR168" s="280">
        <f t="shared" si="138"/>
        <v>53826.32</v>
      </c>
      <c r="AS168" s="367">
        <f t="shared" si="383"/>
        <v>53826.32</v>
      </c>
      <c r="AT168" s="363">
        <f t="shared" si="383"/>
        <v>0</v>
      </c>
      <c r="AU168" s="280">
        <f t="shared" si="139"/>
        <v>53826.32</v>
      </c>
      <c r="AV168" s="588">
        <f t="shared" si="140"/>
        <v>0</v>
      </c>
      <c r="AW168" s="367">
        <f t="shared" ref="AW168:BT168" si="384">SUM(AW169:AW169)</f>
        <v>0</v>
      </c>
      <c r="AX168" s="1097">
        <f t="shared" si="384"/>
        <v>0</v>
      </c>
      <c r="AY168" s="363">
        <f t="shared" si="384"/>
        <v>0</v>
      </c>
      <c r="AZ168" s="1097">
        <f t="shared" si="384"/>
        <v>0</v>
      </c>
      <c r="BA168" s="363">
        <f t="shared" si="384"/>
        <v>0</v>
      </c>
      <c r="BB168" s="1119">
        <f t="shared" si="384"/>
        <v>0</v>
      </c>
      <c r="BC168" s="367">
        <f t="shared" si="384"/>
        <v>0</v>
      </c>
      <c r="BD168" s="363">
        <f t="shared" si="384"/>
        <v>0</v>
      </c>
      <c r="BE168" s="363">
        <f t="shared" si="384"/>
        <v>0</v>
      </c>
      <c r="BF168" s="363">
        <f t="shared" si="384"/>
        <v>0</v>
      </c>
      <c r="BG168" s="363">
        <f t="shared" si="384"/>
        <v>53826.32</v>
      </c>
      <c r="BH168" s="369">
        <f t="shared" si="384"/>
        <v>0</v>
      </c>
      <c r="BI168" s="367">
        <f t="shared" si="384"/>
        <v>0</v>
      </c>
      <c r="BJ168" s="363">
        <f t="shared" si="384"/>
        <v>0</v>
      </c>
      <c r="BK168" s="363">
        <f t="shared" si="384"/>
        <v>0</v>
      </c>
      <c r="BL168" s="363">
        <f t="shared" si="384"/>
        <v>0</v>
      </c>
      <c r="BM168" s="363">
        <f t="shared" si="384"/>
        <v>0</v>
      </c>
      <c r="BN168" s="369">
        <f t="shared" si="384"/>
        <v>0</v>
      </c>
      <c r="BO168" s="367">
        <f t="shared" si="384"/>
        <v>0</v>
      </c>
      <c r="BP168" s="363">
        <f t="shared" si="384"/>
        <v>0</v>
      </c>
      <c r="BQ168" s="363">
        <f t="shared" si="384"/>
        <v>0</v>
      </c>
      <c r="BR168" s="363">
        <f t="shared" si="384"/>
        <v>0</v>
      </c>
      <c r="BS168" s="363">
        <f t="shared" si="384"/>
        <v>0</v>
      </c>
      <c r="BT168" s="280">
        <f t="shared" si="384"/>
        <v>0</v>
      </c>
    </row>
    <row r="169" spans="1:72" s="313" customFormat="1" ht="25.5" outlineLevel="1">
      <c r="A169" s="287">
        <v>146</v>
      </c>
      <c r="B169" s="940">
        <v>59805.26</v>
      </c>
      <c r="C169" s="840"/>
      <c r="D169" s="841"/>
      <c r="E169" s="839"/>
      <c r="F169" s="821" t="s">
        <v>7</v>
      </c>
      <c r="G169" s="314">
        <v>4</v>
      </c>
      <c r="H169" s="739" t="s">
        <v>47</v>
      </c>
      <c r="I169" s="739">
        <v>244</v>
      </c>
      <c r="J169" s="740">
        <v>310</v>
      </c>
      <c r="K169" s="317" t="s">
        <v>303</v>
      </c>
      <c r="L169" s="1029">
        <v>53826.32</v>
      </c>
      <c r="M169" s="403"/>
      <c r="N169" s="403">
        <v>6022.63</v>
      </c>
      <c r="O169" s="1063">
        <f t="shared" si="380"/>
        <v>59848.95</v>
      </c>
      <c r="P169" s="566"/>
      <c r="Q169" s="406">
        <v>0</v>
      </c>
      <c r="R169" s="566"/>
      <c r="S169" s="406">
        <v>0</v>
      </c>
      <c r="T169" s="566"/>
      <c r="U169" s="335"/>
      <c r="V169" s="320"/>
      <c r="W169" s="320"/>
      <c r="X169" s="320"/>
      <c r="Z169" s="336">
        <f t="shared" ref="Z169:AA169" si="385">AW169+AY169+BA169</f>
        <v>0</v>
      </c>
      <c r="AA169" s="337">
        <f t="shared" si="385"/>
        <v>0</v>
      </c>
      <c r="AB169" s="338">
        <f t="shared" si="133"/>
        <v>0</v>
      </c>
      <c r="AC169" s="336">
        <f t="shared" ref="AC169:AD169" si="386">BC169+BE169+BG169</f>
        <v>53826.32</v>
      </c>
      <c r="AD169" s="337">
        <f t="shared" si="386"/>
        <v>0</v>
      </c>
      <c r="AE169" s="338">
        <f t="shared" si="134"/>
        <v>53826.32</v>
      </c>
      <c r="AF169" s="336">
        <f t="shared" ref="AF169:AG169" si="387">BI169+BK169+BM169</f>
        <v>0</v>
      </c>
      <c r="AG169" s="337">
        <f t="shared" si="387"/>
        <v>0</v>
      </c>
      <c r="AH169" s="338">
        <f t="shared" si="135"/>
        <v>0</v>
      </c>
      <c r="AI169" s="336">
        <f t="shared" ref="AI169:AJ169" si="388">BO169+BQ169+BS169</f>
        <v>0</v>
      </c>
      <c r="AJ169" s="337">
        <f t="shared" si="388"/>
        <v>0</v>
      </c>
      <c r="AK169" s="338">
        <f t="shared" si="136"/>
        <v>0</v>
      </c>
      <c r="AL169" s="342"/>
      <c r="AM169" s="336">
        <f t="shared" ref="AM169:AN169" si="389">Z169+AC169</f>
        <v>53826.32</v>
      </c>
      <c r="AN169" s="339">
        <f t="shared" si="389"/>
        <v>0</v>
      </c>
      <c r="AO169" s="340">
        <f t="shared" si="137"/>
        <v>53826.32</v>
      </c>
      <c r="AP169" s="336">
        <f t="shared" ref="AP169:AQ169" si="390">Z169+AC169+AF169</f>
        <v>53826.32</v>
      </c>
      <c r="AQ169" s="339">
        <f t="shared" si="390"/>
        <v>0</v>
      </c>
      <c r="AR169" s="340">
        <f t="shared" si="138"/>
        <v>53826.32</v>
      </c>
      <c r="AS169" s="341">
        <f t="shared" si="383"/>
        <v>53826.32</v>
      </c>
      <c r="AT169" s="339">
        <f t="shared" si="383"/>
        <v>0</v>
      </c>
      <c r="AU169" s="340">
        <f t="shared" si="139"/>
        <v>53826.32</v>
      </c>
      <c r="AV169" s="589">
        <f t="shared" si="140"/>
        <v>0</v>
      </c>
      <c r="AW169" s="343"/>
      <c r="AX169" s="1098"/>
      <c r="AY169" s="345"/>
      <c r="AZ169" s="1098"/>
      <c r="BA169" s="345"/>
      <c r="BB169" s="1120"/>
      <c r="BC169" s="347"/>
      <c r="BD169" s="348"/>
      <c r="BE169" s="349"/>
      <c r="BF169" s="348"/>
      <c r="BG169" s="349">
        <v>53826.32</v>
      </c>
      <c r="BH169" s="350"/>
      <c r="BI169" s="351"/>
      <c r="BJ169" s="352"/>
      <c r="BK169" s="337"/>
      <c r="BL169" s="352"/>
      <c r="BM169" s="337"/>
      <c r="BN169" s="353"/>
      <c r="BO169" s="354"/>
      <c r="BP169" s="355"/>
      <c r="BQ169" s="356"/>
      <c r="BR169" s="355"/>
      <c r="BS169" s="356"/>
      <c r="BT169" s="357"/>
    </row>
    <row r="170" spans="1:72" s="86" customFormat="1" ht="15.75" customHeight="1" thickBot="1">
      <c r="A170" s="287">
        <v>147</v>
      </c>
      <c r="B170" s="933"/>
      <c r="C170" s="861"/>
      <c r="D170" s="862"/>
      <c r="E170" s="287" t="s">
        <v>201</v>
      </c>
      <c r="F170" s="521" t="s">
        <v>17</v>
      </c>
      <c r="G170" s="521"/>
      <c r="H170" s="521"/>
      <c r="I170" s="521"/>
      <c r="J170" s="521"/>
      <c r="K170" s="1009" t="s">
        <v>17</v>
      </c>
      <c r="L170" s="1034">
        <f t="shared" ref="L170:U170" si="391">SUM(L12,L13,L14,L15,L16,L17,L23,L27,L28,L33,L34,L35,L36,L37,L43,L46,L49,L51,L55,L57,L62,L65,L67,L78,L116,L157,L161,L162,L163,L164,L166,L168)</f>
        <v>50522159.640000001</v>
      </c>
      <c r="M170" s="550">
        <f t="shared" si="391"/>
        <v>0</v>
      </c>
      <c r="N170" s="550">
        <f t="shared" si="391"/>
        <v>119622.63</v>
      </c>
      <c r="O170" s="550">
        <f t="shared" si="391"/>
        <v>50641782.270000003</v>
      </c>
      <c r="P170" s="568">
        <f t="shared" si="391"/>
        <v>18239892.800000001</v>
      </c>
      <c r="Q170" s="549">
        <f t="shared" si="391"/>
        <v>42206072.039999999</v>
      </c>
      <c r="R170" s="568">
        <f t="shared" si="391"/>
        <v>0</v>
      </c>
      <c r="S170" s="549">
        <f t="shared" si="391"/>
        <v>41798874.439999998</v>
      </c>
      <c r="T170" s="568">
        <f t="shared" si="391"/>
        <v>0</v>
      </c>
      <c r="U170" s="334">
        <f t="shared" si="391"/>
        <v>0</v>
      </c>
      <c r="V170" s="305"/>
      <c r="W170" s="305"/>
      <c r="X170" s="305"/>
      <c r="Z170" s="264" t="e">
        <f>SUM(Z12,Z13,Z14,Z15,Z16,Z17,#REF!,Z28,Z33,Z34,Z35,#REF!,Z36,Z37,Z43,Z46,Z49,Z51,Z55,Z57,Z65,Z67,Z78,Z116,Z157,Z161,Z162,Z163,Z164,Z166,Z168)</f>
        <v>#REF!</v>
      </c>
      <c r="AA170" s="13" t="e">
        <f>SUM(AA12,AA13,AA14,AA15,AA16,AA17,#REF!,AA28,AA33,AA34,AA35,#REF!,AA36,AA37,AA43,AA46,AA49,AA51,AA55,AA57,AA65,AA67,AA78,AA116,AA157,AA161,AA162,AA163,AA164,AA166,AA168)</f>
        <v>#REF!</v>
      </c>
      <c r="AB170" s="258" t="e">
        <f>SUM(AB12,AB13,AB14,AB15,AB16,AB17,#REF!,AB28,AB33,AB34,AB35,#REF!,AB36,AB37,AB43,AB46,AB49,AB51,AB55,AB57,AB65,AB67,AB78,AB116,AB157,AB161,AB162,AB163,AB164,AB166,AB168)</f>
        <v>#REF!</v>
      </c>
      <c r="AC170" s="264" t="e">
        <f>SUM(AC12,AC13,AC14,AC15,AC16,AC17,#REF!,AC28,AC33,AC34,AC35,#REF!,AC36,AC37,AC43,AC46,AC49,AC51,AC55,AC57,AC65,AC67,AC78,AC116,AC157,AC161,AC162,AC163,AC164,AC166,AC168)</f>
        <v>#REF!</v>
      </c>
      <c r="AD170" s="13" t="e">
        <f>SUM(AD12,AD13,AD14,AD15,AD16,AD17,#REF!,AD28,AD33,AD34,AD35,#REF!,AD36,AD37,AD43,AD46,AD49,AD51,AD55,AD57,AD65,AD67,AD78,AD116,AD157,AD161,AD162,AD163,AD164,AD166,AD168)</f>
        <v>#REF!</v>
      </c>
      <c r="AE170" s="258" t="e">
        <f>SUM(AE12,AE13,AE14,AE15,AE16,AE17,#REF!,AE28,AE33,AE34,AE35,#REF!,AE36,AE37,AE43,AE46,AE49,AE51,AE55,AE57,AE65,AE67,AE78,AE116,AE157,AE161,AE162,AE163,AE164,AE166,AE168)</f>
        <v>#REF!</v>
      </c>
      <c r="AF170" s="264" t="e">
        <f>SUM(AF12,AF13,AF14,AF15,AF16,AF17,#REF!,AF28,AF33,AF34,AF35,#REF!,AF36,AF37,AF43,AF46,AF49,AF51,AF55,AF57,AF65,AF67,AF78,AF116,AF157,AF161,AF162,AF163,AF164,AF166,AF168)</f>
        <v>#REF!</v>
      </c>
      <c r="AG170" s="13" t="e">
        <f>SUM(AG12,AG13,AG14,AG15,AG16,AG17,#REF!,AG28,AG33,AG34,AG35,#REF!,AG36,AG37,AG43,AG46,AG49,AG51,AG55,AG57,AG65,AG67,AG78,AG116,AG157,AG161,AG162,AG163,AG164,AG166,AG168)</f>
        <v>#REF!</v>
      </c>
      <c r="AH170" s="258" t="e">
        <f>SUM(AH12,AH13,AH14,AH15,AH16,AH17,#REF!,AH28,AH33,AH34,AH35,#REF!,AH36,AH37,AH43,AH46,AH49,AH51,AH55,AH57,AH65,AH67,AH78,AH116,AH157,AH161,AH162,AH163,AH164,AH166,AH168)</f>
        <v>#REF!</v>
      </c>
      <c r="AI170" s="264" t="e">
        <f>SUM(AI12,AI13,AI14,AI15,AI16,AI17,#REF!,AI28,AI33,AI34,AI35,#REF!,AI36,AI37,AI43,AI46,AI49,AI51,AI55,AI57,AI65,AI67,AI78,AI116,AI157,AI161,AI162,AI163,AI164,AI166,AI168)</f>
        <v>#REF!</v>
      </c>
      <c r="AJ170" s="13" t="e">
        <f>SUM(AJ12,AJ13,AJ14,AJ15,AJ16,AJ17,#REF!,AJ28,AJ33,AJ34,AJ35,#REF!,AJ36,AJ37,AJ43,AJ46,AJ49,AJ51,AJ55,AJ57,AJ65,AJ67,AJ78,AJ116,AJ157,AJ161,AJ162,AJ163,AJ164,AJ166,AJ168)</f>
        <v>#REF!</v>
      </c>
      <c r="AK170" s="258" t="e">
        <f>SUM(AK12,AK13,AK14,AK15,AK16,AK17,#REF!,AK28,AK33,AK34,AK35,#REF!,AK36,AK37,AK43,AK46,AK49,AK51,AK55,AK57,AK65,AK67,AK78,AK116,AK157,AK161,AK162,AK163,AK164,AK166,AK168)</f>
        <v>#REF!</v>
      </c>
      <c r="AL170" s="278">
        <f t="shared" ref="AL170:BS170" si="392">SUM(AL12,AL13,AL14,AL15,AL16,AL17,AL23,AL27,AL28,AL33,AL34,AL35,AL36,AL37,AL43,AL46,AL49,AL51,AL55,AL57,AL62,AL65,AL67,AL78,AL116,AL157,AL161,AL162,AL163,AL164,AL166,AL168)</f>
        <v>0</v>
      </c>
      <c r="AM170" s="264">
        <f t="shared" si="392"/>
        <v>36492727.909999996</v>
      </c>
      <c r="AN170" s="13">
        <f t="shared" si="392"/>
        <v>12973116.65</v>
      </c>
      <c r="AO170" s="258">
        <f t="shared" si="392"/>
        <v>23519611.260000002</v>
      </c>
      <c r="AP170" s="264">
        <f t="shared" si="392"/>
        <v>44328602.619999997</v>
      </c>
      <c r="AQ170" s="13">
        <f t="shared" si="392"/>
        <v>13084116.65</v>
      </c>
      <c r="AR170" s="258">
        <f t="shared" si="392"/>
        <v>31244485.969999999</v>
      </c>
      <c r="AS170" s="549">
        <f t="shared" si="392"/>
        <v>46137608.920000002</v>
      </c>
      <c r="AT170" s="549">
        <f t="shared" si="392"/>
        <v>13158116.65</v>
      </c>
      <c r="AU170" s="258">
        <f t="shared" si="392"/>
        <v>32979492.27</v>
      </c>
      <c r="AV170" s="604">
        <f t="shared" si="392"/>
        <v>4384550.72</v>
      </c>
      <c r="AW170" s="278">
        <f t="shared" si="392"/>
        <v>1395880.41</v>
      </c>
      <c r="AX170" s="1113">
        <f t="shared" si="392"/>
        <v>961918.91</v>
      </c>
      <c r="AY170" s="278">
        <f t="shared" si="392"/>
        <v>4469332.4800000004</v>
      </c>
      <c r="AZ170" s="1113">
        <f t="shared" si="392"/>
        <v>5325966.6500000004</v>
      </c>
      <c r="BA170" s="278">
        <f t="shared" si="392"/>
        <v>7911330.1600000001</v>
      </c>
      <c r="BB170" s="1113">
        <f t="shared" si="392"/>
        <v>6574231.0899999999</v>
      </c>
      <c r="BC170" s="278">
        <f t="shared" si="392"/>
        <v>4907470.4800000004</v>
      </c>
      <c r="BD170" s="278">
        <f t="shared" si="392"/>
        <v>37000</v>
      </c>
      <c r="BE170" s="278">
        <f t="shared" si="392"/>
        <v>4531792.68</v>
      </c>
      <c r="BF170" s="278">
        <f t="shared" si="392"/>
        <v>37000</v>
      </c>
      <c r="BG170" s="278">
        <f t="shared" si="392"/>
        <v>13276921.699999999</v>
      </c>
      <c r="BH170" s="278">
        <f t="shared" si="392"/>
        <v>37000</v>
      </c>
      <c r="BI170" s="278">
        <f t="shared" si="392"/>
        <v>4578716.6900000004</v>
      </c>
      <c r="BJ170" s="278">
        <f t="shared" si="392"/>
        <v>37000</v>
      </c>
      <c r="BK170" s="278">
        <f t="shared" si="392"/>
        <v>1885677.9</v>
      </c>
      <c r="BL170" s="278">
        <f t="shared" si="392"/>
        <v>37000</v>
      </c>
      <c r="BM170" s="278">
        <f t="shared" si="392"/>
        <v>1371480.12</v>
      </c>
      <c r="BN170" s="278">
        <f t="shared" si="392"/>
        <v>37000</v>
      </c>
      <c r="BO170" s="278">
        <f t="shared" si="392"/>
        <v>441935.55</v>
      </c>
      <c r="BP170" s="278">
        <f t="shared" si="392"/>
        <v>37000</v>
      </c>
      <c r="BQ170" s="278">
        <f t="shared" si="392"/>
        <v>838195.41</v>
      </c>
      <c r="BR170" s="278">
        <f t="shared" si="392"/>
        <v>37000</v>
      </c>
      <c r="BS170" s="278">
        <f t="shared" si="392"/>
        <v>528875.34</v>
      </c>
      <c r="BT170" s="278"/>
    </row>
    <row r="171" spans="1:72" s="32" customFormat="1" ht="15.75" customHeight="1">
      <c r="A171" s="287">
        <v>148</v>
      </c>
      <c r="B171" s="943"/>
      <c r="C171" s="55"/>
      <c r="D171" s="944"/>
      <c r="E171" s="942"/>
      <c r="F171" s="209"/>
      <c r="G171" s="209"/>
      <c r="H171" s="209"/>
      <c r="I171" s="209"/>
      <c r="J171" s="209"/>
      <c r="K171" s="209" t="s">
        <v>204</v>
      </c>
      <c r="L171" s="1035">
        <v>50522159.640000001</v>
      </c>
      <c r="M171" s="917"/>
      <c r="N171" s="917"/>
      <c r="O171" s="998">
        <v>50522159.640000001</v>
      </c>
      <c r="P171" s="945"/>
      <c r="Q171" s="996">
        <v>42206072.039999999</v>
      </c>
      <c r="R171" s="945"/>
      <c r="S171" s="996">
        <v>41798874.439999998</v>
      </c>
      <c r="T171" s="945"/>
      <c r="U171" s="946"/>
      <c r="V171" s="14"/>
      <c r="W171" s="14"/>
      <c r="X171" s="14"/>
      <c r="Z171" s="947">
        <f>AW171+AY171+BA171</f>
        <v>12910420.439999999</v>
      </c>
      <c r="AA171" s="917">
        <f>AX171+AZ171+BB171</f>
        <v>0</v>
      </c>
      <c r="AB171" s="948">
        <f t="shared" si="133"/>
        <v>12910420.439999999</v>
      </c>
      <c r="AC171" s="947">
        <f>BC171+BE171+BG171</f>
        <v>22170227.27</v>
      </c>
      <c r="AD171" s="917">
        <f>BD171+BF171+BH171</f>
        <v>0</v>
      </c>
      <c r="AE171" s="948">
        <f t="shared" si="134"/>
        <v>22170227.27</v>
      </c>
      <c r="AF171" s="947">
        <f>BI171+BK171+BM171</f>
        <v>9451200.7699999996</v>
      </c>
      <c r="AG171" s="917">
        <f>BJ171+BL171+BN171</f>
        <v>0</v>
      </c>
      <c r="AH171" s="948">
        <f t="shared" si="135"/>
        <v>9451200.7699999996</v>
      </c>
      <c r="AI171" s="947">
        <f>BO171+BQ171+BS171</f>
        <v>6043144.4100000001</v>
      </c>
      <c r="AJ171" s="917">
        <f>BP171+BR171+BT171</f>
        <v>0</v>
      </c>
      <c r="AK171" s="948">
        <f t="shared" si="136"/>
        <v>6043144.4100000001</v>
      </c>
      <c r="AL171" s="917"/>
      <c r="AM171" s="947">
        <f>Z171+AC171</f>
        <v>35080647.710000001</v>
      </c>
      <c r="AN171" s="917">
        <f>AA171+AD171</f>
        <v>0</v>
      </c>
      <c r="AO171" s="948">
        <f t="shared" si="137"/>
        <v>35080647.710000001</v>
      </c>
      <c r="AP171" s="947">
        <f>Z171+AC171+AF171</f>
        <v>44531848.479999997</v>
      </c>
      <c r="AQ171" s="917">
        <f>AA171+AD171+AG171</f>
        <v>0</v>
      </c>
      <c r="AR171" s="948">
        <f t="shared" si="138"/>
        <v>44531848.479999997</v>
      </c>
      <c r="AS171" s="947">
        <f>Z171+AC171+AF171+AI171</f>
        <v>50574992.890000001</v>
      </c>
      <c r="AT171" s="917">
        <f t="shared" ref="AT171:AU171" si="393">AA171+AD171+AG171+AJ171</f>
        <v>0</v>
      </c>
      <c r="AU171" s="948">
        <f t="shared" si="393"/>
        <v>50574992.890000001</v>
      </c>
      <c r="AV171" s="278"/>
      <c r="AW171" s="277">
        <v>1498437</v>
      </c>
      <c r="AX171" s="1114"/>
      <c r="AY171" s="277">
        <v>4852718.38</v>
      </c>
      <c r="AZ171" s="1114"/>
      <c r="BA171" s="277">
        <v>6559265.0599999996</v>
      </c>
      <c r="BB171" s="1114"/>
      <c r="BC171" s="277">
        <v>5725270.2599999998</v>
      </c>
      <c r="BD171" s="277"/>
      <c r="BE171" s="277">
        <v>4459231.41</v>
      </c>
      <c r="BF171" s="277"/>
      <c r="BG171" s="277">
        <v>11985725.6</v>
      </c>
      <c r="BH171" s="277"/>
      <c r="BI171" s="277">
        <v>4519128.5199999996</v>
      </c>
      <c r="BJ171" s="277"/>
      <c r="BK171" s="277">
        <v>2646468.16</v>
      </c>
      <c r="BL171" s="277"/>
      <c r="BM171" s="277">
        <v>2285604.09</v>
      </c>
      <c r="BN171" s="277"/>
      <c r="BO171" s="277">
        <v>1514774.59</v>
      </c>
      <c r="BP171" s="277"/>
      <c r="BQ171" s="277">
        <v>1923859.03</v>
      </c>
      <c r="BR171" s="277"/>
      <c r="BS171" s="277">
        <v>2604510.79</v>
      </c>
      <c r="BT171" s="917"/>
    </row>
    <row r="172" spans="1:72" s="31" customFormat="1" ht="15.75" customHeight="1" thickBot="1">
      <c r="A172" s="287">
        <v>149</v>
      </c>
      <c r="B172" s="933"/>
      <c r="C172" s="845"/>
      <c r="D172" s="849"/>
      <c r="E172" s="287"/>
      <c r="F172" s="209"/>
      <c r="G172" s="209"/>
      <c r="H172" s="209"/>
      <c r="I172" s="209"/>
      <c r="J172" s="209"/>
      <c r="K172" s="209" t="s">
        <v>368</v>
      </c>
      <c r="L172" s="1036">
        <f>L171-L170</f>
        <v>0</v>
      </c>
      <c r="M172" s="211"/>
      <c r="N172" s="211"/>
      <c r="O172" s="970">
        <f>O171-O170</f>
        <v>-119622.63</v>
      </c>
      <c r="P172" s="330"/>
      <c r="Q172" s="277">
        <f>Q171-Q170</f>
        <v>0</v>
      </c>
      <c r="R172" s="330"/>
      <c r="S172" s="277">
        <f>S171-S170</f>
        <v>0</v>
      </c>
      <c r="T172" s="330"/>
      <c r="U172" s="334"/>
      <c r="V172" s="611" t="s">
        <v>385</v>
      </c>
      <c r="W172" s="7"/>
      <c r="X172" s="613">
        <f>Z172+AC172+AF172+AI172</f>
        <v>50522159.640000001</v>
      </c>
      <c r="Z172" s="612">
        <v>13660420.439999999</v>
      </c>
      <c r="AA172" s="264"/>
      <c r="AB172" s="264"/>
      <c r="AC172" s="612">
        <v>22920227.27</v>
      </c>
      <c r="AD172" s="264"/>
      <c r="AE172" s="264"/>
      <c r="AF172" s="612">
        <v>7951200.7699999996</v>
      </c>
      <c r="AG172" s="264"/>
      <c r="AH172" s="264"/>
      <c r="AI172" s="612">
        <v>5990311.1600000001</v>
      </c>
      <c r="AJ172" s="264"/>
      <c r="AK172" s="264"/>
      <c r="AL172" s="211"/>
      <c r="AM172" s="265"/>
      <c r="AN172" s="211"/>
      <c r="AO172" s="259"/>
      <c r="AP172" s="265"/>
      <c r="AQ172" s="211"/>
      <c r="AR172" s="259"/>
      <c r="AS172" s="265"/>
      <c r="AT172" s="211"/>
      <c r="AU172" s="259"/>
      <c r="AV172" s="604"/>
      <c r="AW172" s="951">
        <f>AW171-AW170</f>
        <v>102556.59</v>
      </c>
      <c r="AX172" s="1115">
        <f t="shared" ref="AX172:BS172" si="394">AX171-AX170</f>
        <v>-961918.91</v>
      </c>
      <c r="AY172" s="951">
        <f t="shared" si="394"/>
        <v>383385.9</v>
      </c>
      <c r="AZ172" s="1115">
        <f t="shared" si="394"/>
        <v>-5325966.6500000004</v>
      </c>
      <c r="BA172" s="951">
        <f t="shared" si="394"/>
        <v>-1352065.1</v>
      </c>
      <c r="BB172" s="1115">
        <f t="shared" si="394"/>
        <v>-6574231.0899999999</v>
      </c>
      <c r="BC172" s="951">
        <f t="shared" si="394"/>
        <v>817799.78</v>
      </c>
      <c r="BD172" s="951">
        <f t="shared" si="394"/>
        <v>-37000</v>
      </c>
      <c r="BE172" s="951">
        <f t="shared" si="394"/>
        <v>-72561.27</v>
      </c>
      <c r="BF172" s="951">
        <f t="shared" si="394"/>
        <v>-37000</v>
      </c>
      <c r="BG172" s="951">
        <f t="shared" si="394"/>
        <v>-1291196.1000000001</v>
      </c>
      <c r="BH172" s="951">
        <f t="shared" si="394"/>
        <v>-37000</v>
      </c>
      <c r="BI172" s="951">
        <f t="shared" si="394"/>
        <v>-59588.17</v>
      </c>
      <c r="BJ172" s="951">
        <f t="shared" si="394"/>
        <v>-37000</v>
      </c>
      <c r="BK172" s="951">
        <f t="shared" si="394"/>
        <v>760790.26</v>
      </c>
      <c r="BL172" s="951">
        <f t="shared" si="394"/>
        <v>-37000</v>
      </c>
      <c r="BM172" s="951">
        <f t="shared" si="394"/>
        <v>914123.97</v>
      </c>
      <c r="BN172" s="951">
        <f t="shared" si="394"/>
        <v>-37000</v>
      </c>
      <c r="BO172" s="951">
        <f t="shared" si="394"/>
        <v>1072839.04</v>
      </c>
      <c r="BP172" s="951">
        <f t="shared" si="394"/>
        <v>-37000</v>
      </c>
      <c r="BQ172" s="951">
        <f t="shared" si="394"/>
        <v>1085663.6200000001</v>
      </c>
      <c r="BR172" s="951">
        <f t="shared" si="394"/>
        <v>-37000</v>
      </c>
      <c r="BS172" s="951">
        <f t="shared" si="394"/>
        <v>2075635.45</v>
      </c>
      <c r="BT172" s="211"/>
    </row>
    <row r="173" spans="1:72" s="31" customFormat="1" ht="15.75" customHeight="1">
      <c r="A173" s="287">
        <v>150</v>
      </c>
      <c r="B173" s="933"/>
      <c r="C173" s="845"/>
      <c r="D173" s="849"/>
      <c r="E173" s="287" t="s">
        <v>201</v>
      </c>
      <c r="F173" s="209"/>
      <c r="G173" s="209"/>
      <c r="H173" s="209"/>
      <c r="I173" s="209"/>
      <c r="J173" s="209"/>
      <c r="K173" s="209"/>
      <c r="L173" s="1036"/>
      <c r="M173" s="211"/>
      <c r="N173" s="211"/>
      <c r="O173" s="211"/>
      <c r="P173" s="330"/>
      <c r="Q173" s="211"/>
      <c r="R173" s="330"/>
      <c r="S173" s="211"/>
      <c r="T173" s="330"/>
      <c r="U173" s="334"/>
      <c r="V173" s="611"/>
      <c r="W173" s="7"/>
      <c r="X173" s="613"/>
      <c r="Z173" s="730"/>
      <c r="AA173" s="278"/>
      <c r="AB173" s="278"/>
      <c r="AC173" s="730"/>
      <c r="AD173" s="278"/>
      <c r="AE173" s="278"/>
      <c r="AF173" s="730"/>
      <c r="AG173" s="278"/>
      <c r="AH173" s="278"/>
      <c r="AI173" s="730"/>
      <c r="AJ173" s="278"/>
      <c r="AK173" s="278"/>
      <c r="AL173" s="211"/>
      <c r="AM173" s="265"/>
      <c r="AN173" s="211"/>
      <c r="AO173" s="259"/>
      <c r="AP173" s="265"/>
      <c r="AQ173" s="211"/>
      <c r="AR173" s="259"/>
      <c r="AS173" s="265"/>
      <c r="AT173" s="211"/>
      <c r="AU173" s="259"/>
      <c r="AV173" s="604"/>
      <c r="AW173" s="211"/>
      <c r="AX173" s="1116"/>
      <c r="AY173" s="211"/>
      <c r="AZ173" s="1116"/>
      <c r="BA173" s="211"/>
      <c r="BB173" s="1116"/>
      <c r="BC173" s="211"/>
      <c r="BD173" s="211"/>
      <c r="BE173" s="211"/>
      <c r="BF173" s="211"/>
      <c r="BG173" s="211"/>
      <c r="BH173" s="211"/>
      <c r="BI173" s="211"/>
      <c r="BJ173" s="211"/>
      <c r="BK173" s="211"/>
      <c r="BL173" s="211"/>
      <c r="BM173" s="211"/>
      <c r="BN173" s="211"/>
      <c r="BO173" s="211"/>
      <c r="BP173" s="211"/>
      <c r="BQ173" s="211"/>
      <c r="BR173" s="211"/>
      <c r="BS173" s="211"/>
      <c r="BT173" s="211"/>
    </row>
    <row r="174" spans="1:72" s="31" customFormat="1" ht="23.25" customHeight="1" thickBot="1">
      <c r="A174" s="287">
        <v>151</v>
      </c>
      <c r="B174" s="933"/>
      <c r="C174" s="845"/>
      <c r="D174" s="849"/>
      <c r="E174" s="287" t="s">
        <v>201</v>
      </c>
      <c r="F174" s="372" t="s">
        <v>218</v>
      </c>
      <c r="G174" s="309"/>
      <c r="H174" s="309"/>
      <c r="I174" s="309"/>
      <c r="J174" s="309"/>
      <c r="K174" s="309"/>
      <c r="L174" s="1037"/>
      <c r="M174" s="216"/>
      <c r="N174" s="216"/>
      <c r="O174" s="216"/>
      <c r="P174" s="331"/>
      <c r="Q174" s="216"/>
      <c r="R174" s="331"/>
      <c r="S174" s="216"/>
      <c r="T174" s="331"/>
      <c r="U174" s="334"/>
      <c r="V174" s="614"/>
      <c r="W174" s="7"/>
      <c r="X174" s="7" t="e">
        <f>Z174+AC174+AF174+AI174</f>
        <v>#REF!</v>
      </c>
      <c r="Y174" s="215"/>
      <c r="Z174" s="267" t="e">
        <f>Z172-Z170</f>
        <v>#REF!</v>
      </c>
      <c r="AA174" s="216"/>
      <c r="AB174" s="260"/>
      <c r="AC174" s="267" t="e">
        <f>AC172-AC170</f>
        <v>#REF!</v>
      </c>
      <c r="AD174" s="216"/>
      <c r="AE174" s="260"/>
      <c r="AF174" s="267" t="e">
        <f>AF172-AF170</f>
        <v>#REF!</v>
      </c>
      <c r="AG174" s="216"/>
      <c r="AH174" s="260"/>
      <c r="AI174" s="267" t="e">
        <f>AI172-AI170</f>
        <v>#REF!</v>
      </c>
      <c r="AJ174" s="216"/>
      <c r="AK174" s="260"/>
      <c r="AL174" s="216"/>
      <c r="AM174" s="266"/>
      <c r="AN174" s="216"/>
      <c r="AO174" s="260"/>
      <c r="AP174" s="266"/>
      <c r="AQ174" s="216"/>
      <c r="AR174" s="260"/>
      <c r="AS174" s="266">
        <v>0</v>
      </c>
      <c r="AT174" s="216"/>
      <c r="AU174" s="260"/>
      <c r="AV174" s="606">
        <f t="shared" si="140"/>
        <v>0</v>
      </c>
      <c r="AW174" s="216"/>
      <c r="AX174" s="1117"/>
      <c r="AY174" s="216"/>
      <c r="AZ174" s="1117"/>
      <c r="BA174" s="216"/>
      <c r="BB174" s="1117"/>
      <c r="BC174" s="216"/>
      <c r="BD174" s="216"/>
      <c r="BE174" s="216"/>
      <c r="BF174" s="216"/>
      <c r="BG174" s="216"/>
      <c r="BH174" s="216"/>
      <c r="BI174" s="216"/>
      <c r="BJ174" s="216"/>
      <c r="BK174" s="216"/>
      <c r="BL174" s="216"/>
      <c r="BM174" s="216"/>
      <c r="BN174" s="216"/>
      <c r="BO174" s="216"/>
      <c r="BP174" s="216"/>
      <c r="BQ174" s="216"/>
      <c r="BR174" s="216"/>
      <c r="BS174" s="216"/>
      <c r="BT174" s="216"/>
    </row>
    <row r="175" spans="1:72" s="358" customFormat="1" ht="31.5" customHeight="1">
      <c r="A175" s="287">
        <v>152</v>
      </c>
      <c r="B175" s="933"/>
      <c r="C175" s="850" t="s">
        <v>377</v>
      </c>
      <c r="D175" s="838"/>
      <c r="E175" s="836" t="s">
        <v>201</v>
      </c>
      <c r="F175" s="820" t="s">
        <v>415</v>
      </c>
      <c r="G175" s="360">
        <v>5</v>
      </c>
      <c r="H175" s="360" t="s">
        <v>72</v>
      </c>
      <c r="I175" s="360">
        <v>244</v>
      </c>
      <c r="J175" s="361">
        <v>226</v>
      </c>
      <c r="K175" s="532" t="s">
        <v>15</v>
      </c>
      <c r="L175" s="1038">
        <v>52833.25</v>
      </c>
      <c r="M175" s="552"/>
      <c r="N175" s="552"/>
      <c r="O175" s="1056">
        <f t="shared" ref="O175:O176" si="395">L175+N175</f>
        <v>52833.25</v>
      </c>
      <c r="P175" s="569"/>
      <c r="Q175" s="551">
        <v>0</v>
      </c>
      <c r="R175" s="573"/>
      <c r="S175" s="553">
        <v>0</v>
      </c>
      <c r="T175" s="573"/>
      <c r="U175" s="365"/>
      <c r="V175" s="366"/>
      <c r="W175" s="366"/>
      <c r="X175" s="366"/>
      <c r="Z175" s="367">
        <f t="shared" ref="Z175:AA179" si="396">AW175+AY175+BA175</f>
        <v>0</v>
      </c>
      <c r="AA175" s="363">
        <f t="shared" si="396"/>
        <v>0</v>
      </c>
      <c r="AB175" s="280">
        <f t="shared" ref="AB175:AB179" si="397">Z175-AA175</f>
        <v>0</v>
      </c>
      <c r="AC175" s="367">
        <f t="shared" ref="AC175:AD179" si="398">BC175+BE175+BG175</f>
        <v>52833.25</v>
      </c>
      <c r="AD175" s="363">
        <f t="shared" si="398"/>
        <v>0</v>
      </c>
      <c r="AE175" s="280">
        <f t="shared" ref="AE175:AE179" si="399">AC175-AD175</f>
        <v>52833.25</v>
      </c>
      <c r="AF175" s="367">
        <f t="shared" ref="AF175:AG179" si="400">BI175+BK175+BM175</f>
        <v>0</v>
      </c>
      <c r="AG175" s="363">
        <f t="shared" si="400"/>
        <v>0</v>
      </c>
      <c r="AH175" s="280">
        <f t="shared" ref="AH175:AH179" si="401">AF175-AG175</f>
        <v>0</v>
      </c>
      <c r="AI175" s="367">
        <f t="shared" ref="AI175:AJ179" si="402">BO175+BQ175+BS175</f>
        <v>0</v>
      </c>
      <c r="AJ175" s="363">
        <f t="shared" si="402"/>
        <v>0</v>
      </c>
      <c r="AK175" s="280">
        <f t="shared" ref="AK175:AK179" si="403">AI175-AJ175</f>
        <v>0</v>
      </c>
      <c r="AL175" s="368"/>
      <c r="AM175" s="367">
        <f t="shared" ref="AM175:AN179" si="404">Z175+AC175</f>
        <v>52833.25</v>
      </c>
      <c r="AN175" s="363">
        <f t="shared" si="404"/>
        <v>0</v>
      </c>
      <c r="AO175" s="280">
        <f t="shared" ref="AO175:AO179" si="405">AM175-AN175</f>
        <v>52833.25</v>
      </c>
      <c r="AP175" s="367">
        <f t="shared" ref="AP175:AQ179" si="406">Z175+AC175+AF175</f>
        <v>52833.25</v>
      </c>
      <c r="AQ175" s="363">
        <f t="shared" si="406"/>
        <v>0</v>
      </c>
      <c r="AR175" s="280">
        <f t="shared" ref="AR175:AR179" si="407">AP175-AQ175</f>
        <v>52833.25</v>
      </c>
      <c r="AS175" s="367">
        <f t="shared" ref="AS175:AT179" si="408">Z175+AC175+AF175+AI175</f>
        <v>52833.25</v>
      </c>
      <c r="AT175" s="363">
        <f t="shared" si="408"/>
        <v>0</v>
      </c>
      <c r="AU175" s="280">
        <f t="shared" ref="AU175:AU179" si="409">AS175-AT175</f>
        <v>52833.25</v>
      </c>
      <c r="AV175" s="588">
        <f t="shared" si="140"/>
        <v>0</v>
      </c>
      <c r="AW175" s="367">
        <f t="shared" ref="AW175:BT175" si="410">SUM(AW176:AW176)</f>
        <v>0</v>
      </c>
      <c r="AX175" s="1097">
        <f t="shared" si="410"/>
        <v>0</v>
      </c>
      <c r="AY175" s="363">
        <f t="shared" si="410"/>
        <v>0</v>
      </c>
      <c r="AZ175" s="1097">
        <f t="shared" si="410"/>
        <v>0</v>
      </c>
      <c r="BA175" s="363">
        <f t="shared" si="410"/>
        <v>0</v>
      </c>
      <c r="BB175" s="1119">
        <f t="shared" si="410"/>
        <v>0</v>
      </c>
      <c r="BC175" s="367">
        <f t="shared" si="410"/>
        <v>35000</v>
      </c>
      <c r="BD175" s="363">
        <f t="shared" si="410"/>
        <v>0</v>
      </c>
      <c r="BE175" s="363">
        <f t="shared" si="410"/>
        <v>17833.25</v>
      </c>
      <c r="BF175" s="363">
        <f t="shared" si="410"/>
        <v>0</v>
      </c>
      <c r="BG175" s="363">
        <f t="shared" si="410"/>
        <v>0</v>
      </c>
      <c r="BH175" s="369">
        <f t="shared" si="410"/>
        <v>0</v>
      </c>
      <c r="BI175" s="367">
        <f t="shared" si="410"/>
        <v>0</v>
      </c>
      <c r="BJ175" s="363">
        <f t="shared" si="410"/>
        <v>0</v>
      </c>
      <c r="BK175" s="363">
        <f t="shared" si="410"/>
        <v>0</v>
      </c>
      <c r="BL175" s="363">
        <f t="shared" si="410"/>
        <v>0</v>
      </c>
      <c r="BM175" s="363">
        <f t="shared" si="410"/>
        <v>0</v>
      </c>
      <c r="BN175" s="369">
        <f t="shared" si="410"/>
        <v>0</v>
      </c>
      <c r="BO175" s="367">
        <f t="shared" si="410"/>
        <v>0</v>
      </c>
      <c r="BP175" s="363">
        <f t="shared" si="410"/>
        <v>0</v>
      </c>
      <c r="BQ175" s="363">
        <f t="shared" si="410"/>
        <v>0</v>
      </c>
      <c r="BR175" s="363">
        <f t="shared" si="410"/>
        <v>0</v>
      </c>
      <c r="BS175" s="363">
        <f t="shared" si="410"/>
        <v>0</v>
      </c>
      <c r="BT175" s="280">
        <f t="shared" si="410"/>
        <v>0</v>
      </c>
    </row>
    <row r="176" spans="1:72" s="313" customFormat="1" ht="38.25" outlineLevel="1">
      <c r="A176" s="287">
        <v>153</v>
      </c>
      <c r="B176" s="933"/>
      <c r="C176" s="840"/>
      <c r="D176" s="841"/>
      <c r="E176" s="839"/>
      <c r="F176" s="821" t="s">
        <v>415</v>
      </c>
      <c r="G176" s="314">
        <v>5</v>
      </c>
      <c r="H176" s="739" t="s">
        <v>72</v>
      </c>
      <c r="I176" s="739">
        <v>244</v>
      </c>
      <c r="J176" s="740">
        <v>226</v>
      </c>
      <c r="K176" s="533" t="s">
        <v>367</v>
      </c>
      <c r="L176" s="1025">
        <v>52833.25</v>
      </c>
      <c r="M176" s="318"/>
      <c r="N176" s="318"/>
      <c r="O176" s="1052">
        <f t="shared" si="395"/>
        <v>52833.25</v>
      </c>
      <c r="P176" s="570"/>
      <c r="Q176" s="336">
        <v>0</v>
      </c>
      <c r="R176" s="559"/>
      <c r="S176" s="541">
        <v>0</v>
      </c>
      <c r="T176" s="559"/>
      <c r="U176" s="335"/>
      <c r="V176" s="597" t="s">
        <v>670</v>
      </c>
      <c r="W176" s="597" t="s">
        <v>668</v>
      </c>
      <c r="X176" s="597" t="s">
        <v>669</v>
      </c>
      <c r="Z176" s="336">
        <f>AW176+AY176+BA176</f>
        <v>0</v>
      </c>
      <c r="AA176" s="337">
        <f>AX176+AZ176+BB176</f>
        <v>0</v>
      </c>
      <c r="AB176" s="338">
        <f>Z176-AA176</f>
        <v>0</v>
      </c>
      <c r="AC176" s="336">
        <f>BC176+BE176+BG176</f>
        <v>52833.25</v>
      </c>
      <c r="AD176" s="337">
        <f>BD176+BF176+BH176</f>
        <v>0</v>
      </c>
      <c r="AE176" s="338">
        <f>AC176-AD176</f>
        <v>52833.25</v>
      </c>
      <c r="AF176" s="336">
        <f>BI176+BK176+BM176</f>
        <v>0</v>
      </c>
      <c r="AG176" s="337">
        <f>BJ176+BL176+BN176</f>
        <v>0</v>
      </c>
      <c r="AH176" s="338">
        <f>AF176-AG176</f>
        <v>0</v>
      </c>
      <c r="AI176" s="336">
        <f>BO176+BQ176+BS176</f>
        <v>0</v>
      </c>
      <c r="AJ176" s="337">
        <f>BP176+BR176+BT176</f>
        <v>0</v>
      </c>
      <c r="AK176" s="338">
        <f>AI176-AJ176</f>
        <v>0</v>
      </c>
      <c r="AL176" s="342"/>
      <c r="AM176" s="336">
        <f>Z176+AC176</f>
        <v>52833.25</v>
      </c>
      <c r="AN176" s="339">
        <f>AA176+AD176</f>
        <v>0</v>
      </c>
      <c r="AO176" s="340">
        <f>AM176-AN176</f>
        <v>52833.25</v>
      </c>
      <c r="AP176" s="336">
        <f>Z176+AC176+AF176</f>
        <v>52833.25</v>
      </c>
      <c r="AQ176" s="339">
        <f>AA176+AD176+AG176</f>
        <v>0</v>
      </c>
      <c r="AR176" s="340">
        <f>AP176-AQ176</f>
        <v>52833.25</v>
      </c>
      <c r="AS176" s="341">
        <f>Z176+AC176+AF176+AI176</f>
        <v>52833.25</v>
      </c>
      <c r="AT176" s="339">
        <f>AA176+AD176+AG176+AJ176</f>
        <v>0</v>
      </c>
      <c r="AU176" s="340">
        <f>AS176-AT176</f>
        <v>52833.25</v>
      </c>
      <c r="AV176" s="589">
        <f t="shared" si="140"/>
        <v>0</v>
      </c>
      <c r="AW176" s="343"/>
      <c r="AX176" s="1098"/>
      <c r="AY176" s="345"/>
      <c r="AZ176" s="1098"/>
      <c r="BA176" s="345"/>
      <c r="BB176" s="1120"/>
      <c r="BC176" s="347">
        <v>35000</v>
      </c>
      <c r="BD176" s="348"/>
      <c r="BE176" s="349">
        <v>17833.25</v>
      </c>
      <c r="BF176" s="348"/>
      <c r="BG176" s="349"/>
      <c r="BH176" s="350"/>
      <c r="BI176" s="351"/>
      <c r="BJ176" s="352"/>
      <c r="BK176" s="337"/>
      <c r="BL176" s="352"/>
      <c r="BM176" s="337"/>
      <c r="BN176" s="353"/>
      <c r="BO176" s="354"/>
      <c r="BP176" s="355"/>
      <c r="BQ176" s="356"/>
      <c r="BR176" s="355"/>
      <c r="BS176" s="356"/>
      <c r="BT176" s="357"/>
    </row>
    <row r="177" spans="1:72" s="31" customFormat="1">
      <c r="A177" s="287">
        <v>154</v>
      </c>
      <c r="B177" s="933"/>
      <c r="C177" s="845"/>
      <c r="D177" s="849"/>
      <c r="E177" s="287" t="s">
        <v>201</v>
      </c>
      <c r="F177" s="521"/>
      <c r="G177" s="521"/>
      <c r="H177" s="521"/>
      <c r="I177" s="521"/>
      <c r="J177" s="521"/>
      <c r="K177" s="1009" t="s">
        <v>17</v>
      </c>
      <c r="L177" s="1039">
        <f>SUM(L175)</f>
        <v>52833.25</v>
      </c>
      <c r="M177" s="13">
        <f>SUM(M175)</f>
        <v>0</v>
      </c>
      <c r="N177" s="13">
        <f>SUM(N175)</f>
        <v>0</v>
      </c>
      <c r="O177" s="13">
        <f t="shared" ref="O177:S177" si="411">SUM(O175)</f>
        <v>52833.25</v>
      </c>
      <c r="P177" s="13">
        <f t="shared" si="411"/>
        <v>0</v>
      </c>
      <c r="Q177" s="13">
        <f t="shared" si="411"/>
        <v>0</v>
      </c>
      <c r="R177" s="13">
        <f t="shared" si="411"/>
        <v>0</v>
      </c>
      <c r="S177" s="13">
        <f t="shared" si="411"/>
        <v>0</v>
      </c>
      <c r="T177" s="559">
        <f>SUM(T175)</f>
        <v>0</v>
      </c>
      <c r="U177" s="334"/>
      <c r="V177" s="7"/>
      <c r="W177" s="7"/>
      <c r="X177" s="7"/>
      <c r="Z177" s="264">
        <f t="shared" ref="Z177:AK177" si="412">SUM(Z175)</f>
        <v>0</v>
      </c>
      <c r="AA177" s="254">
        <f t="shared" si="412"/>
        <v>0</v>
      </c>
      <c r="AB177" s="270">
        <f t="shared" si="412"/>
        <v>0</v>
      </c>
      <c r="AC177" s="264">
        <f t="shared" si="412"/>
        <v>52833.25</v>
      </c>
      <c r="AD177" s="254">
        <f t="shared" si="412"/>
        <v>0</v>
      </c>
      <c r="AE177" s="270">
        <f t="shared" si="412"/>
        <v>52833.25</v>
      </c>
      <c r="AF177" s="264">
        <f t="shared" si="412"/>
        <v>0</v>
      </c>
      <c r="AG177" s="254">
        <f t="shared" si="412"/>
        <v>0</v>
      </c>
      <c r="AH177" s="270">
        <f t="shared" si="412"/>
        <v>0</v>
      </c>
      <c r="AI177" s="264">
        <f t="shared" si="412"/>
        <v>0</v>
      </c>
      <c r="AJ177" s="254">
        <f t="shared" si="412"/>
        <v>0</v>
      </c>
      <c r="AK177" s="270">
        <f t="shared" si="412"/>
        <v>0</v>
      </c>
      <c r="AL177" s="278"/>
      <c r="AM177" s="264">
        <f t="shared" si="404"/>
        <v>52833.25</v>
      </c>
      <c r="AN177" s="248">
        <f t="shared" si="404"/>
        <v>0</v>
      </c>
      <c r="AO177" s="281">
        <f t="shared" si="405"/>
        <v>52833.25</v>
      </c>
      <c r="AP177" s="264">
        <f t="shared" si="406"/>
        <v>52833.25</v>
      </c>
      <c r="AQ177" s="248">
        <f t="shared" si="406"/>
        <v>0</v>
      </c>
      <c r="AR177" s="281">
        <f t="shared" si="407"/>
        <v>52833.25</v>
      </c>
      <c r="AS177" s="263">
        <f t="shared" si="408"/>
        <v>52833.25</v>
      </c>
      <c r="AT177" s="248">
        <f t="shared" ref="AT177" si="413">AA177+AD177+AG177+AJ177</f>
        <v>0</v>
      </c>
      <c r="AU177" s="281">
        <f t="shared" ref="AU177" si="414">AB177+AE177+AH177+AK177</f>
        <v>52833.25</v>
      </c>
      <c r="AV177" s="604">
        <f t="shared" si="140"/>
        <v>0</v>
      </c>
      <c r="AW177" s="278"/>
      <c r="AX177" s="1113"/>
      <c r="AY177" s="278"/>
      <c r="AZ177" s="1113"/>
      <c r="BA177" s="278"/>
      <c r="BB177" s="1113"/>
      <c r="BC177" s="278"/>
      <c r="BD177" s="278"/>
      <c r="BE177" s="278"/>
      <c r="BF177" s="278"/>
      <c r="BG177" s="278"/>
      <c r="BH177" s="278"/>
      <c r="BI177" s="278"/>
      <c r="BJ177" s="278"/>
      <c r="BK177" s="278"/>
      <c r="BL177" s="278"/>
      <c r="BM177" s="278"/>
      <c r="BN177" s="278"/>
      <c r="BO177" s="278"/>
      <c r="BP177" s="278"/>
      <c r="BQ177" s="278"/>
      <c r="BR177" s="278"/>
      <c r="BS177" s="278"/>
      <c r="BT177" s="278"/>
    </row>
    <row r="178" spans="1:72" s="31" customFormat="1" ht="16.5" customHeight="1" thickBot="1">
      <c r="A178" s="287">
        <v>155</v>
      </c>
      <c r="B178" s="933"/>
      <c r="C178" s="845"/>
      <c r="D178" s="849"/>
      <c r="E178" s="287" t="s">
        <v>201</v>
      </c>
      <c r="F178" s="521"/>
      <c r="G178" s="521"/>
      <c r="H178" s="521"/>
      <c r="I178" s="521"/>
      <c r="J178" s="521"/>
      <c r="K178" s="1009" t="s">
        <v>21</v>
      </c>
      <c r="L178" s="1040">
        <f t="shared" ref="L178:S178" si="415">L170+L177</f>
        <v>50574992.890000001</v>
      </c>
      <c r="M178" s="546">
        <f t="shared" si="415"/>
        <v>0</v>
      </c>
      <c r="N178" s="546">
        <f t="shared" si="415"/>
        <v>119622.63</v>
      </c>
      <c r="O178" s="546">
        <f t="shared" si="415"/>
        <v>50694615.520000003</v>
      </c>
      <c r="P178" s="572">
        <f t="shared" si="415"/>
        <v>18239892.800000001</v>
      </c>
      <c r="Q178" s="545">
        <f t="shared" si="415"/>
        <v>42206072.039999999</v>
      </c>
      <c r="R178" s="545">
        <f t="shared" si="415"/>
        <v>0</v>
      </c>
      <c r="S178" s="545">
        <f t="shared" si="415"/>
        <v>41798874.439999998</v>
      </c>
      <c r="T178" s="568">
        <f>T170+T177</f>
        <v>0</v>
      </c>
      <c r="U178" s="334"/>
      <c r="V178" s="7"/>
      <c r="W178" s="7"/>
      <c r="X178" s="7"/>
      <c r="Z178" s="263" t="e">
        <f t="shared" ref="Z178:AK178" si="416">Z170+Z177</f>
        <v>#REF!</v>
      </c>
      <c r="AA178" s="253" t="e">
        <f t="shared" si="416"/>
        <v>#REF!</v>
      </c>
      <c r="AB178" s="269" t="e">
        <f t="shared" si="416"/>
        <v>#REF!</v>
      </c>
      <c r="AC178" s="263" t="e">
        <f t="shared" si="416"/>
        <v>#REF!</v>
      </c>
      <c r="AD178" s="253" t="e">
        <f t="shared" si="416"/>
        <v>#REF!</v>
      </c>
      <c r="AE178" s="269" t="e">
        <f t="shared" si="416"/>
        <v>#REF!</v>
      </c>
      <c r="AF178" s="263" t="e">
        <f t="shared" si="416"/>
        <v>#REF!</v>
      </c>
      <c r="AG178" s="253" t="e">
        <f t="shared" si="416"/>
        <v>#REF!</v>
      </c>
      <c r="AH178" s="269" t="e">
        <f t="shared" si="416"/>
        <v>#REF!</v>
      </c>
      <c r="AI178" s="263" t="e">
        <f t="shared" si="416"/>
        <v>#REF!</v>
      </c>
      <c r="AJ178" s="253" t="e">
        <f t="shared" si="416"/>
        <v>#REF!</v>
      </c>
      <c r="AK178" s="269" t="e">
        <f t="shared" si="416"/>
        <v>#REF!</v>
      </c>
      <c r="AL178" s="210"/>
      <c r="AM178" s="263" t="e">
        <f t="shared" si="404"/>
        <v>#REF!</v>
      </c>
      <c r="AN178" s="247" t="e">
        <f t="shared" si="404"/>
        <v>#REF!</v>
      </c>
      <c r="AO178" s="280" t="e">
        <f t="shared" si="405"/>
        <v>#REF!</v>
      </c>
      <c r="AP178" s="263" t="e">
        <f t="shared" si="406"/>
        <v>#REF!</v>
      </c>
      <c r="AQ178" s="247" t="e">
        <f t="shared" si="406"/>
        <v>#REF!</v>
      </c>
      <c r="AR178" s="280" t="e">
        <f t="shared" si="407"/>
        <v>#REF!</v>
      </c>
      <c r="AS178" s="263">
        <f t="shared" ref="AS178:AU178" si="417">AS170+AS177</f>
        <v>46190442.170000002</v>
      </c>
      <c r="AT178" s="247">
        <f t="shared" si="417"/>
        <v>13158116.65</v>
      </c>
      <c r="AU178" s="280">
        <f t="shared" si="417"/>
        <v>33032325.52</v>
      </c>
      <c r="AV178" s="607">
        <f t="shared" ref="AV178" si="418">AV170+AV177</f>
        <v>4384550.72</v>
      </c>
      <c r="AW178" s="210"/>
      <c r="AX178" s="1113"/>
      <c r="AY178" s="210"/>
      <c r="AZ178" s="1113"/>
      <c r="BA178" s="210"/>
      <c r="BB178" s="1113"/>
      <c r="BC178" s="210"/>
      <c r="BD178" s="210"/>
      <c r="BE178" s="210"/>
      <c r="BF178" s="210"/>
      <c r="BG178" s="210"/>
      <c r="BH178" s="210"/>
      <c r="BI178" s="210"/>
      <c r="BJ178" s="210"/>
      <c r="BK178" s="210"/>
      <c r="BL178" s="210"/>
      <c r="BM178" s="210"/>
      <c r="BN178" s="210"/>
      <c r="BO178" s="210"/>
      <c r="BP178" s="210"/>
      <c r="BQ178" s="210"/>
      <c r="BR178" s="210"/>
      <c r="BS178" s="210"/>
      <c r="BT178" s="210"/>
    </row>
    <row r="179" spans="1:72" s="31" customFormat="1" ht="16.5" customHeight="1">
      <c r="A179" s="287">
        <v>156</v>
      </c>
      <c r="B179" s="933"/>
      <c r="C179" s="845"/>
      <c r="D179" s="849"/>
      <c r="E179" s="287"/>
      <c r="F179" s="310"/>
      <c r="G179" s="310"/>
      <c r="H179" s="310"/>
      <c r="I179" s="310"/>
      <c r="J179" s="310"/>
      <c r="K179" s="209" t="s">
        <v>204</v>
      </c>
      <c r="L179" s="1036">
        <v>50574992.890000001</v>
      </c>
      <c r="M179" s="210"/>
      <c r="N179" s="210"/>
      <c r="O179" s="210"/>
      <c r="P179" s="330"/>
      <c r="Q179" s="277">
        <v>42206072.039999999</v>
      </c>
      <c r="R179" s="808">
        <v>0</v>
      </c>
      <c r="S179" s="277">
        <v>41798874.439999998</v>
      </c>
      <c r="T179" s="330"/>
      <c r="U179" s="334"/>
      <c r="V179" s="7"/>
      <c r="W179" s="7"/>
      <c r="X179" s="7"/>
      <c r="Z179" s="267">
        <f t="shared" si="396"/>
        <v>0</v>
      </c>
      <c r="AA179" s="256">
        <f t="shared" si="396"/>
        <v>0</v>
      </c>
      <c r="AB179" s="272">
        <f t="shared" si="397"/>
        <v>0</v>
      </c>
      <c r="AC179" s="267">
        <f t="shared" si="398"/>
        <v>0</v>
      </c>
      <c r="AD179" s="256">
        <f t="shared" si="398"/>
        <v>0</v>
      </c>
      <c r="AE179" s="272">
        <f t="shared" si="399"/>
        <v>0</v>
      </c>
      <c r="AF179" s="267">
        <f t="shared" si="400"/>
        <v>0</v>
      </c>
      <c r="AG179" s="256">
        <f t="shared" si="400"/>
        <v>0</v>
      </c>
      <c r="AH179" s="272">
        <f t="shared" si="401"/>
        <v>0</v>
      </c>
      <c r="AI179" s="267">
        <f t="shared" si="402"/>
        <v>0</v>
      </c>
      <c r="AJ179" s="256">
        <f t="shared" si="402"/>
        <v>0</v>
      </c>
      <c r="AK179" s="272">
        <f t="shared" si="403"/>
        <v>0</v>
      </c>
      <c r="AL179" s="210"/>
      <c r="AM179" s="267">
        <f t="shared" si="404"/>
        <v>0</v>
      </c>
      <c r="AN179" s="250">
        <f t="shared" si="404"/>
        <v>0</v>
      </c>
      <c r="AO179" s="283">
        <f t="shared" si="405"/>
        <v>0</v>
      </c>
      <c r="AP179" s="267">
        <f t="shared" si="406"/>
        <v>0</v>
      </c>
      <c r="AQ179" s="250">
        <f t="shared" si="406"/>
        <v>0</v>
      </c>
      <c r="AR179" s="283">
        <f t="shared" si="407"/>
        <v>0</v>
      </c>
      <c r="AS179" s="267">
        <f t="shared" si="408"/>
        <v>0</v>
      </c>
      <c r="AT179" s="250">
        <f t="shared" si="408"/>
        <v>0</v>
      </c>
      <c r="AU179" s="283">
        <f t="shared" si="409"/>
        <v>0</v>
      </c>
      <c r="AV179" s="607"/>
      <c r="AW179" s="210"/>
      <c r="AX179" s="1113"/>
      <c r="AY179" s="210"/>
      <c r="AZ179" s="1113"/>
      <c r="BA179" s="210"/>
      <c r="BB179" s="1113"/>
      <c r="BC179" s="210"/>
      <c r="BD179" s="210"/>
      <c r="BE179" s="210"/>
      <c r="BF179" s="210"/>
      <c r="BG179" s="210"/>
      <c r="BH179" s="210"/>
      <c r="BI179" s="210"/>
      <c r="BJ179" s="210"/>
      <c r="BK179" s="210"/>
      <c r="BL179" s="210"/>
      <c r="BM179" s="210"/>
      <c r="BN179" s="210"/>
      <c r="BO179" s="210"/>
      <c r="BP179" s="210"/>
      <c r="BQ179" s="210"/>
      <c r="BR179" s="210"/>
      <c r="BS179" s="210"/>
      <c r="BT179" s="210"/>
    </row>
    <row r="180" spans="1:72" s="31" customFormat="1" ht="16.5" customHeight="1">
      <c r="A180" s="287">
        <v>157</v>
      </c>
      <c r="B180" s="933"/>
      <c r="C180" s="845"/>
      <c r="D180" s="849"/>
      <c r="E180" s="287"/>
      <c r="F180" s="310"/>
      <c r="G180" s="310"/>
      <c r="H180" s="310"/>
      <c r="I180" s="310"/>
      <c r="J180" s="310"/>
      <c r="K180" s="209" t="s">
        <v>368</v>
      </c>
      <c r="L180" s="1036">
        <f>L179-L178</f>
        <v>0</v>
      </c>
      <c r="M180" s="277"/>
      <c r="N180" s="277"/>
      <c r="O180" s="277"/>
      <c r="P180" s="277">
        <f t="shared" ref="P180:R180" si="419">P179-P178</f>
        <v>-18239892.800000001</v>
      </c>
      <c r="Q180" s="277">
        <f t="shared" si="419"/>
        <v>0</v>
      </c>
      <c r="R180" s="277">
        <f t="shared" si="419"/>
        <v>0</v>
      </c>
      <c r="S180" s="277">
        <f>S179-S178</f>
        <v>0</v>
      </c>
      <c r="T180" s="330"/>
      <c r="U180" s="334"/>
      <c r="V180" s="7"/>
      <c r="W180" s="7"/>
      <c r="X180" s="7"/>
      <c r="Z180" s="267"/>
      <c r="AA180" s="256"/>
      <c r="AB180" s="272"/>
      <c r="AC180" s="267"/>
      <c r="AD180" s="256"/>
      <c r="AE180" s="272"/>
      <c r="AF180" s="267"/>
      <c r="AG180" s="256"/>
      <c r="AH180" s="272"/>
      <c r="AI180" s="267"/>
      <c r="AJ180" s="256"/>
      <c r="AK180" s="272"/>
      <c r="AL180" s="210"/>
      <c r="AM180" s="267"/>
      <c r="AN180" s="250"/>
      <c r="AO180" s="283"/>
      <c r="AP180" s="267"/>
      <c r="AQ180" s="250"/>
      <c r="AR180" s="283"/>
      <c r="AS180" s="267"/>
      <c r="AT180" s="250"/>
      <c r="AU180" s="283"/>
      <c r="AV180" s="607"/>
      <c r="AW180" s="210"/>
      <c r="AX180" s="1113"/>
      <c r="AY180" s="210"/>
      <c r="AZ180" s="1113"/>
      <c r="BA180" s="210"/>
      <c r="BB180" s="1113"/>
      <c r="BC180" s="210"/>
      <c r="BD180" s="210"/>
      <c r="BE180" s="210"/>
      <c r="BF180" s="210"/>
      <c r="BG180" s="210"/>
      <c r="BH180" s="210"/>
      <c r="BI180" s="210"/>
      <c r="BJ180" s="210"/>
      <c r="BK180" s="210"/>
      <c r="BL180" s="210"/>
      <c r="BM180" s="210"/>
      <c r="BN180" s="210"/>
      <c r="BO180" s="210"/>
      <c r="BP180" s="210"/>
      <c r="BQ180" s="210"/>
      <c r="BR180" s="210"/>
      <c r="BS180" s="210"/>
      <c r="BT180" s="210"/>
    </row>
    <row r="181" spans="1:72" s="31" customFormat="1" ht="16.5" customHeight="1">
      <c r="A181" s="287">
        <v>158</v>
      </c>
      <c r="B181" s="933"/>
      <c r="C181" s="845"/>
      <c r="D181" s="849"/>
      <c r="E181" s="287" t="s">
        <v>201</v>
      </c>
      <c r="F181" s="310"/>
      <c r="G181" s="310"/>
      <c r="H181" s="310"/>
      <c r="I181" s="310"/>
      <c r="J181" s="310"/>
      <c r="K181" s="209"/>
      <c r="L181" s="1036"/>
      <c r="M181" s="277"/>
      <c r="N181" s="277"/>
      <c r="O181" s="277"/>
      <c r="P181" s="277"/>
      <c r="Q181" s="277"/>
      <c r="R181" s="277"/>
      <c r="S181" s="277"/>
      <c r="T181" s="330"/>
      <c r="U181" s="334"/>
      <c r="V181" s="7"/>
      <c r="W181" s="7"/>
      <c r="X181" s="7"/>
      <c r="Z181" s="267"/>
      <c r="AA181" s="256"/>
      <c r="AB181" s="272"/>
      <c r="AC181" s="267"/>
      <c r="AD181" s="256"/>
      <c r="AE181" s="272"/>
      <c r="AF181" s="267"/>
      <c r="AG181" s="256"/>
      <c r="AH181" s="272"/>
      <c r="AI181" s="267"/>
      <c r="AJ181" s="256"/>
      <c r="AK181" s="272"/>
      <c r="AL181" s="210"/>
      <c r="AM181" s="267"/>
      <c r="AN181" s="250"/>
      <c r="AO181" s="283"/>
      <c r="AP181" s="267"/>
      <c r="AQ181" s="250"/>
      <c r="AR181" s="283"/>
      <c r="AS181" s="267"/>
      <c r="AT181" s="250"/>
      <c r="AU181" s="283"/>
      <c r="AV181" s="607"/>
      <c r="AW181" s="210"/>
      <c r="AX181" s="1113"/>
      <c r="AY181" s="210"/>
      <c r="AZ181" s="1113"/>
      <c r="BA181" s="210"/>
      <c r="BB181" s="1113"/>
      <c r="BC181" s="210"/>
      <c r="BD181" s="210"/>
      <c r="BE181" s="210"/>
      <c r="BF181" s="210"/>
      <c r="BG181" s="210"/>
      <c r="BH181" s="210"/>
      <c r="BI181" s="210"/>
      <c r="BJ181" s="210"/>
      <c r="BK181" s="210"/>
      <c r="BL181" s="210"/>
      <c r="BM181" s="210"/>
      <c r="BN181" s="210"/>
      <c r="BO181" s="210"/>
      <c r="BP181" s="210"/>
      <c r="BQ181" s="210"/>
      <c r="BR181" s="210"/>
      <c r="BS181" s="210"/>
      <c r="BT181" s="210"/>
    </row>
    <row r="182" spans="1:72" s="31" customFormat="1" ht="21" thickBot="1">
      <c r="A182" s="287">
        <v>159</v>
      </c>
      <c r="B182" s="933"/>
      <c r="C182" s="845"/>
      <c r="D182" s="849"/>
      <c r="E182" s="287" t="s">
        <v>201</v>
      </c>
      <c r="F182" s="371" t="s">
        <v>217</v>
      </c>
      <c r="G182" s="311"/>
      <c r="H182" s="311"/>
      <c r="I182" s="311"/>
      <c r="J182" s="311"/>
      <c r="K182" s="311"/>
      <c r="L182" s="1037"/>
      <c r="M182" s="216"/>
      <c r="N182" s="216"/>
      <c r="O182" s="216"/>
      <c r="P182" s="331"/>
      <c r="Q182" s="216"/>
      <c r="R182" s="331"/>
      <c r="S182" s="216"/>
      <c r="T182" s="331"/>
      <c r="U182" s="334"/>
      <c r="V182" s="7"/>
      <c r="W182" s="7"/>
      <c r="X182" s="7"/>
      <c r="Z182" s="266"/>
      <c r="AA182" s="255"/>
      <c r="AB182" s="271"/>
      <c r="AC182" s="266"/>
      <c r="AD182" s="255"/>
      <c r="AE182" s="271"/>
      <c r="AF182" s="266"/>
      <c r="AG182" s="255"/>
      <c r="AH182" s="271"/>
      <c r="AI182" s="266"/>
      <c r="AJ182" s="255"/>
      <c r="AK182" s="271"/>
      <c r="AL182" s="216"/>
      <c r="AM182" s="266"/>
      <c r="AN182" s="249"/>
      <c r="AO182" s="282"/>
      <c r="AP182" s="266"/>
      <c r="AQ182" s="249"/>
      <c r="AR182" s="282">
        <f t="shared" ref="AR182:AR299" si="420">AP182-AQ182</f>
        <v>0</v>
      </c>
      <c r="AS182" s="266">
        <f t="shared" ref="AS182:AT204" si="421">Z182+AC182+AF182+AI182</f>
        <v>0</v>
      </c>
      <c r="AT182" s="249">
        <f t="shared" si="421"/>
        <v>0</v>
      </c>
      <c r="AU182" s="282">
        <f t="shared" ref="AU182:AU294" si="422">AS182-AT182</f>
        <v>0</v>
      </c>
      <c r="AV182" s="606">
        <f t="shared" ref="AV182:AV205" si="423">L182-AS182</f>
        <v>0</v>
      </c>
      <c r="AW182" s="216"/>
      <c r="AX182" s="1117"/>
      <c r="AY182" s="216"/>
      <c r="AZ182" s="1117"/>
      <c r="BA182" s="216"/>
      <c r="BB182" s="1117"/>
      <c r="BC182" s="216"/>
      <c r="BD182" s="216"/>
      <c r="BE182" s="216"/>
      <c r="BF182" s="216"/>
      <c r="BG182" s="216"/>
      <c r="BH182" s="216"/>
      <c r="BI182" s="216"/>
      <c r="BJ182" s="216"/>
      <c r="BK182" s="216"/>
      <c r="BL182" s="216"/>
      <c r="BM182" s="216"/>
      <c r="BN182" s="216"/>
      <c r="BO182" s="216"/>
      <c r="BP182" s="216"/>
      <c r="BQ182" s="216"/>
      <c r="BR182" s="216"/>
      <c r="BS182" s="216"/>
      <c r="BT182" s="216"/>
    </row>
    <row r="183" spans="1:72" s="512" customFormat="1" ht="31.5">
      <c r="A183" s="287">
        <v>160</v>
      </c>
      <c r="B183" s="933"/>
      <c r="C183" s="863"/>
      <c r="D183" s="864"/>
      <c r="E183" s="865" t="s">
        <v>201</v>
      </c>
      <c r="F183" s="831" t="s">
        <v>23</v>
      </c>
      <c r="G183" s="514">
        <v>2</v>
      </c>
      <c r="H183" s="514" t="s">
        <v>69</v>
      </c>
      <c r="I183" s="514">
        <v>111</v>
      </c>
      <c r="J183" s="515">
        <v>211</v>
      </c>
      <c r="K183" s="555" t="s">
        <v>8</v>
      </c>
      <c r="L183" s="1041">
        <f>4950667.96+M183</f>
        <v>5063110.87</v>
      </c>
      <c r="M183" s="581">
        <v>112442.91</v>
      </c>
      <c r="N183" s="581"/>
      <c r="O183" s="1050">
        <f t="shared" ref="O183:O296" si="424">L183+N183</f>
        <v>5063110.87</v>
      </c>
      <c r="P183" s="582"/>
      <c r="Q183" s="580">
        <v>4950667.96</v>
      </c>
      <c r="R183" s="583"/>
      <c r="S183" s="584">
        <v>4950667.96</v>
      </c>
      <c r="T183" s="574"/>
      <c r="U183" s="516"/>
      <c r="V183" s="517"/>
      <c r="W183" s="517"/>
      <c r="X183" s="517"/>
      <c r="Z183" s="518">
        <f t="shared" ref="Z183:AA204" si="425">AW183+AY183+BA183</f>
        <v>4950667.96</v>
      </c>
      <c r="AA183" s="251">
        <f t="shared" si="425"/>
        <v>416404.75</v>
      </c>
      <c r="AB183" s="519">
        <f t="shared" ref="AB183:AB294" si="426">Z183-AA183</f>
        <v>4534263.21</v>
      </c>
      <c r="AC183" s="518">
        <f t="shared" ref="AC183:AD204" si="427">BC183+BE183+BG183</f>
        <v>0</v>
      </c>
      <c r="AD183" s="251">
        <f t="shared" si="427"/>
        <v>0</v>
      </c>
      <c r="AE183" s="519">
        <f t="shared" ref="AE183:AE294" si="428">AC183-AD183</f>
        <v>0</v>
      </c>
      <c r="AF183" s="518">
        <f t="shared" ref="AF183:AG204" si="429">BI183+BK183+BM183</f>
        <v>0</v>
      </c>
      <c r="AG183" s="251">
        <f t="shared" si="429"/>
        <v>0</v>
      </c>
      <c r="AH183" s="519">
        <f t="shared" ref="AH183:AH294" si="430">AF183-AG183</f>
        <v>0</v>
      </c>
      <c r="AI183" s="518">
        <f t="shared" ref="AI183:AJ204" si="431">BO183+BQ183+BS183</f>
        <v>0</v>
      </c>
      <c r="AJ183" s="251">
        <f t="shared" si="431"/>
        <v>0</v>
      </c>
      <c r="AK183" s="519">
        <f t="shared" ref="AK183:AK294" si="432">AI183-AJ183</f>
        <v>0</v>
      </c>
      <c r="AL183" s="520"/>
      <c r="AM183" s="518">
        <f t="shared" ref="AM183:AN204" si="433">Z183+AC183</f>
        <v>4950667.96</v>
      </c>
      <c r="AN183" s="251">
        <f t="shared" si="433"/>
        <v>416404.75</v>
      </c>
      <c r="AO183" s="519">
        <f t="shared" ref="AO183:AO299" si="434">AM183-AN183</f>
        <v>4534263.21</v>
      </c>
      <c r="AP183" s="518">
        <f t="shared" ref="AP183:AQ204" si="435">Z183+AC183+AF183</f>
        <v>4950667.96</v>
      </c>
      <c r="AQ183" s="251">
        <f t="shared" si="435"/>
        <v>416404.75</v>
      </c>
      <c r="AR183" s="519">
        <f t="shared" si="420"/>
        <v>4534263.21</v>
      </c>
      <c r="AS183" s="518">
        <f>Z183+AC183+AF183+AI183</f>
        <v>4950667.96</v>
      </c>
      <c r="AT183" s="251">
        <f t="shared" si="421"/>
        <v>416404.75</v>
      </c>
      <c r="AU183" s="519">
        <f t="shared" si="422"/>
        <v>4534263.21</v>
      </c>
      <c r="AV183" s="595">
        <f t="shared" si="423"/>
        <v>112442.91</v>
      </c>
      <c r="AW183" s="518">
        <v>4950667.96</v>
      </c>
      <c r="AX183" s="251"/>
      <c r="AY183" s="251"/>
      <c r="AZ183" s="251">
        <v>239761.62</v>
      </c>
      <c r="BA183" s="251"/>
      <c r="BB183" s="301">
        <v>176643.13</v>
      </c>
      <c r="BC183" s="518"/>
      <c r="BD183" s="251"/>
      <c r="BE183" s="251"/>
      <c r="BF183" s="251"/>
      <c r="BG183" s="251"/>
      <c r="BH183" s="301"/>
      <c r="BI183" s="518"/>
      <c r="BJ183" s="251"/>
      <c r="BK183" s="251"/>
      <c r="BL183" s="251"/>
      <c r="BM183" s="251"/>
      <c r="BN183" s="301"/>
      <c r="BO183" s="518"/>
      <c r="BP183" s="251"/>
      <c r="BQ183" s="251"/>
      <c r="BR183" s="251"/>
      <c r="BS183" s="251"/>
      <c r="BT183" s="519"/>
    </row>
    <row r="184" spans="1:72" s="358" customFormat="1" ht="94.5" customHeight="1">
      <c r="A184" s="287">
        <v>161</v>
      </c>
      <c r="B184" s="933"/>
      <c r="C184" s="850" t="s">
        <v>377</v>
      </c>
      <c r="D184" s="838"/>
      <c r="E184" s="836" t="s">
        <v>201</v>
      </c>
      <c r="F184" s="820" t="s">
        <v>23</v>
      </c>
      <c r="G184" s="360">
        <v>2</v>
      </c>
      <c r="H184" s="360" t="s">
        <v>71</v>
      </c>
      <c r="I184" s="360">
        <v>111</v>
      </c>
      <c r="J184" s="361">
        <v>211</v>
      </c>
      <c r="K184" s="532" t="s">
        <v>324</v>
      </c>
      <c r="L184" s="1023">
        <f>L185</f>
        <v>4000</v>
      </c>
      <c r="M184" s="363"/>
      <c r="N184" s="363"/>
      <c r="O184" s="1051">
        <f t="shared" si="424"/>
        <v>4000</v>
      </c>
      <c r="P184" s="571"/>
      <c r="Q184" s="367">
        <f>Q185</f>
        <v>1000</v>
      </c>
      <c r="R184" s="557"/>
      <c r="S184" s="367">
        <f>S185</f>
        <v>0</v>
      </c>
      <c r="T184" s="557"/>
      <c r="U184" s="365"/>
      <c r="V184" s="366"/>
      <c r="W184" s="366"/>
      <c r="X184" s="366"/>
      <c r="Z184" s="367">
        <f t="shared" si="425"/>
        <v>1000</v>
      </c>
      <c r="AA184" s="363">
        <f t="shared" si="425"/>
        <v>0</v>
      </c>
      <c r="AB184" s="280">
        <f t="shared" si="426"/>
        <v>1000</v>
      </c>
      <c r="AC184" s="367">
        <f t="shared" si="427"/>
        <v>1000</v>
      </c>
      <c r="AD184" s="363">
        <f t="shared" si="427"/>
        <v>0</v>
      </c>
      <c r="AE184" s="280">
        <f t="shared" si="428"/>
        <v>1000</v>
      </c>
      <c r="AF184" s="367">
        <f t="shared" si="429"/>
        <v>1000</v>
      </c>
      <c r="AG184" s="363">
        <f t="shared" si="429"/>
        <v>0</v>
      </c>
      <c r="AH184" s="280">
        <f t="shared" si="430"/>
        <v>1000</v>
      </c>
      <c r="AI184" s="367">
        <f t="shared" si="431"/>
        <v>1000</v>
      </c>
      <c r="AJ184" s="363">
        <f t="shared" si="431"/>
        <v>0</v>
      </c>
      <c r="AK184" s="280">
        <f t="shared" si="432"/>
        <v>1000</v>
      </c>
      <c r="AL184" s="368"/>
      <c r="AM184" s="367">
        <f t="shared" si="433"/>
        <v>2000</v>
      </c>
      <c r="AN184" s="363">
        <f t="shared" si="433"/>
        <v>0</v>
      </c>
      <c r="AO184" s="280">
        <f t="shared" si="434"/>
        <v>2000</v>
      </c>
      <c r="AP184" s="367">
        <f t="shared" si="435"/>
        <v>3000</v>
      </c>
      <c r="AQ184" s="363">
        <f t="shared" si="435"/>
        <v>0</v>
      </c>
      <c r="AR184" s="280">
        <f t="shared" si="420"/>
        <v>3000</v>
      </c>
      <c r="AS184" s="367">
        <f>Z184+AC184+AF184+AI184</f>
        <v>4000</v>
      </c>
      <c r="AT184" s="363">
        <f t="shared" si="421"/>
        <v>0</v>
      </c>
      <c r="AU184" s="280">
        <f t="shared" si="422"/>
        <v>4000</v>
      </c>
      <c r="AV184" s="588">
        <f t="shared" si="423"/>
        <v>0</v>
      </c>
      <c r="AW184" s="367">
        <f>AW185</f>
        <v>1000</v>
      </c>
      <c r="AX184" s="367">
        <f t="shared" ref="AX184:BT186" si="436">AX185</f>
        <v>0</v>
      </c>
      <c r="AY184" s="367">
        <f t="shared" si="436"/>
        <v>0</v>
      </c>
      <c r="AZ184" s="367">
        <f t="shared" si="436"/>
        <v>0</v>
      </c>
      <c r="BA184" s="367">
        <f t="shared" si="436"/>
        <v>0</v>
      </c>
      <c r="BB184" s="367">
        <f t="shared" si="436"/>
        <v>0</v>
      </c>
      <c r="BC184" s="367">
        <f t="shared" si="436"/>
        <v>1000</v>
      </c>
      <c r="BD184" s="367">
        <f t="shared" si="436"/>
        <v>0</v>
      </c>
      <c r="BE184" s="367">
        <f t="shared" si="436"/>
        <v>0</v>
      </c>
      <c r="BF184" s="367">
        <f t="shared" si="436"/>
        <v>0</v>
      </c>
      <c r="BG184" s="367">
        <f t="shared" si="436"/>
        <v>0</v>
      </c>
      <c r="BH184" s="367">
        <f t="shared" si="436"/>
        <v>0</v>
      </c>
      <c r="BI184" s="367">
        <f t="shared" si="436"/>
        <v>1000</v>
      </c>
      <c r="BJ184" s="367">
        <f t="shared" si="436"/>
        <v>0</v>
      </c>
      <c r="BK184" s="367">
        <f t="shared" si="436"/>
        <v>0</v>
      </c>
      <c r="BL184" s="367">
        <f t="shared" si="436"/>
        <v>0</v>
      </c>
      <c r="BM184" s="367">
        <f t="shared" si="436"/>
        <v>0</v>
      </c>
      <c r="BN184" s="367">
        <f t="shared" si="436"/>
        <v>0</v>
      </c>
      <c r="BO184" s="367">
        <f t="shared" si="436"/>
        <v>1000</v>
      </c>
      <c r="BP184" s="367">
        <f t="shared" si="436"/>
        <v>0</v>
      </c>
      <c r="BQ184" s="367">
        <f t="shared" si="436"/>
        <v>0</v>
      </c>
      <c r="BR184" s="367">
        <f t="shared" si="436"/>
        <v>0</v>
      </c>
      <c r="BS184" s="367">
        <f t="shared" si="436"/>
        <v>0</v>
      </c>
      <c r="BT184" s="367">
        <f t="shared" si="436"/>
        <v>0</v>
      </c>
    </row>
    <row r="185" spans="1:72" s="313" customFormat="1" ht="38.25" outlineLevel="1">
      <c r="A185" s="287">
        <v>162</v>
      </c>
      <c r="B185" s="933"/>
      <c r="C185" s="840"/>
      <c r="D185" s="841"/>
      <c r="E185" s="839"/>
      <c r="F185" s="821" t="s">
        <v>23</v>
      </c>
      <c r="G185" s="314">
        <v>2</v>
      </c>
      <c r="H185" s="739" t="s">
        <v>71</v>
      </c>
      <c r="I185" s="739">
        <v>111</v>
      </c>
      <c r="J185" s="740">
        <v>211</v>
      </c>
      <c r="K185" s="533" t="s">
        <v>322</v>
      </c>
      <c r="L185" s="1025">
        <f>1000*4</f>
        <v>4000</v>
      </c>
      <c r="M185" s="318"/>
      <c r="N185" s="318"/>
      <c r="O185" s="1052">
        <f t="shared" si="424"/>
        <v>4000</v>
      </c>
      <c r="P185" s="570"/>
      <c r="Q185" s="341">
        <v>1000</v>
      </c>
      <c r="R185" s="559"/>
      <c r="S185" s="540">
        <v>0</v>
      </c>
      <c r="T185" s="559"/>
      <c r="U185" s="335"/>
      <c r="V185" s="320"/>
      <c r="W185" s="320"/>
      <c r="X185" s="320"/>
      <c r="Z185" s="336">
        <f t="shared" si="425"/>
        <v>1000</v>
      </c>
      <c r="AA185" s="337">
        <f t="shared" si="425"/>
        <v>0</v>
      </c>
      <c r="AB185" s="338">
        <f t="shared" si="426"/>
        <v>1000</v>
      </c>
      <c r="AC185" s="336">
        <f t="shared" si="427"/>
        <v>1000</v>
      </c>
      <c r="AD185" s="337">
        <f t="shared" si="427"/>
        <v>0</v>
      </c>
      <c r="AE185" s="338">
        <f t="shared" si="428"/>
        <v>1000</v>
      </c>
      <c r="AF185" s="336">
        <f t="shared" si="429"/>
        <v>1000</v>
      </c>
      <c r="AG185" s="337">
        <f t="shared" si="429"/>
        <v>0</v>
      </c>
      <c r="AH185" s="338">
        <f t="shared" si="430"/>
        <v>1000</v>
      </c>
      <c r="AI185" s="336">
        <f t="shared" si="431"/>
        <v>1000</v>
      </c>
      <c r="AJ185" s="337">
        <f t="shared" si="431"/>
        <v>0</v>
      </c>
      <c r="AK185" s="338">
        <f t="shared" si="432"/>
        <v>1000</v>
      </c>
      <c r="AL185" s="342"/>
      <c r="AM185" s="336">
        <f t="shared" si="433"/>
        <v>2000</v>
      </c>
      <c r="AN185" s="339">
        <f t="shared" si="433"/>
        <v>0</v>
      </c>
      <c r="AO185" s="340">
        <f t="shared" si="434"/>
        <v>2000</v>
      </c>
      <c r="AP185" s="336">
        <f t="shared" si="435"/>
        <v>3000</v>
      </c>
      <c r="AQ185" s="339">
        <f t="shared" si="435"/>
        <v>0</v>
      </c>
      <c r="AR185" s="340">
        <f t="shared" si="420"/>
        <v>3000</v>
      </c>
      <c r="AS185" s="341">
        <f t="shared" si="421"/>
        <v>4000</v>
      </c>
      <c r="AT185" s="339">
        <f t="shared" si="421"/>
        <v>0</v>
      </c>
      <c r="AU185" s="340">
        <f t="shared" si="422"/>
        <v>4000</v>
      </c>
      <c r="AV185" s="589">
        <f t="shared" si="423"/>
        <v>0</v>
      </c>
      <c r="AW185" s="343">
        <v>1000</v>
      </c>
      <c r="AX185" s="344"/>
      <c r="AY185" s="345"/>
      <c r="AZ185" s="344"/>
      <c r="BA185" s="345"/>
      <c r="BB185" s="346"/>
      <c r="BC185" s="347">
        <v>1000</v>
      </c>
      <c r="BD185" s="348"/>
      <c r="BE185" s="349"/>
      <c r="BF185" s="348"/>
      <c r="BG185" s="349"/>
      <c r="BH185" s="350"/>
      <c r="BI185" s="351">
        <v>1000</v>
      </c>
      <c r="BJ185" s="352"/>
      <c r="BK185" s="337"/>
      <c r="BL185" s="352"/>
      <c r="BM185" s="337"/>
      <c r="BN185" s="353"/>
      <c r="BO185" s="354">
        <v>1000</v>
      </c>
      <c r="BP185" s="355"/>
      <c r="BQ185" s="356"/>
      <c r="BR185" s="355"/>
      <c r="BS185" s="356"/>
      <c r="BT185" s="357"/>
    </row>
    <row r="186" spans="1:72" s="358" customFormat="1" ht="31.5">
      <c r="A186" s="287">
        <v>161</v>
      </c>
      <c r="B186" s="933"/>
      <c r="C186" s="850" t="s">
        <v>377</v>
      </c>
      <c r="D186" s="838"/>
      <c r="E186" s="836" t="s">
        <v>201</v>
      </c>
      <c r="F186" s="820" t="s">
        <v>23</v>
      </c>
      <c r="G186" s="360">
        <v>2</v>
      </c>
      <c r="H186" s="360" t="s">
        <v>71</v>
      </c>
      <c r="I186" s="360">
        <v>112</v>
      </c>
      <c r="J186" s="361">
        <v>212</v>
      </c>
      <c r="K186" s="532" t="s">
        <v>765</v>
      </c>
      <c r="L186" s="1023">
        <f>L187</f>
        <v>0</v>
      </c>
      <c r="M186" s="363"/>
      <c r="N186" s="363">
        <f>N187</f>
        <v>13300</v>
      </c>
      <c r="O186" s="1051">
        <f t="shared" ref="O186:O187" si="437">L186+N186</f>
        <v>13300</v>
      </c>
      <c r="P186" s="571"/>
      <c r="Q186" s="367">
        <f>Q187</f>
        <v>0</v>
      </c>
      <c r="R186" s="557"/>
      <c r="S186" s="367">
        <f>S187</f>
        <v>0</v>
      </c>
      <c r="T186" s="557"/>
      <c r="U186" s="365"/>
      <c r="V186" s="366"/>
      <c r="W186" s="366"/>
      <c r="X186" s="366"/>
      <c r="Z186" s="367">
        <f t="shared" ref="Z186:Z187" si="438">AW186+AY186+BA186</f>
        <v>0</v>
      </c>
      <c r="AA186" s="363">
        <f t="shared" ref="AA186:AA187" si="439">AX186+AZ186+BB186</f>
        <v>0</v>
      </c>
      <c r="AB186" s="280">
        <f t="shared" ref="AB186:AB187" si="440">Z186-AA186</f>
        <v>0</v>
      </c>
      <c r="AC186" s="367">
        <f t="shared" ref="AC186:AC187" si="441">BC186+BE186+BG186</f>
        <v>13300</v>
      </c>
      <c r="AD186" s="363">
        <f t="shared" ref="AD186:AD187" si="442">BD186+BF186+BH186</f>
        <v>0</v>
      </c>
      <c r="AE186" s="280">
        <f t="shared" ref="AE186:AE187" si="443">AC186-AD186</f>
        <v>13300</v>
      </c>
      <c r="AF186" s="367">
        <f t="shared" ref="AF186:AF187" si="444">BI186+BK186+BM186</f>
        <v>0</v>
      </c>
      <c r="AG186" s="363">
        <f t="shared" ref="AG186:AG187" si="445">BJ186+BL186+BN186</f>
        <v>0</v>
      </c>
      <c r="AH186" s="280">
        <f t="shared" ref="AH186:AH187" si="446">AF186-AG186</f>
        <v>0</v>
      </c>
      <c r="AI186" s="367">
        <f t="shared" ref="AI186:AI187" si="447">BO186+BQ186+BS186</f>
        <v>0</v>
      </c>
      <c r="AJ186" s="363">
        <f t="shared" ref="AJ186:AJ187" si="448">BP186+BR186+BT186</f>
        <v>0</v>
      </c>
      <c r="AK186" s="280">
        <f t="shared" ref="AK186:AK187" si="449">AI186-AJ186</f>
        <v>0</v>
      </c>
      <c r="AL186" s="368"/>
      <c r="AM186" s="367">
        <f t="shared" ref="AM186:AM187" si="450">Z186+AC186</f>
        <v>13300</v>
      </c>
      <c r="AN186" s="363">
        <f t="shared" ref="AN186:AN187" si="451">AA186+AD186</f>
        <v>0</v>
      </c>
      <c r="AO186" s="280">
        <f t="shared" ref="AO186:AO187" si="452">AM186-AN186</f>
        <v>13300</v>
      </c>
      <c r="AP186" s="367">
        <f t="shared" ref="AP186:AP187" si="453">Z186+AC186+AF186</f>
        <v>13300</v>
      </c>
      <c r="AQ186" s="363">
        <f t="shared" ref="AQ186:AQ187" si="454">AA186+AD186+AG186</f>
        <v>0</v>
      </c>
      <c r="AR186" s="280">
        <f t="shared" ref="AR186:AR187" si="455">AP186-AQ186</f>
        <v>13300</v>
      </c>
      <c r="AS186" s="367">
        <f>Z186+AC186+AF186+AI186</f>
        <v>13300</v>
      </c>
      <c r="AT186" s="363">
        <f t="shared" ref="AT186:AT187" si="456">AA186+AD186+AG186+AJ186</f>
        <v>0</v>
      </c>
      <c r="AU186" s="280">
        <f t="shared" ref="AU186:AU187" si="457">AS186-AT186</f>
        <v>13300</v>
      </c>
      <c r="AV186" s="588">
        <f t="shared" ref="AV186:AV187" si="458">L186-AS186</f>
        <v>-13300</v>
      </c>
      <c r="AW186" s="367">
        <f>AW187</f>
        <v>0</v>
      </c>
      <c r="AX186" s="367">
        <f t="shared" si="436"/>
        <v>0</v>
      </c>
      <c r="AY186" s="367">
        <f t="shared" si="436"/>
        <v>0</v>
      </c>
      <c r="AZ186" s="367">
        <f t="shared" si="436"/>
        <v>0</v>
      </c>
      <c r="BA186" s="367">
        <f t="shared" si="436"/>
        <v>0</v>
      </c>
      <c r="BB186" s="367">
        <f t="shared" si="436"/>
        <v>0</v>
      </c>
      <c r="BC186" s="367">
        <f t="shared" si="436"/>
        <v>6800</v>
      </c>
      <c r="BD186" s="367">
        <f t="shared" si="436"/>
        <v>0</v>
      </c>
      <c r="BE186" s="367">
        <f t="shared" si="436"/>
        <v>6500</v>
      </c>
      <c r="BF186" s="367">
        <f t="shared" si="436"/>
        <v>0</v>
      </c>
      <c r="BG186" s="367">
        <f t="shared" si="436"/>
        <v>0</v>
      </c>
      <c r="BH186" s="367">
        <f t="shared" si="436"/>
        <v>0</v>
      </c>
      <c r="BI186" s="367">
        <f t="shared" si="436"/>
        <v>0</v>
      </c>
      <c r="BJ186" s="367">
        <f t="shared" si="436"/>
        <v>0</v>
      </c>
      <c r="BK186" s="367">
        <f t="shared" si="436"/>
        <v>0</v>
      </c>
      <c r="BL186" s="367">
        <f t="shared" si="436"/>
        <v>0</v>
      </c>
      <c r="BM186" s="367">
        <f t="shared" si="436"/>
        <v>0</v>
      </c>
      <c r="BN186" s="367">
        <f t="shared" si="436"/>
        <v>0</v>
      </c>
      <c r="BO186" s="367">
        <f t="shared" si="436"/>
        <v>0</v>
      </c>
      <c r="BP186" s="367">
        <f t="shared" si="436"/>
        <v>0</v>
      </c>
      <c r="BQ186" s="367">
        <f t="shared" si="436"/>
        <v>0</v>
      </c>
      <c r="BR186" s="367">
        <f t="shared" si="436"/>
        <v>0</v>
      </c>
      <c r="BS186" s="367">
        <f t="shared" si="436"/>
        <v>0</v>
      </c>
      <c r="BT186" s="367">
        <f t="shared" si="436"/>
        <v>0</v>
      </c>
    </row>
    <row r="187" spans="1:72" s="313" customFormat="1" ht="25.5" outlineLevel="1">
      <c r="A187" s="287">
        <v>162</v>
      </c>
      <c r="B187" s="1148" t="s">
        <v>767</v>
      </c>
      <c r="C187" s="840"/>
      <c r="D187" s="841"/>
      <c r="E187" s="839"/>
      <c r="F187" s="821" t="s">
        <v>23</v>
      </c>
      <c r="G187" s="314">
        <v>2</v>
      </c>
      <c r="H187" s="739" t="s">
        <v>71</v>
      </c>
      <c r="I187" s="739">
        <v>112</v>
      </c>
      <c r="J187" s="740">
        <v>212</v>
      </c>
      <c r="K187" s="533" t="s">
        <v>766</v>
      </c>
      <c r="L187" s="1025">
        <v>0</v>
      </c>
      <c r="M187" s="318"/>
      <c r="N187" s="318">
        <v>13300</v>
      </c>
      <c r="O187" s="1052">
        <f t="shared" si="437"/>
        <v>13300</v>
      </c>
      <c r="P187" s="570"/>
      <c r="Q187" s="341">
        <v>0</v>
      </c>
      <c r="R187" s="559"/>
      <c r="S187" s="540">
        <v>0</v>
      </c>
      <c r="T187" s="559"/>
      <c r="U187" s="335"/>
      <c r="V187" s="320"/>
      <c r="W187" s="320"/>
      <c r="X187" s="320"/>
      <c r="Z187" s="336">
        <f t="shared" si="438"/>
        <v>0</v>
      </c>
      <c r="AA187" s="337">
        <f t="shared" si="439"/>
        <v>0</v>
      </c>
      <c r="AB187" s="338">
        <f t="shared" si="440"/>
        <v>0</v>
      </c>
      <c r="AC187" s="336">
        <f t="shared" si="441"/>
        <v>13300</v>
      </c>
      <c r="AD187" s="337">
        <f t="shared" si="442"/>
        <v>0</v>
      </c>
      <c r="AE187" s="338">
        <f t="shared" si="443"/>
        <v>13300</v>
      </c>
      <c r="AF187" s="336">
        <f t="shared" si="444"/>
        <v>0</v>
      </c>
      <c r="AG187" s="337">
        <f t="shared" si="445"/>
        <v>0</v>
      </c>
      <c r="AH187" s="338">
        <f t="shared" si="446"/>
        <v>0</v>
      </c>
      <c r="AI187" s="336">
        <f t="shared" si="447"/>
        <v>0</v>
      </c>
      <c r="AJ187" s="337">
        <f t="shared" si="448"/>
        <v>0</v>
      </c>
      <c r="AK187" s="338">
        <f t="shared" si="449"/>
        <v>0</v>
      </c>
      <c r="AL187" s="342"/>
      <c r="AM187" s="336">
        <f t="shared" si="450"/>
        <v>13300</v>
      </c>
      <c r="AN187" s="339">
        <f t="shared" si="451"/>
        <v>0</v>
      </c>
      <c r="AO187" s="340">
        <f t="shared" si="452"/>
        <v>13300</v>
      </c>
      <c r="AP187" s="336">
        <f t="shared" si="453"/>
        <v>13300</v>
      </c>
      <c r="AQ187" s="339">
        <f t="shared" si="454"/>
        <v>0</v>
      </c>
      <c r="AR187" s="340">
        <f t="shared" si="455"/>
        <v>13300</v>
      </c>
      <c r="AS187" s="341">
        <f t="shared" ref="AS187" si="459">Z187+AC187+AF187+AI187</f>
        <v>13300</v>
      </c>
      <c r="AT187" s="339">
        <f t="shared" si="456"/>
        <v>0</v>
      </c>
      <c r="AU187" s="340">
        <f t="shared" si="457"/>
        <v>13300</v>
      </c>
      <c r="AV187" s="589">
        <f t="shared" si="458"/>
        <v>-13300</v>
      </c>
      <c r="AW187" s="343"/>
      <c r="AX187" s="344"/>
      <c r="AY187" s="345"/>
      <c r="AZ187" s="344"/>
      <c r="BA187" s="345"/>
      <c r="BB187" s="346"/>
      <c r="BC187" s="347">
        <v>6800</v>
      </c>
      <c r="BD187" s="348"/>
      <c r="BE187" s="349">
        <v>6500</v>
      </c>
      <c r="BF187" s="348"/>
      <c r="BG187" s="349"/>
      <c r="BH187" s="350"/>
      <c r="BI187" s="351"/>
      <c r="BJ187" s="352"/>
      <c r="BK187" s="337"/>
      <c r="BL187" s="352"/>
      <c r="BM187" s="337"/>
      <c r="BN187" s="353"/>
      <c r="BO187" s="354"/>
      <c r="BP187" s="355"/>
      <c r="BQ187" s="356"/>
      <c r="BR187" s="355"/>
      <c r="BS187" s="356"/>
      <c r="BT187" s="357"/>
    </row>
    <row r="188" spans="1:72" s="358" customFormat="1" ht="31.5">
      <c r="A188" s="287">
        <v>163</v>
      </c>
      <c r="B188" s="933"/>
      <c r="C188" s="837"/>
      <c r="D188" s="838"/>
      <c r="E188" s="836" t="s">
        <v>201</v>
      </c>
      <c r="F188" s="820" t="s">
        <v>23</v>
      </c>
      <c r="G188" s="360">
        <v>2</v>
      </c>
      <c r="H188" s="360" t="s">
        <v>69</v>
      </c>
      <c r="I188" s="360">
        <v>119</v>
      </c>
      <c r="J188" s="361">
        <v>213</v>
      </c>
      <c r="K188" s="532" t="s">
        <v>10</v>
      </c>
      <c r="L188" s="1042">
        <f>1484134.59+M188</f>
        <v>1488234.59</v>
      </c>
      <c r="M188" s="586">
        <v>4100</v>
      </c>
      <c r="N188" s="586"/>
      <c r="O188" s="1053">
        <f t="shared" si="424"/>
        <v>1488234.59</v>
      </c>
      <c r="P188" s="587"/>
      <c r="Q188" s="367">
        <v>1484134.59</v>
      </c>
      <c r="R188" s="557"/>
      <c r="S188" s="367">
        <v>1484134.59</v>
      </c>
      <c r="T188" s="557"/>
      <c r="U188" s="365"/>
      <c r="V188" s="366"/>
      <c r="W188" s="366"/>
      <c r="X188" s="366"/>
      <c r="Z188" s="367">
        <f>AW188+AY188+BA188</f>
        <v>1484134.59</v>
      </c>
      <c r="AA188" s="363">
        <f>AX188+AZ188+BB188</f>
        <v>110883.95</v>
      </c>
      <c r="AB188" s="280">
        <f>Z188-AA188</f>
        <v>1373250.64</v>
      </c>
      <c r="AC188" s="367">
        <f>BC188+BE188+BG188</f>
        <v>0</v>
      </c>
      <c r="AD188" s="363">
        <f>BD188+BF188+BH188</f>
        <v>0</v>
      </c>
      <c r="AE188" s="280">
        <f>AC188-AD188</f>
        <v>0</v>
      </c>
      <c r="AF188" s="367">
        <f>BI188+BK188+BM188</f>
        <v>0</v>
      </c>
      <c r="AG188" s="363">
        <f>BJ188+BL188+BN188</f>
        <v>0</v>
      </c>
      <c r="AH188" s="280">
        <f>AF188-AG188</f>
        <v>0</v>
      </c>
      <c r="AI188" s="367">
        <f>BO188+BQ188+BS188</f>
        <v>0</v>
      </c>
      <c r="AJ188" s="363">
        <f>BP188+BR188+BT188</f>
        <v>0</v>
      </c>
      <c r="AK188" s="280">
        <f>AI188-AJ188</f>
        <v>0</v>
      </c>
      <c r="AL188" s="368"/>
      <c r="AM188" s="367">
        <f>Z188+AC188</f>
        <v>1484134.59</v>
      </c>
      <c r="AN188" s="363">
        <f>AA188+AD188</f>
        <v>110883.95</v>
      </c>
      <c r="AO188" s="280">
        <f>AM188-AN188</f>
        <v>1373250.64</v>
      </c>
      <c r="AP188" s="367">
        <f>Z188+AC188+AF188</f>
        <v>1484134.59</v>
      </c>
      <c r="AQ188" s="363">
        <f>AA188+AD188+AG188</f>
        <v>110883.95</v>
      </c>
      <c r="AR188" s="280">
        <f>AP188-AQ188</f>
        <v>1373250.64</v>
      </c>
      <c r="AS188" s="367">
        <f>Z188+AC188+AF188+AI188</f>
        <v>1484134.59</v>
      </c>
      <c r="AT188" s="363">
        <f>AA188+AD188+AG188+AJ188</f>
        <v>110883.95</v>
      </c>
      <c r="AU188" s="280">
        <f>AS188-AT188</f>
        <v>1373250.64</v>
      </c>
      <c r="AV188" s="588">
        <f t="shared" si="423"/>
        <v>4100</v>
      </c>
      <c r="AW188" s="367">
        <v>1484134.59</v>
      </c>
      <c r="AX188" s="363"/>
      <c r="AY188" s="363"/>
      <c r="AZ188" s="363"/>
      <c r="BA188" s="363"/>
      <c r="BB188" s="369">
        <v>110883.95</v>
      </c>
      <c r="BC188" s="367"/>
      <c r="BD188" s="363"/>
      <c r="BE188" s="363"/>
      <c r="BF188" s="363"/>
      <c r="BG188" s="363"/>
      <c r="BH188" s="369"/>
      <c r="BI188" s="367"/>
      <c r="BJ188" s="363"/>
      <c r="BK188" s="363"/>
      <c r="BL188" s="363"/>
      <c r="BM188" s="363"/>
      <c r="BN188" s="369"/>
      <c r="BO188" s="367"/>
      <c r="BP188" s="363"/>
      <c r="BQ188" s="363"/>
      <c r="BR188" s="363"/>
      <c r="BS188" s="363"/>
      <c r="BT188" s="280"/>
    </row>
    <row r="189" spans="1:72" s="358" customFormat="1" ht="63">
      <c r="A189" s="287">
        <v>164</v>
      </c>
      <c r="B189" s="933"/>
      <c r="C189" s="837"/>
      <c r="D189" s="838"/>
      <c r="E189" s="836" t="s">
        <v>201</v>
      </c>
      <c r="F189" s="820" t="s">
        <v>23</v>
      </c>
      <c r="G189" s="360">
        <v>2</v>
      </c>
      <c r="H189" s="360" t="s">
        <v>71</v>
      </c>
      <c r="I189" s="360">
        <v>111</v>
      </c>
      <c r="J189" s="361">
        <v>266</v>
      </c>
      <c r="K189" s="532" t="s">
        <v>43</v>
      </c>
      <c r="L189" s="1023">
        <v>39600</v>
      </c>
      <c r="M189" s="363"/>
      <c r="N189" s="363"/>
      <c r="O189" s="1051">
        <f t="shared" si="424"/>
        <v>39600</v>
      </c>
      <c r="P189" s="571"/>
      <c r="Q189" s="367">
        <v>39600</v>
      </c>
      <c r="R189" s="557"/>
      <c r="S189" s="367">
        <v>39600</v>
      </c>
      <c r="T189" s="557"/>
      <c r="U189" s="365"/>
      <c r="V189" s="366"/>
      <c r="W189" s="366"/>
      <c r="X189" s="366"/>
      <c r="Z189" s="367">
        <f t="shared" si="425"/>
        <v>39600</v>
      </c>
      <c r="AA189" s="363">
        <f t="shared" si="425"/>
        <v>0</v>
      </c>
      <c r="AB189" s="280">
        <f t="shared" si="426"/>
        <v>39600</v>
      </c>
      <c r="AC189" s="367">
        <f t="shared" si="427"/>
        <v>0</v>
      </c>
      <c r="AD189" s="363">
        <f t="shared" si="427"/>
        <v>0</v>
      </c>
      <c r="AE189" s="280">
        <f t="shared" si="428"/>
        <v>0</v>
      </c>
      <c r="AF189" s="367">
        <f t="shared" si="429"/>
        <v>0</v>
      </c>
      <c r="AG189" s="363">
        <f t="shared" si="429"/>
        <v>0</v>
      </c>
      <c r="AH189" s="280">
        <f t="shared" si="430"/>
        <v>0</v>
      </c>
      <c r="AI189" s="367">
        <f t="shared" si="431"/>
        <v>0</v>
      </c>
      <c r="AJ189" s="363">
        <f t="shared" si="431"/>
        <v>0</v>
      </c>
      <c r="AK189" s="280">
        <f t="shared" si="432"/>
        <v>0</v>
      </c>
      <c r="AL189" s="368"/>
      <c r="AM189" s="367">
        <f t="shared" si="433"/>
        <v>39600</v>
      </c>
      <c r="AN189" s="363">
        <f t="shared" si="433"/>
        <v>0</v>
      </c>
      <c r="AO189" s="280">
        <f t="shared" si="434"/>
        <v>39600</v>
      </c>
      <c r="AP189" s="367">
        <f t="shared" si="435"/>
        <v>39600</v>
      </c>
      <c r="AQ189" s="363">
        <f t="shared" si="435"/>
        <v>0</v>
      </c>
      <c r="AR189" s="280">
        <f t="shared" si="420"/>
        <v>39600</v>
      </c>
      <c r="AS189" s="367">
        <f t="shared" si="421"/>
        <v>39600</v>
      </c>
      <c r="AT189" s="363">
        <f t="shared" si="421"/>
        <v>0</v>
      </c>
      <c r="AU189" s="280">
        <f t="shared" si="422"/>
        <v>39600</v>
      </c>
      <c r="AV189" s="588">
        <f t="shared" si="423"/>
        <v>0</v>
      </c>
      <c r="AW189" s="367">
        <v>39600</v>
      </c>
      <c r="AX189" s="363"/>
      <c r="AY189" s="363"/>
      <c r="AZ189" s="363"/>
      <c r="BA189" s="363"/>
      <c r="BB189" s="369"/>
      <c r="BC189" s="367"/>
      <c r="BD189" s="363"/>
      <c r="BE189" s="363"/>
      <c r="BF189" s="363"/>
      <c r="BG189" s="363"/>
      <c r="BH189" s="369"/>
      <c r="BI189" s="367"/>
      <c r="BJ189" s="363"/>
      <c r="BK189" s="363"/>
      <c r="BL189" s="363"/>
      <c r="BM189" s="363"/>
      <c r="BN189" s="369"/>
      <c r="BO189" s="367"/>
      <c r="BP189" s="363"/>
      <c r="BQ189" s="363"/>
      <c r="BR189" s="363"/>
      <c r="BS189" s="363"/>
      <c r="BT189" s="280"/>
    </row>
    <row r="190" spans="1:72" s="358" customFormat="1" ht="47.25">
      <c r="A190" s="287">
        <v>165</v>
      </c>
      <c r="B190" s="933"/>
      <c r="C190" s="837"/>
      <c r="D190" s="838"/>
      <c r="E190" s="836" t="s">
        <v>201</v>
      </c>
      <c r="F190" s="820" t="s">
        <v>23</v>
      </c>
      <c r="G190" s="360">
        <v>2</v>
      </c>
      <c r="H190" s="360" t="s">
        <v>71</v>
      </c>
      <c r="I190" s="360">
        <v>112</v>
      </c>
      <c r="J190" s="361">
        <v>266</v>
      </c>
      <c r="K190" s="532" t="s">
        <v>220</v>
      </c>
      <c r="L190" s="1023">
        <f>1020+M190</f>
        <v>1920</v>
      </c>
      <c r="M190" s="363">
        <v>900</v>
      </c>
      <c r="N190" s="363"/>
      <c r="O190" s="1051">
        <f t="shared" si="424"/>
        <v>1920</v>
      </c>
      <c r="P190" s="571"/>
      <c r="Q190" s="367">
        <v>425</v>
      </c>
      <c r="R190" s="557"/>
      <c r="S190" s="367">
        <v>0</v>
      </c>
      <c r="T190" s="557"/>
      <c r="U190" s="365"/>
      <c r="V190" s="366"/>
      <c r="W190" s="366"/>
      <c r="X190" s="366"/>
      <c r="Z190" s="367">
        <f t="shared" si="425"/>
        <v>170</v>
      </c>
      <c r="AA190" s="363">
        <f t="shared" si="425"/>
        <v>150</v>
      </c>
      <c r="AB190" s="280">
        <f t="shared" si="426"/>
        <v>20</v>
      </c>
      <c r="AC190" s="367">
        <f t="shared" si="427"/>
        <v>255</v>
      </c>
      <c r="AD190" s="363">
        <f t="shared" si="427"/>
        <v>0</v>
      </c>
      <c r="AE190" s="280">
        <f t="shared" si="428"/>
        <v>255</v>
      </c>
      <c r="AF190" s="367">
        <f t="shared" si="429"/>
        <v>255</v>
      </c>
      <c r="AG190" s="363">
        <f t="shared" si="429"/>
        <v>0</v>
      </c>
      <c r="AH190" s="280">
        <f t="shared" si="430"/>
        <v>255</v>
      </c>
      <c r="AI190" s="367">
        <f t="shared" si="431"/>
        <v>340</v>
      </c>
      <c r="AJ190" s="363">
        <f t="shared" si="431"/>
        <v>0</v>
      </c>
      <c r="AK190" s="280">
        <f t="shared" si="432"/>
        <v>340</v>
      </c>
      <c r="AL190" s="368"/>
      <c r="AM190" s="367">
        <f t="shared" si="433"/>
        <v>425</v>
      </c>
      <c r="AN190" s="363">
        <f t="shared" si="433"/>
        <v>150</v>
      </c>
      <c r="AO190" s="280">
        <f t="shared" si="434"/>
        <v>275</v>
      </c>
      <c r="AP190" s="367">
        <f t="shared" si="435"/>
        <v>680</v>
      </c>
      <c r="AQ190" s="363">
        <f t="shared" si="435"/>
        <v>150</v>
      </c>
      <c r="AR190" s="280">
        <f t="shared" si="420"/>
        <v>530</v>
      </c>
      <c r="AS190" s="367">
        <f t="shared" si="421"/>
        <v>1020</v>
      </c>
      <c r="AT190" s="363">
        <f t="shared" si="421"/>
        <v>150</v>
      </c>
      <c r="AU190" s="280">
        <f t="shared" si="422"/>
        <v>870</v>
      </c>
      <c r="AV190" s="588">
        <f t="shared" si="423"/>
        <v>900</v>
      </c>
      <c r="AW190" s="367"/>
      <c r="AX190" s="363"/>
      <c r="AY190" s="363">
        <v>85</v>
      </c>
      <c r="AZ190" s="363">
        <v>75</v>
      </c>
      <c r="BA190" s="363">
        <v>85</v>
      </c>
      <c r="BB190" s="369">
        <v>75</v>
      </c>
      <c r="BC190" s="367">
        <v>85</v>
      </c>
      <c r="BD190" s="363"/>
      <c r="BE190" s="363">
        <v>85</v>
      </c>
      <c r="BF190" s="363"/>
      <c r="BG190" s="363">
        <v>85</v>
      </c>
      <c r="BH190" s="369"/>
      <c r="BI190" s="367">
        <v>85</v>
      </c>
      <c r="BJ190" s="363"/>
      <c r="BK190" s="363">
        <v>85</v>
      </c>
      <c r="BL190" s="363"/>
      <c r="BM190" s="363">
        <v>85</v>
      </c>
      <c r="BN190" s="369"/>
      <c r="BO190" s="367">
        <v>85</v>
      </c>
      <c r="BP190" s="363"/>
      <c r="BQ190" s="363">
        <v>85</v>
      </c>
      <c r="BR190" s="363"/>
      <c r="BS190" s="363">
        <f>85*2</f>
        <v>170</v>
      </c>
      <c r="BT190" s="280"/>
    </row>
    <row r="191" spans="1:72" s="358" customFormat="1" ht="31.5">
      <c r="A191" s="287">
        <v>166</v>
      </c>
      <c r="B191" s="933"/>
      <c r="C191" s="837"/>
      <c r="D191" s="838"/>
      <c r="E191" s="836" t="s">
        <v>201</v>
      </c>
      <c r="F191" s="820" t="s">
        <v>23</v>
      </c>
      <c r="G191" s="360">
        <v>2</v>
      </c>
      <c r="H191" s="360" t="s">
        <v>71</v>
      </c>
      <c r="I191" s="374">
        <v>112</v>
      </c>
      <c r="J191" s="361">
        <v>214</v>
      </c>
      <c r="K191" s="532" t="s">
        <v>35</v>
      </c>
      <c r="L191" s="1023">
        <v>40000</v>
      </c>
      <c r="M191" s="363"/>
      <c r="N191" s="363"/>
      <c r="O191" s="1051">
        <f t="shared" si="424"/>
        <v>40000</v>
      </c>
      <c r="P191" s="571"/>
      <c r="Q191" s="367">
        <v>100000</v>
      </c>
      <c r="R191" s="557"/>
      <c r="S191" s="367">
        <v>40000</v>
      </c>
      <c r="T191" s="557"/>
      <c r="U191" s="365"/>
      <c r="V191" s="366"/>
      <c r="W191" s="366"/>
      <c r="X191" s="366"/>
      <c r="Z191" s="367">
        <f t="shared" si="425"/>
        <v>0</v>
      </c>
      <c r="AA191" s="363">
        <f t="shared" si="425"/>
        <v>0</v>
      </c>
      <c r="AB191" s="280">
        <f t="shared" si="426"/>
        <v>0</v>
      </c>
      <c r="AC191" s="367">
        <f t="shared" si="427"/>
        <v>0</v>
      </c>
      <c r="AD191" s="363">
        <f t="shared" si="427"/>
        <v>0</v>
      </c>
      <c r="AE191" s="280">
        <f t="shared" si="428"/>
        <v>0</v>
      </c>
      <c r="AF191" s="367">
        <f t="shared" si="429"/>
        <v>40000</v>
      </c>
      <c r="AG191" s="363">
        <f t="shared" si="429"/>
        <v>0</v>
      </c>
      <c r="AH191" s="280">
        <f t="shared" si="430"/>
        <v>40000</v>
      </c>
      <c r="AI191" s="367">
        <f t="shared" si="431"/>
        <v>0</v>
      </c>
      <c r="AJ191" s="363">
        <f t="shared" si="431"/>
        <v>0</v>
      </c>
      <c r="AK191" s="280">
        <f t="shared" si="432"/>
        <v>0</v>
      </c>
      <c r="AL191" s="368"/>
      <c r="AM191" s="367">
        <f t="shared" si="433"/>
        <v>0</v>
      </c>
      <c r="AN191" s="363">
        <f t="shared" si="433"/>
        <v>0</v>
      </c>
      <c r="AO191" s="280">
        <f t="shared" si="434"/>
        <v>0</v>
      </c>
      <c r="AP191" s="367">
        <f t="shared" si="435"/>
        <v>40000</v>
      </c>
      <c r="AQ191" s="363">
        <f t="shared" si="435"/>
        <v>0</v>
      </c>
      <c r="AR191" s="280">
        <f t="shared" si="420"/>
        <v>40000</v>
      </c>
      <c r="AS191" s="367">
        <f t="shared" si="421"/>
        <v>40000</v>
      </c>
      <c r="AT191" s="363">
        <f t="shared" si="421"/>
        <v>0</v>
      </c>
      <c r="AU191" s="280">
        <f t="shared" si="422"/>
        <v>40000</v>
      </c>
      <c r="AV191" s="588">
        <f t="shared" si="423"/>
        <v>0</v>
      </c>
      <c r="AW191" s="367"/>
      <c r="AX191" s="363"/>
      <c r="AY191" s="363"/>
      <c r="AZ191" s="363"/>
      <c r="BA191" s="363"/>
      <c r="BB191" s="369"/>
      <c r="BC191" s="367"/>
      <c r="BD191" s="363"/>
      <c r="BE191" s="363"/>
      <c r="BF191" s="363"/>
      <c r="BG191" s="363"/>
      <c r="BH191" s="369"/>
      <c r="BI191" s="367">
        <v>40000</v>
      </c>
      <c r="BJ191" s="363"/>
      <c r="BK191" s="363"/>
      <c r="BL191" s="363"/>
      <c r="BM191" s="363"/>
      <c r="BN191" s="369"/>
      <c r="BO191" s="367"/>
      <c r="BP191" s="363"/>
      <c r="BQ191" s="363"/>
      <c r="BR191" s="363"/>
      <c r="BS191" s="363"/>
      <c r="BT191" s="280"/>
    </row>
    <row r="192" spans="1:72" s="358" customFormat="1" ht="31.5" customHeight="1">
      <c r="A192" s="287">
        <v>167</v>
      </c>
      <c r="B192" s="933"/>
      <c r="C192" s="850" t="s">
        <v>377</v>
      </c>
      <c r="D192" s="838"/>
      <c r="E192" s="836" t="s">
        <v>201</v>
      </c>
      <c r="F192" s="820" t="s">
        <v>23</v>
      </c>
      <c r="G192" s="360">
        <v>2</v>
      </c>
      <c r="H192" s="360" t="s">
        <v>71</v>
      </c>
      <c r="I192" s="360">
        <v>244</v>
      </c>
      <c r="J192" s="361">
        <v>221</v>
      </c>
      <c r="K192" s="532" t="s">
        <v>11</v>
      </c>
      <c r="L192" s="1023">
        <f>SUM(L193:L196)</f>
        <v>32310.1</v>
      </c>
      <c r="M192" s="363"/>
      <c r="N192" s="363"/>
      <c r="O192" s="1051">
        <f t="shared" si="424"/>
        <v>32310.1</v>
      </c>
      <c r="P192" s="571"/>
      <c r="Q192" s="367">
        <f>SUM(Q193:Q196)</f>
        <v>32310.09</v>
      </c>
      <c r="R192" s="557"/>
      <c r="S192" s="367">
        <f>SUM(S193:S196)</f>
        <v>31052.92</v>
      </c>
      <c r="T192" s="557"/>
      <c r="U192" s="365"/>
      <c r="V192" s="366"/>
      <c r="W192" s="366"/>
      <c r="X192" s="391">
        <v>0.14119999999999999</v>
      </c>
      <c r="Z192" s="367">
        <f t="shared" si="425"/>
        <v>318</v>
      </c>
      <c r="AA192" s="363">
        <f t="shared" si="425"/>
        <v>318</v>
      </c>
      <c r="AB192" s="280">
        <f t="shared" si="426"/>
        <v>0</v>
      </c>
      <c r="AC192" s="367">
        <f t="shared" si="427"/>
        <v>976</v>
      </c>
      <c r="AD192" s="363">
        <f t="shared" si="427"/>
        <v>0</v>
      </c>
      <c r="AE192" s="280">
        <f t="shared" si="428"/>
        <v>976</v>
      </c>
      <c r="AF192" s="367">
        <f t="shared" si="429"/>
        <v>5024</v>
      </c>
      <c r="AG192" s="363">
        <f t="shared" si="429"/>
        <v>0</v>
      </c>
      <c r="AH192" s="280">
        <f t="shared" si="430"/>
        <v>5024</v>
      </c>
      <c r="AI192" s="367">
        <f t="shared" si="431"/>
        <v>25992.1</v>
      </c>
      <c r="AJ192" s="363">
        <f t="shared" si="431"/>
        <v>0</v>
      </c>
      <c r="AK192" s="280">
        <f t="shared" si="432"/>
        <v>25992.1</v>
      </c>
      <c r="AL192" s="368"/>
      <c r="AM192" s="367">
        <f t="shared" si="433"/>
        <v>1294</v>
      </c>
      <c r="AN192" s="363">
        <f t="shared" si="433"/>
        <v>318</v>
      </c>
      <c r="AO192" s="280">
        <f t="shared" si="434"/>
        <v>976</v>
      </c>
      <c r="AP192" s="367">
        <f t="shared" si="435"/>
        <v>6318</v>
      </c>
      <c r="AQ192" s="363">
        <f t="shared" si="435"/>
        <v>318</v>
      </c>
      <c r="AR192" s="280">
        <f t="shared" si="420"/>
        <v>6000</v>
      </c>
      <c r="AS192" s="367">
        <f t="shared" si="421"/>
        <v>32310.1</v>
      </c>
      <c r="AT192" s="363">
        <f t="shared" si="421"/>
        <v>318</v>
      </c>
      <c r="AU192" s="280">
        <f t="shared" si="422"/>
        <v>31992.1</v>
      </c>
      <c r="AV192" s="588">
        <f t="shared" si="423"/>
        <v>0</v>
      </c>
      <c r="AW192" s="367">
        <f t="shared" ref="AW192:BT192" si="460">SUM(AW193:AW196)</f>
        <v>0</v>
      </c>
      <c r="AX192" s="363">
        <f t="shared" si="460"/>
        <v>0</v>
      </c>
      <c r="AY192" s="363">
        <f t="shared" si="460"/>
        <v>0</v>
      </c>
      <c r="AZ192" s="363">
        <f t="shared" si="460"/>
        <v>0</v>
      </c>
      <c r="BA192" s="363">
        <f t="shared" si="460"/>
        <v>318</v>
      </c>
      <c r="BB192" s="369">
        <f t="shared" si="460"/>
        <v>318</v>
      </c>
      <c r="BC192" s="367">
        <f t="shared" si="460"/>
        <v>523</v>
      </c>
      <c r="BD192" s="363">
        <f t="shared" si="460"/>
        <v>0</v>
      </c>
      <c r="BE192" s="363">
        <f t="shared" si="460"/>
        <v>453</v>
      </c>
      <c r="BF192" s="363">
        <f t="shared" si="460"/>
        <v>0</v>
      </c>
      <c r="BG192" s="363">
        <f t="shared" si="460"/>
        <v>0</v>
      </c>
      <c r="BH192" s="369">
        <f t="shared" si="460"/>
        <v>0</v>
      </c>
      <c r="BI192" s="367">
        <f t="shared" si="460"/>
        <v>0</v>
      </c>
      <c r="BJ192" s="363">
        <f t="shared" si="460"/>
        <v>0</v>
      </c>
      <c r="BK192" s="363">
        <f t="shared" si="460"/>
        <v>2024</v>
      </c>
      <c r="BL192" s="363">
        <f t="shared" si="460"/>
        <v>0</v>
      </c>
      <c r="BM192" s="363">
        <f t="shared" si="460"/>
        <v>3000</v>
      </c>
      <c r="BN192" s="369">
        <f t="shared" si="460"/>
        <v>0</v>
      </c>
      <c r="BO192" s="367">
        <f t="shared" si="460"/>
        <v>3000</v>
      </c>
      <c r="BP192" s="363">
        <f t="shared" si="460"/>
        <v>0</v>
      </c>
      <c r="BQ192" s="363">
        <f t="shared" si="460"/>
        <v>7800</v>
      </c>
      <c r="BR192" s="363">
        <f t="shared" si="460"/>
        <v>0</v>
      </c>
      <c r="BS192" s="363">
        <f t="shared" si="460"/>
        <v>15192.1</v>
      </c>
      <c r="BT192" s="280">
        <f t="shared" si="460"/>
        <v>0</v>
      </c>
    </row>
    <row r="193" spans="1:72" s="313" customFormat="1" ht="38.25" outlineLevel="1">
      <c r="A193" s="287">
        <v>168</v>
      </c>
      <c r="B193" s="933"/>
      <c r="C193" s="840"/>
      <c r="D193" s="841"/>
      <c r="E193" s="839"/>
      <c r="F193" s="821" t="s">
        <v>23</v>
      </c>
      <c r="G193" s="314">
        <v>2</v>
      </c>
      <c r="H193" s="739" t="s">
        <v>71</v>
      </c>
      <c r="I193" s="739">
        <v>244</v>
      </c>
      <c r="J193" s="740">
        <v>221</v>
      </c>
      <c r="K193" s="533" t="s">
        <v>236</v>
      </c>
      <c r="L193" s="1025">
        <v>17910.099999999999</v>
      </c>
      <c r="M193" s="318"/>
      <c r="N193" s="318"/>
      <c r="O193" s="1052">
        <f t="shared" si="424"/>
        <v>17910.099999999999</v>
      </c>
      <c r="P193" s="570"/>
      <c r="Q193" s="336">
        <v>17910.09</v>
      </c>
      <c r="R193" s="559"/>
      <c r="S193" s="541">
        <v>16652.919999999998</v>
      </c>
      <c r="T193" s="559"/>
      <c r="U193" s="335"/>
      <c r="V193" s="596" t="s">
        <v>703</v>
      </c>
      <c r="W193" s="597" t="s">
        <v>704</v>
      </c>
      <c r="X193" s="320"/>
      <c r="Z193" s="336">
        <f t="shared" si="425"/>
        <v>318</v>
      </c>
      <c r="AA193" s="337">
        <f t="shared" si="425"/>
        <v>318</v>
      </c>
      <c r="AB193" s="338">
        <f t="shared" si="426"/>
        <v>0</v>
      </c>
      <c r="AC193" s="336">
        <f t="shared" si="427"/>
        <v>976</v>
      </c>
      <c r="AD193" s="337">
        <f t="shared" si="427"/>
        <v>0</v>
      </c>
      <c r="AE193" s="338">
        <f t="shared" si="428"/>
        <v>976</v>
      </c>
      <c r="AF193" s="336">
        <f t="shared" si="429"/>
        <v>5024</v>
      </c>
      <c r="AG193" s="337">
        <f t="shared" si="429"/>
        <v>0</v>
      </c>
      <c r="AH193" s="338">
        <f t="shared" si="430"/>
        <v>5024</v>
      </c>
      <c r="AI193" s="336">
        <f t="shared" si="431"/>
        <v>11592.1</v>
      </c>
      <c r="AJ193" s="337">
        <f t="shared" si="431"/>
        <v>0</v>
      </c>
      <c r="AK193" s="338">
        <f t="shared" si="432"/>
        <v>11592.1</v>
      </c>
      <c r="AL193" s="342"/>
      <c r="AM193" s="336">
        <f t="shared" si="433"/>
        <v>1294</v>
      </c>
      <c r="AN193" s="339">
        <f t="shared" si="433"/>
        <v>318</v>
      </c>
      <c r="AO193" s="340">
        <f t="shared" si="434"/>
        <v>976</v>
      </c>
      <c r="AP193" s="336">
        <f t="shared" si="435"/>
        <v>6318</v>
      </c>
      <c r="AQ193" s="339">
        <f t="shared" si="435"/>
        <v>318</v>
      </c>
      <c r="AR193" s="340">
        <f t="shared" si="420"/>
        <v>6000</v>
      </c>
      <c r="AS193" s="341">
        <f t="shared" si="421"/>
        <v>17910.099999999999</v>
      </c>
      <c r="AT193" s="339">
        <f t="shared" si="421"/>
        <v>318</v>
      </c>
      <c r="AU193" s="340">
        <f t="shared" si="422"/>
        <v>17592.099999999999</v>
      </c>
      <c r="AV193" s="589">
        <f t="shared" si="423"/>
        <v>0</v>
      </c>
      <c r="AW193" s="343"/>
      <c r="AX193" s="344"/>
      <c r="AY193" s="345"/>
      <c r="AZ193" s="344"/>
      <c r="BA193" s="345">
        <v>318</v>
      </c>
      <c r="BB193" s="346">
        <v>318</v>
      </c>
      <c r="BC193" s="1134">
        <f>261.5+261.5</f>
        <v>523</v>
      </c>
      <c r="BD193" s="348"/>
      <c r="BE193" s="1135">
        <v>453</v>
      </c>
      <c r="BF193" s="348"/>
      <c r="BG193" s="349"/>
      <c r="BH193" s="350"/>
      <c r="BI193" s="351"/>
      <c r="BJ193" s="352"/>
      <c r="BK193" s="337">
        <f>3000-523-453</f>
        <v>2024</v>
      </c>
      <c r="BL193" s="352"/>
      <c r="BM193" s="337">
        <v>3000</v>
      </c>
      <c r="BN193" s="353"/>
      <c r="BO193" s="354">
        <v>3000</v>
      </c>
      <c r="BP193" s="355"/>
      <c r="BQ193" s="356">
        <v>3000</v>
      </c>
      <c r="BR193" s="355"/>
      <c r="BS193" s="356">
        <f>3000+2910.1-318</f>
        <v>5592.1</v>
      </c>
      <c r="BT193" s="357"/>
    </row>
    <row r="194" spans="1:72" s="313" customFormat="1" ht="38.25" outlineLevel="1">
      <c r="A194" s="287">
        <v>169</v>
      </c>
      <c r="B194" s="933"/>
      <c r="C194" s="840"/>
      <c r="D194" s="841"/>
      <c r="E194" s="839"/>
      <c r="F194" s="821" t="s">
        <v>23</v>
      </c>
      <c r="G194" s="314">
        <v>2</v>
      </c>
      <c r="H194" s="739" t="s">
        <v>71</v>
      </c>
      <c r="I194" s="739">
        <v>244</v>
      </c>
      <c r="J194" s="740">
        <v>221</v>
      </c>
      <c r="K194" s="533" t="s">
        <v>422</v>
      </c>
      <c r="L194" s="1043">
        <v>0</v>
      </c>
      <c r="M194" s="318"/>
      <c r="N194" s="318"/>
      <c r="O194" s="1052">
        <f t="shared" si="424"/>
        <v>0</v>
      </c>
      <c r="P194" s="570"/>
      <c r="Q194" s="336">
        <v>0</v>
      </c>
      <c r="R194" s="559"/>
      <c r="S194" s="541">
        <v>0</v>
      </c>
      <c r="T194" s="559"/>
      <c r="U194" s="335"/>
      <c r="V194" s="320" t="s">
        <v>231</v>
      </c>
      <c r="W194" s="388" t="s">
        <v>232</v>
      </c>
      <c r="X194" s="388" t="s">
        <v>233</v>
      </c>
      <c r="Z194" s="336">
        <f t="shared" si="425"/>
        <v>0</v>
      </c>
      <c r="AA194" s="337">
        <f t="shared" si="425"/>
        <v>0</v>
      </c>
      <c r="AB194" s="338">
        <f t="shared" si="426"/>
        <v>0</v>
      </c>
      <c r="AC194" s="336">
        <f t="shared" si="427"/>
        <v>0</v>
      </c>
      <c r="AD194" s="337">
        <f t="shared" si="427"/>
        <v>0</v>
      </c>
      <c r="AE194" s="338">
        <f t="shared" si="428"/>
        <v>0</v>
      </c>
      <c r="AF194" s="336">
        <f t="shared" si="429"/>
        <v>0</v>
      </c>
      <c r="AG194" s="337">
        <f t="shared" si="429"/>
        <v>0</v>
      </c>
      <c r="AH194" s="338">
        <f t="shared" si="430"/>
        <v>0</v>
      </c>
      <c r="AI194" s="336">
        <f t="shared" si="431"/>
        <v>0</v>
      </c>
      <c r="AJ194" s="337">
        <f t="shared" si="431"/>
        <v>0</v>
      </c>
      <c r="AK194" s="338">
        <f t="shared" si="432"/>
        <v>0</v>
      </c>
      <c r="AL194" s="342"/>
      <c r="AM194" s="336">
        <f t="shared" si="433"/>
        <v>0</v>
      </c>
      <c r="AN194" s="339">
        <f t="shared" si="433"/>
        <v>0</v>
      </c>
      <c r="AO194" s="340">
        <f t="shared" si="434"/>
        <v>0</v>
      </c>
      <c r="AP194" s="336">
        <f t="shared" si="435"/>
        <v>0</v>
      </c>
      <c r="AQ194" s="339">
        <f t="shared" si="435"/>
        <v>0</v>
      </c>
      <c r="AR194" s="340">
        <f t="shared" si="420"/>
        <v>0</v>
      </c>
      <c r="AS194" s="341">
        <f t="shared" si="421"/>
        <v>0</v>
      </c>
      <c r="AT194" s="339">
        <f t="shared" si="421"/>
        <v>0</v>
      </c>
      <c r="AU194" s="340">
        <f t="shared" si="422"/>
        <v>0</v>
      </c>
      <c r="AV194" s="589">
        <f t="shared" si="423"/>
        <v>0</v>
      </c>
      <c r="AW194" s="343"/>
      <c r="AX194" s="344"/>
      <c r="AY194" s="345"/>
      <c r="AZ194" s="344"/>
      <c r="BA194" s="345"/>
      <c r="BB194" s="346"/>
      <c r="BC194" s="347"/>
      <c r="BD194" s="348"/>
      <c r="BE194" s="349"/>
      <c r="BF194" s="348"/>
      <c r="BG194" s="349"/>
      <c r="BH194" s="350"/>
      <c r="BI194" s="351"/>
      <c r="BJ194" s="352"/>
      <c r="BK194" s="337"/>
      <c r="BL194" s="352"/>
      <c r="BM194" s="337"/>
      <c r="BN194" s="353"/>
      <c r="BO194" s="354"/>
      <c r="BP194" s="355"/>
      <c r="BQ194" s="356"/>
      <c r="BR194" s="355"/>
      <c r="BS194" s="356"/>
      <c r="BT194" s="357"/>
    </row>
    <row r="195" spans="1:72" s="313" customFormat="1" ht="38.25" outlineLevel="1">
      <c r="A195" s="287">
        <v>170</v>
      </c>
      <c r="B195" s="933"/>
      <c r="C195" s="840"/>
      <c r="D195" s="841"/>
      <c r="E195" s="839"/>
      <c r="F195" s="821" t="s">
        <v>23</v>
      </c>
      <c r="G195" s="314">
        <v>2</v>
      </c>
      <c r="H195" s="739" t="s">
        <v>71</v>
      </c>
      <c r="I195" s="739">
        <v>244</v>
      </c>
      <c r="J195" s="740">
        <v>221</v>
      </c>
      <c r="K195" s="533" t="s">
        <v>421</v>
      </c>
      <c r="L195" s="1043">
        <v>0</v>
      </c>
      <c r="M195" s="318"/>
      <c r="N195" s="318"/>
      <c r="O195" s="1052">
        <f t="shared" si="424"/>
        <v>0</v>
      </c>
      <c r="P195" s="570"/>
      <c r="Q195" s="336">
        <v>0</v>
      </c>
      <c r="R195" s="559"/>
      <c r="S195" s="541">
        <v>0</v>
      </c>
      <c r="T195" s="559"/>
      <c r="U195" s="335"/>
      <c r="V195" s="320" t="s">
        <v>231</v>
      </c>
      <c r="W195" s="388" t="s">
        <v>369</v>
      </c>
      <c r="X195" s="388" t="s">
        <v>233</v>
      </c>
      <c r="Z195" s="336">
        <f t="shared" si="425"/>
        <v>0</v>
      </c>
      <c r="AA195" s="337">
        <f t="shared" si="425"/>
        <v>0</v>
      </c>
      <c r="AB195" s="338">
        <f t="shared" si="426"/>
        <v>0</v>
      </c>
      <c r="AC195" s="336">
        <f t="shared" si="427"/>
        <v>0</v>
      </c>
      <c r="AD195" s="337">
        <f t="shared" si="427"/>
        <v>0</v>
      </c>
      <c r="AE195" s="338">
        <f t="shared" si="428"/>
        <v>0</v>
      </c>
      <c r="AF195" s="336">
        <f t="shared" si="429"/>
        <v>0</v>
      </c>
      <c r="AG195" s="337">
        <f t="shared" si="429"/>
        <v>0</v>
      </c>
      <c r="AH195" s="338">
        <f t="shared" si="430"/>
        <v>0</v>
      </c>
      <c r="AI195" s="336">
        <f t="shared" si="431"/>
        <v>0</v>
      </c>
      <c r="AJ195" s="337">
        <f t="shared" si="431"/>
        <v>0</v>
      </c>
      <c r="AK195" s="338">
        <f t="shared" si="432"/>
        <v>0</v>
      </c>
      <c r="AL195" s="342"/>
      <c r="AM195" s="336">
        <f t="shared" si="433"/>
        <v>0</v>
      </c>
      <c r="AN195" s="339">
        <f t="shared" si="433"/>
        <v>0</v>
      </c>
      <c r="AO195" s="340">
        <f t="shared" si="434"/>
        <v>0</v>
      </c>
      <c r="AP195" s="336">
        <f t="shared" si="435"/>
        <v>0</v>
      </c>
      <c r="AQ195" s="339">
        <f t="shared" si="435"/>
        <v>0</v>
      </c>
      <c r="AR195" s="340">
        <f t="shared" si="420"/>
        <v>0</v>
      </c>
      <c r="AS195" s="341">
        <f t="shared" si="421"/>
        <v>0</v>
      </c>
      <c r="AT195" s="339">
        <f t="shared" si="421"/>
        <v>0</v>
      </c>
      <c r="AU195" s="340">
        <f t="shared" si="422"/>
        <v>0</v>
      </c>
      <c r="AV195" s="589">
        <f t="shared" si="423"/>
        <v>0</v>
      </c>
      <c r="AW195" s="343"/>
      <c r="AX195" s="344"/>
      <c r="AY195" s="345"/>
      <c r="AZ195" s="344"/>
      <c r="BA195" s="345"/>
      <c r="BB195" s="346"/>
      <c r="BC195" s="347"/>
      <c r="BD195" s="348"/>
      <c r="BE195" s="349"/>
      <c r="BF195" s="348"/>
      <c r="BG195" s="349"/>
      <c r="BH195" s="350"/>
      <c r="BI195" s="351"/>
      <c r="BJ195" s="352"/>
      <c r="BK195" s="337"/>
      <c r="BL195" s="352"/>
      <c r="BM195" s="337"/>
      <c r="BN195" s="353"/>
      <c r="BO195" s="354"/>
      <c r="BP195" s="355"/>
      <c r="BQ195" s="356"/>
      <c r="BR195" s="355"/>
      <c r="BS195" s="356"/>
      <c r="BT195" s="357"/>
    </row>
    <row r="196" spans="1:72" s="313" customFormat="1" ht="25.5" outlineLevel="1">
      <c r="A196" s="287">
        <v>171</v>
      </c>
      <c r="B196" s="933"/>
      <c r="C196" s="840"/>
      <c r="D196" s="841"/>
      <c r="E196" s="839"/>
      <c r="F196" s="821" t="s">
        <v>23</v>
      </c>
      <c r="G196" s="314">
        <v>2</v>
      </c>
      <c r="H196" s="739" t="s">
        <v>71</v>
      </c>
      <c r="I196" s="739">
        <v>244</v>
      </c>
      <c r="J196" s="740">
        <v>221</v>
      </c>
      <c r="K196" s="533" t="s">
        <v>428</v>
      </c>
      <c r="L196" s="1025">
        <v>14400</v>
      </c>
      <c r="M196" s="318"/>
      <c r="N196" s="318"/>
      <c r="O196" s="1052">
        <f t="shared" si="424"/>
        <v>14400</v>
      </c>
      <c r="P196" s="570"/>
      <c r="Q196" s="336">
        <v>14400</v>
      </c>
      <c r="R196" s="559"/>
      <c r="S196" s="541">
        <v>14400</v>
      </c>
      <c r="T196" s="559"/>
      <c r="U196" s="335"/>
      <c r="V196" s="596" t="s">
        <v>234</v>
      </c>
      <c r="W196" s="597" t="s">
        <v>427</v>
      </c>
      <c r="X196" s="597" t="s">
        <v>381</v>
      </c>
      <c r="Z196" s="336">
        <f t="shared" si="425"/>
        <v>0</v>
      </c>
      <c r="AA196" s="337">
        <f t="shared" si="425"/>
        <v>0</v>
      </c>
      <c r="AB196" s="338">
        <f t="shared" si="426"/>
        <v>0</v>
      </c>
      <c r="AC196" s="336">
        <f t="shared" si="427"/>
        <v>0</v>
      </c>
      <c r="AD196" s="337">
        <f t="shared" si="427"/>
        <v>0</v>
      </c>
      <c r="AE196" s="338">
        <f t="shared" si="428"/>
        <v>0</v>
      </c>
      <c r="AF196" s="336">
        <f t="shared" si="429"/>
        <v>0</v>
      </c>
      <c r="AG196" s="337">
        <f t="shared" si="429"/>
        <v>0</v>
      </c>
      <c r="AH196" s="338">
        <f t="shared" si="430"/>
        <v>0</v>
      </c>
      <c r="AI196" s="336">
        <f t="shared" si="431"/>
        <v>14400</v>
      </c>
      <c r="AJ196" s="337">
        <f t="shared" si="431"/>
        <v>0</v>
      </c>
      <c r="AK196" s="338">
        <f t="shared" si="432"/>
        <v>14400</v>
      </c>
      <c r="AL196" s="342"/>
      <c r="AM196" s="336">
        <f t="shared" si="433"/>
        <v>0</v>
      </c>
      <c r="AN196" s="339">
        <f t="shared" si="433"/>
        <v>0</v>
      </c>
      <c r="AO196" s="340">
        <f t="shared" si="434"/>
        <v>0</v>
      </c>
      <c r="AP196" s="336">
        <f t="shared" si="435"/>
        <v>0</v>
      </c>
      <c r="AQ196" s="339">
        <f t="shared" si="435"/>
        <v>0</v>
      </c>
      <c r="AR196" s="340">
        <f t="shared" si="420"/>
        <v>0</v>
      </c>
      <c r="AS196" s="341">
        <f t="shared" si="421"/>
        <v>14400</v>
      </c>
      <c r="AT196" s="339">
        <f t="shared" si="421"/>
        <v>0</v>
      </c>
      <c r="AU196" s="340">
        <f t="shared" si="422"/>
        <v>14400</v>
      </c>
      <c r="AV196" s="589">
        <f t="shared" si="423"/>
        <v>0</v>
      </c>
      <c r="AW196" s="343"/>
      <c r="AX196" s="344"/>
      <c r="AY196" s="345"/>
      <c r="AZ196" s="344"/>
      <c r="BA196" s="345"/>
      <c r="BB196" s="346"/>
      <c r="BC196" s="347"/>
      <c r="BD196" s="348"/>
      <c r="BE196" s="349"/>
      <c r="BF196" s="348"/>
      <c r="BG196" s="349"/>
      <c r="BH196" s="350"/>
      <c r="BI196" s="351"/>
      <c r="BJ196" s="352"/>
      <c r="BK196" s="337"/>
      <c r="BL196" s="352"/>
      <c r="BM196" s="337"/>
      <c r="BN196" s="353"/>
      <c r="BO196" s="354"/>
      <c r="BP196" s="355"/>
      <c r="BQ196" s="356">
        <v>4800</v>
      </c>
      <c r="BR196" s="355"/>
      <c r="BS196" s="356">
        <f>4800*2</f>
        <v>9600</v>
      </c>
      <c r="BT196" s="357"/>
    </row>
    <row r="197" spans="1:72" s="358" customFormat="1" ht="31.5" customHeight="1">
      <c r="A197" s="287">
        <v>172</v>
      </c>
      <c r="B197" s="933"/>
      <c r="C197" s="850" t="s">
        <v>377</v>
      </c>
      <c r="D197" s="838"/>
      <c r="E197" s="836" t="s">
        <v>201</v>
      </c>
      <c r="F197" s="820" t="s">
        <v>23</v>
      </c>
      <c r="G197" s="360">
        <v>2</v>
      </c>
      <c r="H197" s="360" t="s">
        <v>71</v>
      </c>
      <c r="I197" s="360">
        <v>244</v>
      </c>
      <c r="J197" s="361">
        <v>222</v>
      </c>
      <c r="K197" s="532" t="s">
        <v>12</v>
      </c>
      <c r="L197" s="1023">
        <f>SUM(L198:L199)</f>
        <v>291566.34999999998</v>
      </c>
      <c r="M197" s="363">
        <f>SUM(M198:M199)</f>
        <v>15000</v>
      </c>
      <c r="N197" s="363"/>
      <c r="O197" s="1051">
        <f>L197+N197</f>
        <v>291566.34999999998</v>
      </c>
      <c r="P197" s="571"/>
      <c r="Q197" s="367">
        <f>SUM(Q198:Q199)</f>
        <v>276566.34999999998</v>
      </c>
      <c r="R197" s="557"/>
      <c r="S197" s="367">
        <f>SUM(S198:S199)</f>
        <v>275685.24</v>
      </c>
      <c r="T197" s="557"/>
      <c r="U197" s="365"/>
      <c r="V197" s="366"/>
      <c r="W197" s="366"/>
      <c r="X197" s="366"/>
      <c r="Z197" s="367">
        <f t="shared" si="425"/>
        <v>63600</v>
      </c>
      <c r="AA197" s="363">
        <f t="shared" si="425"/>
        <v>0</v>
      </c>
      <c r="AB197" s="280">
        <f>Z197-AA197</f>
        <v>63600</v>
      </c>
      <c r="AC197" s="367">
        <f t="shared" si="427"/>
        <v>65400</v>
      </c>
      <c r="AD197" s="363">
        <f t="shared" si="427"/>
        <v>0</v>
      </c>
      <c r="AE197" s="280">
        <f>AC197-AD197</f>
        <v>65400</v>
      </c>
      <c r="AF197" s="367">
        <f t="shared" si="429"/>
        <v>3800</v>
      </c>
      <c r="AG197" s="363">
        <f t="shared" si="429"/>
        <v>0</v>
      </c>
      <c r="AH197" s="280">
        <f>AF197-AG197</f>
        <v>3800</v>
      </c>
      <c r="AI197" s="367">
        <f t="shared" si="431"/>
        <v>151266.35</v>
      </c>
      <c r="AJ197" s="363">
        <f t="shared" si="431"/>
        <v>0</v>
      </c>
      <c r="AK197" s="280">
        <f>AI197-AJ197</f>
        <v>151266.35</v>
      </c>
      <c r="AL197" s="368"/>
      <c r="AM197" s="367">
        <f t="shared" si="433"/>
        <v>129000</v>
      </c>
      <c r="AN197" s="363">
        <f t="shared" si="433"/>
        <v>0</v>
      </c>
      <c r="AO197" s="280">
        <f>AM197-AN197</f>
        <v>129000</v>
      </c>
      <c r="AP197" s="367">
        <f t="shared" si="435"/>
        <v>132800</v>
      </c>
      <c r="AQ197" s="363">
        <f t="shared" si="435"/>
        <v>0</v>
      </c>
      <c r="AR197" s="280">
        <f>AP197-AQ197</f>
        <v>132800</v>
      </c>
      <c r="AS197" s="367">
        <f t="shared" si="421"/>
        <v>284066.34999999998</v>
      </c>
      <c r="AT197" s="363">
        <f t="shared" si="421"/>
        <v>0</v>
      </c>
      <c r="AU197" s="280">
        <f>AS197-AT197</f>
        <v>284066.34999999998</v>
      </c>
      <c r="AV197" s="588">
        <f>L197-AS197</f>
        <v>7500</v>
      </c>
      <c r="AW197" s="367">
        <f t="shared" ref="AW197:BT197" si="461">SUM(AW198:AW199)</f>
        <v>0</v>
      </c>
      <c r="AX197" s="363">
        <f t="shared" si="461"/>
        <v>0</v>
      </c>
      <c r="AY197" s="363">
        <f t="shared" si="461"/>
        <v>1800</v>
      </c>
      <c r="AZ197" s="363">
        <f t="shared" si="461"/>
        <v>0</v>
      </c>
      <c r="BA197" s="363">
        <f t="shared" si="461"/>
        <v>61800</v>
      </c>
      <c r="BB197" s="369">
        <f t="shared" si="461"/>
        <v>0</v>
      </c>
      <c r="BC197" s="367">
        <f t="shared" si="461"/>
        <v>1800</v>
      </c>
      <c r="BD197" s="363">
        <f t="shared" si="461"/>
        <v>0</v>
      </c>
      <c r="BE197" s="363">
        <f t="shared" si="461"/>
        <v>61800</v>
      </c>
      <c r="BF197" s="363">
        <f t="shared" si="461"/>
        <v>0</v>
      </c>
      <c r="BG197" s="363">
        <f t="shared" si="461"/>
        <v>1800</v>
      </c>
      <c r="BH197" s="369">
        <f t="shared" si="461"/>
        <v>0</v>
      </c>
      <c r="BI197" s="367">
        <f t="shared" si="461"/>
        <v>1800</v>
      </c>
      <c r="BJ197" s="363">
        <f t="shared" si="461"/>
        <v>0</v>
      </c>
      <c r="BK197" s="363">
        <f t="shared" si="461"/>
        <v>1000</v>
      </c>
      <c r="BL197" s="363">
        <f t="shared" si="461"/>
        <v>0</v>
      </c>
      <c r="BM197" s="363">
        <f t="shared" si="461"/>
        <v>1000</v>
      </c>
      <c r="BN197" s="369">
        <f t="shared" si="461"/>
        <v>0</v>
      </c>
      <c r="BO197" s="367">
        <f t="shared" si="461"/>
        <v>61800</v>
      </c>
      <c r="BP197" s="363">
        <f t="shared" si="461"/>
        <v>0</v>
      </c>
      <c r="BQ197" s="363">
        <f t="shared" si="461"/>
        <v>1800</v>
      </c>
      <c r="BR197" s="363">
        <f t="shared" si="461"/>
        <v>0</v>
      </c>
      <c r="BS197" s="363">
        <f t="shared" si="461"/>
        <v>87666.35</v>
      </c>
      <c r="BT197" s="280">
        <f t="shared" si="461"/>
        <v>0</v>
      </c>
    </row>
    <row r="198" spans="1:72" s="313" customFormat="1" ht="25.5" outlineLevel="1">
      <c r="A198" s="287">
        <v>173</v>
      </c>
      <c r="B198" s="933"/>
      <c r="C198" s="840"/>
      <c r="D198" s="841"/>
      <c r="E198" s="839"/>
      <c r="F198" s="821" t="s">
        <v>23</v>
      </c>
      <c r="G198" s="314">
        <v>2</v>
      </c>
      <c r="H198" s="739" t="s">
        <v>71</v>
      </c>
      <c r="I198" s="739">
        <v>244</v>
      </c>
      <c r="J198" s="740">
        <v>222</v>
      </c>
      <c r="K198" s="533" t="s">
        <v>374</v>
      </c>
      <c r="L198" s="1025">
        <f>22645.08+M198</f>
        <v>30145.08</v>
      </c>
      <c r="M198" s="318">
        <v>7500</v>
      </c>
      <c r="N198" s="318"/>
      <c r="O198" s="1052">
        <f>L198+N198</f>
        <v>30145.08</v>
      </c>
      <c r="P198" s="570"/>
      <c r="Q198" s="341">
        <v>22645.08</v>
      </c>
      <c r="R198" s="559"/>
      <c r="S198" s="540">
        <v>21763.97</v>
      </c>
      <c r="T198" s="559"/>
      <c r="U198" s="335"/>
      <c r="V198" s="320" t="s">
        <v>240</v>
      </c>
      <c r="W198" s="388" t="s">
        <v>241</v>
      </c>
      <c r="X198" s="388" t="s">
        <v>242</v>
      </c>
      <c r="Z198" s="336">
        <f t="shared" si="425"/>
        <v>3600</v>
      </c>
      <c r="AA198" s="337">
        <f t="shared" si="425"/>
        <v>0</v>
      </c>
      <c r="AB198" s="338">
        <f>Z198-AA198</f>
        <v>3600</v>
      </c>
      <c r="AC198" s="336">
        <f t="shared" si="427"/>
        <v>5400</v>
      </c>
      <c r="AD198" s="337">
        <f t="shared" si="427"/>
        <v>0</v>
      </c>
      <c r="AE198" s="338">
        <f>AC198-AD198</f>
        <v>5400</v>
      </c>
      <c r="AF198" s="336">
        <f t="shared" si="429"/>
        <v>3800</v>
      </c>
      <c r="AG198" s="337">
        <f t="shared" si="429"/>
        <v>0</v>
      </c>
      <c r="AH198" s="338">
        <f>AF198-AG198</f>
        <v>3800</v>
      </c>
      <c r="AI198" s="336">
        <f t="shared" si="431"/>
        <v>9845.08</v>
      </c>
      <c r="AJ198" s="337">
        <f t="shared" si="431"/>
        <v>0</v>
      </c>
      <c r="AK198" s="338">
        <f>AI198-AJ198</f>
        <v>9845.08</v>
      </c>
      <c r="AL198" s="342"/>
      <c r="AM198" s="336">
        <f t="shared" si="433"/>
        <v>9000</v>
      </c>
      <c r="AN198" s="339">
        <f t="shared" si="433"/>
        <v>0</v>
      </c>
      <c r="AO198" s="340">
        <f>AM198-AN198</f>
        <v>9000</v>
      </c>
      <c r="AP198" s="336">
        <f t="shared" si="435"/>
        <v>12800</v>
      </c>
      <c r="AQ198" s="339">
        <f t="shared" si="435"/>
        <v>0</v>
      </c>
      <c r="AR198" s="340">
        <f>AP198-AQ198</f>
        <v>12800</v>
      </c>
      <c r="AS198" s="341">
        <f t="shared" si="421"/>
        <v>22645.08</v>
      </c>
      <c r="AT198" s="339">
        <f t="shared" si="421"/>
        <v>0</v>
      </c>
      <c r="AU198" s="340">
        <f>AS198-AT198</f>
        <v>22645.08</v>
      </c>
      <c r="AV198" s="589">
        <f>L198-AS198</f>
        <v>7500</v>
      </c>
      <c r="AW198" s="343"/>
      <c r="AX198" s="344"/>
      <c r="AY198" s="345">
        <v>1800</v>
      </c>
      <c r="AZ198" s="344"/>
      <c r="BA198" s="345">
        <v>1800</v>
      </c>
      <c r="BB198" s="346"/>
      <c r="BC198" s="347">
        <v>1800</v>
      </c>
      <c r="BD198" s="348"/>
      <c r="BE198" s="349">
        <v>1800</v>
      </c>
      <c r="BF198" s="348"/>
      <c r="BG198" s="349">
        <v>1800</v>
      </c>
      <c r="BH198" s="350"/>
      <c r="BI198" s="351">
        <v>1800</v>
      </c>
      <c r="BJ198" s="352"/>
      <c r="BK198" s="337">
        <v>1000</v>
      </c>
      <c r="BL198" s="352"/>
      <c r="BM198" s="337">
        <v>1000</v>
      </c>
      <c r="BN198" s="353"/>
      <c r="BO198" s="354">
        <v>1800</v>
      </c>
      <c r="BP198" s="355"/>
      <c r="BQ198" s="356">
        <v>1800</v>
      </c>
      <c r="BR198" s="355"/>
      <c r="BS198" s="356">
        <f>1800*2+2645.08</f>
        <v>6245.08</v>
      </c>
      <c r="BT198" s="357"/>
    </row>
    <row r="199" spans="1:72" s="313" customFormat="1" ht="38.25" outlineLevel="1">
      <c r="A199" s="287">
        <v>174</v>
      </c>
      <c r="B199" s="933"/>
      <c r="C199" s="840"/>
      <c r="D199" s="841"/>
      <c r="E199" s="839"/>
      <c r="F199" s="821" t="s">
        <v>23</v>
      </c>
      <c r="G199" s="314">
        <v>2</v>
      </c>
      <c r="H199" s="739" t="s">
        <v>71</v>
      </c>
      <c r="I199" s="739">
        <v>244</v>
      </c>
      <c r="J199" s="740">
        <v>222</v>
      </c>
      <c r="K199" s="533" t="s">
        <v>375</v>
      </c>
      <c r="L199" s="1025">
        <f>253921.27+M199</f>
        <v>261421.27</v>
      </c>
      <c r="M199" s="318">
        <v>7500</v>
      </c>
      <c r="N199" s="318"/>
      <c r="O199" s="1052">
        <f>L199+N199</f>
        <v>261421.27</v>
      </c>
      <c r="P199" s="570"/>
      <c r="Q199" s="341">
        <v>253921.27</v>
      </c>
      <c r="R199" s="559"/>
      <c r="S199" s="540">
        <v>253921.27</v>
      </c>
      <c r="T199" s="559"/>
      <c r="U199" s="335"/>
      <c r="V199" s="811" t="s">
        <v>459</v>
      </c>
      <c r="W199" s="388"/>
      <c r="X199" s="388"/>
      <c r="Z199" s="336">
        <f t="shared" si="425"/>
        <v>60000</v>
      </c>
      <c r="AA199" s="337">
        <f t="shared" si="425"/>
        <v>0</v>
      </c>
      <c r="AB199" s="338">
        <f>Z199-AA199</f>
        <v>60000</v>
      </c>
      <c r="AC199" s="336">
        <f t="shared" si="427"/>
        <v>60000</v>
      </c>
      <c r="AD199" s="337">
        <f t="shared" si="427"/>
        <v>0</v>
      </c>
      <c r="AE199" s="338">
        <f>AC199-AD199</f>
        <v>60000</v>
      </c>
      <c r="AF199" s="336">
        <f t="shared" si="429"/>
        <v>0</v>
      </c>
      <c r="AG199" s="337">
        <f t="shared" si="429"/>
        <v>0</v>
      </c>
      <c r="AH199" s="338">
        <f>AF199-AG199</f>
        <v>0</v>
      </c>
      <c r="AI199" s="336">
        <f t="shared" si="431"/>
        <v>141421.26999999999</v>
      </c>
      <c r="AJ199" s="337">
        <f t="shared" si="431"/>
        <v>0</v>
      </c>
      <c r="AK199" s="338">
        <f>AI199-AJ199</f>
        <v>141421.26999999999</v>
      </c>
      <c r="AL199" s="342"/>
      <c r="AM199" s="336">
        <f t="shared" si="433"/>
        <v>120000</v>
      </c>
      <c r="AN199" s="339">
        <f t="shared" si="433"/>
        <v>0</v>
      </c>
      <c r="AO199" s="340">
        <f>AM199-AN199</f>
        <v>120000</v>
      </c>
      <c r="AP199" s="336">
        <f t="shared" si="435"/>
        <v>120000</v>
      </c>
      <c r="AQ199" s="339">
        <f t="shared" si="435"/>
        <v>0</v>
      </c>
      <c r="AR199" s="340">
        <f>AP199-AQ199</f>
        <v>120000</v>
      </c>
      <c r="AS199" s="341">
        <f t="shared" si="421"/>
        <v>261421.27</v>
      </c>
      <c r="AT199" s="339">
        <f t="shared" si="421"/>
        <v>0</v>
      </c>
      <c r="AU199" s="340">
        <f>AS199-AT199</f>
        <v>261421.27</v>
      </c>
      <c r="AV199" s="589">
        <f>L199-AS199</f>
        <v>0</v>
      </c>
      <c r="AW199" s="343"/>
      <c r="AX199" s="344"/>
      <c r="AY199" s="345"/>
      <c r="AZ199" s="344"/>
      <c r="BA199" s="345">
        <v>60000</v>
      </c>
      <c r="BB199" s="346"/>
      <c r="BC199" s="347"/>
      <c r="BD199" s="348"/>
      <c r="BE199" s="349">
        <v>60000</v>
      </c>
      <c r="BF199" s="348"/>
      <c r="BG199" s="349"/>
      <c r="BH199" s="350"/>
      <c r="BI199" s="351"/>
      <c r="BJ199" s="352"/>
      <c r="BK199" s="337"/>
      <c r="BL199" s="352"/>
      <c r="BM199" s="337"/>
      <c r="BN199" s="353"/>
      <c r="BO199" s="354">
        <v>60000</v>
      </c>
      <c r="BP199" s="355"/>
      <c r="BQ199" s="356"/>
      <c r="BR199" s="355"/>
      <c r="BS199" s="356">
        <f>73921.27+7500</f>
        <v>81421.27</v>
      </c>
      <c r="BT199" s="357"/>
    </row>
    <row r="200" spans="1:72" s="358" customFormat="1" ht="31.5" customHeight="1">
      <c r="A200" s="287">
        <v>175</v>
      </c>
      <c r="B200" s="933"/>
      <c r="C200" s="850" t="s">
        <v>377</v>
      </c>
      <c r="D200" s="838"/>
      <c r="E200" s="836" t="s">
        <v>201</v>
      </c>
      <c r="F200" s="820" t="s">
        <v>23</v>
      </c>
      <c r="G200" s="360">
        <v>2</v>
      </c>
      <c r="H200" s="360" t="s">
        <v>71</v>
      </c>
      <c r="I200" s="360">
        <v>244</v>
      </c>
      <c r="J200" s="361">
        <v>223</v>
      </c>
      <c r="K200" s="532" t="s">
        <v>13</v>
      </c>
      <c r="L200" s="1023">
        <f>L201+L202</f>
        <v>191189.05</v>
      </c>
      <c r="M200" s="363"/>
      <c r="N200" s="363"/>
      <c r="O200" s="1051">
        <f t="shared" si="424"/>
        <v>191189.05</v>
      </c>
      <c r="P200" s="571"/>
      <c r="Q200" s="367">
        <f>Q201+Q202</f>
        <v>68757.649999999994</v>
      </c>
      <c r="R200" s="557"/>
      <c r="S200" s="367">
        <f>S201+S202</f>
        <v>90086.74</v>
      </c>
      <c r="T200" s="557"/>
      <c r="U200" s="365"/>
      <c r="V200" s="366"/>
      <c r="W200" s="366"/>
      <c r="X200" s="366"/>
      <c r="Z200" s="367">
        <f t="shared" si="425"/>
        <v>0</v>
      </c>
      <c r="AA200" s="363">
        <f t="shared" si="425"/>
        <v>0</v>
      </c>
      <c r="AB200" s="280">
        <f t="shared" si="426"/>
        <v>0</v>
      </c>
      <c r="AC200" s="367">
        <f t="shared" si="427"/>
        <v>0</v>
      </c>
      <c r="AD200" s="363">
        <f t="shared" si="427"/>
        <v>0</v>
      </c>
      <c r="AE200" s="280">
        <f t="shared" si="428"/>
        <v>0</v>
      </c>
      <c r="AF200" s="367">
        <f t="shared" si="429"/>
        <v>0</v>
      </c>
      <c r="AG200" s="363">
        <f t="shared" si="429"/>
        <v>0</v>
      </c>
      <c r="AH200" s="280">
        <f t="shared" si="430"/>
        <v>0</v>
      </c>
      <c r="AI200" s="367">
        <f t="shared" si="431"/>
        <v>191189.05</v>
      </c>
      <c r="AJ200" s="363">
        <f t="shared" si="431"/>
        <v>0</v>
      </c>
      <c r="AK200" s="280">
        <f t="shared" si="432"/>
        <v>191189.05</v>
      </c>
      <c r="AL200" s="368"/>
      <c r="AM200" s="367">
        <f t="shared" si="433"/>
        <v>0</v>
      </c>
      <c r="AN200" s="363">
        <f t="shared" si="433"/>
        <v>0</v>
      </c>
      <c r="AO200" s="280">
        <f t="shared" si="434"/>
        <v>0</v>
      </c>
      <c r="AP200" s="367">
        <f t="shared" si="435"/>
        <v>0</v>
      </c>
      <c r="AQ200" s="363">
        <f t="shared" si="435"/>
        <v>0</v>
      </c>
      <c r="AR200" s="280">
        <f t="shared" si="420"/>
        <v>0</v>
      </c>
      <c r="AS200" s="367">
        <f t="shared" si="421"/>
        <v>191189.05</v>
      </c>
      <c r="AT200" s="363">
        <f t="shared" si="421"/>
        <v>0</v>
      </c>
      <c r="AU200" s="280">
        <f t="shared" si="422"/>
        <v>191189.05</v>
      </c>
      <c r="AV200" s="588">
        <f t="shared" si="423"/>
        <v>0</v>
      </c>
      <c r="AW200" s="367">
        <f t="shared" ref="AW200:BT200" si="462">SUM(AW201:AW202)</f>
        <v>0</v>
      </c>
      <c r="AX200" s="363">
        <f t="shared" si="462"/>
        <v>0</v>
      </c>
      <c r="AY200" s="363">
        <f t="shared" si="462"/>
        <v>0</v>
      </c>
      <c r="AZ200" s="363">
        <f t="shared" si="462"/>
        <v>0</v>
      </c>
      <c r="BA200" s="363">
        <f t="shared" si="462"/>
        <v>0</v>
      </c>
      <c r="BB200" s="369">
        <f t="shared" si="462"/>
        <v>0</v>
      </c>
      <c r="BC200" s="367">
        <f t="shared" si="462"/>
        <v>0</v>
      </c>
      <c r="BD200" s="363">
        <f t="shared" si="462"/>
        <v>0</v>
      </c>
      <c r="BE200" s="363">
        <f t="shared" si="462"/>
        <v>0</v>
      </c>
      <c r="BF200" s="363">
        <f t="shared" si="462"/>
        <v>0</v>
      </c>
      <c r="BG200" s="363">
        <f t="shared" si="462"/>
        <v>0</v>
      </c>
      <c r="BH200" s="369">
        <f t="shared" si="462"/>
        <v>0</v>
      </c>
      <c r="BI200" s="367">
        <f t="shared" si="462"/>
        <v>0</v>
      </c>
      <c r="BJ200" s="363">
        <f t="shared" si="462"/>
        <v>0</v>
      </c>
      <c r="BK200" s="363">
        <f t="shared" si="462"/>
        <v>0</v>
      </c>
      <c r="BL200" s="363">
        <f t="shared" si="462"/>
        <v>0</v>
      </c>
      <c r="BM200" s="363">
        <f t="shared" si="462"/>
        <v>0</v>
      </c>
      <c r="BN200" s="369">
        <f t="shared" si="462"/>
        <v>0</v>
      </c>
      <c r="BO200" s="367">
        <f t="shared" si="462"/>
        <v>0</v>
      </c>
      <c r="BP200" s="363">
        <f t="shared" si="462"/>
        <v>0</v>
      </c>
      <c r="BQ200" s="363">
        <f t="shared" si="462"/>
        <v>0</v>
      </c>
      <c r="BR200" s="363">
        <f t="shared" si="462"/>
        <v>0</v>
      </c>
      <c r="BS200" s="363">
        <f t="shared" si="462"/>
        <v>191189.05</v>
      </c>
      <c r="BT200" s="280">
        <f t="shared" si="462"/>
        <v>0</v>
      </c>
    </row>
    <row r="201" spans="1:72" s="313" customFormat="1" ht="25.5" outlineLevel="1">
      <c r="A201" s="287">
        <v>176</v>
      </c>
      <c r="B201" s="933"/>
      <c r="C201" s="840"/>
      <c r="D201" s="841"/>
      <c r="E201" s="839"/>
      <c r="F201" s="821" t="s">
        <v>23</v>
      </c>
      <c r="G201" s="314">
        <v>2</v>
      </c>
      <c r="H201" s="739" t="s">
        <v>71</v>
      </c>
      <c r="I201" s="739">
        <v>244</v>
      </c>
      <c r="J201" s="740">
        <v>223</v>
      </c>
      <c r="K201" s="533" t="s">
        <v>354</v>
      </c>
      <c r="L201" s="1025">
        <v>186664.38</v>
      </c>
      <c r="M201" s="318"/>
      <c r="N201" s="318"/>
      <c r="O201" s="1052">
        <f t="shared" si="424"/>
        <v>186664.38</v>
      </c>
      <c r="P201" s="570"/>
      <c r="Q201" s="336">
        <v>64258.51</v>
      </c>
      <c r="R201" s="559"/>
      <c r="S201" s="541">
        <v>85556.64</v>
      </c>
      <c r="T201" s="559"/>
      <c r="U201" s="335"/>
      <c r="V201" s="596" t="s">
        <v>444</v>
      </c>
      <c r="W201" s="610" t="s">
        <v>443</v>
      </c>
      <c r="X201" s="597" t="s">
        <v>381</v>
      </c>
      <c r="Z201" s="336">
        <f t="shared" si="425"/>
        <v>0</v>
      </c>
      <c r="AA201" s="337">
        <f t="shared" si="425"/>
        <v>0</v>
      </c>
      <c r="AB201" s="338">
        <f t="shared" si="426"/>
        <v>0</v>
      </c>
      <c r="AC201" s="336">
        <f t="shared" si="427"/>
        <v>0</v>
      </c>
      <c r="AD201" s="337">
        <f t="shared" si="427"/>
        <v>0</v>
      </c>
      <c r="AE201" s="338">
        <f t="shared" si="428"/>
        <v>0</v>
      </c>
      <c r="AF201" s="336">
        <f t="shared" si="429"/>
        <v>0</v>
      </c>
      <c r="AG201" s="337">
        <f t="shared" si="429"/>
        <v>0</v>
      </c>
      <c r="AH201" s="338">
        <f t="shared" si="430"/>
        <v>0</v>
      </c>
      <c r="AI201" s="336">
        <f t="shared" si="431"/>
        <v>186664.38</v>
      </c>
      <c r="AJ201" s="337">
        <f t="shared" si="431"/>
        <v>0</v>
      </c>
      <c r="AK201" s="338">
        <f t="shared" si="432"/>
        <v>186664.38</v>
      </c>
      <c r="AL201" s="342"/>
      <c r="AM201" s="336">
        <f t="shared" si="433"/>
        <v>0</v>
      </c>
      <c r="AN201" s="339">
        <f t="shared" si="433"/>
        <v>0</v>
      </c>
      <c r="AO201" s="340">
        <f t="shared" si="434"/>
        <v>0</v>
      </c>
      <c r="AP201" s="336">
        <f t="shared" si="435"/>
        <v>0</v>
      </c>
      <c r="AQ201" s="339">
        <f t="shared" si="435"/>
        <v>0</v>
      </c>
      <c r="AR201" s="340">
        <f t="shared" si="420"/>
        <v>0</v>
      </c>
      <c r="AS201" s="341">
        <f t="shared" si="421"/>
        <v>186664.38</v>
      </c>
      <c r="AT201" s="339">
        <f t="shared" si="421"/>
        <v>0</v>
      </c>
      <c r="AU201" s="340">
        <f t="shared" si="422"/>
        <v>186664.38</v>
      </c>
      <c r="AV201" s="589">
        <f t="shared" si="423"/>
        <v>0</v>
      </c>
      <c r="AW201" s="343"/>
      <c r="AX201" s="344"/>
      <c r="AY201" s="345"/>
      <c r="AZ201" s="344"/>
      <c r="BA201" s="345"/>
      <c r="BB201" s="346"/>
      <c r="BC201" s="347"/>
      <c r="BD201" s="348"/>
      <c r="BE201" s="349"/>
      <c r="BF201" s="348"/>
      <c r="BG201" s="349"/>
      <c r="BH201" s="350"/>
      <c r="BI201" s="351"/>
      <c r="BJ201" s="352"/>
      <c r="BK201" s="337"/>
      <c r="BL201" s="352"/>
      <c r="BM201" s="337"/>
      <c r="BN201" s="353"/>
      <c r="BO201" s="354"/>
      <c r="BP201" s="355"/>
      <c r="BQ201" s="356"/>
      <c r="BR201" s="355"/>
      <c r="BS201" s="356">
        <v>186664.38</v>
      </c>
      <c r="BT201" s="357"/>
    </row>
    <row r="202" spans="1:72" s="313" customFormat="1" ht="25.5" outlineLevel="1">
      <c r="A202" s="287">
        <v>177</v>
      </c>
      <c r="B202" s="933"/>
      <c r="C202" s="840"/>
      <c r="D202" s="841"/>
      <c r="E202" s="839"/>
      <c r="F202" s="821" t="s">
        <v>23</v>
      </c>
      <c r="G202" s="314">
        <v>2</v>
      </c>
      <c r="H202" s="739" t="s">
        <v>71</v>
      </c>
      <c r="I202" s="739">
        <v>244</v>
      </c>
      <c r="J202" s="740">
        <v>223</v>
      </c>
      <c r="K202" s="533" t="s">
        <v>252</v>
      </c>
      <c r="L202" s="1025">
        <v>4524.67</v>
      </c>
      <c r="M202" s="318"/>
      <c r="N202" s="318"/>
      <c r="O202" s="1052">
        <f t="shared" si="424"/>
        <v>4524.67</v>
      </c>
      <c r="P202" s="570"/>
      <c r="Q202" s="336">
        <v>4499.1400000000003</v>
      </c>
      <c r="R202" s="559"/>
      <c r="S202" s="541">
        <v>4530.1000000000004</v>
      </c>
      <c r="T202" s="559"/>
      <c r="U202" s="335"/>
      <c r="V202" s="596" t="s">
        <v>444</v>
      </c>
      <c r="W202" s="610" t="s">
        <v>443</v>
      </c>
      <c r="X202" s="597" t="s">
        <v>381</v>
      </c>
      <c r="Z202" s="336">
        <f t="shared" si="425"/>
        <v>0</v>
      </c>
      <c r="AA202" s="337">
        <f t="shared" si="425"/>
        <v>0</v>
      </c>
      <c r="AB202" s="338">
        <f t="shared" si="426"/>
        <v>0</v>
      </c>
      <c r="AC202" s="336">
        <f t="shared" si="427"/>
        <v>0</v>
      </c>
      <c r="AD202" s="337">
        <f t="shared" si="427"/>
        <v>0</v>
      </c>
      <c r="AE202" s="338">
        <f t="shared" si="428"/>
        <v>0</v>
      </c>
      <c r="AF202" s="336">
        <f t="shared" si="429"/>
        <v>0</v>
      </c>
      <c r="AG202" s="337">
        <f t="shared" si="429"/>
        <v>0</v>
      </c>
      <c r="AH202" s="338">
        <f t="shared" si="430"/>
        <v>0</v>
      </c>
      <c r="AI202" s="336">
        <f t="shared" si="431"/>
        <v>4524.67</v>
      </c>
      <c r="AJ202" s="337">
        <f t="shared" si="431"/>
        <v>0</v>
      </c>
      <c r="AK202" s="338">
        <f t="shared" si="432"/>
        <v>4524.67</v>
      </c>
      <c r="AL202" s="342"/>
      <c r="AM202" s="336">
        <f t="shared" si="433"/>
        <v>0</v>
      </c>
      <c r="AN202" s="339">
        <f t="shared" si="433"/>
        <v>0</v>
      </c>
      <c r="AO202" s="340">
        <f t="shared" si="434"/>
        <v>0</v>
      </c>
      <c r="AP202" s="336">
        <f t="shared" si="435"/>
        <v>0</v>
      </c>
      <c r="AQ202" s="339">
        <f t="shared" si="435"/>
        <v>0</v>
      </c>
      <c r="AR202" s="340">
        <f t="shared" si="420"/>
        <v>0</v>
      </c>
      <c r="AS202" s="341">
        <f t="shared" si="421"/>
        <v>4524.67</v>
      </c>
      <c r="AT202" s="339">
        <f t="shared" si="421"/>
        <v>0</v>
      </c>
      <c r="AU202" s="340">
        <f t="shared" si="422"/>
        <v>4524.67</v>
      </c>
      <c r="AV202" s="589">
        <f t="shared" si="423"/>
        <v>0</v>
      </c>
      <c r="AW202" s="343"/>
      <c r="AX202" s="344"/>
      <c r="AY202" s="345"/>
      <c r="AZ202" s="344"/>
      <c r="BA202" s="345"/>
      <c r="BB202" s="346"/>
      <c r="BC202" s="347"/>
      <c r="BD202" s="348"/>
      <c r="BE202" s="349"/>
      <c r="BF202" s="348"/>
      <c r="BG202" s="349"/>
      <c r="BH202" s="350"/>
      <c r="BI202" s="351"/>
      <c r="BJ202" s="352"/>
      <c r="BK202" s="337"/>
      <c r="BL202" s="352"/>
      <c r="BM202" s="337"/>
      <c r="BN202" s="353"/>
      <c r="BO202" s="354"/>
      <c r="BP202" s="355"/>
      <c r="BQ202" s="356"/>
      <c r="BR202" s="355"/>
      <c r="BS202" s="356">
        <v>4524.67</v>
      </c>
      <c r="BT202" s="357"/>
    </row>
    <row r="203" spans="1:72" s="358" customFormat="1" ht="31.5" customHeight="1">
      <c r="A203" s="287">
        <v>178</v>
      </c>
      <c r="B203" s="933"/>
      <c r="C203" s="850" t="s">
        <v>377</v>
      </c>
      <c r="D203" s="838"/>
      <c r="E203" s="836" t="s">
        <v>201</v>
      </c>
      <c r="F203" s="820" t="s">
        <v>23</v>
      </c>
      <c r="G203" s="360">
        <v>2</v>
      </c>
      <c r="H203" s="360" t="s">
        <v>71</v>
      </c>
      <c r="I203" s="360">
        <v>244</v>
      </c>
      <c r="J203" s="361">
        <v>224</v>
      </c>
      <c r="K203" s="532" t="s">
        <v>151</v>
      </c>
      <c r="L203" s="1023">
        <f>L204</f>
        <v>0</v>
      </c>
      <c r="M203" s="363"/>
      <c r="N203" s="363"/>
      <c r="O203" s="1051">
        <f t="shared" si="424"/>
        <v>0</v>
      </c>
      <c r="P203" s="571"/>
      <c r="Q203" s="367">
        <f>Q204</f>
        <v>0</v>
      </c>
      <c r="R203" s="557"/>
      <c r="S203" s="367">
        <f>S204</f>
        <v>0</v>
      </c>
      <c r="T203" s="557"/>
      <c r="U203" s="365"/>
      <c r="V203" s="366"/>
      <c r="W203" s="366"/>
      <c r="X203" s="366"/>
      <c r="Z203" s="367">
        <f t="shared" si="425"/>
        <v>0</v>
      </c>
      <c r="AA203" s="363">
        <f t="shared" si="425"/>
        <v>0</v>
      </c>
      <c r="AB203" s="280">
        <f t="shared" si="426"/>
        <v>0</v>
      </c>
      <c r="AC203" s="367">
        <f t="shared" si="427"/>
        <v>0</v>
      </c>
      <c r="AD203" s="363">
        <f t="shared" si="427"/>
        <v>0</v>
      </c>
      <c r="AE203" s="280">
        <f t="shared" si="428"/>
        <v>0</v>
      </c>
      <c r="AF203" s="367">
        <f t="shared" si="429"/>
        <v>0</v>
      </c>
      <c r="AG203" s="363">
        <f t="shared" si="429"/>
        <v>0</v>
      </c>
      <c r="AH203" s="280">
        <f t="shared" si="430"/>
        <v>0</v>
      </c>
      <c r="AI203" s="367">
        <f t="shared" si="431"/>
        <v>0</v>
      </c>
      <c r="AJ203" s="363">
        <f t="shared" si="431"/>
        <v>0</v>
      </c>
      <c r="AK203" s="280">
        <f t="shared" si="432"/>
        <v>0</v>
      </c>
      <c r="AL203" s="368"/>
      <c r="AM203" s="367">
        <f t="shared" si="433"/>
        <v>0</v>
      </c>
      <c r="AN203" s="363">
        <f t="shared" si="433"/>
        <v>0</v>
      </c>
      <c r="AO203" s="280">
        <f t="shared" si="434"/>
        <v>0</v>
      </c>
      <c r="AP203" s="367">
        <f t="shared" si="435"/>
        <v>0</v>
      </c>
      <c r="AQ203" s="363">
        <f t="shared" si="435"/>
        <v>0</v>
      </c>
      <c r="AR203" s="280">
        <f t="shared" si="420"/>
        <v>0</v>
      </c>
      <c r="AS203" s="367">
        <f t="shared" si="421"/>
        <v>0</v>
      </c>
      <c r="AT203" s="363">
        <f t="shared" si="421"/>
        <v>0</v>
      </c>
      <c r="AU203" s="280">
        <f t="shared" si="422"/>
        <v>0</v>
      </c>
      <c r="AV203" s="588">
        <f t="shared" si="423"/>
        <v>0</v>
      </c>
      <c r="AW203" s="367">
        <f t="shared" ref="AW203:BT203" si="463">AW204</f>
        <v>0</v>
      </c>
      <c r="AX203" s="363">
        <f t="shared" si="463"/>
        <v>0</v>
      </c>
      <c r="AY203" s="363">
        <f t="shared" si="463"/>
        <v>0</v>
      </c>
      <c r="AZ203" s="363">
        <f t="shared" si="463"/>
        <v>0</v>
      </c>
      <c r="BA203" s="363">
        <f t="shared" si="463"/>
        <v>0</v>
      </c>
      <c r="BB203" s="369">
        <f t="shared" si="463"/>
        <v>0</v>
      </c>
      <c r="BC203" s="367">
        <f t="shared" si="463"/>
        <v>0</v>
      </c>
      <c r="BD203" s="363">
        <f t="shared" si="463"/>
        <v>0</v>
      </c>
      <c r="BE203" s="363">
        <f t="shared" si="463"/>
        <v>0</v>
      </c>
      <c r="BF203" s="363">
        <f t="shared" si="463"/>
        <v>0</v>
      </c>
      <c r="BG203" s="363">
        <f t="shared" si="463"/>
        <v>0</v>
      </c>
      <c r="BH203" s="369">
        <f t="shared" si="463"/>
        <v>0</v>
      </c>
      <c r="BI203" s="367">
        <f t="shared" si="463"/>
        <v>0</v>
      </c>
      <c r="BJ203" s="363">
        <f t="shared" si="463"/>
        <v>0</v>
      </c>
      <c r="BK203" s="363">
        <f t="shared" si="463"/>
        <v>0</v>
      </c>
      <c r="BL203" s="363">
        <f t="shared" si="463"/>
        <v>0</v>
      </c>
      <c r="BM203" s="363">
        <f t="shared" si="463"/>
        <v>0</v>
      </c>
      <c r="BN203" s="369">
        <f t="shared" si="463"/>
        <v>0</v>
      </c>
      <c r="BO203" s="367">
        <f t="shared" si="463"/>
        <v>0</v>
      </c>
      <c r="BP203" s="363">
        <f t="shared" si="463"/>
        <v>0</v>
      </c>
      <c r="BQ203" s="363">
        <f t="shared" si="463"/>
        <v>0</v>
      </c>
      <c r="BR203" s="363">
        <f t="shared" si="463"/>
        <v>0</v>
      </c>
      <c r="BS203" s="363">
        <f t="shared" si="463"/>
        <v>0</v>
      </c>
      <c r="BT203" s="280">
        <f t="shared" si="463"/>
        <v>0</v>
      </c>
    </row>
    <row r="204" spans="1:72" s="313" customFormat="1" ht="38.25" outlineLevel="1">
      <c r="A204" s="287">
        <v>179</v>
      </c>
      <c r="B204" s="933"/>
      <c r="C204" s="840"/>
      <c r="D204" s="841"/>
      <c r="E204" s="839"/>
      <c r="F204" s="821" t="s">
        <v>23</v>
      </c>
      <c r="G204" s="314">
        <v>2</v>
      </c>
      <c r="H204" s="739" t="s">
        <v>71</v>
      </c>
      <c r="I204" s="739">
        <v>244</v>
      </c>
      <c r="J204" s="740">
        <v>224</v>
      </c>
      <c r="K204" s="533" t="s">
        <v>264</v>
      </c>
      <c r="L204" s="1044">
        <v>0</v>
      </c>
      <c r="M204" s="318"/>
      <c r="N204" s="318"/>
      <c r="O204" s="1052">
        <f t="shared" si="424"/>
        <v>0</v>
      </c>
      <c r="P204" s="570"/>
      <c r="Q204" s="336">
        <v>0</v>
      </c>
      <c r="R204" s="559"/>
      <c r="S204" s="541">
        <v>0</v>
      </c>
      <c r="T204" s="559"/>
      <c r="U204" s="335"/>
      <c r="V204" s="320" t="s">
        <v>265</v>
      </c>
      <c r="W204" s="320"/>
      <c r="X204" s="320"/>
      <c r="Z204" s="336">
        <f t="shared" si="425"/>
        <v>0</v>
      </c>
      <c r="AA204" s="337">
        <f t="shared" si="425"/>
        <v>0</v>
      </c>
      <c r="AB204" s="338">
        <f t="shared" si="426"/>
        <v>0</v>
      </c>
      <c r="AC204" s="336">
        <f t="shared" si="427"/>
        <v>0</v>
      </c>
      <c r="AD204" s="337">
        <f t="shared" si="427"/>
        <v>0</v>
      </c>
      <c r="AE204" s="338">
        <f t="shared" si="428"/>
        <v>0</v>
      </c>
      <c r="AF204" s="336">
        <f t="shared" si="429"/>
        <v>0</v>
      </c>
      <c r="AG204" s="337">
        <f t="shared" si="429"/>
        <v>0</v>
      </c>
      <c r="AH204" s="338">
        <f t="shared" si="430"/>
        <v>0</v>
      </c>
      <c r="AI204" s="336">
        <f t="shared" si="431"/>
        <v>0</v>
      </c>
      <c r="AJ204" s="337">
        <f t="shared" si="431"/>
        <v>0</v>
      </c>
      <c r="AK204" s="338">
        <f t="shared" si="432"/>
        <v>0</v>
      </c>
      <c r="AL204" s="342"/>
      <c r="AM204" s="336">
        <f t="shared" si="433"/>
        <v>0</v>
      </c>
      <c r="AN204" s="339">
        <f t="shared" si="433"/>
        <v>0</v>
      </c>
      <c r="AO204" s="340">
        <f t="shared" si="434"/>
        <v>0</v>
      </c>
      <c r="AP204" s="336">
        <f t="shared" si="435"/>
        <v>0</v>
      </c>
      <c r="AQ204" s="339">
        <f t="shared" si="435"/>
        <v>0</v>
      </c>
      <c r="AR204" s="340">
        <f t="shared" si="420"/>
        <v>0</v>
      </c>
      <c r="AS204" s="341">
        <f t="shared" si="421"/>
        <v>0</v>
      </c>
      <c r="AT204" s="339">
        <f t="shared" si="421"/>
        <v>0</v>
      </c>
      <c r="AU204" s="340">
        <f t="shared" si="422"/>
        <v>0</v>
      </c>
      <c r="AV204" s="589">
        <f t="shared" si="423"/>
        <v>0</v>
      </c>
      <c r="AW204" s="343"/>
      <c r="AX204" s="344"/>
      <c r="AY204" s="345"/>
      <c r="AZ204" s="344"/>
      <c r="BA204" s="345"/>
      <c r="BB204" s="346"/>
      <c r="BC204" s="347"/>
      <c r="BD204" s="348"/>
      <c r="BE204" s="349"/>
      <c r="BF204" s="348"/>
      <c r="BG204" s="349"/>
      <c r="BH204" s="350"/>
      <c r="BI204" s="351"/>
      <c r="BJ204" s="352"/>
      <c r="BK204" s="337"/>
      <c r="BL204" s="352"/>
      <c r="BM204" s="337"/>
      <c r="BN204" s="353"/>
      <c r="BO204" s="354"/>
      <c r="BP204" s="355"/>
      <c r="BQ204" s="356"/>
      <c r="BR204" s="355"/>
      <c r="BS204" s="356"/>
      <c r="BT204" s="357"/>
    </row>
    <row r="205" spans="1:72" s="358" customFormat="1" ht="31.5" customHeight="1">
      <c r="A205" s="287">
        <v>180</v>
      </c>
      <c r="B205" s="933"/>
      <c r="C205" s="850" t="s">
        <v>377</v>
      </c>
      <c r="D205" s="853" t="s">
        <v>207</v>
      </c>
      <c r="E205" s="836" t="s">
        <v>201</v>
      </c>
      <c r="F205" s="820" t="s">
        <v>23</v>
      </c>
      <c r="G205" s="360">
        <v>2</v>
      </c>
      <c r="H205" s="360" t="s">
        <v>71</v>
      </c>
      <c r="I205" s="360">
        <v>244</v>
      </c>
      <c r="J205" s="361">
        <v>225</v>
      </c>
      <c r="K205" s="532" t="s">
        <v>149</v>
      </c>
      <c r="L205" s="1023">
        <f>SUM(L206:L210)</f>
        <v>95000</v>
      </c>
      <c r="M205" s="363">
        <f>SUM(M206:M210)</f>
        <v>5000</v>
      </c>
      <c r="N205" s="363">
        <f>SUM(N206:N210)</f>
        <v>14000</v>
      </c>
      <c r="O205" s="1051">
        <f t="shared" si="424"/>
        <v>109000</v>
      </c>
      <c r="P205" s="571"/>
      <c r="Q205" s="367">
        <f>SUM(Q206:Q210)</f>
        <v>0</v>
      </c>
      <c r="R205" s="557">
        <f>SUM(R206:R210)</f>
        <v>0</v>
      </c>
      <c r="S205" s="367">
        <f>SUM(S206:S210)</f>
        <v>0</v>
      </c>
      <c r="T205" s="557"/>
      <c r="U205" s="365"/>
      <c r="V205" s="366"/>
      <c r="W205" s="366"/>
      <c r="X205" s="366">
        <f>1-X55</f>
        <v>0.15</v>
      </c>
      <c r="Z205" s="367">
        <f t="shared" ref="Z205:AA226" si="464">AW205+AY205+BA205</f>
        <v>14500</v>
      </c>
      <c r="AA205" s="363">
        <f t="shared" si="464"/>
        <v>700</v>
      </c>
      <c r="AB205" s="280">
        <f t="shared" si="426"/>
        <v>13800</v>
      </c>
      <c r="AC205" s="367">
        <f t="shared" ref="AC205:AD226" si="465">BC205+BE205+BG205</f>
        <v>14500</v>
      </c>
      <c r="AD205" s="363">
        <f t="shared" si="465"/>
        <v>0</v>
      </c>
      <c r="AE205" s="280">
        <f t="shared" si="428"/>
        <v>14500</v>
      </c>
      <c r="AF205" s="367">
        <f t="shared" ref="AF205:AG226" si="466">BI205+BK205+BM205</f>
        <v>15100</v>
      </c>
      <c r="AG205" s="363">
        <f t="shared" si="466"/>
        <v>0</v>
      </c>
      <c r="AH205" s="280">
        <f t="shared" si="430"/>
        <v>15100</v>
      </c>
      <c r="AI205" s="367">
        <f t="shared" ref="AI205:AJ226" si="467">BO205+BQ205+BS205</f>
        <v>30500</v>
      </c>
      <c r="AJ205" s="363">
        <f t="shared" si="467"/>
        <v>0</v>
      </c>
      <c r="AK205" s="280">
        <f t="shared" si="432"/>
        <v>30500</v>
      </c>
      <c r="AL205" s="368"/>
      <c r="AM205" s="367">
        <f t="shared" ref="AM205:AN226" si="468">Z205+AC205</f>
        <v>29000</v>
      </c>
      <c r="AN205" s="363">
        <f t="shared" si="468"/>
        <v>700</v>
      </c>
      <c r="AO205" s="280">
        <f t="shared" si="434"/>
        <v>28300</v>
      </c>
      <c r="AP205" s="367">
        <f t="shared" ref="AP205:AQ226" si="469">Z205+AC205+AF205</f>
        <v>44100</v>
      </c>
      <c r="AQ205" s="363">
        <f t="shared" si="469"/>
        <v>700</v>
      </c>
      <c r="AR205" s="280">
        <f t="shared" si="420"/>
        <v>43400</v>
      </c>
      <c r="AS205" s="367">
        <f t="shared" ref="AS205:AT226" si="470">Z205+AC205+AF205+AI205</f>
        <v>74600</v>
      </c>
      <c r="AT205" s="363">
        <f t="shared" si="470"/>
        <v>700</v>
      </c>
      <c r="AU205" s="280">
        <f t="shared" si="422"/>
        <v>73900</v>
      </c>
      <c r="AV205" s="588">
        <f t="shared" si="423"/>
        <v>20400</v>
      </c>
      <c r="AW205" s="367">
        <f t="shared" ref="AW205:BS205" si="471">SUM(AW206:AW210)</f>
        <v>0</v>
      </c>
      <c r="AX205" s="363">
        <f t="shared" si="471"/>
        <v>0</v>
      </c>
      <c r="AY205" s="363">
        <f t="shared" si="471"/>
        <v>10000</v>
      </c>
      <c r="AZ205" s="363">
        <f t="shared" si="471"/>
        <v>700</v>
      </c>
      <c r="BA205" s="363">
        <f t="shared" si="471"/>
        <v>4500</v>
      </c>
      <c r="BB205" s="369">
        <f t="shared" si="471"/>
        <v>0</v>
      </c>
      <c r="BC205" s="367">
        <f t="shared" si="471"/>
        <v>11350</v>
      </c>
      <c r="BD205" s="363">
        <f t="shared" si="471"/>
        <v>0</v>
      </c>
      <c r="BE205" s="363">
        <f t="shared" si="471"/>
        <v>2300</v>
      </c>
      <c r="BF205" s="363">
        <f t="shared" si="471"/>
        <v>0</v>
      </c>
      <c r="BG205" s="363">
        <f t="shared" si="471"/>
        <v>850</v>
      </c>
      <c r="BH205" s="369">
        <f t="shared" si="471"/>
        <v>0</v>
      </c>
      <c r="BI205" s="367">
        <f t="shared" si="471"/>
        <v>5100</v>
      </c>
      <c r="BJ205" s="363">
        <f t="shared" si="471"/>
        <v>0</v>
      </c>
      <c r="BK205" s="363">
        <f t="shared" si="471"/>
        <v>10000</v>
      </c>
      <c r="BL205" s="363">
        <f t="shared" si="471"/>
        <v>0</v>
      </c>
      <c r="BM205" s="363">
        <f t="shared" si="471"/>
        <v>0</v>
      </c>
      <c r="BN205" s="369">
        <f t="shared" si="471"/>
        <v>0</v>
      </c>
      <c r="BO205" s="367">
        <f t="shared" si="471"/>
        <v>20500</v>
      </c>
      <c r="BP205" s="363">
        <f t="shared" si="471"/>
        <v>0</v>
      </c>
      <c r="BQ205" s="363">
        <f t="shared" si="471"/>
        <v>10000</v>
      </c>
      <c r="BR205" s="363">
        <f t="shared" si="471"/>
        <v>0</v>
      </c>
      <c r="BS205" s="363">
        <f t="shared" si="471"/>
        <v>0</v>
      </c>
      <c r="BT205" s="280">
        <f>SUM(BT206:BT212)</f>
        <v>0</v>
      </c>
    </row>
    <row r="206" spans="1:72" s="313" customFormat="1" ht="76.5" outlineLevel="1">
      <c r="A206" s="287">
        <v>181</v>
      </c>
      <c r="B206" s="941"/>
      <c r="C206" s="840"/>
      <c r="D206" s="853" t="s">
        <v>207</v>
      </c>
      <c r="E206" s="839"/>
      <c r="F206" s="821" t="s">
        <v>23</v>
      </c>
      <c r="G206" s="314">
        <v>2</v>
      </c>
      <c r="H206" s="739" t="s">
        <v>71</v>
      </c>
      <c r="I206" s="739">
        <v>244</v>
      </c>
      <c r="J206" s="740">
        <v>225</v>
      </c>
      <c r="K206" s="317" t="s">
        <v>263</v>
      </c>
      <c r="L206" s="1044">
        <f>50000+M206</f>
        <v>55000</v>
      </c>
      <c r="M206" s="318">
        <v>5000</v>
      </c>
      <c r="N206" s="1006"/>
      <c r="O206" s="1052">
        <f t="shared" si="424"/>
        <v>55000</v>
      </c>
      <c r="P206" s="570"/>
      <c r="Q206" s="336">
        <v>0</v>
      </c>
      <c r="R206" s="559"/>
      <c r="S206" s="541">
        <v>0</v>
      </c>
      <c r="T206" s="559"/>
      <c r="U206" s="335"/>
      <c r="V206" s="320" t="s">
        <v>599</v>
      </c>
      <c r="W206" s="320"/>
      <c r="X206" s="320"/>
      <c r="Z206" s="336">
        <f t="shared" si="464"/>
        <v>0</v>
      </c>
      <c r="AA206" s="337">
        <f t="shared" si="464"/>
        <v>0</v>
      </c>
      <c r="AB206" s="338">
        <f>Z206-AA206</f>
        <v>0</v>
      </c>
      <c r="AC206" s="336">
        <f t="shared" si="465"/>
        <v>0</v>
      </c>
      <c r="AD206" s="337">
        <f t="shared" si="465"/>
        <v>0</v>
      </c>
      <c r="AE206" s="338">
        <f>AC206-AD206</f>
        <v>0</v>
      </c>
      <c r="AF206" s="336">
        <f t="shared" si="466"/>
        <v>100</v>
      </c>
      <c r="AG206" s="337">
        <f t="shared" si="466"/>
        <v>0</v>
      </c>
      <c r="AH206" s="338">
        <f>AF206-AG206</f>
        <v>100</v>
      </c>
      <c r="AI206" s="336">
        <f t="shared" si="467"/>
        <v>20500</v>
      </c>
      <c r="AJ206" s="337">
        <f t="shared" si="467"/>
        <v>0</v>
      </c>
      <c r="AK206" s="338">
        <f>AI206-AJ206</f>
        <v>20500</v>
      </c>
      <c r="AL206" s="342"/>
      <c r="AM206" s="336">
        <f t="shared" si="468"/>
        <v>0</v>
      </c>
      <c r="AN206" s="339">
        <f t="shared" si="468"/>
        <v>0</v>
      </c>
      <c r="AO206" s="340">
        <f>AM206-AN206</f>
        <v>0</v>
      </c>
      <c r="AP206" s="336">
        <f t="shared" si="469"/>
        <v>100</v>
      </c>
      <c r="AQ206" s="339">
        <f t="shared" si="469"/>
        <v>0</v>
      </c>
      <c r="AR206" s="340">
        <f>AP206-AQ206</f>
        <v>100</v>
      </c>
      <c r="AS206" s="341">
        <f t="shared" si="470"/>
        <v>20600</v>
      </c>
      <c r="AT206" s="339">
        <f t="shared" si="470"/>
        <v>0</v>
      </c>
      <c r="AU206" s="340">
        <f>AS206-AT206</f>
        <v>20600</v>
      </c>
      <c r="AV206" s="589"/>
      <c r="AW206" s="343"/>
      <c r="AX206" s="344"/>
      <c r="AY206" s="345"/>
      <c r="AZ206" s="344"/>
      <c r="BA206" s="345"/>
      <c r="BB206" s="346"/>
      <c r="BC206" s="347"/>
      <c r="BD206" s="348"/>
      <c r="BE206" s="349"/>
      <c r="BF206" s="348"/>
      <c r="BG206" s="349"/>
      <c r="BH206" s="350"/>
      <c r="BI206" s="351">
        <f>25000-24900</f>
        <v>100</v>
      </c>
      <c r="BJ206" s="352"/>
      <c r="BK206" s="337"/>
      <c r="BL206" s="352"/>
      <c r="BM206" s="337"/>
      <c r="BN206" s="353"/>
      <c r="BO206" s="354">
        <f>25000-4500</f>
        <v>20500</v>
      </c>
      <c r="BP206" s="355"/>
      <c r="BQ206" s="356"/>
      <c r="BR206" s="355"/>
      <c r="BS206" s="356"/>
      <c r="BT206" s="357"/>
    </row>
    <row r="207" spans="1:72" s="313" customFormat="1" ht="51">
      <c r="A207" s="287">
        <v>182</v>
      </c>
      <c r="B207" s="1145" t="s">
        <v>684</v>
      </c>
      <c r="C207" s="840"/>
      <c r="D207" s="853" t="s">
        <v>207</v>
      </c>
      <c r="E207" s="839"/>
      <c r="F207" s="821" t="s">
        <v>23</v>
      </c>
      <c r="G207" s="314">
        <v>2</v>
      </c>
      <c r="H207" s="739" t="s">
        <v>71</v>
      </c>
      <c r="I207" s="739">
        <v>244</v>
      </c>
      <c r="J207" s="740">
        <v>225</v>
      </c>
      <c r="K207" s="533" t="s">
        <v>700</v>
      </c>
      <c r="L207" s="1044">
        <v>0</v>
      </c>
      <c r="M207" s="318"/>
      <c r="N207" s="1006">
        <v>4200</v>
      </c>
      <c r="O207" s="1052">
        <f t="shared" ref="O207" si="472">L207+N207</f>
        <v>4200</v>
      </c>
      <c r="P207" s="329"/>
      <c r="Q207" s="319">
        <v>0</v>
      </c>
      <c r="R207" s="329"/>
      <c r="S207" s="319">
        <v>0</v>
      </c>
      <c r="T207" s="329"/>
      <c r="U207" s="335"/>
      <c r="V207" s="596" t="s">
        <v>254</v>
      </c>
      <c r="W207" s="596" t="s">
        <v>701</v>
      </c>
      <c r="X207" s="596" t="s">
        <v>702</v>
      </c>
      <c r="Z207" s="336">
        <f t="shared" ref="Z207" si="473">AW207+AY207+BA207</f>
        <v>0</v>
      </c>
      <c r="AA207" s="337">
        <f t="shared" ref="AA207" si="474">AX207+AZ207+BB207</f>
        <v>0</v>
      </c>
      <c r="AB207" s="338">
        <f>Z207-AA207</f>
        <v>0</v>
      </c>
      <c r="AC207" s="336">
        <f t="shared" ref="AC207" si="475">BC207+BE207+BG207</f>
        <v>4200</v>
      </c>
      <c r="AD207" s="337">
        <f t="shared" ref="AD207" si="476">BD207+BF207+BH207</f>
        <v>0</v>
      </c>
      <c r="AE207" s="338">
        <f>AC207-AD207</f>
        <v>4200</v>
      </c>
      <c r="AF207" s="336">
        <f t="shared" ref="AF207" si="477">BI207+BK207+BM207</f>
        <v>0</v>
      </c>
      <c r="AG207" s="337">
        <f t="shared" ref="AG207" si="478">BJ207+BL207+BN207</f>
        <v>0</v>
      </c>
      <c r="AH207" s="338">
        <f>AF207-AG207</f>
        <v>0</v>
      </c>
      <c r="AI207" s="336">
        <f t="shared" ref="AI207" si="479">BO207+BQ207+BS207</f>
        <v>0</v>
      </c>
      <c r="AJ207" s="337">
        <f t="shared" ref="AJ207" si="480">BP207+BR207+BT207</f>
        <v>0</v>
      </c>
      <c r="AK207" s="338">
        <f>AI207-AJ207</f>
        <v>0</v>
      </c>
      <c r="AL207" s="342"/>
      <c r="AM207" s="336">
        <f t="shared" ref="AM207" si="481">Z207+AC207</f>
        <v>4200</v>
      </c>
      <c r="AN207" s="339">
        <f t="shared" ref="AN207" si="482">AA207+AD207</f>
        <v>0</v>
      </c>
      <c r="AO207" s="340">
        <f>AM207-AN207</f>
        <v>4200</v>
      </c>
      <c r="AP207" s="336">
        <f t="shared" ref="AP207" si="483">Z207+AC207+AF207</f>
        <v>4200</v>
      </c>
      <c r="AQ207" s="339">
        <f t="shared" ref="AQ207" si="484">AA207+AD207+AG207</f>
        <v>0</v>
      </c>
      <c r="AR207" s="340">
        <f>AP207-AQ207</f>
        <v>4200</v>
      </c>
      <c r="AS207" s="341">
        <f t="shared" ref="AS207" si="485">Z207+AC207+AF207+AI207</f>
        <v>4200</v>
      </c>
      <c r="AT207" s="339">
        <f t="shared" ref="AT207" si="486">AA207+AD207+AG207+AJ207</f>
        <v>0</v>
      </c>
      <c r="AU207" s="340">
        <f>AS207-AT207</f>
        <v>4200</v>
      </c>
      <c r="AV207" s="589"/>
      <c r="AW207" s="343"/>
      <c r="AX207" s="344"/>
      <c r="AY207" s="345"/>
      <c r="AZ207" s="344"/>
      <c r="BA207" s="345"/>
      <c r="BB207" s="346"/>
      <c r="BC207" s="347">
        <v>4200</v>
      </c>
      <c r="BD207" s="348"/>
      <c r="BE207" s="349"/>
      <c r="BF207" s="348"/>
      <c r="BG207" s="349"/>
      <c r="BH207" s="350"/>
      <c r="BI207" s="351"/>
      <c r="BJ207" s="352"/>
      <c r="BK207" s="337"/>
      <c r="BL207" s="352"/>
      <c r="BM207" s="337"/>
      <c r="BN207" s="353"/>
      <c r="BO207" s="354"/>
      <c r="BP207" s="355"/>
      <c r="BQ207" s="356"/>
      <c r="BR207" s="355"/>
      <c r="BS207" s="356"/>
      <c r="BT207" s="357"/>
    </row>
    <row r="208" spans="1:72" s="313" customFormat="1" ht="102">
      <c r="A208" s="287">
        <v>183</v>
      </c>
      <c r="B208" s="1146" t="s">
        <v>613</v>
      </c>
      <c r="C208" s="840"/>
      <c r="D208" s="853" t="s">
        <v>207</v>
      </c>
      <c r="E208" s="839"/>
      <c r="F208" s="821" t="s">
        <v>23</v>
      </c>
      <c r="G208" s="314">
        <v>2</v>
      </c>
      <c r="H208" s="739" t="s">
        <v>71</v>
      </c>
      <c r="I208" s="739">
        <v>244</v>
      </c>
      <c r="J208" s="740">
        <v>225</v>
      </c>
      <c r="K208" s="317" t="s">
        <v>757</v>
      </c>
      <c r="L208" s="1044">
        <v>0</v>
      </c>
      <c r="M208" s="318"/>
      <c r="N208" s="1006">
        <f>4500+3300</f>
        <v>7800</v>
      </c>
      <c r="O208" s="1052">
        <f t="shared" si="424"/>
        <v>7800</v>
      </c>
      <c r="P208" s="329"/>
      <c r="Q208" s="319">
        <v>0</v>
      </c>
      <c r="R208" s="329"/>
      <c r="S208" s="319">
        <v>0</v>
      </c>
      <c r="T208" s="329"/>
      <c r="U208" s="335"/>
      <c r="V208" s="596" t="s">
        <v>591</v>
      </c>
      <c r="W208" s="596" t="s">
        <v>693</v>
      </c>
      <c r="X208" s="596" t="s">
        <v>694</v>
      </c>
      <c r="Z208" s="336">
        <f t="shared" si="464"/>
        <v>4500</v>
      </c>
      <c r="AA208" s="337">
        <f t="shared" si="464"/>
        <v>0</v>
      </c>
      <c r="AB208" s="338">
        <f>Z208-AA208</f>
        <v>4500</v>
      </c>
      <c r="AC208" s="336">
        <f t="shared" si="465"/>
        <v>3300</v>
      </c>
      <c r="AD208" s="337">
        <f t="shared" si="465"/>
        <v>0</v>
      </c>
      <c r="AE208" s="338">
        <f>AC208-AD208</f>
        <v>3300</v>
      </c>
      <c r="AF208" s="336">
        <f t="shared" si="466"/>
        <v>0</v>
      </c>
      <c r="AG208" s="337">
        <f t="shared" si="466"/>
        <v>0</v>
      </c>
      <c r="AH208" s="338">
        <f>AF208-AG208</f>
        <v>0</v>
      </c>
      <c r="AI208" s="336">
        <f t="shared" si="467"/>
        <v>0</v>
      </c>
      <c r="AJ208" s="337">
        <f t="shared" si="467"/>
        <v>0</v>
      </c>
      <c r="AK208" s="338">
        <f>AI208-AJ208</f>
        <v>0</v>
      </c>
      <c r="AL208" s="342"/>
      <c r="AM208" s="336">
        <f t="shared" si="468"/>
        <v>7800</v>
      </c>
      <c r="AN208" s="339">
        <f t="shared" si="468"/>
        <v>0</v>
      </c>
      <c r="AO208" s="340">
        <f>AM208-AN208</f>
        <v>7800</v>
      </c>
      <c r="AP208" s="336">
        <f t="shared" si="469"/>
        <v>7800</v>
      </c>
      <c r="AQ208" s="339">
        <f t="shared" si="469"/>
        <v>0</v>
      </c>
      <c r="AR208" s="340">
        <f>AP208-AQ208</f>
        <v>7800</v>
      </c>
      <c r="AS208" s="341">
        <f t="shared" si="470"/>
        <v>7800</v>
      </c>
      <c r="AT208" s="339">
        <f t="shared" si="470"/>
        <v>0</v>
      </c>
      <c r="AU208" s="340">
        <f>AS208-AT208</f>
        <v>7800</v>
      </c>
      <c r="AV208" s="589"/>
      <c r="AW208" s="343"/>
      <c r="AX208" s="344"/>
      <c r="AY208" s="345"/>
      <c r="AZ208" s="344"/>
      <c r="BA208" s="345">
        <v>4500</v>
      </c>
      <c r="BB208" s="346"/>
      <c r="BC208" s="347">
        <v>3300</v>
      </c>
      <c r="BD208" s="348"/>
      <c r="BE208" s="349"/>
      <c r="BF208" s="348"/>
      <c r="BG208" s="349"/>
      <c r="BH208" s="350"/>
      <c r="BI208" s="351"/>
      <c r="BJ208" s="352"/>
      <c r="BK208" s="337"/>
      <c r="BL208" s="352"/>
      <c r="BM208" s="337"/>
      <c r="BN208" s="353"/>
      <c r="BO208" s="354"/>
      <c r="BP208" s="355"/>
      <c r="BQ208" s="356"/>
      <c r="BR208" s="355"/>
      <c r="BS208" s="356"/>
      <c r="BT208" s="357"/>
    </row>
    <row r="209" spans="1:72" s="313" customFormat="1" ht="38.25">
      <c r="A209" s="287">
        <v>184</v>
      </c>
      <c r="B209" s="1146" t="s">
        <v>699</v>
      </c>
      <c r="C209" s="840"/>
      <c r="D209" s="853" t="s">
        <v>207</v>
      </c>
      <c r="E209" s="839"/>
      <c r="F209" s="821" t="s">
        <v>23</v>
      </c>
      <c r="G209" s="314">
        <v>2</v>
      </c>
      <c r="H209" s="739" t="s">
        <v>71</v>
      </c>
      <c r="I209" s="739">
        <v>244</v>
      </c>
      <c r="J209" s="740">
        <v>225</v>
      </c>
      <c r="K209" s="317" t="s">
        <v>696</v>
      </c>
      <c r="L209" s="1044">
        <v>0</v>
      </c>
      <c r="M209" s="318"/>
      <c r="N209" s="1006">
        <v>2000</v>
      </c>
      <c r="O209" s="1052">
        <f t="shared" ref="O209" si="487">L209+N209</f>
        <v>2000</v>
      </c>
      <c r="P209" s="329"/>
      <c r="Q209" s="319">
        <v>0</v>
      </c>
      <c r="R209" s="329"/>
      <c r="S209" s="319">
        <v>0</v>
      </c>
      <c r="T209" s="329"/>
      <c r="U209" s="335"/>
      <c r="V209" s="596" t="s">
        <v>698</v>
      </c>
      <c r="W209" s="596" t="s">
        <v>697</v>
      </c>
      <c r="X209" s="320"/>
      <c r="Z209" s="336">
        <f t="shared" ref="Z209" si="488">AW209+AY209+BA209</f>
        <v>0</v>
      </c>
      <c r="AA209" s="337">
        <f t="shared" ref="AA209" si="489">AX209+AZ209+BB209</f>
        <v>0</v>
      </c>
      <c r="AB209" s="338">
        <f>Z209-AA209</f>
        <v>0</v>
      </c>
      <c r="AC209" s="336">
        <f t="shared" ref="AC209" si="490">BC209+BE209+BG209</f>
        <v>2000</v>
      </c>
      <c r="AD209" s="337">
        <f t="shared" ref="AD209" si="491">BD209+BF209+BH209</f>
        <v>0</v>
      </c>
      <c r="AE209" s="338">
        <f>AC209-AD209</f>
        <v>2000</v>
      </c>
      <c r="AF209" s="336">
        <f t="shared" ref="AF209" si="492">BI209+BK209+BM209</f>
        <v>0</v>
      </c>
      <c r="AG209" s="337">
        <f t="shared" ref="AG209" si="493">BJ209+BL209+BN209</f>
        <v>0</v>
      </c>
      <c r="AH209" s="338">
        <f>AF209-AG209</f>
        <v>0</v>
      </c>
      <c r="AI209" s="336">
        <f t="shared" ref="AI209" si="494">BO209+BQ209+BS209</f>
        <v>0</v>
      </c>
      <c r="AJ209" s="337">
        <f t="shared" ref="AJ209" si="495">BP209+BR209+BT209</f>
        <v>0</v>
      </c>
      <c r="AK209" s="338">
        <f>AI209-AJ209</f>
        <v>0</v>
      </c>
      <c r="AL209" s="342"/>
      <c r="AM209" s="336">
        <f t="shared" ref="AM209" si="496">Z209+AC209</f>
        <v>2000</v>
      </c>
      <c r="AN209" s="339">
        <f t="shared" ref="AN209" si="497">AA209+AD209</f>
        <v>0</v>
      </c>
      <c r="AO209" s="340">
        <f>AM209-AN209</f>
        <v>2000</v>
      </c>
      <c r="AP209" s="336">
        <f t="shared" ref="AP209" si="498">Z209+AC209+AF209</f>
        <v>2000</v>
      </c>
      <c r="AQ209" s="339">
        <f t="shared" ref="AQ209" si="499">AA209+AD209+AG209</f>
        <v>0</v>
      </c>
      <c r="AR209" s="340">
        <f>AP209-AQ209</f>
        <v>2000</v>
      </c>
      <c r="AS209" s="341">
        <f t="shared" ref="AS209" si="500">Z209+AC209+AF209+AI209</f>
        <v>2000</v>
      </c>
      <c r="AT209" s="339">
        <f t="shared" ref="AT209" si="501">AA209+AD209+AG209+AJ209</f>
        <v>0</v>
      </c>
      <c r="AU209" s="340">
        <f>AS209-AT209</f>
        <v>2000</v>
      </c>
      <c r="AV209" s="589"/>
      <c r="AW209" s="343"/>
      <c r="AX209" s="344"/>
      <c r="AY209" s="345"/>
      <c r="AZ209" s="344"/>
      <c r="BA209" s="345"/>
      <c r="BB209" s="346"/>
      <c r="BC209" s="347">
        <v>2000</v>
      </c>
      <c r="BD209" s="348"/>
      <c r="BE209" s="349"/>
      <c r="BF209" s="348"/>
      <c r="BG209" s="349"/>
      <c r="BH209" s="350"/>
      <c r="BI209" s="351"/>
      <c r="BJ209" s="352"/>
      <c r="BK209" s="337"/>
      <c r="BL209" s="352"/>
      <c r="BM209" s="337"/>
      <c r="BN209" s="353"/>
      <c r="BO209" s="354"/>
      <c r="BP209" s="355"/>
      <c r="BQ209" s="356"/>
      <c r="BR209" s="355"/>
      <c r="BS209" s="356"/>
      <c r="BT209" s="357"/>
    </row>
    <row r="210" spans="1:72" s="313" customFormat="1" ht="25.5" outlineLevel="1">
      <c r="A210" s="287">
        <v>185</v>
      </c>
      <c r="B210" s="933"/>
      <c r="C210" s="840"/>
      <c r="D210" s="853" t="s">
        <v>207</v>
      </c>
      <c r="E210" s="839"/>
      <c r="F210" s="821" t="s">
        <v>23</v>
      </c>
      <c r="G210" s="314">
        <v>2</v>
      </c>
      <c r="H210" s="739" t="s">
        <v>71</v>
      </c>
      <c r="I210" s="739">
        <v>244</v>
      </c>
      <c r="J210" s="740">
        <v>225</v>
      </c>
      <c r="K210" s="317" t="s">
        <v>388</v>
      </c>
      <c r="L210" s="1044">
        <v>40000</v>
      </c>
      <c r="M210" s="318"/>
      <c r="N210" s="318"/>
      <c r="O210" s="1052">
        <f t="shared" si="424"/>
        <v>40000</v>
      </c>
      <c r="P210" s="570"/>
      <c r="Q210" s="336">
        <v>0</v>
      </c>
      <c r="R210" s="559"/>
      <c r="S210" s="541">
        <v>0</v>
      </c>
      <c r="T210" s="559"/>
      <c r="U210" s="335"/>
      <c r="V210" s="596" t="s">
        <v>390</v>
      </c>
      <c r="W210" s="596" t="s">
        <v>445</v>
      </c>
      <c r="X210" s="596" t="s">
        <v>446</v>
      </c>
      <c r="Z210" s="336">
        <f t="shared" si="464"/>
        <v>10000</v>
      </c>
      <c r="AA210" s="337">
        <f t="shared" si="464"/>
        <v>700</v>
      </c>
      <c r="AB210" s="338">
        <f>Z210-AA210</f>
        <v>9300</v>
      </c>
      <c r="AC210" s="336">
        <f t="shared" si="465"/>
        <v>5000</v>
      </c>
      <c r="AD210" s="337">
        <f t="shared" si="465"/>
        <v>0</v>
      </c>
      <c r="AE210" s="338">
        <f>AC210-AD210</f>
        <v>5000</v>
      </c>
      <c r="AF210" s="336">
        <f t="shared" si="466"/>
        <v>15000</v>
      </c>
      <c r="AG210" s="337">
        <f t="shared" si="466"/>
        <v>0</v>
      </c>
      <c r="AH210" s="338">
        <f>AF210-AG210</f>
        <v>15000</v>
      </c>
      <c r="AI210" s="336">
        <f t="shared" si="467"/>
        <v>10000</v>
      </c>
      <c r="AJ210" s="337">
        <f t="shared" si="467"/>
        <v>0</v>
      </c>
      <c r="AK210" s="338">
        <f>AI210-AJ210</f>
        <v>10000</v>
      </c>
      <c r="AL210" s="342"/>
      <c r="AM210" s="336">
        <f t="shared" si="468"/>
        <v>15000</v>
      </c>
      <c r="AN210" s="339">
        <f t="shared" si="468"/>
        <v>700</v>
      </c>
      <c r="AO210" s="340">
        <f>AM210-AN210</f>
        <v>14300</v>
      </c>
      <c r="AP210" s="336">
        <f t="shared" si="469"/>
        <v>30000</v>
      </c>
      <c r="AQ210" s="339">
        <f t="shared" si="469"/>
        <v>700</v>
      </c>
      <c r="AR210" s="340">
        <f>AP210-AQ210</f>
        <v>29300</v>
      </c>
      <c r="AS210" s="341">
        <f t="shared" si="470"/>
        <v>40000</v>
      </c>
      <c r="AT210" s="339">
        <f t="shared" si="470"/>
        <v>700</v>
      </c>
      <c r="AU210" s="340">
        <f>AS210-AT210</f>
        <v>39300</v>
      </c>
      <c r="AV210" s="589">
        <f t="shared" ref="AV210:AV299" si="502">L210-AS210</f>
        <v>0</v>
      </c>
      <c r="AW210" s="343"/>
      <c r="AX210" s="344"/>
      <c r="AY210" s="345">
        <v>10000</v>
      </c>
      <c r="AZ210" s="344">
        <v>700</v>
      </c>
      <c r="BA210" s="345"/>
      <c r="BB210" s="346"/>
      <c r="BC210" s="347">
        <v>1850</v>
      </c>
      <c r="BD210" s="348"/>
      <c r="BE210" s="1135">
        <f>650+800+850</f>
        <v>2300</v>
      </c>
      <c r="BF210" s="348"/>
      <c r="BG210" s="349">
        <f>1700-850</f>
        <v>850</v>
      </c>
      <c r="BH210" s="350"/>
      <c r="BI210" s="351">
        <v>5000</v>
      </c>
      <c r="BJ210" s="352"/>
      <c r="BK210" s="337">
        <v>10000</v>
      </c>
      <c r="BL210" s="352"/>
      <c r="BM210" s="337"/>
      <c r="BN210" s="353"/>
      <c r="BO210" s="354"/>
      <c r="BP210" s="355"/>
      <c r="BQ210" s="356">
        <v>10000</v>
      </c>
      <c r="BR210" s="355"/>
      <c r="BS210" s="356"/>
      <c r="BT210" s="357"/>
    </row>
    <row r="211" spans="1:72" s="358" customFormat="1" ht="31.5" customHeight="1">
      <c r="A211" s="287">
        <v>186</v>
      </c>
      <c r="B211" s="933"/>
      <c r="C211" s="850" t="s">
        <v>377</v>
      </c>
      <c r="D211" s="853" t="s">
        <v>207</v>
      </c>
      <c r="E211" s="836" t="s">
        <v>201</v>
      </c>
      <c r="F211" s="820" t="s">
        <v>23</v>
      </c>
      <c r="G211" s="360">
        <v>2</v>
      </c>
      <c r="H211" s="360" t="s">
        <v>71</v>
      </c>
      <c r="I211" s="360">
        <v>244</v>
      </c>
      <c r="J211" s="361">
        <v>225</v>
      </c>
      <c r="K211" s="532" t="s">
        <v>148</v>
      </c>
      <c r="L211" s="1023">
        <f>SUM(L212)</f>
        <v>92466.04</v>
      </c>
      <c r="M211" s="363"/>
      <c r="N211" s="363"/>
      <c r="O211" s="1051">
        <f t="shared" si="424"/>
        <v>92466.04</v>
      </c>
      <c r="P211" s="571"/>
      <c r="Q211" s="367">
        <f t="shared" ref="Q211:S211" si="503">SUM(Q212)</f>
        <v>88868.2</v>
      </c>
      <c r="R211" s="557">
        <f t="shared" si="503"/>
        <v>0</v>
      </c>
      <c r="S211" s="367">
        <f t="shared" si="503"/>
        <v>88868.21</v>
      </c>
      <c r="T211" s="557"/>
      <c r="U211" s="365"/>
      <c r="V211" s="366"/>
      <c r="W211" s="366"/>
      <c r="X211" s="366" t="e">
        <f>1-X58</f>
        <v>#VALUE!</v>
      </c>
      <c r="Z211" s="367">
        <f t="shared" si="464"/>
        <v>0</v>
      </c>
      <c r="AA211" s="363">
        <f t="shared" si="464"/>
        <v>0</v>
      </c>
      <c r="AB211" s="280">
        <f t="shared" ref="AB211" si="504">Z211-AA211</f>
        <v>0</v>
      </c>
      <c r="AC211" s="367">
        <f t="shared" si="465"/>
        <v>0</v>
      </c>
      <c r="AD211" s="363">
        <f t="shared" si="465"/>
        <v>0</v>
      </c>
      <c r="AE211" s="280">
        <f t="shared" ref="AE211" si="505">AC211-AD211</f>
        <v>0</v>
      </c>
      <c r="AF211" s="367">
        <f t="shared" si="466"/>
        <v>0</v>
      </c>
      <c r="AG211" s="363">
        <f t="shared" si="466"/>
        <v>0</v>
      </c>
      <c r="AH211" s="280">
        <f t="shared" ref="AH211" si="506">AF211-AG211</f>
        <v>0</v>
      </c>
      <c r="AI211" s="367">
        <f t="shared" si="467"/>
        <v>92466.04</v>
      </c>
      <c r="AJ211" s="363">
        <f t="shared" si="467"/>
        <v>0</v>
      </c>
      <c r="AK211" s="280">
        <f t="shared" ref="AK211" si="507">AI211-AJ211</f>
        <v>92466.04</v>
      </c>
      <c r="AL211" s="368"/>
      <c r="AM211" s="367">
        <f t="shared" si="468"/>
        <v>0</v>
      </c>
      <c r="AN211" s="363">
        <f t="shared" si="468"/>
        <v>0</v>
      </c>
      <c r="AO211" s="280">
        <f t="shared" ref="AO211" si="508">AM211-AN211</f>
        <v>0</v>
      </c>
      <c r="AP211" s="367">
        <f t="shared" si="469"/>
        <v>0</v>
      </c>
      <c r="AQ211" s="363">
        <f t="shared" si="469"/>
        <v>0</v>
      </c>
      <c r="AR211" s="280">
        <f t="shared" ref="AR211" si="509">AP211-AQ211</f>
        <v>0</v>
      </c>
      <c r="AS211" s="367">
        <f t="shared" si="470"/>
        <v>92466.04</v>
      </c>
      <c r="AT211" s="363">
        <f t="shared" si="470"/>
        <v>0</v>
      </c>
      <c r="AU211" s="280">
        <f t="shared" ref="AU211" si="510">AS211-AT211</f>
        <v>92466.04</v>
      </c>
      <c r="AV211" s="588">
        <f t="shared" si="502"/>
        <v>0</v>
      </c>
      <c r="AW211" s="367">
        <f t="shared" ref="AW211:BS211" si="511">SUM(AW212)</f>
        <v>0</v>
      </c>
      <c r="AX211" s="363">
        <f t="shared" si="511"/>
        <v>0</v>
      </c>
      <c r="AY211" s="363">
        <f t="shared" si="511"/>
        <v>0</v>
      </c>
      <c r="AZ211" s="363">
        <f t="shared" si="511"/>
        <v>0</v>
      </c>
      <c r="BA211" s="363">
        <f t="shared" si="511"/>
        <v>0</v>
      </c>
      <c r="BB211" s="369">
        <f t="shared" si="511"/>
        <v>0</v>
      </c>
      <c r="BC211" s="367">
        <f t="shared" si="511"/>
        <v>0</v>
      </c>
      <c r="BD211" s="363">
        <f t="shared" si="511"/>
        <v>0</v>
      </c>
      <c r="BE211" s="363">
        <f t="shared" si="511"/>
        <v>0</v>
      </c>
      <c r="BF211" s="363">
        <f t="shared" si="511"/>
        <v>0</v>
      </c>
      <c r="BG211" s="363">
        <f t="shared" si="511"/>
        <v>0</v>
      </c>
      <c r="BH211" s="369">
        <f t="shared" si="511"/>
        <v>0</v>
      </c>
      <c r="BI211" s="367">
        <f t="shared" si="511"/>
        <v>0</v>
      </c>
      <c r="BJ211" s="363">
        <f t="shared" si="511"/>
        <v>0</v>
      </c>
      <c r="BK211" s="363">
        <f t="shared" si="511"/>
        <v>0</v>
      </c>
      <c r="BL211" s="363">
        <f t="shared" si="511"/>
        <v>0</v>
      </c>
      <c r="BM211" s="363">
        <f t="shared" si="511"/>
        <v>0</v>
      </c>
      <c r="BN211" s="369">
        <f t="shared" si="511"/>
        <v>0</v>
      </c>
      <c r="BO211" s="367">
        <f t="shared" si="511"/>
        <v>0</v>
      </c>
      <c r="BP211" s="363">
        <f t="shared" si="511"/>
        <v>0</v>
      </c>
      <c r="BQ211" s="363">
        <f t="shared" si="511"/>
        <v>0</v>
      </c>
      <c r="BR211" s="363">
        <f t="shared" si="511"/>
        <v>0</v>
      </c>
      <c r="BS211" s="363">
        <f t="shared" si="511"/>
        <v>92466.04</v>
      </c>
      <c r="BT211" s="280">
        <f t="shared" ref="BT211" si="512">SUM(BT212:BT217)</f>
        <v>0</v>
      </c>
    </row>
    <row r="212" spans="1:72" s="313" customFormat="1" ht="25.5" outlineLevel="1">
      <c r="A212" s="287">
        <v>187</v>
      </c>
      <c r="B212" s="933"/>
      <c r="C212" s="840"/>
      <c r="D212" s="853" t="s">
        <v>207</v>
      </c>
      <c r="E212" s="839"/>
      <c r="F212" s="821" t="s">
        <v>23</v>
      </c>
      <c r="G212" s="314">
        <v>2</v>
      </c>
      <c r="H212" s="739" t="s">
        <v>71</v>
      </c>
      <c r="I212" s="739">
        <v>244</v>
      </c>
      <c r="J212" s="740">
        <v>225</v>
      </c>
      <c r="K212" s="533" t="s">
        <v>209</v>
      </c>
      <c r="L212" s="1025">
        <v>92466.04</v>
      </c>
      <c r="M212" s="318"/>
      <c r="N212" s="318"/>
      <c r="O212" s="1052">
        <f t="shared" si="424"/>
        <v>92466.04</v>
      </c>
      <c r="P212" s="570"/>
      <c r="Q212" s="336">
        <v>88868.2</v>
      </c>
      <c r="R212" s="559"/>
      <c r="S212" s="541">
        <v>88868.21</v>
      </c>
      <c r="T212" s="559"/>
      <c r="U212" s="335"/>
      <c r="V212" s="320" t="s">
        <v>208</v>
      </c>
      <c r="W212" s="388"/>
      <c r="X212" s="388"/>
      <c r="Z212" s="336">
        <f t="shared" si="464"/>
        <v>0</v>
      </c>
      <c r="AA212" s="337">
        <f t="shared" si="464"/>
        <v>0</v>
      </c>
      <c r="AB212" s="338">
        <f t="shared" si="426"/>
        <v>0</v>
      </c>
      <c r="AC212" s="336">
        <f t="shared" si="465"/>
        <v>0</v>
      </c>
      <c r="AD212" s="337">
        <f t="shared" si="465"/>
        <v>0</v>
      </c>
      <c r="AE212" s="338">
        <f t="shared" si="428"/>
        <v>0</v>
      </c>
      <c r="AF212" s="336">
        <f t="shared" si="466"/>
        <v>0</v>
      </c>
      <c r="AG212" s="337">
        <f t="shared" si="466"/>
        <v>0</v>
      </c>
      <c r="AH212" s="338">
        <f t="shared" si="430"/>
        <v>0</v>
      </c>
      <c r="AI212" s="336">
        <f t="shared" si="467"/>
        <v>92466.04</v>
      </c>
      <c r="AJ212" s="337">
        <f t="shared" si="467"/>
        <v>0</v>
      </c>
      <c r="AK212" s="338">
        <f t="shared" si="432"/>
        <v>92466.04</v>
      </c>
      <c r="AL212" s="342"/>
      <c r="AM212" s="336">
        <f t="shared" si="468"/>
        <v>0</v>
      </c>
      <c r="AN212" s="339">
        <f t="shared" si="468"/>
        <v>0</v>
      </c>
      <c r="AO212" s="340">
        <f t="shared" si="434"/>
        <v>0</v>
      </c>
      <c r="AP212" s="336">
        <f t="shared" si="469"/>
        <v>0</v>
      </c>
      <c r="AQ212" s="339">
        <f t="shared" si="469"/>
        <v>0</v>
      </c>
      <c r="AR212" s="340">
        <f t="shared" si="420"/>
        <v>0</v>
      </c>
      <c r="AS212" s="341">
        <f t="shared" si="470"/>
        <v>92466.04</v>
      </c>
      <c r="AT212" s="339">
        <f t="shared" si="470"/>
        <v>0</v>
      </c>
      <c r="AU212" s="340">
        <f t="shared" si="422"/>
        <v>92466.04</v>
      </c>
      <c r="AV212" s="589">
        <f t="shared" si="502"/>
        <v>0</v>
      </c>
      <c r="AW212" s="343"/>
      <c r="AX212" s="344"/>
      <c r="AY212" s="345"/>
      <c r="AZ212" s="344"/>
      <c r="BA212" s="345"/>
      <c r="BB212" s="346"/>
      <c r="BC212" s="347"/>
      <c r="BD212" s="348"/>
      <c r="BE212" s="349"/>
      <c r="BF212" s="348"/>
      <c r="BG212" s="349"/>
      <c r="BH212" s="350"/>
      <c r="BI212" s="351"/>
      <c r="BJ212" s="352"/>
      <c r="BK212" s="337"/>
      <c r="BL212" s="352"/>
      <c r="BM212" s="337"/>
      <c r="BN212" s="353"/>
      <c r="BO212" s="354"/>
      <c r="BP212" s="355"/>
      <c r="BQ212" s="356"/>
      <c r="BR212" s="355"/>
      <c r="BS212" s="356">
        <v>92466.04</v>
      </c>
      <c r="BT212" s="357"/>
    </row>
    <row r="213" spans="1:72" s="358" customFormat="1" ht="47.25">
      <c r="A213" s="287">
        <v>161</v>
      </c>
      <c r="B213" s="933"/>
      <c r="C213" s="850" t="s">
        <v>377</v>
      </c>
      <c r="D213" s="838"/>
      <c r="E213" s="836" t="s">
        <v>201</v>
      </c>
      <c r="F213" s="820" t="s">
        <v>23</v>
      </c>
      <c r="G213" s="360">
        <v>2</v>
      </c>
      <c r="H213" s="360" t="s">
        <v>71</v>
      </c>
      <c r="I213" s="360">
        <v>112</v>
      </c>
      <c r="J213" s="361">
        <v>226</v>
      </c>
      <c r="K213" s="532" t="s">
        <v>769</v>
      </c>
      <c r="L213" s="1023">
        <f>L214</f>
        <v>0</v>
      </c>
      <c r="M213" s="363"/>
      <c r="N213" s="363">
        <f>N214</f>
        <v>39692</v>
      </c>
      <c r="O213" s="1051">
        <f t="shared" si="424"/>
        <v>39692</v>
      </c>
      <c r="P213" s="571"/>
      <c r="Q213" s="367">
        <f>Q214</f>
        <v>0</v>
      </c>
      <c r="R213" s="557"/>
      <c r="S213" s="367">
        <f>S214</f>
        <v>0</v>
      </c>
      <c r="T213" s="557"/>
      <c r="U213" s="365"/>
      <c r="V213" s="366"/>
      <c r="W213" s="366"/>
      <c r="X213" s="366"/>
      <c r="Z213" s="367">
        <f t="shared" si="464"/>
        <v>0</v>
      </c>
      <c r="AA213" s="363">
        <f t="shared" si="464"/>
        <v>0</v>
      </c>
      <c r="AB213" s="280">
        <f t="shared" si="426"/>
        <v>0</v>
      </c>
      <c r="AC213" s="367">
        <f t="shared" si="465"/>
        <v>39692</v>
      </c>
      <c r="AD213" s="363">
        <f t="shared" si="465"/>
        <v>0</v>
      </c>
      <c r="AE213" s="280">
        <f t="shared" si="428"/>
        <v>39692</v>
      </c>
      <c r="AF213" s="367">
        <f t="shared" si="466"/>
        <v>0</v>
      </c>
      <c r="AG213" s="363">
        <f t="shared" si="466"/>
        <v>0</v>
      </c>
      <c r="AH213" s="280">
        <f t="shared" si="430"/>
        <v>0</v>
      </c>
      <c r="AI213" s="367">
        <f t="shared" si="467"/>
        <v>0</v>
      </c>
      <c r="AJ213" s="363">
        <f t="shared" si="467"/>
        <v>0</v>
      </c>
      <c r="AK213" s="280">
        <f t="shared" si="432"/>
        <v>0</v>
      </c>
      <c r="AL213" s="368"/>
      <c r="AM213" s="367">
        <f t="shared" si="468"/>
        <v>39692</v>
      </c>
      <c r="AN213" s="363">
        <f t="shared" si="468"/>
        <v>0</v>
      </c>
      <c r="AO213" s="280">
        <f t="shared" si="434"/>
        <v>39692</v>
      </c>
      <c r="AP213" s="367">
        <f t="shared" si="469"/>
        <v>39692</v>
      </c>
      <c r="AQ213" s="363">
        <f t="shared" si="469"/>
        <v>0</v>
      </c>
      <c r="AR213" s="280">
        <f t="shared" si="420"/>
        <v>39692</v>
      </c>
      <c r="AS213" s="367">
        <f>Z213+AC213+AF213+AI213</f>
        <v>39692</v>
      </c>
      <c r="AT213" s="363">
        <f t="shared" si="470"/>
        <v>0</v>
      </c>
      <c r="AU213" s="280">
        <f t="shared" si="422"/>
        <v>39692</v>
      </c>
      <c r="AV213" s="588">
        <f t="shared" si="502"/>
        <v>-39692</v>
      </c>
      <c r="AW213" s="367">
        <f>AW214</f>
        <v>0</v>
      </c>
      <c r="AX213" s="367">
        <f t="shared" ref="AX213:BT213" si="513">AX214</f>
        <v>0</v>
      </c>
      <c r="AY213" s="367">
        <f t="shared" si="513"/>
        <v>0</v>
      </c>
      <c r="AZ213" s="367">
        <f t="shared" si="513"/>
        <v>0</v>
      </c>
      <c r="BA213" s="367">
        <f t="shared" si="513"/>
        <v>0</v>
      </c>
      <c r="BB213" s="367">
        <f t="shared" si="513"/>
        <v>0</v>
      </c>
      <c r="BC213" s="367">
        <f t="shared" si="513"/>
        <v>12000</v>
      </c>
      <c r="BD213" s="367">
        <f t="shared" si="513"/>
        <v>0</v>
      </c>
      <c r="BE213" s="367">
        <f t="shared" si="513"/>
        <v>27692</v>
      </c>
      <c r="BF213" s="367">
        <f t="shared" si="513"/>
        <v>0</v>
      </c>
      <c r="BG213" s="367">
        <f t="shared" si="513"/>
        <v>0</v>
      </c>
      <c r="BH213" s="367">
        <f t="shared" si="513"/>
        <v>0</v>
      </c>
      <c r="BI213" s="367">
        <f t="shared" si="513"/>
        <v>0</v>
      </c>
      <c r="BJ213" s="367">
        <f t="shared" si="513"/>
        <v>0</v>
      </c>
      <c r="BK213" s="367">
        <f t="shared" si="513"/>
        <v>0</v>
      </c>
      <c r="BL213" s="367">
        <f t="shared" si="513"/>
        <v>0</v>
      </c>
      <c r="BM213" s="367">
        <f t="shared" si="513"/>
        <v>0</v>
      </c>
      <c r="BN213" s="367">
        <f t="shared" si="513"/>
        <v>0</v>
      </c>
      <c r="BO213" s="367">
        <f t="shared" si="513"/>
        <v>0</v>
      </c>
      <c r="BP213" s="367">
        <f t="shared" si="513"/>
        <v>0</v>
      </c>
      <c r="BQ213" s="367">
        <f t="shared" si="513"/>
        <v>0</v>
      </c>
      <c r="BR213" s="367">
        <f t="shared" si="513"/>
        <v>0</v>
      </c>
      <c r="BS213" s="367">
        <f t="shared" si="513"/>
        <v>0</v>
      </c>
      <c r="BT213" s="367">
        <f t="shared" si="513"/>
        <v>0</v>
      </c>
    </row>
    <row r="214" spans="1:72" s="313" customFormat="1" ht="25.5" outlineLevel="1">
      <c r="A214" s="287">
        <v>162</v>
      </c>
      <c r="B214" s="1148" t="s">
        <v>770</v>
      </c>
      <c r="C214" s="840"/>
      <c r="D214" s="841"/>
      <c r="E214" s="839"/>
      <c r="F214" s="821" t="s">
        <v>23</v>
      </c>
      <c r="G214" s="314">
        <v>2</v>
      </c>
      <c r="H214" s="739" t="s">
        <v>71</v>
      </c>
      <c r="I214" s="739">
        <v>112</v>
      </c>
      <c r="J214" s="740">
        <v>212</v>
      </c>
      <c r="K214" s="533" t="s">
        <v>768</v>
      </c>
      <c r="L214" s="1025">
        <v>0</v>
      </c>
      <c r="M214" s="318"/>
      <c r="N214" s="318">
        <f>16112+(2120+620)*2+2000+7*2300</f>
        <v>39692</v>
      </c>
      <c r="O214" s="1052">
        <f t="shared" si="424"/>
        <v>39692</v>
      </c>
      <c r="P214" s="570"/>
      <c r="Q214" s="341">
        <v>0</v>
      </c>
      <c r="R214" s="559"/>
      <c r="S214" s="540">
        <v>0</v>
      </c>
      <c r="T214" s="559"/>
      <c r="U214" s="335"/>
      <c r="V214" s="320"/>
      <c r="W214" s="320"/>
      <c r="X214" s="320"/>
      <c r="Z214" s="336">
        <f t="shared" si="464"/>
        <v>0</v>
      </c>
      <c r="AA214" s="337">
        <f t="shared" si="464"/>
        <v>0</v>
      </c>
      <c r="AB214" s="338">
        <f t="shared" si="426"/>
        <v>0</v>
      </c>
      <c r="AC214" s="336">
        <f t="shared" si="465"/>
        <v>39692</v>
      </c>
      <c r="AD214" s="337">
        <f t="shared" si="465"/>
        <v>0</v>
      </c>
      <c r="AE214" s="338">
        <f t="shared" si="428"/>
        <v>39692</v>
      </c>
      <c r="AF214" s="336">
        <f t="shared" si="466"/>
        <v>0</v>
      </c>
      <c r="AG214" s="337">
        <f t="shared" si="466"/>
        <v>0</v>
      </c>
      <c r="AH214" s="338">
        <f t="shared" si="430"/>
        <v>0</v>
      </c>
      <c r="AI214" s="336">
        <f t="shared" si="467"/>
        <v>0</v>
      </c>
      <c r="AJ214" s="337">
        <f t="shared" si="467"/>
        <v>0</v>
      </c>
      <c r="AK214" s="338">
        <f t="shared" si="432"/>
        <v>0</v>
      </c>
      <c r="AL214" s="342"/>
      <c r="AM214" s="336">
        <f t="shared" si="468"/>
        <v>39692</v>
      </c>
      <c r="AN214" s="339">
        <f t="shared" si="468"/>
        <v>0</v>
      </c>
      <c r="AO214" s="340">
        <f t="shared" si="434"/>
        <v>39692</v>
      </c>
      <c r="AP214" s="336">
        <f t="shared" si="469"/>
        <v>39692</v>
      </c>
      <c r="AQ214" s="339">
        <f t="shared" si="469"/>
        <v>0</v>
      </c>
      <c r="AR214" s="340">
        <f t="shared" si="420"/>
        <v>39692</v>
      </c>
      <c r="AS214" s="341">
        <f t="shared" ref="AS214" si="514">Z214+AC214+AF214+AI214</f>
        <v>39692</v>
      </c>
      <c r="AT214" s="339">
        <f t="shared" si="470"/>
        <v>0</v>
      </c>
      <c r="AU214" s="340">
        <f t="shared" si="422"/>
        <v>39692</v>
      </c>
      <c r="AV214" s="589">
        <f t="shared" si="502"/>
        <v>-39692</v>
      </c>
      <c r="AW214" s="343"/>
      <c r="AX214" s="344"/>
      <c r="AY214" s="345"/>
      <c r="AZ214" s="344"/>
      <c r="BA214" s="345"/>
      <c r="BB214" s="346"/>
      <c r="BC214" s="347">
        <v>12000</v>
      </c>
      <c r="BD214" s="348"/>
      <c r="BE214" s="349">
        <v>27692</v>
      </c>
      <c r="BF214" s="348"/>
      <c r="BG214" s="349"/>
      <c r="BH214" s="350"/>
      <c r="BI214" s="351"/>
      <c r="BJ214" s="352"/>
      <c r="BK214" s="337"/>
      <c r="BL214" s="352"/>
      <c r="BM214" s="337"/>
      <c r="BN214" s="353"/>
      <c r="BO214" s="354"/>
      <c r="BP214" s="355"/>
      <c r="BQ214" s="356"/>
      <c r="BR214" s="355"/>
      <c r="BS214" s="356"/>
      <c r="BT214" s="357"/>
    </row>
    <row r="215" spans="1:72" s="358" customFormat="1" ht="31.5" customHeight="1">
      <c r="A215" s="287">
        <v>188</v>
      </c>
      <c r="B215" s="933"/>
      <c r="C215" s="850" t="s">
        <v>377</v>
      </c>
      <c r="D215" s="853" t="s">
        <v>207</v>
      </c>
      <c r="E215" s="836" t="s">
        <v>201</v>
      </c>
      <c r="F215" s="820" t="s">
        <v>23</v>
      </c>
      <c r="G215" s="360">
        <v>2</v>
      </c>
      <c r="H215" s="360" t="s">
        <v>71</v>
      </c>
      <c r="I215" s="360">
        <v>244</v>
      </c>
      <c r="J215" s="361">
        <v>226</v>
      </c>
      <c r="K215" s="532" t="s">
        <v>150</v>
      </c>
      <c r="L215" s="1023">
        <f>L216</f>
        <v>358197.09</v>
      </c>
      <c r="M215" s="363"/>
      <c r="N215" s="363"/>
      <c r="O215" s="1051">
        <f t="shared" si="424"/>
        <v>358197.09</v>
      </c>
      <c r="P215" s="571"/>
      <c r="Q215" s="367">
        <f>Q216</f>
        <v>450378.96</v>
      </c>
      <c r="R215" s="557"/>
      <c r="S215" s="367">
        <f>S216</f>
        <v>480483.55</v>
      </c>
      <c r="T215" s="557"/>
      <c r="U215" s="365"/>
      <c r="V215" s="366"/>
      <c r="W215" s="366"/>
      <c r="X215" s="391">
        <f>1-X65</f>
        <v>0.54630000000000001</v>
      </c>
      <c r="Z215" s="367">
        <f t="shared" si="464"/>
        <v>450</v>
      </c>
      <c r="AA215" s="363">
        <f t="shared" si="464"/>
        <v>0</v>
      </c>
      <c r="AB215" s="280">
        <f t="shared" si="426"/>
        <v>450</v>
      </c>
      <c r="AC215" s="367">
        <f t="shared" si="465"/>
        <v>0</v>
      </c>
      <c r="AD215" s="363">
        <f t="shared" si="465"/>
        <v>0</v>
      </c>
      <c r="AE215" s="280">
        <f t="shared" si="428"/>
        <v>0</v>
      </c>
      <c r="AF215" s="367">
        <f t="shared" si="466"/>
        <v>84066.29</v>
      </c>
      <c r="AG215" s="363">
        <f t="shared" si="466"/>
        <v>0</v>
      </c>
      <c r="AH215" s="280">
        <f t="shared" si="430"/>
        <v>84066.29</v>
      </c>
      <c r="AI215" s="367">
        <f t="shared" si="467"/>
        <v>0</v>
      </c>
      <c r="AJ215" s="363">
        <f t="shared" si="467"/>
        <v>0</v>
      </c>
      <c r="AK215" s="280">
        <f t="shared" si="432"/>
        <v>0</v>
      </c>
      <c r="AL215" s="368"/>
      <c r="AM215" s="367">
        <f t="shared" si="468"/>
        <v>450</v>
      </c>
      <c r="AN215" s="363">
        <f t="shared" si="468"/>
        <v>0</v>
      </c>
      <c r="AO215" s="280">
        <f t="shared" si="434"/>
        <v>450</v>
      </c>
      <c r="AP215" s="367">
        <f t="shared" si="469"/>
        <v>84516.29</v>
      </c>
      <c r="AQ215" s="363">
        <f t="shared" si="469"/>
        <v>0</v>
      </c>
      <c r="AR215" s="280">
        <f t="shared" si="420"/>
        <v>84516.29</v>
      </c>
      <c r="AS215" s="367">
        <f t="shared" si="470"/>
        <v>84516.29</v>
      </c>
      <c r="AT215" s="363">
        <f t="shared" si="470"/>
        <v>0</v>
      </c>
      <c r="AU215" s="280">
        <f t="shared" si="422"/>
        <v>84516.29</v>
      </c>
      <c r="AV215" s="588">
        <f t="shared" si="502"/>
        <v>273680.8</v>
      </c>
      <c r="AW215" s="367">
        <f>AW216</f>
        <v>0</v>
      </c>
      <c r="AX215" s="363">
        <f t="shared" ref="AX215:BT215" si="515">AX216</f>
        <v>0</v>
      </c>
      <c r="AY215" s="363">
        <f t="shared" si="515"/>
        <v>0</v>
      </c>
      <c r="AZ215" s="363">
        <f t="shared" si="515"/>
        <v>0</v>
      </c>
      <c r="BA215" s="363">
        <f t="shared" si="515"/>
        <v>450</v>
      </c>
      <c r="BB215" s="369">
        <f t="shared" si="515"/>
        <v>0</v>
      </c>
      <c r="BC215" s="367">
        <f t="shared" si="515"/>
        <v>0</v>
      </c>
      <c r="BD215" s="363">
        <f t="shared" si="515"/>
        <v>0</v>
      </c>
      <c r="BE215" s="363">
        <f t="shared" si="515"/>
        <v>0</v>
      </c>
      <c r="BF215" s="363">
        <f t="shared" si="515"/>
        <v>0</v>
      </c>
      <c r="BG215" s="363">
        <f t="shared" si="515"/>
        <v>0</v>
      </c>
      <c r="BH215" s="369">
        <f t="shared" si="515"/>
        <v>0</v>
      </c>
      <c r="BI215" s="367">
        <f t="shared" si="515"/>
        <v>0</v>
      </c>
      <c r="BJ215" s="363">
        <f t="shared" si="515"/>
        <v>0</v>
      </c>
      <c r="BK215" s="363">
        <f t="shared" si="515"/>
        <v>31266.29</v>
      </c>
      <c r="BL215" s="363">
        <f t="shared" si="515"/>
        <v>0</v>
      </c>
      <c r="BM215" s="363">
        <f t="shared" si="515"/>
        <v>52800</v>
      </c>
      <c r="BN215" s="369">
        <f t="shared" si="515"/>
        <v>0</v>
      </c>
      <c r="BO215" s="367">
        <f t="shared" si="515"/>
        <v>0</v>
      </c>
      <c r="BP215" s="363">
        <f t="shared" si="515"/>
        <v>0</v>
      </c>
      <c r="BQ215" s="363">
        <f t="shared" si="515"/>
        <v>0</v>
      </c>
      <c r="BR215" s="363">
        <f t="shared" si="515"/>
        <v>0</v>
      </c>
      <c r="BS215" s="363">
        <f t="shared" si="515"/>
        <v>0</v>
      </c>
      <c r="BT215" s="280">
        <f t="shared" si="515"/>
        <v>0</v>
      </c>
    </row>
    <row r="216" spans="1:72" s="313" customFormat="1" ht="51" outlineLevel="1">
      <c r="A216" s="287">
        <v>189</v>
      </c>
      <c r="B216" s="933"/>
      <c r="C216" s="840"/>
      <c r="D216" s="853" t="s">
        <v>207</v>
      </c>
      <c r="E216" s="839"/>
      <c r="F216" s="821" t="s">
        <v>23</v>
      </c>
      <c r="G216" s="314">
        <v>2</v>
      </c>
      <c r="H216" s="739" t="s">
        <v>71</v>
      </c>
      <c r="I216" s="739">
        <v>244</v>
      </c>
      <c r="J216" s="740">
        <v>226</v>
      </c>
      <c r="K216" s="533" t="s">
        <v>267</v>
      </c>
      <c r="L216" s="1025">
        <f>427623.5-69426.41</f>
        <v>358197.09</v>
      </c>
      <c r="M216" s="318"/>
      <c r="N216" s="318"/>
      <c r="O216" s="1052">
        <f t="shared" si="424"/>
        <v>358197.09</v>
      </c>
      <c r="P216" s="570"/>
      <c r="Q216" s="336">
        <f>522589.64-72210.68</f>
        <v>450378.96</v>
      </c>
      <c r="R216" s="559"/>
      <c r="S216" s="541">
        <f>563177.71-82694.16</f>
        <v>480483.55</v>
      </c>
      <c r="T216" s="559"/>
      <c r="U216" s="335"/>
      <c r="V216" s="596" t="s">
        <v>268</v>
      </c>
      <c r="W216" s="597" t="s">
        <v>465</v>
      </c>
      <c r="X216" s="597" t="s">
        <v>416</v>
      </c>
      <c r="Z216" s="336">
        <f t="shared" si="464"/>
        <v>450</v>
      </c>
      <c r="AA216" s="337">
        <f t="shared" si="464"/>
        <v>0</v>
      </c>
      <c r="AB216" s="338">
        <f t="shared" si="426"/>
        <v>450</v>
      </c>
      <c r="AC216" s="336">
        <f t="shared" si="465"/>
        <v>0</v>
      </c>
      <c r="AD216" s="337">
        <f t="shared" si="465"/>
        <v>0</v>
      </c>
      <c r="AE216" s="338">
        <f t="shared" si="428"/>
        <v>0</v>
      </c>
      <c r="AF216" s="336">
        <f t="shared" si="466"/>
        <v>84066.29</v>
      </c>
      <c r="AG216" s="337">
        <f t="shared" si="466"/>
        <v>0</v>
      </c>
      <c r="AH216" s="338">
        <f t="shared" si="430"/>
        <v>84066.29</v>
      </c>
      <c r="AI216" s="336">
        <f t="shared" si="467"/>
        <v>0</v>
      </c>
      <c r="AJ216" s="337">
        <f t="shared" si="467"/>
        <v>0</v>
      </c>
      <c r="AK216" s="338">
        <f t="shared" si="432"/>
        <v>0</v>
      </c>
      <c r="AL216" s="342"/>
      <c r="AM216" s="336">
        <f t="shared" si="468"/>
        <v>450</v>
      </c>
      <c r="AN216" s="339">
        <f t="shared" si="468"/>
        <v>0</v>
      </c>
      <c r="AO216" s="340">
        <f t="shared" si="434"/>
        <v>450</v>
      </c>
      <c r="AP216" s="336">
        <f t="shared" si="469"/>
        <v>84516.29</v>
      </c>
      <c r="AQ216" s="339">
        <f t="shared" si="469"/>
        <v>0</v>
      </c>
      <c r="AR216" s="340">
        <f t="shared" si="420"/>
        <v>84516.29</v>
      </c>
      <c r="AS216" s="341">
        <f t="shared" si="470"/>
        <v>84516.29</v>
      </c>
      <c r="AT216" s="339">
        <f t="shared" si="470"/>
        <v>0</v>
      </c>
      <c r="AU216" s="340">
        <f t="shared" si="422"/>
        <v>84516.29</v>
      </c>
      <c r="AV216" s="589">
        <f t="shared" si="502"/>
        <v>273680.8</v>
      </c>
      <c r="AW216" s="343"/>
      <c r="AX216" s="344"/>
      <c r="AY216" s="345"/>
      <c r="AZ216" s="344"/>
      <c r="BA216" s="345">
        <v>450</v>
      </c>
      <c r="BB216" s="346"/>
      <c r="BC216" s="347"/>
      <c r="BD216" s="348"/>
      <c r="BE216" s="349"/>
      <c r="BF216" s="348"/>
      <c r="BG216" s="349"/>
      <c r="BH216" s="350"/>
      <c r="BI216" s="351"/>
      <c r="BJ216" s="352"/>
      <c r="BK216" s="351">
        <f>(150*12*27+150*4*8)-22133.71</f>
        <v>31266.29</v>
      </c>
      <c r="BL216" s="352"/>
      <c r="BM216" s="337">
        <f>150*12*26+150*5*8</f>
        <v>52800</v>
      </c>
      <c r="BN216" s="353"/>
      <c r="BO216" s="354"/>
      <c r="BP216" s="355"/>
      <c r="BQ216" s="356"/>
      <c r="BR216" s="355"/>
      <c r="BS216" s="356"/>
      <c r="BT216" s="357"/>
    </row>
    <row r="217" spans="1:72" s="358" customFormat="1" ht="31.5" customHeight="1">
      <c r="A217" s="287">
        <v>190</v>
      </c>
      <c r="B217" s="933"/>
      <c r="C217" s="850" t="s">
        <v>377</v>
      </c>
      <c r="D217" s="838"/>
      <c r="E217" s="836" t="s">
        <v>201</v>
      </c>
      <c r="F217" s="820" t="s">
        <v>23</v>
      </c>
      <c r="G217" s="360">
        <v>2</v>
      </c>
      <c r="H217" s="360" t="s">
        <v>71</v>
      </c>
      <c r="I217" s="360">
        <v>244</v>
      </c>
      <c r="J217" s="361">
        <v>226</v>
      </c>
      <c r="K217" s="532" t="s">
        <v>538</v>
      </c>
      <c r="L217" s="1023">
        <f>SUM(L218:L237)</f>
        <v>2469358.94</v>
      </c>
      <c r="M217" s="363">
        <f>SUM(M218:M237)</f>
        <v>35000</v>
      </c>
      <c r="N217" s="363">
        <f>SUM(N218:N237)</f>
        <v>-183706</v>
      </c>
      <c r="O217" s="1051">
        <f t="shared" si="424"/>
        <v>2285652.94</v>
      </c>
      <c r="P217" s="571"/>
      <c r="Q217" s="367">
        <f>SUM(Q218:Q237)</f>
        <v>2662888.88</v>
      </c>
      <c r="R217" s="557"/>
      <c r="S217" s="539">
        <f>SUM(S218:S237)</f>
        <v>2675018.4700000002</v>
      </c>
      <c r="T217" s="557"/>
      <c r="U217" s="365"/>
      <c r="V217" s="366"/>
      <c r="W217" s="366"/>
      <c r="X217" s="366"/>
      <c r="Z217" s="367">
        <f t="shared" si="464"/>
        <v>774571.96</v>
      </c>
      <c r="AA217" s="363">
        <f t="shared" si="464"/>
        <v>315471.96000000002</v>
      </c>
      <c r="AB217" s="280">
        <f t="shared" si="426"/>
        <v>459100</v>
      </c>
      <c r="AC217" s="367">
        <f t="shared" si="465"/>
        <v>624527.91</v>
      </c>
      <c r="AD217" s="363">
        <f t="shared" si="465"/>
        <v>8400</v>
      </c>
      <c r="AE217" s="280">
        <f t="shared" si="428"/>
        <v>616127.91</v>
      </c>
      <c r="AF217" s="367">
        <f t="shared" si="466"/>
        <v>43635.58</v>
      </c>
      <c r="AG217" s="363">
        <f t="shared" si="466"/>
        <v>0</v>
      </c>
      <c r="AH217" s="280">
        <f t="shared" si="430"/>
        <v>43635.58</v>
      </c>
      <c r="AI217" s="367">
        <f t="shared" si="467"/>
        <v>996078.49</v>
      </c>
      <c r="AJ217" s="363">
        <f t="shared" si="467"/>
        <v>0</v>
      </c>
      <c r="AK217" s="280">
        <f t="shared" si="432"/>
        <v>996078.49</v>
      </c>
      <c r="AL217" s="368"/>
      <c r="AM217" s="367">
        <f t="shared" si="468"/>
        <v>1399099.87</v>
      </c>
      <c r="AN217" s="363">
        <f t="shared" si="468"/>
        <v>323871.96000000002</v>
      </c>
      <c r="AO217" s="280">
        <f t="shared" si="434"/>
        <v>1075227.9099999999</v>
      </c>
      <c r="AP217" s="367">
        <f t="shared" si="469"/>
        <v>1442735.45</v>
      </c>
      <c r="AQ217" s="363">
        <f t="shared" si="469"/>
        <v>323871.96000000002</v>
      </c>
      <c r="AR217" s="280">
        <f t="shared" si="420"/>
        <v>1118863.49</v>
      </c>
      <c r="AS217" s="367">
        <f t="shared" si="470"/>
        <v>2438813.94</v>
      </c>
      <c r="AT217" s="363">
        <f t="shared" si="470"/>
        <v>323871.96000000002</v>
      </c>
      <c r="AU217" s="280">
        <f t="shared" si="422"/>
        <v>2114941.98</v>
      </c>
      <c r="AV217" s="588">
        <f t="shared" si="502"/>
        <v>30545</v>
      </c>
      <c r="AW217" s="367">
        <f t="shared" ref="AW217:BT217" si="516">SUM(AW218:AW237)</f>
        <v>0</v>
      </c>
      <c r="AX217" s="363">
        <f t="shared" si="516"/>
        <v>0</v>
      </c>
      <c r="AY217" s="363">
        <f t="shared" si="516"/>
        <v>17709</v>
      </c>
      <c r="AZ217" s="363">
        <f t="shared" si="516"/>
        <v>266709</v>
      </c>
      <c r="BA217" s="363">
        <f t="shared" si="516"/>
        <v>756862.96</v>
      </c>
      <c r="BB217" s="369">
        <f t="shared" si="516"/>
        <v>48762.96</v>
      </c>
      <c r="BC217" s="367">
        <f t="shared" si="516"/>
        <v>124819.1</v>
      </c>
      <c r="BD217" s="363">
        <f t="shared" si="516"/>
        <v>8400</v>
      </c>
      <c r="BE217" s="363">
        <f t="shared" si="516"/>
        <v>391775.8</v>
      </c>
      <c r="BF217" s="363">
        <f t="shared" si="516"/>
        <v>0</v>
      </c>
      <c r="BG217" s="363">
        <f t="shared" si="516"/>
        <v>107933.01</v>
      </c>
      <c r="BH217" s="369">
        <f t="shared" si="516"/>
        <v>0</v>
      </c>
      <c r="BI217" s="367">
        <f t="shared" si="516"/>
        <v>21635.58</v>
      </c>
      <c r="BJ217" s="363">
        <f t="shared" si="516"/>
        <v>0</v>
      </c>
      <c r="BK217" s="363">
        <f t="shared" si="516"/>
        <v>11000</v>
      </c>
      <c r="BL217" s="363">
        <f t="shared" si="516"/>
        <v>0</v>
      </c>
      <c r="BM217" s="363">
        <f t="shared" si="516"/>
        <v>11000</v>
      </c>
      <c r="BN217" s="369">
        <f t="shared" si="516"/>
        <v>0</v>
      </c>
      <c r="BO217" s="367">
        <f t="shared" si="516"/>
        <v>11000</v>
      </c>
      <c r="BP217" s="363">
        <f t="shared" si="516"/>
        <v>0</v>
      </c>
      <c r="BQ217" s="363">
        <f t="shared" si="516"/>
        <v>11000</v>
      </c>
      <c r="BR217" s="363">
        <f t="shared" si="516"/>
        <v>0</v>
      </c>
      <c r="BS217" s="363">
        <f t="shared" si="516"/>
        <v>974078.49</v>
      </c>
      <c r="BT217" s="280">
        <f t="shared" si="516"/>
        <v>0</v>
      </c>
    </row>
    <row r="218" spans="1:72" s="615" customFormat="1" ht="38.25" outlineLevel="1">
      <c r="A218" s="287">
        <v>191</v>
      </c>
      <c r="B218" s="933"/>
      <c r="C218" s="866"/>
      <c r="D218" s="841"/>
      <c r="E218" s="867"/>
      <c r="F218" s="832" t="s">
        <v>23</v>
      </c>
      <c r="G218" s="616">
        <v>2</v>
      </c>
      <c r="H218" s="749" t="s">
        <v>71</v>
      </c>
      <c r="I218" s="749">
        <v>244</v>
      </c>
      <c r="J218" s="750">
        <v>226</v>
      </c>
      <c r="K218" s="534" t="s">
        <v>343</v>
      </c>
      <c r="L218" s="1043">
        <v>0</v>
      </c>
      <c r="M218" s="619"/>
      <c r="N218" s="619"/>
      <c r="O218" s="1054">
        <f t="shared" si="424"/>
        <v>0</v>
      </c>
      <c r="P218" s="620"/>
      <c r="Q218" s="509"/>
      <c r="R218" s="560"/>
      <c r="S218" s="542"/>
      <c r="T218" s="560"/>
      <c r="U218" s="621"/>
      <c r="V218" s="388" t="s">
        <v>253</v>
      </c>
      <c r="W218" s="388" t="s">
        <v>330</v>
      </c>
      <c r="X218" s="388" t="s">
        <v>243</v>
      </c>
      <c r="Z218" s="509">
        <f t="shared" si="464"/>
        <v>0</v>
      </c>
      <c r="AA218" s="622">
        <f t="shared" si="464"/>
        <v>0</v>
      </c>
      <c r="AB218" s="623">
        <f t="shared" si="426"/>
        <v>0</v>
      </c>
      <c r="AC218" s="509">
        <f t="shared" si="465"/>
        <v>0</v>
      </c>
      <c r="AD218" s="622">
        <f t="shared" si="465"/>
        <v>0</v>
      </c>
      <c r="AE218" s="623">
        <f t="shared" si="428"/>
        <v>0</v>
      </c>
      <c r="AF218" s="509">
        <f t="shared" si="466"/>
        <v>0</v>
      </c>
      <c r="AG218" s="622">
        <f t="shared" si="466"/>
        <v>0</v>
      </c>
      <c r="AH218" s="623">
        <f t="shared" si="430"/>
        <v>0</v>
      </c>
      <c r="AI218" s="509">
        <f t="shared" si="467"/>
        <v>0</v>
      </c>
      <c r="AJ218" s="622">
        <f t="shared" si="467"/>
        <v>0</v>
      </c>
      <c r="AK218" s="623">
        <f t="shared" si="432"/>
        <v>0</v>
      </c>
      <c r="AL218" s="624"/>
      <c r="AM218" s="509">
        <f t="shared" si="468"/>
        <v>0</v>
      </c>
      <c r="AN218" s="625">
        <f t="shared" si="468"/>
        <v>0</v>
      </c>
      <c r="AO218" s="626">
        <f t="shared" si="434"/>
        <v>0</v>
      </c>
      <c r="AP218" s="509">
        <f t="shared" si="469"/>
        <v>0</v>
      </c>
      <c r="AQ218" s="625">
        <f t="shared" si="469"/>
        <v>0</v>
      </c>
      <c r="AR218" s="626">
        <f t="shared" si="420"/>
        <v>0</v>
      </c>
      <c r="AS218" s="510">
        <f t="shared" si="470"/>
        <v>0</v>
      </c>
      <c r="AT218" s="625">
        <f t="shared" si="470"/>
        <v>0</v>
      </c>
      <c r="AU218" s="626">
        <f t="shared" si="422"/>
        <v>0</v>
      </c>
      <c r="AV218" s="627">
        <f t="shared" si="502"/>
        <v>0</v>
      </c>
      <c r="AW218" s="628"/>
      <c r="AX218" s="629"/>
      <c r="AY218" s="630"/>
      <c r="AZ218" s="629"/>
      <c r="BA218" s="630"/>
      <c r="BB218" s="631"/>
      <c r="BC218" s="632"/>
      <c r="BD218" s="633"/>
      <c r="BE218" s="634"/>
      <c r="BF218" s="633"/>
      <c r="BG218" s="634"/>
      <c r="BH218" s="635"/>
      <c r="BI218" s="636"/>
      <c r="BJ218" s="637"/>
      <c r="BK218" s="622"/>
      <c r="BL218" s="637"/>
      <c r="BM218" s="622"/>
      <c r="BN218" s="638"/>
      <c r="BO218" s="639"/>
      <c r="BP218" s="640"/>
      <c r="BQ218" s="641"/>
      <c r="BR218" s="640"/>
      <c r="BS218" s="641"/>
      <c r="BT218" s="642"/>
    </row>
    <row r="219" spans="1:72" s="615" customFormat="1" ht="25.5" outlineLevel="1">
      <c r="A219" s="287">
        <v>192</v>
      </c>
      <c r="B219" s="933"/>
      <c r="C219" s="866"/>
      <c r="D219" s="841"/>
      <c r="E219" s="867"/>
      <c r="F219" s="832" t="s">
        <v>23</v>
      </c>
      <c r="G219" s="616">
        <v>2</v>
      </c>
      <c r="H219" s="749" t="s">
        <v>71</v>
      </c>
      <c r="I219" s="749">
        <v>244</v>
      </c>
      <c r="J219" s="750">
        <v>226</v>
      </c>
      <c r="K219" s="534" t="s">
        <v>344</v>
      </c>
      <c r="L219" s="1043">
        <v>0</v>
      </c>
      <c r="M219" s="619"/>
      <c r="N219" s="619"/>
      <c r="O219" s="1054">
        <f t="shared" si="424"/>
        <v>0</v>
      </c>
      <c r="P219" s="620"/>
      <c r="Q219" s="509"/>
      <c r="R219" s="560"/>
      <c r="S219" s="542"/>
      <c r="T219" s="560"/>
      <c r="U219" s="621"/>
      <c r="V219" s="388" t="s">
        <v>599</v>
      </c>
      <c r="W219" s="388" t="s">
        <v>333</v>
      </c>
      <c r="X219" s="388" t="s">
        <v>334</v>
      </c>
      <c r="Z219" s="509">
        <f t="shared" si="464"/>
        <v>0</v>
      </c>
      <c r="AA219" s="622">
        <f t="shared" si="464"/>
        <v>0</v>
      </c>
      <c r="AB219" s="623">
        <f t="shared" si="426"/>
        <v>0</v>
      </c>
      <c r="AC219" s="509">
        <f t="shared" si="465"/>
        <v>0</v>
      </c>
      <c r="AD219" s="622">
        <f t="shared" si="465"/>
        <v>0</v>
      </c>
      <c r="AE219" s="623">
        <f t="shared" si="428"/>
        <v>0</v>
      </c>
      <c r="AF219" s="509">
        <f t="shared" si="466"/>
        <v>0</v>
      </c>
      <c r="AG219" s="622">
        <f t="shared" si="466"/>
        <v>0</v>
      </c>
      <c r="AH219" s="623">
        <f t="shared" si="430"/>
        <v>0</v>
      </c>
      <c r="AI219" s="509">
        <f t="shared" si="467"/>
        <v>0</v>
      </c>
      <c r="AJ219" s="622">
        <f t="shared" si="467"/>
        <v>0</v>
      </c>
      <c r="AK219" s="623">
        <f t="shared" si="432"/>
        <v>0</v>
      </c>
      <c r="AL219" s="624"/>
      <c r="AM219" s="509">
        <f t="shared" si="468"/>
        <v>0</v>
      </c>
      <c r="AN219" s="625">
        <f t="shared" si="468"/>
        <v>0</v>
      </c>
      <c r="AO219" s="626">
        <f t="shared" si="434"/>
        <v>0</v>
      </c>
      <c r="AP219" s="509">
        <f t="shared" si="469"/>
        <v>0</v>
      </c>
      <c r="AQ219" s="625">
        <f t="shared" si="469"/>
        <v>0</v>
      </c>
      <c r="AR219" s="626">
        <f t="shared" si="420"/>
        <v>0</v>
      </c>
      <c r="AS219" s="510">
        <f t="shared" si="470"/>
        <v>0</v>
      </c>
      <c r="AT219" s="625">
        <f t="shared" si="470"/>
        <v>0</v>
      </c>
      <c r="AU219" s="626">
        <f t="shared" si="422"/>
        <v>0</v>
      </c>
      <c r="AV219" s="627">
        <f t="shared" si="502"/>
        <v>0</v>
      </c>
      <c r="AW219" s="628"/>
      <c r="AX219" s="629"/>
      <c r="AY219" s="630"/>
      <c r="AZ219" s="629"/>
      <c r="BA219" s="630"/>
      <c r="BB219" s="631"/>
      <c r="BC219" s="632"/>
      <c r="BD219" s="633"/>
      <c r="BE219" s="634"/>
      <c r="BF219" s="633"/>
      <c r="BG219" s="634"/>
      <c r="BH219" s="635"/>
      <c r="BI219" s="636"/>
      <c r="BJ219" s="637"/>
      <c r="BK219" s="622"/>
      <c r="BL219" s="637"/>
      <c r="BM219" s="622"/>
      <c r="BN219" s="638"/>
      <c r="BO219" s="639"/>
      <c r="BP219" s="640"/>
      <c r="BQ219" s="641"/>
      <c r="BR219" s="640"/>
      <c r="BS219" s="641"/>
      <c r="BT219" s="642"/>
    </row>
    <row r="220" spans="1:72" s="313" customFormat="1" ht="76.5" outlineLevel="1">
      <c r="A220" s="287">
        <v>193</v>
      </c>
      <c r="B220" s="933"/>
      <c r="C220" s="840"/>
      <c r="D220" s="841"/>
      <c r="E220" s="839"/>
      <c r="F220" s="821" t="s">
        <v>23</v>
      </c>
      <c r="G220" s="314">
        <v>2</v>
      </c>
      <c r="H220" s="739" t="s">
        <v>71</v>
      </c>
      <c r="I220" s="739">
        <v>244</v>
      </c>
      <c r="J220" s="740">
        <v>226</v>
      </c>
      <c r="K220" s="533" t="s">
        <v>627</v>
      </c>
      <c r="L220" s="1025">
        <f>156000</f>
        <v>156000</v>
      </c>
      <c r="M220" s="318"/>
      <c r="N220" s="318"/>
      <c r="O220" s="1052">
        <f t="shared" si="424"/>
        <v>156000</v>
      </c>
      <c r="P220" s="570"/>
      <c r="Q220" s="336">
        <f>28489.72+72210.68</f>
        <v>100700.4</v>
      </c>
      <c r="R220" s="559"/>
      <c r="S220" s="541">
        <f>28489.72+82694.16</f>
        <v>111183.88</v>
      </c>
      <c r="T220" s="559"/>
      <c r="U220" s="335"/>
      <c r="V220" s="597" t="s">
        <v>470</v>
      </c>
      <c r="W220" s="597" t="s">
        <v>740</v>
      </c>
      <c r="X220" s="597" t="s">
        <v>739</v>
      </c>
      <c r="Z220" s="336">
        <f t="shared" si="464"/>
        <v>2409</v>
      </c>
      <c r="AA220" s="337">
        <f t="shared" si="464"/>
        <v>2409</v>
      </c>
      <c r="AB220" s="338">
        <f t="shared" si="426"/>
        <v>0</v>
      </c>
      <c r="AC220" s="336">
        <f t="shared" si="465"/>
        <v>15000</v>
      </c>
      <c r="AD220" s="337">
        <f t="shared" si="465"/>
        <v>0</v>
      </c>
      <c r="AE220" s="338">
        <f t="shared" si="428"/>
        <v>15000</v>
      </c>
      <c r="AF220" s="336">
        <f t="shared" si="466"/>
        <v>0</v>
      </c>
      <c r="AG220" s="337">
        <f t="shared" si="466"/>
        <v>0</v>
      </c>
      <c r="AH220" s="338">
        <f t="shared" si="430"/>
        <v>0</v>
      </c>
      <c r="AI220" s="336">
        <f t="shared" si="467"/>
        <v>138591</v>
      </c>
      <c r="AJ220" s="337">
        <f t="shared" si="467"/>
        <v>0</v>
      </c>
      <c r="AK220" s="338">
        <f t="shared" si="432"/>
        <v>138591</v>
      </c>
      <c r="AL220" s="342"/>
      <c r="AM220" s="336">
        <f t="shared" si="468"/>
        <v>17409</v>
      </c>
      <c r="AN220" s="339">
        <f t="shared" si="468"/>
        <v>2409</v>
      </c>
      <c r="AO220" s="340">
        <f t="shared" si="434"/>
        <v>15000</v>
      </c>
      <c r="AP220" s="336">
        <f t="shared" si="469"/>
        <v>17409</v>
      </c>
      <c r="AQ220" s="339">
        <f t="shared" si="469"/>
        <v>2409</v>
      </c>
      <c r="AR220" s="340">
        <f t="shared" si="420"/>
        <v>15000</v>
      </c>
      <c r="AS220" s="341">
        <f t="shared" si="470"/>
        <v>156000</v>
      </c>
      <c r="AT220" s="339">
        <f t="shared" si="470"/>
        <v>2409</v>
      </c>
      <c r="AU220" s="340">
        <f t="shared" si="422"/>
        <v>153591</v>
      </c>
      <c r="AV220" s="589">
        <f t="shared" si="502"/>
        <v>0</v>
      </c>
      <c r="AW220" s="343"/>
      <c r="AX220" s="344"/>
      <c r="AY220" s="345">
        <v>2409</v>
      </c>
      <c r="AZ220" s="344">
        <v>2409</v>
      </c>
      <c r="BA220" s="1133"/>
      <c r="BB220" s="346"/>
      <c r="BC220" s="1134">
        <v>15000</v>
      </c>
      <c r="BD220" s="348"/>
      <c r="BE220" s="349"/>
      <c r="BF220" s="348"/>
      <c r="BG220" s="349"/>
      <c r="BH220" s="350"/>
      <c r="BI220" s="351"/>
      <c r="BJ220" s="352"/>
      <c r="BK220" s="337"/>
      <c r="BL220" s="352"/>
      <c r="BM220" s="337"/>
      <c r="BN220" s="353"/>
      <c r="BO220" s="354"/>
      <c r="BP220" s="355"/>
      <c r="BQ220" s="356"/>
      <c r="BR220" s="355"/>
      <c r="BS220" s="356">
        <f>156000-2409-15000</f>
        <v>138591</v>
      </c>
      <c r="BT220" s="357"/>
    </row>
    <row r="221" spans="1:72" s="313" customFormat="1" ht="25.5" outlineLevel="1">
      <c r="A221" s="287">
        <v>194</v>
      </c>
      <c r="B221" s="941"/>
      <c r="C221" s="840"/>
      <c r="D221" s="841"/>
      <c r="E221" s="839"/>
      <c r="F221" s="821" t="s">
        <v>23</v>
      </c>
      <c r="G221" s="314">
        <v>2</v>
      </c>
      <c r="H221" s="739" t="s">
        <v>71</v>
      </c>
      <c r="I221" s="739">
        <v>244</v>
      </c>
      <c r="J221" s="740">
        <v>226</v>
      </c>
      <c r="K221" s="533" t="s">
        <v>346</v>
      </c>
      <c r="L221" s="1025">
        <v>12600</v>
      </c>
      <c r="M221" s="318"/>
      <c r="N221" s="318"/>
      <c r="O221" s="1052">
        <f t="shared" si="424"/>
        <v>12600</v>
      </c>
      <c r="P221" s="570"/>
      <c r="Q221" s="336"/>
      <c r="R221" s="559"/>
      <c r="S221" s="541"/>
      <c r="T221" s="559"/>
      <c r="U221" s="335"/>
      <c r="V221" s="596" t="s">
        <v>471</v>
      </c>
      <c r="W221" s="610" t="s">
        <v>472</v>
      </c>
      <c r="X221" s="388" t="s">
        <v>235</v>
      </c>
      <c r="Z221" s="336">
        <f t="shared" si="464"/>
        <v>12600</v>
      </c>
      <c r="AA221" s="337">
        <f t="shared" si="464"/>
        <v>12600</v>
      </c>
      <c r="AB221" s="338">
        <f t="shared" si="426"/>
        <v>0</v>
      </c>
      <c r="AC221" s="336">
        <f t="shared" si="465"/>
        <v>0</v>
      </c>
      <c r="AD221" s="337">
        <f t="shared" si="465"/>
        <v>0</v>
      </c>
      <c r="AE221" s="338">
        <f t="shared" si="428"/>
        <v>0</v>
      </c>
      <c r="AF221" s="336">
        <f t="shared" si="466"/>
        <v>0</v>
      </c>
      <c r="AG221" s="337">
        <f t="shared" si="466"/>
        <v>0</v>
      </c>
      <c r="AH221" s="338">
        <f t="shared" si="430"/>
        <v>0</v>
      </c>
      <c r="AI221" s="336">
        <f t="shared" si="467"/>
        <v>0</v>
      </c>
      <c r="AJ221" s="337">
        <f t="shared" si="467"/>
        <v>0</v>
      </c>
      <c r="AK221" s="338">
        <f t="shared" si="432"/>
        <v>0</v>
      </c>
      <c r="AL221" s="342"/>
      <c r="AM221" s="336">
        <f t="shared" si="468"/>
        <v>12600</v>
      </c>
      <c r="AN221" s="339">
        <f t="shared" si="468"/>
        <v>12600</v>
      </c>
      <c r="AO221" s="340">
        <f t="shared" si="434"/>
        <v>0</v>
      </c>
      <c r="AP221" s="336">
        <f t="shared" si="469"/>
        <v>12600</v>
      </c>
      <c r="AQ221" s="339">
        <f t="shared" si="469"/>
        <v>12600</v>
      </c>
      <c r="AR221" s="340">
        <f t="shared" si="420"/>
        <v>0</v>
      </c>
      <c r="AS221" s="341">
        <f t="shared" si="470"/>
        <v>12600</v>
      </c>
      <c r="AT221" s="339">
        <f t="shared" si="470"/>
        <v>12600</v>
      </c>
      <c r="AU221" s="340">
        <f t="shared" si="422"/>
        <v>0</v>
      </c>
      <c r="AV221" s="589">
        <f t="shared" si="502"/>
        <v>0</v>
      </c>
      <c r="AW221" s="343"/>
      <c r="AX221" s="344"/>
      <c r="AY221" s="1133">
        <v>12600</v>
      </c>
      <c r="AZ221" s="1152">
        <v>12600</v>
      </c>
      <c r="BA221" s="345"/>
      <c r="BB221" s="346"/>
      <c r="BC221" s="347"/>
      <c r="BD221" s="348"/>
      <c r="BE221" s="349"/>
      <c r="BF221" s="348"/>
      <c r="BG221" s="349"/>
      <c r="BH221" s="350"/>
      <c r="BI221" s="351"/>
      <c r="BJ221" s="352"/>
      <c r="BK221" s="337"/>
      <c r="BL221" s="352"/>
      <c r="BM221" s="337"/>
      <c r="BN221" s="353"/>
      <c r="BO221" s="354"/>
      <c r="BP221" s="355"/>
      <c r="BQ221" s="356"/>
      <c r="BR221" s="355"/>
      <c r="BS221" s="356"/>
      <c r="BT221" s="357"/>
    </row>
    <row r="222" spans="1:72" s="313" customFormat="1" ht="63.75" outlineLevel="1">
      <c r="A222" s="287">
        <v>195</v>
      </c>
      <c r="B222" s="1143" t="s">
        <v>619</v>
      </c>
      <c r="C222" s="840"/>
      <c r="D222" s="841"/>
      <c r="E222" s="839"/>
      <c r="F222" s="821" t="s">
        <v>23</v>
      </c>
      <c r="G222" s="314">
        <v>2</v>
      </c>
      <c r="H222" s="739" t="s">
        <v>71</v>
      </c>
      <c r="I222" s="739">
        <v>244</v>
      </c>
      <c r="J222" s="740">
        <v>226</v>
      </c>
      <c r="K222" s="533" t="s">
        <v>719</v>
      </c>
      <c r="L222" s="1025">
        <v>8400</v>
      </c>
      <c r="M222" s="318"/>
      <c r="N222" s="318"/>
      <c r="O222" s="1052">
        <f t="shared" ref="O222" si="517">L222+N222</f>
        <v>8400</v>
      </c>
      <c r="P222" s="570"/>
      <c r="Q222" s="336"/>
      <c r="R222" s="559"/>
      <c r="S222" s="541"/>
      <c r="T222" s="559"/>
      <c r="U222" s="335"/>
      <c r="V222" s="596" t="s">
        <v>471</v>
      </c>
      <c r="W222" s="597" t="s">
        <v>720</v>
      </c>
      <c r="X222" s="597" t="s">
        <v>721</v>
      </c>
      <c r="Z222" s="336">
        <f t="shared" ref="Z222" si="518">AW222+AY222+BA222</f>
        <v>0</v>
      </c>
      <c r="AA222" s="337">
        <f t="shared" ref="AA222" si="519">AX222+AZ222+BB222</f>
        <v>0</v>
      </c>
      <c r="AB222" s="338">
        <f t="shared" ref="AB222" si="520">Z222-AA222</f>
        <v>0</v>
      </c>
      <c r="AC222" s="336">
        <f t="shared" ref="AC222" si="521">BC222+BE222+BG222</f>
        <v>8400</v>
      </c>
      <c r="AD222" s="337">
        <f t="shared" ref="AD222" si="522">BD222+BF222+BH222</f>
        <v>8400</v>
      </c>
      <c r="AE222" s="338">
        <f t="shared" ref="AE222" si="523">AC222-AD222</f>
        <v>0</v>
      </c>
      <c r="AF222" s="336">
        <f t="shared" ref="AF222" si="524">BI222+BK222+BM222</f>
        <v>0</v>
      </c>
      <c r="AG222" s="337">
        <f t="shared" ref="AG222" si="525">BJ222+BL222+BN222</f>
        <v>0</v>
      </c>
      <c r="AH222" s="338">
        <f t="shared" ref="AH222" si="526">AF222-AG222</f>
        <v>0</v>
      </c>
      <c r="AI222" s="336">
        <f t="shared" ref="AI222" si="527">BO222+BQ222+BS222</f>
        <v>0</v>
      </c>
      <c r="AJ222" s="337">
        <f t="shared" ref="AJ222" si="528">BP222+BR222+BT222</f>
        <v>0</v>
      </c>
      <c r="AK222" s="338">
        <f t="shared" ref="AK222" si="529">AI222-AJ222</f>
        <v>0</v>
      </c>
      <c r="AL222" s="342"/>
      <c r="AM222" s="336">
        <f t="shared" ref="AM222" si="530">Z222+AC222</f>
        <v>8400</v>
      </c>
      <c r="AN222" s="339">
        <f t="shared" ref="AN222" si="531">AA222+AD222</f>
        <v>8400</v>
      </c>
      <c r="AO222" s="340">
        <f t="shared" ref="AO222" si="532">AM222-AN222</f>
        <v>0</v>
      </c>
      <c r="AP222" s="336">
        <f t="shared" ref="AP222" si="533">Z222+AC222+AF222</f>
        <v>8400</v>
      </c>
      <c r="AQ222" s="339">
        <f t="shared" ref="AQ222" si="534">AA222+AD222+AG222</f>
        <v>8400</v>
      </c>
      <c r="AR222" s="340">
        <f t="shared" ref="AR222" si="535">AP222-AQ222</f>
        <v>0</v>
      </c>
      <c r="AS222" s="341">
        <f t="shared" ref="AS222" si="536">Z222+AC222+AF222+AI222</f>
        <v>8400</v>
      </c>
      <c r="AT222" s="339">
        <f t="shared" ref="AT222" si="537">AA222+AD222+AG222+AJ222</f>
        <v>8400</v>
      </c>
      <c r="AU222" s="340">
        <f t="shared" ref="AU222" si="538">AS222-AT222</f>
        <v>0</v>
      </c>
      <c r="AV222" s="589">
        <f t="shared" ref="AV222" si="539">L222-AS222</f>
        <v>0</v>
      </c>
      <c r="AW222" s="343"/>
      <c r="AX222" s="344"/>
      <c r="AY222" s="345"/>
      <c r="AZ222" s="344"/>
      <c r="BA222" s="345"/>
      <c r="BB222" s="346"/>
      <c r="BC222" s="1134">
        <v>8400</v>
      </c>
      <c r="BD222" s="1140">
        <v>8400</v>
      </c>
      <c r="BE222" s="349"/>
      <c r="BF222" s="348"/>
      <c r="BG222" s="349"/>
      <c r="BH222" s="350"/>
      <c r="BI222" s="351"/>
      <c r="BJ222" s="352"/>
      <c r="BK222" s="337"/>
      <c r="BL222" s="352"/>
      <c r="BM222" s="337"/>
      <c r="BN222" s="353"/>
      <c r="BO222" s="354"/>
      <c r="BP222" s="355"/>
      <c r="BQ222" s="356"/>
      <c r="BR222" s="355"/>
      <c r="BS222" s="356"/>
      <c r="BT222" s="357"/>
    </row>
    <row r="223" spans="1:72" s="615" customFormat="1" ht="38.25" outlineLevel="1">
      <c r="A223" s="287">
        <v>196</v>
      </c>
      <c r="B223" s="933"/>
      <c r="C223" s="866"/>
      <c r="D223" s="841"/>
      <c r="E223" s="867"/>
      <c r="F223" s="832" t="s">
        <v>23</v>
      </c>
      <c r="G223" s="616">
        <v>2</v>
      </c>
      <c r="H223" s="749" t="s">
        <v>71</v>
      </c>
      <c r="I223" s="749">
        <v>244</v>
      </c>
      <c r="J223" s="750">
        <v>226</v>
      </c>
      <c r="K223" s="534" t="s">
        <v>371</v>
      </c>
      <c r="L223" s="1043">
        <v>0</v>
      </c>
      <c r="M223" s="619"/>
      <c r="N223" s="619"/>
      <c r="O223" s="1054">
        <f t="shared" si="424"/>
        <v>0</v>
      </c>
      <c r="P223" s="620"/>
      <c r="Q223" s="509"/>
      <c r="R223" s="560"/>
      <c r="S223" s="542"/>
      <c r="T223" s="560"/>
      <c r="U223" s="621"/>
      <c r="V223" s="388"/>
      <c r="W223" s="388"/>
      <c r="X223" s="388"/>
      <c r="Z223" s="509">
        <f t="shared" si="464"/>
        <v>0</v>
      </c>
      <c r="AA223" s="622">
        <f t="shared" si="464"/>
        <v>0</v>
      </c>
      <c r="AB223" s="623">
        <f t="shared" si="426"/>
        <v>0</v>
      </c>
      <c r="AC223" s="509">
        <f t="shared" si="465"/>
        <v>0</v>
      </c>
      <c r="AD223" s="622">
        <f t="shared" si="465"/>
        <v>0</v>
      </c>
      <c r="AE223" s="623">
        <f t="shared" si="428"/>
        <v>0</v>
      </c>
      <c r="AF223" s="509">
        <f t="shared" si="466"/>
        <v>0</v>
      </c>
      <c r="AG223" s="622">
        <f t="shared" si="466"/>
        <v>0</v>
      </c>
      <c r="AH223" s="623">
        <f t="shared" si="430"/>
        <v>0</v>
      </c>
      <c r="AI223" s="509">
        <f t="shared" si="467"/>
        <v>0</v>
      </c>
      <c r="AJ223" s="622">
        <f t="shared" si="467"/>
        <v>0</v>
      </c>
      <c r="AK223" s="623">
        <f t="shared" si="432"/>
        <v>0</v>
      </c>
      <c r="AL223" s="624"/>
      <c r="AM223" s="509">
        <f t="shared" si="468"/>
        <v>0</v>
      </c>
      <c r="AN223" s="625">
        <f t="shared" si="468"/>
        <v>0</v>
      </c>
      <c r="AO223" s="626">
        <f t="shared" si="434"/>
        <v>0</v>
      </c>
      <c r="AP223" s="509">
        <f t="shared" si="469"/>
        <v>0</v>
      </c>
      <c r="AQ223" s="625">
        <f t="shared" si="469"/>
        <v>0</v>
      </c>
      <c r="AR223" s="626">
        <f t="shared" si="420"/>
        <v>0</v>
      </c>
      <c r="AS223" s="510">
        <f t="shared" si="470"/>
        <v>0</v>
      </c>
      <c r="AT223" s="625">
        <f t="shared" si="470"/>
        <v>0</v>
      </c>
      <c r="AU223" s="626">
        <f t="shared" si="422"/>
        <v>0</v>
      </c>
      <c r="AV223" s="627">
        <f t="shared" si="502"/>
        <v>0</v>
      </c>
      <c r="AW223" s="628"/>
      <c r="AX223" s="629"/>
      <c r="AY223" s="630"/>
      <c r="AZ223" s="629"/>
      <c r="BA223" s="630"/>
      <c r="BB223" s="631"/>
      <c r="BC223" s="632"/>
      <c r="BD223" s="633"/>
      <c r="BE223" s="634"/>
      <c r="BF223" s="633"/>
      <c r="BG223" s="634"/>
      <c r="BH223" s="635"/>
      <c r="BI223" s="636"/>
      <c r="BJ223" s="637"/>
      <c r="BK223" s="622"/>
      <c r="BL223" s="637"/>
      <c r="BM223" s="622"/>
      <c r="BN223" s="638"/>
      <c r="BO223" s="639"/>
      <c r="BP223" s="640"/>
      <c r="BQ223" s="641"/>
      <c r="BR223" s="640"/>
      <c r="BS223" s="641"/>
      <c r="BT223" s="642"/>
    </row>
    <row r="224" spans="1:72" s="615" customFormat="1" ht="38.25" outlineLevel="1">
      <c r="A224" s="287">
        <v>197</v>
      </c>
      <c r="B224" s="933"/>
      <c r="C224" s="866"/>
      <c r="D224" s="841"/>
      <c r="E224" s="867"/>
      <c r="F224" s="832" t="s">
        <v>23</v>
      </c>
      <c r="G224" s="616">
        <v>2</v>
      </c>
      <c r="H224" s="749" t="s">
        <v>71</v>
      </c>
      <c r="I224" s="749">
        <v>244</v>
      </c>
      <c r="J224" s="750">
        <v>226</v>
      </c>
      <c r="K224" s="534" t="s">
        <v>396</v>
      </c>
      <c r="L224" s="1043">
        <v>0</v>
      </c>
      <c r="M224" s="619"/>
      <c r="N224" s="619"/>
      <c r="O224" s="1054">
        <f t="shared" si="424"/>
        <v>0</v>
      </c>
      <c r="P224" s="620"/>
      <c r="Q224" s="509"/>
      <c r="R224" s="560"/>
      <c r="S224" s="542"/>
      <c r="T224" s="560"/>
      <c r="U224" s="621"/>
      <c r="V224" s="388" t="s">
        <v>331</v>
      </c>
      <c r="W224" s="388" t="s">
        <v>332</v>
      </c>
      <c r="X224" s="388" t="s">
        <v>243</v>
      </c>
      <c r="Z224" s="509">
        <f t="shared" si="464"/>
        <v>0</v>
      </c>
      <c r="AA224" s="622">
        <f t="shared" si="464"/>
        <v>0</v>
      </c>
      <c r="AB224" s="623">
        <f t="shared" si="426"/>
        <v>0</v>
      </c>
      <c r="AC224" s="509">
        <f t="shared" si="465"/>
        <v>0</v>
      </c>
      <c r="AD224" s="622">
        <f t="shared" si="465"/>
        <v>0</v>
      </c>
      <c r="AE224" s="623">
        <f t="shared" si="428"/>
        <v>0</v>
      </c>
      <c r="AF224" s="509">
        <f t="shared" si="466"/>
        <v>0</v>
      </c>
      <c r="AG224" s="622">
        <f t="shared" si="466"/>
        <v>0</v>
      </c>
      <c r="AH224" s="623">
        <f t="shared" si="430"/>
        <v>0</v>
      </c>
      <c r="AI224" s="509">
        <f t="shared" si="467"/>
        <v>0</v>
      </c>
      <c r="AJ224" s="622">
        <f t="shared" si="467"/>
        <v>0</v>
      </c>
      <c r="AK224" s="623">
        <f t="shared" si="432"/>
        <v>0</v>
      </c>
      <c r="AL224" s="624"/>
      <c r="AM224" s="509">
        <f t="shared" si="468"/>
        <v>0</v>
      </c>
      <c r="AN224" s="625">
        <f t="shared" si="468"/>
        <v>0</v>
      </c>
      <c r="AO224" s="626">
        <f t="shared" si="434"/>
        <v>0</v>
      </c>
      <c r="AP224" s="509">
        <f t="shared" si="469"/>
        <v>0</v>
      </c>
      <c r="AQ224" s="625">
        <f t="shared" si="469"/>
        <v>0</v>
      </c>
      <c r="AR224" s="626">
        <f t="shared" si="420"/>
        <v>0</v>
      </c>
      <c r="AS224" s="510">
        <f t="shared" si="470"/>
        <v>0</v>
      </c>
      <c r="AT224" s="625">
        <f t="shared" si="470"/>
        <v>0</v>
      </c>
      <c r="AU224" s="626">
        <f t="shared" si="422"/>
        <v>0</v>
      </c>
      <c r="AV224" s="627">
        <f t="shared" si="502"/>
        <v>0</v>
      </c>
      <c r="AW224" s="628"/>
      <c r="AX224" s="629"/>
      <c r="AY224" s="630"/>
      <c r="AZ224" s="629"/>
      <c r="BA224" s="630"/>
      <c r="BB224" s="631"/>
      <c r="BC224" s="632"/>
      <c r="BD224" s="633"/>
      <c r="BE224" s="634"/>
      <c r="BF224" s="633"/>
      <c r="BG224" s="634"/>
      <c r="BH224" s="635"/>
      <c r="BI224" s="636"/>
      <c r="BJ224" s="637"/>
      <c r="BK224" s="622"/>
      <c r="BL224" s="637"/>
      <c r="BM224" s="622"/>
      <c r="BN224" s="638"/>
      <c r="BO224" s="639"/>
      <c r="BP224" s="640"/>
      <c r="BQ224" s="641"/>
      <c r="BR224" s="640"/>
      <c r="BS224" s="641"/>
      <c r="BT224" s="642"/>
    </row>
    <row r="225" spans="1:72" s="313" customFormat="1" ht="293.25" outlineLevel="1">
      <c r="A225" s="287">
        <v>198</v>
      </c>
      <c r="B225" s="1147" t="s">
        <v>813</v>
      </c>
      <c r="C225" s="840"/>
      <c r="D225" s="841"/>
      <c r="E225" s="839"/>
      <c r="F225" s="821" t="s">
        <v>23</v>
      </c>
      <c r="G225" s="314">
        <v>2</v>
      </c>
      <c r="H225" s="739" t="s">
        <v>71</v>
      </c>
      <c r="I225" s="739">
        <v>244</v>
      </c>
      <c r="J225" s="740">
        <v>226</v>
      </c>
      <c r="K225" s="533" t="s">
        <v>802</v>
      </c>
      <c r="L225" s="1025">
        <f>1303567.18-100000+69426.41-39600-12600-2500-2700-10560-228988.11-8400-99000-19200-25000-24900</f>
        <v>799545.48</v>
      </c>
      <c r="M225" s="318"/>
      <c r="N225" s="318">
        <f>-36010-5499-21210-1679-4101-38115-1159-201-8170-570-4200-7800-2000-13300-39692</f>
        <v>-183706</v>
      </c>
      <c r="O225" s="1052">
        <f t="shared" si="424"/>
        <v>615839.48</v>
      </c>
      <c r="P225" s="570"/>
      <c r="Q225" s="336">
        <f>1327835.02-39600</f>
        <v>1288235.02</v>
      </c>
      <c r="R225" s="559"/>
      <c r="S225" s="541">
        <f>1329481.13-39600</f>
        <v>1289881.1299999999</v>
      </c>
      <c r="T225" s="559"/>
      <c r="U225" s="335"/>
      <c r="V225" s="596" t="s">
        <v>338</v>
      </c>
      <c r="W225" s="596" t="s">
        <v>815</v>
      </c>
      <c r="X225" s="596" t="s">
        <v>690</v>
      </c>
      <c r="Z225" s="336">
        <f t="shared" si="464"/>
        <v>46262.96</v>
      </c>
      <c r="AA225" s="337">
        <f t="shared" si="464"/>
        <v>46262.96</v>
      </c>
      <c r="AB225" s="338">
        <f t="shared" si="426"/>
        <v>0</v>
      </c>
      <c r="AC225" s="336">
        <f t="shared" si="465"/>
        <v>249612.91</v>
      </c>
      <c r="AD225" s="337">
        <f t="shared" si="465"/>
        <v>0</v>
      </c>
      <c r="AE225" s="338">
        <f t="shared" si="428"/>
        <v>249612.91</v>
      </c>
      <c r="AF225" s="336">
        <f t="shared" si="466"/>
        <v>10635.58</v>
      </c>
      <c r="AG225" s="337">
        <f t="shared" si="466"/>
        <v>0</v>
      </c>
      <c r="AH225" s="338">
        <f t="shared" si="430"/>
        <v>10635.58</v>
      </c>
      <c r="AI225" s="336">
        <f t="shared" si="467"/>
        <v>493034.03</v>
      </c>
      <c r="AJ225" s="337">
        <f t="shared" si="467"/>
        <v>0</v>
      </c>
      <c r="AK225" s="338">
        <f t="shared" si="432"/>
        <v>493034.03</v>
      </c>
      <c r="AL225" s="342"/>
      <c r="AM225" s="336">
        <f t="shared" si="468"/>
        <v>295875.87</v>
      </c>
      <c r="AN225" s="339">
        <f t="shared" si="468"/>
        <v>46262.96</v>
      </c>
      <c r="AO225" s="340">
        <f t="shared" si="434"/>
        <v>249612.91</v>
      </c>
      <c r="AP225" s="336">
        <f t="shared" si="469"/>
        <v>306511.45</v>
      </c>
      <c r="AQ225" s="339">
        <f t="shared" si="469"/>
        <v>46262.96</v>
      </c>
      <c r="AR225" s="340">
        <f t="shared" si="420"/>
        <v>260248.49</v>
      </c>
      <c r="AS225" s="341">
        <f t="shared" si="470"/>
        <v>799545.48</v>
      </c>
      <c r="AT225" s="339">
        <f t="shared" si="470"/>
        <v>46262.96</v>
      </c>
      <c r="AU225" s="340">
        <f t="shared" si="422"/>
        <v>753282.52</v>
      </c>
      <c r="AV225" s="589">
        <f t="shared" si="502"/>
        <v>0</v>
      </c>
      <c r="AW225" s="343"/>
      <c r="AX225" s="344"/>
      <c r="AY225" s="345"/>
      <c r="AZ225" s="344"/>
      <c r="BA225" s="345">
        <v>46262.96</v>
      </c>
      <c r="BB225" s="346">
        <v>46262.96</v>
      </c>
      <c r="BC225" s="347">
        <v>86404.1</v>
      </c>
      <c r="BD225" s="348"/>
      <c r="BE225" s="1135">
        <v>66275.8</v>
      </c>
      <c r="BF225" s="348"/>
      <c r="BG225" s="1135">
        <v>96933.01</v>
      </c>
      <c r="BH225" s="350"/>
      <c r="BI225" s="351">
        <f>439231.55-9130-4290-18244-188111.97-99000-8400-19200-25000-36010-21210</f>
        <v>10635.58</v>
      </c>
      <c r="BJ225" s="352"/>
      <c r="BK225" s="337"/>
      <c r="BL225" s="352"/>
      <c r="BM225" s="337"/>
      <c r="BN225" s="353"/>
      <c r="BO225" s="354"/>
      <c r="BP225" s="355"/>
      <c r="BQ225" s="356"/>
      <c r="BR225" s="355"/>
      <c r="BS225" s="356">
        <f>534891.85+138382.19-39600-43707-96933.01</f>
        <v>493034.03</v>
      </c>
      <c r="BT225" s="357"/>
    </row>
    <row r="226" spans="1:72" s="313" customFormat="1" ht="38.25" outlineLevel="1">
      <c r="A226" s="287">
        <v>199</v>
      </c>
      <c r="B226" s="933"/>
      <c r="C226" s="840"/>
      <c r="D226" s="841"/>
      <c r="E226" s="839"/>
      <c r="F226" s="821" t="s">
        <v>23</v>
      </c>
      <c r="G226" s="314">
        <v>2</v>
      </c>
      <c r="H226" s="739" t="s">
        <v>71</v>
      </c>
      <c r="I226" s="739">
        <v>244</v>
      </c>
      <c r="J226" s="740">
        <v>226</v>
      </c>
      <c r="K226" s="533" t="s">
        <v>348</v>
      </c>
      <c r="L226" s="1025">
        <v>76788.2</v>
      </c>
      <c r="M226" s="318"/>
      <c r="N226" s="318"/>
      <c r="O226" s="1052">
        <f t="shared" si="424"/>
        <v>76788.2</v>
      </c>
      <c r="P226" s="570"/>
      <c r="Q226" s="336">
        <v>76788.2</v>
      </c>
      <c r="R226" s="559"/>
      <c r="S226" s="541">
        <v>76788.2</v>
      </c>
      <c r="T226" s="559"/>
      <c r="U226" s="335"/>
      <c r="V226" s="320" t="s">
        <v>338</v>
      </c>
      <c r="W226" s="388"/>
      <c r="X226" s="388"/>
      <c r="Z226" s="336">
        <f t="shared" si="464"/>
        <v>30000</v>
      </c>
      <c r="AA226" s="337">
        <f t="shared" si="464"/>
        <v>0</v>
      </c>
      <c r="AB226" s="338">
        <f t="shared" si="426"/>
        <v>30000</v>
      </c>
      <c r="AC226" s="336">
        <f t="shared" si="465"/>
        <v>20000</v>
      </c>
      <c r="AD226" s="337">
        <f t="shared" si="465"/>
        <v>0</v>
      </c>
      <c r="AE226" s="338">
        <f t="shared" si="428"/>
        <v>20000</v>
      </c>
      <c r="AF226" s="336">
        <f t="shared" si="466"/>
        <v>0</v>
      </c>
      <c r="AG226" s="337">
        <f t="shared" si="466"/>
        <v>0</v>
      </c>
      <c r="AH226" s="338">
        <f t="shared" si="430"/>
        <v>0</v>
      </c>
      <c r="AI226" s="336">
        <f t="shared" si="467"/>
        <v>26788.2</v>
      </c>
      <c r="AJ226" s="337">
        <f t="shared" si="467"/>
        <v>0</v>
      </c>
      <c r="AK226" s="338">
        <f t="shared" si="432"/>
        <v>26788.2</v>
      </c>
      <c r="AL226" s="342"/>
      <c r="AM226" s="336">
        <f t="shared" si="468"/>
        <v>50000</v>
      </c>
      <c r="AN226" s="339">
        <f t="shared" si="468"/>
        <v>0</v>
      </c>
      <c r="AO226" s="340">
        <f t="shared" si="434"/>
        <v>50000</v>
      </c>
      <c r="AP226" s="336">
        <f t="shared" si="469"/>
        <v>50000</v>
      </c>
      <c r="AQ226" s="339">
        <f t="shared" si="469"/>
        <v>0</v>
      </c>
      <c r="AR226" s="340">
        <f t="shared" si="420"/>
        <v>50000</v>
      </c>
      <c r="AS226" s="341">
        <f t="shared" si="470"/>
        <v>76788.2</v>
      </c>
      <c r="AT226" s="339">
        <f t="shared" si="470"/>
        <v>0</v>
      </c>
      <c r="AU226" s="340">
        <f t="shared" si="422"/>
        <v>76788.2</v>
      </c>
      <c r="AV226" s="589">
        <f t="shared" si="502"/>
        <v>0</v>
      </c>
      <c r="AW226" s="343"/>
      <c r="AX226" s="344"/>
      <c r="AY226" s="345"/>
      <c r="AZ226" s="344"/>
      <c r="BA226" s="345">
        <v>30000</v>
      </c>
      <c r="BB226" s="346"/>
      <c r="BC226" s="347"/>
      <c r="BD226" s="348"/>
      <c r="BE226" s="349">
        <v>20000</v>
      </c>
      <c r="BF226" s="348"/>
      <c r="BG226" s="349"/>
      <c r="BH226" s="350"/>
      <c r="BI226" s="351"/>
      <c r="BJ226" s="352"/>
      <c r="BK226" s="337"/>
      <c r="BL226" s="352"/>
      <c r="BM226" s="337"/>
      <c r="BN226" s="353"/>
      <c r="BO226" s="354"/>
      <c r="BP226" s="355"/>
      <c r="BQ226" s="356"/>
      <c r="BR226" s="355"/>
      <c r="BS226" s="356">
        <v>26788.2</v>
      </c>
      <c r="BT226" s="357"/>
    </row>
    <row r="227" spans="1:72" s="313" customFormat="1" ht="38.25" outlineLevel="1">
      <c r="A227" s="287">
        <v>200</v>
      </c>
      <c r="B227" s="1148" t="s">
        <v>604</v>
      </c>
      <c r="C227" s="840"/>
      <c r="D227" s="841"/>
      <c r="E227" s="839"/>
      <c r="F227" s="821" t="s">
        <v>23</v>
      </c>
      <c r="G227" s="314">
        <v>2</v>
      </c>
      <c r="H227" s="739" t="s">
        <v>71</v>
      </c>
      <c r="I227" s="739">
        <v>244</v>
      </c>
      <c r="J227" s="740">
        <v>226</v>
      </c>
      <c r="K227" s="533" t="s">
        <v>620</v>
      </c>
      <c r="L227" s="1025">
        <v>99000</v>
      </c>
      <c r="M227" s="318"/>
      <c r="N227" s="318"/>
      <c r="O227" s="1052">
        <f t="shared" si="424"/>
        <v>99000</v>
      </c>
      <c r="P227" s="570"/>
      <c r="Q227" s="336">
        <v>0</v>
      </c>
      <c r="R227" s="559"/>
      <c r="S227" s="541">
        <v>0</v>
      </c>
      <c r="T227" s="559"/>
      <c r="U227" s="335"/>
      <c r="V227" s="596" t="s">
        <v>606</v>
      </c>
      <c r="W227" s="596" t="s">
        <v>607</v>
      </c>
      <c r="X227" s="596" t="s">
        <v>608</v>
      </c>
      <c r="Z227" s="336">
        <f t="shared" ref="Z227:AA245" si="540">AW227+AY227+BA227</f>
        <v>0</v>
      </c>
      <c r="AA227" s="337">
        <f t="shared" si="540"/>
        <v>0</v>
      </c>
      <c r="AB227" s="338">
        <f t="shared" si="426"/>
        <v>0</v>
      </c>
      <c r="AC227" s="336">
        <f t="shared" ref="AC227:AD245" si="541">BC227+BE227+BG227</f>
        <v>22000</v>
      </c>
      <c r="AD227" s="337">
        <f t="shared" si="541"/>
        <v>0</v>
      </c>
      <c r="AE227" s="338">
        <f t="shared" si="428"/>
        <v>22000</v>
      </c>
      <c r="AF227" s="336">
        <f t="shared" ref="AF227:AG245" si="542">BI227+BK227+BM227</f>
        <v>33000</v>
      </c>
      <c r="AG227" s="337">
        <f t="shared" si="542"/>
        <v>0</v>
      </c>
      <c r="AH227" s="338">
        <f t="shared" si="430"/>
        <v>33000</v>
      </c>
      <c r="AI227" s="336">
        <f t="shared" ref="AI227:AJ245" si="543">BO227+BQ227+BS227</f>
        <v>44000</v>
      </c>
      <c r="AJ227" s="337">
        <f t="shared" si="543"/>
        <v>0</v>
      </c>
      <c r="AK227" s="338">
        <f t="shared" si="432"/>
        <v>44000</v>
      </c>
      <c r="AL227" s="342"/>
      <c r="AM227" s="336">
        <f t="shared" ref="AM227:AN245" si="544">Z227+AC227</f>
        <v>22000</v>
      </c>
      <c r="AN227" s="339">
        <f t="shared" si="544"/>
        <v>0</v>
      </c>
      <c r="AO227" s="340">
        <f t="shared" si="434"/>
        <v>22000</v>
      </c>
      <c r="AP227" s="336">
        <f t="shared" ref="AP227:AQ245" si="545">Z227+AC227+AF227</f>
        <v>55000</v>
      </c>
      <c r="AQ227" s="339">
        <f t="shared" si="545"/>
        <v>0</v>
      </c>
      <c r="AR227" s="340">
        <f t="shared" si="420"/>
        <v>55000</v>
      </c>
      <c r="AS227" s="341">
        <f t="shared" ref="AS227:AT245" si="546">Z227+AC227+AF227+AI227</f>
        <v>99000</v>
      </c>
      <c r="AT227" s="339">
        <f t="shared" si="546"/>
        <v>0</v>
      </c>
      <c r="AU227" s="340">
        <f t="shared" si="422"/>
        <v>99000</v>
      </c>
      <c r="AV227" s="589">
        <f t="shared" si="502"/>
        <v>0</v>
      </c>
      <c r="AW227" s="343"/>
      <c r="AX227" s="344"/>
      <c r="AY227" s="345"/>
      <c r="AZ227" s="344"/>
      <c r="BA227" s="345"/>
      <c r="BB227" s="346"/>
      <c r="BC227" s="347"/>
      <c r="BD227" s="348"/>
      <c r="BE227" s="349">
        <v>11000</v>
      </c>
      <c r="BF227" s="348"/>
      <c r="BG227" s="349">
        <v>11000</v>
      </c>
      <c r="BH227" s="350"/>
      <c r="BI227" s="351">
        <v>11000</v>
      </c>
      <c r="BJ227" s="352"/>
      <c r="BK227" s="337">
        <v>11000</v>
      </c>
      <c r="BL227" s="352"/>
      <c r="BM227" s="337">
        <v>11000</v>
      </c>
      <c r="BN227" s="353"/>
      <c r="BO227" s="354">
        <v>11000</v>
      </c>
      <c r="BP227" s="355"/>
      <c r="BQ227" s="356">
        <v>11000</v>
      </c>
      <c r="BR227" s="355"/>
      <c r="BS227" s="356">
        <f>11000*2</f>
        <v>22000</v>
      </c>
      <c r="BT227" s="357"/>
    </row>
    <row r="228" spans="1:72" s="313" customFormat="1" ht="25.5" outlineLevel="1">
      <c r="A228" s="287">
        <v>201</v>
      </c>
      <c r="B228" s="933"/>
      <c r="C228" s="840"/>
      <c r="D228" s="841"/>
      <c r="E228" s="839"/>
      <c r="F228" s="821" t="s">
        <v>23</v>
      </c>
      <c r="G228" s="314">
        <v>2</v>
      </c>
      <c r="H228" s="739" t="s">
        <v>71</v>
      </c>
      <c r="I228" s="739">
        <v>244</v>
      </c>
      <c r="J228" s="740">
        <v>226</v>
      </c>
      <c r="K228" s="533" t="s">
        <v>349</v>
      </c>
      <c r="L228" s="1025">
        <v>622720</v>
      </c>
      <c r="M228" s="318"/>
      <c r="N228" s="318"/>
      <c r="O228" s="1052">
        <f t="shared" si="424"/>
        <v>622720</v>
      </c>
      <c r="P228" s="570"/>
      <c r="Q228" s="336">
        <v>622720</v>
      </c>
      <c r="R228" s="559"/>
      <c r="S228" s="541">
        <v>622720</v>
      </c>
      <c r="T228" s="559"/>
      <c r="U228" s="335"/>
      <c r="V228" s="320" t="s">
        <v>355</v>
      </c>
      <c r="W228" s="388"/>
      <c r="X228" s="388"/>
      <c r="Z228" s="336">
        <f t="shared" si="540"/>
        <v>310000</v>
      </c>
      <c r="AA228" s="337">
        <f t="shared" si="540"/>
        <v>0</v>
      </c>
      <c r="AB228" s="338">
        <f t="shared" si="426"/>
        <v>310000</v>
      </c>
      <c r="AC228" s="336">
        <f t="shared" si="541"/>
        <v>155000</v>
      </c>
      <c r="AD228" s="337">
        <f t="shared" si="541"/>
        <v>0</v>
      </c>
      <c r="AE228" s="338">
        <f t="shared" si="428"/>
        <v>155000</v>
      </c>
      <c r="AF228" s="336">
        <f t="shared" si="542"/>
        <v>0</v>
      </c>
      <c r="AG228" s="337">
        <f t="shared" si="542"/>
        <v>0</v>
      </c>
      <c r="AH228" s="338">
        <f t="shared" si="430"/>
        <v>0</v>
      </c>
      <c r="AI228" s="336">
        <f t="shared" si="543"/>
        <v>157720</v>
      </c>
      <c r="AJ228" s="337">
        <f t="shared" si="543"/>
        <v>0</v>
      </c>
      <c r="AK228" s="338">
        <f t="shared" si="432"/>
        <v>157720</v>
      </c>
      <c r="AL228" s="342"/>
      <c r="AM228" s="336">
        <f t="shared" si="544"/>
        <v>465000</v>
      </c>
      <c r="AN228" s="339">
        <f t="shared" si="544"/>
        <v>0</v>
      </c>
      <c r="AO228" s="340">
        <f t="shared" si="434"/>
        <v>465000</v>
      </c>
      <c r="AP228" s="336">
        <f t="shared" si="545"/>
        <v>465000</v>
      </c>
      <c r="AQ228" s="339">
        <f t="shared" si="545"/>
        <v>0</v>
      </c>
      <c r="AR228" s="340">
        <f t="shared" si="420"/>
        <v>465000</v>
      </c>
      <c r="AS228" s="341">
        <f t="shared" si="546"/>
        <v>622720</v>
      </c>
      <c r="AT228" s="339">
        <f t="shared" si="546"/>
        <v>0</v>
      </c>
      <c r="AU228" s="340">
        <f t="shared" si="422"/>
        <v>622720</v>
      </c>
      <c r="AV228" s="589">
        <f t="shared" si="502"/>
        <v>0</v>
      </c>
      <c r="AW228" s="343"/>
      <c r="AX228" s="344"/>
      <c r="AY228" s="345"/>
      <c r="AZ228" s="344"/>
      <c r="BA228" s="345">
        <v>310000</v>
      </c>
      <c r="BB228" s="346"/>
      <c r="BC228" s="347"/>
      <c r="BD228" s="348"/>
      <c r="BE228" s="349">
        <v>155000</v>
      </c>
      <c r="BF228" s="348"/>
      <c r="BG228" s="349"/>
      <c r="BH228" s="350"/>
      <c r="BI228" s="351"/>
      <c r="BJ228" s="352"/>
      <c r="BK228" s="337"/>
      <c r="BL228" s="352"/>
      <c r="BM228" s="337"/>
      <c r="BN228" s="353"/>
      <c r="BO228" s="354"/>
      <c r="BP228" s="355"/>
      <c r="BQ228" s="356"/>
      <c r="BR228" s="355"/>
      <c r="BS228" s="356">
        <v>157720</v>
      </c>
      <c r="BT228" s="357"/>
    </row>
    <row r="229" spans="1:72" s="313" customFormat="1" ht="38.25" outlineLevel="1">
      <c r="A229" s="287">
        <v>202</v>
      </c>
      <c r="B229" s="933"/>
      <c r="C229" s="840"/>
      <c r="D229" s="841"/>
      <c r="E229" s="839"/>
      <c r="F229" s="821" t="s">
        <v>23</v>
      </c>
      <c r="G229" s="314">
        <v>2</v>
      </c>
      <c r="H229" s="739" t="s">
        <v>71</v>
      </c>
      <c r="I229" s="739">
        <v>244</v>
      </c>
      <c r="J229" s="740">
        <v>226</v>
      </c>
      <c r="K229" s="533" t="s">
        <v>350</v>
      </c>
      <c r="L229" s="1025">
        <f>138200+M229</f>
        <v>173200</v>
      </c>
      <c r="M229" s="318">
        <v>35000</v>
      </c>
      <c r="N229" s="318"/>
      <c r="O229" s="1052">
        <f t="shared" si="424"/>
        <v>173200</v>
      </c>
      <c r="P229" s="570"/>
      <c r="Q229" s="336">
        <v>138200</v>
      </c>
      <c r="R229" s="559"/>
      <c r="S229" s="541">
        <v>138200</v>
      </c>
      <c r="T229" s="559"/>
      <c r="U229" s="335"/>
      <c r="V229" s="320"/>
      <c r="W229" s="388"/>
      <c r="X229" s="388"/>
      <c r="Z229" s="336">
        <f t="shared" si="540"/>
        <v>70000</v>
      </c>
      <c r="AA229" s="337">
        <f t="shared" si="540"/>
        <v>0</v>
      </c>
      <c r="AB229" s="338">
        <f t="shared" si="426"/>
        <v>70000</v>
      </c>
      <c r="AC229" s="336">
        <f t="shared" si="541"/>
        <v>35000</v>
      </c>
      <c r="AD229" s="337">
        <f t="shared" si="541"/>
        <v>0</v>
      </c>
      <c r="AE229" s="338">
        <f t="shared" si="428"/>
        <v>35000</v>
      </c>
      <c r="AF229" s="336">
        <f t="shared" si="542"/>
        <v>0</v>
      </c>
      <c r="AG229" s="337">
        <f t="shared" si="542"/>
        <v>0</v>
      </c>
      <c r="AH229" s="338">
        <f t="shared" si="430"/>
        <v>0</v>
      </c>
      <c r="AI229" s="336">
        <f t="shared" si="543"/>
        <v>33200</v>
      </c>
      <c r="AJ229" s="337">
        <f t="shared" si="543"/>
        <v>0</v>
      </c>
      <c r="AK229" s="338">
        <f t="shared" si="432"/>
        <v>33200</v>
      </c>
      <c r="AL229" s="342"/>
      <c r="AM229" s="336">
        <f t="shared" si="544"/>
        <v>105000</v>
      </c>
      <c r="AN229" s="339">
        <f t="shared" si="544"/>
        <v>0</v>
      </c>
      <c r="AO229" s="340">
        <f t="shared" si="434"/>
        <v>105000</v>
      </c>
      <c r="AP229" s="336">
        <f t="shared" si="545"/>
        <v>105000</v>
      </c>
      <c r="AQ229" s="339">
        <f t="shared" si="545"/>
        <v>0</v>
      </c>
      <c r="AR229" s="340">
        <f t="shared" si="420"/>
        <v>105000</v>
      </c>
      <c r="AS229" s="341">
        <f t="shared" si="546"/>
        <v>138200</v>
      </c>
      <c r="AT229" s="339">
        <f t="shared" si="546"/>
        <v>0</v>
      </c>
      <c r="AU229" s="340">
        <f t="shared" si="422"/>
        <v>138200</v>
      </c>
      <c r="AV229" s="589">
        <f t="shared" si="502"/>
        <v>35000</v>
      </c>
      <c r="AW229" s="343"/>
      <c r="AX229" s="344"/>
      <c r="AY229" s="345"/>
      <c r="AZ229" s="344"/>
      <c r="BA229" s="345">
        <v>70000</v>
      </c>
      <c r="BB229" s="346"/>
      <c r="BC229" s="347"/>
      <c r="BD229" s="348"/>
      <c r="BE229" s="349">
        <v>35000</v>
      </c>
      <c r="BF229" s="348"/>
      <c r="BG229" s="349"/>
      <c r="BH229" s="350"/>
      <c r="BI229" s="351"/>
      <c r="BJ229" s="352"/>
      <c r="BK229" s="337"/>
      <c r="BL229" s="352"/>
      <c r="BM229" s="337"/>
      <c r="BN229" s="353"/>
      <c r="BO229" s="354"/>
      <c r="BP229" s="355"/>
      <c r="BQ229" s="356"/>
      <c r="BR229" s="355"/>
      <c r="BS229" s="356">
        <v>33200</v>
      </c>
      <c r="BT229" s="357"/>
    </row>
    <row r="230" spans="1:72" s="313" customFormat="1" ht="76.5">
      <c r="A230" s="287">
        <v>203</v>
      </c>
      <c r="B230" s="941"/>
      <c r="C230" s="840"/>
      <c r="D230" s="841"/>
      <c r="E230" s="839"/>
      <c r="F230" s="821" t="s">
        <v>23</v>
      </c>
      <c r="G230" s="314">
        <v>2</v>
      </c>
      <c r="H230" s="739" t="s">
        <v>71</v>
      </c>
      <c r="I230" s="739">
        <v>244</v>
      </c>
      <c r="J230" s="740">
        <v>226</v>
      </c>
      <c r="K230" s="533" t="s">
        <v>478</v>
      </c>
      <c r="L230" s="1025">
        <v>2500</v>
      </c>
      <c r="M230" s="318"/>
      <c r="N230" s="318"/>
      <c r="O230" s="1052">
        <f t="shared" si="424"/>
        <v>2500</v>
      </c>
      <c r="P230" s="570"/>
      <c r="Q230" s="336">
        <v>0</v>
      </c>
      <c r="R230" s="329"/>
      <c r="S230" s="319">
        <v>0</v>
      </c>
      <c r="T230" s="329"/>
      <c r="U230" s="335"/>
      <c r="V230" s="596" t="s">
        <v>479</v>
      </c>
      <c r="W230" s="596" t="s">
        <v>508</v>
      </c>
      <c r="X230" s="596" t="s">
        <v>509</v>
      </c>
      <c r="Z230" s="336">
        <f t="shared" si="540"/>
        <v>2500</v>
      </c>
      <c r="AA230" s="337">
        <f t="shared" si="540"/>
        <v>2500</v>
      </c>
      <c r="AB230" s="338">
        <f>Z230-AA230</f>
        <v>0</v>
      </c>
      <c r="AC230" s="336">
        <f t="shared" si="541"/>
        <v>0</v>
      </c>
      <c r="AD230" s="337">
        <f t="shared" si="541"/>
        <v>0</v>
      </c>
      <c r="AE230" s="338">
        <f>AC230-AD230</f>
        <v>0</v>
      </c>
      <c r="AF230" s="336">
        <f t="shared" si="542"/>
        <v>0</v>
      </c>
      <c r="AG230" s="337">
        <f t="shared" si="542"/>
        <v>0</v>
      </c>
      <c r="AH230" s="338">
        <f>AF230-AG230</f>
        <v>0</v>
      </c>
      <c r="AI230" s="336">
        <f t="shared" si="543"/>
        <v>0</v>
      </c>
      <c r="AJ230" s="337">
        <f t="shared" si="543"/>
        <v>0</v>
      </c>
      <c r="AK230" s="338">
        <f>AI230-AJ230</f>
        <v>0</v>
      </c>
      <c r="AL230" s="342"/>
      <c r="AM230" s="336">
        <f t="shared" si="544"/>
        <v>2500</v>
      </c>
      <c r="AN230" s="339">
        <f t="shared" si="544"/>
        <v>2500</v>
      </c>
      <c r="AO230" s="340">
        <f>AM230-AN230</f>
        <v>0</v>
      </c>
      <c r="AP230" s="336">
        <f t="shared" si="545"/>
        <v>2500</v>
      </c>
      <c r="AQ230" s="339">
        <f t="shared" si="545"/>
        <v>2500</v>
      </c>
      <c r="AR230" s="340">
        <f>AP230-AQ230</f>
        <v>0</v>
      </c>
      <c r="AS230" s="341">
        <f t="shared" si="546"/>
        <v>2500</v>
      </c>
      <c r="AT230" s="339">
        <f t="shared" si="546"/>
        <v>2500</v>
      </c>
      <c r="AU230" s="340">
        <f>AS230-AT230</f>
        <v>0</v>
      </c>
      <c r="AV230" s="589"/>
      <c r="AW230" s="343"/>
      <c r="AX230" s="344"/>
      <c r="AY230" s="345"/>
      <c r="AZ230" s="344"/>
      <c r="BA230" s="345">
        <v>2500</v>
      </c>
      <c r="BB230" s="346">
        <v>2500</v>
      </c>
      <c r="BC230" s="347"/>
      <c r="BD230" s="348"/>
      <c r="BE230" s="349"/>
      <c r="BF230" s="348"/>
      <c r="BG230" s="349"/>
      <c r="BH230" s="350"/>
      <c r="BI230" s="351"/>
      <c r="BJ230" s="352"/>
      <c r="BK230" s="337"/>
      <c r="BL230" s="352"/>
      <c r="BM230" s="337"/>
      <c r="BN230" s="353"/>
      <c r="BO230" s="354"/>
      <c r="BP230" s="355"/>
      <c r="BQ230" s="356"/>
      <c r="BR230" s="355"/>
      <c r="BS230" s="356"/>
      <c r="BT230" s="357"/>
    </row>
    <row r="231" spans="1:72" s="313" customFormat="1" ht="102">
      <c r="A231" s="287">
        <v>204</v>
      </c>
      <c r="B231" s="941"/>
      <c r="C231" s="840"/>
      <c r="D231" s="841"/>
      <c r="E231" s="839"/>
      <c r="F231" s="821" t="s">
        <v>23</v>
      </c>
      <c r="G231" s="314">
        <v>2</v>
      </c>
      <c r="H231" s="739" t="s">
        <v>71</v>
      </c>
      <c r="I231" s="739">
        <v>244</v>
      </c>
      <c r="J231" s="740">
        <v>226</v>
      </c>
      <c r="K231" s="533" t="s">
        <v>480</v>
      </c>
      <c r="L231" s="1025">
        <v>2700</v>
      </c>
      <c r="M231" s="318"/>
      <c r="N231" s="318"/>
      <c r="O231" s="1052">
        <f t="shared" si="424"/>
        <v>2700</v>
      </c>
      <c r="P231" s="570"/>
      <c r="Q231" s="336">
        <v>0</v>
      </c>
      <c r="R231" s="329"/>
      <c r="S231" s="319">
        <v>0</v>
      </c>
      <c r="T231" s="329"/>
      <c r="U231" s="335"/>
      <c r="V231" s="596" t="s">
        <v>479</v>
      </c>
      <c r="W231" s="596" t="s">
        <v>506</v>
      </c>
      <c r="X231" s="596" t="s">
        <v>507</v>
      </c>
      <c r="Z231" s="336">
        <f t="shared" si="540"/>
        <v>2700</v>
      </c>
      <c r="AA231" s="337">
        <f t="shared" si="540"/>
        <v>2700</v>
      </c>
      <c r="AB231" s="338">
        <f>Z231-AA231</f>
        <v>0</v>
      </c>
      <c r="AC231" s="336">
        <f t="shared" si="541"/>
        <v>0</v>
      </c>
      <c r="AD231" s="337">
        <f t="shared" si="541"/>
        <v>0</v>
      </c>
      <c r="AE231" s="338">
        <f>AC231-AD231</f>
        <v>0</v>
      </c>
      <c r="AF231" s="336">
        <f t="shared" si="542"/>
        <v>0</v>
      </c>
      <c r="AG231" s="337">
        <f t="shared" si="542"/>
        <v>0</v>
      </c>
      <c r="AH231" s="338">
        <f>AF231-AG231</f>
        <v>0</v>
      </c>
      <c r="AI231" s="336">
        <f t="shared" si="543"/>
        <v>0</v>
      </c>
      <c r="AJ231" s="337">
        <f t="shared" si="543"/>
        <v>0</v>
      </c>
      <c r="AK231" s="338">
        <f>AI231-AJ231</f>
        <v>0</v>
      </c>
      <c r="AL231" s="342"/>
      <c r="AM231" s="336">
        <f t="shared" si="544"/>
        <v>2700</v>
      </c>
      <c r="AN231" s="339">
        <f t="shared" si="544"/>
        <v>2700</v>
      </c>
      <c r="AO231" s="340">
        <f>AM231-AN231</f>
        <v>0</v>
      </c>
      <c r="AP231" s="336">
        <f t="shared" si="545"/>
        <v>2700</v>
      </c>
      <c r="AQ231" s="339">
        <f t="shared" si="545"/>
        <v>2700</v>
      </c>
      <c r="AR231" s="340">
        <f>AP231-AQ231</f>
        <v>0</v>
      </c>
      <c r="AS231" s="341">
        <f t="shared" si="546"/>
        <v>2700</v>
      </c>
      <c r="AT231" s="339">
        <f t="shared" si="546"/>
        <v>2700</v>
      </c>
      <c r="AU231" s="340">
        <f>AS231-AT231</f>
        <v>0</v>
      </c>
      <c r="AV231" s="589"/>
      <c r="AW231" s="343"/>
      <c r="AX231" s="344"/>
      <c r="AY231" s="345">
        <v>2700</v>
      </c>
      <c r="AZ231" s="344">
        <v>2700</v>
      </c>
      <c r="BA231" s="345"/>
      <c r="BB231" s="346"/>
      <c r="BC231" s="347"/>
      <c r="BD231" s="348"/>
      <c r="BE231" s="349"/>
      <c r="BF231" s="348"/>
      <c r="BG231" s="349"/>
      <c r="BH231" s="350"/>
      <c r="BI231" s="351"/>
      <c r="BJ231" s="352"/>
      <c r="BK231" s="337"/>
      <c r="BL231" s="352"/>
      <c r="BM231" s="337"/>
      <c r="BN231" s="353"/>
      <c r="BO231" s="354"/>
      <c r="BP231" s="355"/>
      <c r="BQ231" s="356"/>
      <c r="BR231" s="355"/>
      <c r="BS231" s="356"/>
      <c r="BT231" s="357"/>
    </row>
    <row r="232" spans="1:72" s="313" customFormat="1" ht="38.25">
      <c r="A232" s="287">
        <v>205</v>
      </c>
      <c r="B232" s="941"/>
      <c r="C232" s="840"/>
      <c r="D232" s="841"/>
      <c r="E232" s="839"/>
      <c r="F232" s="821" t="s">
        <v>23</v>
      </c>
      <c r="G232" s="314">
        <v>2</v>
      </c>
      <c r="H232" s="739" t="s">
        <v>71</v>
      </c>
      <c r="I232" s="739">
        <v>244</v>
      </c>
      <c r="J232" s="740">
        <v>226</v>
      </c>
      <c r="K232" s="533" t="s">
        <v>548</v>
      </c>
      <c r="L232" s="1025">
        <v>10560</v>
      </c>
      <c r="M232" s="318"/>
      <c r="N232" s="318"/>
      <c r="O232" s="1052">
        <f t="shared" si="424"/>
        <v>10560</v>
      </c>
      <c r="P232" s="570"/>
      <c r="Q232" s="336">
        <v>0</v>
      </c>
      <c r="R232" s="329"/>
      <c r="S232" s="319">
        <v>0</v>
      </c>
      <c r="T232" s="329"/>
      <c r="U232" s="335"/>
      <c r="V232" s="596" t="s">
        <v>490</v>
      </c>
      <c r="W232" s="596" t="s">
        <v>549</v>
      </c>
      <c r="X232" s="596" t="s">
        <v>550</v>
      </c>
      <c r="Z232" s="336">
        <f t="shared" si="540"/>
        <v>0</v>
      </c>
      <c r="AA232" s="337">
        <f t="shared" si="540"/>
        <v>0</v>
      </c>
      <c r="AB232" s="338">
        <f>Z232-AA232</f>
        <v>0</v>
      </c>
      <c r="AC232" s="336">
        <f t="shared" si="541"/>
        <v>10560</v>
      </c>
      <c r="AD232" s="337">
        <f t="shared" si="541"/>
        <v>0</v>
      </c>
      <c r="AE232" s="338">
        <f>AC232-AD232</f>
        <v>10560</v>
      </c>
      <c r="AF232" s="336">
        <f t="shared" si="542"/>
        <v>0</v>
      </c>
      <c r="AG232" s="337">
        <f t="shared" si="542"/>
        <v>0</v>
      </c>
      <c r="AH232" s="338">
        <f>AF232-AG232</f>
        <v>0</v>
      </c>
      <c r="AI232" s="336">
        <f t="shared" si="543"/>
        <v>0</v>
      </c>
      <c r="AJ232" s="337">
        <f t="shared" si="543"/>
        <v>0</v>
      </c>
      <c r="AK232" s="338">
        <f>AI232-AJ232</f>
        <v>0</v>
      </c>
      <c r="AL232" s="342"/>
      <c r="AM232" s="336">
        <f t="shared" si="544"/>
        <v>10560</v>
      </c>
      <c r="AN232" s="339">
        <f t="shared" si="544"/>
        <v>0</v>
      </c>
      <c r="AO232" s="340">
        <f>AM232-AN232</f>
        <v>10560</v>
      </c>
      <c r="AP232" s="336">
        <f t="shared" si="545"/>
        <v>10560</v>
      </c>
      <c r="AQ232" s="339">
        <f t="shared" si="545"/>
        <v>0</v>
      </c>
      <c r="AR232" s="340">
        <f>AP232-AQ232</f>
        <v>10560</v>
      </c>
      <c r="AS232" s="341">
        <f t="shared" si="546"/>
        <v>10560</v>
      </c>
      <c r="AT232" s="339">
        <f t="shared" si="546"/>
        <v>0</v>
      </c>
      <c r="AU232" s="340">
        <f>AS232-AT232</f>
        <v>10560</v>
      </c>
      <c r="AV232" s="589"/>
      <c r="AW232" s="343"/>
      <c r="AX232" s="344"/>
      <c r="AY232" s="345"/>
      <c r="AZ232" s="344"/>
      <c r="BA232" s="345"/>
      <c r="BB232" s="346"/>
      <c r="BC232" s="347">
        <v>10560</v>
      </c>
      <c r="BD232" s="348"/>
      <c r="BE232" s="349"/>
      <c r="BF232" s="348"/>
      <c r="BG232" s="349"/>
      <c r="BH232" s="350"/>
      <c r="BI232" s="351"/>
      <c r="BJ232" s="352"/>
      <c r="BK232" s="337"/>
      <c r="BL232" s="352"/>
      <c r="BM232" s="337"/>
      <c r="BN232" s="353"/>
      <c r="BO232" s="354"/>
      <c r="BP232" s="355"/>
      <c r="BQ232" s="356"/>
      <c r="BR232" s="355"/>
      <c r="BS232" s="356"/>
      <c r="BT232" s="357"/>
    </row>
    <row r="233" spans="1:72" s="313" customFormat="1" ht="51" outlineLevel="1">
      <c r="A233" s="287">
        <v>206</v>
      </c>
      <c r="B233" s="1148" t="s">
        <v>629</v>
      </c>
      <c r="C233" s="840"/>
      <c r="D233" s="841"/>
      <c r="E233" s="839"/>
      <c r="F233" s="821" t="s">
        <v>23</v>
      </c>
      <c r="G233" s="314">
        <v>2</v>
      </c>
      <c r="H233" s="739" t="s">
        <v>71</v>
      </c>
      <c r="I233" s="739">
        <v>244</v>
      </c>
      <c r="J233" s="740">
        <v>226</v>
      </c>
      <c r="K233" s="533" t="s">
        <v>630</v>
      </c>
      <c r="L233" s="1025">
        <v>19200</v>
      </c>
      <c r="M233" s="318"/>
      <c r="N233" s="318"/>
      <c r="O233" s="1052">
        <f t="shared" ref="O233" si="547">L233+N233</f>
        <v>19200</v>
      </c>
      <c r="P233" s="570"/>
      <c r="Q233" s="336">
        <v>0</v>
      </c>
      <c r="R233" s="559"/>
      <c r="S233" s="541">
        <v>0</v>
      </c>
      <c r="T233" s="559"/>
      <c r="U233" s="335"/>
      <c r="V233" s="596" t="s">
        <v>628</v>
      </c>
      <c r="W233" s="596" t="s">
        <v>724</v>
      </c>
      <c r="X233" s="596" t="s">
        <v>725</v>
      </c>
      <c r="Z233" s="336">
        <f t="shared" ref="Z233" si="548">AW233+AY233+BA233</f>
        <v>19200</v>
      </c>
      <c r="AA233" s="337">
        <f t="shared" ref="AA233" si="549">AX233+AZ233+BB233</f>
        <v>0</v>
      </c>
      <c r="AB233" s="338">
        <f t="shared" ref="AB233" si="550">Z233-AA233</f>
        <v>19200</v>
      </c>
      <c r="AC233" s="336">
        <f t="shared" ref="AC233" si="551">BC233+BE233+BG233</f>
        <v>0</v>
      </c>
      <c r="AD233" s="337">
        <f t="shared" ref="AD233" si="552">BD233+BF233+BH233</f>
        <v>0</v>
      </c>
      <c r="AE233" s="338">
        <f t="shared" ref="AE233" si="553">AC233-AD233</f>
        <v>0</v>
      </c>
      <c r="AF233" s="336">
        <f t="shared" ref="AF233" si="554">BI233+BK233+BM233</f>
        <v>0</v>
      </c>
      <c r="AG233" s="337">
        <f t="shared" ref="AG233" si="555">BJ233+BL233+BN233</f>
        <v>0</v>
      </c>
      <c r="AH233" s="338">
        <f t="shared" ref="AH233" si="556">AF233-AG233</f>
        <v>0</v>
      </c>
      <c r="AI233" s="336">
        <f t="shared" ref="AI233" si="557">BO233+BQ233+BS233</f>
        <v>0</v>
      </c>
      <c r="AJ233" s="337">
        <f t="shared" ref="AJ233" si="558">BP233+BR233+BT233</f>
        <v>0</v>
      </c>
      <c r="AK233" s="338">
        <f t="shared" ref="AK233" si="559">AI233-AJ233</f>
        <v>0</v>
      </c>
      <c r="AL233" s="342"/>
      <c r="AM233" s="336">
        <f t="shared" ref="AM233" si="560">Z233+AC233</f>
        <v>19200</v>
      </c>
      <c r="AN233" s="339">
        <f t="shared" ref="AN233" si="561">AA233+AD233</f>
        <v>0</v>
      </c>
      <c r="AO233" s="340">
        <f t="shared" ref="AO233" si="562">AM233-AN233</f>
        <v>19200</v>
      </c>
      <c r="AP233" s="336">
        <f t="shared" ref="AP233" si="563">Z233+AC233+AF233</f>
        <v>19200</v>
      </c>
      <c r="AQ233" s="339">
        <f t="shared" ref="AQ233" si="564">AA233+AD233+AG233</f>
        <v>0</v>
      </c>
      <c r="AR233" s="340">
        <f t="shared" ref="AR233" si="565">AP233-AQ233</f>
        <v>19200</v>
      </c>
      <c r="AS233" s="341">
        <f t="shared" ref="AS233" si="566">Z233+AC233+AF233+AI233</f>
        <v>19200</v>
      </c>
      <c r="AT233" s="339">
        <f t="shared" ref="AT233" si="567">AA233+AD233+AG233+AJ233</f>
        <v>0</v>
      </c>
      <c r="AU233" s="340">
        <f t="shared" ref="AU233" si="568">AS233-AT233</f>
        <v>19200</v>
      </c>
      <c r="AV233" s="589">
        <f t="shared" ref="AV233" si="569">L233-AS233</f>
        <v>0</v>
      </c>
      <c r="AW233" s="343"/>
      <c r="AX233" s="344"/>
      <c r="AY233" s="345"/>
      <c r="AZ233" s="344"/>
      <c r="BA233" s="345">
        <v>19200</v>
      </c>
      <c r="BB233" s="346"/>
      <c r="BC233" s="347"/>
      <c r="BD233" s="348"/>
      <c r="BE233" s="349"/>
      <c r="BF233" s="348"/>
      <c r="BG233" s="349"/>
      <c r="BH233" s="350"/>
      <c r="BI233" s="351"/>
      <c r="BJ233" s="352"/>
      <c r="BK233" s="337"/>
      <c r="BL233" s="352"/>
      <c r="BM233" s="337"/>
      <c r="BN233" s="353"/>
      <c r="BO233" s="354"/>
      <c r="BP233" s="355"/>
      <c r="BQ233" s="356"/>
      <c r="BR233" s="355"/>
      <c r="BS233" s="356"/>
      <c r="BT233" s="357"/>
    </row>
    <row r="234" spans="1:72" s="313" customFormat="1" ht="38.25" outlineLevel="1">
      <c r="A234" s="287">
        <v>207</v>
      </c>
      <c r="B234" s="1148" t="s">
        <v>632</v>
      </c>
      <c r="C234" s="840"/>
      <c r="D234" s="841"/>
      <c r="E234" s="839"/>
      <c r="F234" s="821" t="s">
        <v>23</v>
      </c>
      <c r="G234" s="314">
        <v>2</v>
      </c>
      <c r="H234" s="739" t="s">
        <v>71</v>
      </c>
      <c r="I234" s="739">
        <v>244</v>
      </c>
      <c r="J234" s="740">
        <v>226</v>
      </c>
      <c r="K234" s="533" t="s">
        <v>631</v>
      </c>
      <c r="L234" s="1025">
        <v>25000</v>
      </c>
      <c r="M234" s="318"/>
      <c r="N234" s="318"/>
      <c r="O234" s="1052">
        <f t="shared" ref="O234" si="570">L234+N234</f>
        <v>25000</v>
      </c>
      <c r="P234" s="570"/>
      <c r="Q234" s="336">
        <v>0</v>
      </c>
      <c r="R234" s="559"/>
      <c r="S234" s="541">
        <v>0</v>
      </c>
      <c r="T234" s="559"/>
      <c r="U234" s="335"/>
      <c r="V234" s="596" t="s">
        <v>637</v>
      </c>
      <c r="W234" s="320" t="s">
        <v>481</v>
      </c>
      <c r="X234" s="320"/>
      <c r="Z234" s="336">
        <f t="shared" ref="Z234" si="571">AW234+AY234+BA234</f>
        <v>25000</v>
      </c>
      <c r="AA234" s="337">
        <f t="shared" ref="AA234" si="572">AX234+AZ234+BB234</f>
        <v>0</v>
      </c>
      <c r="AB234" s="338">
        <f t="shared" ref="AB234" si="573">Z234-AA234</f>
        <v>25000</v>
      </c>
      <c r="AC234" s="336">
        <f t="shared" ref="AC234" si="574">BC234+BE234+BG234</f>
        <v>0</v>
      </c>
      <c r="AD234" s="337">
        <f t="shared" ref="AD234" si="575">BD234+BF234+BH234</f>
        <v>0</v>
      </c>
      <c r="AE234" s="338">
        <f t="shared" ref="AE234" si="576">AC234-AD234</f>
        <v>0</v>
      </c>
      <c r="AF234" s="336">
        <f t="shared" ref="AF234" si="577">BI234+BK234+BM234</f>
        <v>0</v>
      </c>
      <c r="AG234" s="337">
        <f t="shared" ref="AG234" si="578">BJ234+BL234+BN234</f>
        <v>0</v>
      </c>
      <c r="AH234" s="338">
        <f t="shared" ref="AH234" si="579">AF234-AG234</f>
        <v>0</v>
      </c>
      <c r="AI234" s="336">
        <f t="shared" ref="AI234" si="580">BO234+BQ234+BS234</f>
        <v>0</v>
      </c>
      <c r="AJ234" s="337">
        <f t="shared" ref="AJ234" si="581">BP234+BR234+BT234</f>
        <v>0</v>
      </c>
      <c r="AK234" s="338">
        <f t="shared" ref="AK234" si="582">AI234-AJ234</f>
        <v>0</v>
      </c>
      <c r="AL234" s="342"/>
      <c r="AM234" s="336">
        <f t="shared" ref="AM234" si="583">Z234+AC234</f>
        <v>25000</v>
      </c>
      <c r="AN234" s="339">
        <f t="shared" ref="AN234" si="584">AA234+AD234</f>
        <v>0</v>
      </c>
      <c r="AO234" s="340">
        <f t="shared" ref="AO234" si="585">AM234-AN234</f>
        <v>25000</v>
      </c>
      <c r="AP234" s="336">
        <f t="shared" ref="AP234" si="586">Z234+AC234+AF234</f>
        <v>25000</v>
      </c>
      <c r="AQ234" s="339">
        <f t="shared" ref="AQ234" si="587">AA234+AD234+AG234</f>
        <v>0</v>
      </c>
      <c r="AR234" s="340">
        <f t="shared" ref="AR234" si="588">AP234-AQ234</f>
        <v>25000</v>
      </c>
      <c r="AS234" s="341">
        <f t="shared" ref="AS234" si="589">Z234+AC234+AF234+AI234</f>
        <v>25000</v>
      </c>
      <c r="AT234" s="339">
        <f t="shared" ref="AT234" si="590">AA234+AD234+AG234+AJ234</f>
        <v>0</v>
      </c>
      <c r="AU234" s="340">
        <f t="shared" ref="AU234" si="591">AS234-AT234</f>
        <v>25000</v>
      </c>
      <c r="AV234" s="589">
        <f t="shared" ref="AV234" si="592">L234-AS234</f>
        <v>0</v>
      </c>
      <c r="AW234" s="343"/>
      <c r="AX234" s="344"/>
      <c r="AY234" s="345"/>
      <c r="AZ234" s="344"/>
      <c r="BA234" s="345">
        <v>25000</v>
      </c>
      <c r="BB234" s="346"/>
      <c r="BC234" s="347"/>
      <c r="BD234" s="348"/>
      <c r="BE234" s="349"/>
      <c r="BF234" s="348"/>
      <c r="BG234" s="349"/>
      <c r="BH234" s="350"/>
      <c r="BI234" s="351"/>
      <c r="BJ234" s="352"/>
      <c r="BK234" s="337"/>
      <c r="BL234" s="352"/>
      <c r="BM234" s="337"/>
      <c r="BN234" s="353"/>
      <c r="BO234" s="354"/>
      <c r="BP234" s="355"/>
      <c r="BQ234" s="356"/>
      <c r="BR234" s="355"/>
      <c r="BS234" s="356"/>
      <c r="BT234" s="357"/>
    </row>
    <row r="235" spans="1:72" s="313" customFormat="1" ht="63.75" outlineLevel="1">
      <c r="A235" s="287">
        <v>208</v>
      </c>
      <c r="B235" s="1149" t="s">
        <v>681</v>
      </c>
      <c r="C235" s="840"/>
      <c r="D235" s="853" t="s">
        <v>207</v>
      </c>
      <c r="E235" s="839"/>
      <c r="F235" s="821" t="s">
        <v>23</v>
      </c>
      <c r="G235" s="314">
        <v>2</v>
      </c>
      <c r="H235" s="739" t="s">
        <v>71</v>
      </c>
      <c r="I235" s="739">
        <v>244</v>
      </c>
      <c r="J235" s="740">
        <v>226</v>
      </c>
      <c r="K235" s="317" t="s">
        <v>664</v>
      </c>
      <c r="L235" s="1025">
        <v>24900</v>
      </c>
      <c r="M235" s="318"/>
      <c r="N235" s="318"/>
      <c r="O235" s="1052">
        <f>L235+N235</f>
        <v>24900</v>
      </c>
      <c r="P235" s="570"/>
      <c r="Q235" s="336">
        <v>0</v>
      </c>
      <c r="R235" s="559"/>
      <c r="S235" s="541">
        <v>0</v>
      </c>
      <c r="T235" s="559"/>
      <c r="U235" s="335"/>
      <c r="V235" s="596" t="s">
        <v>599</v>
      </c>
      <c r="W235" s="596" t="s">
        <v>662</v>
      </c>
      <c r="X235" s="596" t="s">
        <v>663</v>
      </c>
      <c r="Z235" s="336">
        <f>AW235+AY235+BA235</f>
        <v>24900</v>
      </c>
      <c r="AA235" s="337">
        <f>AX235+AZ235+BB235</f>
        <v>249000</v>
      </c>
      <c r="AB235" s="338">
        <f>Z235-AA235</f>
        <v>-224100</v>
      </c>
      <c r="AC235" s="336">
        <f>BC235+BE235+BG235</f>
        <v>0</v>
      </c>
      <c r="AD235" s="337">
        <f>BD235+BF235+BH235</f>
        <v>0</v>
      </c>
      <c r="AE235" s="338">
        <f>AC235-AD235</f>
        <v>0</v>
      </c>
      <c r="AF235" s="336">
        <f>BI235+BK235+BM235</f>
        <v>0</v>
      </c>
      <c r="AG235" s="337">
        <f>BJ235+BL235+BN235</f>
        <v>0</v>
      </c>
      <c r="AH235" s="338">
        <f>AF235-AG235</f>
        <v>0</v>
      </c>
      <c r="AI235" s="336">
        <f>BO235+BQ235+BS235</f>
        <v>0</v>
      </c>
      <c r="AJ235" s="337">
        <f>BP235+BR235+BT235</f>
        <v>0</v>
      </c>
      <c r="AK235" s="338">
        <f>AI235-AJ235</f>
        <v>0</v>
      </c>
      <c r="AL235" s="342"/>
      <c r="AM235" s="336">
        <f>Z235+AC235</f>
        <v>24900</v>
      </c>
      <c r="AN235" s="339">
        <f>AA235+AD235</f>
        <v>249000</v>
      </c>
      <c r="AO235" s="340">
        <f>AM235-AN235</f>
        <v>-224100</v>
      </c>
      <c r="AP235" s="336">
        <f>Z235+AC235+AF235</f>
        <v>24900</v>
      </c>
      <c r="AQ235" s="339">
        <f>AA235+AD235+AG235</f>
        <v>249000</v>
      </c>
      <c r="AR235" s="340">
        <f>AP235-AQ235</f>
        <v>-224100</v>
      </c>
      <c r="AS235" s="341">
        <f>Z235+AC235+AF235+AI235</f>
        <v>24900</v>
      </c>
      <c r="AT235" s="339">
        <f>AA235+AD235+AG235+AJ235</f>
        <v>249000</v>
      </c>
      <c r="AU235" s="340">
        <f>AS235-AT235</f>
        <v>-224100</v>
      </c>
      <c r="AV235" s="589"/>
      <c r="AW235" s="343"/>
      <c r="AX235" s="344"/>
      <c r="AY235" s="345"/>
      <c r="AZ235" s="344">
        <v>249000</v>
      </c>
      <c r="BA235" s="345">
        <v>24900</v>
      </c>
      <c r="BB235" s="346"/>
      <c r="BC235" s="347"/>
      <c r="BD235" s="348"/>
      <c r="BE235" s="349"/>
      <c r="BF235" s="348"/>
      <c r="BG235" s="349"/>
      <c r="BH235" s="350"/>
      <c r="BI235" s="351"/>
      <c r="BJ235" s="352"/>
      <c r="BK235" s="337"/>
      <c r="BL235" s="352"/>
      <c r="BM235" s="337"/>
      <c r="BN235" s="353"/>
      <c r="BO235" s="354"/>
      <c r="BP235" s="355"/>
      <c r="BQ235" s="356"/>
      <c r="BR235" s="355"/>
      <c r="BS235" s="356"/>
      <c r="BT235" s="357"/>
    </row>
    <row r="236" spans="1:72" s="313" customFormat="1" ht="51" outlineLevel="1">
      <c r="A236" s="287">
        <v>209</v>
      </c>
      <c r="B236" s="933"/>
      <c r="C236" s="840"/>
      <c r="D236" s="841"/>
      <c r="E236" s="839"/>
      <c r="F236" s="821" t="s">
        <v>23</v>
      </c>
      <c r="G236" s="314">
        <v>2</v>
      </c>
      <c r="H236" s="739" t="s">
        <v>71</v>
      </c>
      <c r="I236" s="739">
        <v>244</v>
      </c>
      <c r="J236" s="740">
        <v>226</v>
      </c>
      <c r="K236" s="533" t="s">
        <v>754</v>
      </c>
      <c r="L236" s="1025">
        <v>17655.259999999998</v>
      </c>
      <c r="M236" s="318"/>
      <c r="N236" s="318"/>
      <c r="O236" s="1052">
        <f t="shared" si="424"/>
        <v>17655.259999999998</v>
      </c>
      <c r="P236" s="570"/>
      <c r="Q236" s="336">
        <v>17655.259999999998</v>
      </c>
      <c r="R236" s="559"/>
      <c r="S236" s="541">
        <v>17655.259999999998</v>
      </c>
      <c r="T236" s="559"/>
      <c r="U236" s="335"/>
      <c r="V236" s="596" t="s">
        <v>172</v>
      </c>
      <c r="W236" s="596" t="s">
        <v>753</v>
      </c>
      <c r="X236" s="388"/>
      <c r="Z236" s="336">
        <f t="shared" si="540"/>
        <v>9000</v>
      </c>
      <c r="AA236" s="337">
        <f t="shared" si="540"/>
        <v>0</v>
      </c>
      <c r="AB236" s="338">
        <f t="shared" si="426"/>
        <v>9000</v>
      </c>
      <c r="AC236" s="336">
        <f t="shared" si="541"/>
        <v>8955</v>
      </c>
      <c r="AD236" s="337">
        <f t="shared" si="541"/>
        <v>0</v>
      </c>
      <c r="AE236" s="338">
        <f t="shared" si="428"/>
        <v>8955</v>
      </c>
      <c r="AF236" s="336">
        <f t="shared" si="542"/>
        <v>0</v>
      </c>
      <c r="AG236" s="337">
        <f t="shared" si="542"/>
        <v>0</v>
      </c>
      <c r="AH236" s="338">
        <f t="shared" si="430"/>
        <v>0</v>
      </c>
      <c r="AI236" s="336">
        <f t="shared" si="543"/>
        <v>4155.26</v>
      </c>
      <c r="AJ236" s="337">
        <f t="shared" si="543"/>
        <v>0</v>
      </c>
      <c r="AK236" s="338">
        <f t="shared" si="432"/>
        <v>4155.26</v>
      </c>
      <c r="AL236" s="342"/>
      <c r="AM236" s="336">
        <f t="shared" si="544"/>
        <v>17955</v>
      </c>
      <c r="AN236" s="339">
        <f t="shared" si="544"/>
        <v>0</v>
      </c>
      <c r="AO236" s="340">
        <f t="shared" si="434"/>
        <v>17955</v>
      </c>
      <c r="AP236" s="336">
        <f t="shared" si="545"/>
        <v>17955</v>
      </c>
      <c r="AQ236" s="339">
        <f t="shared" si="545"/>
        <v>0</v>
      </c>
      <c r="AR236" s="340">
        <f t="shared" si="420"/>
        <v>17955</v>
      </c>
      <c r="AS236" s="341">
        <f t="shared" si="546"/>
        <v>22110.26</v>
      </c>
      <c r="AT236" s="339">
        <f t="shared" si="546"/>
        <v>0</v>
      </c>
      <c r="AU236" s="340">
        <f t="shared" si="422"/>
        <v>22110.26</v>
      </c>
      <c r="AV236" s="589">
        <f t="shared" si="502"/>
        <v>-4455</v>
      </c>
      <c r="AW236" s="343"/>
      <c r="AX236" s="344"/>
      <c r="AY236" s="345"/>
      <c r="AZ236" s="344"/>
      <c r="BA236" s="345">
        <v>9000</v>
      </c>
      <c r="BB236" s="346"/>
      <c r="BC236" s="1134">
        <f>4106+349</f>
        <v>4455</v>
      </c>
      <c r="BD236" s="348"/>
      <c r="BE236" s="349">
        <v>4500</v>
      </c>
      <c r="BF236" s="348"/>
      <c r="BG236" s="349"/>
      <c r="BH236" s="350"/>
      <c r="BI236" s="351"/>
      <c r="BJ236" s="352"/>
      <c r="BK236" s="337"/>
      <c r="BL236" s="352"/>
      <c r="BM236" s="337"/>
      <c r="BN236" s="353"/>
      <c r="BO236" s="354"/>
      <c r="BP236" s="355"/>
      <c r="BQ236" s="356"/>
      <c r="BR236" s="355"/>
      <c r="BS236" s="356">
        <v>4155.26</v>
      </c>
      <c r="BT236" s="357"/>
    </row>
    <row r="237" spans="1:72" s="313" customFormat="1" ht="38.25" outlineLevel="1">
      <c r="A237" s="287">
        <v>210</v>
      </c>
      <c r="B237" s="933"/>
      <c r="C237" s="840"/>
      <c r="D237" s="841"/>
      <c r="E237" s="839"/>
      <c r="F237" s="821" t="s">
        <v>23</v>
      </c>
      <c r="G237" s="314">
        <v>2</v>
      </c>
      <c r="H237" s="739" t="s">
        <v>71</v>
      </c>
      <c r="I237" s="739">
        <v>244</v>
      </c>
      <c r="J237" s="740">
        <v>226</v>
      </c>
      <c r="K237" s="533" t="s">
        <v>373</v>
      </c>
      <c r="L237" s="1025">
        <v>418590</v>
      </c>
      <c r="M237" s="318"/>
      <c r="N237" s="318"/>
      <c r="O237" s="1052">
        <f t="shared" si="424"/>
        <v>418590</v>
      </c>
      <c r="P237" s="570"/>
      <c r="Q237" s="336">
        <v>418590</v>
      </c>
      <c r="R237" s="559"/>
      <c r="S237" s="541">
        <v>418590</v>
      </c>
      <c r="T237" s="559"/>
      <c r="U237" s="335"/>
      <c r="V237" s="320"/>
      <c r="W237" s="388"/>
      <c r="X237" s="388"/>
      <c r="Z237" s="336">
        <f t="shared" si="540"/>
        <v>220000</v>
      </c>
      <c r="AA237" s="337">
        <f t="shared" si="540"/>
        <v>0</v>
      </c>
      <c r="AB237" s="338">
        <f t="shared" si="426"/>
        <v>220000</v>
      </c>
      <c r="AC237" s="336">
        <f t="shared" si="541"/>
        <v>100000</v>
      </c>
      <c r="AD237" s="337">
        <f t="shared" si="541"/>
        <v>0</v>
      </c>
      <c r="AE237" s="338">
        <f t="shared" si="428"/>
        <v>100000</v>
      </c>
      <c r="AF237" s="336">
        <f t="shared" si="542"/>
        <v>0</v>
      </c>
      <c r="AG237" s="337">
        <f t="shared" si="542"/>
        <v>0</v>
      </c>
      <c r="AH237" s="338">
        <f t="shared" si="430"/>
        <v>0</v>
      </c>
      <c r="AI237" s="336">
        <f t="shared" si="543"/>
        <v>98590</v>
      </c>
      <c r="AJ237" s="337">
        <f t="shared" si="543"/>
        <v>0</v>
      </c>
      <c r="AK237" s="338">
        <f t="shared" si="432"/>
        <v>98590</v>
      </c>
      <c r="AL237" s="342"/>
      <c r="AM237" s="336">
        <f t="shared" si="544"/>
        <v>320000</v>
      </c>
      <c r="AN237" s="339">
        <f t="shared" si="544"/>
        <v>0</v>
      </c>
      <c r="AO237" s="340">
        <f t="shared" si="434"/>
        <v>320000</v>
      </c>
      <c r="AP237" s="336">
        <f t="shared" si="545"/>
        <v>320000</v>
      </c>
      <c r="AQ237" s="339">
        <f t="shared" si="545"/>
        <v>0</v>
      </c>
      <c r="AR237" s="340">
        <f t="shared" si="420"/>
        <v>320000</v>
      </c>
      <c r="AS237" s="341">
        <f t="shared" si="546"/>
        <v>418590</v>
      </c>
      <c r="AT237" s="339">
        <f t="shared" si="546"/>
        <v>0</v>
      </c>
      <c r="AU237" s="340">
        <f t="shared" si="422"/>
        <v>418590</v>
      </c>
      <c r="AV237" s="589">
        <f t="shared" si="502"/>
        <v>0</v>
      </c>
      <c r="AW237" s="343"/>
      <c r="AX237" s="344"/>
      <c r="AY237" s="345"/>
      <c r="AZ237" s="344"/>
      <c r="BA237" s="345">
        <v>220000</v>
      </c>
      <c r="BB237" s="346"/>
      <c r="BC237" s="347"/>
      <c r="BD237" s="348"/>
      <c r="BE237" s="349">
        <v>100000</v>
      </c>
      <c r="BF237" s="348"/>
      <c r="BG237" s="349"/>
      <c r="BH237" s="350"/>
      <c r="BI237" s="351"/>
      <c r="BJ237" s="352"/>
      <c r="BK237" s="337"/>
      <c r="BL237" s="352"/>
      <c r="BM237" s="337"/>
      <c r="BN237" s="353"/>
      <c r="BO237" s="354"/>
      <c r="BP237" s="355"/>
      <c r="BQ237" s="356"/>
      <c r="BR237" s="355"/>
      <c r="BS237" s="356">
        <v>98590</v>
      </c>
      <c r="BT237" s="357"/>
    </row>
    <row r="238" spans="1:72" s="358" customFormat="1" ht="31.5">
      <c r="A238" s="287">
        <v>211</v>
      </c>
      <c r="B238" s="941"/>
      <c r="C238" s="837"/>
      <c r="D238" s="853" t="s">
        <v>216</v>
      </c>
      <c r="E238" s="836" t="s">
        <v>201</v>
      </c>
      <c r="F238" s="820" t="s">
        <v>23</v>
      </c>
      <c r="G238" s="360">
        <v>2</v>
      </c>
      <c r="H238" s="360" t="s">
        <v>71</v>
      </c>
      <c r="I238" s="360">
        <v>851</v>
      </c>
      <c r="J238" s="361">
        <v>291</v>
      </c>
      <c r="K238" s="532" t="s">
        <v>28</v>
      </c>
      <c r="L238" s="1023">
        <v>4828.1099999999997</v>
      </c>
      <c r="M238" s="363"/>
      <c r="N238" s="363"/>
      <c r="O238" s="1051">
        <f t="shared" si="424"/>
        <v>4828.1099999999997</v>
      </c>
      <c r="P238" s="557"/>
      <c r="Q238" s="367">
        <v>0</v>
      </c>
      <c r="R238" s="557"/>
      <c r="S238" s="367">
        <v>0</v>
      </c>
      <c r="T238" s="557"/>
      <c r="U238" s="365"/>
      <c r="V238" s="366"/>
      <c r="W238" s="366"/>
      <c r="X238" s="366"/>
      <c r="Z238" s="367">
        <f t="shared" si="540"/>
        <v>99437</v>
      </c>
      <c r="AA238" s="363">
        <f t="shared" si="540"/>
        <v>0</v>
      </c>
      <c r="AB238" s="280">
        <f t="shared" si="426"/>
        <v>99437</v>
      </c>
      <c r="AC238" s="367">
        <f t="shared" si="541"/>
        <v>0</v>
      </c>
      <c r="AD238" s="363">
        <f t="shared" si="541"/>
        <v>0</v>
      </c>
      <c r="AE238" s="280">
        <f t="shared" si="428"/>
        <v>0</v>
      </c>
      <c r="AF238" s="367">
        <f t="shared" si="542"/>
        <v>0</v>
      </c>
      <c r="AG238" s="363">
        <f t="shared" si="542"/>
        <v>0</v>
      </c>
      <c r="AH238" s="280">
        <f t="shared" si="430"/>
        <v>0</v>
      </c>
      <c r="AI238" s="367">
        <f t="shared" si="543"/>
        <v>0</v>
      </c>
      <c r="AJ238" s="363">
        <f t="shared" si="543"/>
        <v>0</v>
      </c>
      <c r="AK238" s="280">
        <f t="shared" si="432"/>
        <v>0</v>
      </c>
      <c r="AL238" s="368"/>
      <c r="AM238" s="367">
        <f t="shared" si="544"/>
        <v>99437</v>
      </c>
      <c r="AN238" s="363">
        <f t="shared" si="544"/>
        <v>0</v>
      </c>
      <c r="AO238" s="280">
        <f t="shared" si="434"/>
        <v>99437</v>
      </c>
      <c r="AP238" s="367">
        <f t="shared" si="545"/>
        <v>99437</v>
      </c>
      <c r="AQ238" s="363">
        <f t="shared" si="545"/>
        <v>0</v>
      </c>
      <c r="AR238" s="280">
        <f t="shared" si="420"/>
        <v>99437</v>
      </c>
      <c r="AS238" s="367">
        <f t="shared" si="546"/>
        <v>99437</v>
      </c>
      <c r="AT238" s="363">
        <f t="shared" si="546"/>
        <v>0</v>
      </c>
      <c r="AU238" s="280">
        <f t="shared" si="422"/>
        <v>99437</v>
      </c>
      <c r="AV238" s="588">
        <f t="shared" si="502"/>
        <v>-94608.89</v>
      </c>
      <c r="AW238" s="367">
        <v>99437</v>
      </c>
      <c r="AX238" s="363"/>
      <c r="AY238" s="363"/>
      <c r="AZ238" s="363"/>
      <c r="BA238" s="363"/>
      <c r="BB238" s="369"/>
      <c r="BC238" s="367"/>
      <c r="BD238" s="363"/>
      <c r="BE238" s="363"/>
      <c r="BF238" s="363"/>
      <c r="BG238" s="363"/>
      <c r="BH238" s="369"/>
      <c r="BI238" s="367"/>
      <c r="BJ238" s="363"/>
      <c r="BK238" s="363"/>
      <c r="BL238" s="363"/>
      <c r="BM238" s="363"/>
      <c r="BN238" s="369"/>
      <c r="BO238" s="367"/>
      <c r="BP238" s="363"/>
      <c r="BQ238" s="363"/>
      <c r="BR238" s="363"/>
      <c r="BS238" s="363"/>
      <c r="BT238" s="280"/>
    </row>
    <row r="239" spans="1:72" s="358" customFormat="1" ht="31.5">
      <c r="A239" s="287">
        <v>219</v>
      </c>
      <c r="B239" s="1150" t="s">
        <v>760</v>
      </c>
      <c r="C239" s="850" t="s">
        <v>377</v>
      </c>
      <c r="D239" s="838"/>
      <c r="E239" s="836" t="s">
        <v>201</v>
      </c>
      <c r="F239" s="820" t="s">
        <v>23</v>
      </c>
      <c r="G239" s="360">
        <v>2</v>
      </c>
      <c r="H239" s="360" t="s">
        <v>71</v>
      </c>
      <c r="I239" s="360">
        <v>853</v>
      </c>
      <c r="J239" s="361">
        <v>295</v>
      </c>
      <c r="K239" s="532" t="s">
        <v>795</v>
      </c>
      <c r="L239" s="1023">
        <f>SUM(L240:L241)</f>
        <v>0</v>
      </c>
      <c r="M239" s="363"/>
      <c r="N239" s="363">
        <f>SUM(N240:N241)</f>
        <v>590500.68000000005</v>
      </c>
      <c r="O239" s="1051">
        <f t="shared" si="424"/>
        <v>590500.68000000005</v>
      </c>
      <c r="P239" s="571"/>
      <c r="Q239" s="367">
        <f>SUM(Q240:Q241)</f>
        <v>0</v>
      </c>
      <c r="R239" s="557"/>
      <c r="S239" s="367">
        <f>SUM(S240:S241)</f>
        <v>0</v>
      </c>
      <c r="T239" s="557"/>
      <c r="U239" s="365"/>
      <c r="V239" s="366"/>
      <c r="W239" s="366"/>
      <c r="X239" s="366"/>
      <c r="Z239" s="367">
        <f t="shared" si="540"/>
        <v>0</v>
      </c>
      <c r="AA239" s="363">
        <f t="shared" si="540"/>
        <v>0</v>
      </c>
      <c r="AB239" s="280">
        <f t="shared" si="426"/>
        <v>0</v>
      </c>
      <c r="AC239" s="367">
        <f t="shared" si="541"/>
        <v>15000</v>
      </c>
      <c r="AD239" s="363">
        <f t="shared" si="541"/>
        <v>0</v>
      </c>
      <c r="AE239" s="280">
        <f t="shared" si="428"/>
        <v>15000</v>
      </c>
      <c r="AF239" s="367">
        <f t="shared" si="542"/>
        <v>15000</v>
      </c>
      <c r="AG239" s="363">
        <f t="shared" si="542"/>
        <v>0</v>
      </c>
      <c r="AH239" s="280">
        <f t="shared" si="430"/>
        <v>15000</v>
      </c>
      <c r="AI239" s="367">
        <f t="shared" si="543"/>
        <v>560500.68000000005</v>
      </c>
      <c r="AJ239" s="363">
        <f t="shared" si="543"/>
        <v>0</v>
      </c>
      <c r="AK239" s="280">
        <f t="shared" si="432"/>
        <v>560500.68000000005</v>
      </c>
      <c r="AL239" s="368"/>
      <c r="AM239" s="367">
        <f t="shared" si="544"/>
        <v>15000</v>
      </c>
      <c r="AN239" s="363">
        <f t="shared" si="544"/>
        <v>0</v>
      </c>
      <c r="AO239" s="280">
        <f t="shared" si="434"/>
        <v>15000</v>
      </c>
      <c r="AP239" s="367">
        <f t="shared" si="545"/>
        <v>30000</v>
      </c>
      <c r="AQ239" s="363">
        <f t="shared" si="545"/>
        <v>0</v>
      </c>
      <c r="AR239" s="280">
        <f t="shared" si="420"/>
        <v>30000</v>
      </c>
      <c r="AS239" s="367">
        <f t="shared" si="546"/>
        <v>590500.68000000005</v>
      </c>
      <c r="AT239" s="363">
        <f t="shared" si="546"/>
        <v>0</v>
      </c>
      <c r="AU239" s="280">
        <f t="shared" si="422"/>
        <v>590500.68000000005</v>
      </c>
      <c r="AV239" s="588">
        <f t="shared" si="502"/>
        <v>-590500.68000000005</v>
      </c>
      <c r="AW239" s="367">
        <f t="shared" ref="AW239:BT239" si="593">SUM(AW240:AW241)</f>
        <v>0</v>
      </c>
      <c r="AX239" s="363">
        <f t="shared" si="593"/>
        <v>0</v>
      </c>
      <c r="AY239" s="363">
        <f t="shared" si="593"/>
        <v>0</v>
      </c>
      <c r="AZ239" s="363">
        <f t="shared" si="593"/>
        <v>0</v>
      </c>
      <c r="BA239" s="363">
        <f t="shared" si="593"/>
        <v>0</v>
      </c>
      <c r="BB239" s="369">
        <f t="shared" si="593"/>
        <v>0</v>
      </c>
      <c r="BC239" s="367">
        <f t="shared" si="593"/>
        <v>0</v>
      </c>
      <c r="BD239" s="363">
        <f t="shared" si="593"/>
        <v>0</v>
      </c>
      <c r="BE239" s="363">
        <f t="shared" si="593"/>
        <v>10000</v>
      </c>
      <c r="BF239" s="363">
        <f t="shared" si="593"/>
        <v>0</v>
      </c>
      <c r="BG239" s="363">
        <f t="shared" si="593"/>
        <v>5000</v>
      </c>
      <c r="BH239" s="369">
        <f t="shared" si="593"/>
        <v>0</v>
      </c>
      <c r="BI239" s="367">
        <f t="shared" si="593"/>
        <v>0</v>
      </c>
      <c r="BJ239" s="363">
        <f t="shared" si="593"/>
        <v>0</v>
      </c>
      <c r="BK239" s="363">
        <f t="shared" si="593"/>
        <v>0</v>
      </c>
      <c r="BL239" s="363">
        <f t="shared" si="593"/>
        <v>0</v>
      </c>
      <c r="BM239" s="363">
        <f t="shared" si="593"/>
        <v>15000</v>
      </c>
      <c r="BN239" s="369">
        <f t="shared" si="593"/>
        <v>0</v>
      </c>
      <c r="BO239" s="367">
        <f t="shared" si="593"/>
        <v>110000</v>
      </c>
      <c r="BP239" s="363">
        <f t="shared" si="593"/>
        <v>0</v>
      </c>
      <c r="BQ239" s="363">
        <f t="shared" si="593"/>
        <v>200000</v>
      </c>
      <c r="BR239" s="363">
        <f t="shared" si="593"/>
        <v>0</v>
      </c>
      <c r="BS239" s="363">
        <f t="shared" si="593"/>
        <v>250500.68</v>
      </c>
      <c r="BT239" s="280">
        <f t="shared" si="593"/>
        <v>0</v>
      </c>
    </row>
    <row r="240" spans="1:72" s="313" customFormat="1" ht="51" outlineLevel="2">
      <c r="A240" s="287">
        <v>220</v>
      </c>
      <c r="B240" s="941"/>
      <c r="C240" s="840"/>
      <c r="D240" s="841"/>
      <c r="E240" s="839"/>
      <c r="F240" s="821" t="s">
        <v>23</v>
      </c>
      <c r="G240" s="314">
        <v>2</v>
      </c>
      <c r="H240" s="739" t="s">
        <v>71</v>
      </c>
      <c r="I240" s="739">
        <v>853</v>
      </c>
      <c r="J240" s="740">
        <v>295</v>
      </c>
      <c r="K240" s="533" t="s">
        <v>796</v>
      </c>
      <c r="L240" s="1013">
        <v>0</v>
      </c>
      <c r="M240" s="318"/>
      <c r="N240" s="318">
        <v>590500.68000000005</v>
      </c>
      <c r="O240" s="1052">
        <f t="shared" si="424"/>
        <v>590500.68000000005</v>
      </c>
      <c r="P240" s="570"/>
      <c r="Q240" s="336">
        <v>0</v>
      </c>
      <c r="R240" s="559"/>
      <c r="S240" s="541">
        <v>0</v>
      </c>
      <c r="T240" s="559"/>
      <c r="U240" s="335"/>
      <c r="V240" s="596" t="s">
        <v>797</v>
      </c>
      <c r="W240" s="320"/>
      <c r="X240" s="320"/>
      <c r="Z240" s="336">
        <f t="shared" si="540"/>
        <v>0</v>
      </c>
      <c r="AA240" s="337">
        <f t="shared" si="540"/>
        <v>0</v>
      </c>
      <c r="AB240" s="338">
        <f t="shared" si="426"/>
        <v>0</v>
      </c>
      <c r="AC240" s="336">
        <f t="shared" si="541"/>
        <v>15000</v>
      </c>
      <c r="AD240" s="337">
        <f t="shared" si="541"/>
        <v>0</v>
      </c>
      <c r="AE240" s="338">
        <f t="shared" si="428"/>
        <v>15000</v>
      </c>
      <c r="AF240" s="336">
        <f t="shared" si="542"/>
        <v>15000</v>
      </c>
      <c r="AG240" s="337">
        <f t="shared" si="542"/>
        <v>0</v>
      </c>
      <c r="AH240" s="338">
        <f t="shared" si="430"/>
        <v>15000</v>
      </c>
      <c r="AI240" s="336">
        <f t="shared" si="543"/>
        <v>560500.68000000005</v>
      </c>
      <c r="AJ240" s="337">
        <f t="shared" si="543"/>
        <v>0</v>
      </c>
      <c r="AK240" s="338">
        <f t="shared" si="432"/>
        <v>560500.68000000005</v>
      </c>
      <c r="AL240" s="342"/>
      <c r="AM240" s="336">
        <f t="shared" si="544"/>
        <v>15000</v>
      </c>
      <c r="AN240" s="339">
        <f t="shared" si="544"/>
        <v>0</v>
      </c>
      <c r="AO240" s="340">
        <f t="shared" si="434"/>
        <v>15000</v>
      </c>
      <c r="AP240" s="336">
        <f t="shared" si="545"/>
        <v>30000</v>
      </c>
      <c r="AQ240" s="339">
        <f t="shared" si="545"/>
        <v>0</v>
      </c>
      <c r="AR240" s="340">
        <f t="shared" si="420"/>
        <v>30000</v>
      </c>
      <c r="AS240" s="341">
        <f t="shared" si="546"/>
        <v>590500.68000000005</v>
      </c>
      <c r="AT240" s="339">
        <f t="shared" si="546"/>
        <v>0</v>
      </c>
      <c r="AU240" s="340">
        <f t="shared" si="422"/>
        <v>590500.68000000005</v>
      </c>
      <c r="AV240" s="589">
        <f t="shared" si="502"/>
        <v>-590500.68000000005</v>
      </c>
      <c r="AW240" s="343"/>
      <c r="AX240" s="344"/>
      <c r="AY240" s="345"/>
      <c r="AZ240" s="344"/>
      <c r="BA240" s="345"/>
      <c r="BB240" s="346"/>
      <c r="BC240" s="1134"/>
      <c r="BD240" s="348"/>
      <c r="BE240" s="349">
        <v>10000</v>
      </c>
      <c r="BF240" s="348"/>
      <c r="BG240" s="349">
        <v>5000</v>
      </c>
      <c r="BH240" s="350"/>
      <c r="BI240" s="351"/>
      <c r="BJ240" s="352"/>
      <c r="BK240" s="351"/>
      <c r="BL240" s="352"/>
      <c r="BM240" s="1137">
        <f>5000+10000</f>
        <v>15000</v>
      </c>
      <c r="BN240" s="920"/>
      <c r="BO240" s="1138">
        <f>10000+100000</f>
        <v>110000</v>
      </c>
      <c r="BP240" s="1142"/>
      <c r="BQ240" s="1139">
        <f>100000+100000</f>
        <v>200000</v>
      </c>
      <c r="BR240" s="1142"/>
      <c r="BS240" s="1139">
        <f>100000+100000+50500.68</f>
        <v>250500.68</v>
      </c>
      <c r="BT240" s="357"/>
    </row>
    <row r="241" spans="1:72" s="615" customFormat="1" ht="25.5" outlineLevel="1">
      <c r="A241" s="287">
        <v>222</v>
      </c>
      <c r="B241" s="941"/>
      <c r="C241" s="866"/>
      <c r="D241" s="867"/>
      <c r="E241" s="867"/>
      <c r="F241" s="832" t="s">
        <v>23</v>
      </c>
      <c r="G241" s="616">
        <v>2</v>
      </c>
      <c r="H241" s="749" t="s">
        <v>71</v>
      </c>
      <c r="I241" s="749">
        <v>853</v>
      </c>
      <c r="J241" s="750">
        <v>295</v>
      </c>
      <c r="K241" s="932" t="s">
        <v>214</v>
      </c>
      <c r="L241" s="1043">
        <v>0</v>
      </c>
      <c r="M241" s="619"/>
      <c r="N241" s="619"/>
      <c r="O241" s="1054">
        <f t="shared" si="424"/>
        <v>0</v>
      </c>
      <c r="P241" s="620"/>
      <c r="Q241" s="509">
        <v>0</v>
      </c>
      <c r="R241" s="560"/>
      <c r="S241" s="542">
        <v>0</v>
      </c>
      <c r="T241" s="560"/>
      <c r="U241" s="621"/>
      <c r="V241" s="320"/>
      <c r="W241" s="320"/>
      <c r="X241" s="320"/>
      <c r="Z241" s="509">
        <f>AW241+AY241+BA241</f>
        <v>0</v>
      </c>
      <c r="AA241" s="622">
        <f>AX241+AZ241+BB241</f>
        <v>0</v>
      </c>
      <c r="AB241" s="623">
        <f>Z241-AA241</f>
        <v>0</v>
      </c>
      <c r="AC241" s="509">
        <f>BC241+BE241+BG241</f>
        <v>0</v>
      </c>
      <c r="AD241" s="622">
        <f>BD241+BF241+BH241</f>
        <v>0</v>
      </c>
      <c r="AE241" s="623">
        <f>AC241-AD241</f>
        <v>0</v>
      </c>
      <c r="AF241" s="509">
        <f>BI241+BK241+BM241</f>
        <v>0</v>
      </c>
      <c r="AG241" s="622">
        <f>BJ241+BL241+BN241</f>
        <v>0</v>
      </c>
      <c r="AH241" s="623">
        <f>AF241-AG241</f>
        <v>0</v>
      </c>
      <c r="AI241" s="509">
        <f>BO241+BQ241+BS241</f>
        <v>0</v>
      </c>
      <c r="AJ241" s="622">
        <f>BP241+BR241+BT241</f>
        <v>0</v>
      </c>
      <c r="AK241" s="623">
        <f>AI241-AJ241</f>
        <v>0</v>
      </c>
      <c r="AL241" s="624"/>
      <c r="AM241" s="509">
        <f>Z241+AC241</f>
        <v>0</v>
      </c>
      <c r="AN241" s="625">
        <f>AA241+AD241</f>
        <v>0</v>
      </c>
      <c r="AO241" s="626">
        <f>AM241-AN241</f>
        <v>0</v>
      </c>
      <c r="AP241" s="509">
        <f>Z241+AC241+AF241</f>
        <v>0</v>
      </c>
      <c r="AQ241" s="625">
        <f>AA241+AD241+AG241</f>
        <v>0</v>
      </c>
      <c r="AR241" s="626">
        <f>AP241-AQ241</f>
        <v>0</v>
      </c>
      <c r="AS241" s="510">
        <f>Z241+AC241+AF241+AI241</f>
        <v>0</v>
      </c>
      <c r="AT241" s="625">
        <f>AA241+AD241+AG241+AJ241</f>
        <v>0</v>
      </c>
      <c r="AU241" s="626">
        <f>AS241-AT241</f>
        <v>0</v>
      </c>
      <c r="AV241" s="627">
        <f t="shared" si="502"/>
        <v>0</v>
      </c>
      <c r="AW241" s="628"/>
      <c r="AX241" s="629"/>
      <c r="AY241" s="630"/>
      <c r="AZ241" s="629"/>
      <c r="BA241" s="630"/>
      <c r="BB241" s="631"/>
      <c r="BC241" s="632"/>
      <c r="BD241" s="633"/>
      <c r="BE241" s="634"/>
      <c r="BF241" s="633"/>
      <c r="BG241" s="634"/>
      <c r="BH241" s="635"/>
      <c r="BI241" s="636"/>
      <c r="BJ241" s="637"/>
      <c r="BK241" s="622"/>
      <c r="BL241" s="637"/>
      <c r="BM241" s="622"/>
      <c r="BN241" s="638"/>
      <c r="BO241" s="639"/>
      <c r="BP241" s="640"/>
      <c r="BQ241" s="641"/>
      <c r="BR241" s="640"/>
      <c r="BS241" s="641"/>
      <c r="BT241" s="642"/>
    </row>
    <row r="242" spans="1:72" s="358" customFormat="1" ht="31.5">
      <c r="A242" s="287">
        <v>212</v>
      </c>
      <c r="B242" s="933"/>
      <c r="C242" s="837"/>
      <c r="D242" s="838"/>
      <c r="E242" s="836" t="s">
        <v>201</v>
      </c>
      <c r="F242" s="820" t="s">
        <v>23</v>
      </c>
      <c r="G242" s="360">
        <v>2</v>
      </c>
      <c r="H242" s="360" t="s">
        <v>71</v>
      </c>
      <c r="I242" s="360">
        <v>853</v>
      </c>
      <c r="J242" s="361">
        <v>297</v>
      </c>
      <c r="K242" s="532" t="s">
        <v>38</v>
      </c>
      <c r="L242" s="1023">
        <v>7426.01</v>
      </c>
      <c r="M242" s="363"/>
      <c r="N242" s="363"/>
      <c r="O242" s="1051">
        <f t="shared" si="424"/>
        <v>7426.01</v>
      </c>
      <c r="P242" s="571"/>
      <c r="Q242" s="367">
        <v>7426.01</v>
      </c>
      <c r="R242" s="557"/>
      <c r="S242" s="539">
        <v>7426.01</v>
      </c>
      <c r="T242" s="557"/>
      <c r="U242" s="365"/>
      <c r="V242" s="366"/>
      <c r="W242" s="366"/>
      <c r="X242" s="366"/>
      <c r="Z242" s="367">
        <f t="shared" si="540"/>
        <v>7426.01</v>
      </c>
      <c r="AA242" s="363">
        <f t="shared" si="540"/>
        <v>62460.71</v>
      </c>
      <c r="AB242" s="280">
        <f t="shared" si="426"/>
        <v>-55034.7</v>
      </c>
      <c r="AC242" s="367">
        <f t="shared" si="541"/>
        <v>0</v>
      </c>
      <c r="AD242" s="363">
        <f t="shared" si="541"/>
        <v>0</v>
      </c>
      <c r="AE242" s="280">
        <f t="shared" si="428"/>
        <v>0</v>
      </c>
      <c r="AF242" s="367">
        <f t="shared" si="542"/>
        <v>0</v>
      </c>
      <c r="AG242" s="363">
        <f t="shared" si="542"/>
        <v>0</v>
      </c>
      <c r="AH242" s="280">
        <f t="shared" si="430"/>
        <v>0</v>
      </c>
      <c r="AI242" s="367">
        <f t="shared" si="543"/>
        <v>0</v>
      </c>
      <c r="AJ242" s="363">
        <f t="shared" si="543"/>
        <v>0</v>
      </c>
      <c r="AK242" s="280">
        <f t="shared" si="432"/>
        <v>0</v>
      </c>
      <c r="AL242" s="368"/>
      <c r="AM242" s="367">
        <f t="shared" si="544"/>
        <v>7426.01</v>
      </c>
      <c r="AN242" s="363">
        <f t="shared" si="544"/>
        <v>62460.71</v>
      </c>
      <c r="AO242" s="280">
        <f t="shared" si="434"/>
        <v>-55034.7</v>
      </c>
      <c r="AP242" s="367">
        <f t="shared" si="545"/>
        <v>7426.01</v>
      </c>
      <c r="AQ242" s="363">
        <f t="shared" si="545"/>
        <v>62460.71</v>
      </c>
      <c r="AR242" s="280">
        <f t="shared" si="420"/>
        <v>-55034.7</v>
      </c>
      <c r="AS242" s="367">
        <f t="shared" si="546"/>
        <v>7426.01</v>
      </c>
      <c r="AT242" s="363">
        <f t="shared" si="546"/>
        <v>62460.71</v>
      </c>
      <c r="AU242" s="280">
        <f t="shared" si="422"/>
        <v>-55034.7</v>
      </c>
      <c r="AV242" s="588">
        <f t="shared" si="502"/>
        <v>0</v>
      </c>
      <c r="AW242" s="367">
        <f>AW183*0.15%+0.01</f>
        <v>7426.01</v>
      </c>
      <c r="AX242" s="363">
        <f t="shared" ref="AX242:BT242" si="594">AX183*0.15</f>
        <v>0</v>
      </c>
      <c r="AY242" s="363">
        <f t="shared" si="594"/>
        <v>0</v>
      </c>
      <c r="AZ242" s="363">
        <f t="shared" si="594"/>
        <v>35964.239999999998</v>
      </c>
      <c r="BA242" s="363">
        <f t="shared" si="594"/>
        <v>0</v>
      </c>
      <c r="BB242" s="369">
        <f t="shared" si="594"/>
        <v>26496.47</v>
      </c>
      <c r="BC242" s="367">
        <f t="shared" si="594"/>
        <v>0</v>
      </c>
      <c r="BD242" s="363">
        <f t="shared" si="594"/>
        <v>0</v>
      </c>
      <c r="BE242" s="363">
        <f t="shared" si="594"/>
        <v>0</v>
      </c>
      <c r="BF242" s="363">
        <f t="shared" si="594"/>
        <v>0</v>
      </c>
      <c r="BG242" s="363">
        <f t="shared" si="594"/>
        <v>0</v>
      </c>
      <c r="BH242" s="369">
        <f t="shared" si="594"/>
        <v>0</v>
      </c>
      <c r="BI242" s="367">
        <f t="shared" si="594"/>
        <v>0</v>
      </c>
      <c r="BJ242" s="363">
        <f t="shared" si="594"/>
        <v>0</v>
      </c>
      <c r="BK242" s="363">
        <f t="shared" si="594"/>
        <v>0</v>
      </c>
      <c r="BL242" s="363">
        <f t="shared" si="594"/>
        <v>0</v>
      </c>
      <c r="BM242" s="363">
        <f t="shared" si="594"/>
        <v>0</v>
      </c>
      <c r="BN242" s="369">
        <f t="shared" si="594"/>
        <v>0</v>
      </c>
      <c r="BO242" s="367">
        <f t="shared" si="594"/>
        <v>0</v>
      </c>
      <c r="BP242" s="363">
        <f t="shared" si="594"/>
        <v>0</v>
      </c>
      <c r="BQ242" s="363">
        <f t="shared" si="594"/>
        <v>0</v>
      </c>
      <c r="BR242" s="363">
        <f t="shared" si="594"/>
        <v>0</v>
      </c>
      <c r="BS242" s="363">
        <f t="shared" si="594"/>
        <v>0</v>
      </c>
      <c r="BT242" s="280">
        <f t="shared" si="594"/>
        <v>0</v>
      </c>
    </row>
    <row r="243" spans="1:72" s="358" customFormat="1" ht="31.5" customHeight="1">
      <c r="A243" s="287">
        <v>213</v>
      </c>
      <c r="B243" s="1144"/>
      <c r="C243" s="850" t="s">
        <v>377</v>
      </c>
      <c r="D243" s="838"/>
      <c r="E243" s="836" t="s">
        <v>201</v>
      </c>
      <c r="F243" s="820" t="s">
        <v>23</v>
      </c>
      <c r="G243" s="360">
        <v>2</v>
      </c>
      <c r="H243" s="360" t="s">
        <v>71</v>
      </c>
      <c r="I243" s="360">
        <v>244</v>
      </c>
      <c r="J243" s="361">
        <v>310</v>
      </c>
      <c r="K243" s="532" t="s">
        <v>532</v>
      </c>
      <c r="L243" s="1023">
        <f>SUM(L244:L249)</f>
        <v>64790</v>
      </c>
      <c r="M243" s="363"/>
      <c r="N243" s="363">
        <f>SUM(N244:N249)</f>
        <v>43188</v>
      </c>
      <c r="O243" s="1051">
        <f t="shared" si="424"/>
        <v>107978</v>
      </c>
      <c r="P243" s="571"/>
      <c r="Q243" s="367">
        <f>SUM(Q244:Q249)</f>
        <v>0</v>
      </c>
      <c r="R243" s="557"/>
      <c r="S243" s="367">
        <f>SUM(S244:S249)</f>
        <v>0</v>
      </c>
      <c r="T243" s="557"/>
      <c r="U243" s="365"/>
      <c r="V243" s="366"/>
      <c r="W243" s="366"/>
      <c r="X243" s="366"/>
      <c r="Z243" s="367">
        <f t="shared" si="540"/>
        <v>41509</v>
      </c>
      <c r="AA243" s="363">
        <f t="shared" si="540"/>
        <v>0</v>
      </c>
      <c r="AB243" s="280">
        <f t="shared" si="426"/>
        <v>41509</v>
      </c>
      <c r="AC243" s="367">
        <f t="shared" si="541"/>
        <v>24960</v>
      </c>
      <c r="AD243" s="363">
        <f t="shared" si="541"/>
        <v>0</v>
      </c>
      <c r="AE243" s="280">
        <f t="shared" si="428"/>
        <v>24960</v>
      </c>
      <c r="AF243" s="367">
        <f t="shared" si="542"/>
        <v>0</v>
      </c>
      <c r="AG243" s="363">
        <f t="shared" si="542"/>
        <v>0</v>
      </c>
      <c r="AH243" s="280">
        <f t="shared" si="430"/>
        <v>0</v>
      </c>
      <c r="AI243" s="367">
        <f t="shared" si="543"/>
        <v>0</v>
      </c>
      <c r="AJ243" s="363">
        <f t="shared" si="543"/>
        <v>0</v>
      </c>
      <c r="AK243" s="280">
        <f t="shared" si="432"/>
        <v>0</v>
      </c>
      <c r="AL243" s="368"/>
      <c r="AM243" s="367">
        <f t="shared" si="544"/>
        <v>66469</v>
      </c>
      <c r="AN243" s="363">
        <f t="shared" si="544"/>
        <v>0</v>
      </c>
      <c r="AO243" s="280">
        <f t="shared" si="434"/>
        <v>66469</v>
      </c>
      <c r="AP243" s="367">
        <f t="shared" si="545"/>
        <v>66469</v>
      </c>
      <c r="AQ243" s="363">
        <f t="shared" si="545"/>
        <v>0</v>
      </c>
      <c r="AR243" s="280">
        <f t="shared" si="420"/>
        <v>66469</v>
      </c>
      <c r="AS243" s="367">
        <f t="shared" si="546"/>
        <v>66469</v>
      </c>
      <c r="AT243" s="363">
        <f t="shared" si="546"/>
        <v>0</v>
      </c>
      <c r="AU243" s="280">
        <f t="shared" si="422"/>
        <v>66469</v>
      </c>
      <c r="AV243" s="588">
        <f t="shared" si="502"/>
        <v>-1679</v>
      </c>
      <c r="AW243" s="367">
        <f t="shared" ref="AW243:BT243" si="595">SUM(AW244:AW249)</f>
        <v>0</v>
      </c>
      <c r="AX243" s="363">
        <f t="shared" si="595"/>
        <v>0</v>
      </c>
      <c r="AY243" s="363">
        <f t="shared" si="595"/>
        <v>0</v>
      </c>
      <c r="AZ243" s="363">
        <f t="shared" si="595"/>
        <v>0</v>
      </c>
      <c r="BA243" s="363">
        <f t="shared" si="595"/>
        <v>41509</v>
      </c>
      <c r="BB243" s="369">
        <f t="shared" si="595"/>
        <v>0</v>
      </c>
      <c r="BC243" s="367">
        <f t="shared" si="595"/>
        <v>24960</v>
      </c>
      <c r="BD243" s="363">
        <f t="shared" si="595"/>
        <v>0</v>
      </c>
      <c r="BE243" s="363">
        <f t="shared" si="595"/>
        <v>0</v>
      </c>
      <c r="BF243" s="363">
        <f t="shared" si="595"/>
        <v>0</v>
      </c>
      <c r="BG243" s="363">
        <f t="shared" si="595"/>
        <v>0</v>
      </c>
      <c r="BH243" s="369">
        <f t="shared" si="595"/>
        <v>0</v>
      </c>
      <c r="BI243" s="367">
        <f t="shared" si="595"/>
        <v>0</v>
      </c>
      <c r="BJ243" s="363">
        <f t="shared" si="595"/>
        <v>0</v>
      </c>
      <c r="BK243" s="363">
        <f t="shared" si="595"/>
        <v>0</v>
      </c>
      <c r="BL243" s="363">
        <f t="shared" si="595"/>
        <v>0</v>
      </c>
      <c r="BM243" s="363">
        <f t="shared" si="595"/>
        <v>0</v>
      </c>
      <c r="BN243" s="369">
        <f t="shared" si="595"/>
        <v>0</v>
      </c>
      <c r="BO243" s="367">
        <f t="shared" si="595"/>
        <v>0</v>
      </c>
      <c r="BP243" s="363">
        <f t="shared" si="595"/>
        <v>0</v>
      </c>
      <c r="BQ243" s="363">
        <f t="shared" si="595"/>
        <v>0</v>
      </c>
      <c r="BR243" s="363">
        <f t="shared" si="595"/>
        <v>0</v>
      </c>
      <c r="BS243" s="363">
        <f t="shared" si="595"/>
        <v>0</v>
      </c>
      <c r="BT243" s="280">
        <f t="shared" si="595"/>
        <v>0</v>
      </c>
    </row>
    <row r="244" spans="1:72" s="313" customFormat="1" ht="25.5" outlineLevel="2">
      <c r="A244" s="287">
        <v>214</v>
      </c>
      <c r="B244" s="1144"/>
      <c r="C244" s="840"/>
      <c r="D244" s="841"/>
      <c r="E244" s="839"/>
      <c r="F244" s="821" t="s">
        <v>23</v>
      </c>
      <c r="G244" s="314">
        <v>2</v>
      </c>
      <c r="H244" s="739" t="s">
        <v>71</v>
      </c>
      <c r="I244" s="739">
        <v>244</v>
      </c>
      <c r="J244" s="740">
        <v>310</v>
      </c>
      <c r="K244" s="533" t="s">
        <v>523</v>
      </c>
      <c r="L244" s="1025">
        <v>2190</v>
      </c>
      <c r="M244" s="318"/>
      <c r="N244" s="318"/>
      <c r="O244" s="1052">
        <f t="shared" si="424"/>
        <v>2190</v>
      </c>
      <c r="P244" s="570"/>
      <c r="Q244" s="336">
        <v>0</v>
      </c>
      <c r="R244" s="559"/>
      <c r="S244" s="541">
        <v>0</v>
      </c>
      <c r="T244" s="559"/>
      <c r="U244" s="335"/>
      <c r="V244" s="320"/>
      <c r="W244" s="320"/>
      <c r="X244" s="320"/>
      <c r="Z244" s="336">
        <f t="shared" si="540"/>
        <v>0</v>
      </c>
      <c r="AA244" s="337">
        <f t="shared" si="540"/>
        <v>0</v>
      </c>
      <c r="AB244" s="338">
        <f t="shared" si="426"/>
        <v>0</v>
      </c>
      <c r="AC244" s="336">
        <f t="shared" si="541"/>
        <v>2190</v>
      </c>
      <c r="AD244" s="337">
        <f t="shared" si="541"/>
        <v>0</v>
      </c>
      <c r="AE244" s="338">
        <f t="shared" si="428"/>
        <v>2190</v>
      </c>
      <c r="AF244" s="336">
        <f t="shared" si="542"/>
        <v>0</v>
      </c>
      <c r="AG244" s="337">
        <f t="shared" si="542"/>
        <v>0</v>
      </c>
      <c r="AH244" s="338">
        <f t="shared" si="430"/>
        <v>0</v>
      </c>
      <c r="AI244" s="336">
        <f t="shared" si="543"/>
        <v>0</v>
      </c>
      <c r="AJ244" s="337">
        <f t="shared" si="543"/>
        <v>0</v>
      </c>
      <c r="AK244" s="338">
        <f t="shared" si="432"/>
        <v>0</v>
      </c>
      <c r="AL244" s="342"/>
      <c r="AM244" s="336">
        <f t="shared" si="544"/>
        <v>2190</v>
      </c>
      <c r="AN244" s="339">
        <f t="shared" si="544"/>
        <v>0</v>
      </c>
      <c r="AO244" s="340">
        <f t="shared" si="434"/>
        <v>2190</v>
      </c>
      <c r="AP244" s="336">
        <f t="shared" si="545"/>
        <v>2190</v>
      </c>
      <c r="AQ244" s="339">
        <f t="shared" si="545"/>
        <v>0</v>
      </c>
      <c r="AR244" s="340">
        <f t="shared" si="420"/>
        <v>2190</v>
      </c>
      <c r="AS244" s="341">
        <f t="shared" si="546"/>
        <v>2190</v>
      </c>
      <c r="AT244" s="339">
        <f t="shared" si="546"/>
        <v>0</v>
      </c>
      <c r="AU244" s="340">
        <f t="shared" si="422"/>
        <v>2190</v>
      </c>
      <c r="AV244" s="589">
        <f t="shared" si="502"/>
        <v>0</v>
      </c>
      <c r="AW244" s="343"/>
      <c r="AX244" s="344"/>
      <c r="AY244" s="345"/>
      <c r="AZ244" s="344"/>
      <c r="BA244" s="345"/>
      <c r="BB244" s="346"/>
      <c r="BC244" s="347">
        <v>2190</v>
      </c>
      <c r="BD244" s="348"/>
      <c r="BE244" s="349"/>
      <c r="BF244" s="348"/>
      <c r="BG244" s="349"/>
      <c r="BH244" s="350"/>
      <c r="BI244" s="351"/>
      <c r="BJ244" s="352"/>
      <c r="BK244" s="337"/>
      <c r="BL244" s="352"/>
      <c r="BM244" s="337"/>
      <c r="BN244" s="353"/>
      <c r="BO244" s="354"/>
      <c r="BP244" s="355"/>
      <c r="BQ244" s="356"/>
      <c r="BR244" s="355"/>
      <c r="BS244" s="356"/>
      <c r="BT244" s="357"/>
    </row>
    <row r="245" spans="1:72" s="313" customFormat="1" ht="25.5" outlineLevel="2">
      <c r="A245" s="287">
        <v>215</v>
      </c>
      <c r="B245" s="1144"/>
      <c r="C245" s="840"/>
      <c r="D245" s="841"/>
      <c r="E245" s="839"/>
      <c r="F245" s="821" t="s">
        <v>23</v>
      </c>
      <c r="G245" s="314">
        <v>2</v>
      </c>
      <c r="H245" s="739" t="s">
        <v>71</v>
      </c>
      <c r="I245" s="739">
        <v>244</v>
      </c>
      <c r="J245" s="740">
        <v>310</v>
      </c>
      <c r="K245" s="533" t="s">
        <v>533</v>
      </c>
      <c r="L245" s="1025">
        <v>62600</v>
      </c>
      <c r="M245" s="318"/>
      <c r="N245" s="318"/>
      <c r="O245" s="1052">
        <f t="shared" si="424"/>
        <v>62600</v>
      </c>
      <c r="P245" s="570"/>
      <c r="Q245" s="336">
        <v>0</v>
      </c>
      <c r="R245" s="559"/>
      <c r="S245" s="541">
        <v>0</v>
      </c>
      <c r="T245" s="559"/>
      <c r="U245" s="335"/>
      <c r="V245" s="320"/>
      <c r="W245" s="320"/>
      <c r="X245" s="320"/>
      <c r="Z245" s="336">
        <f t="shared" si="540"/>
        <v>0</v>
      </c>
      <c r="AA245" s="337">
        <f t="shared" si="540"/>
        <v>0</v>
      </c>
      <c r="AB245" s="338">
        <f t="shared" si="426"/>
        <v>0</v>
      </c>
      <c r="AC245" s="336">
        <f t="shared" si="541"/>
        <v>21091</v>
      </c>
      <c r="AD245" s="337">
        <f t="shared" si="541"/>
        <v>0</v>
      </c>
      <c r="AE245" s="338">
        <f t="shared" si="428"/>
        <v>21091</v>
      </c>
      <c r="AF245" s="336">
        <f t="shared" si="542"/>
        <v>0</v>
      </c>
      <c r="AG245" s="337">
        <f t="shared" si="542"/>
        <v>0</v>
      </c>
      <c r="AH245" s="338">
        <f t="shared" si="430"/>
        <v>0</v>
      </c>
      <c r="AI245" s="336">
        <f t="shared" si="543"/>
        <v>0</v>
      </c>
      <c r="AJ245" s="337">
        <f t="shared" si="543"/>
        <v>0</v>
      </c>
      <c r="AK245" s="338">
        <f t="shared" si="432"/>
        <v>0</v>
      </c>
      <c r="AL245" s="342"/>
      <c r="AM245" s="336">
        <f t="shared" si="544"/>
        <v>21091</v>
      </c>
      <c r="AN245" s="339">
        <f t="shared" si="544"/>
        <v>0</v>
      </c>
      <c r="AO245" s="340">
        <f t="shared" si="434"/>
        <v>21091</v>
      </c>
      <c r="AP245" s="336">
        <f t="shared" si="545"/>
        <v>21091</v>
      </c>
      <c r="AQ245" s="339">
        <f t="shared" si="545"/>
        <v>0</v>
      </c>
      <c r="AR245" s="340">
        <f t="shared" si="420"/>
        <v>21091</v>
      </c>
      <c r="AS245" s="341">
        <f t="shared" si="546"/>
        <v>21091</v>
      </c>
      <c r="AT245" s="339">
        <f t="shared" si="546"/>
        <v>0</v>
      </c>
      <c r="AU245" s="340">
        <f t="shared" si="422"/>
        <v>21091</v>
      </c>
      <c r="AV245" s="589">
        <f t="shared" si="502"/>
        <v>41509</v>
      </c>
      <c r="AW245" s="343"/>
      <c r="AX245" s="344"/>
      <c r="AY245" s="345"/>
      <c r="AZ245" s="344"/>
      <c r="BA245" s="345"/>
      <c r="BB245" s="346"/>
      <c r="BC245" s="347">
        <f>62600-36010-5499</f>
        <v>21091</v>
      </c>
      <c r="BD245" s="348"/>
      <c r="BE245" s="349"/>
      <c r="BF245" s="348"/>
      <c r="BG245" s="349"/>
      <c r="BH245" s="350"/>
      <c r="BI245" s="351"/>
      <c r="BJ245" s="352"/>
      <c r="BK245" s="337"/>
      <c r="BL245" s="352"/>
      <c r="BM245" s="337"/>
      <c r="BN245" s="353"/>
      <c r="BO245" s="354"/>
      <c r="BP245" s="355"/>
      <c r="BQ245" s="356"/>
      <c r="BR245" s="355"/>
      <c r="BS245" s="356"/>
      <c r="BT245" s="357"/>
    </row>
    <row r="246" spans="1:72" s="313" customFormat="1" ht="25.5" outlineLevel="2">
      <c r="A246" s="287">
        <v>216</v>
      </c>
      <c r="B246" s="1144" t="s">
        <v>755</v>
      </c>
      <c r="C246" s="840"/>
      <c r="D246" s="841"/>
      <c r="E246" s="839"/>
      <c r="F246" s="821" t="s">
        <v>23</v>
      </c>
      <c r="G246" s="314">
        <v>2</v>
      </c>
      <c r="H246" s="739" t="s">
        <v>71</v>
      </c>
      <c r="I246" s="739">
        <v>244</v>
      </c>
      <c r="J246" s="740">
        <v>310</v>
      </c>
      <c r="K246" s="533" t="s">
        <v>633</v>
      </c>
      <c r="L246" s="1025">
        <v>0</v>
      </c>
      <c r="M246" s="318"/>
      <c r="N246" s="318">
        <v>36010</v>
      </c>
      <c r="O246" s="1052">
        <f t="shared" ref="O246" si="596">L246+N246</f>
        <v>36010</v>
      </c>
      <c r="P246" s="570"/>
      <c r="Q246" s="336">
        <v>0</v>
      </c>
      <c r="R246" s="559"/>
      <c r="S246" s="541">
        <v>0</v>
      </c>
      <c r="T246" s="559"/>
      <c r="U246" s="335"/>
      <c r="V246" s="596" t="s">
        <v>637</v>
      </c>
      <c r="W246" s="320" t="s">
        <v>481</v>
      </c>
      <c r="X246" s="320"/>
      <c r="Z246" s="336">
        <f t="shared" ref="Z246" si="597">AW246+AY246+BA246</f>
        <v>36010</v>
      </c>
      <c r="AA246" s="337">
        <f t="shared" ref="AA246" si="598">AX246+AZ246+BB246</f>
        <v>0</v>
      </c>
      <c r="AB246" s="338">
        <f t="shared" ref="AB246" si="599">Z246-AA246</f>
        <v>36010</v>
      </c>
      <c r="AC246" s="336">
        <f t="shared" ref="AC246" si="600">BC246+BE246+BG246</f>
        <v>0</v>
      </c>
      <c r="AD246" s="337">
        <f t="shared" ref="AD246" si="601">BD246+BF246+BH246</f>
        <v>0</v>
      </c>
      <c r="AE246" s="338">
        <f t="shared" ref="AE246" si="602">AC246-AD246</f>
        <v>0</v>
      </c>
      <c r="AF246" s="336">
        <f t="shared" ref="AF246" si="603">BI246+BK246+BM246</f>
        <v>0</v>
      </c>
      <c r="AG246" s="337">
        <f t="shared" ref="AG246" si="604">BJ246+BL246+BN246</f>
        <v>0</v>
      </c>
      <c r="AH246" s="338">
        <f t="shared" ref="AH246" si="605">AF246-AG246</f>
        <v>0</v>
      </c>
      <c r="AI246" s="336">
        <f t="shared" ref="AI246" si="606">BO246+BQ246+BS246</f>
        <v>0</v>
      </c>
      <c r="AJ246" s="337">
        <f t="shared" ref="AJ246" si="607">BP246+BR246+BT246</f>
        <v>0</v>
      </c>
      <c r="AK246" s="338">
        <f t="shared" ref="AK246" si="608">AI246-AJ246</f>
        <v>0</v>
      </c>
      <c r="AL246" s="342"/>
      <c r="AM246" s="336">
        <f t="shared" ref="AM246" si="609">Z246+AC246</f>
        <v>36010</v>
      </c>
      <c r="AN246" s="339">
        <f t="shared" ref="AN246" si="610">AA246+AD246</f>
        <v>0</v>
      </c>
      <c r="AO246" s="340">
        <f t="shared" ref="AO246" si="611">AM246-AN246</f>
        <v>36010</v>
      </c>
      <c r="AP246" s="336">
        <f t="shared" ref="AP246" si="612">Z246+AC246+AF246</f>
        <v>36010</v>
      </c>
      <c r="AQ246" s="339">
        <f t="shared" ref="AQ246" si="613">AA246+AD246+AG246</f>
        <v>0</v>
      </c>
      <c r="AR246" s="340">
        <f t="shared" ref="AR246" si="614">AP246-AQ246</f>
        <v>36010</v>
      </c>
      <c r="AS246" s="341">
        <f t="shared" ref="AS246" si="615">Z246+AC246+AF246+AI246</f>
        <v>36010</v>
      </c>
      <c r="AT246" s="339">
        <f t="shared" ref="AT246" si="616">AA246+AD246+AG246+AJ246</f>
        <v>0</v>
      </c>
      <c r="AU246" s="340">
        <f t="shared" ref="AU246" si="617">AS246-AT246</f>
        <v>36010</v>
      </c>
      <c r="AV246" s="589">
        <f t="shared" ref="AV246" si="618">L246-AS246</f>
        <v>-36010</v>
      </c>
      <c r="AW246" s="343"/>
      <c r="AX246" s="344"/>
      <c r="AY246" s="345"/>
      <c r="AZ246" s="344"/>
      <c r="BA246" s="345">
        <v>36010</v>
      </c>
      <c r="BB246" s="346"/>
      <c r="BC246" s="347"/>
      <c r="BD246" s="348"/>
      <c r="BE246" s="349"/>
      <c r="BF246" s="348"/>
      <c r="BG246" s="349"/>
      <c r="BH246" s="350"/>
      <c r="BI246" s="351"/>
      <c r="BJ246" s="352"/>
      <c r="BK246" s="337"/>
      <c r="BL246" s="352"/>
      <c r="BM246" s="337"/>
      <c r="BN246" s="353"/>
      <c r="BO246" s="354"/>
      <c r="BP246" s="355"/>
      <c r="BQ246" s="356"/>
      <c r="BR246" s="355"/>
      <c r="BS246" s="356"/>
      <c r="BT246" s="357"/>
    </row>
    <row r="247" spans="1:72" s="313" customFormat="1" ht="25.5" outlineLevel="2">
      <c r="A247" s="287">
        <v>217</v>
      </c>
      <c r="B247" s="1144" t="s">
        <v>678</v>
      </c>
      <c r="C247" s="840"/>
      <c r="D247" s="841"/>
      <c r="E247" s="839"/>
      <c r="F247" s="821" t="s">
        <v>23</v>
      </c>
      <c r="G247" s="314">
        <v>2</v>
      </c>
      <c r="H247" s="739" t="s">
        <v>71</v>
      </c>
      <c r="I247" s="739">
        <v>244</v>
      </c>
      <c r="J247" s="740">
        <v>310</v>
      </c>
      <c r="K247" s="533" t="s">
        <v>677</v>
      </c>
      <c r="L247" s="1025">
        <v>0</v>
      </c>
      <c r="M247" s="318"/>
      <c r="N247" s="318">
        <v>5499</v>
      </c>
      <c r="O247" s="1052">
        <f t="shared" ref="O247" si="619">L247+N247</f>
        <v>5499</v>
      </c>
      <c r="P247" s="570"/>
      <c r="Q247" s="336">
        <v>0</v>
      </c>
      <c r="R247" s="559"/>
      <c r="S247" s="541">
        <v>0</v>
      </c>
      <c r="T247" s="559"/>
      <c r="U247" s="335"/>
      <c r="V247" s="596" t="s">
        <v>679</v>
      </c>
      <c r="W247" s="320" t="s">
        <v>481</v>
      </c>
      <c r="X247" s="320"/>
      <c r="Z247" s="336">
        <f t="shared" ref="Z247" si="620">AW247+AY247+BA247</f>
        <v>5499</v>
      </c>
      <c r="AA247" s="337">
        <f t="shared" ref="AA247" si="621">AX247+AZ247+BB247</f>
        <v>0</v>
      </c>
      <c r="AB247" s="338">
        <f t="shared" ref="AB247" si="622">Z247-AA247</f>
        <v>5499</v>
      </c>
      <c r="AC247" s="336">
        <f t="shared" ref="AC247" si="623">BC247+BE247+BG247</f>
        <v>0</v>
      </c>
      <c r="AD247" s="337">
        <f t="shared" ref="AD247" si="624">BD247+BF247+BH247</f>
        <v>0</v>
      </c>
      <c r="AE247" s="338">
        <f t="shared" ref="AE247" si="625">AC247-AD247</f>
        <v>0</v>
      </c>
      <c r="AF247" s="336">
        <f t="shared" ref="AF247" si="626">BI247+BK247+BM247</f>
        <v>0</v>
      </c>
      <c r="AG247" s="337">
        <f t="shared" ref="AG247" si="627">BJ247+BL247+BN247</f>
        <v>0</v>
      </c>
      <c r="AH247" s="338">
        <f t="shared" ref="AH247" si="628">AF247-AG247</f>
        <v>0</v>
      </c>
      <c r="AI247" s="336">
        <f t="shared" ref="AI247" si="629">BO247+BQ247+BS247</f>
        <v>0</v>
      </c>
      <c r="AJ247" s="337">
        <f t="shared" ref="AJ247" si="630">BP247+BR247+BT247</f>
        <v>0</v>
      </c>
      <c r="AK247" s="338">
        <f t="shared" ref="AK247" si="631">AI247-AJ247</f>
        <v>0</v>
      </c>
      <c r="AL247" s="342"/>
      <c r="AM247" s="336">
        <f t="shared" ref="AM247" si="632">Z247+AC247</f>
        <v>5499</v>
      </c>
      <c r="AN247" s="339">
        <f t="shared" ref="AN247" si="633">AA247+AD247</f>
        <v>0</v>
      </c>
      <c r="AO247" s="340">
        <f t="shared" ref="AO247" si="634">AM247-AN247</f>
        <v>5499</v>
      </c>
      <c r="AP247" s="336">
        <f t="shared" ref="AP247" si="635">Z247+AC247+AF247</f>
        <v>5499</v>
      </c>
      <c r="AQ247" s="339">
        <f t="shared" ref="AQ247" si="636">AA247+AD247+AG247</f>
        <v>0</v>
      </c>
      <c r="AR247" s="340">
        <f t="shared" ref="AR247" si="637">AP247-AQ247</f>
        <v>5499</v>
      </c>
      <c r="AS247" s="341">
        <f t="shared" ref="AS247" si="638">Z247+AC247+AF247+AI247</f>
        <v>5499</v>
      </c>
      <c r="AT247" s="339">
        <f t="shared" ref="AT247" si="639">AA247+AD247+AG247+AJ247</f>
        <v>0</v>
      </c>
      <c r="AU247" s="340">
        <f t="shared" ref="AU247" si="640">AS247-AT247</f>
        <v>5499</v>
      </c>
      <c r="AV247" s="589">
        <f t="shared" ref="AV247" si="641">L247-AS247</f>
        <v>-5499</v>
      </c>
      <c r="AW247" s="343"/>
      <c r="AX247" s="344"/>
      <c r="AY247" s="345"/>
      <c r="AZ247" s="344"/>
      <c r="BA247" s="345">
        <v>5499</v>
      </c>
      <c r="BB247" s="346"/>
      <c r="BC247" s="347"/>
      <c r="BD247" s="348"/>
      <c r="BE247" s="349"/>
      <c r="BF247" s="348"/>
      <c r="BG247" s="349"/>
      <c r="BH247" s="350"/>
      <c r="BI247" s="351"/>
      <c r="BJ247" s="352"/>
      <c r="BK247" s="337"/>
      <c r="BL247" s="352"/>
      <c r="BM247" s="337"/>
      <c r="BN247" s="353"/>
      <c r="BO247" s="354"/>
      <c r="BP247" s="355"/>
      <c r="BQ247" s="356"/>
      <c r="BR247" s="355"/>
      <c r="BS247" s="356"/>
      <c r="BT247" s="357"/>
    </row>
    <row r="248" spans="1:72" s="313" customFormat="1" ht="25.5" outlineLevel="2">
      <c r="A248" s="287">
        <v>217</v>
      </c>
      <c r="B248" s="1144" t="s">
        <v>751</v>
      </c>
      <c r="C248" s="840"/>
      <c r="D248" s="841"/>
      <c r="E248" s="839"/>
      <c r="F248" s="821" t="s">
        <v>23</v>
      </c>
      <c r="G248" s="314">
        <v>2</v>
      </c>
      <c r="H248" s="739" t="s">
        <v>71</v>
      </c>
      <c r="I248" s="739">
        <v>244</v>
      </c>
      <c r="J248" s="740">
        <v>310</v>
      </c>
      <c r="K248" s="533" t="s">
        <v>748</v>
      </c>
      <c r="L248" s="1025">
        <v>0</v>
      </c>
      <c r="M248" s="318"/>
      <c r="N248" s="318">
        <v>1679</v>
      </c>
      <c r="O248" s="1052">
        <f t="shared" ref="O248" si="642">L248+N248</f>
        <v>1679</v>
      </c>
      <c r="P248" s="570"/>
      <c r="Q248" s="336">
        <v>0</v>
      </c>
      <c r="R248" s="559"/>
      <c r="S248" s="541">
        <v>0</v>
      </c>
      <c r="T248" s="559"/>
      <c r="U248" s="335"/>
      <c r="V248" s="596" t="s">
        <v>679</v>
      </c>
      <c r="W248" s="320" t="s">
        <v>481</v>
      </c>
      <c r="X248" s="320"/>
      <c r="Z248" s="336">
        <f t="shared" ref="Z248" si="643">AW248+AY248+BA248</f>
        <v>0</v>
      </c>
      <c r="AA248" s="337">
        <f t="shared" ref="AA248" si="644">AX248+AZ248+BB248</f>
        <v>0</v>
      </c>
      <c r="AB248" s="338">
        <f t="shared" ref="AB248" si="645">Z248-AA248</f>
        <v>0</v>
      </c>
      <c r="AC248" s="336">
        <f t="shared" ref="AC248" si="646">BC248+BE248+BG248</f>
        <v>1679</v>
      </c>
      <c r="AD248" s="337">
        <f t="shared" ref="AD248" si="647">BD248+BF248+BH248</f>
        <v>0</v>
      </c>
      <c r="AE248" s="338">
        <f t="shared" ref="AE248" si="648">AC248-AD248</f>
        <v>1679</v>
      </c>
      <c r="AF248" s="336">
        <f t="shared" ref="AF248" si="649">BI248+BK248+BM248</f>
        <v>0</v>
      </c>
      <c r="AG248" s="337">
        <f t="shared" ref="AG248" si="650">BJ248+BL248+BN248</f>
        <v>0</v>
      </c>
      <c r="AH248" s="338">
        <f t="shared" ref="AH248" si="651">AF248-AG248</f>
        <v>0</v>
      </c>
      <c r="AI248" s="336">
        <f t="shared" ref="AI248" si="652">BO248+BQ248+BS248</f>
        <v>0</v>
      </c>
      <c r="AJ248" s="337">
        <f t="shared" ref="AJ248" si="653">BP248+BR248+BT248</f>
        <v>0</v>
      </c>
      <c r="AK248" s="338">
        <f t="shared" ref="AK248" si="654">AI248-AJ248</f>
        <v>0</v>
      </c>
      <c r="AL248" s="342"/>
      <c r="AM248" s="336">
        <f t="shared" ref="AM248" si="655">Z248+AC248</f>
        <v>1679</v>
      </c>
      <c r="AN248" s="339">
        <f t="shared" ref="AN248" si="656">AA248+AD248</f>
        <v>0</v>
      </c>
      <c r="AO248" s="340">
        <f t="shared" ref="AO248" si="657">AM248-AN248</f>
        <v>1679</v>
      </c>
      <c r="AP248" s="336">
        <f t="shared" ref="AP248" si="658">Z248+AC248+AF248</f>
        <v>1679</v>
      </c>
      <c r="AQ248" s="339">
        <f t="shared" ref="AQ248" si="659">AA248+AD248+AG248</f>
        <v>0</v>
      </c>
      <c r="AR248" s="340">
        <f t="shared" ref="AR248" si="660">AP248-AQ248</f>
        <v>1679</v>
      </c>
      <c r="AS248" s="341">
        <f t="shared" ref="AS248" si="661">Z248+AC248+AF248+AI248</f>
        <v>1679</v>
      </c>
      <c r="AT248" s="339">
        <f t="shared" ref="AT248" si="662">AA248+AD248+AG248+AJ248</f>
        <v>0</v>
      </c>
      <c r="AU248" s="340">
        <f t="shared" ref="AU248" si="663">AS248-AT248</f>
        <v>1679</v>
      </c>
      <c r="AV248" s="589">
        <f t="shared" ref="AV248" si="664">L248-AS248</f>
        <v>-1679</v>
      </c>
      <c r="AW248" s="343"/>
      <c r="AX248" s="344"/>
      <c r="AY248" s="345"/>
      <c r="AZ248" s="344"/>
      <c r="BA248" s="345"/>
      <c r="BB248" s="346"/>
      <c r="BC248" s="1134">
        <v>1679</v>
      </c>
      <c r="BD248" s="348"/>
      <c r="BE248" s="349"/>
      <c r="BF248" s="348"/>
      <c r="BG248" s="349"/>
      <c r="BH248" s="350"/>
      <c r="BI248" s="351"/>
      <c r="BJ248" s="352"/>
      <c r="BK248" s="337"/>
      <c r="BL248" s="352"/>
      <c r="BM248" s="337"/>
      <c r="BN248" s="353"/>
      <c r="BO248" s="354"/>
      <c r="BP248" s="355"/>
      <c r="BQ248" s="356"/>
      <c r="BR248" s="355"/>
      <c r="BS248" s="356"/>
      <c r="BT248" s="357"/>
    </row>
    <row r="249" spans="1:72" s="615" customFormat="1" ht="25.5" outlineLevel="1">
      <c r="A249" s="287">
        <v>218</v>
      </c>
      <c r="B249" s="1144"/>
      <c r="C249" s="866"/>
      <c r="D249" s="867"/>
      <c r="E249" s="867"/>
      <c r="F249" s="832" t="s">
        <v>23</v>
      </c>
      <c r="G249" s="616">
        <v>2</v>
      </c>
      <c r="H249" s="749" t="s">
        <v>71</v>
      </c>
      <c r="I249" s="749">
        <v>244</v>
      </c>
      <c r="J249" s="750">
        <v>310</v>
      </c>
      <c r="K249" s="932" t="s">
        <v>214</v>
      </c>
      <c r="L249" s="1043">
        <v>0</v>
      </c>
      <c r="M249" s="619"/>
      <c r="N249" s="619"/>
      <c r="O249" s="1054">
        <f t="shared" si="424"/>
        <v>0</v>
      </c>
      <c r="P249" s="620"/>
      <c r="Q249" s="509">
        <v>0</v>
      </c>
      <c r="R249" s="560"/>
      <c r="S249" s="542">
        <v>0</v>
      </c>
      <c r="T249" s="560"/>
      <c r="U249" s="621"/>
      <c r="V249" s="320"/>
      <c r="W249" s="320"/>
      <c r="X249" s="320"/>
      <c r="Z249" s="509">
        <f>AW249+AY249+BA249</f>
        <v>0</v>
      </c>
      <c r="AA249" s="622">
        <f>AX249+AZ249+BB249</f>
        <v>0</v>
      </c>
      <c r="AB249" s="623">
        <f>Z249-AA249</f>
        <v>0</v>
      </c>
      <c r="AC249" s="509">
        <f>BC249+BE249+BG249</f>
        <v>0</v>
      </c>
      <c r="AD249" s="622">
        <f>BD249+BF249+BH249</f>
        <v>0</v>
      </c>
      <c r="AE249" s="623">
        <f>AC249-AD249</f>
        <v>0</v>
      </c>
      <c r="AF249" s="509">
        <f>BI249+BK249+BM249</f>
        <v>0</v>
      </c>
      <c r="AG249" s="622">
        <f>BJ249+BL249+BN249</f>
        <v>0</v>
      </c>
      <c r="AH249" s="623">
        <f>AF249-AG249</f>
        <v>0</v>
      </c>
      <c r="AI249" s="509">
        <f>BO249+BQ249+BS249</f>
        <v>0</v>
      </c>
      <c r="AJ249" s="622">
        <f>BP249+BR249+BT249</f>
        <v>0</v>
      </c>
      <c r="AK249" s="623">
        <f>AI249-AJ249</f>
        <v>0</v>
      </c>
      <c r="AL249" s="624"/>
      <c r="AM249" s="509">
        <f>Z249+AC249</f>
        <v>0</v>
      </c>
      <c r="AN249" s="625">
        <f>AA249+AD249</f>
        <v>0</v>
      </c>
      <c r="AO249" s="626">
        <f>AM249-AN249</f>
        <v>0</v>
      </c>
      <c r="AP249" s="509">
        <f>Z249+AC249+AF249</f>
        <v>0</v>
      </c>
      <c r="AQ249" s="625">
        <f>AA249+AD249+AG249</f>
        <v>0</v>
      </c>
      <c r="AR249" s="626">
        <f>AP249-AQ249</f>
        <v>0</v>
      </c>
      <c r="AS249" s="510">
        <f>Z249+AC249+AF249+AI249</f>
        <v>0</v>
      </c>
      <c r="AT249" s="625">
        <f>AA249+AD249+AG249+AJ249</f>
        <v>0</v>
      </c>
      <c r="AU249" s="626">
        <f>AS249-AT249</f>
        <v>0</v>
      </c>
      <c r="AV249" s="627">
        <f t="shared" si="502"/>
        <v>0</v>
      </c>
      <c r="AW249" s="628"/>
      <c r="AX249" s="629"/>
      <c r="AY249" s="630"/>
      <c r="AZ249" s="629"/>
      <c r="BA249" s="630"/>
      <c r="BB249" s="631"/>
      <c r="BC249" s="632"/>
      <c r="BD249" s="633"/>
      <c r="BE249" s="634"/>
      <c r="BF249" s="633"/>
      <c r="BG249" s="634"/>
      <c r="BH249" s="635"/>
      <c r="BI249" s="636"/>
      <c r="BJ249" s="637"/>
      <c r="BK249" s="622"/>
      <c r="BL249" s="637"/>
      <c r="BM249" s="622"/>
      <c r="BN249" s="638"/>
      <c r="BO249" s="639"/>
      <c r="BP249" s="640"/>
      <c r="BQ249" s="641"/>
      <c r="BR249" s="640"/>
      <c r="BS249" s="641"/>
      <c r="BT249" s="642"/>
    </row>
    <row r="250" spans="1:72" s="358" customFormat="1" ht="63">
      <c r="A250" s="287">
        <v>219</v>
      </c>
      <c r="B250" s="1150" t="s">
        <v>760</v>
      </c>
      <c r="C250" s="850" t="s">
        <v>377</v>
      </c>
      <c r="D250" s="838"/>
      <c r="E250" s="836" t="s">
        <v>201</v>
      </c>
      <c r="F250" s="820" t="s">
        <v>23</v>
      </c>
      <c r="G250" s="360">
        <v>2</v>
      </c>
      <c r="H250" s="360" t="s">
        <v>71</v>
      </c>
      <c r="I250" s="360">
        <v>244</v>
      </c>
      <c r="J250" s="361">
        <v>341</v>
      </c>
      <c r="K250" s="532" t="s">
        <v>801</v>
      </c>
      <c r="L250" s="1023">
        <f>SUM(L251:L252)</f>
        <v>0</v>
      </c>
      <c r="M250" s="363"/>
      <c r="N250" s="363">
        <f>SUM(N251:N252)</f>
        <v>1159</v>
      </c>
      <c r="O250" s="1051">
        <f t="shared" ref="O250:O251" si="665">L250+N250</f>
        <v>1159</v>
      </c>
      <c r="P250" s="571"/>
      <c r="Q250" s="367">
        <f>SUM(Q251:Q252)</f>
        <v>0</v>
      </c>
      <c r="R250" s="557"/>
      <c r="S250" s="367">
        <f>SUM(S251:S252)</f>
        <v>0</v>
      </c>
      <c r="T250" s="557"/>
      <c r="U250" s="365"/>
      <c r="V250" s="366"/>
      <c r="W250" s="366"/>
      <c r="X250" s="366"/>
      <c r="Z250" s="367">
        <f t="shared" ref="Z250:Z251" si="666">AW250+AY250+BA250</f>
        <v>0</v>
      </c>
      <c r="AA250" s="363">
        <f t="shared" ref="AA250:AA251" si="667">AX250+AZ250+BB250</f>
        <v>0</v>
      </c>
      <c r="AB250" s="280">
        <f t="shared" ref="AB250:AB251" si="668">Z250-AA250</f>
        <v>0</v>
      </c>
      <c r="AC250" s="367">
        <f t="shared" ref="AC250:AC251" si="669">BC250+BE250+BG250</f>
        <v>1159</v>
      </c>
      <c r="AD250" s="363">
        <f t="shared" ref="AD250:AD251" si="670">BD250+BF250+BH250</f>
        <v>0</v>
      </c>
      <c r="AE250" s="280">
        <f t="shared" ref="AE250:AE251" si="671">AC250-AD250</f>
        <v>1159</v>
      </c>
      <c r="AF250" s="367">
        <f t="shared" ref="AF250:AF251" si="672">BI250+BK250+BM250</f>
        <v>0</v>
      </c>
      <c r="AG250" s="363">
        <f t="shared" ref="AG250:AG251" si="673">BJ250+BL250+BN250</f>
        <v>0</v>
      </c>
      <c r="AH250" s="280">
        <f t="shared" ref="AH250:AH251" si="674">AF250-AG250</f>
        <v>0</v>
      </c>
      <c r="AI250" s="367">
        <f t="shared" ref="AI250:AI251" si="675">BO250+BQ250+BS250</f>
        <v>0</v>
      </c>
      <c r="AJ250" s="363">
        <f t="shared" ref="AJ250:AJ251" si="676">BP250+BR250+BT250</f>
        <v>0</v>
      </c>
      <c r="AK250" s="280">
        <f t="shared" ref="AK250:AK251" si="677">AI250-AJ250</f>
        <v>0</v>
      </c>
      <c r="AL250" s="368"/>
      <c r="AM250" s="367">
        <f t="shared" ref="AM250:AM251" si="678">Z250+AC250</f>
        <v>1159</v>
      </c>
      <c r="AN250" s="363">
        <f t="shared" ref="AN250:AN251" si="679">AA250+AD250</f>
        <v>0</v>
      </c>
      <c r="AO250" s="280">
        <f t="shared" ref="AO250:AO251" si="680">AM250-AN250</f>
        <v>1159</v>
      </c>
      <c r="AP250" s="367">
        <f t="shared" ref="AP250:AP251" si="681">Z250+AC250+AF250</f>
        <v>1159</v>
      </c>
      <c r="AQ250" s="363">
        <f t="shared" ref="AQ250:AQ251" si="682">AA250+AD250+AG250</f>
        <v>0</v>
      </c>
      <c r="AR250" s="280">
        <f t="shared" ref="AR250:AR251" si="683">AP250-AQ250</f>
        <v>1159</v>
      </c>
      <c r="AS250" s="367">
        <f t="shared" ref="AS250:AS251" si="684">Z250+AC250+AF250+AI250</f>
        <v>1159</v>
      </c>
      <c r="AT250" s="363">
        <f t="shared" ref="AT250:AT251" si="685">AA250+AD250+AG250+AJ250</f>
        <v>0</v>
      </c>
      <c r="AU250" s="280">
        <f t="shared" ref="AU250:AU251" si="686">AS250-AT250</f>
        <v>1159</v>
      </c>
      <c r="AV250" s="588">
        <f t="shared" ref="AV250:AV252" si="687">L250-AS250</f>
        <v>-1159</v>
      </c>
      <c r="AW250" s="367">
        <f t="shared" ref="AW250:BT250" si="688">SUM(AW251:AW252)</f>
        <v>0</v>
      </c>
      <c r="AX250" s="363">
        <f t="shared" si="688"/>
        <v>0</v>
      </c>
      <c r="AY250" s="363">
        <f t="shared" si="688"/>
        <v>0</v>
      </c>
      <c r="AZ250" s="363">
        <f t="shared" si="688"/>
        <v>0</v>
      </c>
      <c r="BA250" s="363">
        <f t="shared" si="688"/>
        <v>0</v>
      </c>
      <c r="BB250" s="369">
        <f t="shared" si="688"/>
        <v>0</v>
      </c>
      <c r="BC250" s="367">
        <f t="shared" si="688"/>
        <v>1159</v>
      </c>
      <c r="BD250" s="363">
        <f t="shared" si="688"/>
        <v>0</v>
      </c>
      <c r="BE250" s="363">
        <f t="shared" si="688"/>
        <v>0</v>
      </c>
      <c r="BF250" s="363">
        <f t="shared" si="688"/>
        <v>0</v>
      </c>
      <c r="BG250" s="363">
        <f t="shared" si="688"/>
        <v>0</v>
      </c>
      <c r="BH250" s="369">
        <f t="shared" si="688"/>
        <v>0</v>
      </c>
      <c r="BI250" s="367">
        <f t="shared" si="688"/>
        <v>0</v>
      </c>
      <c r="BJ250" s="363">
        <f t="shared" si="688"/>
        <v>0</v>
      </c>
      <c r="BK250" s="363">
        <f t="shared" si="688"/>
        <v>0</v>
      </c>
      <c r="BL250" s="363">
        <f t="shared" si="688"/>
        <v>0</v>
      </c>
      <c r="BM250" s="363">
        <f t="shared" si="688"/>
        <v>0</v>
      </c>
      <c r="BN250" s="369">
        <f t="shared" si="688"/>
        <v>0</v>
      </c>
      <c r="BO250" s="367">
        <f t="shared" si="688"/>
        <v>0</v>
      </c>
      <c r="BP250" s="363">
        <f t="shared" si="688"/>
        <v>0</v>
      </c>
      <c r="BQ250" s="363">
        <f t="shared" si="688"/>
        <v>0</v>
      </c>
      <c r="BR250" s="363">
        <f t="shared" si="688"/>
        <v>0</v>
      </c>
      <c r="BS250" s="363">
        <f t="shared" si="688"/>
        <v>0</v>
      </c>
      <c r="BT250" s="280">
        <f t="shared" si="688"/>
        <v>0</v>
      </c>
    </row>
    <row r="251" spans="1:72" s="313" customFormat="1" ht="38.25" outlineLevel="2">
      <c r="A251" s="287">
        <v>220</v>
      </c>
      <c r="B251" s="941"/>
      <c r="C251" s="840"/>
      <c r="D251" s="841"/>
      <c r="E251" s="839"/>
      <c r="F251" s="821" t="s">
        <v>23</v>
      </c>
      <c r="G251" s="314">
        <v>2</v>
      </c>
      <c r="H251" s="739" t="s">
        <v>71</v>
      </c>
      <c r="I251" s="739">
        <v>244</v>
      </c>
      <c r="J251" s="740">
        <v>341</v>
      </c>
      <c r="K251" s="533" t="s">
        <v>541</v>
      </c>
      <c r="L251" s="1013">
        <v>0</v>
      </c>
      <c r="M251" s="318"/>
      <c r="N251" s="318">
        <v>1159</v>
      </c>
      <c r="O251" s="1052">
        <f t="shared" si="665"/>
        <v>1159</v>
      </c>
      <c r="P251" s="570"/>
      <c r="Q251" s="336">
        <v>0</v>
      </c>
      <c r="R251" s="559"/>
      <c r="S251" s="541">
        <v>0</v>
      </c>
      <c r="T251" s="559"/>
      <c r="U251" s="335"/>
      <c r="V251" s="596" t="s">
        <v>640</v>
      </c>
      <c r="W251" s="596" t="s">
        <v>642</v>
      </c>
      <c r="X251" s="320"/>
      <c r="Z251" s="336">
        <f t="shared" si="666"/>
        <v>0</v>
      </c>
      <c r="AA251" s="337">
        <f t="shared" si="667"/>
        <v>0</v>
      </c>
      <c r="AB251" s="338">
        <f t="shared" si="668"/>
        <v>0</v>
      </c>
      <c r="AC251" s="336">
        <f t="shared" si="669"/>
        <v>1159</v>
      </c>
      <c r="AD251" s="337">
        <f t="shared" si="670"/>
        <v>0</v>
      </c>
      <c r="AE251" s="338">
        <f t="shared" si="671"/>
        <v>1159</v>
      </c>
      <c r="AF251" s="336">
        <f t="shared" si="672"/>
        <v>0</v>
      </c>
      <c r="AG251" s="337">
        <f t="shared" si="673"/>
        <v>0</v>
      </c>
      <c r="AH251" s="338">
        <f t="shared" si="674"/>
        <v>0</v>
      </c>
      <c r="AI251" s="336">
        <f t="shared" si="675"/>
        <v>0</v>
      </c>
      <c r="AJ251" s="337">
        <f t="shared" si="676"/>
        <v>0</v>
      </c>
      <c r="AK251" s="338">
        <f t="shared" si="677"/>
        <v>0</v>
      </c>
      <c r="AL251" s="342"/>
      <c r="AM251" s="336">
        <f t="shared" si="678"/>
        <v>1159</v>
      </c>
      <c r="AN251" s="339">
        <f t="shared" si="679"/>
        <v>0</v>
      </c>
      <c r="AO251" s="340">
        <f t="shared" si="680"/>
        <v>1159</v>
      </c>
      <c r="AP251" s="336">
        <f t="shared" si="681"/>
        <v>1159</v>
      </c>
      <c r="AQ251" s="339">
        <f t="shared" si="682"/>
        <v>0</v>
      </c>
      <c r="AR251" s="340">
        <f t="shared" si="683"/>
        <v>1159</v>
      </c>
      <c r="AS251" s="341">
        <f t="shared" si="684"/>
        <v>1159</v>
      </c>
      <c r="AT251" s="339">
        <f t="shared" si="685"/>
        <v>0</v>
      </c>
      <c r="AU251" s="340">
        <f t="shared" si="686"/>
        <v>1159</v>
      </c>
      <c r="AV251" s="589">
        <f t="shared" si="687"/>
        <v>-1159</v>
      </c>
      <c r="AW251" s="343"/>
      <c r="AX251" s="344"/>
      <c r="AY251" s="345"/>
      <c r="AZ251" s="344"/>
      <c r="BA251" s="345"/>
      <c r="BB251" s="346"/>
      <c r="BC251" s="1134">
        <v>1159</v>
      </c>
      <c r="BD251" s="348"/>
      <c r="BE251" s="349"/>
      <c r="BF251" s="348"/>
      <c r="BG251" s="349"/>
      <c r="BH251" s="350"/>
      <c r="BI251" s="351"/>
      <c r="BJ251" s="352"/>
      <c r="BK251" s="337"/>
      <c r="BL251" s="352"/>
      <c r="BM251" s="337"/>
      <c r="BN251" s="353"/>
      <c r="BO251" s="354"/>
      <c r="BP251" s="355"/>
      <c r="BQ251" s="356"/>
      <c r="BR251" s="355"/>
      <c r="BS251" s="356"/>
      <c r="BT251" s="357"/>
    </row>
    <row r="252" spans="1:72" s="615" customFormat="1" ht="25.5" outlineLevel="1">
      <c r="A252" s="287">
        <v>222</v>
      </c>
      <c r="B252" s="941"/>
      <c r="C252" s="866"/>
      <c r="D252" s="867"/>
      <c r="E252" s="867"/>
      <c r="F252" s="832" t="s">
        <v>23</v>
      </c>
      <c r="G252" s="616">
        <v>2</v>
      </c>
      <c r="H252" s="749" t="s">
        <v>71</v>
      </c>
      <c r="I252" s="749">
        <v>244</v>
      </c>
      <c r="J252" s="750">
        <v>341</v>
      </c>
      <c r="K252" s="932" t="s">
        <v>214</v>
      </c>
      <c r="L252" s="1043">
        <v>0</v>
      </c>
      <c r="M252" s="619"/>
      <c r="N252" s="619"/>
      <c r="O252" s="1054">
        <f t="shared" ref="O252" si="689">L252+N252</f>
        <v>0</v>
      </c>
      <c r="P252" s="620"/>
      <c r="Q252" s="509">
        <v>0</v>
      </c>
      <c r="R252" s="560"/>
      <c r="S252" s="542">
        <v>0</v>
      </c>
      <c r="T252" s="560"/>
      <c r="U252" s="621"/>
      <c r="V252" s="320"/>
      <c r="W252" s="320"/>
      <c r="X252" s="320"/>
      <c r="Z252" s="509">
        <f>AW252+AY252+BA252</f>
        <v>0</v>
      </c>
      <c r="AA252" s="622">
        <f>AX252+AZ252+BB252</f>
        <v>0</v>
      </c>
      <c r="AB252" s="623">
        <f>Z252-AA252</f>
        <v>0</v>
      </c>
      <c r="AC252" s="509">
        <f>BC252+BE252+BG252</f>
        <v>0</v>
      </c>
      <c r="AD252" s="622">
        <f>BD252+BF252+BH252</f>
        <v>0</v>
      </c>
      <c r="AE252" s="623">
        <f>AC252-AD252</f>
        <v>0</v>
      </c>
      <c r="AF252" s="509">
        <f>BI252+BK252+BM252</f>
        <v>0</v>
      </c>
      <c r="AG252" s="622">
        <f>BJ252+BL252+BN252</f>
        <v>0</v>
      </c>
      <c r="AH252" s="623">
        <f>AF252-AG252</f>
        <v>0</v>
      </c>
      <c r="AI252" s="509">
        <f>BO252+BQ252+BS252</f>
        <v>0</v>
      </c>
      <c r="AJ252" s="622">
        <f>BP252+BR252+BT252</f>
        <v>0</v>
      </c>
      <c r="AK252" s="623">
        <f>AI252-AJ252</f>
        <v>0</v>
      </c>
      <c r="AL252" s="624"/>
      <c r="AM252" s="509">
        <f>Z252+AC252</f>
        <v>0</v>
      </c>
      <c r="AN252" s="625">
        <f>AA252+AD252</f>
        <v>0</v>
      </c>
      <c r="AO252" s="626">
        <f>AM252-AN252</f>
        <v>0</v>
      </c>
      <c r="AP252" s="509">
        <f>Z252+AC252+AF252</f>
        <v>0</v>
      </c>
      <c r="AQ252" s="625">
        <f>AA252+AD252+AG252</f>
        <v>0</v>
      </c>
      <c r="AR252" s="626">
        <f>AP252-AQ252</f>
        <v>0</v>
      </c>
      <c r="AS252" s="510">
        <f>Z252+AC252+AF252+AI252</f>
        <v>0</v>
      </c>
      <c r="AT252" s="625">
        <f>AA252+AD252+AG252+AJ252</f>
        <v>0</v>
      </c>
      <c r="AU252" s="626">
        <f>AS252-AT252</f>
        <v>0</v>
      </c>
      <c r="AV252" s="627">
        <f t="shared" si="687"/>
        <v>0</v>
      </c>
      <c r="AW252" s="628"/>
      <c r="AX252" s="629"/>
      <c r="AY252" s="630"/>
      <c r="AZ252" s="629"/>
      <c r="BA252" s="630"/>
      <c r="BB252" s="631"/>
      <c r="BC252" s="632"/>
      <c r="BD252" s="633"/>
      <c r="BE252" s="634"/>
      <c r="BF252" s="633"/>
      <c r="BG252" s="634"/>
      <c r="BH252" s="635"/>
      <c r="BI252" s="636"/>
      <c r="BJ252" s="637"/>
      <c r="BK252" s="622"/>
      <c r="BL252" s="637"/>
      <c r="BM252" s="622"/>
      <c r="BN252" s="638"/>
      <c r="BO252" s="639"/>
      <c r="BP252" s="640"/>
      <c r="BQ252" s="641"/>
      <c r="BR252" s="640"/>
      <c r="BS252" s="641"/>
      <c r="BT252" s="642"/>
    </row>
    <row r="253" spans="1:72" s="358" customFormat="1" ht="31.5" customHeight="1">
      <c r="A253" s="287">
        <v>219</v>
      </c>
      <c r="B253" s="941"/>
      <c r="C253" s="850" t="s">
        <v>377</v>
      </c>
      <c r="D253" s="838"/>
      <c r="E253" s="836" t="s">
        <v>201</v>
      </c>
      <c r="F253" s="820" t="s">
        <v>23</v>
      </c>
      <c r="G253" s="360">
        <v>2</v>
      </c>
      <c r="H253" s="360" t="s">
        <v>71</v>
      </c>
      <c r="I253" s="360">
        <v>244</v>
      </c>
      <c r="J253" s="361">
        <v>342</v>
      </c>
      <c r="K253" s="532" t="s">
        <v>498</v>
      </c>
      <c r="L253" s="1023">
        <f>SUM(L254:L256)</f>
        <v>12350</v>
      </c>
      <c r="M253" s="363"/>
      <c r="N253" s="363">
        <f>SUM(N254:N256)</f>
        <v>0</v>
      </c>
      <c r="O253" s="1051">
        <f t="shared" si="424"/>
        <v>12350</v>
      </c>
      <c r="P253" s="571"/>
      <c r="Q253" s="367">
        <f>SUM(Q254:Q256)</f>
        <v>0</v>
      </c>
      <c r="R253" s="557"/>
      <c r="S253" s="367">
        <f>SUM(S254:S256)</f>
        <v>0</v>
      </c>
      <c r="T253" s="557"/>
      <c r="U253" s="365"/>
      <c r="V253" s="366"/>
      <c r="W253" s="366"/>
      <c r="X253" s="366"/>
      <c r="Z253" s="367">
        <f t="shared" ref="Z253:AA254" si="690">AW253+AY253+BA253</f>
        <v>1325</v>
      </c>
      <c r="AA253" s="363">
        <f t="shared" si="690"/>
        <v>1325</v>
      </c>
      <c r="AB253" s="280">
        <f t="shared" ref="AB253:AB254" si="691">Z253-AA253</f>
        <v>0</v>
      </c>
      <c r="AC253" s="367">
        <f t="shared" ref="AC253:AD254" si="692">BC253+BE253+BG253</f>
        <v>2400</v>
      </c>
      <c r="AD253" s="363">
        <f t="shared" si="692"/>
        <v>0</v>
      </c>
      <c r="AE253" s="280">
        <f t="shared" ref="AE253:AE254" si="693">AC253-AD253</f>
        <v>2400</v>
      </c>
      <c r="AF253" s="367">
        <f t="shared" ref="AF253:AG254" si="694">BI253+BK253+BM253</f>
        <v>4625</v>
      </c>
      <c r="AG253" s="363">
        <f t="shared" si="694"/>
        <v>0</v>
      </c>
      <c r="AH253" s="280">
        <f t="shared" ref="AH253:AH254" si="695">AF253-AG253</f>
        <v>4625</v>
      </c>
      <c r="AI253" s="367">
        <f t="shared" ref="AI253:AJ254" si="696">BO253+BQ253+BS253</f>
        <v>4000</v>
      </c>
      <c r="AJ253" s="363">
        <f t="shared" si="696"/>
        <v>0</v>
      </c>
      <c r="AK253" s="280">
        <f t="shared" ref="AK253:AK254" si="697">AI253-AJ253</f>
        <v>4000</v>
      </c>
      <c r="AL253" s="368"/>
      <c r="AM253" s="367">
        <f t="shared" ref="AM253:AN254" si="698">Z253+AC253</f>
        <v>3725</v>
      </c>
      <c r="AN253" s="363">
        <f t="shared" si="698"/>
        <v>1325</v>
      </c>
      <c r="AO253" s="280">
        <f t="shared" ref="AO253:AO254" si="699">AM253-AN253</f>
        <v>2400</v>
      </c>
      <c r="AP253" s="367">
        <f t="shared" ref="AP253:AQ254" si="700">Z253+AC253+AF253</f>
        <v>8350</v>
      </c>
      <c r="AQ253" s="363">
        <f t="shared" si="700"/>
        <v>1325</v>
      </c>
      <c r="AR253" s="280">
        <f t="shared" ref="AR253:AR254" si="701">AP253-AQ253</f>
        <v>7025</v>
      </c>
      <c r="AS253" s="367">
        <f t="shared" ref="AS253:AT254" si="702">Z253+AC253+AF253+AI253</f>
        <v>12350</v>
      </c>
      <c r="AT253" s="363">
        <f t="shared" si="702"/>
        <v>1325</v>
      </c>
      <c r="AU253" s="280">
        <f t="shared" ref="AU253:AU254" si="703">AS253-AT253</f>
        <v>11025</v>
      </c>
      <c r="AV253" s="588">
        <f t="shared" si="502"/>
        <v>0</v>
      </c>
      <c r="AW253" s="367">
        <f t="shared" ref="AW253:BT253" si="704">SUM(AW254:AW256)</f>
        <v>0</v>
      </c>
      <c r="AX253" s="363">
        <f t="shared" si="704"/>
        <v>0</v>
      </c>
      <c r="AY253" s="363">
        <f t="shared" si="704"/>
        <v>0</v>
      </c>
      <c r="AZ253" s="363">
        <f t="shared" si="704"/>
        <v>0</v>
      </c>
      <c r="BA253" s="363">
        <f t="shared" si="704"/>
        <v>1325</v>
      </c>
      <c r="BB253" s="369">
        <f t="shared" si="704"/>
        <v>1325</v>
      </c>
      <c r="BC253" s="367">
        <f t="shared" si="704"/>
        <v>1000</v>
      </c>
      <c r="BD253" s="363">
        <f t="shared" si="704"/>
        <v>0</v>
      </c>
      <c r="BE253" s="363">
        <f t="shared" si="704"/>
        <v>1400</v>
      </c>
      <c r="BF253" s="363">
        <f t="shared" si="704"/>
        <v>0</v>
      </c>
      <c r="BG253" s="363">
        <f t="shared" si="704"/>
        <v>0</v>
      </c>
      <c r="BH253" s="369">
        <f t="shared" si="704"/>
        <v>0</v>
      </c>
      <c r="BI253" s="367">
        <f t="shared" si="704"/>
        <v>4625</v>
      </c>
      <c r="BJ253" s="363">
        <f t="shared" si="704"/>
        <v>0</v>
      </c>
      <c r="BK253" s="363">
        <f t="shared" si="704"/>
        <v>0</v>
      </c>
      <c r="BL253" s="363">
        <f t="shared" si="704"/>
        <v>0</v>
      </c>
      <c r="BM253" s="363">
        <f t="shared" si="704"/>
        <v>0</v>
      </c>
      <c r="BN253" s="369">
        <f t="shared" si="704"/>
        <v>0</v>
      </c>
      <c r="BO253" s="367">
        <f t="shared" si="704"/>
        <v>4000</v>
      </c>
      <c r="BP253" s="363">
        <f t="shared" si="704"/>
        <v>0</v>
      </c>
      <c r="BQ253" s="363">
        <f t="shared" si="704"/>
        <v>0</v>
      </c>
      <c r="BR253" s="363">
        <f t="shared" si="704"/>
        <v>0</v>
      </c>
      <c r="BS253" s="363">
        <f t="shared" si="704"/>
        <v>0</v>
      </c>
      <c r="BT253" s="280">
        <f t="shared" si="704"/>
        <v>0</v>
      </c>
    </row>
    <row r="254" spans="1:72" s="313" customFormat="1" ht="25.5" outlineLevel="2">
      <c r="A254" s="287">
        <v>220</v>
      </c>
      <c r="B254" s="941"/>
      <c r="C254" s="840"/>
      <c r="D254" s="841"/>
      <c r="E254" s="839"/>
      <c r="F254" s="821" t="s">
        <v>23</v>
      </c>
      <c r="G254" s="314">
        <v>2</v>
      </c>
      <c r="H254" s="739" t="s">
        <v>71</v>
      </c>
      <c r="I254" s="739">
        <v>244</v>
      </c>
      <c r="J254" s="740">
        <v>342</v>
      </c>
      <c r="K254" s="533" t="s">
        <v>500</v>
      </c>
      <c r="L254" s="1013">
        <f>12350-1325</f>
        <v>11025</v>
      </c>
      <c r="M254" s="318"/>
      <c r="N254" s="318"/>
      <c r="O254" s="1052">
        <f t="shared" si="424"/>
        <v>11025</v>
      </c>
      <c r="P254" s="570"/>
      <c r="Q254" s="336">
        <v>0</v>
      </c>
      <c r="R254" s="559"/>
      <c r="S254" s="541">
        <v>0</v>
      </c>
      <c r="T254" s="559"/>
      <c r="U254" s="335"/>
      <c r="V254" s="596" t="s">
        <v>638</v>
      </c>
      <c r="W254" s="596" t="s">
        <v>671</v>
      </c>
      <c r="X254" s="596" t="s">
        <v>672</v>
      </c>
      <c r="Z254" s="336">
        <f t="shared" si="690"/>
        <v>0</v>
      </c>
      <c r="AA254" s="337">
        <f t="shared" si="690"/>
        <v>0</v>
      </c>
      <c r="AB254" s="338">
        <f t="shared" si="691"/>
        <v>0</v>
      </c>
      <c r="AC254" s="336">
        <f t="shared" si="692"/>
        <v>2400</v>
      </c>
      <c r="AD254" s="337">
        <f t="shared" si="692"/>
        <v>0</v>
      </c>
      <c r="AE254" s="338">
        <f t="shared" si="693"/>
        <v>2400</v>
      </c>
      <c r="AF254" s="336">
        <f t="shared" si="694"/>
        <v>4625</v>
      </c>
      <c r="AG254" s="337">
        <f t="shared" si="694"/>
        <v>0</v>
      </c>
      <c r="AH254" s="338">
        <f t="shared" si="695"/>
        <v>4625</v>
      </c>
      <c r="AI254" s="336">
        <f t="shared" si="696"/>
        <v>4000</v>
      </c>
      <c r="AJ254" s="337">
        <f t="shared" si="696"/>
        <v>0</v>
      </c>
      <c r="AK254" s="338">
        <f t="shared" si="697"/>
        <v>4000</v>
      </c>
      <c r="AL254" s="342"/>
      <c r="AM254" s="336">
        <f t="shared" si="698"/>
        <v>2400</v>
      </c>
      <c r="AN254" s="339">
        <f t="shared" si="698"/>
        <v>0</v>
      </c>
      <c r="AO254" s="340">
        <f t="shared" si="699"/>
        <v>2400</v>
      </c>
      <c r="AP254" s="336">
        <f t="shared" si="700"/>
        <v>7025</v>
      </c>
      <c r="AQ254" s="339">
        <f t="shared" si="700"/>
        <v>0</v>
      </c>
      <c r="AR254" s="340">
        <f t="shared" si="701"/>
        <v>7025</v>
      </c>
      <c r="AS254" s="341">
        <f t="shared" si="702"/>
        <v>11025</v>
      </c>
      <c r="AT254" s="339">
        <f t="shared" si="702"/>
        <v>0</v>
      </c>
      <c r="AU254" s="340">
        <f t="shared" si="703"/>
        <v>11025</v>
      </c>
      <c r="AV254" s="589">
        <f t="shared" si="502"/>
        <v>0</v>
      </c>
      <c r="AW254" s="343"/>
      <c r="AX254" s="344"/>
      <c r="AY254" s="345"/>
      <c r="AZ254" s="344"/>
      <c r="BA254" s="345"/>
      <c r="BB254" s="346"/>
      <c r="BC254" s="1134">
        <v>1000</v>
      </c>
      <c r="BD254" s="348"/>
      <c r="BE254" s="1135">
        <f>800+600</f>
        <v>1400</v>
      </c>
      <c r="BF254" s="348"/>
      <c r="BG254" s="349"/>
      <c r="BH254" s="350"/>
      <c r="BI254" s="351">
        <f>6000-1375</f>
        <v>4625</v>
      </c>
      <c r="BJ254" s="352"/>
      <c r="BK254" s="337"/>
      <c r="BL254" s="352"/>
      <c r="BM254" s="337"/>
      <c r="BN254" s="353"/>
      <c r="BO254" s="354">
        <v>4000</v>
      </c>
      <c r="BP254" s="355"/>
      <c r="BQ254" s="356"/>
      <c r="BR254" s="355"/>
      <c r="BS254" s="356"/>
      <c r="BT254" s="357"/>
    </row>
    <row r="255" spans="1:72" s="313" customFormat="1" ht="38.25" outlineLevel="2">
      <c r="A255" s="287">
        <v>221</v>
      </c>
      <c r="B255" s="941"/>
      <c r="C255" s="840"/>
      <c r="D255" s="841"/>
      <c r="E255" s="839"/>
      <c r="F255" s="821" t="s">
        <v>23</v>
      </c>
      <c r="G255" s="314">
        <v>2</v>
      </c>
      <c r="H255" s="739" t="s">
        <v>71</v>
      </c>
      <c r="I255" s="739">
        <v>244</v>
      </c>
      <c r="J255" s="740">
        <v>342</v>
      </c>
      <c r="K255" s="533" t="s">
        <v>500</v>
      </c>
      <c r="L255" s="1013">
        <v>1325</v>
      </c>
      <c r="M255" s="318"/>
      <c r="N255" s="318"/>
      <c r="O255" s="1052">
        <v>1325</v>
      </c>
      <c r="P255" s="570"/>
      <c r="Q255" s="336">
        <v>0</v>
      </c>
      <c r="R255" s="559"/>
      <c r="S255" s="541">
        <v>0</v>
      </c>
      <c r="T255" s="559"/>
      <c r="U255" s="335"/>
      <c r="V255" s="596" t="s">
        <v>640</v>
      </c>
      <c r="W255" s="596" t="s">
        <v>639</v>
      </c>
      <c r="X255" s="320"/>
      <c r="Z255" s="336">
        <f t="shared" ref="Z255" si="705">AW255+AY255+BA255</f>
        <v>1325</v>
      </c>
      <c r="AA255" s="337">
        <f t="shared" ref="AA255" si="706">AX255+AZ255+BB255</f>
        <v>1325</v>
      </c>
      <c r="AB255" s="338">
        <f t="shared" ref="AB255" si="707">Z255-AA255</f>
        <v>0</v>
      </c>
      <c r="AC255" s="336">
        <f t="shared" ref="AC255" si="708">BC255+BE255+BG255</f>
        <v>0</v>
      </c>
      <c r="AD255" s="337">
        <f t="shared" ref="AD255" si="709">BD255+BF255+BH255</f>
        <v>0</v>
      </c>
      <c r="AE255" s="338">
        <f t="shared" ref="AE255" si="710">AC255-AD255</f>
        <v>0</v>
      </c>
      <c r="AF255" s="336">
        <f t="shared" ref="AF255" si="711">BI255+BK255+BM255</f>
        <v>0</v>
      </c>
      <c r="AG255" s="337">
        <f t="shared" ref="AG255" si="712">BJ255+BL255+BN255</f>
        <v>0</v>
      </c>
      <c r="AH255" s="338">
        <f t="shared" ref="AH255" si="713">AF255-AG255</f>
        <v>0</v>
      </c>
      <c r="AI255" s="336">
        <f t="shared" ref="AI255" si="714">BO255+BQ255+BS255</f>
        <v>0</v>
      </c>
      <c r="AJ255" s="337">
        <f t="shared" ref="AJ255" si="715">BP255+BR255+BT255</f>
        <v>0</v>
      </c>
      <c r="AK255" s="338">
        <f t="shared" ref="AK255" si="716">AI255-AJ255</f>
        <v>0</v>
      </c>
      <c r="AL255" s="342"/>
      <c r="AM255" s="336">
        <f t="shared" ref="AM255" si="717">Z255+AC255</f>
        <v>1325</v>
      </c>
      <c r="AN255" s="339">
        <f t="shared" ref="AN255" si="718">AA255+AD255</f>
        <v>1325</v>
      </c>
      <c r="AO255" s="340">
        <f t="shared" ref="AO255" si="719">AM255-AN255</f>
        <v>0</v>
      </c>
      <c r="AP255" s="336">
        <f t="shared" ref="AP255" si="720">Z255+AC255+AF255</f>
        <v>1325</v>
      </c>
      <c r="AQ255" s="339">
        <f t="shared" ref="AQ255" si="721">AA255+AD255+AG255</f>
        <v>1325</v>
      </c>
      <c r="AR255" s="340">
        <f t="shared" ref="AR255" si="722">AP255-AQ255</f>
        <v>0</v>
      </c>
      <c r="AS255" s="341">
        <f t="shared" ref="AS255" si="723">Z255+AC255+AF255+AI255</f>
        <v>1325</v>
      </c>
      <c r="AT255" s="339">
        <f t="shared" ref="AT255" si="724">AA255+AD255+AG255+AJ255</f>
        <v>1325</v>
      </c>
      <c r="AU255" s="340">
        <f t="shared" ref="AU255" si="725">AS255-AT255</f>
        <v>0</v>
      </c>
      <c r="AV255" s="589">
        <f t="shared" ref="AV255" si="726">L255-AS255</f>
        <v>0</v>
      </c>
      <c r="AW255" s="343"/>
      <c r="AX255" s="344"/>
      <c r="AY255" s="345"/>
      <c r="AZ255" s="344"/>
      <c r="BA255" s="345">
        <v>1325</v>
      </c>
      <c r="BB255" s="346">
        <v>1325</v>
      </c>
      <c r="BC255" s="347"/>
      <c r="BD255" s="348"/>
      <c r="BE255" s="349"/>
      <c r="BF255" s="348"/>
      <c r="BG255" s="349"/>
      <c r="BH255" s="350"/>
      <c r="BI255" s="351"/>
      <c r="BJ255" s="352"/>
      <c r="BK255" s="337"/>
      <c r="BL255" s="352"/>
      <c r="BM255" s="337"/>
      <c r="BN255" s="353"/>
      <c r="BO255" s="354"/>
      <c r="BP255" s="355"/>
      <c r="BQ255" s="356"/>
      <c r="BR255" s="355"/>
      <c r="BS255" s="356"/>
      <c r="BT255" s="357"/>
    </row>
    <row r="256" spans="1:72" s="615" customFormat="1" ht="25.5" outlineLevel="1">
      <c r="A256" s="287">
        <v>222</v>
      </c>
      <c r="B256" s="941"/>
      <c r="C256" s="866"/>
      <c r="D256" s="867"/>
      <c r="E256" s="867"/>
      <c r="F256" s="832" t="s">
        <v>23</v>
      </c>
      <c r="G256" s="616">
        <v>2</v>
      </c>
      <c r="H256" s="749" t="s">
        <v>71</v>
      </c>
      <c r="I256" s="749">
        <v>244</v>
      </c>
      <c r="J256" s="750">
        <v>342</v>
      </c>
      <c r="K256" s="932" t="s">
        <v>214</v>
      </c>
      <c r="L256" s="1043">
        <v>0</v>
      </c>
      <c r="M256" s="619"/>
      <c r="N256" s="619"/>
      <c r="O256" s="1054">
        <f t="shared" si="424"/>
        <v>0</v>
      </c>
      <c r="P256" s="620"/>
      <c r="Q256" s="509">
        <v>0</v>
      </c>
      <c r="R256" s="560"/>
      <c r="S256" s="542">
        <v>0</v>
      </c>
      <c r="T256" s="560"/>
      <c r="U256" s="621"/>
      <c r="V256" s="320"/>
      <c r="W256" s="320"/>
      <c r="X256" s="320"/>
      <c r="Z256" s="509">
        <f>AW256+AY256+BA256</f>
        <v>0</v>
      </c>
      <c r="AA256" s="622">
        <f>AX256+AZ256+BB256</f>
        <v>0</v>
      </c>
      <c r="AB256" s="623">
        <f>Z256-AA256</f>
        <v>0</v>
      </c>
      <c r="AC256" s="509">
        <f>BC256+BE256+BG256</f>
        <v>0</v>
      </c>
      <c r="AD256" s="622">
        <f>BD256+BF256+BH256</f>
        <v>0</v>
      </c>
      <c r="AE256" s="623">
        <f>AC256-AD256</f>
        <v>0</v>
      </c>
      <c r="AF256" s="509">
        <f>BI256+BK256+BM256</f>
        <v>0</v>
      </c>
      <c r="AG256" s="622">
        <f>BJ256+BL256+BN256</f>
        <v>0</v>
      </c>
      <c r="AH256" s="623">
        <f>AF256-AG256</f>
        <v>0</v>
      </c>
      <c r="AI256" s="509">
        <f>BO256+BQ256+BS256</f>
        <v>0</v>
      </c>
      <c r="AJ256" s="622">
        <f>BP256+BR256+BT256</f>
        <v>0</v>
      </c>
      <c r="AK256" s="623">
        <f>AI256-AJ256</f>
        <v>0</v>
      </c>
      <c r="AL256" s="624"/>
      <c r="AM256" s="509">
        <f>Z256+AC256</f>
        <v>0</v>
      </c>
      <c r="AN256" s="625">
        <f>AA256+AD256</f>
        <v>0</v>
      </c>
      <c r="AO256" s="626">
        <f>AM256-AN256</f>
        <v>0</v>
      </c>
      <c r="AP256" s="509">
        <f>Z256+AC256+AF256</f>
        <v>0</v>
      </c>
      <c r="AQ256" s="625">
        <f>AA256+AD256+AG256</f>
        <v>0</v>
      </c>
      <c r="AR256" s="626">
        <f>AP256-AQ256</f>
        <v>0</v>
      </c>
      <c r="AS256" s="510">
        <f>Z256+AC256+AF256+AI256</f>
        <v>0</v>
      </c>
      <c r="AT256" s="625">
        <f>AA256+AD256+AG256+AJ256</f>
        <v>0</v>
      </c>
      <c r="AU256" s="626">
        <f>AS256-AT256</f>
        <v>0</v>
      </c>
      <c r="AV256" s="627">
        <f t="shared" si="502"/>
        <v>0</v>
      </c>
      <c r="AW256" s="628"/>
      <c r="AX256" s="629"/>
      <c r="AY256" s="630"/>
      <c r="AZ256" s="629"/>
      <c r="BA256" s="630"/>
      <c r="BB256" s="631"/>
      <c r="BC256" s="632"/>
      <c r="BD256" s="633"/>
      <c r="BE256" s="634"/>
      <c r="BF256" s="633"/>
      <c r="BG256" s="634"/>
      <c r="BH256" s="635"/>
      <c r="BI256" s="636"/>
      <c r="BJ256" s="637"/>
      <c r="BK256" s="622"/>
      <c r="BL256" s="637"/>
      <c r="BM256" s="622"/>
      <c r="BN256" s="638"/>
      <c r="BO256" s="639"/>
      <c r="BP256" s="640"/>
      <c r="BQ256" s="641"/>
      <c r="BR256" s="640"/>
      <c r="BS256" s="641"/>
      <c r="BT256" s="642"/>
    </row>
    <row r="257" spans="1:72" s="358" customFormat="1" ht="31.5" customHeight="1">
      <c r="A257" s="287">
        <v>223</v>
      </c>
      <c r="B257" s="933"/>
      <c r="C257" s="850" t="s">
        <v>377</v>
      </c>
      <c r="D257" s="838"/>
      <c r="E257" s="836" t="s">
        <v>201</v>
      </c>
      <c r="F257" s="820" t="s">
        <v>23</v>
      </c>
      <c r="G257" s="360">
        <v>2</v>
      </c>
      <c r="H257" s="360" t="s">
        <v>71</v>
      </c>
      <c r="I257" s="360">
        <v>244</v>
      </c>
      <c r="J257" s="361">
        <v>346</v>
      </c>
      <c r="K257" s="532" t="s">
        <v>379</v>
      </c>
      <c r="L257" s="1023">
        <f>SUM(L258:L261)</f>
        <v>86176.639999999999</v>
      </c>
      <c r="M257" s="363"/>
      <c r="N257" s="363"/>
      <c r="O257" s="1051">
        <f t="shared" si="424"/>
        <v>86176.639999999999</v>
      </c>
      <c r="P257" s="571"/>
      <c r="Q257" s="367">
        <f>SUM(Q258:Q261)</f>
        <v>76176.639999999999</v>
      </c>
      <c r="R257" s="557"/>
      <c r="S257" s="367">
        <f>SUM(S258:S261)</f>
        <v>76176.639999999999</v>
      </c>
      <c r="T257" s="557"/>
      <c r="U257" s="365"/>
      <c r="V257" s="366"/>
      <c r="W257" s="366"/>
      <c r="X257" s="366"/>
      <c r="Z257" s="367">
        <f t="shared" ref="Z257:AA294" si="727">AW257+AY257+BA257</f>
        <v>52771.65</v>
      </c>
      <c r="AA257" s="363">
        <f t="shared" si="727"/>
        <v>6575</v>
      </c>
      <c r="AB257" s="280">
        <f t="shared" si="426"/>
        <v>46196.65</v>
      </c>
      <c r="AC257" s="367">
        <f t="shared" ref="AC257:AD294" si="728">BC257+BE257+BG257</f>
        <v>0</v>
      </c>
      <c r="AD257" s="363">
        <f t="shared" si="728"/>
        <v>0</v>
      </c>
      <c r="AE257" s="280">
        <f t="shared" si="428"/>
        <v>0</v>
      </c>
      <c r="AF257" s="367">
        <f t="shared" ref="AF257:AG294" si="729">BI257+BK257+BM257</f>
        <v>0</v>
      </c>
      <c r="AG257" s="363">
        <f t="shared" si="729"/>
        <v>0</v>
      </c>
      <c r="AH257" s="280">
        <f t="shared" si="430"/>
        <v>0</v>
      </c>
      <c r="AI257" s="367">
        <f t="shared" ref="AI257:AJ294" si="730">BO257+BQ257+BS257</f>
        <v>33404.99</v>
      </c>
      <c r="AJ257" s="363">
        <f t="shared" si="730"/>
        <v>0</v>
      </c>
      <c r="AK257" s="280">
        <f t="shared" si="432"/>
        <v>33404.99</v>
      </c>
      <c r="AL257" s="368"/>
      <c r="AM257" s="367">
        <f t="shared" ref="AM257:AN299" si="731">Z257+AC257</f>
        <v>52771.65</v>
      </c>
      <c r="AN257" s="363">
        <f t="shared" si="731"/>
        <v>6575</v>
      </c>
      <c r="AO257" s="280">
        <f t="shared" si="434"/>
        <v>46196.65</v>
      </c>
      <c r="AP257" s="367">
        <f t="shared" ref="AP257:AQ299" si="732">Z257+AC257+AF257</f>
        <v>52771.65</v>
      </c>
      <c r="AQ257" s="363">
        <f t="shared" si="732"/>
        <v>6575</v>
      </c>
      <c r="AR257" s="280">
        <f t="shared" si="420"/>
        <v>46196.65</v>
      </c>
      <c r="AS257" s="367">
        <f t="shared" ref="AS257:AT294" si="733">Z257+AC257+AF257+AI257</f>
        <v>86176.639999999999</v>
      </c>
      <c r="AT257" s="363">
        <f t="shared" si="733"/>
        <v>6575</v>
      </c>
      <c r="AU257" s="280">
        <f t="shared" si="422"/>
        <v>79601.64</v>
      </c>
      <c r="AV257" s="588">
        <f t="shared" si="502"/>
        <v>0</v>
      </c>
      <c r="AW257" s="367">
        <f t="shared" ref="AW257:BT257" si="734">SUM(AW258:AW261)</f>
        <v>0</v>
      </c>
      <c r="AX257" s="363">
        <f t="shared" si="734"/>
        <v>0</v>
      </c>
      <c r="AY257" s="363">
        <f t="shared" si="734"/>
        <v>5775</v>
      </c>
      <c r="AZ257" s="363">
        <f t="shared" si="734"/>
        <v>5775</v>
      </c>
      <c r="BA257" s="363">
        <f t="shared" si="734"/>
        <v>46996.65</v>
      </c>
      <c r="BB257" s="369">
        <f t="shared" si="734"/>
        <v>800</v>
      </c>
      <c r="BC257" s="367">
        <f t="shared" si="734"/>
        <v>0</v>
      </c>
      <c r="BD257" s="363">
        <f t="shared" si="734"/>
        <v>0</v>
      </c>
      <c r="BE257" s="363">
        <f t="shared" si="734"/>
        <v>0</v>
      </c>
      <c r="BF257" s="363">
        <f t="shared" si="734"/>
        <v>0</v>
      </c>
      <c r="BG257" s="363">
        <f t="shared" si="734"/>
        <v>0</v>
      </c>
      <c r="BH257" s="369">
        <f t="shared" si="734"/>
        <v>0</v>
      </c>
      <c r="BI257" s="367">
        <f t="shared" si="734"/>
        <v>0</v>
      </c>
      <c r="BJ257" s="363">
        <f t="shared" si="734"/>
        <v>0</v>
      </c>
      <c r="BK257" s="363">
        <f t="shared" si="734"/>
        <v>0</v>
      </c>
      <c r="BL257" s="363">
        <f t="shared" si="734"/>
        <v>0</v>
      </c>
      <c r="BM257" s="363">
        <f t="shared" si="734"/>
        <v>0</v>
      </c>
      <c r="BN257" s="369">
        <f t="shared" si="734"/>
        <v>0</v>
      </c>
      <c r="BO257" s="367">
        <f t="shared" si="734"/>
        <v>29979.99</v>
      </c>
      <c r="BP257" s="363">
        <f t="shared" si="734"/>
        <v>0</v>
      </c>
      <c r="BQ257" s="363">
        <f t="shared" si="734"/>
        <v>3425</v>
      </c>
      <c r="BR257" s="363">
        <f t="shared" si="734"/>
        <v>0</v>
      </c>
      <c r="BS257" s="363">
        <f t="shared" si="734"/>
        <v>0</v>
      </c>
      <c r="BT257" s="280">
        <f t="shared" si="734"/>
        <v>0</v>
      </c>
    </row>
    <row r="258" spans="1:72" s="313" customFormat="1" ht="25.5" outlineLevel="2">
      <c r="A258" s="287">
        <v>224</v>
      </c>
      <c r="B258" s="933"/>
      <c r="C258" s="840"/>
      <c r="D258" s="841"/>
      <c r="E258" s="839"/>
      <c r="F258" s="821" t="s">
        <v>23</v>
      </c>
      <c r="G258" s="314">
        <v>2</v>
      </c>
      <c r="H258" s="739" t="s">
        <v>71</v>
      </c>
      <c r="I258" s="739">
        <v>244</v>
      </c>
      <c r="J258" s="740">
        <v>346</v>
      </c>
      <c r="K258" s="533" t="s">
        <v>308</v>
      </c>
      <c r="L258" s="1025">
        <v>7359.99</v>
      </c>
      <c r="M258" s="318"/>
      <c r="N258" s="318"/>
      <c r="O258" s="1052">
        <f t="shared" si="424"/>
        <v>7359.99</v>
      </c>
      <c r="P258" s="570"/>
      <c r="Q258" s="336">
        <v>7359.99</v>
      </c>
      <c r="R258" s="559"/>
      <c r="S258" s="541">
        <v>7359.99</v>
      </c>
      <c r="T258" s="559"/>
      <c r="U258" s="335"/>
      <c r="V258" s="320"/>
      <c r="W258" s="320"/>
      <c r="X258" s="320"/>
      <c r="Z258" s="336">
        <f t="shared" si="727"/>
        <v>4906.66</v>
      </c>
      <c r="AA258" s="337">
        <f t="shared" si="727"/>
        <v>0</v>
      </c>
      <c r="AB258" s="338">
        <f t="shared" si="426"/>
        <v>4906.66</v>
      </c>
      <c r="AC258" s="336">
        <f t="shared" si="728"/>
        <v>0</v>
      </c>
      <c r="AD258" s="337">
        <f t="shared" si="728"/>
        <v>0</v>
      </c>
      <c r="AE258" s="338">
        <f t="shared" si="428"/>
        <v>0</v>
      </c>
      <c r="AF258" s="336">
        <f t="shared" si="729"/>
        <v>0</v>
      </c>
      <c r="AG258" s="337">
        <f t="shared" si="729"/>
        <v>0</v>
      </c>
      <c r="AH258" s="338">
        <f t="shared" si="430"/>
        <v>0</v>
      </c>
      <c r="AI258" s="336">
        <f t="shared" si="730"/>
        <v>2453.33</v>
      </c>
      <c r="AJ258" s="337">
        <f t="shared" si="730"/>
        <v>0</v>
      </c>
      <c r="AK258" s="338">
        <f t="shared" si="432"/>
        <v>2453.33</v>
      </c>
      <c r="AL258" s="342"/>
      <c r="AM258" s="336">
        <f t="shared" si="731"/>
        <v>4906.66</v>
      </c>
      <c r="AN258" s="339">
        <f t="shared" si="731"/>
        <v>0</v>
      </c>
      <c r="AO258" s="340">
        <f t="shared" si="434"/>
        <v>4906.66</v>
      </c>
      <c r="AP258" s="336">
        <f t="shared" si="732"/>
        <v>4906.66</v>
      </c>
      <c r="AQ258" s="339">
        <f t="shared" si="732"/>
        <v>0</v>
      </c>
      <c r="AR258" s="340">
        <f t="shared" si="420"/>
        <v>4906.66</v>
      </c>
      <c r="AS258" s="341">
        <f t="shared" si="733"/>
        <v>7359.99</v>
      </c>
      <c r="AT258" s="339">
        <f t="shared" si="733"/>
        <v>0</v>
      </c>
      <c r="AU258" s="340">
        <f t="shared" si="422"/>
        <v>7359.99</v>
      </c>
      <c r="AV258" s="589">
        <f t="shared" si="502"/>
        <v>0</v>
      </c>
      <c r="AW258" s="343"/>
      <c r="AX258" s="344"/>
      <c r="AY258" s="345"/>
      <c r="AZ258" s="344"/>
      <c r="BA258" s="345">
        <f>2453.33*2</f>
        <v>4906.66</v>
      </c>
      <c r="BB258" s="346"/>
      <c r="BC258" s="347"/>
      <c r="BD258" s="348"/>
      <c r="BE258" s="349"/>
      <c r="BF258" s="348"/>
      <c r="BG258" s="349"/>
      <c r="BH258" s="350"/>
      <c r="BI258" s="351"/>
      <c r="BJ258" s="352"/>
      <c r="BK258" s="337"/>
      <c r="BL258" s="352"/>
      <c r="BM258" s="337"/>
      <c r="BN258" s="353"/>
      <c r="BO258" s="354">
        <v>2453.33</v>
      </c>
      <c r="BP258" s="355"/>
      <c r="BQ258" s="356"/>
      <c r="BR258" s="355"/>
      <c r="BS258" s="356"/>
      <c r="BT258" s="357"/>
    </row>
    <row r="259" spans="1:72" s="313" customFormat="1" ht="25.5" outlineLevel="2">
      <c r="A259" s="287">
        <v>225</v>
      </c>
      <c r="B259" s="933"/>
      <c r="C259" s="840"/>
      <c r="D259" s="841"/>
      <c r="E259" s="839"/>
      <c r="F259" s="821" t="s">
        <v>23</v>
      </c>
      <c r="G259" s="314">
        <v>2</v>
      </c>
      <c r="H259" s="739" t="s">
        <v>71</v>
      </c>
      <c r="I259" s="739">
        <v>244</v>
      </c>
      <c r="J259" s="740">
        <v>346</v>
      </c>
      <c r="K259" s="533" t="s">
        <v>309</v>
      </c>
      <c r="L259" s="1025">
        <v>27000</v>
      </c>
      <c r="M259" s="318"/>
      <c r="N259" s="318"/>
      <c r="O259" s="1052">
        <f t="shared" si="424"/>
        <v>27000</v>
      </c>
      <c r="P259" s="570"/>
      <c r="Q259" s="336">
        <v>27000</v>
      </c>
      <c r="R259" s="559"/>
      <c r="S259" s="541">
        <v>27000</v>
      </c>
      <c r="T259" s="559"/>
      <c r="U259" s="335"/>
      <c r="V259" s="320"/>
      <c r="W259" s="320"/>
      <c r="X259" s="320"/>
      <c r="Z259" s="336">
        <f>AW259+AY259+BA259</f>
        <v>16200</v>
      </c>
      <c r="AA259" s="337">
        <f>AX259+AZ259+BB259</f>
        <v>0</v>
      </c>
      <c r="AB259" s="338">
        <f>Z259-AA259</f>
        <v>16200</v>
      </c>
      <c r="AC259" s="336">
        <f>BC259+BE259+BG259</f>
        <v>0</v>
      </c>
      <c r="AD259" s="337">
        <f>BD259+BF259+BH259</f>
        <v>0</v>
      </c>
      <c r="AE259" s="338">
        <f>AC259-AD259</f>
        <v>0</v>
      </c>
      <c r="AF259" s="336">
        <f>BI259+BK259+BM259</f>
        <v>0</v>
      </c>
      <c r="AG259" s="337">
        <f>BJ259+BL259+BN259</f>
        <v>0</v>
      </c>
      <c r="AH259" s="338">
        <f>AF259-AG259</f>
        <v>0</v>
      </c>
      <c r="AI259" s="336">
        <f>BO259+BQ259+BS259</f>
        <v>10800</v>
      </c>
      <c r="AJ259" s="337">
        <f>BP259+BR259+BT259</f>
        <v>0</v>
      </c>
      <c r="AK259" s="338">
        <f>AI259-AJ259</f>
        <v>10800</v>
      </c>
      <c r="AL259" s="342"/>
      <c r="AM259" s="336">
        <f>Z259+AC259</f>
        <v>16200</v>
      </c>
      <c r="AN259" s="339">
        <f>AA259+AD259</f>
        <v>0</v>
      </c>
      <c r="AO259" s="340">
        <f>AM259-AN259</f>
        <v>16200</v>
      </c>
      <c r="AP259" s="336">
        <f>Z259+AC259+AF259</f>
        <v>16200</v>
      </c>
      <c r="AQ259" s="339">
        <f>AA259+AD259+AG259</f>
        <v>0</v>
      </c>
      <c r="AR259" s="340">
        <f>AP259-AQ259</f>
        <v>16200</v>
      </c>
      <c r="AS259" s="341">
        <f>Z259+AC259+AF259+AI259</f>
        <v>27000</v>
      </c>
      <c r="AT259" s="339">
        <f>AA259+AD259+AG259+AJ259</f>
        <v>0</v>
      </c>
      <c r="AU259" s="340">
        <f>AS259-AT259</f>
        <v>27000</v>
      </c>
      <c r="AV259" s="589">
        <f t="shared" si="502"/>
        <v>0</v>
      </c>
      <c r="AW259" s="343"/>
      <c r="AX259" s="344"/>
      <c r="AY259" s="345"/>
      <c r="AZ259" s="344"/>
      <c r="BA259" s="345">
        <f>5400*3</f>
        <v>16200</v>
      </c>
      <c r="BB259" s="346"/>
      <c r="BC259" s="347"/>
      <c r="BD259" s="348"/>
      <c r="BE259" s="349"/>
      <c r="BF259" s="348"/>
      <c r="BG259" s="349"/>
      <c r="BH259" s="350"/>
      <c r="BI259" s="351"/>
      <c r="BJ259" s="352"/>
      <c r="BK259" s="337"/>
      <c r="BL259" s="352"/>
      <c r="BM259" s="337"/>
      <c r="BN259" s="353"/>
      <c r="BO259" s="354">
        <f>5400*2</f>
        <v>10800</v>
      </c>
      <c r="BP259" s="355"/>
      <c r="BQ259" s="356"/>
      <c r="BR259" s="355"/>
      <c r="BS259" s="356"/>
      <c r="BT259" s="357"/>
    </row>
    <row r="260" spans="1:72" s="313" customFormat="1" ht="25.5" outlineLevel="2">
      <c r="A260" s="287">
        <v>226</v>
      </c>
      <c r="B260" s="933"/>
      <c r="C260" s="840"/>
      <c r="D260" s="841"/>
      <c r="E260" s="839"/>
      <c r="F260" s="821" t="s">
        <v>23</v>
      </c>
      <c r="G260" s="314">
        <v>2</v>
      </c>
      <c r="H260" s="739" t="s">
        <v>71</v>
      </c>
      <c r="I260" s="739">
        <v>244</v>
      </c>
      <c r="J260" s="740">
        <v>346</v>
      </c>
      <c r="K260" s="533" t="s">
        <v>310</v>
      </c>
      <c r="L260" s="1025">
        <v>41816.65</v>
      </c>
      <c r="M260" s="318"/>
      <c r="N260" s="318"/>
      <c r="O260" s="1052">
        <f t="shared" si="424"/>
        <v>41816.65</v>
      </c>
      <c r="P260" s="570"/>
      <c r="Q260" s="336">
        <v>41816.65</v>
      </c>
      <c r="R260" s="559"/>
      <c r="S260" s="541">
        <v>41816.65</v>
      </c>
      <c r="T260" s="559"/>
      <c r="U260" s="335"/>
      <c r="V260" s="320"/>
      <c r="W260" s="320"/>
      <c r="X260" s="320"/>
      <c r="Z260" s="336">
        <f t="shared" ref="Z260:AA260" si="735">AW260+AY260+BA260</f>
        <v>25089.99</v>
      </c>
      <c r="AA260" s="337">
        <f t="shared" si="735"/>
        <v>0</v>
      </c>
      <c r="AB260" s="338">
        <f t="shared" ref="AB260" si="736">Z260-AA260</f>
        <v>25089.99</v>
      </c>
      <c r="AC260" s="336">
        <f t="shared" ref="AC260:AD260" si="737">BC260+BE260+BG260</f>
        <v>0</v>
      </c>
      <c r="AD260" s="337">
        <f t="shared" si="737"/>
        <v>0</v>
      </c>
      <c r="AE260" s="338">
        <f t="shared" ref="AE260" si="738">AC260-AD260</f>
        <v>0</v>
      </c>
      <c r="AF260" s="336">
        <f t="shared" ref="AF260:AG260" si="739">BI260+BK260+BM260</f>
        <v>0</v>
      </c>
      <c r="AG260" s="337">
        <f t="shared" si="739"/>
        <v>0</v>
      </c>
      <c r="AH260" s="338">
        <f t="shared" ref="AH260" si="740">AF260-AG260</f>
        <v>0</v>
      </c>
      <c r="AI260" s="336">
        <f t="shared" ref="AI260:AJ260" si="741">BO260+BQ260+BS260</f>
        <v>16726.66</v>
      </c>
      <c r="AJ260" s="337">
        <f t="shared" si="741"/>
        <v>0</v>
      </c>
      <c r="AK260" s="338">
        <f t="shared" ref="AK260" si="742">AI260-AJ260</f>
        <v>16726.66</v>
      </c>
      <c r="AL260" s="342"/>
      <c r="AM260" s="336">
        <f t="shared" ref="AM260:AN260" si="743">Z260+AC260</f>
        <v>25089.99</v>
      </c>
      <c r="AN260" s="339">
        <f t="shared" si="743"/>
        <v>0</v>
      </c>
      <c r="AO260" s="340">
        <f t="shared" ref="AO260" si="744">AM260-AN260</f>
        <v>25089.99</v>
      </c>
      <c r="AP260" s="336">
        <f t="shared" ref="AP260:AQ260" si="745">Z260+AC260+AF260</f>
        <v>25089.99</v>
      </c>
      <c r="AQ260" s="339">
        <f t="shared" si="745"/>
        <v>0</v>
      </c>
      <c r="AR260" s="340">
        <f t="shared" ref="AR260" si="746">AP260-AQ260</f>
        <v>25089.99</v>
      </c>
      <c r="AS260" s="341">
        <f t="shared" ref="AS260:AT260" si="747">Z260+AC260+AF260+AI260</f>
        <v>41816.65</v>
      </c>
      <c r="AT260" s="339">
        <f t="shared" si="747"/>
        <v>0</v>
      </c>
      <c r="AU260" s="340">
        <f t="shared" ref="AU260" si="748">AS260-AT260</f>
        <v>41816.65</v>
      </c>
      <c r="AV260" s="589">
        <f t="shared" si="502"/>
        <v>0</v>
      </c>
      <c r="AW260" s="343"/>
      <c r="AX260" s="344"/>
      <c r="AY260" s="345"/>
      <c r="AZ260" s="344"/>
      <c r="BA260" s="345">
        <f>8363.33*3</f>
        <v>25089.99</v>
      </c>
      <c r="BB260" s="346"/>
      <c r="BC260" s="347"/>
      <c r="BD260" s="348"/>
      <c r="BE260" s="349"/>
      <c r="BF260" s="348"/>
      <c r="BG260" s="349"/>
      <c r="BH260" s="350"/>
      <c r="BI260" s="351"/>
      <c r="BJ260" s="352"/>
      <c r="BK260" s="337"/>
      <c r="BL260" s="352"/>
      <c r="BM260" s="337"/>
      <c r="BN260" s="353"/>
      <c r="BO260" s="354">
        <f>8363.33*2</f>
        <v>16726.66</v>
      </c>
      <c r="BP260" s="355"/>
      <c r="BQ260" s="356"/>
      <c r="BR260" s="355"/>
      <c r="BS260" s="356"/>
      <c r="BT260" s="357"/>
    </row>
    <row r="261" spans="1:72" s="313" customFormat="1" ht="25.5" outlineLevel="1">
      <c r="A261" s="287">
        <v>227</v>
      </c>
      <c r="B261" s="933"/>
      <c r="C261" s="840"/>
      <c r="D261" s="841"/>
      <c r="E261" s="839"/>
      <c r="F261" s="821" t="s">
        <v>23</v>
      </c>
      <c r="G261" s="314">
        <v>2</v>
      </c>
      <c r="H261" s="739" t="s">
        <v>71</v>
      </c>
      <c r="I261" s="739">
        <v>244</v>
      </c>
      <c r="J261" s="740">
        <v>346</v>
      </c>
      <c r="K261" s="317" t="s">
        <v>389</v>
      </c>
      <c r="L261" s="1025">
        <v>10000</v>
      </c>
      <c r="M261" s="318"/>
      <c r="N261" s="318"/>
      <c r="O261" s="1052">
        <f t="shared" si="424"/>
        <v>10000</v>
      </c>
      <c r="P261" s="570"/>
      <c r="Q261" s="336">
        <v>0</v>
      </c>
      <c r="R261" s="559"/>
      <c r="S261" s="541">
        <v>0</v>
      </c>
      <c r="T261" s="559"/>
      <c r="U261" s="335"/>
      <c r="V261" s="596" t="s">
        <v>390</v>
      </c>
      <c r="W261" s="596" t="s">
        <v>445</v>
      </c>
      <c r="X261" s="596" t="s">
        <v>446</v>
      </c>
      <c r="Z261" s="336">
        <f>AW261+AY261+BA261</f>
        <v>6575</v>
      </c>
      <c r="AA261" s="337">
        <f>AX261+AZ261+BB261</f>
        <v>6575</v>
      </c>
      <c r="AB261" s="338">
        <f>Z261-AA261</f>
        <v>0</v>
      </c>
      <c r="AC261" s="336">
        <f>BC261+BE261+BG261</f>
        <v>0</v>
      </c>
      <c r="AD261" s="337">
        <f>BD261+BF261+BH261</f>
        <v>0</v>
      </c>
      <c r="AE261" s="338">
        <f>AC261-AD261</f>
        <v>0</v>
      </c>
      <c r="AF261" s="336">
        <f>BI261+BK261+BM261</f>
        <v>0</v>
      </c>
      <c r="AG261" s="337">
        <f>BJ261+BL261+BN261</f>
        <v>0</v>
      </c>
      <c r="AH261" s="338">
        <f>AF261-AG261</f>
        <v>0</v>
      </c>
      <c r="AI261" s="336">
        <f>BO261+BQ261+BS261</f>
        <v>3425</v>
      </c>
      <c r="AJ261" s="337">
        <f>BP261+BR261+BT261</f>
        <v>0</v>
      </c>
      <c r="AK261" s="338">
        <f>AI261-AJ261</f>
        <v>3425</v>
      </c>
      <c r="AL261" s="342"/>
      <c r="AM261" s="336">
        <f>Z261+AC261</f>
        <v>6575</v>
      </c>
      <c r="AN261" s="339">
        <f>AA261+AD261</f>
        <v>6575</v>
      </c>
      <c r="AO261" s="340">
        <f>AM261-AN261</f>
        <v>0</v>
      </c>
      <c r="AP261" s="336">
        <f>Z261+AC261+AF261</f>
        <v>6575</v>
      </c>
      <c r="AQ261" s="339">
        <f>AA261+AD261+AG261</f>
        <v>6575</v>
      </c>
      <c r="AR261" s="340">
        <f>AP261-AQ261</f>
        <v>0</v>
      </c>
      <c r="AS261" s="341">
        <f>Z261+AC261+AF261+AI261</f>
        <v>10000</v>
      </c>
      <c r="AT261" s="339">
        <f>AA261+AD261+AG261+AJ261</f>
        <v>6575</v>
      </c>
      <c r="AU261" s="340">
        <f>AS261-AT261</f>
        <v>3425</v>
      </c>
      <c r="AV261" s="589">
        <f t="shared" si="502"/>
        <v>0</v>
      </c>
      <c r="AW261" s="343"/>
      <c r="AX261" s="344"/>
      <c r="AY261" s="1133">
        <v>5775</v>
      </c>
      <c r="AZ261" s="1152">
        <v>5775</v>
      </c>
      <c r="BA261" s="1133">
        <v>800</v>
      </c>
      <c r="BB261" s="1153">
        <v>800</v>
      </c>
      <c r="BC261" s="347"/>
      <c r="BD261" s="348"/>
      <c r="BE261" s="349"/>
      <c r="BF261" s="348"/>
      <c r="BG261" s="349"/>
      <c r="BH261" s="350"/>
      <c r="BI261" s="351"/>
      <c r="BJ261" s="352"/>
      <c r="BK261" s="337"/>
      <c r="BL261" s="352"/>
      <c r="BM261" s="337"/>
      <c r="BN261" s="353"/>
      <c r="BO261" s="354"/>
      <c r="BP261" s="355"/>
      <c r="BQ261" s="356">
        <f>5000-1575</f>
        <v>3425</v>
      </c>
      <c r="BR261" s="355"/>
      <c r="BS261" s="356"/>
      <c r="BT261" s="357"/>
    </row>
    <row r="262" spans="1:72" s="358" customFormat="1" ht="31.5">
      <c r="A262" s="287">
        <v>228</v>
      </c>
      <c r="B262" s="936"/>
      <c r="C262" s="837"/>
      <c r="D262" s="838"/>
      <c r="E262" s="836" t="s">
        <v>201</v>
      </c>
      <c r="F262" s="820" t="s">
        <v>23</v>
      </c>
      <c r="G262" s="360">
        <v>2</v>
      </c>
      <c r="H262" s="360" t="s">
        <v>71</v>
      </c>
      <c r="I262" s="360">
        <v>244</v>
      </c>
      <c r="J262" s="361">
        <v>346</v>
      </c>
      <c r="K262" s="532" t="s">
        <v>304</v>
      </c>
      <c r="L262" s="1023">
        <f>SUM(L263:L266)</f>
        <v>80457.509999999995</v>
      </c>
      <c r="M262" s="363"/>
      <c r="N262" s="363">
        <f>SUM(N263:N266)</f>
        <v>0</v>
      </c>
      <c r="O262" s="1051">
        <f t="shared" si="424"/>
        <v>80457.509999999995</v>
      </c>
      <c r="P262" s="571"/>
      <c r="Q262" s="367">
        <f>SUM(Q263:Q266)</f>
        <v>146684.4</v>
      </c>
      <c r="R262" s="557"/>
      <c r="S262" s="539">
        <f>SUM(S263:S266)</f>
        <v>145856.06</v>
      </c>
      <c r="T262" s="557"/>
      <c r="U262" s="365"/>
      <c r="V262" s="320"/>
      <c r="W262" s="320"/>
      <c r="X262" s="320"/>
      <c r="Z262" s="367">
        <f t="shared" si="727"/>
        <v>110</v>
      </c>
      <c r="AA262" s="363">
        <f t="shared" si="727"/>
        <v>110</v>
      </c>
      <c r="AB262" s="280">
        <f t="shared" si="426"/>
        <v>0</v>
      </c>
      <c r="AC262" s="367">
        <f t="shared" si="728"/>
        <v>80347.509999999995</v>
      </c>
      <c r="AD262" s="363">
        <f t="shared" si="728"/>
        <v>0</v>
      </c>
      <c r="AE262" s="280">
        <f t="shared" si="428"/>
        <v>80347.509999999995</v>
      </c>
      <c r="AF262" s="367">
        <f t="shared" si="729"/>
        <v>0</v>
      </c>
      <c r="AG262" s="363">
        <f t="shared" si="729"/>
        <v>0</v>
      </c>
      <c r="AH262" s="280">
        <f t="shared" si="430"/>
        <v>0</v>
      </c>
      <c r="AI262" s="367">
        <f t="shared" si="730"/>
        <v>0</v>
      </c>
      <c r="AJ262" s="363">
        <f t="shared" si="730"/>
        <v>0</v>
      </c>
      <c r="AK262" s="280">
        <f t="shared" si="432"/>
        <v>0</v>
      </c>
      <c r="AL262" s="368"/>
      <c r="AM262" s="367">
        <f t="shared" si="731"/>
        <v>80457.509999999995</v>
      </c>
      <c r="AN262" s="363">
        <f t="shared" si="731"/>
        <v>110</v>
      </c>
      <c r="AO262" s="280">
        <f t="shared" si="434"/>
        <v>80347.509999999995</v>
      </c>
      <c r="AP262" s="367">
        <f t="shared" si="732"/>
        <v>80457.509999999995</v>
      </c>
      <c r="AQ262" s="363">
        <f t="shared" si="732"/>
        <v>110</v>
      </c>
      <c r="AR262" s="280">
        <f t="shared" si="420"/>
        <v>80347.509999999995</v>
      </c>
      <c r="AS262" s="367">
        <f t="shared" si="733"/>
        <v>80457.509999999995</v>
      </c>
      <c r="AT262" s="363">
        <f t="shared" si="733"/>
        <v>110</v>
      </c>
      <c r="AU262" s="280">
        <f t="shared" si="422"/>
        <v>80347.509999999995</v>
      </c>
      <c r="AV262" s="588">
        <f t="shared" si="502"/>
        <v>0</v>
      </c>
      <c r="AW262" s="367">
        <f>SUM(AW263:AW266)</f>
        <v>0</v>
      </c>
      <c r="AX262" s="363">
        <f t="shared" ref="AX262:BQ262" si="749">SUM(AX263:AX266)</f>
        <v>0</v>
      </c>
      <c r="AY262" s="363">
        <f t="shared" si="749"/>
        <v>0</v>
      </c>
      <c r="AZ262" s="363">
        <f t="shared" si="749"/>
        <v>0</v>
      </c>
      <c r="BA262" s="363">
        <f t="shared" si="749"/>
        <v>110</v>
      </c>
      <c r="BB262" s="369">
        <f t="shared" si="749"/>
        <v>110</v>
      </c>
      <c r="BC262" s="367">
        <f t="shared" si="749"/>
        <v>0</v>
      </c>
      <c r="BD262" s="363">
        <f t="shared" si="749"/>
        <v>0</v>
      </c>
      <c r="BE262" s="363">
        <f t="shared" si="749"/>
        <v>10000</v>
      </c>
      <c r="BF262" s="363">
        <f t="shared" si="749"/>
        <v>0</v>
      </c>
      <c r="BG262" s="363">
        <f t="shared" si="749"/>
        <v>70347.509999999995</v>
      </c>
      <c r="BH262" s="369">
        <f t="shared" si="749"/>
        <v>0</v>
      </c>
      <c r="BI262" s="367">
        <f t="shared" si="749"/>
        <v>0</v>
      </c>
      <c r="BJ262" s="363">
        <f t="shared" si="749"/>
        <v>0</v>
      </c>
      <c r="BK262" s="363">
        <f t="shared" si="749"/>
        <v>0</v>
      </c>
      <c r="BL262" s="363">
        <f t="shared" si="749"/>
        <v>0</v>
      </c>
      <c r="BM262" s="363">
        <f t="shared" si="749"/>
        <v>0</v>
      </c>
      <c r="BN262" s="369">
        <f t="shared" si="749"/>
        <v>0</v>
      </c>
      <c r="BO262" s="367">
        <f t="shared" si="749"/>
        <v>0</v>
      </c>
      <c r="BP262" s="363">
        <f t="shared" si="749"/>
        <v>0</v>
      </c>
      <c r="BQ262" s="363">
        <f t="shared" si="749"/>
        <v>0</v>
      </c>
      <c r="BR262" s="363">
        <f t="shared" ref="BR262" si="750">SUM(BR263:BR266)</f>
        <v>0</v>
      </c>
      <c r="BS262" s="363">
        <f t="shared" ref="BS262" si="751">SUM(BS263:BS266)</f>
        <v>0</v>
      </c>
      <c r="BT262" s="280"/>
    </row>
    <row r="263" spans="1:72" s="313" customFormat="1" ht="25.5" outlineLevel="1">
      <c r="A263" s="287">
        <v>229</v>
      </c>
      <c r="B263" s="936"/>
      <c r="C263" s="840"/>
      <c r="D263" s="841"/>
      <c r="E263" s="839"/>
      <c r="F263" s="821" t="s">
        <v>23</v>
      </c>
      <c r="G263" s="314">
        <v>2</v>
      </c>
      <c r="H263" s="739" t="s">
        <v>71</v>
      </c>
      <c r="I263" s="739">
        <v>244</v>
      </c>
      <c r="J263" s="740">
        <v>346</v>
      </c>
      <c r="K263" s="1007" t="s">
        <v>304</v>
      </c>
      <c r="L263" s="1045">
        <f>80457.51-SUM(L264:L266)</f>
        <v>70347.509999999995</v>
      </c>
      <c r="M263" s="318"/>
      <c r="N263" s="318"/>
      <c r="O263" s="1055">
        <f>L263+N263</f>
        <v>70347.509999999995</v>
      </c>
      <c r="P263" s="329"/>
      <c r="Q263" s="319">
        <v>146684.4</v>
      </c>
      <c r="R263" s="329"/>
      <c r="S263" s="319">
        <v>145856.06</v>
      </c>
      <c r="T263" s="329"/>
      <c r="U263" s="335"/>
      <c r="V263" s="320"/>
      <c r="W263" s="320"/>
      <c r="X263" s="320"/>
      <c r="Z263" s="336">
        <f>AW263+AY263+BA263</f>
        <v>0</v>
      </c>
      <c r="AA263" s="337">
        <f>AX263+AZ263+BB263</f>
        <v>0</v>
      </c>
      <c r="AB263" s="338">
        <f t="shared" si="426"/>
        <v>0</v>
      </c>
      <c r="AC263" s="336">
        <f>BC263+BE263+BG263</f>
        <v>70347.509999999995</v>
      </c>
      <c r="AD263" s="337">
        <f>BD263+BF263+BH263</f>
        <v>0</v>
      </c>
      <c r="AE263" s="338">
        <f t="shared" si="428"/>
        <v>70347.509999999995</v>
      </c>
      <c r="AF263" s="336">
        <f>BI263+BK263+BM263</f>
        <v>0</v>
      </c>
      <c r="AG263" s="337">
        <f>BJ263+BL263+BN263</f>
        <v>0</v>
      </c>
      <c r="AH263" s="338">
        <f t="shared" si="430"/>
        <v>0</v>
      </c>
      <c r="AI263" s="336">
        <f>BO263+BQ263+BS263</f>
        <v>0</v>
      </c>
      <c r="AJ263" s="337">
        <f>BP263+BR263+BT263</f>
        <v>0</v>
      </c>
      <c r="AK263" s="338">
        <f t="shared" si="432"/>
        <v>0</v>
      </c>
      <c r="AL263" s="342"/>
      <c r="AM263" s="336">
        <f>Z263+AC263</f>
        <v>70347.509999999995</v>
      </c>
      <c r="AN263" s="339">
        <f>AA263+AD263</f>
        <v>0</v>
      </c>
      <c r="AO263" s="340">
        <f t="shared" si="434"/>
        <v>70347.509999999995</v>
      </c>
      <c r="AP263" s="336">
        <f>Z263+AC263+AF263</f>
        <v>70347.509999999995</v>
      </c>
      <c r="AQ263" s="339">
        <f>AA263+AD263+AG263</f>
        <v>0</v>
      </c>
      <c r="AR263" s="340">
        <f t="shared" si="420"/>
        <v>70347.509999999995</v>
      </c>
      <c r="AS263" s="341">
        <f>Z263+AC263+AF263+AI263</f>
        <v>70347.509999999995</v>
      </c>
      <c r="AT263" s="339">
        <f>AA263+AD263+AG263+AJ263</f>
        <v>0</v>
      </c>
      <c r="AU263" s="340">
        <f t="shared" si="422"/>
        <v>70347.509999999995</v>
      </c>
      <c r="AV263" s="589">
        <f>L263-AS263</f>
        <v>0</v>
      </c>
      <c r="AW263" s="343"/>
      <c r="AX263" s="344"/>
      <c r="AY263" s="345"/>
      <c r="AZ263" s="344"/>
      <c r="BA263" s="345"/>
      <c r="BB263" s="346"/>
      <c r="BC263" s="347"/>
      <c r="BD263" s="348"/>
      <c r="BE263" s="349"/>
      <c r="BF263" s="348"/>
      <c r="BG263" s="349">
        <f>76449.29-6101.78</f>
        <v>70347.509999999995</v>
      </c>
      <c r="BH263" s="350"/>
      <c r="BI263" s="351"/>
      <c r="BJ263" s="352"/>
      <c r="BK263" s="337"/>
      <c r="BL263" s="352"/>
      <c r="BM263" s="337"/>
      <c r="BN263" s="353"/>
      <c r="BO263" s="354"/>
      <c r="BP263" s="355"/>
      <c r="BQ263" s="356"/>
      <c r="BR263" s="355"/>
      <c r="BS263" s="356"/>
      <c r="BT263" s="357"/>
    </row>
    <row r="264" spans="1:72" s="313" customFormat="1" ht="38.25" outlineLevel="1">
      <c r="A264" s="287">
        <v>230</v>
      </c>
      <c r="B264" s="941"/>
      <c r="C264" s="840"/>
      <c r="D264" s="841"/>
      <c r="E264" s="839"/>
      <c r="F264" s="821" t="s">
        <v>23</v>
      </c>
      <c r="G264" s="314">
        <v>2</v>
      </c>
      <c r="H264" s="739" t="s">
        <v>71</v>
      </c>
      <c r="I264" s="739">
        <v>244</v>
      </c>
      <c r="J264" s="740">
        <v>346</v>
      </c>
      <c r="K264" s="533" t="s">
        <v>709</v>
      </c>
      <c r="L264" s="1025">
        <v>110</v>
      </c>
      <c r="M264" s="318"/>
      <c r="N264" s="318"/>
      <c r="O264" s="1052">
        <f>L264+N264</f>
        <v>110</v>
      </c>
      <c r="P264" s="570"/>
      <c r="Q264" s="336">
        <v>0</v>
      </c>
      <c r="R264" s="559"/>
      <c r="S264" s="541">
        <v>0</v>
      </c>
      <c r="T264" s="559"/>
      <c r="U264" s="335"/>
      <c r="V264" s="596" t="s">
        <v>640</v>
      </c>
      <c r="W264" s="596" t="s">
        <v>710</v>
      </c>
      <c r="X264" s="320"/>
      <c r="Z264" s="336">
        <f t="shared" si="727"/>
        <v>110</v>
      </c>
      <c r="AA264" s="337">
        <f t="shared" si="727"/>
        <v>110</v>
      </c>
      <c r="AB264" s="338">
        <f t="shared" si="426"/>
        <v>0</v>
      </c>
      <c r="AC264" s="336">
        <f t="shared" si="728"/>
        <v>0</v>
      </c>
      <c r="AD264" s="337">
        <f t="shared" si="728"/>
        <v>0</v>
      </c>
      <c r="AE264" s="338">
        <f t="shared" si="428"/>
        <v>0</v>
      </c>
      <c r="AF264" s="336">
        <f t="shared" si="729"/>
        <v>0</v>
      </c>
      <c r="AG264" s="337">
        <f t="shared" si="729"/>
        <v>0</v>
      </c>
      <c r="AH264" s="338">
        <f t="shared" si="430"/>
        <v>0</v>
      </c>
      <c r="AI264" s="336">
        <f t="shared" si="730"/>
        <v>0</v>
      </c>
      <c r="AJ264" s="337">
        <f t="shared" si="730"/>
        <v>0</v>
      </c>
      <c r="AK264" s="338">
        <f t="shared" si="432"/>
        <v>0</v>
      </c>
      <c r="AL264" s="342"/>
      <c r="AM264" s="336">
        <f t="shared" si="731"/>
        <v>110</v>
      </c>
      <c r="AN264" s="339">
        <f t="shared" si="731"/>
        <v>110</v>
      </c>
      <c r="AO264" s="340">
        <f t="shared" si="434"/>
        <v>0</v>
      </c>
      <c r="AP264" s="336">
        <f t="shared" si="732"/>
        <v>110</v>
      </c>
      <c r="AQ264" s="339">
        <f t="shared" si="732"/>
        <v>110</v>
      </c>
      <c r="AR264" s="340">
        <f t="shared" si="420"/>
        <v>0</v>
      </c>
      <c r="AS264" s="341">
        <f t="shared" si="733"/>
        <v>110</v>
      </c>
      <c r="AT264" s="339">
        <f t="shared" si="733"/>
        <v>110</v>
      </c>
      <c r="AU264" s="340">
        <f t="shared" si="422"/>
        <v>0</v>
      </c>
      <c r="AV264" s="589">
        <f>L264-AS264</f>
        <v>0</v>
      </c>
      <c r="AW264" s="343"/>
      <c r="AX264" s="344"/>
      <c r="AY264" s="345"/>
      <c r="AZ264" s="344"/>
      <c r="BA264" s="1133">
        <v>110</v>
      </c>
      <c r="BB264" s="1153">
        <v>110</v>
      </c>
      <c r="BC264" s="347"/>
      <c r="BD264" s="348"/>
      <c r="BE264" s="349"/>
      <c r="BF264" s="348"/>
      <c r="BG264" s="349"/>
      <c r="BH264" s="350"/>
      <c r="BI264" s="351"/>
      <c r="BJ264" s="352"/>
      <c r="BK264" s="337"/>
      <c r="BL264" s="352"/>
      <c r="BM264" s="337"/>
      <c r="BN264" s="353"/>
      <c r="BO264" s="354"/>
      <c r="BP264" s="355"/>
      <c r="BQ264" s="356"/>
      <c r="BR264" s="355"/>
      <c r="BS264" s="356"/>
      <c r="BT264" s="357"/>
    </row>
    <row r="265" spans="1:72" s="313" customFormat="1" ht="25.5">
      <c r="A265" s="287">
        <v>238</v>
      </c>
      <c r="B265" s="935"/>
      <c r="C265" s="840"/>
      <c r="D265" s="841"/>
      <c r="E265" s="839"/>
      <c r="F265" s="821" t="s">
        <v>23</v>
      </c>
      <c r="G265" s="314">
        <v>2</v>
      </c>
      <c r="H265" s="739" t="s">
        <v>71</v>
      </c>
      <c r="I265" s="739">
        <v>244</v>
      </c>
      <c r="J265" s="740">
        <v>346</v>
      </c>
      <c r="K265" s="533" t="s">
        <v>722</v>
      </c>
      <c r="L265" s="1025">
        <v>10000</v>
      </c>
      <c r="M265" s="318"/>
      <c r="N265" s="318"/>
      <c r="O265" s="1052">
        <f t="shared" ref="O265" si="752">L265+N265</f>
        <v>10000</v>
      </c>
      <c r="P265" s="570"/>
      <c r="Q265" s="336"/>
      <c r="R265" s="329"/>
      <c r="S265" s="319"/>
      <c r="T265" s="329"/>
      <c r="U265" s="335"/>
      <c r="V265" s="596" t="s">
        <v>723</v>
      </c>
      <c r="W265" s="320" t="s">
        <v>481</v>
      </c>
      <c r="X265" s="320"/>
      <c r="Z265" s="336">
        <f t="shared" ref="Z265" si="753">AW265+AY265+BA265</f>
        <v>0</v>
      </c>
      <c r="AA265" s="337">
        <f t="shared" ref="AA265" si="754">AX265+AZ265+BB265</f>
        <v>0</v>
      </c>
      <c r="AB265" s="338">
        <f t="shared" si="426"/>
        <v>0</v>
      </c>
      <c r="AC265" s="336">
        <f t="shared" ref="AC265" si="755">BC265+BE265+BG265</f>
        <v>10000</v>
      </c>
      <c r="AD265" s="337">
        <f t="shared" ref="AD265" si="756">BD265+BF265+BH265</f>
        <v>0</v>
      </c>
      <c r="AE265" s="338">
        <f t="shared" si="428"/>
        <v>10000</v>
      </c>
      <c r="AF265" s="336">
        <f t="shared" ref="AF265" si="757">BI265+BK265+BM265</f>
        <v>0</v>
      </c>
      <c r="AG265" s="337">
        <f t="shared" ref="AG265" si="758">BJ265+BL265+BN265</f>
        <v>0</v>
      </c>
      <c r="AH265" s="338">
        <f t="shared" si="430"/>
        <v>0</v>
      </c>
      <c r="AI265" s="336">
        <f t="shared" ref="AI265" si="759">BO265+BQ265+BS265</f>
        <v>0</v>
      </c>
      <c r="AJ265" s="337">
        <f t="shared" ref="AJ265" si="760">BP265+BR265+BT265</f>
        <v>0</v>
      </c>
      <c r="AK265" s="338">
        <f t="shared" si="432"/>
        <v>0</v>
      </c>
      <c r="AL265" s="342"/>
      <c r="AM265" s="336">
        <f t="shared" ref="AM265" si="761">Z265+AC265</f>
        <v>10000</v>
      </c>
      <c r="AN265" s="339">
        <f t="shared" ref="AN265" si="762">AA265+AD265</f>
        <v>0</v>
      </c>
      <c r="AO265" s="340">
        <f t="shared" si="434"/>
        <v>10000</v>
      </c>
      <c r="AP265" s="336">
        <f t="shared" ref="AP265" si="763">Z265+AC265+AF265</f>
        <v>10000</v>
      </c>
      <c r="AQ265" s="339">
        <f t="shared" ref="AQ265" si="764">AA265+AD265+AG265</f>
        <v>0</v>
      </c>
      <c r="AR265" s="340">
        <f t="shared" si="420"/>
        <v>10000</v>
      </c>
      <c r="AS265" s="341">
        <f t="shared" ref="AS265" si="765">Z265+AC265+AF265+AI265</f>
        <v>10000</v>
      </c>
      <c r="AT265" s="339">
        <f t="shared" ref="AT265" si="766">AA265+AD265+AG265+AJ265</f>
        <v>0</v>
      </c>
      <c r="AU265" s="340">
        <f t="shared" si="422"/>
        <v>10000</v>
      </c>
      <c r="AV265" s="589">
        <f t="shared" ref="AV265" si="767">L265-AS265</f>
        <v>0</v>
      </c>
      <c r="AW265" s="343"/>
      <c r="AX265" s="344"/>
      <c r="AY265" s="345"/>
      <c r="AZ265" s="344"/>
      <c r="BA265" s="345"/>
      <c r="BB265" s="346"/>
      <c r="BC265" s="347"/>
      <c r="BD265" s="348"/>
      <c r="BE265" s="349">
        <v>10000</v>
      </c>
      <c r="BF265" s="348"/>
      <c r="BG265" s="349"/>
      <c r="BH265" s="350"/>
      <c r="BI265" s="351"/>
      <c r="BJ265" s="352"/>
      <c r="BK265" s="337"/>
      <c r="BL265" s="352"/>
      <c r="BM265" s="337"/>
      <c r="BN265" s="353"/>
      <c r="BO265" s="354"/>
      <c r="BP265" s="355"/>
      <c r="BQ265" s="356"/>
      <c r="BR265" s="355"/>
      <c r="BS265" s="356"/>
      <c r="BT265" s="357"/>
    </row>
    <row r="266" spans="1:72" s="615" customFormat="1" ht="25.5">
      <c r="A266" s="287">
        <v>231</v>
      </c>
      <c r="B266" s="935"/>
      <c r="C266" s="866"/>
      <c r="D266" s="867"/>
      <c r="E266" s="867"/>
      <c r="F266" s="832" t="s">
        <v>23</v>
      </c>
      <c r="G266" s="616">
        <v>2</v>
      </c>
      <c r="H266" s="749" t="s">
        <v>71</v>
      </c>
      <c r="I266" s="749">
        <v>244</v>
      </c>
      <c r="J266" s="750">
        <v>346</v>
      </c>
      <c r="K266" s="932" t="s">
        <v>214</v>
      </c>
      <c r="L266" s="1046">
        <v>0</v>
      </c>
      <c r="M266" s="619"/>
      <c r="N266" s="619"/>
      <c r="O266" s="1054">
        <f>L266+N266</f>
        <v>0</v>
      </c>
      <c r="P266" s="988"/>
      <c r="Q266" s="656">
        <v>0</v>
      </c>
      <c r="R266" s="988"/>
      <c r="S266" s="656">
        <v>0</v>
      </c>
      <c r="T266" s="988"/>
      <c r="U266" s="621"/>
      <c r="V266" s="388"/>
      <c r="W266" s="388"/>
      <c r="X266" s="388"/>
      <c r="Z266" s="509">
        <f>AW266+AY266+BA266</f>
        <v>0</v>
      </c>
      <c r="AA266" s="622">
        <f>AX266+AZ266+BB266</f>
        <v>0</v>
      </c>
      <c r="AB266" s="623">
        <f>Z266-AA266</f>
        <v>0</v>
      </c>
      <c r="AC266" s="509">
        <f>BC266+BE266+BG266</f>
        <v>0</v>
      </c>
      <c r="AD266" s="622">
        <f>BD266+BF266+BH266</f>
        <v>0</v>
      </c>
      <c r="AE266" s="623">
        <f>AC266-AD266</f>
        <v>0</v>
      </c>
      <c r="AF266" s="509">
        <f>BI266+BK266+BM266</f>
        <v>0</v>
      </c>
      <c r="AG266" s="622">
        <f>BJ266+BL266+BN266</f>
        <v>0</v>
      </c>
      <c r="AH266" s="623">
        <f>AF266-AG266</f>
        <v>0</v>
      </c>
      <c r="AI266" s="509">
        <f>BO266+BQ266+BS266</f>
        <v>0</v>
      </c>
      <c r="AJ266" s="622">
        <f>BP266+BR266+BT266</f>
        <v>0</v>
      </c>
      <c r="AK266" s="623">
        <f>AI266-AJ266</f>
        <v>0</v>
      </c>
      <c r="AL266" s="624"/>
      <c r="AM266" s="509">
        <f>Z266+AC266</f>
        <v>0</v>
      </c>
      <c r="AN266" s="625">
        <f>AA266+AD266</f>
        <v>0</v>
      </c>
      <c r="AO266" s="626">
        <f>AM266-AN266</f>
        <v>0</v>
      </c>
      <c r="AP266" s="509">
        <f>Z266+AC266+AF266</f>
        <v>0</v>
      </c>
      <c r="AQ266" s="625">
        <f>AA266+AD266+AG266</f>
        <v>0</v>
      </c>
      <c r="AR266" s="626">
        <f>AP266-AQ266</f>
        <v>0</v>
      </c>
      <c r="AS266" s="510">
        <f>Z266+AC266+AF266+AI266</f>
        <v>0</v>
      </c>
      <c r="AT266" s="625">
        <f>AA266+AD266+AG266+AJ266</f>
        <v>0</v>
      </c>
      <c r="AU266" s="626">
        <f>AS266-AT266</f>
        <v>0</v>
      </c>
      <c r="AV266" s="627">
        <f>L266-AS266</f>
        <v>0</v>
      </c>
      <c r="AW266" s="628"/>
      <c r="AX266" s="629"/>
      <c r="AY266" s="630"/>
      <c r="AZ266" s="629"/>
      <c r="BA266" s="630"/>
      <c r="BB266" s="631"/>
      <c r="BC266" s="632"/>
      <c r="BD266" s="633"/>
      <c r="BE266" s="634"/>
      <c r="BF266" s="633"/>
      <c r="BG266" s="634"/>
      <c r="BH266" s="635"/>
      <c r="BI266" s="636"/>
      <c r="BJ266" s="637"/>
      <c r="BK266" s="622"/>
      <c r="BL266" s="637"/>
      <c r="BM266" s="622"/>
      <c r="BN266" s="638"/>
      <c r="BO266" s="639"/>
      <c r="BP266" s="640"/>
      <c r="BQ266" s="641"/>
      <c r="BR266" s="640"/>
      <c r="BS266" s="641"/>
      <c r="BT266" s="642"/>
    </row>
    <row r="267" spans="1:72" s="358" customFormat="1" ht="47.25">
      <c r="A267" s="287">
        <v>232</v>
      </c>
      <c r="B267" s="933"/>
      <c r="C267" s="837"/>
      <c r="D267" s="838"/>
      <c r="E267" s="836" t="s">
        <v>201</v>
      </c>
      <c r="F267" s="820" t="s">
        <v>23</v>
      </c>
      <c r="G267" s="360">
        <v>2</v>
      </c>
      <c r="H267" s="360" t="s">
        <v>71</v>
      </c>
      <c r="I267" s="360">
        <v>244</v>
      </c>
      <c r="J267" s="361">
        <v>346</v>
      </c>
      <c r="K267" s="532" t="s">
        <v>305</v>
      </c>
      <c r="L267" s="1023">
        <f>SUM(L268:L273)</f>
        <v>100867.29</v>
      </c>
      <c r="M267" s="363">
        <v>20000</v>
      </c>
      <c r="N267" s="363">
        <f>SUM(N268:N273)</f>
        <v>0</v>
      </c>
      <c r="O267" s="1051">
        <f>L267+N267</f>
        <v>100867.29</v>
      </c>
      <c r="P267" s="571"/>
      <c r="Q267" s="367">
        <f t="shared" ref="Q267:S267" si="768">SUM(Q268:Q273)</f>
        <v>80038.95</v>
      </c>
      <c r="R267" s="557">
        <f t="shared" si="768"/>
        <v>0</v>
      </c>
      <c r="S267" s="539">
        <f t="shared" si="768"/>
        <v>80867.289999999994</v>
      </c>
      <c r="T267" s="557"/>
      <c r="U267" s="365"/>
      <c r="V267" s="320"/>
      <c r="W267" s="320"/>
      <c r="X267" s="320"/>
      <c r="Z267" s="367">
        <f t="shared" si="727"/>
        <v>13080</v>
      </c>
      <c r="AA267" s="363">
        <f t="shared" si="727"/>
        <v>13080</v>
      </c>
      <c r="AB267" s="280">
        <f t="shared" si="426"/>
        <v>0</v>
      </c>
      <c r="AC267" s="367">
        <f t="shared" si="728"/>
        <v>54207.29</v>
      </c>
      <c r="AD267" s="363">
        <f t="shared" si="728"/>
        <v>4965</v>
      </c>
      <c r="AE267" s="280">
        <f t="shared" si="428"/>
        <v>49242.29</v>
      </c>
      <c r="AF267" s="367">
        <f t="shared" si="729"/>
        <v>16790</v>
      </c>
      <c r="AG267" s="363">
        <f t="shared" si="729"/>
        <v>0</v>
      </c>
      <c r="AH267" s="280">
        <f t="shared" si="430"/>
        <v>16790</v>
      </c>
      <c r="AI267" s="367">
        <f t="shared" si="730"/>
        <v>16790</v>
      </c>
      <c r="AJ267" s="363">
        <f t="shared" si="730"/>
        <v>0</v>
      </c>
      <c r="AK267" s="280">
        <f t="shared" si="432"/>
        <v>16790</v>
      </c>
      <c r="AL267" s="368"/>
      <c r="AM267" s="367">
        <f t="shared" si="731"/>
        <v>67287.289999999994</v>
      </c>
      <c r="AN267" s="363">
        <f t="shared" si="731"/>
        <v>18045</v>
      </c>
      <c r="AO267" s="280">
        <f t="shared" si="434"/>
        <v>49242.29</v>
      </c>
      <c r="AP267" s="367">
        <f t="shared" si="732"/>
        <v>84077.29</v>
      </c>
      <c r="AQ267" s="363">
        <f t="shared" si="732"/>
        <v>18045</v>
      </c>
      <c r="AR267" s="280">
        <f t="shared" si="420"/>
        <v>66032.289999999994</v>
      </c>
      <c r="AS267" s="367">
        <f t="shared" si="733"/>
        <v>100867.29</v>
      </c>
      <c r="AT267" s="363">
        <f t="shared" si="733"/>
        <v>18045</v>
      </c>
      <c r="AU267" s="280">
        <f t="shared" si="422"/>
        <v>82822.289999999994</v>
      </c>
      <c r="AV267" s="588">
        <f t="shared" si="502"/>
        <v>0</v>
      </c>
      <c r="AW267" s="367">
        <f t="shared" ref="AW267:BS267" si="769">SUM(AW268:AW273)</f>
        <v>0</v>
      </c>
      <c r="AX267" s="363">
        <f t="shared" si="769"/>
        <v>0</v>
      </c>
      <c r="AY267" s="363">
        <f t="shared" si="769"/>
        <v>7860</v>
      </c>
      <c r="AZ267" s="363">
        <f t="shared" si="769"/>
        <v>7860</v>
      </c>
      <c r="BA267" s="363">
        <f t="shared" si="769"/>
        <v>5220</v>
      </c>
      <c r="BB267" s="369">
        <f t="shared" si="769"/>
        <v>5220</v>
      </c>
      <c r="BC267" s="367">
        <f t="shared" si="769"/>
        <v>16240</v>
      </c>
      <c r="BD267" s="363">
        <f t="shared" si="769"/>
        <v>4965</v>
      </c>
      <c r="BE267" s="363">
        <f t="shared" si="769"/>
        <v>8395</v>
      </c>
      <c r="BF267" s="363">
        <f t="shared" si="769"/>
        <v>0</v>
      </c>
      <c r="BG267" s="363">
        <f t="shared" si="769"/>
        <v>29572.29</v>
      </c>
      <c r="BH267" s="369">
        <f t="shared" si="769"/>
        <v>0</v>
      </c>
      <c r="BI267" s="367">
        <f t="shared" si="769"/>
        <v>0</v>
      </c>
      <c r="BJ267" s="363">
        <f t="shared" si="769"/>
        <v>0</v>
      </c>
      <c r="BK267" s="363">
        <f t="shared" si="769"/>
        <v>8395</v>
      </c>
      <c r="BL267" s="363">
        <f t="shared" si="769"/>
        <v>0</v>
      </c>
      <c r="BM267" s="363">
        <f t="shared" si="769"/>
        <v>8395</v>
      </c>
      <c r="BN267" s="369">
        <f t="shared" si="769"/>
        <v>0</v>
      </c>
      <c r="BO267" s="367">
        <f t="shared" si="769"/>
        <v>8395</v>
      </c>
      <c r="BP267" s="363">
        <f t="shared" si="769"/>
        <v>0</v>
      </c>
      <c r="BQ267" s="363">
        <f t="shared" si="769"/>
        <v>8395</v>
      </c>
      <c r="BR267" s="363">
        <f t="shared" si="769"/>
        <v>0</v>
      </c>
      <c r="BS267" s="363">
        <f t="shared" si="769"/>
        <v>0</v>
      </c>
      <c r="BT267" s="280"/>
    </row>
    <row r="268" spans="1:72" s="313" customFormat="1" ht="38.25">
      <c r="A268" s="287">
        <v>233</v>
      </c>
      <c r="B268" s="941"/>
      <c r="C268" s="840"/>
      <c r="D268" s="841"/>
      <c r="E268" s="839"/>
      <c r="F268" s="821" t="s">
        <v>23</v>
      </c>
      <c r="G268" s="314">
        <v>2</v>
      </c>
      <c r="H268" s="739" t="s">
        <v>71</v>
      </c>
      <c r="I268" s="739">
        <v>244</v>
      </c>
      <c r="J268" s="740">
        <v>346</v>
      </c>
      <c r="K268" s="1007" t="s">
        <v>305</v>
      </c>
      <c r="L268" s="1045">
        <f>100867.29-SUM(L269:L273)</f>
        <v>29572.29</v>
      </c>
      <c r="M268" s="318"/>
      <c r="N268" s="318"/>
      <c r="O268" s="1055">
        <f>L268+N268</f>
        <v>29572.29</v>
      </c>
      <c r="P268" s="329"/>
      <c r="Q268" s="319">
        <v>80038.95</v>
      </c>
      <c r="R268" s="329"/>
      <c r="S268" s="319">
        <v>80867.289999999994</v>
      </c>
      <c r="T268" s="329"/>
      <c r="U268" s="335"/>
      <c r="V268" s="320"/>
      <c r="W268" s="320"/>
      <c r="X268" s="320"/>
      <c r="Z268" s="336">
        <f>AW268+AY268+BA268</f>
        <v>0</v>
      </c>
      <c r="AA268" s="337">
        <f>AX268+AZ268+BB268</f>
        <v>0</v>
      </c>
      <c r="AB268" s="338">
        <f t="shared" ref="AB268:AB272" si="770">Z268-AA268</f>
        <v>0</v>
      </c>
      <c r="AC268" s="336">
        <f>BC268+BE268+BG268</f>
        <v>29572.29</v>
      </c>
      <c r="AD268" s="337">
        <f>BD268+BF268+BH268</f>
        <v>0</v>
      </c>
      <c r="AE268" s="338">
        <f t="shared" ref="AE268:AE272" si="771">AC268-AD268</f>
        <v>29572.29</v>
      </c>
      <c r="AF268" s="336">
        <f>BI268+BK268+BM268</f>
        <v>0</v>
      </c>
      <c r="AG268" s="337">
        <f>BJ268+BL268+BN268</f>
        <v>0</v>
      </c>
      <c r="AH268" s="338">
        <f t="shared" ref="AH268:AH272" si="772">AF268-AG268</f>
        <v>0</v>
      </c>
      <c r="AI268" s="336">
        <f>BO268+BQ268+BS268</f>
        <v>0</v>
      </c>
      <c r="AJ268" s="337">
        <f>BP268+BR268+BT268</f>
        <v>0</v>
      </c>
      <c r="AK268" s="338">
        <f t="shared" ref="AK268:AK272" si="773">AI268-AJ268</f>
        <v>0</v>
      </c>
      <c r="AL268" s="342"/>
      <c r="AM268" s="336">
        <f>Z268+AC268</f>
        <v>29572.29</v>
      </c>
      <c r="AN268" s="339">
        <f>AA268+AD268</f>
        <v>0</v>
      </c>
      <c r="AO268" s="340">
        <f t="shared" ref="AO268:AO272" si="774">AM268-AN268</f>
        <v>29572.29</v>
      </c>
      <c r="AP268" s="336">
        <f>Z268+AC268+AF268</f>
        <v>29572.29</v>
      </c>
      <c r="AQ268" s="339">
        <f>AA268+AD268+AG268</f>
        <v>0</v>
      </c>
      <c r="AR268" s="340">
        <f t="shared" ref="AR268:AR272" si="775">AP268-AQ268</f>
        <v>29572.29</v>
      </c>
      <c r="AS268" s="341">
        <f>Z268+AC268+AF268+AI268</f>
        <v>29572.29</v>
      </c>
      <c r="AT268" s="339">
        <f>AA268+AD268+AG268+AJ268</f>
        <v>0</v>
      </c>
      <c r="AU268" s="340">
        <f t="shared" ref="AU268:AU272" si="776">AS268-AT268</f>
        <v>29572.29</v>
      </c>
      <c r="AV268" s="589">
        <f>L268-AS268</f>
        <v>0</v>
      </c>
      <c r="AW268" s="343"/>
      <c r="AX268" s="344"/>
      <c r="AY268" s="345"/>
      <c r="AZ268" s="344"/>
      <c r="BA268" s="345"/>
      <c r="BB268" s="346"/>
      <c r="BC268" s="347"/>
      <c r="BD268" s="348"/>
      <c r="BE268" s="349"/>
      <c r="BF268" s="348"/>
      <c r="BG268" s="349">
        <f>76449.29-46877</f>
        <v>29572.29</v>
      </c>
      <c r="BH268" s="350"/>
      <c r="BI268" s="351"/>
      <c r="BJ268" s="352"/>
      <c r="BK268" s="337"/>
      <c r="BL268" s="352"/>
      <c r="BM268" s="337"/>
      <c r="BN268" s="353"/>
      <c r="BO268" s="354"/>
      <c r="BP268" s="355"/>
      <c r="BQ268" s="356"/>
      <c r="BR268" s="355"/>
      <c r="BS268" s="356"/>
      <c r="BT268" s="357"/>
    </row>
    <row r="269" spans="1:72" s="313" customFormat="1" ht="25.5">
      <c r="A269" s="287">
        <v>234</v>
      </c>
      <c r="B269" s="935"/>
      <c r="C269" s="840"/>
      <c r="D269" s="841"/>
      <c r="E269" s="839"/>
      <c r="F269" s="821" t="s">
        <v>23</v>
      </c>
      <c r="G269" s="314">
        <v>2</v>
      </c>
      <c r="H269" s="739" t="s">
        <v>71</v>
      </c>
      <c r="I269" s="739">
        <v>244</v>
      </c>
      <c r="J269" s="740">
        <v>346</v>
      </c>
      <c r="K269" s="533" t="s">
        <v>464</v>
      </c>
      <c r="L269" s="1025">
        <v>7860</v>
      </c>
      <c r="M269" s="318"/>
      <c r="N269" s="318"/>
      <c r="O269" s="1052">
        <f t="shared" si="424"/>
        <v>7860</v>
      </c>
      <c r="P269" s="570"/>
      <c r="Q269" s="336"/>
      <c r="R269" s="329"/>
      <c r="S269" s="319"/>
      <c r="T269" s="329"/>
      <c r="U269" s="335"/>
      <c r="V269" s="596" t="s">
        <v>463</v>
      </c>
      <c r="W269" s="596" t="s">
        <v>466</v>
      </c>
      <c r="X269" s="596" t="s">
        <v>467</v>
      </c>
      <c r="Z269" s="336">
        <f t="shared" si="727"/>
        <v>7860</v>
      </c>
      <c r="AA269" s="337">
        <f t="shared" si="727"/>
        <v>7860</v>
      </c>
      <c r="AB269" s="338">
        <f t="shared" si="770"/>
        <v>0</v>
      </c>
      <c r="AC269" s="336">
        <f t="shared" si="728"/>
        <v>0</v>
      </c>
      <c r="AD269" s="337">
        <f t="shared" si="728"/>
        <v>0</v>
      </c>
      <c r="AE269" s="338">
        <f t="shared" si="771"/>
        <v>0</v>
      </c>
      <c r="AF269" s="336">
        <f t="shared" si="729"/>
        <v>0</v>
      </c>
      <c r="AG269" s="337">
        <f t="shared" si="729"/>
        <v>0</v>
      </c>
      <c r="AH269" s="338">
        <f t="shared" si="772"/>
        <v>0</v>
      </c>
      <c r="AI269" s="336">
        <f t="shared" si="730"/>
        <v>0</v>
      </c>
      <c r="AJ269" s="337">
        <f t="shared" si="730"/>
        <v>0</v>
      </c>
      <c r="AK269" s="338">
        <f t="shared" si="773"/>
        <v>0</v>
      </c>
      <c r="AL269" s="342"/>
      <c r="AM269" s="336">
        <f t="shared" si="731"/>
        <v>7860</v>
      </c>
      <c r="AN269" s="339">
        <f t="shared" si="731"/>
        <v>7860</v>
      </c>
      <c r="AO269" s="340">
        <f t="shared" si="774"/>
        <v>0</v>
      </c>
      <c r="AP269" s="336">
        <f t="shared" si="732"/>
        <v>7860</v>
      </c>
      <c r="AQ269" s="339">
        <f t="shared" si="732"/>
        <v>7860</v>
      </c>
      <c r="AR269" s="340">
        <f t="shared" si="775"/>
        <v>0</v>
      </c>
      <c r="AS269" s="341">
        <f t="shared" si="733"/>
        <v>7860</v>
      </c>
      <c r="AT269" s="339">
        <f t="shared" si="733"/>
        <v>7860</v>
      </c>
      <c r="AU269" s="340">
        <f t="shared" si="776"/>
        <v>0</v>
      </c>
      <c r="AV269" s="589">
        <f t="shared" si="502"/>
        <v>0</v>
      </c>
      <c r="AW269" s="343"/>
      <c r="AX269" s="344"/>
      <c r="AY269" s="1133">
        <v>7860</v>
      </c>
      <c r="AZ269" s="1152">
        <v>7860</v>
      </c>
      <c r="BA269" s="345"/>
      <c r="BB269" s="346"/>
      <c r="BC269" s="347"/>
      <c r="BD269" s="348"/>
      <c r="BE269" s="349"/>
      <c r="BF269" s="348"/>
      <c r="BG269" s="349"/>
      <c r="BH269" s="350"/>
      <c r="BI269" s="351"/>
      <c r="BJ269" s="352"/>
      <c r="BK269" s="337"/>
      <c r="BL269" s="352"/>
      <c r="BM269" s="337"/>
      <c r="BN269" s="353"/>
      <c r="BO269" s="354"/>
      <c r="BP269" s="355"/>
      <c r="BQ269" s="356"/>
      <c r="BR269" s="355"/>
      <c r="BS269" s="356"/>
      <c r="BT269" s="357"/>
    </row>
    <row r="270" spans="1:72" s="313" customFormat="1" ht="25.5">
      <c r="A270" s="287">
        <v>235</v>
      </c>
      <c r="B270" s="935"/>
      <c r="C270" s="840"/>
      <c r="D270" s="841"/>
      <c r="E270" s="839"/>
      <c r="F270" s="821" t="s">
        <v>23</v>
      </c>
      <c r="G270" s="314">
        <v>2</v>
      </c>
      <c r="H270" s="739" t="s">
        <v>71</v>
      </c>
      <c r="I270" s="739">
        <v>244</v>
      </c>
      <c r="J270" s="740">
        <v>346</v>
      </c>
      <c r="K270" s="533" t="s">
        <v>464</v>
      </c>
      <c r="L270" s="318">
        <v>2880</v>
      </c>
      <c r="M270" s="318"/>
      <c r="N270" s="318"/>
      <c r="O270" s="1052">
        <f t="shared" ref="O270:O273" si="777">L270+N270</f>
        <v>2880</v>
      </c>
      <c r="P270" s="570"/>
      <c r="Q270" s="336"/>
      <c r="R270" s="329"/>
      <c r="S270" s="319"/>
      <c r="T270" s="329"/>
      <c r="U270" s="335"/>
      <c r="V270" s="596" t="s">
        <v>463</v>
      </c>
      <c r="W270" s="596" t="s">
        <v>652</v>
      </c>
      <c r="X270" s="320"/>
      <c r="Z270" s="336">
        <f t="shared" ref="Z270:Z273" si="778">AW270+AY270+BA270</f>
        <v>2880</v>
      </c>
      <c r="AA270" s="337">
        <f t="shared" ref="AA270:AA273" si="779">AX270+AZ270+BB270</f>
        <v>2880</v>
      </c>
      <c r="AB270" s="338">
        <f t="shared" si="770"/>
        <v>0</v>
      </c>
      <c r="AC270" s="336">
        <f t="shared" ref="AC270:AC273" si="780">BC270+BE270+BG270</f>
        <v>0</v>
      </c>
      <c r="AD270" s="337">
        <f t="shared" ref="AD270:AD273" si="781">BD270+BF270+BH270</f>
        <v>0</v>
      </c>
      <c r="AE270" s="338">
        <f t="shared" si="771"/>
        <v>0</v>
      </c>
      <c r="AF270" s="336">
        <f t="shared" ref="AF270:AF273" si="782">BI270+BK270+BM270</f>
        <v>0</v>
      </c>
      <c r="AG270" s="337">
        <f t="shared" ref="AG270:AG273" si="783">BJ270+BL270+BN270</f>
        <v>0</v>
      </c>
      <c r="AH270" s="338">
        <f t="shared" si="772"/>
        <v>0</v>
      </c>
      <c r="AI270" s="336">
        <f t="shared" ref="AI270:AI273" si="784">BO270+BQ270+BS270</f>
        <v>0</v>
      </c>
      <c r="AJ270" s="337">
        <f t="shared" ref="AJ270:AJ273" si="785">BP270+BR270+BT270</f>
        <v>0</v>
      </c>
      <c r="AK270" s="338">
        <f t="shared" si="773"/>
        <v>0</v>
      </c>
      <c r="AL270" s="342"/>
      <c r="AM270" s="336">
        <f t="shared" ref="AM270:AM273" si="786">Z270+AC270</f>
        <v>2880</v>
      </c>
      <c r="AN270" s="339">
        <f t="shared" ref="AN270:AN273" si="787">AA270+AD270</f>
        <v>2880</v>
      </c>
      <c r="AO270" s="340">
        <f t="shared" si="774"/>
        <v>0</v>
      </c>
      <c r="AP270" s="336">
        <f t="shared" ref="AP270:AP273" si="788">Z270+AC270+AF270</f>
        <v>2880</v>
      </c>
      <c r="AQ270" s="339">
        <f t="shared" ref="AQ270:AQ273" si="789">AA270+AD270+AG270</f>
        <v>2880</v>
      </c>
      <c r="AR270" s="340">
        <f t="shared" si="775"/>
        <v>0</v>
      </c>
      <c r="AS270" s="341">
        <f t="shared" ref="AS270:AS273" si="790">Z270+AC270+AF270+AI270</f>
        <v>2880</v>
      </c>
      <c r="AT270" s="339">
        <f t="shared" ref="AT270:AT273" si="791">AA270+AD270+AG270+AJ270</f>
        <v>2880</v>
      </c>
      <c r="AU270" s="340">
        <f t="shared" si="776"/>
        <v>0</v>
      </c>
      <c r="AV270" s="589">
        <f t="shared" ref="AV270:AV273" si="792">L270-AS270</f>
        <v>0</v>
      </c>
      <c r="AW270" s="343"/>
      <c r="AX270" s="344"/>
      <c r="AY270" s="345"/>
      <c r="AZ270" s="344"/>
      <c r="BA270" s="1133">
        <v>2880</v>
      </c>
      <c r="BB270" s="1153">
        <v>2880</v>
      </c>
      <c r="BC270" s="347"/>
      <c r="BD270" s="348"/>
      <c r="BE270" s="349"/>
      <c r="BF270" s="348"/>
      <c r="BG270" s="349"/>
      <c r="BH270" s="350"/>
      <c r="BI270" s="351"/>
      <c r="BJ270" s="352"/>
      <c r="BK270" s="337"/>
      <c r="BL270" s="352"/>
      <c r="BM270" s="337"/>
      <c r="BN270" s="353"/>
      <c r="BO270" s="354"/>
      <c r="BP270" s="355"/>
      <c r="BQ270" s="356"/>
      <c r="BR270" s="355"/>
      <c r="BS270" s="356"/>
      <c r="BT270" s="357"/>
    </row>
    <row r="271" spans="1:72" s="313" customFormat="1" ht="25.5">
      <c r="A271" s="287">
        <v>236</v>
      </c>
      <c r="B271" s="935"/>
      <c r="C271" s="840"/>
      <c r="D271" s="841"/>
      <c r="E271" s="839"/>
      <c r="F271" s="821" t="s">
        <v>23</v>
      </c>
      <c r="G271" s="314">
        <v>2</v>
      </c>
      <c r="H271" s="739" t="s">
        <v>71</v>
      </c>
      <c r="I271" s="739">
        <v>244</v>
      </c>
      <c r="J271" s="740">
        <v>346</v>
      </c>
      <c r="K271" s="533" t="s">
        <v>464</v>
      </c>
      <c r="L271" s="318">
        <v>20160</v>
      </c>
      <c r="M271" s="318"/>
      <c r="N271" s="318"/>
      <c r="O271" s="1052">
        <f t="shared" ref="O271" si="793">L271+N271</f>
        <v>20160</v>
      </c>
      <c r="P271" s="570"/>
      <c r="Q271" s="336"/>
      <c r="R271" s="329"/>
      <c r="S271" s="319"/>
      <c r="T271" s="329"/>
      <c r="U271" s="335"/>
      <c r="V271" s="596" t="s">
        <v>463</v>
      </c>
      <c r="W271" s="320" t="s">
        <v>481</v>
      </c>
      <c r="X271" s="320"/>
      <c r="Z271" s="336">
        <f t="shared" ref="Z271" si="794">AW271+AY271+BA271</f>
        <v>0</v>
      </c>
      <c r="AA271" s="337">
        <f t="shared" ref="AA271" si="795">AX271+AZ271+BB271</f>
        <v>0</v>
      </c>
      <c r="AB271" s="338">
        <f t="shared" si="770"/>
        <v>0</v>
      </c>
      <c r="AC271" s="336">
        <f t="shared" ref="AC271" si="796">BC271+BE271+BG271</f>
        <v>8640</v>
      </c>
      <c r="AD271" s="337">
        <f t="shared" ref="AD271" si="797">BD271+BF271+BH271</f>
        <v>0</v>
      </c>
      <c r="AE271" s="338">
        <f t="shared" si="771"/>
        <v>8640</v>
      </c>
      <c r="AF271" s="336">
        <f t="shared" ref="AF271" si="798">BI271+BK271+BM271</f>
        <v>5760</v>
      </c>
      <c r="AG271" s="337">
        <f t="shared" ref="AG271" si="799">BJ271+BL271+BN271</f>
        <v>0</v>
      </c>
      <c r="AH271" s="338">
        <f t="shared" si="772"/>
        <v>5760</v>
      </c>
      <c r="AI271" s="336">
        <f t="shared" ref="AI271" si="800">BO271+BQ271+BS271</f>
        <v>5760</v>
      </c>
      <c r="AJ271" s="337">
        <f t="shared" ref="AJ271" si="801">BP271+BR271+BT271</f>
        <v>0</v>
      </c>
      <c r="AK271" s="338">
        <f t="shared" si="773"/>
        <v>5760</v>
      </c>
      <c r="AL271" s="342"/>
      <c r="AM271" s="336">
        <f t="shared" ref="AM271" si="802">Z271+AC271</f>
        <v>8640</v>
      </c>
      <c r="AN271" s="339">
        <f t="shared" ref="AN271" si="803">AA271+AD271</f>
        <v>0</v>
      </c>
      <c r="AO271" s="340">
        <f t="shared" si="774"/>
        <v>8640</v>
      </c>
      <c r="AP271" s="336">
        <f t="shared" ref="AP271" si="804">Z271+AC271+AF271</f>
        <v>14400</v>
      </c>
      <c r="AQ271" s="339">
        <f t="shared" ref="AQ271" si="805">AA271+AD271+AG271</f>
        <v>0</v>
      </c>
      <c r="AR271" s="340">
        <f t="shared" si="775"/>
        <v>14400</v>
      </c>
      <c r="AS271" s="341">
        <f t="shared" ref="AS271" si="806">Z271+AC271+AF271+AI271</f>
        <v>20160</v>
      </c>
      <c r="AT271" s="339">
        <f t="shared" ref="AT271" si="807">AA271+AD271+AG271+AJ271</f>
        <v>0</v>
      </c>
      <c r="AU271" s="340">
        <f t="shared" si="776"/>
        <v>20160</v>
      </c>
      <c r="AV271" s="589">
        <f t="shared" ref="AV271" si="808">L271-AS271</f>
        <v>0</v>
      </c>
      <c r="AW271" s="343"/>
      <c r="AX271" s="344"/>
      <c r="AY271" s="345"/>
      <c r="AZ271" s="344"/>
      <c r="BA271" s="345"/>
      <c r="BB271" s="346"/>
      <c r="BC271" s="1134">
        <v>5760</v>
      </c>
      <c r="BD271" s="1140"/>
      <c r="BE271" s="1135">
        <v>2880</v>
      </c>
      <c r="BF271" s="1140"/>
      <c r="BG271" s="1135"/>
      <c r="BH271" s="1141"/>
      <c r="BI271" s="1136"/>
      <c r="BJ271" s="909"/>
      <c r="BK271" s="1137">
        <v>2880</v>
      </c>
      <c r="BL271" s="909"/>
      <c r="BM271" s="1137">
        <v>2880</v>
      </c>
      <c r="BN271" s="920"/>
      <c r="BO271" s="1138">
        <v>2880</v>
      </c>
      <c r="BP271" s="1142"/>
      <c r="BQ271" s="1139">
        <v>2880</v>
      </c>
      <c r="BR271" s="1142"/>
      <c r="BS271" s="1139"/>
      <c r="BT271" s="357"/>
    </row>
    <row r="272" spans="1:72" s="313" customFormat="1" ht="25.5">
      <c r="A272" s="287">
        <v>237</v>
      </c>
      <c r="B272" s="935"/>
      <c r="C272" s="840"/>
      <c r="D272" s="841"/>
      <c r="E272" s="839"/>
      <c r="F272" s="821" t="s">
        <v>23</v>
      </c>
      <c r="G272" s="314">
        <v>2</v>
      </c>
      <c r="H272" s="739" t="s">
        <v>71</v>
      </c>
      <c r="I272" s="739">
        <v>244</v>
      </c>
      <c r="J272" s="740">
        <v>346</v>
      </c>
      <c r="K272" s="533" t="s">
        <v>595</v>
      </c>
      <c r="L272" s="318">
        <v>2340</v>
      </c>
      <c r="M272" s="318"/>
      <c r="N272" s="318"/>
      <c r="O272" s="1052">
        <f t="shared" si="777"/>
        <v>2340</v>
      </c>
      <c r="P272" s="570"/>
      <c r="Q272" s="336"/>
      <c r="R272" s="329"/>
      <c r="S272" s="319"/>
      <c r="T272" s="329"/>
      <c r="U272" s="335"/>
      <c r="V272" s="596" t="s">
        <v>598</v>
      </c>
      <c r="W272" s="596" t="s">
        <v>648</v>
      </c>
      <c r="X272" s="596" t="s">
        <v>649</v>
      </c>
      <c r="Z272" s="336">
        <f t="shared" si="778"/>
        <v>2340</v>
      </c>
      <c r="AA272" s="337">
        <f t="shared" si="779"/>
        <v>2340</v>
      </c>
      <c r="AB272" s="338">
        <f t="shared" si="770"/>
        <v>0</v>
      </c>
      <c r="AC272" s="336">
        <f t="shared" si="780"/>
        <v>0</v>
      </c>
      <c r="AD272" s="337">
        <f t="shared" si="781"/>
        <v>0</v>
      </c>
      <c r="AE272" s="338">
        <f t="shared" si="771"/>
        <v>0</v>
      </c>
      <c r="AF272" s="336">
        <f t="shared" si="782"/>
        <v>0</v>
      </c>
      <c r="AG272" s="337">
        <f t="shared" si="783"/>
        <v>0</v>
      </c>
      <c r="AH272" s="338">
        <f t="shared" si="772"/>
        <v>0</v>
      </c>
      <c r="AI272" s="336">
        <f t="shared" si="784"/>
        <v>0</v>
      </c>
      <c r="AJ272" s="337">
        <f t="shared" si="785"/>
        <v>0</v>
      </c>
      <c r="AK272" s="338">
        <f t="shared" si="773"/>
        <v>0</v>
      </c>
      <c r="AL272" s="342"/>
      <c r="AM272" s="336">
        <f t="shared" si="786"/>
        <v>2340</v>
      </c>
      <c r="AN272" s="339">
        <f t="shared" si="787"/>
        <v>2340</v>
      </c>
      <c r="AO272" s="340">
        <f t="shared" si="774"/>
        <v>0</v>
      </c>
      <c r="AP272" s="336">
        <f t="shared" si="788"/>
        <v>2340</v>
      </c>
      <c r="AQ272" s="339">
        <f t="shared" si="789"/>
        <v>2340</v>
      </c>
      <c r="AR272" s="340">
        <f t="shared" si="775"/>
        <v>0</v>
      </c>
      <c r="AS272" s="341">
        <f t="shared" si="790"/>
        <v>2340</v>
      </c>
      <c r="AT272" s="339">
        <f t="shared" si="791"/>
        <v>2340</v>
      </c>
      <c r="AU272" s="340">
        <f t="shared" si="776"/>
        <v>0</v>
      </c>
      <c r="AV272" s="589">
        <f t="shared" si="792"/>
        <v>0</v>
      </c>
      <c r="AW272" s="343"/>
      <c r="AX272" s="344"/>
      <c r="AY272" s="345"/>
      <c r="AZ272" s="344"/>
      <c r="BA272" s="1133">
        <v>2340</v>
      </c>
      <c r="BB272" s="1153">
        <v>2340</v>
      </c>
      <c r="BC272" s="347"/>
      <c r="BD272" s="348"/>
      <c r="BE272" s="349"/>
      <c r="BF272" s="348"/>
      <c r="BG272" s="349"/>
      <c r="BH272" s="350"/>
      <c r="BI272" s="351"/>
      <c r="BJ272" s="352"/>
      <c r="BK272" s="337"/>
      <c r="BL272" s="352"/>
      <c r="BM272" s="337"/>
      <c r="BN272" s="353"/>
      <c r="BO272" s="354"/>
      <c r="BP272" s="355"/>
      <c r="BQ272" s="356"/>
      <c r="BR272" s="355"/>
      <c r="BS272" s="356"/>
      <c r="BT272" s="357"/>
    </row>
    <row r="273" spans="1:72" s="313" customFormat="1" ht="38.25">
      <c r="A273" s="287">
        <v>238</v>
      </c>
      <c r="B273" s="935"/>
      <c r="C273" s="840"/>
      <c r="D273" s="841"/>
      <c r="E273" s="839"/>
      <c r="F273" s="821" t="s">
        <v>23</v>
      </c>
      <c r="G273" s="314">
        <v>2</v>
      </c>
      <c r="H273" s="739" t="s">
        <v>71</v>
      </c>
      <c r="I273" s="739">
        <v>244</v>
      </c>
      <c r="J273" s="740">
        <v>346</v>
      </c>
      <c r="K273" s="533" t="s">
        <v>689</v>
      </c>
      <c r="L273" s="318">
        <v>38055</v>
      </c>
      <c r="M273" s="318"/>
      <c r="N273" s="318"/>
      <c r="O273" s="1052">
        <f t="shared" si="777"/>
        <v>38055</v>
      </c>
      <c r="P273" s="570"/>
      <c r="Q273" s="336"/>
      <c r="R273" s="329"/>
      <c r="S273" s="319"/>
      <c r="T273" s="329"/>
      <c r="U273" s="335"/>
      <c r="V273" s="596" t="s">
        <v>598</v>
      </c>
      <c r="W273" s="596" t="s">
        <v>741</v>
      </c>
      <c r="X273" s="596" t="s">
        <v>742</v>
      </c>
      <c r="Z273" s="336">
        <f t="shared" si="778"/>
        <v>0</v>
      </c>
      <c r="AA273" s="337">
        <f t="shared" si="779"/>
        <v>0</v>
      </c>
      <c r="AB273" s="338">
        <f t="shared" ref="AB273" si="809">Z273-AA273</f>
        <v>0</v>
      </c>
      <c r="AC273" s="336">
        <f t="shared" si="780"/>
        <v>15995</v>
      </c>
      <c r="AD273" s="337">
        <f t="shared" si="781"/>
        <v>4965</v>
      </c>
      <c r="AE273" s="338">
        <f t="shared" ref="AE273" si="810">AC273-AD273</f>
        <v>11030</v>
      </c>
      <c r="AF273" s="336">
        <f t="shared" si="782"/>
        <v>11030</v>
      </c>
      <c r="AG273" s="337">
        <f t="shared" si="783"/>
        <v>0</v>
      </c>
      <c r="AH273" s="338">
        <f t="shared" ref="AH273" si="811">AF273-AG273</f>
        <v>11030</v>
      </c>
      <c r="AI273" s="336">
        <f t="shared" si="784"/>
        <v>11030</v>
      </c>
      <c r="AJ273" s="337">
        <f t="shared" si="785"/>
        <v>0</v>
      </c>
      <c r="AK273" s="338">
        <f t="shared" ref="AK273" si="812">AI273-AJ273</f>
        <v>11030</v>
      </c>
      <c r="AL273" s="342"/>
      <c r="AM273" s="336">
        <f t="shared" si="786"/>
        <v>15995</v>
      </c>
      <c r="AN273" s="339">
        <f t="shared" si="787"/>
        <v>4965</v>
      </c>
      <c r="AO273" s="340">
        <f t="shared" ref="AO273" si="813">AM273-AN273</f>
        <v>11030</v>
      </c>
      <c r="AP273" s="336">
        <f t="shared" si="788"/>
        <v>27025</v>
      </c>
      <c r="AQ273" s="339">
        <f t="shared" si="789"/>
        <v>4965</v>
      </c>
      <c r="AR273" s="340">
        <f t="shared" ref="AR273" si="814">AP273-AQ273</f>
        <v>22060</v>
      </c>
      <c r="AS273" s="341">
        <f t="shared" si="790"/>
        <v>38055</v>
      </c>
      <c r="AT273" s="339">
        <f t="shared" si="791"/>
        <v>4965</v>
      </c>
      <c r="AU273" s="340">
        <f t="shared" ref="AU273" si="815">AS273-AT273</f>
        <v>33090</v>
      </c>
      <c r="AV273" s="589">
        <f t="shared" si="792"/>
        <v>0</v>
      </c>
      <c r="AW273" s="343"/>
      <c r="AX273" s="344"/>
      <c r="AY273" s="345"/>
      <c r="AZ273" s="344"/>
      <c r="BA273" s="345"/>
      <c r="BB273" s="346"/>
      <c r="BC273" s="1134">
        <f>4965+5515</f>
        <v>10480</v>
      </c>
      <c r="BD273" s="1140">
        <v>4965</v>
      </c>
      <c r="BE273" s="1135">
        <v>5515</v>
      </c>
      <c r="BF273" s="348"/>
      <c r="BG273" s="1135"/>
      <c r="BH273" s="350"/>
      <c r="BI273" s="1136"/>
      <c r="BJ273" s="352"/>
      <c r="BK273" s="1137">
        <v>5515</v>
      </c>
      <c r="BL273" s="352"/>
      <c r="BM273" s="1137">
        <v>5515</v>
      </c>
      <c r="BN273" s="353"/>
      <c r="BO273" s="1138">
        <v>5515</v>
      </c>
      <c r="BP273" s="355"/>
      <c r="BQ273" s="1139">
        <v>5515</v>
      </c>
      <c r="BR273" s="355"/>
      <c r="BS273" s="1139"/>
      <c r="BT273" s="357"/>
    </row>
    <row r="274" spans="1:72" s="358" customFormat="1" ht="31.5" customHeight="1">
      <c r="A274" s="287">
        <v>239</v>
      </c>
      <c r="B274" s="941"/>
      <c r="C274" s="850" t="s">
        <v>377</v>
      </c>
      <c r="D274" s="838"/>
      <c r="E274" s="836" t="s">
        <v>201</v>
      </c>
      <c r="F274" s="820" t="s">
        <v>23</v>
      </c>
      <c r="G274" s="360">
        <v>2</v>
      </c>
      <c r="H274" s="360" t="s">
        <v>71</v>
      </c>
      <c r="I274" s="360">
        <v>244</v>
      </c>
      <c r="J274" s="361">
        <v>346</v>
      </c>
      <c r="K274" s="532" t="s">
        <v>499</v>
      </c>
      <c r="L274" s="1023">
        <f>SUM(L275:L288)</f>
        <v>78320</v>
      </c>
      <c r="M274" s="363"/>
      <c r="N274" s="363">
        <f>SUM(N275:N288)</f>
        <v>72367</v>
      </c>
      <c r="O274" s="1051">
        <f t="shared" si="424"/>
        <v>150687</v>
      </c>
      <c r="P274" s="571"/>
      <c r="Q274" s="367">
        <f>SUM(Q275:Q288)</f>
        <v>0</v>
      </c>
      <c r="R274" s="557"/>
      <c r="S274" s="367">
        <f>SUM(S275:S288)</f>
        <v>0</v>
      </c>
      <c r="T274" s="557"/>
      <c r="U274" s="365"/>
      <c r="V274" s="366"/>
      <c r="W274" s="366"/>
      <c r="X274" s="366"/>
      <c r="Z274" s="367">
        <f t="shared" si="727"/>
        <v>57860</v>
      </c>
      <c r="AA274" s="363">
        <f t="shared" si="727"/>
        <v>36650</v>
      </c>
      <c r="AB274" s="280">
        <f t="shared" ref="AB274:AB292" si="816">Z274-AA274</f>
        <v>21210</v>
      </c>
      <c r="AC274" s="367">
        <f t="shared" si="728"/>
        <v>53556</v>
      </c>
      <c r="AD274" s="363">
        <f t="shared" si="728"/>
        <v>8740</v>
      </c>
      <c r="AE274" s="280">
        <f t="shared" ref="AE274:AE292" si="817">AC274-AD274</f>
        <v>44816</v>
      </c>
      <c r="AF274" s="367">
        <f t="shared" si="729"/>
        <v>38056</v>
      </c>
      <c r="AG274" s="363">
        <f t="shared" si="729"/>
        <v>0</v>
      </c>
      <c r="AH274" s="280">
        <f t="shared" ref="AH274:AH292" si="818">AF274-AG274</f>
        <v>38056</v>
      </c>
      <c r="AI274" s="367">
        <f t="shared" si="730"/>
        <v>1000</v>
      </c>
      <c r="AJ274" s="363">
        <f t="shared" si="730"/>
        <v>0</v>
      </c>
      <c r="AK274" s="280">
        <f t="shared" ref="AK274:AK292" si="819">AI274-AJ274</f>
        <v>1000</v>
      </c>
      <c r="AL274" s="368"/>
      <c r="AM274" s="367">
        <f t="shared" si="731"/>
        <v>111416</v>
      </c>
      <c r="AN274" s="363">
        <f t="shared" si="731"/>
        <v>45390</v>
      </c>
      <c r="AO274" s="280">
        <f t="shared" ref="AO274:AO292" si="820">AM274-AN274</f>
        <v>66026</v>
      </c>
      <c r="AP274" s="367">
        <f t="shared" si="732"/>
        <v>149472</v>
      </c>
      <c r="AQ274" s="363">
        <f t="shared" si="732"/>
        <v>45390</v>
      </c>
      <c r="AR274" s="280">
        <f t="shared" ref="AR274:AR292" si="821">AP274-AQ274</f>
        <v>104082</v>
      </c>
      <c r="AS274" s="367">
        <f t="shared" si="733"/>
        <v>150472</v>
      </c>
      <c r="AT274" s="363">
        <f t="shared" si="733"/>
        <v>45390</v>
      </c>
      <c r="AU274" s="280">
        <f t="shared" ref="AU274:AU292" si="822">AS274-AT274</f>
        <v>105082</v>
      </c>
      <c r="AV274" s="588">
        <f t="shared" si="502"/>
        <v>-72152</v>
      </c>
      <c r="AW274" s="367">
        <f t="shared" ref="AW274:BT274" si="823">SUM(AW275:AW288)</f>
        <v>0</v>
      </c>
      <c r="AX274" s="363">
        <f t="shared" si="823"/>
        <v>0</v>
      </c>
      <c r="AY274" s="363">
        <f t="shared" si="823"/>
        <v>1201</v>
      </c>
      <c r="AZ274" s="363">
        <f t="shared" si="823"/>
        <v>1201</v>
      </c>
      <c r="BA274" s="363">
        <f t="shared" si="823"/>
        <v>56659</v>
      </c>
      <c r="BB274" s="369">
        <f t="shared" si="823"/>
        <v>35449</v>
      </c>
      <c r="BC274" s="367">
        <f t="shared" si="823"/>
        <v>8740</v>
      </c>
      <c r="BD274" s="363">
        <f t="shared" si="823"/>
        <v>8740</v>
      </c>
      <c r="BE274" s="363">
        <f t="shared" si="823"/>
        <v>44816</v>
      </c>
      <c r="BF274" s="363">
        <f t="shared" si="823"/>
        <v>0</v>
      </c>
      <c r="BG274" s="363">
        <f t="shared" si="823"/>
        <v>0</v>
      </c>
      <c r="BH274" s="369">
        <f t="shared" si="823"/>
        <v>0</v>
      </c>
      <c r="BI274" s="367">
        <f t="shared" si="823"/>
        <v>0</v>
      </c>
      <c r="BJ274" s="363">
        <f t="shared" si="823"/>
        <v>0</v>
      </c>
      <c r="BK274" s="363">
        <f t="shared" si="823"/>
        <v>38056</v>
      </c>
      <c r="BL274" s="363">
        <f t="shared" si="823"/>
        <v>0</v>
      </c>
      <c r="BM274" s="363">
        <f t="shared" si="823"/>
        <v>0</v>
      </c>
      <c r="BN274" s="369">
        <f t="shared" si="823"/>
        <v>0</v>
      </c>
      <c r="BO274" s="367">
        <f t="shared" si="823"/>
        <v>0</v>
      </c>
      <c r="BP274" s="363">
        <f t="shared" si="823"/>
        <v>0</v>
      </c>
      <c r="BQ274" s="363">
        <f t="shared" si="823"/>
        <v>1000</v>
      </c>
      <c r="BR274" s="363">
        <f t="shared" si="823"/>
        <v>0</v>
      </c>
      <c r="BS274" s="363">
        <f t="shared" si="823"/>
        <v>0</v>
      </c>
      <c r="BT274" s="280">
        <f t="shared" si="823"/>
        <v>0</v>
      </c>
    </row>
    <row r="275" spans="1:72" s="313" customFormat="1" ht="63.75" outlineLevel="2">
      <c r="A275" s="287">
        <v>240</v>
      </c>
      <c r="B275" s="941"/>
      <c r="C275" s="840"/>
      <c r="D275" s="841"/>
      <c r="E275" s="839"/>
      <c r="F275" s="821" t="s">
        <v>23</v>
      </c>
      <c r="G275" s="314">
        <v>2</v>
      </c>
      <c r="H275" s="739" t="s">
        <v>71</v>
      </c>
      <c r="I275" s="739">
        <v>244</v>
      </c>
      <c r="J275" s="740">
        <v>346</v>
      </c>
      <c r="K275" s="533" t="s">
        <v>501</v>
      </c>
      <c r="L275" s="1025">
        <v>9130</v>
      </c>
      <c r="M275" s="318"/>
      <c r="N275" s="318"/>
      <c r="O275" s="1052">
        <f t="shared" si="424"/>
        <v>9130</v>
      </c>
      <c r="P275" s="570"/>
      <c r="Q275" s="336">
        <v>0</v>
      </c>
      <c r="R275" s="559"/>
      <c r="S275" s="541">
        <v>0</v>
      </c>
      <c r="T275" s="559"/>
      <c r="U275" s="335"/>
      <c r="V275" s="596" t="s">
        <v>502</v>
      </c>
      <c r="W275" s="596" t="s">
        <v>551</v>
      </c>
      <c r="X275" s="596"/>
      <c r="Z275" s="336">
        <f t="shared" si="727"/>
        <v>9130</v>
      </c>
      <c r="AA275" s="337">
        <f t="shared" si="727"/>
        <v>9130</v>
      </c>
      <c r="AB275" s="338">
        <f t="shared" si="816"/>
        <v>0</v>
      </c>
      <c r="AC275" s="336">
        <f t="shared" si="728"/>
        <v>0</v>
      </c>
      <c r="AD275" s="337">
        <f t="shared" si="728"/>
        <v>0</v>
      </c>
      <c r="AE275" s="338">
        <f t="shared" si="817"/>
        <v>0</v>
      </c>
      <c r="AF275" s="336">
        <f t="shared" si="729"/>
        <v>0</v>
      </c>
      <c r="AG275" s="337">
        <f t="shared" si="729"/>
        <v>0</v>
      </c>
      <c r="AH275" s="338">
        <f t="shared" si="818"/>
        <v>0</v>
      </c>
      <c r="AI275" s="336">
        <f t="shared" si="730"/>
        <v>0</v>
      </c>
      <c r="AJ275" s="337">
        <f t="shared" si="730"/>
        <v>0</v>
      </c>
      <c r="AK275" s="338">
        <f t="shared" si="819"/>
        <v>0</v>
      </c>
      <c r="AL275" s="342"/>
      <c r="AM275" s="336">
        <f t="shared" si="731"/>
        <v>9130</v>
      </c>
      <c r="AN275" s="339">
        <f t="shared" si="731"/>
        <v>9130</v>
      </c>
      <c r="AO275" s="340">
        <f t="shared" si="820"/>
        <v>0</v>
      </c>
      <c r="AP275" s="336">
        <f t="shared" si="732"/>
        <v>9130</v>
      </c>
      <c r="AQ275" s="339">
        <f t="shared" si="732"/>
        <v>9130</v>
      </c>
      <c r="AR275" s="340">
        <f t="shared" si="821"/>
        <v>0</v>
      </c>
      <c r="AS275" s="341">
        <f t="shared" si="733"/>
        <v>9130</v>
      </c>
      <c r="AT275" s="339">
        <f t="shared" si="733"/>
        <v>9130</v>
      </c>
      <c r="AU275" s="340">
        <f t="shared" si="822"/>
        <v>0</v>
      </c>
      <c r="AV275" s="589">
        <f t="shared" si="502"/>
        <v>0</v>
      </c>
      <c r="AW275" s="343"/>
      <c r="AX275" s="344"/>
      <c r="AY275" s="1133"/>
      <c r="AZ275" s="1152"/>
      <c r="BA275" s="1133">
        <v>9130</v>
      </c>
      <c r="BB275" s="1152">
        <v>9130</v>
      </c>
      <c r="BC275" s="347"/>
      <c r="BD275" s="348"/>
      <c r="BE275" s="349"/>
      <c r="BF275" s="348"/>
      <c r="BG275" s="349"/>
      <c r="BH275" s="350"/>
      <c r="BI275" s="351"/>
      <c r="BJ275" s="352"/>
      <c r="BK275" s="337"/>
      <c r="BL275" s="352"/>
      <c r="BM275" s="337"/>
      <c r="BN275" s="353"/>
      <c r="BO275" s="354"/>
      <c r="BP275" s="355"/>
      <c r="BQ275" s="356"/>
      <c r="BR275" s="355"/>
      <c r="BS275" s="356"/>
      <c r="BT275" s="357"/>
    </row>
    <row r="276" spans="1:72" s="313" customFormat="1" ht="25.5" outlineLevel="2">
      <c r="A276" s="287">
        <v>241</v>
      </c>
      <c r="B276" s="941"/>
      <c r="C276" s="840"/>
      <c r="D276" s="841"/>
      <c r="E276" s="839"/>
      <c r="F276" s="821" t="s">
        <v>23</v>
      </c>
      <c r="G276" s="314">
        <v>2</v>
      </c>
      <c r="H276" s="739" t="s">
        <v>71</v>
      </c>
      <c r="I276" s="739">
        <v>244</v>
      </c>
      <c r="J276" s="740">
        <v>346</v>
      </c>
      <c r="K276" s="533" t="s">
        <v>510</v>
      </c>
      <c r="L276" s="1025">
        <v>42300</v>
      </c>
      <c r="M276" s="318"/>
      <c r="N276" s="318"/>
      <c r="O276" s="1052">
        <f t="shared" si="424"/>
        <v>42300</v>
      </c>
      <c r="P276" s="570"/>
      <c r="Q276" s="336">
        <v>0</v>
      </c>
      <c r="R276" s="559"/>
      <c r="S276" s="541">
        <v>0</v>
      </c>
      <c r="T276" s="559"/>
      <c r="U276" s="335"/>
      <c r="V276" s="596" t="s">
        <v>511</v>
      </c>
      <c r="W276" s="596" t="s">
        <v>601</v>
      </c>
      <c r="X276" s="320" t="s">
        <v>602</v>
      </c>
      <c r="Z276" s="336">
        <f t="shared" si="727"/>
        <v>18244</v>
      </c>
      <c r="AA276" s="337">
        <f t="shared" si="727"/>
        <v>18244</v>
      </c>
      <c r="AB276" s="338">
        <f t="shared" si="816"/>
        <v>0</v>
      </c>
      <c r="AC276" s="336">
        <f t="shared" si="728"/>
        <v>0</v>
      </c>
      <c r="AD276" s="337">
        <f t="shared" si="728"/>
        <v>0</v>
      </c>
      <c r="AE276" s="338">
        <f t="shared" si="817"/>
        <v>0</v>
      </c>
      <c r="AF276" s="336">
        <f t="shared" si="729"/>
        <v>24056</v>
      </c>
      <c r="AG276" s="337">
        <f t="shared" si="729"/>
        <v>0</v>
      </c>
      <c r="AH276" s="338">
        <f t="shared" si="818"/>
        <v>24056</v>
      </c>
      <c r="AI276" s="336">
        <f t="shared" si="730"/>
        <v>0</v>
      </c>
      <c r="AJ276" s="337">
        <f t="shared" si="730"/>
        <v>0</v>
      </c>
      <c r="AK276" s="338">
        <f t="shared" si="819"/>
        <v>0</v>
      </c>
      <c r="AL276" s="342"/>
      <c r="AM276" s="336">
        <f t="shared" si="731"/>
        <v>18244</v>
      </c>
      <c r="AN276" s="339">
        <f t="shared" si="731"/>
        <v>18244</v>
      </c>
      <c r="AO276" s="340">
        <f t="shared" si="820"/>
        <v>0</v>
      </c>
      <c r="AP276" s="336">
        <f t="shared" si="732"/>
        <v>42300</v>
      </c>
      <c r="AQ276" s="339">
        <f t="shared" si="732"/>
        <v>18244</v>
      </c>
      <c r="AR276" s="340">
        <f t="shared" si="821"/>
        <v>24056</v>
      </c>
      <c r="AS276" s="341">
        <f t="shared" si="733"/>
        <v>42300</v>
      </c>
      <c r="AT276" s="339">
        <f t="shared" si="733"/>
        <v>18244</v>
      </c>
      <c r="AU276" s="340">
        <f t="shared" si="822"/>
        <v>24056</v>
      </c>
      <c r="AV276" s="1155">
        <f t="shared" si="502"/>
        <v>0</v>
      </c>
      <c r="AW276" s="343"/>
      <c r="AX276" s="344"/>
      <c r="AY276" s="345"/>
      <c r="AZ276" s="344"/>
      <c r="BA276" s="1133">
        <v>18244</v>
      </c>
      <c r="BB276" s="1153">
        <v>18244</v>
      </c>
      <c r="BC276" s="347"/>
      <c r="BD276" s="348"/>
      <c r="BE276" s="349"/>
      <c r="BF276" s="348"/>
      <c r="BG276" s="349"/>
      <c r="BH276" s="350"/>
      <c r="BI276" s="351"/>
      <c r="BJ276" s="352"/>
      <c r="BK276" s="337">
        <v>24056</v>
      </c>
      <c r="BL276" s="352"/>
      <c r="BM276" s="337"/>
      <c r="BN276" s="353"/>
      <c r="BO276" s="354"/>
      <c r="BP276" s="355"/>
      <c r="BQ276" s="356"/>
      <c r="BR276" s="355"/>
      <c r="BS276" s="356"/>
      <c r="BT276" s="357"/>
    </row>
    <row r="277" spans="1:72" s="313" customFormat="1" ht="25.5" outlineLevel="2">
      <c r="A277" s="287">
        <v>242</v>
      </c>
      <c r="B277" s="941"/>
      <c r="C277" s="840"/>
      <c r="D277" s="841"/>
      <c r="E277" s="839"/>
      <c r="F277" s="821" t="s">
        <v>23</v>
      </c>
      <c r="G277" s="314">
        <v>2</v>
      </c>
      <c r="H277" s="739" t="s">
        <v>71</v>
      </c>
      <c r="I277" s="739">
        <v>244</v>
      </c>
      <c r="J277" s="740">
        <v>346</v>
      </c>
      <c r="K277" s="533" t="s">
        <v>584</v>
      </c>
      <c r="L277" s="1025">
        <v>4290</v>
      </c>
      <c r="M277" s="318"/>
      <c r="N277" s="318"/>
      <c r="O277" s="1052">
        <f t="shared" si="424"/>
        <v>4290</v>
      </c>
      <c r="P277" s="570"/>
      <c r="Q277" s="336">
        <v>0</v>
      </c>
      <c r="R277" s="559"/>
      <c r="S277" s="541">
        <v>0</v>
      </c>
      <c r="T277" s="559"/>
      <c r="U277" s="335"/>
      <c r="V277" s="596" t="s">
        <v>579</v>
      </c>
      <c r="W277" s="596" t="s">
        <v>578</v>
      </c>
      <c r="X277" s="596" t="s">
        <v>580</v>
      </c>
      <c r="Z277" s="336">
        <f t="shared" si="727"/>
        <v>4075</v>
      </c>
      <c r="AA277" s="337">
        <f t="shared" si="727"/>
        <v>4075</v>
      </c>
      <c r="AB277" s="338">
        <f t="shared" si="816"/>
        <v>0</v>
      </c>
      <c r="AC277" s="336">
        <f t="shared" si="728"/>
        <v>0</v>
      </c>
      <c r="AD277" s="337">
        <f t="shared" si="728"/>
        <v>0</v>
      </c>
      <c r="AE277" s="338">
        <f t="shared" si="817"/>
        <v>0</v>
      </c>
      <c r="AF277" s="336">
        <f t="shared" si="729"/>
        <v>0</v>
      </c>
      <c r="AG277" s="337">
        <f t="shared" si="729"/>
        <v>0</v>
      </c>
      <c r="AH277" s="338">
        <f t="shared" si="818"/>
        <v>0</v>
      </c>
      <c r="AI277" s="336">
        <f t="shared" si="730"/>
        <v>0</v>
      </c>
      <c r="AJ277" s="337">
        <f t="shared" si="730"/>
        <v>0</v>
      </c>
      <c r="AK277" s="338">
        <f t="shared" si="819"/>
        <v>0</v>
      </c>
      <c r="AL277" s="342"/>
      <c r="AM277" s="336">
        <f t="shared" si="731"/>
        <v>4075</v>
      </c>
      <c r="AN277" s="339">
        <f t="shared" si="731"/>
        <v>4075</v>
      </c>
      <c r="AO277" s="340">
        <f t="shared" si="820"/>
        <v>0</v>
      </c>
      <c r="AP277" s="336">
        <f t="shared" si="732"/>
        <v>4075</v>
      </c>
      <c r="AQ277" s="339">
        <f t="shared" si="732"/>
        <v>4075</v>
      </c>
      <c r="AR277" s="340">
        <f t="shared" si="821"/>
        <v>0</v>
      </c>
      <c r="AS277" s="341">
        <f t="shared" si="733"/>
        <v>4075</v>
      </c>
      <c r="AT277" s="339">
        <f t="shared" si="733"/>
        <v>4075</v>
      </c>
      <c r="AU277" s="340">
        <f t="shared" si="822"/>
        <v>0</v>
      </c>
      <c r="AV277" s="803">
        <f t="shared" si="502"/>
        <v>215</v>
      </c>
      <c r="AW277" s="343"/>
      <c r="AX277" s="344"/>
      <c r="AY277" s="345"/>
      <c r="AZ277" s="344"/>
      <c r="BA277" s="1133">
        <v>4075</v>
      </c>
      <c r="BB277" s="1153">
        <v>4075</v>
      </c>
      <c r="BC277" s="347"/>
      <c r="BD277" s="348"/>
      <c r="BE277" s="349"/>
      <c r="BF277" s="348"/>
      <c r="BG277" s="349"/>
      <c r="BH277" s="350"/>
      <c r="BI277" s="351"/>
      <c r="BJ277" s="352"/>
      <c r="BK277" s="337"/>
      <c r="BL277" s="352"/>
      <c r="BM277" s="337"/>
      <c r="BN277" s="353"/>
      <c r="BO277" s="354"/>
      <c r="BP277" s="355"/>
      <c r="BQ277" s="356"/>
      <c r="BR277" s="355"/>
      <c r="BS277" s="356"/>
      <c r="BT277" s="357"/>
    </row>
    <row r="278" spans="1:72" s="313" customFormat="1" ht="25.5" outlineLevel="2">
      <c r="A278" s="287">
        <v>243</v>
      </c>
      <c r="B278" s="1143"/>
      <c r="C278" s="840"/>
      <c r="D278" s="841"/>
      <c r="E278" s="839"/>
      <c r="F278" s="821" t="s">
        <v>23</v>
      </c>
      <c r="G278" s="314">
        <v>2</v>
      </c>
      <c r="H278" s="739" t="s">
        <v>71</v>
      </c>
      <c r="I278" s="739">
        <v>244</v>
      </c>
      <c r="J278" s="740">
        <v>346</v>
      </c>
      <c r="K278" s="533" t="s">
        <v>635</v>
      </c>
      <c r="L278" s="1025">
        <v>12000</v>
      </c>
      <c r="M278" s="318"/>
      <c r="N278" s="318"/>
      <c r="O278" s="1052">
        <f t="shared" si="424"/>
        <v>12000</v>
      </c>
      <c r="P278" s="570"/>
      <c r="Q278" s="336">
        <v>0</v>
      </c>
      <c r="R278" s="559"/>
      <c r="S278" s="541">
        <v>0</v>
      </c>
      <c r="T278" s="559"/>
      <c r="U278" s="335"/>
      <c r="V278" s="596" t="s">
        <v>579</v>
      </c>
      <c r="W278" s="596" t="s">
        <v>481</v>
      </c>
      <c r="X278" s="320"/>
      <c r="Z278" s="336">
        <f t="shared" si="727"/>
        <v>0</v>
      </c>
      <c r="AA278" s="337">
        <f t="shared" si="727"/>
        <v>0</v>
      </c>
      <c r="AB278" s="338">
        <f t="shared" si="816"/>
        <v>0</v>
      </c>
      <c r="AC278" s="336">
        <f t="shared" si="728"/>
        <v>0</v>
      </c>
      <c r="AD278" s="337">
        <f t="shared" si="728"/>
        <v>0</v>
      </c>
      <c r="AE278" s="338">
        <f t="shared" si="817"/>
        <v>0</v>
      </c>
      <c r="AF278" s="336">
        <f t="shared" si="729"/>
        <v>12000</v>
      </c>
      <c r="AG278" s="337">
        <f t="shared" si="729"/>
        <v>0</v>
      </c>
      <c r="AH278" s="338">
        <f t="shared" si="818"/>
        <v>12000</v>
      </c>
      <c r="AI278" s="336">
        <f t="shared" si="730"/>
        <v>0</v>
      </c>
      <c r="AJ278" s="337">
        <f t="shared" si="730"/>
        <v>0</v>
      </c>
      <c r="AK278" s="338">
        <f t="shared" si="819"/>
        <v>0</v>
      </c>
      <c r="AL278" s="342"/>
      <c r="AM278" s="336">
        <f t="shared" si="731"/>
        <v>0</v>
      </c>
      <c r="AN278" s="339">
        <f t="shared" si="731"/>
        <v>0</v>
      </c>
      <c r="AO278" s="340">
        <f t="shared" si="820"/>
        <v>0</v>
      </c>
      <c r="AP278" s="336">
        <f t="shared" si="732"/>
        <v>12000</v>
      </c>
      <c r="AQ278" s="339">
        <f t="shared" si="732"/>
        <v>0</v>
      </c>
      <c r="AR278" s="340">
        <f t="shared" si="821"/>
        <v>12000</v>
      </c>
      <c r="AS278" s="341">
        <f t="shared" si="733"/>
        <v>12000</v>
      </c>
      <c r="AT278" s="339">
        <f t="shared" si="733"/>
        <v>0</v>
      </c>
      <c r="AU278" s="340">
        <f t="shared" si="822"/>
        <v>12000</v>
      </c>
      <c r="AV278" s="589">
        <f t="shared" si="502"/>
        <v>0</v>
      </c>
      <c r="AW278" s="343"/>
      <c r="AX278" s="344"/>
      <c r="AY278" s="345"/>
      <c r="AZ278" s="344"/>
      <c r="BA278" s="345"/>
      <c r="BB278" s="346"/>
      <c r="BC278" s="347"/>
      <c r="BD278" s="348"/>
      <c r="BE278" s="349"/>
      <c r="BF278" s="348"/>
      <c r="BG278" s="349"/>
      <c r="BH278" s="350"/>
      <c r="BI278" s="351"/>
      <c r="BJ278" s="352"/>
      <c r="BK278" s="337">
        <v>12000</v>
      </c>
      <c r="BL278" s="352"/>
      <c r="BM278" s="337"/>
      <c r="BN278" s="353"/>
      <c r="BO278" s="354"/>
      <c r="BP278" s="355"/>
      <c r="BQ278" s="356"/>
      <c r="BR278" s="355"/>
      <c r="BS278" s="356"/>
      <c r="BT278" s="357"/>
    </row>
    <row r="279" spans="1:72" s="313" customFormat="1" ht="25.5" outlineLevel="2">
      <c r="A279" s="287">
        <v>244</v>
      </c>
      <c r="B279" s="1143" t="s">
        <v>634</v>
      </c>
      <c r="C279" s="840"/>
      <c r="D279" s="841"/>
      <c r="E279" s="839"/>
      <c r="F279" s="821" t="s">
        <v>23</v>
      </c>
      <c r="G279" s="314">
        <v>2</v>
      </c>
      <c r="H279" s="739" t="s">
        <v>71</v>
      </c>
      <c r="I279" s="739">
        <v>244</v>
      </c>
      <c r="J279" s="740">
        <v>346</v>
      </c>
      <c r="K279" s="533" t="s">
        <v>636</v>
      </c>
      <c r="L279" s="1025"/>
      <c r="M279" s="318"/>
      <c r="N279" s="318">
        <v>21210</v>
      </c>
      <c r="O279" s="1052">
        <f t="shared" ref="O279" si="824">L279+N279</f>
        <v>21210</v>
      </c>
      <c r="P279" s="570"/>
      <c r="Q279" s="336">
        <v>0</v>
      </c>
      <c r="R279" s="559"/>
      <c r="S279" s="541">
        <v>0</v>
      </c>
      <c r="T279" s="559"/>
      <c r="U279" s="335"/>
      <c r="V279" s="596" t="s">
        <v>637</v>
      </c>
      <c r="W279" s="320" t="s">
        <v>481</v>
      </c>
      <c r="X279" s="320"/>
      <c r="Z279" s="336">
        <f t="shared" ref="Z279" si="825">AW279+AY279+BA279</f>
        <v>21210</v>
      </c>
      <c r="AA279" s="337">
        <f t="shared" ref="AA279" si="826">AX279+AZ279+BB279</f>
        <v>0</v>
      </c>
      <c r="AB279" s="338">
        <f t="shared" ref="AB279" si="827">Z279-AA279</f>
        <v>21210</v>
      </c>
      <c r="AC279" s="336">
        <f t="shared" ref="AC279" si="828">BC279+BE279+BG279</f>
        <v>0</v>
      </c>
      <c r="AD279" s="337">
        <f t="shared" ref="AD279" si="829">BD279+BF279+BH279</f>
        <v>0</v>
      </c>
      <c r="AE279" s="338">
        <f t="shared" ref="AE279" si="830">AC279-AD279</f>
        <v>0</v>
      </c>
      <c r="AF279" s="336">
        <f t="shared" ref="AF279" si="831">BI279+BK279+BM279</f>
        <v>0</v>
      </c>
      <c r="AG279" s="337">
        <f t="shared" ref="AG279" si="832">BJ279+BL279+BN279</f>
        <v>0</v>
      </c>
      <c r="AH279" s="338">
        <f t="shared" ref="AH279" si="833">AF279-AG279</f>
        <v>0</v>
      </c>
      <c r="AI279" s="336">
        <f t="shared" ref="AI279" si="834">BO279+BQ279+BS279</f>
        <v>0</v>
      </c>
      <c r="AJ279" s="337">
        <f t="shared" ref="AJ279" si="835">BP279+BR279+BT279</f>
        <v>0</v>
      </c>
      <c r="AK279" s="338">
        <f t="shared" ref="AK279" si="836">AI279-AJ279</f>
        <v>0</v>
      </c>
      <c r="AL279" s="342"/>
      <c r="AM279" s="336">
        <f t="shared" ref="AM279" si="837">Z279+AC279</f>
        <v>21210</v>
      </c>
      <c r="AN279" s="339">
        <f t="shared" ref="AN279" si="838">AA279+AD279</f>
        <v>0</v>
      </c>
      <c r="AO279" s="340">
        <f t="shared" ref="AO279" si="839">AM279-AN279</f>
        <v>21210</v>
      </c>
      <c r="AP279" s="336">
        <f t="shared" ref="AP279" si="840">Z279+AC279+AF279</f>
        <v>21210</v>
      </c>
      <c r="AQ279" s="339">
        <f t="shared" ref="AQ279" si="841">AA279+AD279+AG279</f>
        <v>0</v>
      </c>
      <c r="AR279" s="340">
        <f t="shared" ref="AR279" si="842">AP279-AQ279</f>
        <v>21210</v>
      </c>
      <c r="AS279" s="341">
        <f t="shared" ref="AS279" si="843">Z279+AC279+AF279+AI279</f>
        <v>21210</v>
      </c>
      <c r="AT279" s="339">
        <f t="shared" ref="AT279" si="844">AA279+AD279+AG279+AJ279</f>
        <v>0</v>
      </c>
      <c r="AU279" s="340">
        <f t="shared" ref="AU279" si="845">AS279-AT279</f>
        <v>21210</v>
      </c>
      <c r="AV279" s="589">
        <f t="shared" ref="AV279" si="846">L279-AS279</f>
        <v>-21210</v>
      </c>
      <c r="AW279" s="343"/>
      <c r="AX279" s="344"/>
      <c r="AY279" s="345"/>
      <c r="AZ279" s="344"/>
      <c r="BA279" s="345">
        <v>21210</v>
      </c>
      <c r="BB279" s="346"/>
      <c r="BC279" s="347"/>
      <c r="BD279" s="348"/>
      <c r="BE279" s="349"/>
      <c r="BF279" s="348"/>
      <c r="BG279" s="349"/>
      <c r="BH279" s="350"/>
      <c r="BI279" s="351"/>
      <c r="BJ279" s="352"/>
      <c r="BK279" s="337"/>
      <c r="BL279" s="352"/>
      <c r="BM279" s="337"/>
      <c r="BN279" s="353"/>
      <c r="BO279" s="354"/>
      <c r="BP279" s="355"/>
      <c r="BQ279" s="356"/>
      <c r="BR279" s="355"/>
      <c r="BS279" s="356"/>
      <c r="BT279" s="357"/>
    </row>
    <row r="280" spans="1:72" s="313" customFormat="1" ht="38.25" outlineLevel="2">
      <c r="A280" s="287">
        <v>245</v>
      </c>
      <c r="B280" s="1143"/>
      <c r="C280" s="840"/>
      <c r="D280" s="841"/>
      <c r="E280" s="839"/>
      <c r="F280" s="821" t="s">
        <v>23</v>
      </c>
      <c r="G280" s="314">
        <v>2</v>
      </c>
      <c r="H280" s="739" t="s">
        <v>71</v>
      </c>
      <c r="I280" s="739">
        <v>244</v>
      </c>
      <c r="J280" s="740">
        <v>346</v>
      </c>
      <c r="K280" s="533" t="s">
        <v>519</v>
      </c>
      <c r="L280" s="1025">
        <v>2600</v>
      </c>
      <c r="M280" s="318"/>
      <c r="N280" s="318"/>
      <c r="O280" s="1052">
        <f t="shared" si="424"/>
        <v>2600</v>
      </c>
      <c r="P280" s="570"/>
      <c r="Q280" s="336">
        <v>0</v>
      </c>
      <c r="R280" s="559"/>
      <c r="S280" s="541">
        <v>0</v>
      </c>
      <c r="T280" s="559"/>
      <c r="U280" s="335"/>
      <c r="V280" s="320"/>
      <c r="W280" s="320"/>
      <c r="X280" s="320"/>
      <c r="Z280" s="336">
        <f t="shared" si="727"/>
        <v>0</v>
      </c>
      <c r="AA280" s="337">
        <f t="shared" si="727"/>
        <v>0</v>
      </c>
      <c r="AB280" s="338">
        <f t="shared" si="816"/>
        <v>0</v>
      </c>
      <c r="AC280" s="336">
        <f t="shared" si="728"/>
        <v>2600</v>
      </c>
      <c r="AD280" s="337">
        <f t="shared" si="728"/>
        <v>0</v>
      </c>
      <c r="AE280" s="338">
        <f t="shared" si="817"/>
        <v>2600</v>
      </c>
      <c r="AF280" s="336">
        <f t="shared" si="729"/>
        <v>0</v>
      </c>
      <c r="AG280" s="337">
        <f t="shared" si="729"/>
        <v>0</v>
      </c>
      <c r="AH280" s="338">
        <f t="shared" si="818"/>
        <v>0</v>
      </c>
      <c r="AI280" s="336">
        <f t="shared" si="730"/>
        <v>0</v>
      </c>
      <c r="AJ280" s="337">
        <f t="shared" si="730"/>
        <v>0</v>
      </c>
      <c r="AK280" s="338">
        <f t="shared" si="819"/>
        <v>0</v>
      </c>
      <c r="AL280" s="342"/>
      <c r="AM280" s="336">
        <f t="shared" si="731"/>
        <v>2600</v>
      </c>
      <c r="AN280" s="339">
        <f t="shared" si="731"/>
        <v>0</v>
      </c>
      <c r="AO280" s="340">
        <f t="shared" si="820"/>
        <v>2600</v>
      </c>
      <c r="AP280" s="336">
        <f t="shared" si="732"/>
        <v>2600</v>
      </c>
      <c r="AQ280" s="339">
        <f t="shared" si="732"/>
        <v>0</v>
      </c>
      <c r="AR280" s="340">
        <f t="shared" si="821"/>
        <v>2600</v>
      </c>
      <c r="AS280" s="341">
        <f t="shared" si="733"/>
        <v>2600</v>
      </c>
      <c r="AT280" s="339">
        <f t="shared" si="733"/>
        <v>0</v>
      </c>
      <c r="AU280" s="340">
        <f t="shared" si="822"/>
        <v>2600</v>
      </c>
      <c r="AV280" s="589">
        <f t="shared" si="502"/>
        <v>0</v>
      </c>
      <c r="AW280" s="343"/>
      <c r="AX280" s="344"/>
      <c r="AY280" s="345"/>
      <c r="AZ280" s="344"/>
      <c r="BA280" s="345"/>
      <c r="BB280" s="346"/>
      <c r="BC280" s="347"/>
      <c r="BD280" s="348"/>
      <c r="BE280" s="349">
        <v>2600</v>
      </c>
      <c r="BF280" s="348"/>
      <c r="BG280" s="349"/>
      <c r="BH280" s="350"/>
      <c r="BI280" s="351"/>
      <c r="BJ280" s="352"/>
      <c r="BK280" s="337"/>
      <c r="BL280" s="352"/>
      <c r="BM280" s="337"/>
      <c r="BN280" s="353"/>
      <c r="BO280" s="354"/>
      <c r="BP280" s="355"/>
      <c r="BQ280" s="356"/>
      <c r="BR280" s="355"/>
      <c r="BS280" s="356"/>
      <c r="BT280" s="357"/>
    </row>
    <row r="281" spans="1:72" s="313" customFormat="1" ht="38.25" outlineLevel="2">
      <c r="A281" s="287">
        <v>246</v>
      </c>
      <c r="B281" s="1143"/>
      <c r="C281" s="840"/>
      <c r="D281" s="841"/>
      <c r="E281" s="839"/>
      <c r="F281" s="821" t="s">
        <v>23</v>
      </c>
      <c r="G281" s="314">
        <v>2</v>
      </c>
      <c r="H281" s="739" t="s">
        <v>71</v>
      </c>
      <c r="I281" s="739">
        <v>244</v>
      </c>
      <c r="J281" s="740">
        <v>346</v>
      </c>
      <c r="K281" s="533" t="s">
        <v>521</v>
      </c>
      <c r="L281" s="1025">
        <v>5000</v>
      </c>
      <c r="M281" s="318"/>
      <c r="N281" s="318"/>
      <c r="O281" s="1052">
        <f t="shared" si="424"/>
        <v>5000</v>
      </c>
      <c r="P281" s="570"/>
      <c r="Q281" s="336">
        <v>0</v>
      </c>
      <c r="R281" s="559"/>
      <c r="S281" s="541">
        <v>0</v>
      </c>
      <c r="T281" s="559"/>
      <c r="U281" s="335"/>
      <c r="V281" s="596" t="s">
        <v>567</v>
      </c>
      <c r="W281" s="596" t="s">
        <v>568</v>
      </c>
      <c r="X281" s="320"/>
      <c r="Z281" s="336">
        <f t="shared" si="727"/>
        <v>2000</v>
      </c>
      <c r="AA281" s="337">
        <f t="shared" si="727"/>
        <v>2000</v>
      </c>
      <c r="AB281" s="338">
        <f t="shared" si="816"/>
        <v>0</v>
      </c>
      <c r="AC281" s="336">
        <f t="shared" si="728"/>
        <v>0</v>
      </c>
      <c r="AD281" s="337">
        <f t="shared" si="728"/>
        <v>0</v>
      </c>
      <c r="AE281" s="338">
        <f t="shared" si="817"/>
        <v>0</v>
      </c>
      <c r="AF281" s="336">
        <f t="shared" si="729"/>
        <v>2000</v>
      </c>
      <c r="AG281" s="337">
        <f t="shared" si="729"/>
        <v>0</v>
      </c>
      <c r="AH281" s="338">
        <f t="shared" si="818"/>
        <v>2000</v>
      </c>
      <c r="AI281" s="336">
        <f t="shared" si="730"/>
        <v>1000</v>
      </c>
      <c r="AJ281" s="337">
        <f t="shared" si="730"/>
        <v>0</v>
      </c>
      <c r="AK281" s="338">
        <f t="shared" si="819"/>
        <v>1000</v>
      </c>
      <c r="AL281" s="342"/>
      <c r="AM281" s="336">
        <f t="shared" si="731"/>
        <v>2000</v>
      </c>
      <c r="AN281" s="339">
        <f t="shared" si="731"/>
        <v>2000</v>
      </c>
      <c r="AO281" s="340">
        <f t="shared" si="820"/>
        <v>0</v>
      </c>
      <c r="AP281" s="336">
        <f t="shared" si="732"/>
        <v>4000</v>
      </c>
      <c r="AQ281" s="339">
        <f t="shared" si="732"/>
        <v>2000</v>
      </c>
      <c r="AR281" s="340">
        <f t="shared" si="821"/>
        <v>2000</v>
      </c>
      <c r="AS281" s="341">
        <f t="shared" si="733"/>
        <v>5000</v>
      </c>
      <c r="AT281" s="339">
        <f t="shared" si="733"/>
        <v>2000</v>
      </c>
      <c r="AU281" s="340">
        <f t="shared" si="822"/>
        <v>3000</v>
      </c>
      <c r="AV281" s="589">
        <f t="shared" si="502"/>
        <v>0</v>
      </c>
      <c r="AW281" s="343"/>
      <c r="AX281" s="344"/>
      <c r="AY281" s="345"/>
      <c r="AZ281" s="344"/>
      <c r="BA281" s="1133">
        <v>2000</v>
      </c>
      <c r="BB281" s="1153">
        <v>2000</v>
      </c>
      <c r="BC281" s="347"/>
      <c r="BD281" s="348"/>
      <c r="BE281" s="349"/>
      <c r="BF281" s="348"/>
      <c r="BG281" s="349"/>
      <c r="BH281" s="350"/>
      <c r="BI281" s="351"/>
      <c r="BJ281" s="352"/>
      <c r="BK281" s="337">
        <v>2000</v>
      </c>
      <c r="BL281" s="352"/>
      <c r="BM281" s="337"/>
      <c r="BN281" s="353"/>
      <c r="BO281" s="354"/>
      <c r="BP281" s="355"/>
      <c r="BQ281" s="356">
        <v>1000</v>
      </c>
      <c r="BR281" s="355"/>
      <c r="BS281" s="356"/>
      <c r="BT281" s="357"/>
    </row>
    <row r="282" spans="1:72" s="313" customFormat="1" ht="51" outlineLevel="2">
      <c r="A282" s="287">
        <v>247</v>
      </c>
      <c r="B282" s="1143"/>
      <c r="C282" s="840"/>
      <c r="D282" s="841"/>
      <c r="E282" s="839"/>
      <c r="F282" s="821" t="s">
        <v>23</v>
      </c>
      <c r="G282" s="314">
        <v>2</v>
      </c>
      <c r="H282" s="739" t="s">
        <v>71</v>
      </c>
      <c r="I282" s="739">
        <v>244</v>
      </c>
      <c r="J282" s="740">
        <v>346</v>
      </c>
      <c r="K282" s="533" t="s">
        <v>521</v>
      </c>
      <c r="L282" s="1025">
        <v>2000</v>
      </c>
      <c r="M282" s="318"/>
      <c r="N282" s="318"/>
      <c r="O282" s="1052">
        <f t="shared" si="424"/>
        <v>2000</v>
      </c>
      <c r="P282" s="570"/>
      <c r="Q282" s="336">
        <v>0</v>
      </c>
      <c r="R282" s="559"/>
      <c r="S282" s="541">
        <v>0</v>
      </c>
      <c r="T282" s="559"/>
      <c r="U282" s="335"/>
      <c r="V282" s="596" t="s">
        <v>609</v>
      </c>
      <c r="W282" s="596" t="s">
        <v>610</v>
      </c>
      <c r="X282" s="320"/>
      <c r="Z282" s="336">
        <f t="shared" si="727"/>
        <v>2000</v>
      </c>
      <c r="AA282" s="337">
        <f t="shared" si="727"/>
        <v>2000</v>
      </c>
      <c r="AB282" s="338">
        <f t="shared" si="816"/>
        <v>0</v>
      </c>
      <c r="AC282" s="336">
        <f t="shared" si="728"/>
        <v>0</v>
      </c>
      <c r="AD282" s="337">
        <f t="shared" si="728"/>
        <v>0</v>
      </c>
      <c r="AE282" s="338">
        <f t="shared" si="817"/>
        <v>0</v>
      </c>
      <c r="AF282" s="336">
        <f t="shared" si="729"/>
        <v>0</v>
      </c>
      <c r="AG282" s="337">
        <f t="shared" si="729"/>
        <v>0</v>
      </c>
      <c r="AH282" s="338">
        <f t="shared" si="818"/>
        <v>0</v>
      </c>
      <c r="AI282" s="336">
        <f t="shared" si="730"/>
        <v>0</v>
      </c>
      <c r="AJ282" s="337">
        <f t="shared" si="730"/>
        <v>0</v>
      </c>
      <c r="AK282" s="338">
        <f t="shared" si="819"/>
        <v>0</v>
      </c>
      <c r="AL282" s="342"/>
      <c r="AM282" s="336">
        <f t="shared" si="731"/>
        <v>2000</v>
      </c>
      <c r="AN282" s="339">
        <f t="shared" si="731"/>
        <v>2000</v>
      </c>
      <c r="AO282" s="340">
        <f t="shared" si="820"/>
        <v>0</v>
      </c>
      <c r="AP282" s="336">
        <f t="shared" si="732"/>
        <v>2000</v>
      </c>
      <c r="AQ282" s="339">
        <f t="shared" si="732"/>
        <v>2000</v>
      </c>
      <c r="AR282" s="340">
        <f t="shared" si="821"/>
        <v>0</v>
      </c>
      <c r="AS282" s="341">
        <f t="shared" si="733"/>
        <v>2000</v>
      </c>
      <c r="AT282" s="339">
        <f t="shared" si="733"/>
        <v>2000</v>
      </c>
      <c r="AU282" s="340">
        <f t="shared" si="822"/>
        <v>0</v>
      </c>
      <c r="AV282" s="589">
        <f t="shared" si="502"/>
        <v>0</v>
      </c>
      <c r="AW282" s="343"/>
      <c r="AX282" s="344"/>
      <c r="AY282" s="345"/>
      <c r="AZ282" s="344"/>
      <c r="BA282" s="1133">
        <v>2000</v>
      </c>
      <c r="BB282" s="1153">
        <v>2000</v>
      </c>
      <c r="BC282" s="347"/>
      <c r="BD282" s="348"/>
      <c r="BE282" s="349"/>
      <c r="BF282" s="348"/>
      <c r="BG282" s="349"/>
      <c r="BH282" s="350"/>
      <c r="BI282" s="351"/>
      <c r="BJ282" s="352"/>
      <c r="BK282" s="337"/>
      <c r="BL282" s="352"/>
      <c r="BM282" s="337"/>
      <c r="BN282" s="353"/>
      <c r="BO282" s="354"/>
      <c r="BP282" s="355"/>
      <c r="BQ282" s="356"/>
      <c r="BR282" s="355"/>
      <c r="BS282" s="356"/>
      <c r="BT282" s="357"/>
    </row>
    <row r="283" spans="1:72" s="313" customFormat="1" ht="38.25" outlineLevel="2">
      <c r="A283" s="287">
        <v>251</v>
      </c>
      <c r="B283" s="1143" t="s">
        <v>708</v>
      </c>
      <c r="C283" s="840"/>
      <c r="D283" s="841"/>
      <c r="E283" s="839"/>
      <c r="F283" s="821" t="s">
        <v>23</v>
      </c>
      <c r="G283" s="314">
        <v>2</v>
      </c>
      <c r="H283" s="739" t="s">
        <v>71</v>
      </c>
      <c r="I283" s="739">
        <v>244</v>
      </c>
      <c r="J283" s="740">
        <v>346</v>
      </c>
      <c r="K283" s="533" t="s">
        <v>705</v>
      </c>
      <c r="L283" s="1025">
        <v>1000</v>
      </c>
      <c r="M283" s="318"/>
      <c r="N283" s="318">
        <f>201</f>
        <v>201</v>
      </c>
      <c r="O283" s="1052">
        <f>L283+N283</f>
        <v>1201</v>
      </c>
      <c r="P283" s="570"/>
      <c r="Q283" s="336">
        <v>0</v>
      </c>
      <c r="R283" s="559"/>
      <c r="S283" s="541">
        <v>0</v>
      </c>
      <c r="T283" s="559"/>
      <c r="U283" s="335"/>
      <c r="V283" s="596" t="s">
        <v>706</v>
      </c>
      <c r="W283" s="596" t="s">
        <v>707</v>
      </c>
      <c r="X283" s="320"/>
      <c r="Z283" s="336">
        <f t="shared" ref="Z283" si="847">AW283+AY283+BA283</f>
        <v>1201</v>
      </c>
      <c r="AA283" s="337">
        <f t="shared" ref="AA283" si="848">AX283+AZ283+BB283</f>
        <v>1201</v>
      </c>
      <c r="AB283" s="338">
        <f t="shared" ref="AB283" si="849">Z283-AA283</f>
        <v>0</v>
      </c>
      <c r="AC283" s="336">
        <f t="shared" ref="AC283" si="850">BC283+BE283+BG283</f>
        <v>0</v>
      </c>
      <c r="AD283" s="337">
        <f t="shared" ref="AD283" si="851">BD283+BF283+BH283</f>
        <v>0</v>
      </c>
      <c r="AE283" s="338">
        <f t="shared" ref="AE283" si="852">AC283-AD283</f>
        <v>0</v>
      </c>
      <c r="AF283" s="336">
        <f t="shared" ref="AF283" si="853">BI283+BK283+BM283</f>
        <v>0</v>
      </c>
      <c r="AG283" s="337">
        <f t="shared" ref="AG283" si="854">BJ283+BL283+BN283</f>
        <v>0</v>
      </c>
      <c r="AH283" s="338">
        <f t="shared" ref="AH283" si="855">AF283-AG283</f>
        <v>0</v>
      </c>
      <c r="AI283" s="336">
        <f t="shared" ref="AI283" si="856">BO283+BQ283+BS283</f>
        <v>0</v>
      </c>
      <c r="AJ283" s="337">
        <f t="shared" ref="AJ283" si="857">BP283+BR283+BT283</f>
        <v>0</v>
      </c>
      <c r="AK283" s="338">
        <f t="shared" ref="AK283" si="858">AI283-AJ283</f>
        <v>0</v>
      </c>
      <c r="AL283" s="342"/>
      <c r="AM283" s="336">
        <f t="shared" ref="AM283" si="859">Z283+AC283</f>
        <v>1201</v>
      </c>
      <c r="AN283" s="339">
        <f t="shared" ref="AN283" si="860">AA283+AD283</f>
        <v>1201</v>
      </c>
      <c r="AO283" s="340">
        <f t="shared" ref="AO283" si="861">AM283-AN283</f>
        <v>0</v>
      </c>
      <c r="AP283" s="336">
        <f t="shared" ref="AP283" si="862">Z283+AC283+AF283</f>
        <v>1201</v>
      </c>
      <c r="AQ283" s="339">
        <f t="shared" ref="AQ283" si="863">AA283+AD283+AG283</f>
        <v>1201</v>
      </c>
      <c r="AR283" s="340">
        <f t="shared" ref="AR283" si="864">AP283-AQ283</f>
        <v>0</v>
      </c>
      <c r="AS283" s="341">
        <f t="shared" ref="AS283" si="865">Z283+AC283+AF283+AI283</f>
        <v>1201</v>
      </c>
      <c r="AT283" s="339">
        <f t="shared" ref="AT283" si="866">AA283+AD283+AG283+AJ283</f>
        <v>1201</v>
      </c>
      <c r="AU283" s="340">
        <f t="shared" ref="AU283" si="867">AS283-AT283</f>
        <v>0</v>
      </c>
      <c r="AV283" s="589">
        <f>L283-AS283</f>
        <v>-201</v>
      </c>
      <c r="AW283" s="343"/>
      <c r="AX283" s="344"/>
      <c r="AY283" s="1133">
        <v>1201</v>
      </c>
      <c r="AZ283" s="1152">
        <v>1201</v>
      </c>
      <c r="BA283" s="345"/>
      <c r="BB283" s="346"/>
      <c r="BC283" s="347"/>
      <c r="BD283" s="348"/>
      <c r="BE283" s="349"/>
      <c r="BF283" s="348"/>
      <c r="BG283" s="349"/>
      <c r="BH283" s="350"/>
      <c r="BI283" s="351"/>
      <c r="BJ283" s="352"/>
      <c r="BK283" s="337"/>
      <c r="BL283" s="352"/>
      <c r="BM283" s="337"/>
      <c r="BN283" s="353"/>
      <c r="BO283" s="354"/>
      <c r="BP283" s="355"/>
      <c r="BQ283" s="356"/>
      <c r="BR283" s="355"/>
      <c r="BS283" s="356"/>
      <c r="BT283" s="357"/>
    </row>
    <row r="284" spans="1:72" s="313" customFormat="1" ht="38.25" outlineLevel="2">
      <c r="A284" s="287">
        <v>252</v>
      </c>
      <c r="B284" s="1143" t="s">
        <v>756</v>
      </c>
      <c r="C284" s="840"/>
      <c r="D284" s="841"/>
      <c r="E284" s="839"/>
      <c r="F284" s="821" t="s">
        <v>23</v>
      </c>
      <c r="G284" s="314">
        <v>2</v>
      </c>
      <c r="H284" s="739" t="s">
        <v>71</v>
      </c>
      <c r="I284" s="739">
        <v>244</v>
      </c>
      <c r="J284" s="740">
        <v>346</v>
      </c>
      <c r="K284" s="533" t="s">
        <v>673</v>
      </c>
      <c r="L284" s="1025">
        <v>0</v>
      </c>
      <c r="M284" s="318"/>
      <c r="N284" s="318">
        <v>38115</v>
      </c>
      <c r="O284" s="1052">
        <f>L284+N284</f>
        <v>38115</v>
      </c>
      <c r="P284" s="570"/>
      <c r="Q284" s="336">
        <v>0</v>
      </c>
      <c r="R284" s="559"/>
      <c r="S284" s="541">
        <v>0</v>
      </c>
      <c r="T284" s="559"/>
      <c r="U284" s="335"/>
      <c r="V284" s="596" t="s">
        <v>674</v>
      </c>
      <c r="W284" s="596" t="s">
        <v>675</v>
      </c>
      <c r="X284" s="596" t="s">
        <v>676</v>
      </c>
      <c r="Z284" s="336">
        <f t="shared" ref="Z284:AA288" si="868">AW284+AY284+BA284</f>
        <v>0</v>
      </c>
      <c r="AA284" s="337">
        <f t="shared" si="868"/>
        <v>0</v>
      </c>
      <c r="AB284" s="338">
        <f t="shared" ref="AB284:AB285" si="869">Z284-AA284</f>
        <v>0</v>
      </c>
      <c r="AC284" s="336">
        <f t="shared" ref="AC284:AD288" si="870">BC284+BE284+BG284</f>
        <v>38115</v>
      </c>
      <c r="AD284" s="337">
        <f t="shared" si="870"/>
        <v>0</v>
      </c>
      <c r="AE284" s="338">
        <f t="shared" ref="AE284:AE285" si="871">AC284-AD284</f>
        <v>38115</v>
      </c>
      <c r="AF284" s="336">
        <f t="shared" ref="AF284:AG288" si="872">BI284+BK284+BM284</f>
        <v>0</v>
      </c>
      <c r="AG284" s="337">
        <f t="shared" si="872"/>
        <v>0</v>
      </c>
      <c r="AH284" s="338">
        <f t="shared" ref="AH284:AH285" si="873">AF284-AG284</f>
        <v>0</v>
      </c>
      <c r="AI284" s="336">
        <f t="shared" ref="AI284:AJ288" si="874">BO284+BQ284+BS284</f>
        <v>0</v>
      </c>
      <c r="AJ284" s="337">
        <f t="shared" si="874"/>
        <v>0</v>
      </c>
      <c r="AK284" s="338">
        <f t="shared" ref="AK284:AK285" si="875">AI284-AJ284</f>
        <v>0</v>
      </c>
      <c r="AL284" s="342"/>
      <c r="AM284" s="336">
        <f t="shared" ref="AM284:AN288" si="876">Z284+AC284</f>
        <v>38115</v>
      </c>
      <c r="AN284" s="339">
        <f t="shared" si="876"/>
        <v>0</v>
      </c>
      <c r="AO284" s="340">
        <f t="shared" ref="AO284:AO285" si="877">AM284-AN284</f>
        <v>38115</v>
      </c>
      <c r="AP284" s="336">
        <f t="shared" ref="AP284:AQ288" si="878">Z284+AC284+AF284</f>
        <v>38115</v>
      </c>
      <c r="AQ284" s="339">
        <f t="shared" si="878"/>
        <v>0</v>
      </c>
      <c r="AR284" s="340">
        <f t="shared" ref="AR284:AR285" si="879">AP284-AQ284</f>
        <v>38115</v>
      </c>
      <c r="AS284" s="341">
        <f t="shared" ref="AS284:AT288" si="880">Z284+AC284+AF284+AI284</f>
        <v>38115</v>
      </c>
      <c r="AT284" s="339">
        <f t="shared" si="880"/>
        <v>0</v>
      </c>
      <c r="AU284" s="340">
        <f t="shared" ref="AU284:AU285" si="881">AS284-AT284</f>
        <v>38115</v>
      </c>
      <c r="AV284" s="589">
        <f>L284-AS284</f>
        <v>-38115</v>
      </c>
      <c r="AW284" s="343"/>
      <c r="AX284" s="344"/>
      <c r="AY284" s="345"/>
      <c r="AZ284" s="344"/>
      <c r="BA284" s="345"/>
      <c r="BB284" s="346"/>
      <c r="BC284" s="1134"/>
      <c r="BD284" s="348"/>
      <c r="BE284" s="349">
        <v>38115</v>
      </c>
      <c r="BF284" s="348"/>
      <c r="BG284" s="349"/>
      <c r="BH284" s="350"/>
      <c r="BI284" s="351"/>
      <c r="BJ284" s="352"/>
      <c r="BK284" s="337"/>
      <c r="BL284" s="352"/>
      <c r="BM284" s="337"/>
      <c r="BN284" s="353"/>
      <c r="BO284" s="354"/>
      <c r="BP284" s="355"/>
      <c r="BQ284" s="356"/>
      <c r="BR284" s="355"/>
      <c r="BS284" s="356"/>
      <c r="BT284" s="357"/>
    </row>
    <row r="285" spans="1:72" s="313" customFormat="1" ht="25.5" outlineLevel="2">
      <c r="A285" s="287">
        <v>253</v>
      </c>
      <c r="B285" s="1143" t="s">
        <v>711</v>
      </c>
      <c r="C285" s="840"/>
      <c r="D285" s="841"/>
      <c r="E285" s="839"/>
      <c r="F285" s="821" t="s">
        <v>23</v>
      </c>
      <c r="G285" s="314">
        <v>2</v>
      </c>
      <c r="H285" s="739" t="s">
        <v>71</v>
      </c>
      <c r="I285" s="739">
        <v>244</v>
      </c>
      <c r="J285" s="740">
        <v>346</v>
      </c>
      <c r="K285" s="533" t="s">
        <v>695</v>
      </c>
      <c r="L285" s="1025">
        <v>0</v>
      </c>
      <c r="M285" s="318"/>
      <c r="N285" s="318">
        <v>8170</v>
      </c>
      <c r="O285" s="1052">
        <f t="shared" ref="O285" si="882">L285+N285</f>
        <v>8170</v>
      </c>
      <c r="P285" s="570"/>
      <c r="Q285" s="336">
        <v>0</v>
      </c>
      <c r="R285" s="559"/>
      <c r="S285" s="541">
        <v>0</v>
      </c>
      <c r="T285" s="559"/>
      <c r="U285" s="335"/>
      <c r="V285" s="596" t="s">
        <v>579</v>
      </c>
      <c r="W285" s="320" t="s">
        <v>481</v>
      </c>
      <c r="X285" s="320"/>
      <c r="Z285" s="336">
        <f t="shared" si="868"/>
        <v>0</v>
      </c>
      <c r="AA285" s="337">
        <f t="shared" si="868"/>
        <v>0</v>
      </c>
      <c r="AB285" s="338">
        <f t="shared" si="869"/>
        <v>0</v>
      </c>
      <c r="AC285" s="336">
        <f t="shared" si="870"/>
        <v>8170</v>
      </c>
      <c r="AD285" s="337">
        <f t="shared" si="870"/>
        <v>8170</v>
      </c>
      <c r="AE285" s="338">
        <f t="shared" si="871"/>
        <v>0</v>
      </c>
      <c r="AF285" s="336">
        <f t="shared" si="872"/>
        <v>0</v>
      </c>
      <c r="AG285" s="337">
        <f t="shared" si="872"/>
        <v>0</v>
      </c>
      <c r="AH285" s="338">
        <f t="shared" si="873"/>
        <v>0</v>
      </c>
      <c r="AI285" s="336">
        <f t="shared" si="874"/>
        <v>0</v>
      </c>
      <c r="AJ285" s="337">
        <f t="shared" si="874"/>
        <v>0</v>
      </c>
      <c r="AK285" s="338">
        <f t="shared" si="875"/>
        <v>0</v>
      </c>
      <c r="AL285" s="342"/>
      <c r="AM285" s="336">
        <f t="shared" si="876"/>
        <v>8170</v>
      </c>
      <c r="AN285" s="339">
        <f t="shared" si="876"/>
        <v>8170</v>
      </c>
      <c r="AO285" s="340">
        <f t="shared" si="877"/>
        <v>0</v>
      </c>
      <c r="AP285" s="336">
        <f t="shared" si="878"/>
        <v>8170</v>
      </c>
      <c r="AQ285" s="339">
        <f t="shared" si="878"/>
        <v>8170</v>
      </c>
      <c r="AR285" s="340">
        <f t="shared" si="879"/>
        <v>0</v>
      </c>
      <c r="AS285" s="341">
        <f t="shared" si="880"/>
        <v>8170</v>
      </c>
      <c r="AT285" s="339">
        <f t="shared" si="880"/>
        <v>8170</v>
      </c>
      <c r="AU285" s="340">
        <f t="shared" si="881"/>
        <v>0</v>
      </c>
      <c r="AV285" s="589">
        <f t="shared" ref="AV285" si="883">L285-AS285</f>
        <v>-8170</v>
      </c>
      <c r="AW285" s="343"/>
      <c r="AX285" s="344"/>
      <c r="AY285" s="345"/>
      <c r="AZ285" s="344"/>
      <c r="BA285" s="345"/>
      <c r="BB285" s="346"/>
      <c r="BC285" s="1134">
        <v>8170</v>
      </c>
      <c r="BD285" s="1140">
        <v>8170</v>
      </c>
      <c r="BE285" s="349"/>
      <c r="BF285" s="348"/>
      <c r="BG285" s="349"/>
      <c r="BH285" s="350"/>
      <c r="BI285" s="351"/>
      <c r="BJ285" s="352"/>
      <c r="BK285" s="337"/>
      <c r="BL285" s="352"/>
      <c r="BM285" s="337"/>
      <c r="BN285" s="353"/>
      <c r="BO285" s="354"/>
      <c r="BP285" s="355"/>
      <c r="BQ285" s="356"/>
      <c r="BR285" s="355"/>
      <c r="BS285" s="356"/>
      <c r="BT285" s="357"/>
    </row>
    <row r="286" spans="1:72" s="313" customFormat="1" ht="38.25" outlineLevel="2">
      <c r="A286" s="287">
        <v>253</v>
      </c>
      <c r="B286" s="1143" t="s">
        <v>714</v>
      </c>
      <c r="C286" s="840"/>
      <c r="D286" s="841"/>
      <c r="E286" s="839"/>
      <c r="F286" s="821" t="s">
        <v>23</v>
      </c>
      <c r="G286" s="314">
        <v>2</v>
      </c>
      <c r="H286" s="739" t="s">
        <v>71</v>
      </c>
      <c r="I286" s="739">
        <v>244</v>
      </c>
      <c r="J286" s="740">
        <v>346</v>
      </c>
      <c r="K286" s="533" t="s">
        <v>712</v>
      </c>
      <c r="L286" s="1025">
        <v>0</v>
      </c>
      <c r="M286" s="318"/>
      <c r="N286" s="318">
        <v>570</v>
      </c>
      <c r="O286" s="1052">
        <f t="shared" ref="O286" si="884">L286+N286</f>
        <v>570</v>
      </c>
      <c r="P286" s="570"/>
      <c r="Q286" s="336">
        <v>0</v>
      </c>
      <c r="R286" s="559"/>
      <c r="S286" s="541">
        <v>0</v>
      </c>
      <c r="T286" s="559"/>
      <c r="U286" s="335"/>
      <c r="V286" s="596" t="s">
        <v>640</v>
      </c>
      <c r="W286" s="596" t="s">
        <v>713</v>
      </c>
      <c r="X286" s="320"/>
      <c r="Z286" s="336">
        <f t="shared" ref="Z286" si="885">AW286+AY286+BA286</f>
        <v>0</v>
      </c>
      <c r="AA286" s="337">
        <f t="shared" ref="AA286" si="886">AX286+AZ286+BB286</f>
        <v>0</v>
      </c>
      <c r="AB286" s="338">
        <f t="shared" ref="AB286" si="887">Z286-AA286</f>
        <v>0</v>
      </c>
      <c r="AC286" s="336">
        <f t="shared" ref="AC286" si="888">BC286+BE286+BG286</f>
        <v>570</v>
      </c>
      <c r="AD286" s="337">
        <f t="shared" ref="AD286" si="889">BD286+BF286+BH286</f>
        <v>570</v>
      </c>
      <c r="AE286" s="338">
        <f t="shared" ref="AE286" si="890">AC286-AD286</f>
        <v>0</v>
      </c>
      <c r="AF286" s="336">
        <f t="shared" ref="AF286" si="891">BI286+BK286+BM286</f>
        <v>0</v>
      </c>
      <c r="AG286" s="337">
        <f t="shared" ref="AG286" si="892">BJ286+BL286+BN286</f>
        <v>0</v>
      </c>
      <c r="AH286" s="338">
        <f t="shared" ref="AH286" si="893">AF286-AG286</f>
        <v>0</v>
      </c>
      <c r="AI286" s="336">
        <f t="shared" ref="AI286" si="894">BO286+BQ286+BS286</f>
        <v>0</v>
      </c>
      <c r="AJ286" s="337">
        <f t="shared" ref="AJ286" si="895">BP286+BR286+BT286</f>
        <v>0</v>
      </c>
      <c r="AK286" s="338">
        <f t="shared" ref="AK286" si="896">AI286-AJ286</f>
        <v>0</v>
      </c>
      <c r="AL286" s="342"/>
      <c r="AM286" s="336">
        <f t="shared" ref="AM286" si="897">Z286+AC286</f>
        <v>570</v>
      </c>
      <c r="AN286" s="339">
        <f t="shared" ref="AN286" si="898">AA286+AD286</f>
        <v>570</v>
      </c>
      <c r="AO286" s="340">
        <f t="shared" ref="AO286" si="899">AM286-AN286</f>
        <v>0</v>
      </c>
      <c r="AP286" s="336">
        <f t="shared" ref="AP286" si="900">Z286+AC286+AF286</f>
        <v>570</v>
      </c>
      <c r="AQ286" s="339">
        <f t="shared" ref="AQ286" si="901">AA286+AD286+AG286</f>
        <v>570</v>
      </c>
      <c r="AR286" s="340">
        <f t="shared" ref="AR286" si="902">AP286-AQ286</f>
        <v>0</v>
      </c>
      <c r="AS286" s="341">
        <f t="shared" ref="AS286" si="903">Z286+AC286+AF286+AI286</f>
        <v>570</v>
      </c>
      <c r="AT286" s="339">
        <f t="shared" ref="AT286" si="904">AA286+AD286+AG286+AJ286</f>
        <v>570</v>
      </c>
      <c r="AU286" s="340">
        <f t="shared" ref="AU286" si="905">AS286-AT286</f>
        <v>0</v>
      </c>
      <c r="AV286" s="589">
        <f t="shared" ref="AV286" si="906">L286-AS286</f>
        <v>-570</v>
      </c>
      <c r="AW286" s="343"/>
      <c r="AX286" s="344"/>
      <c r="AY286" s="345"/>
      <c r="AZ286" s="344"/>
      <c r="BA286" s="345"/>
      <c r="BB286" s="346"/>
      <c r="BC286" s="1134">
        <v>570</v>
      </c>
      <c r="BD286" s="1140">
        <v>570</v>
      </c>
      <c r="BE286" s="349"/>
      <c r="BF286" s="348"/>
      <c r="BG286" s="349"/>
      <c r="BH286" s="350"/>
      <c r="BI286" s="351"/>
      <c r="BJ286" s="352"/>
      <c r="BK286" s="337"/>
      <c r="BL286" s="352"/>
      <c r="BM286" s="337"/>
      <c r="BN286" s="353"/>
      <c r="BO286" s="354"/>
      <c r="BP286" s="355"/>
      <c r="BQ286" s="356"/>
      <c r="BR286" s="355"/>
      <c r="BS286" s="356"/>
      <c r="BT286" s="357"/>
    </row>
    <row r="287" spans="1:72" s="313" customFormat="1" ht="38.25" outlineLevel="2">
      <c r="A287" s="287">
        <v>253</v>
      </c>
      <c r="B287" s="1143" t="s">
        <v>752</v>
      </c>
      <c r="C287" s="840"/>
      <c r="D287" s="841"/>
      <c r="E287" s="839"/>
      <c r="F287" s="821" t="s">
        <v>23</v>
      </c>
      <c r="G287" s="314">
        <v>2</v>
      </c>
      <c r="H287" s="739" t="s">
        <v>71</v>
      </c>
      <c r="I287" s="739">
        <v>244</v>
      </c>
      <c r="J287" s="740">
        <v>346</v>
      </c>
      <c r="K287" s="533" t="s">
        <v>749</v>
      </c>
      <c r="L287" s="1025">
        <v>0</v>
      </c>
      <c r="M287" s="318"/>
      <c r="N287" s="318">
        <v>4101</v>
      </c>
      <c r="O287" s="1052">
        <f t="shared" ref="O287" si="907">L287+N287</f>
        <v>4101</v>
      </c>
      <c r="P287" s="570"/>
      <c r="Q287" s="336">
        <v>0</v>
      </c>
      <c r="R287" s="559"/>
      <c r="S287" s="541">
        <v>0</v>
      </c>
      <c r="T287" s="559"/>
      <c r="U287" s="335"/>
      <c r="V287" s="320" t="s">
        <v>706</v>
      </c>
      <c r="W287" s="320" t="s">
        <v>750</v>
      </c>
      <c r="X287" s="320"/>
      <c r="Z287" s="336">
        <f t="shared" ref="Z287" si="908">AW287+AY287+BA287</f>
        <v>0</v>
      </c>
      <c r="AA287" s="337">
        <f t="shared" ref="AA287" si="909">AX287+AZ287+BB287</f>
        <v>0</v>
      </c>
      <c r="AB287" s="338">
        <f t="shared" ref="AB287" si="910">Z287-AA287</f>
        <v>0</v>
      </c>
      <c r="AC287" s="336">
        <f t="shared" ref="AC287" si="911">BC287+BE287+BG287</f>
        <v>4101</v>
      </c>
      <c r="AD287" s="337">
        <f t="shared" ref="AD287" si="912">BD287+BF287+BH287</f>
        <v>0</v>
      </c>
      <c r="AE287" s="338">
        <f t="shared" ref="AE287" si="913">AC287-AD287</f>
        <v>4101</v>
      </c>
      <c r="AF287" s="336">
        <f t="shared" ref="AF287" si="914">BI287+BK287+BM287</f>
        <v>0</v>
      </c>
      <c r="AG287" s="337">
        <f t="shared" ref="AG287" si="915">BJ287+BL287+BN287</f>
        <v>0</v>
      </c>
      <c r="AH287" s="338">
        <f t="shared" ref="AH287" si="916">AF287-AG287</f>
        <v>0</v>
      </c>
      <c r="AI287" s="336">
        <f t="shared" ref="AI287" si="917">BO287+BQ287+BS287</f>
        <v>0</v>
      </c>
      <c r="AJ287" s="337">
        <f t="shared" ref="AJ287" si="918">BP287+BR287+BT287</f>
        <v>0</v>
      </c>
      <c r="AK287" s="338">
        <f t="shared" ref="AK287" si="919">AI287-AJ287</f>
        <v>0</v>
      </c>
      <c r="AL287" s="342"/>
      <c r="AM287" s="336">
        <f t="shared" ref="AM287" si="920">Z287+AC287</f>
        <v>4101</v>
      </c>
      <c r="AN287" s="339">
        <f t="shared" ref="AN287" si="921">AA287+AD287</f>
        <v>0</v>
      </c>
      <c r="AO287" s="340">
        <f t="shared" ref="AO287" si="922">AM287-AN287</f>
        <v>4101</v>
      </c>
      <c r="AP287" s="336">
        <f t="shared" ref="AP287" si="923">Z287+AC287+AF287</f>
        <v>4101</v>
      </c>
      <c r="AQ287" s="339">
        <f t="shared" ref="AQ287" si="924">AA287+AD287+AG287</f>
        <v>0</v>
      </c>
      <c r="AR287" s="340">
        <f t="shared" ref="AR287" si="925">AP287-AQ287</f>
        <v>4101</v>
      </c>
      <c r="AS287" s="341">
        <f t="shared" ref="AS287" si="926">Z287+AC287+AF287+AI287</f>
        <v>4101</v>
      </c>
      <c r="AT287" s="339">
        <f t="shared" ref="AT287" si="927">AA287+AD287+AG287+AJ287</f>
        <v>0</v>
      </c>
      <c r="AU287" s="340">
        <f t="shared" ref="AU287" si="928">AS287-AT287</f>
        <v>4101</v>
      </c>
      <c r="AV287" s="589">
        <f t="shared" ref="AV287" si="929">L287-AS287</f>
        <v>-4101</v>
      </c>
      <c r="AW287" s="343"/>
      <c r="AX287" s="344"/>
      <c r="AY287" s="345"/>
      <c r="AZ287" s="344"/>
      <c r="BA287" s="345"/>
      <c r="BB287" s="346"/>
      <c r="BC287" s="1134"/>
      <c r="BD287" s="348"/>
      <c r="BE287" s="349">
        <v>4101</v>
      </c>
      <c r="BF287" s="348"/>
      <c r="BG287" s="349"/>
      <c r="BH287" s="350"/>
      <c r="BI287" s="351"/>
      <c r="BJ287" s="352"/>
      <c r="BK287" s="337"/>
      <c r="BL287" s="352"/>
      <c r="BM287" s="337"/>
      <c r="BN287" s="353"/>
      <c r="BO287" s="354"/>
      <c r="BP287" s="355"/>
      <c r="BQ287" s="356"/>
      <c r="BR287" s="355"/>
      <c r="BS287" s="356"/>
      <c r="BT287" s="357"/>
    </row>
    <row r="288" spans="1:72" s="615" customFormat="1" ht="25.5" outlineLevel="1">
      <c r="A288" s="287">
        <v>254</v>
      </c>
      <c r="B288" s="941"/>
      <c r="C288" s="866"/>
      <c r="D288" s="867"/>
      <c r="E288" s="867"/>
      <c r="F288" s="832" t="s">
        <v>23</v>
      </c>
      <c r="G288" s="616">
        <v>2</v>
      </c>
      <c r="H288" s="749" t="s">
        <v>71</v>
      </c>
      <c r="I288" s="749">
        <v>244</v>
      </c>
      <c r="J288" s="750">
        <v>346</v>
      </c>
      <c r="K288" s="932" t="s">
        <v>214</v>
      </c>
      <c r="L288" s="1043">
        <v>0</v>
      </c>
      <c r="M288" s="619"/>
      <c r="N288" s="619"/>
      <c r="O288" s="1054">
        <f t="shared" si="424"/>
        <v>0</v>
      </c>
      <c r="P288" s="620"/>
      <c r="Q288" s="509">
        <v>0</v>
      </c>
      <c r="R288" s="560"/>
      <c r="S288" s="542">
        <v>0</v>
      </c>
      <c r="T288" s="560"/>
      <c r="U288" s="621"/>
      <c r="V288" s="320"/>
      <c r="W288" s="320"/>
      <c r="X288" s="320"/>
      <c r="Z288" s="509">
        <f t="shared" si="868"/>
        <v>0</v>
      </c>
      <c r="AA288" s="622">
        <f t="shared" si="868"/>
        <v>0</v>
      </c>
      <c r="AB288" s="623">
        <f t="shared" si="816"/>
        <v>0</v>
      </c>
      <c r="AC288" s="509">
        <f t="shared" si="870"/>
        <v>0</v>
      </c>
      <c r="AD288" s="622">
        <f t="shared" si="870"/>
        <v>0</v>
      </c>
      <c r="AE288" s="623">
        <f t="shared" si="817"/>
        <v>0</v>
      </c>
      <c r="AF288" s="509">
        <f t="shared" si="872"/>
        <v>0</v>
      </c>
      <c r="AG288" s="622">
        <f t="shared" si="872"/>
        <v>0</v>
      </c>
      <c r="AH288" s="623">
        <f t="shared" si="818"/>
        <v>0</v>
      </c>
      <c r="AI288" s="509">
        <f t="shared" si="874"/>
        <v>0</v>
      </c>
      <c r="AJ288" s="622">
        <f t="shared" si="874"/>
        <v>0</v>
      </c>
      <c r="AK288" s="623">
        <f t="shared" si="819"/>
        <v>0</v>
      </c>
      <c r="AL288" s="624"/>
      <c r="AM288" s="509">
        <f t="shared" si="876"/>
        <v>0</v>
      </c>
      <c r="AN288" s="625">
        <f t="shared" si="876"/>
        <v>0</v>
      </c>
      <c r="AO288" s="626">
        <f t="shared" si="820"/>
        <v>0</v>
      </c>
      <c r="AP288" s="509">
        <f t="shared" si="878"/>
        <v>0</v>
      </c>
      <c r="AQ288" s="625">
        <f t="shared" si="878"/>
        <v>0</v>
      </c>
      <c r="AR288" s="626">
        <f t="shared" si="821"/>
        <v>0</v>
      </c>
      <c r="AS288" s="510">
        <f t="shared" si="880"/>
        <v>0</v>
      </c>
      <c r="AT288" s="625">
        <f t="shared" si="880"/>
        <v>0</v>
      </c>
      <c r="AU288" s="626">
        <f t="shared" si="822"/>
        <v>0</v>
      </c>
      <c r="AV288" s="627">
        <f t="shared" si="502"/>
        <v>0</v>
      </c>
      <c r="AW288" s="628"/>
      <c r="AX288" s="629"/>
      <c r="AY288" s="630"/>
      <c r="AZ288" s="629"/>
      <c r="BA288" s="630"/>
      <c r="BB288" s="631"/>
      <c r="BC288" s="632"/>
      <c r="BD288" s="633"/>
      <c r="BE288" s="634"/>
      <c r="BF288" s="633"/>
      <c r="BG288" s="634"/>
      <c r="BH288" s="635"/>
      <c r="BI288" s="636"/>
      <c r="BJ288" s="637"/>
      <c r="BK288" s="622"/>
      <c r="BL288" s="637"/>
      <c r="BM288" s="622"/>
      <c r="BN288" s="638"/>
      <c r="BO288" s="639"/>
      <c r="BP288" s="640"/>
      <c r="BQ288" s="641"/>
      <c r="BR288" s="640"/>
      <c r="BS288" s="641"/>
      <c r="BT288" s="642"/>
    </row>
    <row r="289" spans="1:72" s="358" customFormat="1" ht="31.5">
      <c r="A289" s="287">
        <v>255</v>
      </c>
      <c r="B289" s="933"/>
      <c r="C289" s="837"/>
      <c r="D289" s="838"/>
      <c r="E289" s="836" t="s">
        <v>201</v>
      </c>
      <c r="F289" s="820" t="s">
        <v>23</v>
      </c>
      <c r="G289" s="360">
        <v>2</v>
      </c>
      <c r="H289" s="360" t="s">
        <v>71</v>
      </c>
      <c r="I289" s="360">
        <v>244</v>
      </c>
      <c r="J289" s="489">
        <v>345</v>
      </c>
      <c r="K289" s="532" t="s">
        <v>524</v>
      </c>
      <c r="L289" s="1023">
        <f>SUM(L290:L292)</f>
        <v>68700</v>
      </c>
      <c r="M289" s="363"/>
      <c r="N289" s="363">
        <f>SUM(N290:N292)</f>
        <v>0</v>
      </c>
      <c r="O289" s="1051">
        <f t="shared" si="424"/>
        <v>68700</v>
      </c>
      <c r="P289" s="571"/>
      <c r="Q289" s="367">
        <v>12502</v>
      </c>
      <c r="R289" s="557"/>
      <c r="S289" s="539">
        <v>12502</v>
      </c>
      <c r="T289" s="557"/>
      <c r="U289" s="365"/>
      <c r="V289" s="320"/>
      <c r="W289" s="320"/>
      <c r="X289" s="320"/>
      <c r="Z289" s="367">
        <f t="shared" si="727"/>
        <v>11200</v>
      </c>
      <c r="AA289" s="363">
        <f t="shared" si="727"/>
        <v>0</v>
      </c>
      <c r="AB289" s="280">
        <f t="shared" si="816"/>
        <v>11200</v>
      </c>
      <c r="AC289" s="367">
        <f t="shared" si="728"/>
        <v>37500</v>
      </c>
      <c r="AD289" s="363">
        <f t="shared" si="728"/>
        <v>0</v>
      </c>
      <c r="AE289" s="280">
        <f t="shared" si="817"/>
        <v>37500</v>
      </c>
      <c r="AF289" s="367">
        <f t="shared" si="729"/>
        <v>20000</v>
      </c>
      <c r="AG289" s="363">
        <f t="shared" si="729"/>
        <v>0</v>
      </c>
      <c r="AH289" s="280">
        <f t="shared" si="818"/>
        <v>20000</v>
      </c>
      <c r="AI289" s="367">
        <f t="shared" si="730"/>
        <v>0</v>
      </c>
      <c r="AJ289" s="363">
        <f t="shared" si="730"/>
        <v>0</v>
      </c>
      <c r="AK289" s="280">
        <f t="shared" si="819"/>
        <v>0</v>
      </c>
      <c r="AL289" s="368"/>
      <c r="AM289" s="367">
        <f t="shared" si="731"/>
        <v>48700</v>
      </c>
      <c r="AN289" s="363">
        <f t="shared" si="731"/>
        <v>0</v>
      </c>
      <c r="AO289" s="280">
        <f t="shared" si="820"/>
        <v>48700</v>
      </c>
      <c r="AP289" s="367">
        <f t="shared" si="732"/>
        <v>68700</v>
      </c>
      <c r="AQ289" s="363">
        <f t="shared" si="732"/>
        <v>0</v>
      </c>
      <c r="AR289" s="280">
        <f t="shared" si="821"/>
        <v>68700</v>
      </c>
      <c r="AS289" s="367">
        <f t="shared" si="733"/>
        <v>68700</v>
      </c>
      <c r="AT289" s="363">
        <f t="shared" si="733"/>
        <v>0</v>
      </c>
      <c r="AU289" s="280">
        <f t="shared" si="822"/>
        <v>68700</v>
      </c>
      <c r="AV289" s="588">
        <f t="shared" si="502"/>
        <v>0</v>
      </c>
      <c r="AW289" s="367">
        <f>SUM(AW290:AW292)</f>
        <v>0</v>
      </c>
      <c r="AX289" s="363">
        <f t="shared" ref="AX289:BS289" si="930">SUM(AX290:AX292)</f>
        <v>0</v>
      </c>
      <c r="AY289" s="363">
        <f t="shared" si="930"/>
        <v>0</v>
      </c>
      <c r="AZ289" s="363">
        <f t="shared" si="930"/>
        <v>0</v>
      </c>
      <c r="BA289" s="363">
        <f t="shared" si="930"/>
        <v>11200</v>
      </c>
      <c r="BB289" s="369">
        <f t="shared" si="930"/>
        <v>0</v>
      </c>
      <c r="BC289" s="367">
        <f t="shared" si="930"/>
        <v>0</v>
      </c>
      <c r="BD289" s="363">
        <f t="shared" si="930"/>
        <v>0</v>
      </c>
      <c r="BE289" s="363">
        <f t="shared" si="930"/>
        <v>37500</v>
      </c>
      <c r="BF289" s="363">
        <f t="shared" si="930"/>
        <v>0</v>
      </c>
      <c r="BG289" s="363">
        <f t="shared" si="930"/>
        <v>0</v>
      </c>
      <c r="BH289" s="369">
        <f t="shared" si="930"/>
        <v>0</v>
      </c>
      <c r="BI289" s="367">
        <f t="shared" si="930"/>
        <v>0</v>
      </c>
      <c r="BJ289" s="363">
        <f t="shared" si="930"/>
        <v>0</v>
      </c>
      <c r="BK289" s="363">
        <f t="shared" si="930"/>
        <v>20000</v>
      </c>
      <c r="BL289" s="363">
        <f t="shared" si="930"/>
        <v>0</v>
      </c>
      <c r="BM289" s="363">
        <f t="shared" si="930"/>
        <v>0</v>
      </c>
      <c r="BN289" s="369">
        <f t="shared" si="930"/>
        <v>0</v>
      </c>
      <c r="BO289" s="367">
        <f t="shared" si="930"/>
        <v>0</v>
      </c>
      <c r="BP289" s="363">
        <f t="shared" si="930"/>
        <v>0</v>
      </c>
      <c r="BQ289" s="363">
        <f t="shared" si="930"/>
        <v>0</v>
      </c>
      <c r="BR289" s="363">
        <f t="shared" si="930"/>
        <v>0</v>
      </c>
      <c r="BS289" s="363">
        <f t="shared" si="930"/>
        <v>0</v>
      </c>
      <c r="BT289" s="280"/>
    </row>
    <row r="290" spans="1:72" s="313" customFormat="1" ht="38.25">
      <c r="A290" s="287">
        <v>256</v>
      </c>
      <c r="B290" s="941"/>
      <c r="C290" s="840"/>
      <c r="D290" s="841"/>
      <c r="E290" s="839"/>
      <c r="F290" s="821" t="s">
        <v>23</v>
      </c>
      <c r="G290" s="314">
        <v>2</v>
      </c>
      <c r="H290" s="739" t="s">
        <v>71</v>
      </c>
      <c r="I290" s="739">
        <v>244</v>
      </c>
      <c r="J290" s="740">
        <v>345</v>
      </c>
      <c r="K290" s="317" t="s">
        <v>518</v>
      </c>
      <c r="L290" s="1013">
        <v>31200</v>
      </c>
      <c r="M290" s="318"/>
      <c r="N290" s="318"/>
      <c r="O290" s="1052">
        <f t="shared" si="424"/>
        <v>31200</v>
      </c>
      <c r="P290" s="329"/>
      <c r="Q290" s="319">
        <v>0</v>
      </c>
      <c r="R290" s="329"/>
      <c r="S290" s="319">
        <v>0</v>
      </c>
      <c r="T290" s="329"/>
      <c r="U290" s="335"/>
      <c r="V290" s="320"/>
      <c r="W290" s="320"/>
      <c r="X290" s="320"/>
      <c r="Z290" s="336">
        <f t="shared" si="727"/>
        <v>11200</v>
      </c>
      <c r="AA290" s="337">
        <f t="shared" si="727"/>
        <v>0</v>
      </c>
      <c r="AB290" s="338">
        <f t="shared" si="816"/>
        <v>11200</v>
      </c>
      <c r="AC290" s="336">
        <f t="shared" si="728"/>
        <v>10000</v>
      </c>
      <c r="AD290" s="337">
        <f t="shared" si="728"/>
        <v>0</v>
      </c>
      <c r="AE290" s="338">
        <f t="shared" si="817"/>
        <v>10000</v>
      </c>
      <c r="AF290" s="336">
        <f t="shared" si="729"/>
        <v>10000</v>
      </c>
      <c r="AG290" s="337">
        <f t="shared" si="729"/>
        <v>0</v>
      </c>
      <c r="AH290" s="338">
        <f t="shared" si="818"/>
        <v>10000</v>
      </c>
      <c r="AI290" s="336">
        <f t="shared" si="730"/>
        <v>0</v>
      </c>
      <c r="AJ290" s="337">
        <f t="shared" si="730"/>
        <v>0</v>
      </c>
      <c r="AK290" s="338">
        <f t="shared" si="819"/>
        <v>0</v>
      </c>
      <c r="AL290" s="342"/>
      <c r="AM290" s="336">
        <f t="shared" si="731"/>
        <v>21200</v>
      </c>
      <c r="AN290" s="339">
        <f t="shared" si="731"/>
        <v>0</v>
      </c>
      <c r="AO290" s="340">
        <f t="shared" si="820"/>
        <v>21200</v>
      </c>
      <c r="AP290" s="336">
        <f t="shared" si="732"/>
        <v>31200</v>
      </c>
      <c r="AQ290" s="339">
        <f t="shared" si="732"/>
        <v>0</v>
      </c>
      <c r="AR290" s="340">
        <f t="shared" si="821"/>
        <v>31200</v>
      </c>
      <c r="AS290" s="341">
        <f t="shared" si="733"/>
        <v>31200</v>
      </c>
      <c r="AT290" s="339">
        <f t="shared" si="733"/>
        <v>0</v>
      </c>
      <c r="AU290" s="340">
        <f t="shared" si="822"/>
        <v>31200</v>
      </c>
      <c r="AV290" s="589"/>
      <c r="AW290" s="343"/>
      <c r="AX290" s="344"/>
      <c r="AY290" s="345"/>
      <c r="AZ290" s="344"/>
      <c r="BA290" s="345">
        <v>11200</v>
      </c>
      <c r="BB290" s="346"/>
      <c r="BC290" s="347"/>
      <c r="BD290" s="348"/>
      <c r="BE290" s="349">
        <v>10000</v>
      </c>
      <c r="BF290" s="348"/>
      <c r="BG290" s="349"/>
      <c r="BH290" s="350"/>
      <c r="BI290" s="351"/>
      <c r="BJ290" s="352"/>
      <c r="BK290" s="337">
        <v>10000</v>
      </c>
      <c r="BL290" s="352"/>
      <c r="BM290" s="337"/>
      <c r="BN290" s="353"/>
      <c r="BO290" s="354"/>
      <c r="BP290" s="355"/>
      <c r="BQ290" s="356"/>
      <c r="BR290" s="355"/>
      <c r="BS290" s="356"/>
      <c r="BT290" s="357"/>
    </row>
    <row r="291" spans="1:72" s="313" customFormat="1" ht="25.5">
      <c r="A291" s="287">
        <v>257</v>
      </c>
      <c r="B291" s="941"/>
      <c r="C291" s="840"/>
      <c r="D291" s="841"/>
      <c r="E291" s="839"/>
      <c r="F291" s="821" t="s">
        <v>23</v>
      </c>
      <c r="G291" s="314">
        <v>2</v>
      </c>
      <c r="H291" s="739" t="s">
        <v>71</v>
      </c>
      <c r="I291" s="739">
        <v>244</v>
      </c>
      <c r="J291" s="740">
        <v>345</v>
      </c>
      <c r="K291" s="317" t="s">
        <v>520</v>
      </c>
      <c r="L291" s="1013">
        <v>37500</v>
      </c>
      <c r="M291" s="318"/>
      <c r="N291" s="318"/>
      <c r="O291" s="1052">
        <f t="shared" si="424"/>
        <v>37500</v>
      </c>
      <c r="P291" s="329"/>
      <c r="Q291" s="319">
        <v>0</v>
      </c>
      <c r="R291" s="329"/>
      <c r="S291" s="319">
        <v>0</v>
      </c>
      <c r="T291" s="329"/>
      <c r="U291" s="335"/>
      <c r="V291" s="320"/>
      <c r="W291" s="320"/>
      <c r="X291" s="320"/>
      <c r="Z291" s="336">
        <f t="shared" si="727"/>
        <v>0</v>
      </c>
      <c r="AA291" s="337">
        <f t="shared" si="727"/>
        <v>0</v>
      </c>
      <c r="AB291" s="338">
        <f t="shared" si="816"/>
        <v>0</v>
      </c>
      <c r="AC291" s="336">
        <f t="shared" si="728"/>
        <v>27500</v>
      </c>
      <c r="AD291" s="337">
        <f t="shared" si="728"/>
        <v>0</v>
      </c>
      <c r="AE291" s="338">
        <f t="shared" si="817"/>
        <v>27500</v>
      </c>
      <c r="AF291" s="336">
        <f t="shared" si="729"/>
        <v>10000</v>
      </c>
      <c r="AG291" s="337">
        <f t="shared" si="729"/>
        <v>0</v>
      </c>
      <c r="AH291" s="338">
        <f t="shared" si="818"/>
        <v>10000</v>
      </c>
      <c r="AI291" s="336">
        <f t="shared" si="730"/>
        <v>0</v>
      </c>
      <c r="AJ291" s="337">
        <f t="shared" si="730"/>
        <v>0</v>
      </c>
      <c r="AK291" s="338">
        <f t="shared" si="819"/>
        <v>0</v>
      </c>
      <c r="AL291" s="342"/>
      <c r="AM291" s="336">
        <f t="shared" si="731"/>
        <v>27500</v>
      </c>
      <c r="AN291" s="339">
        <f t="shared" si="731"/>
        <v>0</v>
      </c>
      <c r="AO291" s="340">
        <f t="shared" si="820"/>
        <v>27500</v>
      </c>
      <c r="AP291" s="336">
        <f t="shared" si="732"/>
        <v>37500</v>
      </c>
      <c r="AQ291" s="339">
        <f t="shared" si="732"/>
        <v>0</v>
      </c>
      <c r="AR291" s="340">
        <f t="shared" si="821"/>
        <v>37500</v>
      </c>
      <c r="AS291" s="341">
        <f t="shared" si="733"/>
        <v>37500</v>
      </c>
      <c r="AT291" s="339">
        <f t="shared" si="733"/>
        <v>0</v>
      </c>
      <c r="AU291" s="340">
        <f t="shared" si="822"/>
        <v>37500</v>
      </c>
      <c r="AV291" s="589"/>
      <c r="AW291" s="343"/>
      <c r="AX291" s="344"/>
      <c r="AY291" s="345"/>
      <c r="AZ291" s="344"/>
      <c r="BA291" s="345"/>
      <c r="BB291" s="346"/>
      <c r="BC291" s="347"/>
      <c r="BD291" s="348"/>
      <c r="BE291" s="349">
        <v>27500</v>
      </c>
      <c r="BF291" s="348"/>
      <c r="BG291" s="349"/>
      <c r="BH291" s="350"/>
      <c r="BI291" s="351"/>
      <c r="BJ291" s="352"/>
      <c r="BK291" s="337">
        <v>10000</v>
      </c>
      <c r="BL291" s="352"/>
      <c r="BM291" s="337"/>
      <c r="BN291" s="353"/>
      <c r="BO291" s="354"/>
      <c r="BP291" s="355"/>
      <c r="BQ291" s="356"/>
      <c r="BR291" s="355"/>
      <c r="BS291" s="356"/>
      <c r="BT291" s="357"/>
    </row>
    <row r="292" spans="1:72" s="615" customFormat="1" ht="25.5">
      <c r="A292" s="287">
        <v>258</v>
      </c>
      <c r="B292" s="935"/>
      <c r="C292" s="866"/>
      <c r="D292" s="867"/>
      <c r="E292" s="867"/>
      <c r="F292" s="832" t="s">
        <v>23</v>
      </c>
      <c r="G292" s="616">
        <v>2</v>
      </c>
      <c r="H292" s="749" t="s">
        <v>71</v>
      </c>
      <c r="I292" s="749">
        <v>244</v>
      </c>
      <c r="J292" s="750">
        <v>345</v>
      </c>
      <c r="K292" s="932" t="s">
        <v>214</v>
      </c>
      <c r="L292" s="1046">
        <v>0</v>
      </c>
      <c r="M292" s="619"/>
      <c r="N292" s="619"/>
      <c r="O292" s="1054">
        <f t="shared" si="424"/>
        <v>0</v>
      </c>
      <c r="P292" s="988"/>
      <c r="Q292" s="656">
        <v>0</v>
      </c>
      <c r="R292" s="988"/>
      <c r="S292" s="656">
        <v>0</v>
      </c>
      <c r="T292" s="988"/>
      <c r="U292" s="621"/>
      <c r="V292" s="388"/>
      <c r="W292" s="388"/>
      <c r="X292" s="388"/>
      <c r="Z292" s="509">
        <f t="shared" si="727"/>
        <v>0</v>
      </c>
      <c r="AA292" s="622">
        <f t="shared" si="727"/>
        <v>0</v>
      </c>
      <c r="AB292" s="623">
        <f t="shared" si="816"/>
        <v>0</v>
      </c>
      <c r="AC292" s="509">
        <f t="shared" si="728"/>
        <v>0</v>
      </c>
      <c r="AD292" s="622">
        <f t="shared" si="728"/>
        <v>0</v>
      </c>
      <c r="AE292" s="623">
        <f t="shared" si="817"/>
        <v>0</v>
      </c>
      <c r="AF292" s="509">
        <f t="shared" si="729"/>
        <v>0</v>
      </c>
      <c r="AG292" s="622">
        <f t="shared" si="729"/>
        <v>0</v>
      </c>
      <c r="AH292" s="623">
        <f t="shared" si="818"/>
        <v>0</v>
      </c>
      <c r="AI292" s="509">
        <f t="shared" si="730"/>
        <v>0</v>
      </c>
      <c r="AJ292" s="622">
        <f t="shared" si="730"/>
        <v>0</v>
      </c>
      <c r="AK292" s="623">
        <f t="shared" si="819"/>
        <v>0</v>
      </c>
      <c r="AL292" s="624"/>
      <c r="AM292" s="509">
        <f t="shared" si="731"/>
        <v>0</v>
      </c>
      <c r="AN292" s="625">
        <f t="shared" si="731"/>
        <v>0</v>
      </c>
      <c r="AO292" s="626">
        <f t="shared" si="820"/>
        <v>0</v>
      </c>
      <c r="AP292" s="509">
        <f t="shared" si="732"/>
        <v>0</v>
      </c>
      <c r="AQ292" s="625">
        <f t="shared" si="732"/>
        <v>0</v>
      </c>
      <c r="AR292" s="626">
        <f t="shared" si="821"/>
        <v>0</v>
      </c>
      <c r="AS292" s="510">
        <f t="shared" si="733"/>
        <v>0</v>
      </c>
      <c r="AT292" s="625">
        <f t="shared" si="733"/>
        <v>0</v>
      </c>
      <c r="AU292" s="626">
        <f t="shared" si="822"/>
        <v>0</v>
      </c>
      <c r="AV292" s="627"/>
      <c r="AW292" s="628"/>
      <c r="AX292" s="629"/>
      <c r="AY292" s="630"/>
      <c r="AZ292" s="629"/>
      <c r="BA292" s="630"/>
      <c r="BB292" s="631"/>
      <c r="BC292" s="632"/>
      <c r="BD292" s="633"/>
      <c r="BE292" s="634"/>
      <c r="BF292" s="633"/>
      <c r="BG292" s="634"/>
      <c r="BH292" s="635"/>
      <c r="BI292" s="636"/>
      <c r="BJ292" s="637"/>
      <c r="BK292" s="622"/>
      <c r="BL292" s="637"/>
      <c r="BM292" s="622"/>
      <c r="BN292" s="638"/>
      <c r="BO292" s="639"/>
      <c r="BP292" s="640"/>
      <c r="BQ292" s="641"/>
      <c r="BR292" s="640"/>
      <c r="BS292" s="641"/>
      <c r="BT292" s="642"/>
    </row>
    <row r="293" spans="1:72" s="358" customFormat="1" ht="31.5">
      <c r="A293" s="287">
        <v>259</v>
      </c>
      <c r="B293" s="933"/>
      <c r="C293" s="837"/>
      <c r="D293" s="838"/>
      <c r="E293" s="836" t="s">
        <v>201</v>
      </c>
      <c r="F293" s="820" t="s">
        <v>23</v>
      </c>
      <c r="G293" s="360">
        <v>2</v>
      </c>
      <c r="H293" s="360" t="s">
        <v>71</v>
      </c>
      <c r="I293" s="360">
        <v>244</v>
      </c>
      <c r="J293" s="361">
        <v>349</v>
      </c>
      <c r="K293" s="532" t="s">
        <v>525</v>
      </c>
      <c r="L293" s="1023">
        <v>117600</v>
      </c>
      <c r="M293" s="363"/>
      <c r="N293" s="363"/>
      <c r="O293" s="1051">
        <f t="shared" si="424"/>
        <v>117600</v>
      </c>
      <c r="P293" s="571"/>
      <c r="Q293" s="367">
        <v>117600</v>
      </c>
      <c r="R293" s="557"/>
      <c r="S293" s="539">
        <v>117600</v>
      </c>
      <c r="T293" s="557"/>
      <c r="U293" s="365"/>
      <c r="V293" s="320"/>
      <c r="W293" s="320"/>
      <c r="X293" s="320"/>
      <c r="Z293" s="367">
        <f t="shared" si="727"/>
        <v>30000</v>
      </c>
      <c r="AA293" s="363">
        <f t="shared" si="727"/>
        <v>0</v>
      </c>
      <c r="AB293" s="280">
        <f t="shared" si="426"/>
        <v>30000</v>
      </c>
      <c r="AC293" s="367">
        <f t="shared" si="728"/>
        <v>30000</v>
      </c>
      <c r="AD293" s="363">
        <f t="shared" si="728"/>
        <v>0</v>
      </c>
      <c r="AE293" s="280">
        <f t="shared" si="428"/>
        <v>30000</v>
      </c>
      <c r="AF293" s="367">
        <f t="shared" si="729"/>
        <v>0</v>
      </c>
      <c r="AG293" s="363">
        <f t="shared" si="729"/>
        <v>0</v>
      </c>
      <c r="AH293" s="280">
        <f t="shared" si="430"/>
        <v>0</v>
      </c>
      <c r="AI293" s="367">
        <f t="shared" si="730"/>
        <v>57600</v>
      </c>
      <c r="AJ293" s="363">
        <f t="shared" si="730"/>
        <v>0</v>
      </c>
      <c r="AK293" s="280">
        <f t="shared" si="432"/>
        <v>57600</v>
      </c>
      <c r="AL293" s="368"/>
      <c r="AM293" s="367">
        <f t="shared" si="731"/>
        <v>60000</v>
      </c>
      <c r="AN293" s="363">
        <f t="shared" si="731"/>
        <v>0</v>
      </c>
      <c r="AO293" s="280">
        <f t="shared" si="434"/>
        <v>60000</v>
      </c>
      <c r="AP293" s="367">
        <f t="shared" si="732"/>
        <v>60000</v>
      </c>
      <c r="AQ293" s="363">
        <f t="shared" si="732"/>
        <v>0</v>
      </c>
      <c r="AR293" s="280">
        <f t="shared" si="420"/>
        <v>60000</v>
      </c>
      <c r="AS293" s="367">
        <f t="shared" si="733"/>
        <v>117600</v>
      </c>
      <c r="AT293" s="363">
        <f t="shared" si="733"/>
        <v>0</v>
      </c>
      <c r="AU293" s="280">
        <f t="shared" si="422"/>
        <v>117600</v>
      </c>
      <c r="AV293" s="588">
        <f t="shared" si="502"/>
        <v>0</v>
      </c>
      <c r="AW293" s="367"/>
      <c r="AX293" s="363"/>
      <c r="AY293" s="363"/>
      <c r="AZ293" s="363"/>
      <c r="BA293" s="363">
        <v>30000</v>
      </c>
      <c r="BB293" s="369"/>
      <c r="BC293" s="367"/>
      <c r="BD293" s="363"/>
      <c r="BE293" s="363">
        <v>30000</v>
      </c>
      <c r="BF293" s="363"/>
      <c r="BG293" s="363"/>
      <c r="BH293" s="369"/>
      <c r="BI293" s="367"/>
      <c r="BJ293" s="363"/>
      <c r="BK293" s="363"/>
      <c r="BL293" s="363"/>
      <c r="BM293" s="363"/>
      <c r="BN293" s="369"/>
      <c r="BO293" s="367">
        <v>30000</v>
      </c>
      <c r="BP293" s="363"/>
      <c r="BQ293" s="363"/>
      <c r="BR293" s="363"/>
      <c r="BS293" s="363">
        <v>27600</v>
      </c>
      <c r="BT293" s="280"/>
    </row>
    <row r="294" spans="1:72" s="358" customFormat="1" ht="31.5">
      <c r="A294" s="287">
        <v>260</v>
      </c>
      <c r="B294" s="936"/>
      <c r="C294" s="837"/>
      <c r="D294" s="838"/>
      <c r="E294" s="836" t="s">
        <v>201</v>
      </c>
      <c r="F294" s="820" t="s">
        <v>23</v>
      </c>
      <c r="G294" s="360">
        <v>2</v>
      </c>
      <c r="H294" s="360" t="s">
        <v>71</v>
      </c>
      <c r="I294" s="360">
        <v>244</v>
      </c>
      <c r="J294" s="361">
        <v>349</v>
      </c>
      <c r="K294" s="532" t="s">
        <v>526</v>
      </c>
      <c r="L294" s="1023">
        <f>SUM(L295:L297)</f>
        <v>893974.32</v>
      </c>
      <c r="M294" s="363"/>
      <c r="N294" s="363">
        <f>SUM(N295:N297)</f>
        <v>-590500.68000000005</v>
      </c>
      <c r="O294" s="1051">
        <f t="shared" si="424"/>
        <v>303473.64</v>
      </c>
      <c r="P294" s="571"/>
      <c r="Q294" s="367">
        <f t="shared" ref="Q294:S294" si="931">SUM(Q295:Q297)</f>
        <v>893974.32</v>
      </c>
      <c r="R294" s="557">
        <f t="shared" si="931"/>
        <v>0</v>
      </c>
      <c r="S294" s="539">
        <f t="shared" si="931"/>
        <v>893974.32</v>
      </c>
      <c r="T294" s="557"/>
      <c r="U294" s="365"/>
      <c r="V294" s="320"/>
      <c r="W294" s="320"/>
      <c r="X294" s="320"/>
      <c r="Z294" s="367">
        <f t="shared" si="727"/>
        <v>0</v>
      </c>
      <c r="AA294" s="363">
        <f t="shared" si="727"/>
        <v>0</v>
      </c>
      <c r="AB294" s="280">
        <f t="shared" si="426"/>
        <v>0</v>
      </c>
      <c r="AC294" s="367">
        <f t="shared" si="728"/>
        <v>20000</v>
      </c>
      <c r="AD294" s="363">
        <f t="shared" si="728"/>
        <v>0</v>
      </c>
      <c r="AE294" s="280">
        <f t="shared" si="428"/>
        <v>20000</v>
      </c>
      <c r="AF294" s="367">
        <f t="shared" si="729"/>
        <v>0</v>
      </c>
      <c r="AG294" s="363">
        <f t="shared" si="729"/>
        <v>0</v>
      </c>
      <c r="AH294" s="280">
        <f t="shared" si="430"/>
        <v>0</v>
      </c>
      <c r="AI294" s="367">
        <f t="shared" si="730"/>
        <v>283473.64</v>
      </c>
      <c r="AJ294" s="363">
        <f t="shared" si="730"/>
        <v>0</v>
      </c>
      <c r="AK294" s="280">
        <f t="shared" si="432"/>
        <v>283473.64</v>
      </c>
      <c r="AL294" s="368"/>
      <c r="AM294" s="367">
        <f t="shared" si="731"/>
        <v>20000</v>
      </c>
      <c r="AN294" s="363">
        <f t="shared" si="731"/>
        <v>0</v>
      </c>
      <c r="AO294" s="280">
        <f t="shared" si="434"/>
        <v>20000</v>
      </c>
      <c r="AP294" s="367">
        <f t="shared" si="732"/>
        <v>20000</v>
      </c>
      <c r="AQ294" s="363">
        <f t="shared" si="732"/>
        <v>0</v>
      </c>
      <c r="AR294" s="280">
        <f t="shared" si="420"/>
        <v>20000</v>
      </c>
      <c r="AS294" s="367">
        <f t="shared" si="733"/>
        <v>303473.64</v>
      </c>
      <c r="AT294" s="363">
        <f t="shared" si="733"/>
        <v>0</v>
      </c>
      <c r="AU294" s="280">
        <f t="shared" si="422"/>
        <v>303473.64</v>
      </c>
      <c r="AV294" s="588">
        <f t="shared" si="502"/>
        <v>590500.68000000005</v>
      </c>
      <c r="AW294" s="367">
        <f t="shared" ref="AW294:BS294" si="932">SUM(AW295:AW297)</f>
        <v>0</v>
      </c>
      <c r="AX294" s="363">
        <f t="shared" si="932"/>
        <v>0</v>
      </c>
      <c r="AY294" s="363">
        <f t="shared" si="932"/>
        <v>0</v>
      </c>
      <c r="AZ294" s="363">
        <f t="shared" si="932"/>
        <v>0</v>
      </c>
      <c r="BA294" s="363">
        <f t="shared" ref="BA294" si="933">SUM(BA295:BA297)</f>
        <v>0</v>
      </c>
      <c r="BB294" s="369">
        <f t="shared" si="932"/>
        <v>0</v>
      </c>
      <c r="BC294" s="367">
        <f t="shared" si="932"/>
        <v>10000</v>
      </c>
      <c r="BD294" s="363">
        <f t="shared" si="932"/>
        <v>0</v>
      </c>
      <c r="BE294" s="363">
        <f t="shared" si="932"/>
        <v>10000</v>
      </c>
      <c r="BF294" s="363">
        <f t="shared" si="932"/>
        <v>0</v>
      </c>
      <c r="BG294" s="363">
        <f t="shared" si="932"/>
        <v>0</v>
      </c>
      <c r="BH294" s="369">
        <f t="shared" si="932"/>
        <v>0</v>
      </c>
      <c r="BI294" s="367">
        <f t="shared" si="932"/>
        <v>0</v>
      </c>
      <c r="BJ294" s="363">
        <f t="shared" si="932"/>
        <v>0</v>
      </c>
      <c r="BK294" s="363">
        <f t="shared" si="932"/>
        <v>0</v>
      </c>
      <c r="BL294" s="363">
        <f t="shared" si="932"/>
        <v>0</v>
      </c>
      <c r="BM294" s="363">
        <f t="shared" si="932"/>
        <v>0</v>
      </c>
      <c r="BN294" s="369">
        <f t="shared" si="932"/>
        <v>0</v>
      </c>
      <c r="BO294" s="367">
        <f t="shared" si="932"/>
        <v>0</v>
      </c>
      <c r="BP294" s="363">
        <f t="shared" si="932"/>
        <v>0</v>
      </c>
      <c r="BQ294" s="363">
        <f t="shared" si="932"/>
        <v>0</v>
      </c>
      <c r="BR294" s="363">
        <f t="shared" si="932"/>
        <v>0</v>
      </c>
      <c r="BS294" s="363">
        <f t="shared" si="932"/>
        <v>283473.64</v>
      </c>
      <c r="BT294" s="280"/>
    </row>
    <row r="295" spans="1:72" s="313" customFormat="1" ht="25.5">
      <c r="A295" s="839"/>
      <c r="B295" s="935"/>
      <c r="C295" s="840"/>
      <c r="D295" s="841"/>
      <c r="E295" s="839"/>
      <c r="F295" s="821" t="s">
        <v>23</v>
      </c>
      <c r="G295" s="314">
        <v>2</v>
      </c>
      <c r="H295" s="739" t="s">
        <v>71</v>
      </c>
      <c r="I295" s="739">
        <v>244</v>
      </c>
      <c r="J295" s="740">
        <v>349</v>
      </c>
      <c r="K295" s="317" t="s">
        <v>759</v>
      </c>
      <c r="L295" s="1013">
        <v>873974.32</v>
      </c>
      <c r="M295" s="318"/>
      <c r="N295" s="318">
        <v>-590500.68000000005</v>
      </c>
      <c r="O295" s="1052">
        <f t="shared" ref="O295" si="934">L295+N295</f>
        <v>283473.64</v>
      </c>
      <c r="P295" s="329"/>
      <c r="Q295" s="319">
        <v>893974.32</v>
      </c>
      <c r="R295" s="329"/>
      <c r="S295" s="319">
        <v>893974.32</v>
      </c>
      <c r="T295" s="329"/>
      <c r="U295" s="335"/>
      <c r="V295" s="320"/>
      <c r="W295" s="320"/>
      <c r="X295" s="320"/>
      <c r="Z295" s="336">
        <f>AW295+AY295+BA295</f>
        <v>0</v>
      </c>
      <c r="AA295" s="337">
        <f>AX295+AZ295+BB295</f>
        <v>0</v>
      </c>
      <c r="AB295" s="338">
        <f>Z295-AA295</f>
        <v>0</v>
      </c>
      <c r="AC295" s="336">
        <f>BC295+BE295+BG295</f>
        <v>0</v>
      </c>
      <c r="AD295" s="337">
        <f>BD295+BF295+BH295</f>
        <v>0</v>
      </c>
      <c r="AE295" s="338">
        <f>AC295-AD295</f>
        <v>0</v>
      </c>
      <c r="AF295" s="336">
        <f>BI295+BK295+BM295</f>
        <v>0</v>
      </c>
      <c r="AG295" s="337">
        <f>BJ295+BL295+BN295</f>
        <v>0</v>
      </c>
      <c r="AH295" s="338">
        <f>AF295-AG295</f>
        <v>0</v>
      </c>
      <c r="AI295" s="336">
        <f>BO295+BQ295+BS295</f>
        <v>283473.64</v>
      </c>
      <c r="AJ295" s="337">
        <f>BP295+BR295+BT295</f>
        <v>0</v>
      </c>
      <c r="AK295" s="338">
        <f>AI295-AJ295</f>
        <v>283473.64</v>
      </c>
      <c r="AL295" s="342"/>
      <c r="AM295" s="336">
        <f>Z295+AC295</f>
        <v>0</v>
      </c>
      <c r="AN295" s="339">
        <f>AA295+AD295</f>
        <v>0</v>
      </c>
      <c r="AO295" s="340">
        <f>AM295-AN295</f>
        <v>0</v>
      </c>
      <c r="AP295" s="336">
        <f>Z295+AC295+AF295</f>
        <v>0</v>
      </c>
      <c r="AQ295" s="339">
        <f>AA295+AD295+AG295</f>
        <v>0</v>
      </c>
      <c r="AR295" s="340">
        <f>AP295-AQ295</f>
        <v>0</v>
      </c>
      <c r="AS295" s="341">
        <f>Z295+AC295+AF295+AI295</f>
        <v>283473.64</v>
      </c>
      <c r="AT295" s="339">
        <f>AA295+AD295+AG295+AJ295</f>
        <v>0</v>
      </c>
      <c r="AU295" s="340">
        <f>AS295-AT295</f>
        <v>283473.64</v>
      </c>
      <c r="AV295" s="589"/>
      <c r="AW295" s="343"/>
      <c r="AX295" s="1098"/>
      <c r="AY295" s="345"/>
      <c r="AZ295" s="1098"/>
      <c r="BA295" s="345"/>
      <c r="BB295" s="1120"/>
      <c r="BC295" s="347"/>
      <c r="BD295" s="348"/>
      <c r="BE295" s="349"/>
      <c r="BF295" s="348"/>
      <c r="BG295" s="349"/>
      <c r="BH295" s="350"/>
      <c r="BI295" s="351"/>
      <c r="BJ295" s="352"/>
      <c r="BK295" s="337"/>
      <c r="BL295" s="352"/>
      <c r="BM295" s="337"/>
      <c r="BN295" s="353"/>
      <c r="BO295" s="354"/>
      <c r="BP295" s="355"/>
      <c r="BQ295" s="356"/>
      <c r="BR295" s="355"/>
      <c r="BS295" s="356">
        <f>873974.32-590500.68</f>
        <v>283473.64</v>
      </c>
      <c r="BT295" s="357"/>
    </row>
    <row r="296" spans="1:72" s="313" customFormat="1" ht="38.25">
      <c r="A296" s="839"/>
      <c r="B296" s="935"/>
      <c r="C296" s="840"/>
      <c r="D296" s="841"/>
      <c r="E296" s="839"/>
      <c r="F296" s="821" t="s">
        <v>23</v>
      </c>
      <c r="G296" s="314">
        <v>2</v>
      </c>
      <c r="H296" s="739" t="s">
        <v>71</v>
      </c>
      <c r="I296" s="739">
        <v>244</v>
      </c>
      <c r="J296" s="740">
        <v>349</v>
      </c>
      <c r="K296" s="317" t="s">
        <v>758</v>
      </c>
      <c r="L296" s="1013">
        <v>20000</v>
      </c>
      <c r="M296" s="318"/>
      <c r="N296" s="318"/>
      <c r="O296" s="1052">
        <f t="shared" si="424"/>
        <v>20000</v>
      </c>
      <c r="P296" s="329"/>
      <c r="Q296" s="319">
        <v>0</v>
      </c>
      <c r="R296" s="329"/>
      <c r="S296" s="319">
        <v>0</v>
      </c>
      <c r="T296" s="329"/>
      <c r="U296" s="335"/>
      <c r="V296" s="320"/>
      <c r="W296" s="320"/>
      <c r="X296" s="320"/>
      <c r="Z296" s="336">
        <f>AW296+AY296+BA296</f>
        <v>0</v>
      </c>
      <c r="AA296" s="337">
        <f>AX296+AZ296+BB296</f>
        <v>0</v>
      </c>
      <c r="AB296" s="338">
        <f>Z296-AA296</f>
        <v>0</v>
      </c>
      <c r="AC296" s="336">
        <f>BC296+BE296+BG296</f>
        <v>20000</v>
      </c>
      <c r="AD296" s="337">
        <f>BD296+BF296+BH296</f>
        <v>0</v>
      </c>
      <c r="AE296" s="338">
        <f>AC296-AD296</f>
        <v>20000</v>
      </c>
      <c r="AF296" s="336">
        <f>BI296+BK296+BM296</f>
        <v>0</v>
      </c>
      <c r="AG296" s="337">
        <f>BJ296+BL296+BN296</f>
        <v>0</v>
      </c>
      <c r="AH296" s="338">
        <f>AF296-AG296</f>
        <v>0</v>
      </c>
      <c r="AI296" s="336">
        <f>BO296+BQ296+BS296</f>
        <v>0</v>
      </c>
      <c r="AJ296" s="337">
        <f>BP296+BR296+BT296</f>
        <v>0</v>
      </c>
      <c r="AK296" s="338">
        <f>AI296-AJ296</f>
        <v>0</v>
      </c>
      <c r="AL296" s="342"/>
      <c r="AM296" s="336">
        <f>Z296+AC296</f>
        <v>20000</v>
      </c>
      <c r="AN296" s="339">
        <f>AA296+AD296</f>
        <v>0</v>
      </c>
      <c r="AO296" s="340">
        <f>AM296-AN296</f>
        <v>20000</v>
      </c>
      <c r="AP296" s="336">
        <f>Z296+AC296+AF296</f>
        <v>20000</v>
      </c>
      <c r="AQ296" s="339">
        <f>AA296+AD296+AG296</f>
        <v>0</v>
      </c>
      <c r="AR296" s="340">
        <f>AP296-AQ296</f>
        <v>20000</v>
      </c>
      <c r="AS296" s="341">
        <f>Z296+AC296+AF296+AI296</f>
        <v>20000</v>
      </c>
      <c r="AT296" s="339">
        <f>AA296+AD296+AG296+AJ296</f>
        <v>0</v>
      </c>
      <c r="AU296" s="340">
        <f>AS296-AT296</f>
        <v>20000</v>
      </c>
      <c r="AV296" s="589"/>
      <c r="AW296" s="343"/>
      <c r="AX296" s="1098"/>
      <c r="AY296" s="345"/>
      <c r="AZ296" s="1098"/>
      <c r="BA296" s="345"/>
      <c r="BB296" s="1120"/>
      <c r="BC296" s="1134">
        <v>10000</v>
      </c>
      <c r="BD296" s="1140"/>
      <c r="BE296" s="1135">
        <v>10000</v>
      </c>
      <c r="BF296" s="348"/>
      <c r="BG296" s="349"/>
      <c r="BH296" s="350"/>
      <c r="BI296" s="351"/>
      <c r="BJ296" s="352"/>
      <c r="BK296" s="337"/>
      <c r="BL296" s="352"/>
      <c r="BM296" s="337"/>
      <c r="BN296" s="353"/>
      <c r="BO296" s="354"/>
      <c r="BP296" s="355"/>
      <c r="BQ296" s="356"/>
      <c r="BR296" s="355"/>
      <c r="BS296" s="356"/>
      <c r="BT296" s="357"/>
    </row>
    <row r="297" spans="1:72" s="615" customFormat="1" ht="25.5">
      <c r="A297" s="287">
        <v>258</v>
      </c>
      <c r="B297" s="935"/>
      <c r="C297" s="866"/>
      <c r="D297" s="867"/>
      <c r="E297" s="867"/>
      <c r="F297" s="832" t="s">
        <v>23</v>
      </c>
      <c r="G297" s="616">
        <v>2</v>
      </c>
      <c r="H297" s="749" t="s">
        <v>71</v>
      </c>
      <c r="I297" s="749">
        <v>244</v>
      </c>
      <c r="J297" s="750">
        <v>349</v>
      </c>
      <c r="K297" s="932" t="s">
        <v>214</v>
      </c>
      <c r="L297" s="1046">
        <v>0</v>
      </c>
      <c r="M297" s="619"/>
      <c r="N297" s="619"/>
      <c r="O297" s="1054">
        <f t="shared" ref="O297" si="935">L297+N297</f>
        <v>0</v>
      </c>
      <c r="P297" s="988"/>
      <c r="Q297" s="656">
        <v>0</v>
      </c>
      <c r="R297" s="988"/>
      <c r="S297" s="656">
        <v>0</v>
      </c>
      <c r="T297" s="988"/>
      <c r="U297" s="621"/>
      <c r="V297" s="388"/>
      <c r="W297" s="388"/>
      <c r="X297" s="388"/>
      <c r="Z297" s="509">
        <f t="shared" ref="Z297" si="936">AW297+AY297+BA297</f>
        <v>0</v>
      </c>
      <c r="AA297" s="622">
        <f t="shared" ref="AA297" si="937">AX297+AZ297+BB297</f>
        <v>0</v>
      </c>
      <c r="AB297" s="623">
        <f t="shared" ref="AB297" si="938">Z297-AA297</f>
        <v>0</v>
      </c>
      <c r="AC297" s="509">
        <f t="shared" ref="AC297" si="939">BC297+BE297+BG297</f>
        <v>0</v>
      </c>
      <c r="AD297" s="622">
        <f t="shared" ref="AD297" si="940">BD297+BF297+BH297</f>
        <v>0</v>
      </c>
      <c r="AE297" s="623">
        <f t="shared" ref="AE297" si="941">AC297-AD297</f>
        <v>0</v>
      </c>
      <c r="AF297" s="509">
        <f t="shared" ref="AF297" si="942">BI297+BK297+BM297</f>
        <v>0</v>
      </c>
      <c r="AG297" s="622">
        <f t="shared" ref="AG297" si="943">BJ297+BL297+BN297</f>
        <v>0</v>
      </c>
      <c r="AH297" s="623">
        <f t="shared" ref="AH297" si="944">AF297-AG297</f>
        <v>0</v>
      </c>
      <c r="AI297" s="509">
        <f t="shared" ref="AI297" si="945">BO297+BQ297+BS297</f>
        <v>0</v>
      </c>
      <c r="AJ297" s="622">
        <f t="shared" ref="AJ297" si="946">BP297+BR297+BT297</f>
        <v>0</v>
      </c>
      <c r="AK297" s="623">
        <f t="shared" ref="AK297" si="947">AI297-AJ297</f>
        <v>0</v>
      </c>
      <c r="AL297" s="624"/>
      <c r="AM297" s="509">
        <f t="shared" ref="AM297" si="948">Z297+AC297</f>
        <v>0</v>
      </c>
      <c r="AN297" s="625">
        <f t="shared" ref="AN297" si="949">AA297+AD297</f>
        <v>0</v>
      </c>
      <c r="AO297" s="626">
        <f t="shared" si="434"/>
        <v>0</v>
      </c>
      <c r="AP297" s="509">
        <f t="shared" ref="AP297" si="950">Z297+AC297+AF297</f>
        <v>0</v>
      </c>
      <c r="AQ297" s="625">
        <f t="shared" ref="AQ297" si="951">AA297+AD297+AG297</f>
        <v>0</v>
      </c>
      <c r="AR297" s="626">
        <f t="shared" si="420"/>
        <v>0</v>
      </c>
      <c r="AS297" s="510">
        <f t="shared" ref="AS297" si="952">Z297+AC297+AF297+AI297</f>
        <v>0</v>
      </c>
      <c r="AT297" s="625">
        <f t="shared" ref="AT297" si="953">AA297+AD297+AG297+AJ297</f>
        <v>0</v>
      </c>
      <c r="AU297" s="626">
        <f t="shared" ref="AU297" si="954">AS297-AT297</f>
        <v>0</v>
      </c>
      <c r="AV297" s="627"/>
      <c r="AW297" s="628"/>
      <c r="AX297" s="629"/>
      <c r="AY297" s="630"/>
      <c r="AZ297" s="629"/>
      <c r="BA297" s="630"/>
      <c r="BB297" s="631"/>
      <c r="BC297" s="632"/>
      <c r="BD297" s="633"/>
      <c r="BE297" s="634"/>
      <c r="BF297" s="633"/>
      <c r="BG297" s="634"/>
      <c r="BH297" s="635"/>
      <c r="BI297" s="636"/>
      <c r="BJ297" s="637"/>
      <c r="BK297" s="622"/>
      <c r="BL297" s="637"/>
      <c r="BM297" s="622"/>
      <c r="BN297" s="638"/>
      <c r="BO297" s="639"/>
      <c r="BP297" s="640"/>
      <c r="BQ297" s="641"/>
      <c r="BR297" s="640"/>
      <c r="BS297" s="641"/>
      <c r="BT297" s="642"/>
    </row>
    <row r="298" spans="1:72" s="31" customFormat="1">
      <c r="A298" s="287">
        <v>261</v>
      </c>
      <c r="B298" s="933"/>
      <c r="C298" s="845"/>
      <c r="D298" s="849"/>
      <c r="E298" s="287" t="s">
        <v>201</v>
      </c>
      <c r="F298" s="521"/>
      <c r="G298" s="521"/>
      <c r="H298" s="521"/>
      <c r="I298" s="521"/>
      <c r="J298" s="521"/>
      <c r="K298" s="1009" t="s">
        <v>17</v>
      </c>
      <c r="L298" s="1047">
        <f t="shared" ref="L298:AQ298" si="955">SUM(L183,L184,L186,L188,L189,L190,L191,L192,L200,L197,L203,L250,L205,L211,L213,L215,L217,L238,L239,L242,L243,L253,L257,L262,L267,L274,L289,L293,L294)</f>
        <v>11682442.91</v>
      </c>
      <c r="M298" s="13">
        <f t="shared" si="955"/>
        <v>192442.91</v>
      </c>
      <c r="N298" s="13">
        <f t="shared" si="955"/>
        <v>0</v>
      </c>
      <c r="O298" s="13">
        <f t="shared" si="955"/>
        <v>11682442.91</v>
      </c>
      <c r="P298" s="570">
        <f t="shared" si="955"/>
        <v>0</v>
      </c>
      <c r="Q298" s="264">
        <f t="shared" si="955"/>
        <v>11490000</v>
      </c>
      <c r="R298" s="559">
        <f t="shared" si="955"/>
        <v>0</v>
      </c>
      <c r="S298" s="543">
        <f t="shared" si="955"/>
        <v>11490000</v>
      </c>
      <c r="T298" s="559">
        <f t="shared" si="955"/>
        <v>0</v>
      </c>
      <c r="U298" s="334">
        <f t="shared" si="955"/>
        <v>0</v>
      </c>
      <c r="V298" s="7">
        <f t="shared" si="955"/>
        <v>0</v>
      </c>
      <c r="W298" s="7">
        <f t="shared" si="955"/>
        <v>0</v>
      </c>
      <c r="X298" s="7" t="e">
        <f t="shared" si="955"/>
        <v>#VALUE!</v>
      </c>
      <c r="Y298" s="31">
        <f t="shared" si="955"/>
        <v>0</v>
      </c>
      <c r="Z298" s="264">
        <f t="shared" si="955"/>
        <v>7643731.1699999999</v>
      </c>
      <c r="AA298" s="254">
        <f t="shared" si="955"/>
        <v>964129.37</v>
      </c>
      <c r="AB298" s="270">
        <f t="shared" si="955"/>
        <v>6679601.7999999998</v>
      </c>
      <c r="AC298" s="264">
        <f t="shared" si="955"/>
        <v>1078780.71</v>
      </c>
      <c r="AD298" s="254">
        <f t="shared" si="955"/>
        <v>22105</v>
      </c>
      <c r="AE298" s="270">
        <f t="shared" si="955"/>
        <v>1056675.71</v>
      </c>
      <c r="AF298" s="264">
        <f t="shared" si="955"/>
        <v>287351.87</v>
      </c>
      <c r="AG298" s="254">
        <f t="shared" si="955"/>
        <v>0</v>
      </c>
      <c r="AH298" s="270">
        <f t="shared" si="955"/>
        <v>287351.87</v>
      </c>
      <c r="AI298" s="264">
        <f t="shared" si="955"/>
        <v>2445601.34</v>
      </c>
      <c r="AJ298" s="254">
        <f t="shared" si="955"/>
        <v>0</v>
      </c>
      <c r="AK298" s="270">
        <f t="shared" si="955"/>
        <v>2445601.34</v>
      </c>
      <c r="AL298" s="278">
        <f t="shared" si="955"/>
        <v>0</v>
      </c>
      <c r="AM298" s="264">
        <f t="shared" si="955"/>
        <v>8722511.8800000008</v>
      </c>
      <c r="AN298" s="248">
        <f t="shared" si="955"/>
        <v>986234.37</v>
      </c>
      <c r="AO298" s="281">
        <f t="shared" si="955"/>
        <v>7736277.5099999998</v>
      </c>
      <c r="AP298" s="264">
        <f t="shared" si="955"/>
        <v>9009863.75</v>
      </c>
      <c r="AQ298" s="248">
        <f t="shared" si="955"/>
        <v>986234.37</v>
      </c>
      <c r="AR298" s="281">
        <f t="shared" ref="AR298:BS298" si="956">SUM(AR183,AR184,AR186,AR188,AR189,AR190,AR191,AR192,AR200,AR197,AR203,AR250,AR205,AR211,AR213,AR215,AR217,AR238,AR239,AR242,AR243,AR253,AR257,AR262,AR267,AR274,AR289,AR293,AR294)</f>
        <v>8023629.3799999999</v>
      </c>
      <c r="AS298" s="264">
        <f t="shared" si="956"/>
        <v>11455465.09</v>
      </c>
      <c r="AT298" s="248">
        <f t="shared" si="956"/>
        <v>986234.37</v>
      </c>
      <c r="AU298" s="281">
        <f t="shared" si="956"/>
        <v>10469230.720000001</v>
      </c>
      <c r="AV298" s="604">
        <f t="shared" si="956"/>
        <v>226977.82</v>
      </c>
      <c r="AW298" s="278">
        <f t="shared" si="956"/>
        <v>6582265.5599999996</v>
      </c>
      <c r="AX298" s="1113">
        <f t="shared" si="956"/>
        <v>0</v>
      </c>
      <c r="AY298" s="278">
        <f t="shared" si="956"/>
        <v>44430</v>
      </c>
      <c r="AZ298" s="1113">
        <f t="shared" si="956"/>
        <v>558045.86</v>
      </c>
      <c r="BA298" s="278">
        <f t="shared" si="956"/>
        <v>1017035.61</v>
      </c>
      <c r="BB298" s="1113">
        <f t="shared" si="956"/>
        <v>406083.51</v>
      </c>
      <c r="BC298" s="278">
        <f t="shared" si="956"/>
        <v>220476.1</v>
      </c>
      <c r="BD298" s="278">
        <f t="shared" si="956"/>
        <v>22105</v>
      </c>
      <c r="BE298" s="278">
        <f t="shared" si="956"/>
        <v>642716.80000000005</v>
      </c>
      <c r="BF298" s="278">
        <f t="shared" si="956"/>
        <v>0</v>
      </c>
      <c r="BG298" s="278">
        <f t="shared" si="956"/>
        <v>215587.81</v>
      </c>
      <c r="BH298" s="278">
        <f t="shared" si="956"/>
        <v>0</v>
      </c>
      <c r="BI298" s="278">
        <f t="shared" si="956"/>
        <v>74245.58</v>
      </c>
      <c r="BJ298" s="278">
        <f t="shared" si="956"/>
        <v>0</v>
      </c>
      <c r="BK298" s="278">
        <f t="shared" si="956"/>
        <v>121826.29</v>
      </c>
      <c r="BL298" s="278">
        <f t="shared" si="956"/>
        <v>0</v>
      </c>
      <c r="BM298" s="278">
        <f t="shared" si="956"/>
        <v>91280</v>
      </c>
      <c r="BN298" s="278">
        <f t="shared" si="956"/>
        <v>0</v>
      </c>
      <c r="BO298" s="278">
        <f t="shared" si="956"/>
        <v>279759.99</v>
      </c>
      <c r="BP298" s="278">
        <f t="shared" si="956"/>
        <v>0</v>
      </c>
      <c r="BQ298" s="278">
        <f t="shared" si="956"/>
        <v>243505</v>
      </c>
      <c r="BR298" s="278">
        <f t="shared" si="956"/>
        <v>0</v>
      </c>
      <c r="BS298" s="278">
        <f t="shared" si="956"/>
        <v>1922336.35</v>
      </c>
      <c r="BT298" s="278"/>
    </row>
    <row r="299" spans="1:72" s="31" customFormat="1" ht="16.5" customHeight="1" thickBot="1">
      <c r="A299" s="287">
        <v>262</v>
      </c>
      <c r="B299" s="933"/>
      <c r="C299" s="845"/>
      <c r="D299" s="849"/>
      <c r="E299" s="287" t="s">
        <v>201</v>
      </c>
      <c r="F299" s="521"/>
      <c r="G299" s="521"/>
      <c r="H299" s="521"/>
      <c r="I299" s="521"/>
      <c r="J299" s="521"/>
      <c r="K299" s="1009" t="s">
        <v>21</v>
      </c>
      <c r="L299" s="1040">
        <f t="shared" ref="L299:T299" si="957">L178+L298</f>
        <v>62257435.799999997</v>
      </c>
      <c r="M299" s="546">
        <f t="shared" si="957"/>
        <v>192442.91</v>
      </c>
      <c r="N299" s="546">
        <f t="shared" si="957"/>
        <v>119622.63</v>
      </c>
      <c r="O299" s="546">
        <f t="shared" si="957"/>
        <v>62377058.43</v>
      </c>
      <c r="P299" s="572">
        <f t="shared" si="957"/>
        <v>18239892.800000001</v>
      </c>
      <c r="Q299" s="545">
        <f t="shared" si="957"/>
        <v>53696072.039999999</v>
      </c>
      <c r="R299" s="568">
        <f t="shared" si="957"/>
        <v>0</v>
      </c>
      <c r="S299" s="554">
        <f t="shared" si="957"/>
        <v>53288874.439999998</v>
      </c>
      <c r="T299" s="568">
        <f t="shared" si="957"/>
        <v>0</v>
      </c>
      <c r="U299" s="334"/>
      <c r="V299" s="7"/>
      <c r="W299" s="7"/>
      <c r="X299" s="7"/>
      <c r="Z299" s="263" t="e">
        <f t="shared" ref="Z299:AK299" si="958">Z178+Z298</f>
        <v>#REF!</v>
      </c>
      <c r="AA299" s="253" t="e">
        <f t="shared" si="958"/>
        <v>#REF!</v>
      </c>
      <c r="AB299" s="269" t="e">
        <f t="shared" si="958"/>
        <v>#REF!</v>
      </c>
      <c r="AC299" s="263" t="e">
        <f t="shared" si="958"/>
        <v>#REF!</v>
      </c>
      <c r="AD299" s="253" t="e">
        <f t="shared" si="958"/>
        <v>#REF!</v>
      </c>
      <c r="AE299" s="269" t="e">
        <f t="shared" si="958"/>
        <v>#REF!</v>
      </c>
      <c r="AF299" s="263" t="e">
        <f t="shared" si="958"/>
        <v>#REF!</v>
      </c>
      <c r="AG299" s="253" t="e">
        <f t="shared" si="958"/>
        <v>#REF!</v>
      </c>
      <c r="AH299" s="269" t="e">
        <f t="shared" si="958"/>
        <v>#REF!</v>
      </c>
      <c r="AI299" s="263" t="e">
        <f t="shared" si="958"/>
        <v>#REF!</v>
      </c>
      <c r="AJ299" s="253" t="e">
        <f t="shared" si="958"/>
        <v>#REF!</v>
      </c>
      <c r="AK299" s="269" t="e">
        <f t="shared" si="958"/>
        <v>#REF!</v>
      </c>
      <c r="AL299" s="210"/>
      <c r="AM299" s="263" t="e">
        <f t="shared" si="731"/>
        <v>#REF!</v>
      </c>
      <c r="AN299" s="247" t="e">
        <f t="shared" si="731"/>
        <v>#REF!</v>
      </c>
      <c r="AO299" s="280" t="e">
        <f t="shared" si="434"/>
        <v>#REF!</v>
      </c>
      <c r="AP299" s="263" t="e">
        <f t="shared" si="732"/>
        <v>#REF!</v>
      </c>
      <c r="AQ299" s="247" t="e">
        <f t="shared" si="732"/>
        <v>#REF!</v>
      </c>
      <c r="AR299" s="280" t="e">
        <f t="shared" si="420"/>
        <v>#REF!</v>
      </c>
      <c r="AS299" s="263">
        <f>AS178+AS298</f>
        <v>57645907.259999998</v>
      </c>
      <c r="AT299" s="247">
        <f>AT178+AT298</f>
        <v>14144351.02</v>
      </c>
      <c r="AU299" s="280">
        <f>AU178+AU298</f>
        <v>43501556.240000002</v>
      </c>
      <c r="AV299" s="607">
        <f t="shared" si="502"/>
        <v>4611528.54</v>
      </c>
      <c r="AW299" s="210"/>
      <c r="AX299" s="1113"/>
      <c r="AY299" s="210"/>
      <c r="AZ299" s="1113"/>
      <c r="BA299" s="210"/>
      <c r="BB299" s="1113"/>
      <c r="BC299" s="210"/>
      <c r="BD299" s="210"/>
      <c r="BE299" s="210"/>
      <c r="BF299" s="210"/>
      <c r="BG299" s="210"/>
      <c r="BH299" s="210"/>
      <c r="BI299" s="210"/>
      <c r="BJ299" s="210"/>
      <c r="BK299" s="210"/>
      <c r="BL299" s="210"/>
      <c r="BM299" s="210"/>
      <c r="BN299" s="210"/>
      <c r="BO299" s="210"/>
      <c r="BP299" s="210"/>
      <c r="BQ299" s="210"/>
      <c r="BR299" s="210"/>
      <c r="BS299" s="210"/>
      <c r="BT299" s="210"/>
    </row>
    <row r="300" spans="1:72" s="31" customFormat="1">
      <c r="A300" s="287">
        <v>263</v>
      </c>
      <c r="B300" s="933"/>
      <c r="C300" s="845"/>
      <c r="D300" s="849"/>
      <c r="E300" s="287"/>
      <c r="F300" s="2"/>
      <c r="G300" s="2"/>
      <c r="H300" s="2"/>
      <c r="I300" s="2"/>
      <c r="J300" s="2"/>
      <c r="K300" s="209" t="s">
        <v>204</v>
      </c>
      <c r="L300" s="1035">
        <v>11490000</v>
      </c>
      <c r="M300" s="277">
        <v>192442.91</v>
      </c>
      <c r="N300" s="86"/>
      <c r="O300" s="996">
        <v>11490000</v>
      </c>
      <c r="P300" s="997"/>
      <c r="Q300" s="996">
        <v>11490000</v>
      </c>
      <c r="R300" s="997"/>
      <c r="S300" s="996">
        <v>11490000</v>
      </c>
      <c r="T300" s="332"/>
      <c r="U300" s="325"/>
      <c r="Z300" s="86"/>
      <c r="AA300" s="86"/>
      <c r="AB300" s="86"/>
      <c r="AC300" s="86"/>
      <c r="AD300" s="86"/>
      <c r="AE300" s="86"/>
      <c r="AF300" s="86"/>
      <c r="AG300" s="86"/>
      <c r="AH300" s="86"/>
      <c r="AI300" s="86"/>
      <c r="AJ300" s="86"/>
      <c r="AK300" s="86"/>
      <c r="AL300" s="87"/>
      <c r="AM300" s="86"/>
      <c r="AN300" s="86"/>
      <c r="AO300" s="86"/>
      <c r="AP300" s="86"/>
      <c r="AQ300" s="86"/>
      <c r="AR300" s="86"/>
      <c r="AS300" s="86"/>
      <c r="AT300" s="86"/>
      <c r="AU300" s="86"/>
      <c r="AV300" s="607"/>
      <c r="AW300" s="86"/>
      <c r="AX300" s="1118"/>
      <c r="AY300" s="86"/>
      <c r="AZ300" s="1118"/>
      <c r="BA300" s="86"/>
      <c r="BB300" s="1118"/>
      <c r="BC300" s="86"/>
      <c r="BD300" s="86"/>
      <c r="BE300" s="86"/>
      <c r="BF300" s="86"/>
      <c r="BG300" s="86"/>
      <c r="BH300" s="86"/>
      <c r="BI300" s="86"/>
      <c r="BJ300" s="86"/>
      <c r="BK300" s="86"/>
      <c r="BL300" s="86"/>
      <c r="BM300" s="86"/>
      <c r="BN300" s="86"/>
      <c r="BO300" s="86"/>
      <c r="BP300" s="86"/>
      <c r="BQ300" s="86"/>
      <c r="BR300" s="86"/>
      <c r="BS300" s="86"/>
      <c r="BT300" s="86"/>
    </row>
    <row r="301" spans="1:72" s="31" customFormat="1">
      <c r="A301" s="287">
        <v>264</v>
      </c>
      <c r="B301" s="933"/>
      <c r="C301" s="845"/>
      <c r="D301" s="849"/>
      <c r="E301" s="287"/>
      <c r="F301" s="2"/>
      <c r="G301" s="2"/>
      <c r="H301" s="2"/>
      <c r="I301" s="2"/>
      <c r="J301" s="2"/>
      <c r="K301" s="209" t="s">
        <v>368</v>
      </c>
      <c r="L301" s="1036">
        <f>L300-L298</f>
        <v>-192442.91</v>
      </c>
      <c r="M301" s="86"/>
      <c r="N301" s="86"/>
      <c r="O301" s="277">
        <f>O300-O298</f>
        <v>-192442.91</v>
      </c>
      <c r="P301" s="332"/>
      <c r="Q301" s="277">
        <f>Q300-Q298</f>
        <v>0</v>
      </c>
      <c r="R301" s="332"/>
      <c r="S301" s="277">
        <f>S300-S298</f>
        <v>0</v>
      </c>
      <c r="T301" s="332"/>
      <c r="U301" s="325"/>
      <c r="Z301" s="86"/>
      <c r="AA301" s="86"/>
      <c r="AB301" s="86"/>
      <c r="AC301" s="86"/>
      <c r="AD301" s="86"/>
      <c r="AE301" s="86"/>
      <c r="AF301" s="86"/>
      <c r="AG301" s="86"/>
      <c r="AH301" s="86"/>
      <c r="AI301" s="86"/>
      <c r="AJ301" s="86"/>
      <c r="AK301" s="86"/>
      <c r="AL301" s="87"/>
      <c r="AM301" s="86"/>
      <c r="AN301" s="86"/>
      <c r="AO301" s="86"/>
      <c r="AP301" s="86"/>
      <c r="AQ301" s="86"/>
      <c r="AR301" s="86"/>
      <c r="AS301" s="86"/>
      <c r="AT301" s="86"/>
      <c r="AU301" s="86"/>
      <c r="AV301" s="607"/>
      <c r="AW301" s="86"/>
      <c r="AX301" s="1118"/>
      <c r="AY301" s="86"/>
      <c r="AZ301" s="1118"/>
      <c r="BA301" s="86"/>
      <c r="BB301" s="1118"/>
      <c r="BC301" s="86"/>
      <c r="BD301" s="86"/>
      <c r="BE301" s="86"/>
      <c r="BF301" s="86"/>
      <c r="BG301" s="86"/>
      <c r="BH301" s="86"/>
      <c r="BI301" s="86"/>
      <c r="BJ301" s="86"/>
      <c r="BK301" s="86"/>
      <c r="BL301" s="86"/>
      <c r="BM301" s="86"/>
      <c r="BN301" s="86"/>
      <c r="BO301" s="86"/>
      <c r="BP301" s="86"/>
      <c r="BQ301" s="86"/>
      <c r="BR301" s="86"/>
      <c r="BS301" s="86"/>
      <c r="BT301" s="86"/>
    </row>
    <row r="302" spans="1:72">
      <c r="A302" s="287">
        <v>265</v>
      </c>
      <c r="L302" s="1048">
        <f>L298-L300-M298</f>
        <v>0</v>
      </c>
      <c r="O302" s="994">
        <f>O298-O300-M298</f>
        <v>0</v>
      </c>
      <c r="AV302" s="751"/>
    </row>
    <row r="303" spans="1:72" ht="15">
      <c r="A303" s="287">
        <v>266</v>
      </c>
      <c r="L303" s="1016">
        <f>L299-M299</f>
        <v>62064992.890000001</v>
      </c>
      <c r="AV303" s="751"/>
    </row>
    <row r="304" spans="1:72" ht="15">
      <c r="A304" s="287">
        <v>267</v>
      </c>
      <c r="AV304" s="751"/>
    </row>
    <row r="305" spans="1:48" ht="15">
      <c r="A305" s="287">
        <v>268</v>
      </c>
      <c r="B305" s="936"/>
      <c r="AV305" s="751"/>
    </row>
    <row r="527" spans="1:72" ht="12.75" hidden="1" customHeight="1">
      <c r="A527" s="2"/>
      <c r="B527" s="1096"/>
      <c r="C527" s="2"/>
      <c r="D527" s="2"/>
      <c r="E527" s="2"/>
      <c r="L527" s="1049"/>
      <c r="M527" s="2"/>
      <c r="N527" s="2"/>
      <c r="O527" s="2"/>
      <c r="P527" s="2"/>
      <c r="Q527" s="2"/>
      <c r="R527" s="2"/>
      <c r="S527" s="2"/>
      <c r="T527" s="2"/>
      <c r="U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805"/>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row>
    <row r="543" spans="1:72" ht="12.75" hidden="1" customHeight="1">
      <c r="A543" s="2"/>
      <c r="B543" s="1096"/>
      <c r="C543" s="2"/>
      <c r="D543" s="2"/>
      <c r="E543" s="2"/>
      <c r="L543" s="1049"/>
      <c r="M543" s="2"/>
      <c r="N543" s="2"/>
      <c r="O543" s="2"/>
      <c r="P543" s="2"/>
      <c r="Q543" s="2"/>
      <c r="R543" s="2"/>
      <c r="S543" s="2"/>
      <c r="T543" s="2"/>
      <c r="U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805"/>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row>
  </sheetData>
  <autoFilter ref="A10:BV305"/>
  <mergeCells count="19">
    <mergeCell ref="BE9:BF9"/>
    <mergeCell ref="Z9:AB9"/>
    <mergeCell ref="AC9:AE9"/>
    <mergeCell ref="AF9:AH9"/>
    <mergeCell ref="AI9:AK9"/>
    <mergeCell ref="AM9:AO9"/>
    <mergeCell ref="AP9:AR9"/>
    <mergeCell ref="AS9:AU9"/>
    <mergeCell ref="AW9:AX9"/>
    <mergeCell ref="AY9:AZ9"/>
    <mergeCell ref="BA9:BB9"/>
    <mergeCell ref="BC9:BD9"/>
    <mergeCell ref="BS9:BT9"/>
    <mergeCell ref="BG9:BH9"/>
    <mergeCell ref="BI9:BJ9"/>
    <mergeCell ref="BK9:BL9"/>
    <mergeCell ref="BM9:BN9"/>
    <mergeCell ref="BO9:BP9"/>
    <mergeCell ref="BQ9:BR9"/>
  </mergeCells>
  <conditionalFormatting sqref="AS47:AS48 AS148:AS149 AS154:AS155 AS111:AS114 AS52 AS31 AS42 AS105 AS35:AS36">
    <cfRule type="expression" dxfId="5294" priority="1064">
      <formula>IF(L31=AS31,1,0)</formula>
    </cfRule>
  </conditionalFormatting>
  <conditionalFormatting sqref="AS177">
    <cfRule type="expression" dxfId="5293" priority="1063">
      <formula>IF(L177=AS177,1,0)</formula>
    </cfRule>
  </conditionalFormatting>
  <conditionalFormatting sqref="AS178">
    <cfRule type="expression" dxfId="5292" priority="1062">
      <formula>IF(L178=AS178,1,0)</formula>
    </cfRule>
  </conditionalFormatting>
  <conditionalFormatting sqref="L171">
    <cfRule type="cellIs" dxfId="5291" priority="1061" operator="notEqual">
      <formula>$L$170</formula>
    </cfRule>
  </conditionalFormatting>
  <conditionalFormatting sqref="L179">
    <cfRule type="cellIs" dxfId="5290" priority="1060" operator="notEqual">
      <formula>$L$178</formula>
    </cfRule>
  </conditionalFormatting>
  <conditionalFormatting sqref="L300">
    <cfRule type="cellIs" dxfId="5289" priority="1059" operator="notEqual">
      <formula>$L$298</formula>
    </cfRule>
  </conditionalFormatting>
  <conditionalFormatting sqref="AS4">
    <cfRule type="expression" dxfId="5288" priority="1058">
      <formula>IF(L4=AS4,1,0)</formula>
    </cfRule>
  </conditionalFormatting>
  <conditionalFormatting sqref="AS18:AS22">
    <cfRule type="expression" dxfId="5287" priority="1053">
      <formula>IF(L18=AS18,1,0)</formula>
    </cfRule>
  </conditionalFormatting>
  <conditionalFormatting sqref="AS29">
    <cfRule type="expression" dxfId="5286" priority="1057">
      <formula>IF(L29=AS29,1,0)</formula>
    </cfRule>
  </conditionalFormatting>
  <conditionalFormatting sqref="F4 F47:F48 F52 F35:F36">
    <cfRule type="cellIs" dxfId="5285" priority="1054" operator="equal">
      <formula>"3-001-2214"</formula>
    </cfRule>
    <cfRule type="cellIs" dxfId="5284" priority="1055" operator="equal">
      <formula>"3-001-5204"</formula>
    </cfRule>
    <cfRule type="cellIs" dxfId="5283" priority="1056" operator="equal">
      <formula>"3-001-0002"</formula>
    </cfRule>
  </conditionalFormatting>
  <conditionalFormatting sqref="AS55">
    <cfRule type="expression" dxfId="5282" priority="1029">
      <formula>IF(L55=AS55,1,0)</formula>
    </cfRule>
  </conditionalFormatting>
  <conditionalFormatting sqref="F18:F20 F22">
    <cfRule type="cellIs" dxfId="5281" priority="1050" operator="equal">
      <formula>"3-001-2214"</formula>
    </cfRule>
    <cfRule type="cellIs" dxfId="5280" priority="1051" operator="equal">
      <formula>"3-001-5204"</formula>
    </cfRule>
    <cfRule type="cellIs" dxfId="5279" priority="1052" operator="equal">
      <formula>"3-001-0002"</formula>
    </cfRule>
  </conditionalFormatting>
  <conditionalFormatting sqref="F16:F17">
    <cfRule type="cellIs" dxfId="5278" priority="1038" operator="equal">
      <formula>"3-001-2214"</formula>
    </cfRule>
    <cfRule type="cellIs" dxfId="5277" priority="1039" operator="equal">
      <formula>"3-001-5204"</formula>
    </cfRule>
    <cfRule type="cellIs" dxfId="5276" priority="1040" operator="equal">
      <formula>"3-001-0002"</formula>
    </cfRule>
  </conditionalFormatting>
  <conditionalFormatting sqref="AS3">
    <cfRule type="expression" dxfId="5275" priority="1049">
      <formula>IF(L3=AS3,1,0)</formula>
    </cfRule>
  </conditionalFormatting>
  <conditionalFormatting sqref="F3">
    <cfRule type="cellIs" dxfId="5274" priority="1046" operator="equal">
      <formula>"3-001-2214"</formula>
    </cfRule>
    <cfRule type="cellIs" dxfId="5273" priority="1047" operator="equal">
      <formula>"3-001-5204"</formula>
    </cfRule>
    <cfRule type="cellIs" dxfId="5272" priority="1048" operator="equal">
      <formula>"3-001-0002"</formula>
    </cfRule>
  </conditionalFormatting>
  <conditionalFormatting sqref="AS51">
    <cfRule type="expression" dxfId="5271" priority="1033">
      <formula>IF(L51=AS51,1,0)</formula>
    </cfRule>
  </conditionalFormatting>
  <conditionalFormatting sqref="F51">
    <cfRule type="cellIs" dxfId="5270" priority="1030" operator="equal">
      <formula>"3-001-2214"</formula>
    </cfRule>
    <cfRule type="cellIs" dxfId="5269" priority="1031" operator="equal">
      <formula>"3-001-5204"</formula>
    </cfRule>
    <cfRule type="cellIs" dxfId="5268" priority="1032" operator="equal">
      <formula>"3-001-0002"</formula>
    </cfRule>
  </conditionalFormatting>
  <conditionalFormatting sqref="AS33">
    <cfRule type="expression" dxfId="5267" priority="1025">
      <formula>IF(L33=AS33,1,0)</formula>
    </cfRule>
  </conditionalFormatting>
  <conditionalFormatting sqref="F55">
    <cfRule type="cellIs" dxfId="5266" priority="1026" operator="equal">
      <formula>"3-001-2214"</formula>
    </cfRule>
    <cfRule type="cellIs" dxfId="5265" priority="1027" operator="equal">
      <formula>"3-001-5204"</formula>
    </cfRule>
    <cfRule type="cellIs" dxfId="5264" priority="1028" operator="equal">
      <formula>"3-001-0002"</formula>
    </cfRule>
  </conditionalFormatting>
  <conditionalFormatting sqref="AS12 AS14">
    <cfRule type="expression" dxfId="5263" priority="1045">
      <formula>IF(L12=AS12,1,0)</formula>
    </cfRule>
  </conditionalFormatting>
  <conditionalFormatting sqref="F12 F14">
    <cfRule type="cellIs" dxfId="5262" priority="1042" operator="equal">
      <formula>"3-001-2214"</formula>
    </cfRule>
    <cfRule type="cellIs" dxfId="5261" priority="1043" operator="equal">
      <formula>"3-001-5204"</formula>
    </cfRule>
    <cfRule type="cellIs" dxfId="5260" priority="1044" operator="equal">
      <formula>"3-001-0002"</formula>
    </cfRule>
  </conditionalFormatting>
  <conditionalFormatting sqref="AS16:AS17">
    <cfRule type="expression" dxfId="5259" priority="1041">
      <formula>IF(L16=AS16,1,0)</formula>
    </cfRule>
  </conditionalFormatting>
  <conditionalFormatting sqref="F28">
    <cfRule type="cellIs" dxfId="5258" priority="1034" operator="equal">
      <formula>"3-001-2214"</formula>
    </cfRule>
    <cfRule type="cellIs" dxfId="5257" priority="1035" operator="equal">
      <formula>"3-001-5204"</formula>
    </cfRule>
    <cfRule type="cellIs" dxfId="5256" priority="1036" operator="equal">
      <formula>"3-001-0002"</formula>
    </cfRule>
  </conditionalFormatting>
  <conditionalFormatting sqref="AS28">
    <cfRule type="expression" dxfId="5255" priority="1037">
      <formula>IF(L28=AS28,1,0)</formula>
    </cfRule>
  </conditionalFormatting>
  <conditionalFormatting sqref="F33">
    <cfRule type="cellIs" dxfId="5254" priority="1022" operator="equal">
      <formula>"3-001-2214"</formula>
    </cfRule>
    <cfRule type="cellIs" dxfId="5253" priority="1023" operator="equal">
      <formula>"3-001-5204"</formula>
    </cfRule>
    <cfRule type="cellIs" dxfId="5252" priority="1024" operator="equal">
      <formula>"3-001-0002"</formula>
    </cfRule>
  </conditionalFormatting>
  <conditionalFormatting sqref="AS34">
    <cfRule type="expression" dxfId="5251" priority="1021">
      <formula>IF(L34=AS34,1,0)</formula>
    </cfRule>
  </conditionalFormatting>
  <conditionalFormatting sqref="F34">
    <cfRule type="cellIs" dxfId="5250" priority="1018" operator="equal">
      <formula>"3-001-2214"</formula>
    </cfRule>
    <cfRule type="cellIs" dxfId="5249" priority="1019" operator="equal">
      <formula>"3-001-5204"</formula>
    </cfRule>
    <cfRule type="cellIs" dxfId="5248" priority="1020" operator="equal">
      <formula>"3-001-0002"</formula>
    </cfRule>
  </conditionalFormatting>
  <conditionalFormatting sqref="AS30">
    <cfRule type="expression" dxfId="5247" priority="1017">
      <formula>IF(L30=AS30,1,0)</formula>
    </cfRule>
  </conditionalFormatting>
  <conditionalFormatting sqref="AS32">
    <cfRule type="expression" dxfId="5246" priority="1016">
      <formula>IF(L32=AS32,1,0)</formula>
    </cfRule>
  </conditionalFormatting>
  <conditionalFormatting sqref="AS39:AS40">
    <cfRule type="expression" dxfId="5245" priority="1015">
      <formula>IF(L39=AS39,1,0)</formula>
    </cfRule>
  </conditionalFormatting>
  <conditionalFormatting sqref="F39:F40 F42">
    <cfRule type="cellIs" dxfId="5244" priority="1012" operator="equal">
      <formula>"3-001-2214"</formula>
    </cfRule>
    <cfRule type="cellIs" dxfId="5243" priority="1013" operator="equal">
      <formula>"3-001-5204"</formula>
    </cfRule>
    <cfRule type="cellIs" dxfId="5242" priority="1014" operator="equal">
      <formula>"3-001-0002"</formula>
    </cfRule>
  </conditionalFormatting>
  <conditionalFormatting sqref="AS38">
    <cfRule type="expression" dxfId="5241" priority="1011">
      <formula>IF(L38=AS38,1,0)</formula>
    </cfRule>
  </conditionalFormatting>
  <conditionalFormatting sqref="F38">
    <cfRule type="cellIs" dxfId="5240" priority="1008" operator="equal">
      <formula>"3-001-2214"</formula>
    </cfRule>
    <cfRule type="cellIs" dxfId="5239" priority="1009" operator="equal">
      <formula>"3-001-5204"</formula>
    </cfRule>
    <cfRule type="cellIs" dxfId="5238" priority="1010" operator="equal">
      <formula>"3-001-0002"</formula>
    </cfRule>
  </conditionalFormatting>
  <conditionalFormatting sqref="AS37">
    <cfRule type="expression" dxfId="5237" priority="1007">
      <formula>IF(L37=AS37,1,0)</formula>
    </cfRule>
  </conditionalFormatting>
  <conditionalFormatting sqref="F37">
    <cfRule type="cellIs" dxfId="5236" priority="1004" operator="equal">
      <formula>"3-001-2214"</formula>
    </cfRule>
    <cfRule type="cellIs" dxfId="5235" priority="1005" operator="equal">
      <formula>"3-001-5204"</formula>
    </cfRule>
    <cfRule type="cellIs" dxfId="5234" priority="1006" operator="equal">
      <formula>"3-001-0002"</formula>
    </cfRule>
  </conditionalFormatting>
  <conditionalFormatting sqref="AS43">
    <cfRule type="expression" dxfId="5233" priority="1003">
      <formula>IF(L43=AS43,1,0)</formula>
    </cfRule>
  </conditionalFormatting>
  <conditionalFormatting sqref="F43">
    <cfRule type="cellIs" dxfId="5232" priority="1000" operator="equal">
      <formula>"3-001-2214"</formula>
    </cfRule>
    <cfRule type="cellIs" dxfId="5231" priority="1001" operator="equal">
      <formula>"3-001-5204"</formula>
    </cfRule>
    <cfRule type="cellIs" dxfId="5230" priority="1002" operator="equal">
      <formula>"3-001-0002"</formula>
    </cfRule>
  </conditionalFormatting>
  <conditionalFormatting sqref="AS46">
    <cfRule type="expression" dxfId="5229" priority="999">
      <formula>IF(L46=AS46,1,0)</formula>
    </cfRule>
  </conditionalFormatting>
  <conditionalFormatting sqref="F46">
    <cfRule type="cellIs" dxfId="5228" priority="996" operator="equal">
      <formula>"3-001-2214"</formula>
    </cfRule>
    <cfRule type="cellIs" dxfId="5227" priority="997" operator="equal">
      <formula>"3-001-5204"</formula>
    </cfRule>
    <cfRule type="cellIs" dxfId="5226" priority="998" operator="equal">
      <formula>"3-001-0002"</formula>
    </cfRule>
  </conditionalFormatting>
  <conditionalFormatting sqref="AS53:AS54">
    <cfRule type="expression" dxfId="5225" priority="995">
      <formula>IF(L53=AS53,1,0)</formula>
    </cfRule>
  </conditionalFormatting>
  <conditionalFormatting sqref="F53:F54">
    <cfRule type="cellIs" dxfId="5224" priority="992" operator="equal">
      <formula>"3-001-2214"</formula>
    </cfRule>
    <cfRule type="cellIs" dxfId="5223" priority="993" operator="equal">
      <formula>"3-001-5204"</formula>
    </cfRule>
    <cfRule type="cellIs" dxfId="5222" priority="994" operator="equal">
      <formula>"3-001-0002"</formula>
    </cfRule>
  </conditionalFormatting>
  <conditionalFormatting sqref="AS60">
    <cfRule type="expression" dxfId="5221" priority="991">
      <formula>IF(L60=AS60,1,0)</formula>
    </cfRule>
  </conditionalFormatting>
  <conditionalFormatting sqref="F60">
    <cfRule type="cellIs" dxfId="5220" priority="988" operator="equal">
      <formula>"3-001-2214"</formula>
    </cfRule>
    <cfRule type="cellIs" dxfId="5219" priority="989" operator="equal">
      <formula>"3-001-5204"</formula>
    </cfRule>
    <cfRule type="cellIs" dxfId="5218" priority="990" operator="equal">
      <formula>"3-001-0002"</formula>
    </cfRule>
  </conditionalFormatting>
  <conditionalFormatting sqref="AS56">
    <cfRule type="expression" dxfId="5217" priority="987">
      <formula>IF(L56=AS56,1,0)</formula>
    </cfRule>
  </conditionalFormatting>
  <conditionalFormatting sqref="F56">
    <cfRule type="cellIs" dxfId="5216" priority="984" operator="equal">
      <formula>"3-001-2214"</formula>
    </cfRule>
    <cfRule type="cellIs" dxfId="5215" priority="985" operator="equal">
      <formula>"3-001-5204"</formula>
    </cfRule>
    <cfRule type="cellIs" dxfId="5214" priority="986" operator="equal">
      <formula>"3-001-0002"</formula>
    </cfRule>
  </conditionalFormatting>
  <conditionalFormatting sqref="AS212">
    <cfRule type="expression" dxfId="5213" priority="983">
      <formula>IF(L212=AS212,1,0)</formula>
    </cfRule>
  </conditionalFormatting>
  <conditionalFormatting sqref="F212">
    <cfRule type="cellIs" dxfId="5212" priority="980" operator="equal">
      <formula>"3-001-2214"</formula>
    </cfRule>
    <cfRule type="cellIs" dxfId="5211" priority="981" operator="equal">
      <formula>"3-001-5204"</formula>
    </cfRule>
    <cfRule type="cellIs" dxfId="5210" priority="982" operator="equal">
      <formula>"3-001-0002"</formula>
    </cfRule>
  </conditionalFormatting>
  <conditionalFormatting sqref="AS49">
    <cfRule type="expression" dxfId="5209" priority="979">
      <formula>IF(L49=AS49,1,0)</formula>
    </cfRule>
  </conditionalFormatting>
  <conditionalFormatting sqref="F49">
    <cfRule type="cellIs" dxfId="5208" priority="976" operator="equal">
      <formula>"3-001-2214"</formula>
    </cfRule>
    <cfRule type="cellIs" dxfId="5207" priority="977" operator="equal">
      <formula>"3-001-5204"</formula>
    </cfRule>
    <cfRule type="cellIs" dxfId="5206" priority="978" operator="equal">
      <formula>"3-001-0002"</formula>
    </cfRule>
  </conditionalFormatting>
  <conditionalFormatting sqref="F65">
    <cfRule type="cellIs" dxfId="5205" priority="964" operator="equal">
      <formula>"3-001-2214"</formula>
    </cfRule>
    <cfRule type="cellIs" dxfId="5204" priority="965" operator="equal">
      <formula>"3-001-5204"</formula>
    </cfRule>
    <cfRule type="cellIs" dxfId="5203" priority="966" operator="equal">
      <formula>"3-001-0002"</formula>
    </cfRule>
  </conditionalFormatting>
  <conditionalFormatting sqref="AS50">
    <cfRule type="expression" dxfId="5202" priority="975">
      <formula>IF(L50=AS50,1,0)</formula>
    </cfRule>
  </conditionalFormatting>
  <conditionalFormatting sqref="F50">
    <cfRule type="cellIs" dxfId="5201" priority="972" operator="equal">
      <formula>"3-001-2214"</formula>
    </cfRule>
    <cfRule type="cellIs" dxfId="5200" priority="973" operator="equal">
      <formula>"3-001-5204"</formula>
    </cfRule>
    <cfRule type="cellIs" dxfId="5199" priority="974" operator="equal">
      <formula>"3-001-0002"</formula>
    </cfRule>
  </conditionalFormatting>
  <conditionalFormatting sqref="AS67">
    <cfRule type="expression" dxfId="5198" priority="971">
      <formula>IF(L67=AS67,1,0)</formula>
    </cfRule>
  </conditionalFormatting>
  <conditionalFormatting sqref="F67">
    <cfRule type="cellIs" dxfId="5197" priority="968" operator="equal">
      <formula>"3-001-2214"</formula>
    </cfRule>
    <cfRule type="cellIs" dxfId="5196" priority="969" operator="equal">
      <formula>"3-001-5204"</formula>
    </cfRule>
    <cfRule type="cellIs" dxfId="5195" priority="970" operator="equal">
      <formula>"3-001-0002"</formula>
    </cfRule>
  </conditionalFormatting>
  <conditionalFormatting sqref="AS65">
    <cfRule type="expression" dxfId="5194" priority="967">
      <formula>IF(L65=AS65,1,0)</formula>
    </cfRule>
  </conditionalFormatting>
  <conditionalFormatting sqref="F66">
    <cfRule type="cellIs" dxfId="5193" priority="960" operator="equal">
      <formula>"3-001-2214"</formula>
    </cfRule>
    <cfRule type="cellIs" dxfId="5192" priority="961" operator="equal">
      <formula>"3-001-5204"</formula>
    </cfRule>
    <cfRule type="cellIs" dxfId="5191" priority="962" operator="equal">
      <formula>"3-001-0002"</formula>
    </cfRule>
  </conditionalFormatting>
  <conditionalFormatting sqref="AS66">
    <cfRule type="expression" dxfId="5190" priority="963">
      <formula>IF(L66=AS66,1,0)</formula>
    </cfRule>
  </conditionalFormatting>
  <conditionalFormatting sqref="F68">
    <cfRule type="cellIs" dxfId="5189" priority="932" operator="equal">
      <formula>"3-001-2214"</formula>
    </cfRule>
    <cfRule type="cellIs" dxfId="5188" priority="933" operator="equal">
      <formula>"3-001-5204"</formula>
    </cfRule>
    <cfRule type="cellIs" dxfId="5187" priority="934" operator="equal">
      <formula>"3-001-0002"</formula>
    </cfRule>
  </conditionalFormatting>
  <conditionalFormatting sqref="F78">
    <cfRule type="cellIs" dxfId="5186" priority="928" operator="equal">
      <formula>"3-001-2214"</formula>
    </cfRule>
    <cfRule type="cellIs" dxfId="5185" priority="929" operator="equal">
      <formula>"3-001-5204"</formula>
    </cfRule>
    <cfRule type="cellIs" dxfId="5184" priority="930" operator="equal">
      <formula>"3-001-0002"</formula>
    </cfRule>
  </conditionalFormatting>
  <conditionalFormatting sqref="AS68">
    <cfRule type="expression" dxfId="5183" priority="935">
      <formula>IF(L68=AS68,1,0)</formula>
    </cfRule>
  </conditionalFormatting>
  <conditionalFormatting sqref="F215">
    <cfRule type="cellIs" dxfId="5182" priority="920" operator="equal">
      <formula>"3-001-2214"</formula>
    </cfRule>
    <cfRule type="cellIs" dxfId="5181" priority="921" operator="equal">
      <formula>"3-001-5204"</formula>
    </cfRule>
    <cfRule type="cellIs" dxfId="5180" priority="922" operator="equal">
      <formula>"3-001-0002"</formula>
    </cfRule>
  </conditionalFormatting>
  <conditionalFormatting sqref="AS78">
    <cfRule type="expression" dxfId="5179" priority="931">
      <formula>IF(L78=AS78,1,0)</formula>
    </cfRule>
  </conditionalFormatting>
  <conditionalFormatting sqref="F216">
    <cfRule type="cellIs" dxfId="5178" priority="924" operator="equal">
      <formula>"3-001-2214"</formula>
    </cfRule>
    <cfRule type="cellIs" dxfId="5177" priority="925" operator="equal">
      <formula>"3-001-5204"</formula>
    </cfRule>
    <cfRule type="cellIs" dxfId="5176" priority="926" operator="equal">
      <formula>"3-001-0002"</formula>
    </cfRule>
  </conditionalFormatting>
  <conditionalFormatting sqref="F76">
    <cfRule type="cellIs" dxfId="5175" priority="948" operator="equal">
      <formula>"3-001-2214"</formula>
    </cfRule>
    <cfRule type="cellIs" dxfId="5174" priority="949" operator="equal">
      <formula>"3-001-5204"</formula>
    </cfRule>
    <cfRule type="cellIs" dxfId="5173" priority="950" operator="equal">
      <formula>"3-001-0002"</formula>
    </cfRule>
  </conditionalFormatting>
  <conditionalFormatting sqref="AS216">
    <cfRule type="expression" dxfId="5172" priority="927">
      <formula>IF(L216=AS216,1,0)</formula>
    </cfRule>
  </conditionalFormatting>
  <conditionalFormatting sqref="AS215">
    <cfRule type="expression" dxfId="5171" priority="923">
      <formula>IF(L215=AS215,1,0)</formula>
    </cfRule>
  </conditionalFormatting>
  <conditionalFormatting sqref="F57">
    <cfRule type="cellIs" dxfId="5170" priority="916" operator="equal">
      <formula>"3-001-2214"</formula>
    </cfRule>
    <cfRule type="cellIs" dxfId="5169" priority="917" operator="equal">
      <formula>"3-001-5204"</formula>
    </cfRule>
    <cfRule type="cellIs" dxfId="5168" priority="918" operator="equal">
      <formula>"3-001-0002"</formula>
    </cfRule>
  </conditionalFormatting>
  <conditionalFormatting sqref="F110">
    <cfRule type="cellIs" dxfId="5167" priority="841" operator="equal">
      <formula>"3-001-2214"</formula>
    </cfRule>
    <cfRule type="cellIs" dxfId="5166" priority="842" operator="equal">
      <formula>"3-001-5204"</formula>
    </cfRule>
    <cfRule type="cellIs" dxfId="5165" priority="843" operator="equal">
      <formula>"3-001-0002"</formula>
    </cfRule>
  </conditionalFormatting>
  <conditionalFormatting sqref="AS57">
    <cfRule type="expression" dxfId="5164" priority="919">
      <formula>IF(L57=AS57,1,0)</formula>
    </cfRule>
  </conditionalFormatting>
  <conditionalFormatting sqref="F111:F114">
    <cfRule type="cellIs" dxfId="5163" priority="857" operator="equal">
      <formula>"3-001-2214"</formula>
    </cfRule>
    <cfRule type="cellIs" dxfId="5162" priority="858" operator="equal">
      <formula>"3-001-5204"</formula>
    </cfRule>
    <cfRule type="cellIs" dxfId="5161" priority="859" operator="equal">
      <formula>"3-001-0002"</formula>
    </cfRule>
  </conditionalFormatting>
  <conditionalFormatting sqref="AS110">
    <cfRule type="expression" dxfId="5160" priority="844">
      <formula>IF(L110=AS110,1,0)</formula>
    </cfRule>
  </conditionalFormatting>
  <conditionalFormatting sqref="AS76">
    <cfRule type="expression" dxfId="5159" priority="951">
      <formula>IF(L76=AS76,1,0)</formula>
    </cfRule>
  </conditionalFormatting>
  <conditionalFormatting sqref="F74">
    <cfRule type="cellIs" dxfId="5158" priority="956" operator="equal">
      <formula>"3-001-2214"</formula>
    </cfRule>
    <cfRule type="cellIs" dxfId="5157" priority="957" operator="equal">
      <formula>"3-001-5204"</formula>
    </cfRule>
    <cfRule type="cellIs" dxfId="5156" priority="958" operator="equal">
      <formula>"3-001-0002"</formula>
    </cfRule>
  </conditionalFormatting>
  <conditionalFormatting sqref="F70">
    <cfRule type="cellIs" dxfId="5155" priority="940" operator="equal">
      <formula>"3-001-2214"</formula>
    </cfRule>
    <cfRule type="cellIs" dxfId="5154" priority="941" operator="equal">
      <formula>"3-001-5204"</formula>
    </cfRule>
    <cfRule type="cellIs" dxfId="5153" priority="942" operator="equal">
      <formula>"3-001-0002"</formula>
    </cfRule>
  </conditionalFormatting>
  <conditionalFormatting sqref="AS74">
    <cfRule type="expression" dxfId="5152" priority="959">
      <formula>IF(L74=AS74,1,0)</formula>
    </cfRule>
  </conditionalFormatting>
  <conditionalFormatting sqref="F73">
    <cfRule type="cellIs" dxfId="5151" priority="952" operator="equal">
      <formula>"3-001-2214"</formula>
    </cfRule>
    <cfRule type="cellIs" dxfId="5150" priority="953" operator="equal">
      <formula>"3-001-5204"</formula>
    </cfRule>
    <cfRule type="cellIs" dxfId="5149" priority="954" operator="equal">
      <formula>"3-001-0002"</formula>
    </cfRule>
  </conditionalFormatting>
  <conditionalFormatting sqref="F107">
    <cfRule type="cellIs" dxfId="5148" priority="860" operator="equal">
      <formula>"3-001-2214"</formula>
    </cfRule>
    <cfRule type="cellIs" dxfId="5147" priority="861" operator="equal">
      <formula>"3-001-5204"</formula>
    </cfRule>
    <cfRule type="cellIs" dxfId="5146" priority="862" operator="equal">
      <formula>"3-001-0002"</formula>
    </cfRule>
  </conditionalFormatting>
  <conditionalFormatting sqref="AS73">
    <cfRule type="expression" dxfId="5145" priority="955">
      <formula>IF(L73=AS73,1,0)</formula>
    </cfRule>
  </conditionalFormatting>
  <conditionalFormatting sqref="AS70">
    <cfRule type="expression" dxfId="5144" priority="943">
      <formula>IF(L70=AS70,1,0)</formula>
    </cfRule>
  </conditionalFormatting>
  <conditionalFormatting sqref="F69">
    <cfRule type="cellIs" dxfId="5143" priority="944" operator="equal">
      <formula>"3-001-2214"</formula>
    </cfRule>
    <cfRule type="cellIs" dxfId="5142" priority="945" operator="equal">
      <formula>"3-001-5204"</formula>
    </cfRule>
    <cfRule type="cellIs" dxfId="5141" priority="946" operator="equal">
      <formula>"3-001-0002"</formula>
    </cfRule>
  </conditionalFormatting>
  <conditionalFormatting sqref="AS69">
    <cfRule type="expression" dxfId="5140" priority="947">
      <formula>IF(L69=AS69,1,0)</formula>
    </cfRule>
  </conditionalFormatting>
  <conditionalFormatting sqref="F72">
    <cfRule type="cellIs" dxfId="5139" priority="936" operator="equal">
      <formula>"3-001-2214"</formula>
    </cfRule>
    <cfRule type="cellIs" dxfId="5138" priority="937" operator="equal">
      <formula>"3-001-5204"</formula>
    </cfRule>
    <cfRule type="cellIs" dxfId="5137" priority="938" operator="equal">
      <formula>"3-001-0002"</formula>
    </cfRule>
  </conditionalFormatting>
  <conditionalFormatting sqref="AS72">
    <cfRule type="expression" dxfId="5136" priority="939">
      <formula>IF(L72=AS72,1,0)</formula>
    </cfRule>
  </conditionalFormatting>
  <conditionalFormatting sqref="AS107">
    <cfRule type="expression" dxfId="5135" priority="863">
      <formula>IF(L107=AS107,1,0)</formula>
    </cfRule>
  </conditionalFormatting>
  <conditionalFormatting sqref="F97">
    <cfRule type="cellIs" dxfId="5134" priority="849" operator="equal">
      <formula>"3-001-2214"</formula>
    </cfRule>
    <cfRule type="cellIs" dxfId="5133" priority="850" operator="equal">
      <formula>"3-001-5204"</formula>
    </cfRule>
    <cfRule type="cellIs" dxfId="5132" priority="851" operator="equal">
      <formula>"3-001-0002"</formula>
    </cfRule>
  </conditionalFormatting>
  <conditionalFormatting sqref="F85">
    <cfRule type="cellIs" dxfId="5131" priority="853" operator="equal">
      <formula>"3-001-2214"</formula>
    </cfRule>
    <cfRule type="cellIs" dxfId="5130" priority="854" operator="equal">
      <formula>"3-001-5204"</formula>
    </cfRule>
    <cfRule type="cellIs" dxfId="5129" priority="855" operator="equal">
      <formula>"3-001-0002"</formula>
    </cfRule>
  </conditionalFormatting>
  <conditionalFormatting sqref="AS85">
    <cfRule type="expression" dxfId="5128" priority="856">
      <formula>IF(L85=AS85,1,0)</formula>
    </cfRule>
  </conditionalFormatting>
  <conditionalFormatting sqref="AS97">
    <cfRule type="expression" dxfId="5127" priority="852">
      <formula>IF(L97=AS97,1,0)</formula>
    </cfRule>
  </conditionalFormatting>
  <conditionalFormatting sqref="F106">
    <cfRule type="cellIs" dxfId="5126" priority="845" operator="equal">
      <formula>"3-001-2214"</formula>
    </cfRule>
    <cfRule type="cellIs" dxfId="5125" priority="846" operator="equal">
      <formula>"3-001-5204"</formula>
    </cfRule>
    <cfRule type="cellIs" dxfId="5124" priority="847" operator="equal">
      <formula>"3-001-0002"</formula>
    </cfRule>
  </conditionalFormatting>
  <conditionalFormatting sqref="AS106">
    <cfRule type="expression" dxfId="5123" priority="848">
      <formula>IF(L106=AS106,1,0)</formula>
    </cfRule>
  </conditionalFormatting>
  <conditionalFormatting sqref="F115">
    <cfRule type="cellIs" dxfId="5122" priority="837" operator="equal">
      <formula>"3-001-2214"</formula>
    </cfRule>
    <cfRule type="cellIs" dxfId="5121" priority="838" operator="equal">
      <formula>"3-001-5204"</formula>
    </cfRule>
    <cfRule type="cellIs" dxfId="5120" priority="839" operator="equal">
      <formula>"3-001-0002"</formula>
    </cfRule>
  </conditionalFormatting>
  <conditionalFormatting sqref="AS115">
    <cfRule type="expression" dxfId="5119" priority="840">
      <formula>IF(L115=AS115,1,0)</formula>
    </cfRule>
  </conditionalFormatting>
  <conditionalFormatting sqref="F116">
    <cfRule type="cellIs" dxfId="5118" priority="833" operator="equal">
      <formula>"3-001-2214"</formula>
    </cfRule>
    <cfRule type="cellIs" dxfId="5117" priority="834" operator="equal">
      <formula>"3-001-5204"</formula>
    </cfRule>
    <cfRule type="cellIs" dxfId="5116" priority="835" operator="equal">
      <formula>"3-001-0002"</formula>
    </cfRule>
  </conditionalFormatting>
  <conditionalFormatting sqref="F95">
    <cfRule type="cellIs" dxfId="5115" priority="908" operator="equal">
      <formula>"3-001-2214"</formula>
    </cfRule>
    <cfRule type="cellIs" dxfId="5114" priority="909" operator="equal">
      <formula>"3-001-5204"</formula>
    </cfRule>
    <cfRule type="cellIs" dxfId="5113" priority="910" operator="equal">
      <formula>"3-001-0002"</formula>
    </cfRule>
  </conditionalFormatting>
  <conditionalFormatting sqref="AS116">
    <cfRule type="expression" dxfId="5112" priority="836">
      <formula>IF(L116=AS116,1,0)</formula>
    </cfRule>
  </conditionalFormatting>
  <conditionalFormatting sqref="F96">
    <cfRule type="cellIs" dxfId="5111" priority="912" operator="equal">
      <formula>"3-001-2214"</formula>
    </cfRule>
    <cfRule type="cellIs" dxfId="5110" priority="913" operator="equal">
      <formula>"3-001-5204"</formula>
    </cfRule>
    <cfRule type="cellIs" dxfId="5109" priority="914" operator="equal">
      <formula>"3-001-0002"</formula>
    </cfRule>
  </conditionalFormatting>
  <conditionalFormatting sqref="AS96">
    <cfRule type="expression" dxfId="5108" priority="915">
      <formula>IF(L96=AS96,1,0)</formula>
    </cfRule>
  </conditionalFormatting>
  <conditionalFormatting sqref="AS95">
    <cfRule type="expression" dxfId="5107" priority="911">
      <formula>IF(L95=AS95,1,0)</formula>
    </cfRule>
  </conditionalFormatting>
  <conditionalFormatting sqref="F79">
    <cfRule type="cellIs" dxfId="5106" priority="904" operator="equal">
      <formula>"3-001-2214"</formula>
    </cfRule>
    <cfRule type="cellIs" dxfId="5105" priority="905" operator="equal">
      <formula>"3-001-5204"</formula>
    </cfRule>
    <cfRule type="cellIs" dxfId="5104" priority="906" operator="equal">
      <formula>"3-001-0002"</formula>
    </cfRule>
  </conditionalFormatting>
  <conditionalFormatting sqref="AS79">
    <cfRule type="expression" dxfId="5103" priority="907">
      <formula>IF(L79=AS79,1,0)</formula>
    </cfRule>
  </conditionalFormatting>
  <conditionalFormatting sqref="F94">
    <cfRule type="cellIs" dxfId="5102" priority="900" operator="equal">
      <formula>"3-001-2214"</formula>
    </cfRule>
    <cfRule type="cellIs" dxfId="5101" priority="901" operator="equal">
      <formula>"3-001-5204"</formula>
    </cfRule>
    <cfRule type="cellIs" dxfId="5100" priority="902" operator="equal">
      <formula>"3-001-0002"</formula>
    </cfRule>
  </conditionalFormatting>
  <conditionalFormatting sqref="AS94">
    <cfRule type="expression" dxfId="5099" priority="903">
      <formula>IF(L94=AS94,1,0)</formula>
    </cfRule>
  </conditionalFormatting>
  <conditionalFormatting sqref="F92">
    <cfRule type="cellIs" dxfId="5098" priority="892" operator="equal">
      <formula>"3-001-2214"</formula>
    </cfRule>
    <cfRule type="cellIs" dxfId="5097" priority="893" operator="equal">
      <formula>"3-001-5204"</formula>
    </cfRule>
    <cfRule type="cellIs" dxfId="5096" priority="894" operator="equal">
      <formula>"3-001-0002"</formula>
    </cfRule>
  </conditionalFormatting>
  <conditionalFormatting sqref="F93">
    <cfRule type="cellIs" dxfId="5095" priority="896" operator="equal">
      <formula>"3-001-2214"</formula>
    </cfRule>
    <cfRule type="cellIs" dxfId="5094" priority="897" operator="equal">
      <formula>"3-001-5204"</formula>
    </cfRule>
    <cfRule type="cellIs" dxfId="5093" priority="898" operator="equal">
      <formula>"3-001-0002"</formula>
    </cfRule>
  </conditionalFormatting>
  <conditionalFormatting sqref="F86">
    <cfRule type="cellIs" dxfId="5092" priority="876" operator="equal">
      <formula>"3-001-2214"</formula>
    </cfRule>
    <cfRule type="cellIs" dxfId="5091" priority="877" operator="equal">
      <formula>"3-001-5204"</formula>
    </cfRule>
    <cfRule type="cellIs" dxfId="5090" priority="878" operator="equal">
      <formula>"3-001-0002"</formula>
    </cfRule>
  </conditionalFormatting>
  <conditionalFormatting sqref="AS93">
    <cfRule type="expression" dxfId="5089" priority="899">
      <formula>IF(L93=AS93,1,0)</formula>
    </cfRule>
  </conditionalFormatting>
  <conditionalFormatting sqref="AS92">
    <cfRule type="expression" dxfId="5088" priority="895">
      <formula>IF(L92=AS92,1,0)</formula>
    </cfRule>
  </conditionalFormatting>
  <conditionalFormatting sqref="F91">
    <cfRule type="cellIs" dxfId="5087" priority="888" operator="equal">
      <formula>"3-001-2214"</formula>
    </cfRule>
    <cfRule type="cellIs" dxfId="5086" priority="889" operator="equal">
      <formula>"3-001-5204"</formula>
    </cfRule>
    <cfRule type="cellIs" dxfId="5085" priority="890" operator="equal">
      <formula>"3-001-0002"</formula>
    </cfRule>
  </conditionalFormatting>
  <conditionalFormatting sqref="F90">
    <cfRule type="cellIs" dxfId="5084" priority="884" operator="equal">
      <formula>"3-001-2214"</formula>
    </cfRule>
    <cfRule type="cellIs" dxfId="5083" priority="885" operator="equal">
      <formula>"3-001-5204"</formula>
    </cfRule>
    <cfRule type="cellIs" dxfId="5082" priority="886" operator="equal">
      <formula>"3-001-0002"</formula>
    </cfRule>
  </conditionalFormatting>
  <conditionalFormatting sqref="AS91">
    <cfRule type="expression" dxfId="5081" priority="891">
      <formula>IF(L91=AS91,1,0)</formula>
    </cfRule>
  </conditionalFormatting>
  <conditionalFormatting sqref="AS90">
    <cfRule type="expression" dxfId="5080" priority="887">
      <formula>IF(L90=AS90,1,0)</formula>
    </cfRule>
  </conditionalFormatting>
  <conditionalFormatting sqref="F87">
    <cfRule type="cellIs" dxfId="5079" priority="880" operator="equal">
      <formula>"3-001-2214"</formula>
    </cfRule>
    <cfRule type="cellIs" dxfId="5078" priority="881" operator="equal">
      <formula>"3-001-5204"</formula>
    </cfRule>
    <cfRule type="cellIs" dxfId="5077" priority="882" operator="equal">
      <formula>"3-001-0002"</formula>
    </cfRule>
  </conditionalFormatting>
  <conditionalFormatting sqref="AS87">
    <cfRule type="expression" dxfId="5076" priority="883">
      <formula>IF(L87=AS87,1,0)</formula>
    </cfRule>
  </conditionalFormatting>
  <conditionalFormatting sqref="AS86">
    <cfRule type="expression" dxfId="5075" priority="879">
      <formula>IF(L86=AS86,1,0)</formula>
    </cfRule>
  </conditionalFormatting>
  <conditionalFormatting sqref="F98:F103 F105">
    <cfRule type="cellIs" dxfId="5074" priority="872" operator="equal">
      <formula>"3-001-2214"</formula>
    </cfRule>
    <cfRule type="cellIs" dxfId="5073" priority="873" operator="equal">
      <formula>"3-001-5204"</formula>
    </cfRule>
    <cfRule type="cellIs" dxfId="5072" priority="874" operator="equal">
      <formula>"3-001-0002"</formula>
    </cfRule>
  </conditionalFormatting>
  <conditionalFormatting sqref="AS98:AS103">
    <cfRule type="expression" dxfId="5071" priority="875">
      <formula>IF(L98=AS98,1,0)</formula>
    </cfRule>
  </conditionalFormatting>
  <conditionalFormatting sqref="F109">
    <cfRule type="cellIs" dxfId="5070" priority="868" operator="equal">
      <formula>"3-001-2214"</formula>
    </cfRule>
    <cfRule type="cellIs" dxfId="5069" priority="869" operator="equal">
      <formula>"3-001-5204"</formula>
    </cfRule>
    <cfRule type="cellIs" dxfId="5068" priority="870" operator="equal">
      <formula>"3-001-0002"</formula>
    </cfRule>
  </conditionalFormatting>
  <conditionalFormatting sqref="AS109">
    <cfRule type="expression" dxfId="5067" priority="871">
      <formula>IF(L109=AS109,1,0)</formula>
    </cfRule>
  </conditionalFormatting>
  <conditionalFormatting sqref="F108">
    <cfRule type="cellIs" dxfId="5066" priority="864" operator="equal">
      <formula>"3-001-2214"</formula>
    </cfRule>
    <cfRule type="cellIs" dxfId="5065" priority="865" operator="equal">
      <formula>"3-001-5204"</formula>
    </cfRule>
    <cfRule type="cellIs" dxfId="5064" priority="866" operator="equal">
      <formula>"3-001-0002"</formula>
    </cfRule>
  </conditionalFormatting>
  <conditionalFormatting sqref="AS108">
    <cfRule type="expression" dxfId="5063" priority="867">
      <formula>IF(L108=AS108,1,0)</formula>
    </cfRule>
  </conditionalFormatting>
  <conditionalFormatting sqref="F145">
    <cfRule type="cellIs" dxfId="5062" priority="825" operator="equal">
      <formula>"3-001-2214"</formula>
    </cfRule>
    <cfRule type="cellIs" dxfId="5061" priority="826" operator="equal">
      <formula>"3-001-5204"</formula>
    </cfRule>
    <cfRule type="cellIs" dxfId="5060" priority="827" operator="equal">
      <formula>"3-001-0002"</formula>
    </cfRule>
  </conditionalFormatting>
  <conditionalFormatting sqref="F146">
    <cfRule type="cellIs" dxfId="5059" priority="829" operator="equal">
      <formula>"3-001-2214"</formula>
    </cfRule>
    <cfRule type="cellIs" dxfId="5058" priority="830" operator="equal">
      <formula>"3-001-5204"</formula>
    </cfRule>
    <cfRule type="cellIs" dxfId="5057" priority="831" operator="equal">
      <formula>"3-001-0002"</formula>
    </cfRule>
  </conditionalFormatting>
  <conditionalFormatting sqref="AS146">
    <cfRule type="expression" dxfId="5056" priority="832">
      <formula>IF(L146=AS146,1,0)</formula>
    </cfRule>
  </conditionalFormatting>
  <conditionalFormatting sqref="AS145">
    <cfRule type="expression" dxfId="5055" priority="828">
      <formula>IF(L145=AS145,1,0)</formula>
    </cfRule>
  </conditionalFormatting>
  <conditionalFormatting sqref="F117">
    <cfRule type="cellIs" dxfId="5054" priority="821" operator="equal">
      <formula>"3-001-2214"</formula>
    </cfRule>
    <cfRule type="cellIs" dxfId="5053" priority="822" operator="equal">
      <formula>"3-001-5204"</formula>
    </cfRule>
    <cfRule type="cellIs" dxfId="5052" priority="823" operator="equal">
      <formula>"3-001-0002"</formula>
    </cfRule>
  </conditionalFormatting>
  <conditionalFormatting sqref="AS117">
    <cfRule type="expression" dxfId="5051" priority="824">
      <formula>IF(L117=AS117,1,0)</formula>
    </cfRule>
  </conditionalFormatting>
  <conditionalFormatting sqref="F144">
    <cfRule type="cellIs" dxfId="5050" priority="817" operator="equal">
      <formula>"3-001-2214"</formula>
    </cfRule>
    <cfRule type="cellIs" dxfId="5049" priority="818" operator="equal">
      <formula>"3-001-5204"</formula>
    </cfRule>
    <cfRule type="cellIs" dxfId="5048" priority="819" operator="equal">
      <formula>"3-001-0002"</formula>
    </cfRule>
  </conditionalFormatting>
  <conditionalFormatting sqref="AS144">
    <cfRule type="expression" dxfId="5047" priority="820">
      <formula>IF(L144=AS144,1,0)</formula>
    </cfRule>
  </conditionalFormatting>
  <conditionalFormatting sqref="F131">
    <cfRule type="cellIs" dxfId="5046" priority="809" operator="equal">
      <formula>"3-001-2214"</formula>
    </cfRule>
    <cfRule type="cellIs" dxfId="5045" priority="810" operator="equal">
      <formula>"3-001-5204"</formula>
    </cfRule>
    <cfRule type="cellIs" dxfId="5044" priority="811" operator="equal">
      <formula>"3-001-0002"</formula>
    </cfRule>
  </conditionalFormatting>
  <conditionalFormatting sqref="F132">
    <cfRule type="cellIs" dxfId="5043" priority="813" operator="equal">
      <formula>"3-001-2214"</formula>
    </cfRule>
    <cfRule type="cellIs" dxfId="5042" priority="814" operator="equal">
      <formula>"3-001-5204"</formula>
    </cfRule>
    <cfRule type="cellIs" dxfId="5041" priority="815" operator="equal">
      <formula>"3-001-0002"</formula>
    </cfRule>
  </conditionalFormatting>
  <conditionalFormatting sqref="AS132">
    <cfRule type="expression" dxfId="5040" priority="816">
      <formula>IF(L132=AS132,1,0)</formula>
    </cfRule>
  </conditionalFormatting>
  <conditionalFormatting sqref="AS131">
    <cfRule type="expression" dxfId="5039" priority="812">
      <formula>IF(L131=AS131,1,0)</formula>
    </cfRule>
  </conditionalFormatting>
  <conditionalFormatting sqref="F148:F149">
    <cfRule type="cellIs" dxfId="5038" priority="806" operator="equal">
      <formula>"3-001-2214"</formula>
    </cfRule>
    <cfRule type="cellIs" dxfId="5037" priority="807" operator="equal">
      <formula>"3-001-5204"</formula>
    </cfRule>
    <cfRule type="cellIs" dxfId="5036" priority="808" operator="equal">
      <formula>"3-001-0002"</formula>
    </cfRule>
  </conditionalFormatting>
  <conditionalFormatting sqref="F151">
    <cfRule type="cellIs" dxfId="5035" priority="798" operator="equal">
      <formula>"3-001-2214"</formula>
    </cfRule>
    <cfRule type="cellIs" dxfId="5034" priority="799" operator="equal">
      <formula>"3-001-5204"</formula>
    </cfRule>
    <cfRule type="cellIs" dxfId="5033" priority="800" operator="equal">
      <formula>"3-001-0002"</formula>
    </cfRule>
  </conditionalFormatting>
  <conditionalFormatting sqref="F152">
    <cfRule type="cellIs" dxfId="5032" priority="802" operator="equal">
      <formula>"3-001-2214"</formula>
    </cfRule>
    <cfRule type="cellIs" dxfId="5031" priority="803" operator="equal">
      <formula>"3-001-5204"</formula>
    </cfRule>
    <cfRule type="cellIs" dxfId="5030" priority="804" operator="equal">
      <formula>"3-001-0002"</formula>
    </cfRule>
  </conditionalFormatting>
  <conditionalFormatting sqref="AS152">
    <cfRule type="expression" dxfId="5029" priority="805">
      <formula>IF(L152=AS152,1,0)</formula>
    </cfRule>
  </conditionalFormatting>
  <conditionalFormatting sqref="AS151">
    <cfRule type="expression" dxfId="5028" priority="801">
      <formula>IF(L151=AS151,1,0)</formula>
    </cfRule>
  </conditionalFormatting>
  <conditionalFormatting sqref="F154:F155">
    <cfRule type="cellIs" dxfId="5027" priority="795" operator="equal">
      <formula>"3-001-2214"</formula>
    </cfRule>
    <cfRule type="cellIs" dxfId="5026" priority="796" operator="equal">
      <formula>"3-001-5204"</formula>
    </cfRule>
    <cfRule type="cellIs" dxfId="5025" priority="797" operator="equal">
      <formula>"3-001-0002"</formula>
    </cfRule>
  </conditionalFormatting>
  <conditionalFormatting sqref="F130">
    <cfRule type="cellIs" dxfId="5024" priority="791" operator="equal">
      <formula>"3-001-2214"</formula>
    </cfRule>
    <cfRule type="cellIs" dxfId="5023" priority="792" operator="equal">
      <formula>"3-001-5204"</formula>
    </cfRule>
    <cfRule type="cellIs" dxfId="5022" priority="793" operator="equal">
      <formula>"3-001-0002"</formula>
    </cfRule>
  </conditionalFormatting>
  <conditionalFormatting sqref="AS130">
    <cfRule type="expression" dxfId="5021" priority="794">
      <formula>IF(L130=AS130,1,0)</formula>
    </cfRule>
  </conditionalFormatting>
  <conditionalFormatting sqref="F147">
    <cfRule type="cellIs" dxfId="5020" priority="787" operator="equal">
      <formula>"3-001-2214"</formula>
    </cfRule>
    <cfRule type="cellIs" dxfId="5019" priority="788" operator="equal">
      <formula>"3-001-5204"</formula>
    </cfRule>
    <cfRule type="cellIs" dxfId="5018" priority="789" operator="equal">
      <formula>"3-001-0002"</formula>
    </cfRule>
  </conditionalFormatting>
  <conditionalFormatting sqref="AS147">
    <cfRule type="expression" dxfId="5017" priority="790">
      <formula>IF(L147=AS147,1,0)</formula>
    </cfRule>
  </conditionalFormatting>
  <conditionalFormatting sqref="F150">
    <cfRule type="cellIs" dxfId="5016" priority="783" operator="equal">
      <formula>"3-001-2214"</formula>
    </cfRule>
    <cfRule type="cellIs" dxfId="5015" priority="784" operator="equal">
      <formula>"3-001-5204"</formula>
    </cfRule>
    <cfRule type="cellIs" dxfId="5014" priority="785" operator="equal">
      <formula>"3-001-0002"</formula>
    </cfRule>
  </conditionalFormatting>
  <conditionalFormatting sqref="AS150">
    <cfRule type="expression" dxfId="5013" priority="786">
      <formula>IF(L150=AS150,1,0)</formula>
    </cfRule>
  </conditionalFormatting>
  <conditionalFormatting sqref="F153">
    <cfRule type="cellIs" dxfId="5012" priority="779" operator="equal">
      <formula>"3-001-2214"</formula>
    </cfRule>
    <cfRule type="cellIs" dxfId="5011" priority="780" operator="equal">
      <formula>"3-001-5204"</formula>
    </cfRule>
    <cfRule type="cellIs" dxfId="5010" priority="781" operator="equal">
      <formula>"3-001-0002"</formula>
    </cfRule>
  </conditionalFormatting>
  <conditionalFormatting sqref="AS153">
    <cfRule type="expression" dxfId="5009" priority="782">
      <formula>IF(L153=AS153,1,0)</formula>
    </cfRule>
  </conditionalFormatting>
  <conditionalFormatting sqref="F156">
    <cfRule type="cellIs" dxfId="5008" priority="775" operator="equal">
      <formula>"3-001-2214"</formula>
    </cfRule>
    <cfRule type="cellIs" dxfId="5007" priority="776" operator="equal">
      <formula>"3-001-5204"</formula>
    </cfRule>
    <cfRule type="cellIs" dxfId="5006" priority="777" operator="equal">
      <formula>"3-001-0002"</formula>
    </cfRule>
  </conditionalFormatting>
  <conditionalFormatting sqref="AS156">
    <cfRule type="expression" dxfId="5005" priority="778">
      <formula>IF(L156=AS156,1,0)</formula>
    </cfRule>
  </conditionalFormatting>
  <conditionalFormatting sqref="F104">
    <cfRule type="cellIs" dxfId="5004" priority="771" operator="equal">
      <formula>"3-001-2214"</formula>
    </cfRule>
    <cfRule type="cellIs" dxfId="5003" priority="772" operator="equal">
      <formula>"3-001-5204"</formula>
    </cfRule>
    <cfRule type="cellIs" dxfId="5002" priority="773" operator="equal">
      <formula>"3-001-0002"</formula>
    </cfRule>
  </conditionalFormatting>
  <conditionalFormatting sqref="AS104">
    <cfRule type="expression" dxfId="5001" priority="774">
      <formula>IF(L104=AS104,1,0)</formula>
    </cfRule>
  </conditionalFormatting>
  <conditionalFormatting sqref="AS157">
    <cfRule type="expression" dxfId="5000" priority="770">
      <formula>IF(L157=AS157,1,0)</formula>
    </cfRule>
  </conditionalFormatting>
  <conditionalFormatting sqref="F157">
    <cfRule type="cellIs" dxfId="4999" priority="767" operator="equal">
      <formula>"3-001-2214"</formula>
    </cfRule>
    <cfRule type="cellIs" dxfId="4998" priority="768" operator="equal">
      <formula>"3-001-5204"</formula>
    </cfRule>
    <cfRule type="cellIs" dxfId="4997" priority="769" operator="equal">
      <formula>"3-001-0002"</formula>
    </cfRule>
  </conditionalFormatting>
  <conditionalFormatting sqref="AS160">
    <cfRule type="expression" dxfId="4996" priority="766">
      <formula>IF(L160=AS160,1,0)</formula>
    </cfRule>
  </conditionalFormatting>
  <conditionalFormatting sqref="F160">
    <cfRule type="cellIs" dxfId="4995" priority="763" operator="equal">
      <formula>"3-001-2214"</formula>
    </cfRule>
    <cfRule type="cellIs" dxfId="4994" priority="764" operator="equal">
      <formula>"3-001-5204"</formula>
    </cfRule>
    <cfRule type="cellIs" dxfId="4993" priority="765" operator="equal">
      <formula>"3-001-0002"</formula>
    </cfRule>
  </conditionalFormatting>
  <conditionalFormatting sqref="AS262">
    <cfRule type="expression" dxfId="4992" priority="762">
      <formula>IF(L262=AS262,1,0)</formula>
    </cfRule>
  </conditionalFormatting>
  <conditionalFormatting sqref="F262">
    <cfRule type="cellIs" dxfId="4991" priority="759" operator="equal">
      <formula>"3-001-2214"</formula>
    </cfRule>
    <cfRule type="cellIs" dxfId="4990" priority="760" operator="equal">
      <formula>"3-001-5204"</formula>
    </cfRule>
    <cfRule type="cellIs" dxfId="4989" priority="761" operator="equal">
      <formula>"3-001-0002"</formula>
    </cfRule>
  </conditionalFormatting>
  <conditionalFormatting sqref="AS257">
    <cfRule type="expression" dxfId="4988" priority="754">
      <formula>IF(L257=AS257,1,0)</formula>
    </cfRule>
  </conditionalFormatting>
  <conditionalFormatting sqref="F257">
    <cfRule type="cellIs" dxfId="4987" priority="751" operator="equal">
      <formula>"3-001-2214"</formula>
    </cfRule>
    <cfRule type="cellIs" dxfId="4986" priority="752" operator="equal">
      <formula>"3-001-5204"</formula>
    </cfRule>
    <cfRule type="cellIs" dxfId="4985" priority="753" operator="equal">
      <formula>"3-001-0002"</formula>
    </cfRule>
  </conditionalFormatting>
  <conditionalFormatting sqref="AS289">
    <cfRule type="expression" dxfId="4984" priority="750">
      <formula>IF(L289=AS289,1,0)</formula>
    </cfRule>
  </conditionalFormatting>
  <conditionalFormatting sqref="F289">
    <cfRule type="cellIs" dxfId="4983" priority="747" operator="equal">
      <formula>"3-001-2214"</formula>
    </cfRule>
    <cfRule type="cellIs" dxfId="4982" priority="748" operator="equal">
      <formula>"3-001-5204"</formula>
    </cfRule>
    <cfRule type="cellIs" dxfId="4981" priority="749" operator="equal">
      <formula>"3-001-0002"</formula>
    </cfRule>
  </conditionalFormatting>
  <conditionalFormatting sqref="AS267">
    <cfRule type="expression" dxfId="4980" priority="758">
      <formula>IF(L267=AS267,1,0)</formula>
    </cfRule>
  </conditionalFormatting>
  <conditionalFormatting sqref="F267">
    <cfRule type="cellIs" dxfId="4979" priority="755" operator="equal">
      <formula>"3-001-2214"</formula>
    </cfRule>
    <cfRule type="cellIs" dxfId="4978" priority="756" operator="equal">
      <formula>"3-001-5204"</formula>
    </cfRule>
    <cfRule type="cellIs" dxfId="4977" priority="757" operator="equal">
      <formula>"3-001-0002"</formula>
    </cfRule>
  </conditionalFormatting>
  <conditionalFormatting sqref="AS161">
    <cfRule type="expression" dxfId="4976" priority="746">
      <formula>IF(L161=AS161,1,0)</formula>
    </cfRule>
  </conditionalFormatting>
  <conditionalFormatting sqref="F161">
    <cfRule type="cellIs" dxfId="4975" priority="743" operator="equal">
      <formula>"3-001-2214"</formula>
    </cfRule>
    <cfRule type="cellIs" dxfId="4974" priority="744" operator="equal">
      <formula>"3-001-5204"</formula>
    </cfRule>
    <cfRule type="cellIs" dxfId="4973" priority="745" operator="equal">
      <formula>"3-001-0002"</formula>
    </cfRule>
  </conditionalFormatting>
  <conditionalFormatting sqref="F294">
    <cfRule type="cellIs" dxfId="4972" priority="735" operator="equal">
      <formula>"3-001-2214"</formula>
    </cfRule>
    <cfRule type="cellIs" dxfId="4971" priority="736" operator="equal">
      <formula>"3-001-5204"</formula>
    </cfRule>
    <cfRule type="cellIs" dxfId="4970" priority="737" operator="equal">
      <formula>"3-001-0002"</formula>
    </cfRule>
  </conditionalFormatting>
  <conditionalFormatting sqref="AS293">
    <cfRule type="expression" dxfId="4969" priority="742">
      <formula>IF(L293=AS293,1,0)</formula>
    </cfRule>
  </conditionalFormatting>
  <conditionalFormatting sqref="F293">
    <cfRule type="cellIs" dxfId="4968" priority="739" operator="equal">
      <formula>"3-001-2214"</formula>
    </cfRule>
    <cfRule type="cellIs" dxfId="4967" priority="740" operator="equal">
      <formula>"3-001-5204"</formula>
    </cfRule>
    <cfRule type="cellIs" dxfId="4966" priority="741" operator="equal">
      <formula>"3-001-0002"</formula>
    </cfRule>
  </conditionalFormatting>
  <conditionalFormatting sqref="AS294">
    <cfRule type="expression" dxfId="4965" priority="738">
      <formula>IF(L294=AS294,1,0)</formula>
    </cfRule>
  </conditionalFormatting>
  <conditionalFormatting sqref="F259">
    <cfRule type="cellIs" dxfId="4964" priority="731" operator="equal">
      <formula>"3-001-2214"</formula>
    </cfRule>
    <cfRule type="cellIs" dxfId="4963" priority="732" operator="equal">
      <formula>"3-001-5204"</formula>
    </cfRule>
    <cfRule type="cellIs" dxfId="4962" priority="733" operator="equal">
      <formula>"3-001-0002"</formula>
    </cfRule>
  </conditionalFormatting>
  <conditionalFormatting sqref="F258">
    <cfRule type="cellIs" dxfId="4961" priority="727" operator="equal">
      <formula>"3-001-2214"</formula>
    </cfRule>
    <cfRule type="cellIs" dxfId="4960" priority="728" operator="equal">
      <formula>"3-001-5204"</formula>
    </cfRule>
    <cfRule type="cellIs" dxfId="4959" priority="729" operator="equal">
      <formula>"3-001-0002"</formula>
    </cfRule>
  </conditionalFormatting>
  <conditionalFormatting sqref="AS259">
    <cfRule type="expression" dxfId="4958" priority="734">
      <formula>IF(L259=AS259,1,0)</formula>
    </cfRule>
  </conditionalFormatting>
  <conditionalFormatting sqref="F184">
    <cfRule type="cellIs" dxfId="4957" priority="715" operator="equal">
      <formula>"3-001-2214"</formula>
    </cfRule>
    <cfRule type="cellIs" dxfId="4956" priority="716" operator="equal">
      <formula>"3-001-5204"</formula>
    </cfRule>
    <cfRule type="cellIs" dxfId="4955" priority="717" operator="equal">
      <formula>"3-001-0002"</formula>
    </cfRule>
  </conditionalFormatting>
  <conditionalFormatting sqref="AS258">
    <cfRule type="expression" dxfId="4954" priority="730">
      <formula>IF(L258=AS258,1,0)</formula>
    </cfRule>
  </conditionalFormatting>
  <conditionalFormatting sqref="AS184">
    <cfRule type="expression" dxfId="4953" priority="718">
      <formula>IF(L184=AS184,1,0)</formula>
    </cfRule>
  </conditionalFormatting>
  <conditionalFormatting sqref="AS163">
    <cfRule type="expression" dxfId="4952" priority="726">
      <formula>IF(L163=AS163,1,0)</formula>
    </cfRule>
  </conditionalFormatting>
  <conditionalFormatting sqref="F163">
    <cfRule type="cellIs" dxfId="4951" priority="723" operator="equal">
      <formula>"3-001-2214"</formula>
    </cfRule>
    <cfRule type="cellIs" dxfId="4950" priority="724" operator="equal">
      <formula>"3-001-5204"</formula>
    </cfRule>
    <cfRule type="cellIs" dxfId="4949" priority="725" operator="equal">
      <formula>"3-001-0002"</formula>
    </cfRule>
  </conditionalFormatting>
  <conditionalFormatting sqref="AS162">
    <cfRule type="expression" dxfId="4948" priority="722">
      <formula>IF(L162=AS162,1,0)</formula>
    </cfRule>
  </conditionalFormatting>
  <conditionalFormatting sqref="F162">
    <cfRule type="cellIs" dxfId="4947" priority="719" operator="equal">
      <formula>"3-001-2214"</formula>
    </cfRule>
    <cfRule type="cellIs" dxfId="4946" priority="720" operator="equal">
      <formula>"3-001-5204"</formula>
    </cfRule>
    <cfRule type="cellIs" dxfId="4945" priority="721" operator="equal">
      <formula>"3-001-0002"</formula>
    </cfRule>
  </conditionalFormatting>
  <conditionalFormatting sqref="AS77">
    <cfRule type="expression" dxfId="4944" priority="706">
      <formula>IF(L77=AS77,1,0)</formula>
    </cfRule>
  </conditionalFormatting>
  <conditionalFormatting sqref="F77">
    <cfRule type="cellIs" dxfId="4943" priority="703" operator="equal">
      <formula>"3-001-2214"</formula>
    </cfRule>
    <cfRule type="cellIs" dxfId="4942" priority="704" operator="equal">
      <formula>"3-001-5204"</formula>
    </cfRule>
    <cfRule type="cellIs" dxfId="4941" priority="705" operator="equal">
      <formula>"3-001-0002"</formula>
    </cfRule>
  </conditionalFormatting>
  <conditionalFormatting sqref="AS185">
    <cfRule type="expression" dxfId="4940" priority="714">
      <formula>IF(L185=AS185,1,0)</formula>
    </cfRule>
  </conditionalFormatting>
  <conditionalFormatting sqref="F185">
    <cfRule type="cellIs" dxfId="4939" priority="711" operator="equal">
      <formula>"3-001-2214"</formula>
    </cfRule>
    <cfRule type="cellIs" dxfId="4938" priority="712" operator="equal">
      <formula>"3-001-5204"</formula>
    </cfRule>
    <cfRule type="cellIs" dxfId="4937" priority="713" operator="equal">
      <formula>"3-001-0002"</formula>
    </cfRule>
  </conditionalFormatting>
  <conditionalFormatting sqref="AS242">
    <cfRule type="expression" dxfId="4936" priority="710">
      <formula>IF(L242=AS242,1,0)</formula>
    </cfRule>
  </conditionalFormatting>
  <conditionalFormatting sqref="F242">
    <cfRule type="cellIs" dxfId="4935" priority="707" operator="equal">
      <formula>"3-001-2214"</formula>
    </cfRule>
    <cfRule type="cellIs" dxfId="4934" priority="708" operator="equal">
      <formula>"3-001-5204"</formula>
    </cfRule>
    <cfRule type="cellIs" dxfId="4933" priority="709" operator="equal">
      <formula>"3-001-0002"</formula>
    </cfRule>
  </conditionalFormatting>
  <conditionalFormatting sqref="F219">
    <cfRule type="cellIs" dxfId="4932" priority="671" operator="equal">
      <formula>"3-001-2214"</formula>
    </cfRule>
    <cfRule type="cellIs" dxfId="4931" priority="672" operator="equal">
      <formula>"3-001-5204"</formula>
    </cfRule>
    <cfRule type="cellIs" dxfId="4930" priority="673" operator="equal">
      <formula>"3-001-0002"</formula>
    </cfRule>
  </conditionalFormatting>
  <conditionalFormatting sqref="AS219">
    <cfRule type="expression" dxfId="4929" priority="674">
      <formula>IF(L219=AS219,1,0)</formula>
    </cfRule>
  </conditionalFormatting>
  <conditionalFormatting sqref="F71">
    <cfRule type="cellIs" dxfId="4928" priority="699" operator="equal">
      <formula>"3-001-2214"</formula>
    </cfRule>
    <cfRule type="cellIs" dxfId="4927" priority="700" operator="equal">
      <formula>"3-001-5204"</formula>
    </cfRule>
    <cfRule type="cellIs" dxfId="4926" priority="701" operator="equal">
      <formula>"3-001-0002"</formula>
    </cfRule>
  </conditionalFormatting>
  <conditionalFormatting sqref="F75">
    <cfRule type="cellIs" dxfId="4925" priority="695" operator="equal">
      <formula>"3-001-2214"</formula>
    </cfRule>
    <cfRule type="cellIs" dxfId="4924" priority="696" operator="equal">
      <formula>"3-001-5204"</formula>
    </cfRule>
    <cfRule type="cellIs" dxfId="4923" priority="697" operator="equal">
      <formula>"3-001-0002"</formula>
    </cfRule>
  </conditionalFormatting>
  <conditionalFormatting sqref="AS71">
    <cfRule type="expression" dxfId="4922" priority="702">
      <formula>IF(L71=AS71,1,0)</formula>
    </cfRule>
  </conditionalFormatting>
  <conditionalFormatting sqref="AS75">
    <cfRule type="expression" dxfId="4921" priority="698">
      <formula>IF(L75=AS75,1,0)</formula>
    </cfRule>
  </conditionalFormatting>
  <conditionalFormatting sqref="AS217">
    <cfRule type="expression" dxfId="4920" priority="694">
      <formula>IF(L217=AS217,1,0)</formula>
    </cfRule>
  </conditionalFormatting>
  <conditionalFormatting sqref="F217">
    <cfRule type="cellIs" dxfId="4919" priority="691" operator="equal">
      <formula>"3-001-2214"</formula>
    </cfRule>
    <cfRule type="cellIs" dxfId="4918" priority="692" operator="equal">
      <formula>"3-001-5204"</formula>
    </cfRule>
    <cfRule type="cellIs" dxfId="4917" priority="693" operator="equal">
      <formula>"3-001-0002"</formula>
    </cfRule>
  </conditionalFormatting>
  <conditionalFormatting sqref="F226">
    <cfRule type="cellIs" dxfId="4916" priority="663" operator="equal">
      <formula>"3-001-2214"</formula>
    </cfRule>
    <cfRule type="cellIs" dxfId="4915" priority="664" operator="equal">
      <formula>"3-001-5204"</formula>
    </cfRule>
    <cfRule type="cellIs" dxfId="4914" priority="665" operator="equal">
      <formula>"3-001-0002"</formula>
    </cfRule>
  </conditionalFormatting>
  <conditionalFormatting sqref="AS226">
    <cfRule type="expression" dxfId="4913" priority="666">
      <formula>IF(L226=AS226,1,0)</formula>
    </cfRule>
  </conditionalFormatting>
  <conditionalFormatting sqref="F223">
    <cfRule type="cellIs" dxfId="4912" priority="687" operator="equal">
      <formula>"3-001-2214"</formula>
    </cfRule>
    <cfRule type="cellIs" dxfId="4911" priority="688" operator="equal">
      <formula>"3-001-5204"</formula>
    </cfRule>
    <cfRule type="cellIs" dxfId="4910" priority="689" operator="equal">
      <formula>"3-001-0002"</formula>
    </cfRule>
  </conditionalFormatting>
  <conditionalFormatting sqref="F225">
    <cfRule type="cellIs" dxfId="4909" priority="683" operator="equal">
      <formula>"3-001-2214"</formula>
    </cfRule>
    <cfRule type="cellIs" dxfId="4908" priority="684" operator="equal">
      <formula>"3-001-5204"</formula>
    </cfRule>
    <cfRule type="cellIs" dxfId="4907" priority="685" operator="equal">
      <formula>"3-001-0002"</formula>
    </cfRule>
  </conditionalFormatting>
  <conditionalFormatting sqref="AS223">
    <cfRule type="expression" dxfId="4906" priority="690">
      <formula>IF(L223=AS223,1,0)</formula>
    </cfRule>
  </conditionalFormatting>
  <conditionalFormatting sqref="AS225">
    <cfRule type="expression" dxfId="4905" priority="686">
      <formula>IF(L225=AS225,1,0)</formula>
    </cfRule>
  </conditionalFormatting>
  <conditionalFormatting sqref="F218">
    <cfRule type="cellIs" dxfId="4904" priority="679" operator="equal">
      <formula>"3-001-2214"</formula>
    </cfRule>
    <cfRule type="cellIs" dxfId="4903" priority="680" operator="equal">
      <formula>"3-001-5204"</formula>
    </cfRule>
    <cfRule type="cellIs" dxfId="4902" priority="681" operator="equal">
      <formula>"3-001-0002"</formula>
    </cfRule>
  </conditionalFormatting>
  <conditionalFormatting sqref="AS218">
    <cfRule type="expression" dxfId="4901" priority="682">
      <formula>IF(L218=AS218,1,0)</formula>
    </cfRule>
  </conditionalFormatting>
  <conditionalFormatting sqref="F220">
    <cfRule type="cellIs" dxfId="4900" priority="675" operator="equal">
      <formula>"3-001-2214"</formula>
    </cfRule>
    <cfRule type="cellIs" dxfId="4899" priority="676" operator="equal">
      <formula>"3-001-5204"</formula>
    </cfRule>
    <cfRule type="cellIs" dxfId="4898" priority="677" operator="equal">
      <formula>"3-001-0002"</formula>
    </cfRule>
  </conditionalFormatting>
  <conditionalFormatting sqref="AS220">
    <cfRule type="expression" dxfId="4897" priority="678">
      <formula>IF(L220=AS220,1,0)</formula>
    </cfRule>
  </conditionalFormatting>
  <conditionalFormatting sqref="AS224">
    <cfRule type="expression" dxfId="4896" priority="670">
      <formula>IF(L224=AS224,1,0)</formula>
    </cfRule>
  </conditionalFormatting>
  <conditionalFormatting sqref="F224">
    <cfRule type="cellIs" dxfId="4895" priority="667" operator="equal">
      <formula>"3-001-2214"</formula>
    </cfRule>
    <cfRule type="cellIs" dxfId="4894" priority="668" operator="equal">
      <formula>"3-001-5204"</formula>
    </cfRule>
    <cfRule type="cellIs" dxfId="4893" priority="669" operator="equal">
      <formula>"3-001-0002"</formula>
    </cfRule>
  </conditionalFormatting>
  <conditionalFormatting sqref="F237">
    <cfRule type="cellIs" dxfId="4892" priority="655" operator="equal">
      <formula>"3-001-2214"</formula>
    </cfRule>
    <cfRule type="cellIs" dxfId="4891" priority="656" operator="equal">
      <formula>"3-001-5204"</formula>
    </cfRule>
    <cfRule type="cellIs" dxfId="4890" priority="657" operator="equal">
      <formula>"3-001-0002"</formula>
    </cfRule>
  </conditionalFormatting>
  <conditionalFormatting sqref="AS237">
    <cfRule type="expression" dxfId="4889" priority="658">
      <formula>IF(L237=AS237,1,0)</formula>
    </cfRule>
  </conditionalFormatting>
  <conditionalFormatting sqref="F236">
    <cfRule type="cellIs" dxfId="4888" priority="659" operator="equal">
      <formula>"3-001-2214"</formula>
    </cfRule>
    <cfRule type="cellIs" dxfId="4887" priority="660" operator="equal">
      <formula>"3-001-5204"</formula>
    </cfRule>
    <cfRule type="cellIs" dxfId="4886" priority="661" operator="equal">
      <formula>"3-001-0002"</formula>
    </cfRule>
  </conditionalFormatting>
  <conditionalFormatting sqref="AS236">
    <cfRule type="expression" dxfId="4885" priority="662">
      <formula>IF(L236=AS236,1,0)</formula>
    </cfRule>
  </conditionalFormatting>
  <conditionalFormatting sqref="F228">
    <cfRule type="cellIs" dxfId="4884" priority="651" operator="equal">
      <formula>"3-001-2214"</formula>
    </cfRule>
    <cfRule type="cellIs" dxfId="4883" priority="652" operator="equal">
      <formula>"3-001-5204"</formula>
    </cfRule>
    <cfRule type="cellIs" dxfId="4882" priority="653" operator="equal">
      <formula>"3-001-0002"</formula>
    </cfRule>
  </conditionalFormatting>
  <conditionalFormatting sqref="AS228">
    <cfRule type="expression" dxfId="4881" priority="654">
      <formula>IF(L228=AS228,1,0)</formula>
    </cfRule>
  </conditionalFormatting>
  <conditionalFormatting sqref="AS229">
    <cfRule type="expression" dxfId="4880" priority="650">
      <formula>IF(L229=AS229,1,0)</formula>
    </cfRule>
  </conditionalFormatting>
  <conditionalFormatting sqref="F229">
    <cfRule type="cellIs" dxfId="4879" priority="647" operator="equal">
      <formula>"3-001-2214"</formula>
    </cfRule>
    <cfRule type="cellIs" dxfId="4878" priority="648" operator="equal">
      <formula>"3-001-5204"</formula>
    </cfRule>
    <cfRule type="cellIs" dxfId="4877" priority="649" operator="equal">
      <formula>"3-001-0002"</formula>
    </cfRule>
  </conditionalFormatting>
  <conditionalFormatting sqref="AS201:AS202">
    <cfRule type="expression" dxfId="4876" priority="646">
      <formula>IF(L201=AS201,1,0)</formula>
    </cfRule>
  </conditionalFormatting>
  <conditionalFormatting sqref="F201:F202">
    <cfRule type="cellIs" dxfId="4875" priority="643" operator="equal">
      <formula>"3-001-2214"</formula>
    </cfRule>
    <cfRule type="cellIs" dxfId="4874" priority="644" operator="equal">
      <formula>"3-001-5204"</formula>
    </cfRule>
    <cfRule type="cellIs" dxfId="4873" priority="645" operator="equal">
      <formula>"3-001-0002"</formula>
    </cfRule>
  </conditionalFormatting>
  <conditionalFormatting sqref="AS200">
    <cfRule type="expression" dxfId="4872" priority="642">
      <formula>IF(L200=AS200,1,0)</formula>
    </cfRule>
  </conditionalFormatting>
  <conditionalFormatting sqref="F200">
    <cfRule type="cellIs" dxfId="4871" priority="639" operator="equal">
      <formula>"3-001-2214"</formula>
    </cfRule>
    <cfRule type="cellIs" dxfId="4870" priority="640" operator="equal">
      <formula>"3-001-5204"</formula>
    </cfRule>
    <cfRule type="cellIs" dxfId="4869" priority="641" operator="equal">
      <formula>"3-001-0002"</formula>
    </cfRule>
  </conditionalFormatting>
  <conditionalFormatting sqref="AS176">
    <cfRule type="expression" dxfId="4868" priority="638">
      <formula>IF(L176=AS176,1,0)</formula>
    </cfRule>
  </conditionalFormatting>
  <conditionalFormatting sqref="F176">
    <cfRule type="cellIs" dxfId="4867" priority="635" operator="equal">
      <formula>"3-001-2214"</formula>
    </cfRule>
    <cfRule type="cellIs" dxfId="4866" priority="636" operator="equal">
      <formula>"3-001-5204"</formula>
    </cfRule>
    <cfRule type="cellIs" dxfId="4865" priority="637" operator="equal">
      <formula>"3-001-0002"</formula>
    </cfRule>
  </conditionalFormatting>
  <conditionalFormatting sqref="AS191">
    <cfRule type="expression" dxfId="4864" priority="634">
      <formula>IF(L191=AS191,1,0)</formula>
    </cfRule>
  </conditionalFormatting>
  <conditionalFormatting sqref="F191">
    <cfRule type="cellIs" dxfId="4863" priority="631" operator="equal">
      <formula>"3-001-2214"</formula>
    </cfRule>
    <cfRule type="cellIs" dxfId="4862" priority="632" operator="equal">
      <formula>"3-001-5204"</formula>
    </cfRule>
    <cfRule type="cellIs" dxfId="4861" priority="633" operator="equal">
      <formula>"3-001-0002"</formula>
    </cfRule>
  </conditionalFormatting>
  <conditionalFormatting sqref="AS192">
    <cfRule type="expression" dxfId="4860" priority="630">
      <formula>IF(L192=AS192,1,0)</formula>
    </cfRule>
  </conditionalFormatting>
  <conditionalFormatting sqref="F192">
    <cfRule type="cellIs" dxfId="4859" priority="627" operator="equal">
      <formula>"3-001-2214"</formula>
    </cfRule>
    <cfRule type="cellIs" dxfId="4858" priority="628" operator="equal">
      <formula>"3-001-5204"</formula>
    </cfRule>
    <cfRule type="cellIs" dxfId="4857" priority="629" operator="equal">
      <formula>"3-001-0002"</formula>
    </cfRule>
  </conditionalFormatting>
  <conditionalFormatting sqref="AS194:AS196">
    <cfRule type="expression" dxfId="4856" priority="626">
      <formula>IF(L194=AS194,1,0)</formula>
    </cfRule>
  </conditionalFormatting>
  <conditionalFormatting sqref="F194:F196">
    <cfRule type="cellIs" dxfId="4855" priority="623" operator="equal">
      <formula>"3-001-2214"</formula>
    </cfRule>
    <cfRule type="cellIs" dxfId="4854" priority="624" operator="equal">
      <formula>"3-001-5204"</formula>
    </cfRule>
    <cfRule type="cellIs" dxfId="4853" priority="625" operator="equal">
      <formula>"3-001-0002"</formula>
    </cfRule>
  </conditionalFormatting>
  <conditionalFormatting sqref="AS193">
    <cfRule type="expression" dxfId="4852" priority="622">
      <formula>IF(L193=AS193,1,0)</formula>
    </cfRule>
  </conditionalFormatting>
  <conditionalFormatting sqref="F193">
    <cfRule type="cellIs" dxfId="4851" priority="619" operator="equal">
      <formula>"3-001-2214"</formula>
    </cfRule>
    <cfRule type="cellIs" dxfId="4850" priority="620" operator="equal">
      <formula>"3-001-5204"</formula>
    </cfRule>
    <cfRule type="cellIs" dxfId="4849" priority="621" operator="equal">
      <formula>"3-001-0002"</formula>
    </cfRule>
  </conditionalFormatting>
  <conditionalFormatting sqref="AS203">
    <cfRule type="expression" dxfId="4848" priority="614">
      <formula>IF(L203=AS203,1,0)</formula>
    </cfRule>
  </conditionalFormatting>
  <conditionalFormatting sqref="F203">
    <cfRule type="cellIs" dxfId="4847" priority="611" operator="equal">
      <formula>"3-001-2214"</formula>
    </cfRule>
    <cfRule type="cellIs" dxfId="4846" priority="612" operator="equal">
      <formula>"3-001-5204"</formula>
    </cfRule>
    <cfRule type="cellIs" dxfId="4845" priority="613" operator="equal">
      <formula>"3-001-0002"</formula>
    </cfRule>
  </conditionalFormatting>
  <conditionalFormatting sqref="AS197">
    <cfRule type="expression" dxfId="4844" priority="618">
      <formula>IF(L197=AS197,1,0)</formula>
    </cfRule>
  </conditionalFormatting>
  <conditionalFormatting sqref="F197">
    <cfRule type="cellIs" dxfId="4843" priority="615" operator="equal">
      <formula>"3-001-2214"</formula>
    </cfRule>
    <cfRule type="cellIs" dxfId="4842" priority="616" operator="equal">
      <formula>"3-001-5204"</formula>
    </cfRule>
    <cfRule type="cellIs" dxfId="4841" priority="617" operator="equal">
      <formula>"3-001-0002"</formula>
    </cfRule>
  </conditionalFormatting>
  <conditionalFormatting sqref="AS204">
    <cfRule type="expression" dxfId="4840" priority="610">
      <formula>IF(L204=AS204,1,0)</formula>
    </cfRule>
  </conditionalFormatting>
  <conditionalFormatting sqref="F204">
    <cfRule type="cellIs" dxfId="4839" priority="607" operator="equal">
      <formula>"3-001-2214"</formula>
    </cfRule>
    <cfRule type="cellIs" dxfId="4838" priority="608" operator="equal">
      <formula>"3-001-5204"</formula>
    </cfRule>
    <cfRule type="cellIs" dxfId="4837" priority="609" operator="equal">
      <formula>"3-001-0002"</formula>
    </cfRule>
  </conditionalFormatting>
  <conditionalFormatting sqref="F188">
    <cfRule type="cellIs" dxfId="4836" priority="591" operator="equal">
      <formula>"3-001-2214"</formula>
    </cfRule>
    <cfRule type="cellIs" dxfId="4835" priority="592" operator="equal">
      <formula>"3-001-5204"</formula>
    </cfRule>
    <cfRule type="cellIs" dxfId="4834" priority="593" operator="equal">
      <formula>"3-001-0002"</formula>
    </cfRule>
  </conditionalFormatting>
  <conditionalFormatting sqref="AS183">
    <cfRule type="expression" dxfId="4833" priority="602">
      <formula>IF(L183=AS183,1,0)</formula>
    </cfRule>
  </conditionalFormatting>
  <conditionalFormatting sqref="F183">
    <cfRule type="cellIs" dxfId="4832" priority="599" operator="equal">
      <formula>"3-001-2214"</formula>
    </cfRule>
    <cfRule type="cellIs" dxfId="4831" priority="600" operator="equal">
      <formula>"3-001-5204"</formula>
    </cfRule>
    <cfRule type="cellIs" dxfId="4830" priority="601" operator="equal">
      <formula>"3-001-0002"</formula>
    </cfRule>
  </conditionalFormatting>
  <conditionalFormatting sqref="AS190">
    <cfRule type="expression" dxfId="4829" priority="598">
      <formula>IF(L190=AS190,1,0)</formula>
    </cfRule>
  </conditionalFormatting>
  <conditionalFormatting sqref="F190">
    <cfRule type="cellIs" dxfId="4828" priority="595" operator="equal">
      <formula>"3-001-2214"</formula>
    </cfRule>
    <cfRule type="cellIs" dxfId="4827" priority="596" operator="equal">
      <formula>"3-001-5204"</formula>
    </cfRule>
    <cfRule type="cellIs" dxfId="4826" priority="597" operator="equal">
      <formula>"3-001-0002"</formula>
    </cfRule>
  </conditionalFormatting>
  <conditionalFormatting sqref="AS188">
    <cfRule type="expression" dxfId="4825" priority="594">
      <formula>IF(L188=AS188,1,0)</formula>
    </cfRule>
  </conditionalFormatting>
  <conditionalFormatting sqref="F189">
    <cfRule type="cellIs" dxfId="4824" priority="587" operator="equal">
      <formula>"3-001-2214"</formula>
    </cfRule>
    <cfRule type="cellIs" dxfId="4823" priority="588" operator="equal">
      <formula>"3-001-5204"</formula>
    </cfRule>
    <cfRule type="cellIs" dxfId="4822" priority="589" operator="equal">
      <formula>"3-001-0002"</formula>
    </cfRule>
  </conditionalFormatting>
  <conditionalFormatting sqref="AS189">
    <cfRule type="expression" dxfId="4821" priority="590">
      <formula>IF(L189=AS189,1,0)</formula>
    </cfRule>
  </conditionalFormatting>
  <conditionalFormatting sqref="AS175">
    <cfRule type="expression" dxfId="4820" priority="586">
      <formula>IF(L175=AS175,1,0)</formula>
    </cfRule>
  </conditionalFormatting>
  <conditionalFormatting sqref="F175">
    <cfRule type="cellIs" dxfId="4819" priority="583" operator="equal">
      <formula>"3-001-2214"</formula>
    </cfRule>
    <cfRule type="cellIs" dxfId="4818" priority="584" operator="equal">
      <formula>"3-001-5204"</formula>
    </cfRule>
    <cfRule type="cellIs" dxfId="4817" priority="585" operator="equal">
      <formula>"3-001-0002"</formula>
    </cfRule>
  </conditionalFormatting>
  <conditionalFormatting sqref="AS299">
    <cfRule type="expression" dxfId="4816" priority="582">
      <formula>IF(L299=AS299,1,0)</formula>
    </cfRule>
  </conditionalFormatting>
  <conditionalFormatting sqref="AS198">
    <cfRule type="expression" dxfId="4815" priority="581">
      <formula>IF(L198=AS198,1,0)</formula>
    </cfRule>
  </conditionalFormatting>
  <conditionalFormatting sqref="F198">
    <cfRule type="cellIs" dxfId="4814" priority="578" operator="equal">
      <formula>"3-001-2214"</formula>
    </cfRule>
    <cfRule type="cellIs" dxfId="4813" priority="579" operator="equal">
      <formula>"3-001-5204"</formula>
    </cfRule>
    <cfRule type="cellIs" dxfId="4812" priority="580" operator="equal">
      <formula>"3-001-0002"</formula>
    </cfRule>
  </conditionalFormatting>
  <conditionalFormatting sqref="AS199">
    <cfRule type="expression" dxfId="4811" priority="577">
      <formula>IF(L199=AS199,1,0)</formula>
    </cfRule>
  </conditionalFormatting>
  <conditionalFormatting sqref="F199">
    <cfRule type="cellIs" dxfId="4810" priority="574" operator="equal">
      <formula>"3-001-2214"</formula>
    </cfRule>
    <cfRule type="cellIs" dxfId="4809" priority="575" operator="equal">
      <formula>"3-001-5204"</formula>
    </cfRule>
    <cfRule type="cellIs" dxfId="4808" priority="576" operator="equal">
      <formula>"3-001-0002"</formula>
    </cfRule>
  </conditionalFormatting>
  <conditionalFormatting sqref="AS44">
    <cfRule type="expression" dxfId="4807" priority="573">
      <formula>IF(L44=AS44,1,0)</formula>
    </cfRule>
  </conditionalFormatting>
  <conditionalFormatting sqref="F44">
    <cfRule type="cellIs" dxfId="4806" priority="570" operator="equal">
      <formula>"3-001-2214"</formula>
    </cfRule>
    <cfRule type="cellIs" dxfId="4805" priority="571" operator="equal">
      <formula>"3-001-5204"</formula>
    </cfRule>
    <cfRule type="cellIs" dxfId="4804" priority="572" operator="equal">
      <formula>"3-001-0002"</formula>
    </cfRule>
  </conditionalFormatting>
  <conditionalFormatting sqref="AS45">
    <cfRule type="expression" dxfId="4803" priority="569">
      <formula>IF(L45=AS45,1,0)</formula>
    </cfRule>
  </conditionalFormatting>
  <conditionalFormatting sqref="F45">
    <cfRule type="cellIs" dxfId="4802" priority="566" operator="equal">
      <formula>"3-001-2214"</formula>
    </cfRule>
    <cfRule type="cellIs" dxfId="4801" priority="567" operator="equal">
      <formula>"3-001-5204"</formula>
    </cfRule>
    <cfRule type="cellIs" dxfId="4800" priority="568" operator="equal">
      <formula>"3-001-0002"</formula>
    </cfRule>
  </conditionalFormatting>
  <conditionalFormatting sqref="Q300">
    <cfRule type="cellIs" dxfId="4799" priority="565" operator="notEqual">
      <formula>$Q$298</formula>
    </cfRule>
  </conditionalFormatting>
  <conditionalFormatting sqref="S300">
    <cfRule type="cellIs" dxfId="4798" priority="564" operator="notEqual">
      <formula>$S$298</formula>
    </cfRule>
  </conditionalFormatting>
  <conditionalFormatting sqref="F164">
    <cfRule type="cellIs" dxfId="4797" priority="557" operator="equal">
      <formula>"3-001-2214"</formula>
    </cfRule>
    <cfRule type="cellIs" dxfId="4796" priority="558" operator="equal">
      <formula>"3-001-5204"</formula>
    </cfRule>
    <cfRule type="cellIs" dxfId="4795" priority="559" operator="equal">
      <formula>"3-001-0002"</formula>
    </cfRule>
  </conditionalFormatting>
  <conditionalFormatting sqref="F165">
    <cfRule type="cellIs" dxfId="4794" priority="554" operator="equal">
      <formula>"3-001-2214"</formula>
    </cfRule>
    <cfRule type="cellIs" dxfId="4793" priority="555" operator="equal">
      <formula>"3-001-5204"</formula>
    </cfRule>
    <cfRule type="cellIs" dxfId="4792" priority="556" operator="equal">
      <formula>"3-001-0002"</formula>
    </cfRule>
  </conditionalFormatting>
  <conditionalFormatting sqref="F166">
    <cfRule type="cellIs" dxfId="4791" priority="551" operator="equal">
      <formula>"3-001-2214"</formula>
    </cfRule>
    <cfRule type="cellIs" dxfId="4790" priority="552" operator="equal">
      <formula>"3-001-5204"</formula>
    </cfRule>
    <cfRule type="cellIs" dxfId="4789" priority="553" operator="equal">
      <formula>"3-001-0002"</formula>
    </cfRule>
  </conditionalFormatting>
  <conditionalFormatting sqref="F167">
    <cfRule type="cellIs" dxfId="4788" priority="548" operator="equal">
      <formula>"3-001-2214"</formula>
    </cfRule>
    <cfRule type="cellIs" dxfId="4787" priority="549" operator="equal">
      <formula>"3-001-5204"</formula>
    </cfRule>
    <cfRule type="cellIs" dxfId="4786" priority="550" operator="equal">
      <formula>"3-001-0002"</formula>
    </cfRule>
  </conditionalFormatting>
  <conditionalFormatting sqref="F168">
    <cfRule type="cellIs" dxfId="4785" priority="545" operator="equal">
      <formula>"3-001-2214"</formula>
    </cfRule>
    <cfRule type="cellIs" dxfId="4784" priority="546" operator="equal">
      <formula>"3-001-5204"</formula>
    </cfRule>
    <cfRule type="cellIs" dxfId="4783" priority="547" operator="equal">
      <formula>"3-001-0002"</formula>
    </cfRule>
  </conditionalFormatting>
  <conditionalFormatting sqref="F169">
    <cfRule type="cellIs" dxfId="4782" priority="542" operator="equal">
      <formula>"3-001-2214"</formula>
    </cfRule>
    <cfRule type="cellIs" dxfId="4781" priority="543" operator="equal">
      <formula>"3-001-5204"</formula>
    </cfRule>
    <cfRule type="cellIs" dxfId="4780" priority="544" operator="equal">
      <formula>"3-001-0002"</formula>
    </cfRule>
  </conditionalFormatting>
  <conditionalFormatting sqref="AS206">
    <cfRule type="expression" dxfId="4779" priority="541">
      <formula>IF(L206=AS206,1,0)</formula>
    </cfRule>
  </conditionalFormatting>
  <conditionalFormatting sqref="F206">
    <cfRule type="cellIs" dxfId="4778" priority="538" operator="equal">
      <formula>"3-001-2214"</formula>
    </cfRule>
    <cfRule type="cellIs" dxfId="4777" priority="539" operator="equal">
      <formula>"3-001-5204"</formula>
    </cfRule>
    <cfRule type="cellIs" dxfId="4776" priority="540" operator="equal">
      <formula>"3-001-0002"</formula>
    </cfRule>
  </conditionalFormatting>
  <conditionalFormatting sqref="AS210">
    <cfRule type="expression" dxfId="4775" priority="537">
      <formula>IF(L210=AS210,1,0)</formula>
    </cfRule>
  </conditionalFormatting>
  <conditionalFormatting sqref="F210">
    <cfRule type="cellIs" dxfId="4774" priority="534" operator="equal">
      <formula>"3-001-2214"</formula>
    </cfRule>
    <cfRule type="cellIs" dxfId="4773" priority="535" operator="equal">
      <formula>"3-001-5204"</formula>
    </cfRule>
    <cfRule type="cellIs" dxfId="4772" priority="536" operator="equal">
      <formula>"3-001-0002"</formula>
    </cfRule>
  </conditionalFormatting>
  <conditionalFormatting sqref="F260">
    <cfRule type="cellIs" dxfId="4771" priority="530" operator="equal">
      <formula>"3-001-2214"</formula>
    </cfRule>
    <cfRule type="cellIs" dxfId="4770" priority="531" operator="equal">
      <formula>"3-001-5204"</formula>
    </cfRule>
    <cfRule type="cellIs" dxfId="4769" priority="532" operator="equal">
      <formula>"3-001-0002"</formula>
    </cfRule>
  </conditionalFormatting>
  <conditionalFormatting sqref="AS260">
    <cfRule type="expression" dxfId="4768" priority="533">
      <formula>IF(L260=AS260,1,0)</formula>
    </cfRule>
  </conditionalFormatting>
  <conditionalFormatting sqref="AS261">
    <cfRule type="expression" dxfId="4767" priority="529">
      <formula>IF(L261=AS261,1,0)</formula>
    </cfRule>
  </conditionalFormatting>
  <conditionalFormatting sqref="F261">
    <cfRule type="cellIs" dxfId="4766" priority="526" operator="equal">
      <formula>"3-001-2214"</formula>
    </cfRule>
    <cfRule type="cellIs" dxfId="4765" priority="527" operator="equal">
      <formula>"3-001-5204"</formula>
    </cfRule>
    <cfRule type="cellIs" dxfId="4764" priority="528" operator="equal">
      <formula>"3-001-0002"</formula>
    </cfRule>
  </conditionalFormatting>
  <conditionalFormatting sqref="X172:X173">
    <cfRule type="cellIs" dxfId="4763" priority="525" operator="notEqual">
      <formula>$L$171</formula>
    </cfRule>
  </conditionalFormatting>
  <conditionalFormatting sqref="AS205">
    <cfRule type="expression" dxfId="4762" priority="524">
      <formula>IF(L205=AS205,1,0)</formula>
    </cfRule>
  </conditionalFormatting>
  <conditionalFormatting sqref="F205">
    <cfRule type="cellIs" dxfId="4761" priority="521" operator="equal">
      <formula>"3-001-2214"</formula>
    </cfRule>
    <cfRule type="cellIs" dxfId="4760" priority="522" operator="equal">
      <formula>"3-001-5204"</formula>
    </cfRule>
    <cfRule type="cellIs" dxfId="4759" priority="523" operator="equal">
      <formula>"3-001-0002"</formula>
    </cfRule>
  </conditionalFormatting>
  <conditionalFormatting sqref="AS211">
    <cfRule type="expression" dxfId="4758" priority="520">
      <formula>IF(L211=AS211,1,0)</formula>
    </cfRule>
  </conditionalFormatting>
  <conditionalFormatting sqref="F211">
    <cfRule type="cellIs" dxfId="4757" priority="517" operator="equal">
      <formula>"3-001-2214"</formula>
    </cfRule>
    <cfRule type="cellIs" dxfId="4756" priority="518" operator="equal">
      <formula>"3-001-5204"</formula>
    </cfRule>
    <cfRule type="cellIs" dxfId="4755" priority="519" operator="equal">
      <formula>"3-001-0002"</formula>
    </cfRule>
  </conditionalFormatting>
  <conditionalFormatting sqref="AS41">
    <cfRule type="expression" dxfId="4754" priority="516">
      <formula>IF(L41=AS41,1,0)</formula>
    </cfRule>
  </conditionalFormatting>
  <conditionalFormatting sqref="F41">
    <cfRule type="cellIs" dxfId="4753" priority="513" operator="equal">
      <formula>"3-001-2214"</formula>
    </cfRule>
    <cfRule type="cellIs" dxfId="4752" priority="514" operator="equal">
      <formula>"3-001-5204"</formula>
    </cfRule>
    <cfRule type="cellIs" dxfId="4751" priority="515" operator="equal">
      <formula>"3-001-0002"</formula>
    </cfRule>
  </conditionalFormatting>
  <conditionalFormatting sqref="M300">
    <cfRule type="cellIs" dxfId="4750" priority="512" operator="notEqual">
      <formula>$M$298</formula>
    </cfRule>
  </conditionalFormatting>
  <conditionalFormatting sqref="F5">
    <cfRule type="cellIs" dxfId="4749" priority="509" operator="equal">
      <formula>"3-001-2214"</formula>
    </cfRule>
    <cfRule type="cellIs" dxfId="4748" priority="510" operator="equal">
      <formula>"3-001-5204"</formula>
    </cfRule>
    <cfRule type="cellIs" dxfId="4747" priority="511" operator="equal">
      <formula>"3-001-0002"</formula>
    </cfRule>
  </conditionalFormatting>
  <conditionalFormatting sqref="Q171">
    <cfRule type="cellIs" dxfId="4746" priority="508" operator="notEqual">
      <formula>$Q$170</formula>
    </cfRule>
  </conditionalFormatting>
  <conditionalFormatting sqref="S171">
    <cfRule type="cellIs" dxfId="4745" priority="507" operator="notEqual">
      <formula>$S$170</formula>
    </cfRule>
  </conditionalFormatting>
  <conditionalFormatting sqref="AS268">
    <cfRule type="expression" dxfId="4744" priority="506">
      <formula>IF(L268=AS268,1,0)</formula>
    </cfRule>
  </conditionalFormatting>
  <conditionalFormatting sqref="AS269">
    <cfRule type="expression" dxfId="4743" priority="505">
      <formula>IF(L269=AS269,1,0)</formula>
    </cfRule>
  </conditionalFormatting>
  <conditionalFormatting sqref="F221">
    <cfRule type="cellIs" dxfId="4742" priority="501" operator="equal">
      <formula>"3-001-2214"</formula>
    </cfRule>
    <cfRule type="cellIs" dxfId="4741" priority="502" operator="equal">
      <formula>"3-001-5204"</formula>
    </cfRule>
    <cfRule type="cellIs" dxfId="4740" priority="503" operator="equal">
      <formula>"3-001-0002"</formula>
    </cfRule>
  </conditionalFormatting>
  <conditionalFormatting sqref="AS221">
    <cfRule type="expression" dxfId="4739" priority="504">
      <formula>IF(L221=AS221,1,0)</formula>
    </cfRule>
  </conditionalFormatting>
  <conditionalFormatting sqref="AS230">
    <cfRule type="expression" dxfId="4738" priority="500">
      <formula>IF(L230=AS230,1,0)</formula>
    </cfRule>
  </conditionalFormatting>
  <conditionalFormatting sqref="F230">
    <cfRule type="cellIs" dxfId="4737" priority="497" operator="equal">
      <formula>"3-001-2214"</formula>
    </cfRule>
    <cfRule type="cellIs" dxfId="4736" priority="498" operator="equal">
      <formula>"3-001-5204"</formula>
    </cfRule>
    <cfRule type="cellIs" dxfId="4735" priority="499" operator="equal">
      <formula>"3-001-0002"</formula>
    </cfRule>
  </conditionalFormatting>
  <conditionalFormatting sqref="AS231">
    <cfRule type="expression" dxfId="4734" priority="496">
      <formula>IF(L231=AS231,1,0)</formula>
    </cfRule>
  </conditionalFormatting>
  <conditionalFormatting sqref="F231">
    <cfRule type="cellIs" dxfId="4733" priority="493" operator="equal">
      <formula>"3-001-2214"</formula>
    </cfRule>
    <cfRule type="cellIs" dxfId="4732" priority="494" operator="equal">
      <formula>"3-001-5204"</formula>
    </cfRule>
    <cfRule type="cellIs" dxfId="4731" priority="495" operator="equal">
      <formula>"3-001-0002"</formula>
    </cfRule>
  </conditionalFormatting>
  <conditionalFormatting sqref="F120">
    <cfRule type="cellIs" dxfId="4730" priority="489" operator="equal">
      <formula>"3-001-2214"</formula>
    </cfRule>
    <cfRule type="cellIs" dxfId="4729" priority="490" operator="equal">
      <formula>"3-001-5204"</formula>
    </cfRule>
    <cfRule type="cellIs" dxfId="4728" priority="491" operator="equal">
      <formula>"3-001-0002"</formula>
    </cfRule>
  </conditionalFormatting>
  <conditionalFormatting sqref="AS120">
    <cfRule type="expression" dxfId="4727" priority="492">
      <formula>IF(L120=AS120,1,0)</formula>
    </cfRule>
  </conditionalFormatting>
  <conditionalFormatting sqref="F119">
    <cfRule type="cellIs" dxfId="4726" priority="485" operator="equal">
      <formula>"3-001-2214"</formula>
    </cfRule>
    <cfRule type="cellIs" dxfId="4725" priority="486" operator="equal">
      <formula>"3-001-5204"</formula>
    </cfRule>
    <cfRule type="cellIs" dxfId="4724" priority="487" operator="equal">
      <formula>"3-001-0002"</formula>
    </cfRule>
  </conditionalFormatting>
  <conditionalFormatting sqref="AS119">
    <cfRule type="expression" dxfId="4723" priority="488">
      <formula>IF(L119=AS119,1,0)</formula>
    </cfRule>
  </conditionalFormatting>
  <conditionalFormatting sqref="F118">
    <cfRule type="cellIs" dxfId="4722" priority="481" operator="equal">
      <formula>"3-001-2214"</formula>
    </cfRule>
    <cfRule type="cellIs" dxfId="4721" priority="482" operator="equal">
      <formula>"3-001-5204"</formula>
    </cfRule>
    <cfRule type="cellIs" dxfId="4720" priority="483" operator="equal">
      <formula>"3-001-0002"</formula>
    </cfRule>
  </conditionalFormatting>
  <conditionalFormatting sqref="AS118">
    <cfRule type="expression" dxfId="4719" priority="484">
      <formula>IF(L118=AS118,1,0)</formula>
    </cfRule>
  </conditionalFormatting>
  <conditionalFormatting sqref="AS13">
    <cfRule type="expression" dxfId="4718" priority="480">
      <formula>IF(L13=AS13,1,0)</formula>
    </cfRule>
  </conditionalFormatting>
  <conditionalFormatting sqref="F13">
    <cfRule type="cellIs" dxfId="4717" priority="477" operator="equal">
      <formula>"3-001-2214"</formula>
    </cfRule>
    <cfRule type="cellIs" dxfId="4716" priority="478" operator="equal">
      <formula>"3-001-5204"</formula>
    </cfRule>
    <cfRule type="cellIs" dxfId="4715" priority="479" operator="equal">
      <formula>"3-001-0002"</formula>
    </cfRule>
  </conditionalFormatting>
  <conditionalFormatting sqref="AS15">
    <cfRule type="expression" dxfId="4714" priority="476">
      <formula>IF(L15=AS15,1,0)</formula>
    </cfRule>
  </conditionalFormatting>
  <conditionalFormatting sqref="F15">
    <cfRule type="cellIs" dxfId="4713" priority="473" operator="equal">
      <formula>"3-001-2214"</formula>
    </cfRule>
    <cfRule type="cellIs" dxfId="4712" priority="474" operator="equal">
      <formula>"3-001-5204"</formula>
    </cfRule>
    <cfRule type="cellIs" dxfId="4711" priority="475" operator="equal">
      <formula>"3-001-0002"</formula>
    </cfRule>
  </conditionalFormatting>
  <conditionalFormatting sqref="AS232">
    <cfRule type="expression" dxfId="4710" priority="472">
      <formula>IF(L232=AS232,1,0)</formula>
    </cfRule>
  </conditionalFormatting>
  <conditionalFormatting sqref="F232">
    <cfRule type="cellIs" dxfId="4709" priority="469" operator="equal">
      <formula>"3-001-2214"</formula>
    </cfRule>
    <cfRule type="cellIs" dxfId="4708" priority="470" operator="equal">
      <formula>"3-001-5204"</formula>
    </cfRule>
    <cfRule type="cellIs" dxfId="4707" priority="471" operator="equal">
      <formula>"3-001-0002"</formula>
    </cfRule>
  </conditionalFormatting>
  <conditionalFormatting sqref="F80">
    <cfRule type="cellIs" dxfId="4706" priority="465" operator="equal">
      <formula>"3-001-2214"</formula>
    </cfRule>
    <cfRule type="cellIs" dxfId="4705" priority="466" operator="equal">
      <formula>"3-001-5204"</formula>
    </cfRule>
    <cfRule type="cellIs" dxfId="4704" priority="467" operator="equal">
      <formula>"3-001-0002"</formula>
    </cfRule>
  </conditionalFormatting>
  <conditionalFormatting sqref="AS80">
    <cfRule type="expression" dxfId="4703" priority="468">
      <formula>IF(L80=AS80,1,0)</formula>
    </cfRule>
  </conditionalFormatting>
  <conditionalFormatting sqref="F121">
    <cfRule type="cellIs" dxfId="4702" priority="461" operator="equal">
      <formula>"3-001-2214"</formula>
    </cfRule>
    <cfRule type="cellIs" dxfId="4701" priority="462" operator="equal">
      <formula>"3-001-5204"</formula>
    </cfRule>
    <cfRule type="cellIs" dxfId="4700" priority="463" operator="equal">
      <formula>"3-001-0002"</formula>
    </cfRule>
  </conditionalFormatting>
  <conditionalFormatting sqref="AS121">
    <cfRule type="expression" dxfId="4699" priority="464">
      <formula>IF(L121=AS121,1,0)</formula>
    </cfRule>
  </conditionalFormatting>
  <conditionalFormatting sqref="AS253">
    <cfRule type="expression" dxfId="4698" priority="456">
      <formula>IF(L253=AS253,1,0)</formula>
    </cfRule>
  </conditionalFormatting>
  <conditionalFormatting sqref="F253">
    <cfRule type="cellIs" dxfId="4697" priority="453" operator="equal">
      <formula>"3-001-2214"</formula>
    </cfRule>
    <cfRule type="cellIs" dxfId="4696" priority="454" operator="equal">
      <formula>"3-001-5204"</formula>
    </cfRule>
    <cfRule type="cellIs" dxfId="4695" priority="455" operator="equal">
      <formula>"3-001-0002"</formula>
    </cfRule>
  </conditionalFormatting>
  <conditionalFormatting sqref="F254">
    <cfRule type="cellIs" dxfId="4694" priority="449" operator="equal">
      <formula>"3-001-2214"</formula>
    </cfRule>
    <cfRule type="cellIs" dxfId="4693" priority="450" operator="equal">
      <formula>"3-001-5204"</formula>
    </cfRule>
    <cfRule type="cellIs" dxfId="4692" priority="451" operator="equal">
      <formula>"3-001-0002"</formula>
    </cfRule>
  </conditionalFormatting>
  <conditionalFormatting sqref="AS254">
    <cfRule type="expression" dxfId="4691" priority="452">
      <formula>IF(L254=AS254,1,0)</formula>
    </cfRule>
  </conditionalFormatting>
  <conditionalFormatting sqref="AS256">
    <cfRule type="expression" dxfId="4690" priority="448">
      <formula>IF(L256=AS256,1,0)</formula>
    </cfRule>
  </conditionalFormatting>
  <conditionalFormatting sqref="F256">
    <cfRule type="cellIs" dxfId="4689" priority="445" operator="equal">
      <formula>"3-001-2214"</formula>
    </cfRule>
    <cfRule type="cellIs" dxfId="4688" priority="446" operator="equal">
      <formula>"3-001-5204"</formula>
    </cfRule>
    <cfRule type="cellIs" dxfId="4687" priority="447" operator="equal">
      <formula>"3-001-0002"</formula>
    </cfRule>
  </conditionalFormatting>
  <conditionalFormatting sqref="AS274">
    <cfRule type="expression" dxfId="4686" priority="444">
      <formula>IF(L274=AS274,1,0)</formula>
    </cfRule>
  </conditionalFormatting>
  <conditionalFormatting sqref="F274">
    <cfRule type="cellIs" dxfId="4685" priority="441" operator="equal">
      <formula>"3-001-2214"</formula>
    </cfRule>
    <cfRule type="cellIs" dxfId="4684" priority="442" operator="equal">
      <formula>"3-001-5204"</formula>
    </cfRule>
    <cfRule type="cellIs" dxfId="4683" priority="443" operator="equal">
      <formula>"3-001-0002"</formula>
    </cfRule>
  </conditionalFormatting>
  <conditionalFormatting sqref="F275">
    <cfRule type="cellIs" dxfId="4682" priority="437" operator="equal">
      <formula>"3-001-2214"</formula>
    </cfRule>
    <cfRule type="cellIs" dxfId="4681" priority="438" operator="equal">
      <formula>"3-001-5204"</formula>
    </cfRule>
    <cfRule type="cellIs" dxfId="4680" priority="439" operator="equal">
      <formula>"3-001-0002"</formula>
    </cfRule>
  </conditionalFormatting>
  <conditionalFormatting sqref="AS275">
    <cfRule type="expression" dxfId="4679" priority="440">
      <formula>IF(L275=AS275,1,0)</formula>
    </cfRule>
  </conditionalFormatting>
  <conditionalFormatting sqref="AS288">
    <cfRule type="expression" dxfId="4678" priority="436">
      <formula>IF(L288=AS288,1,0)</formula>
    </cfRule>
  </conditionalFormatting>
  <conditionalFormatting sqref="F288">
    <cfRule type="cellIs" dxfId="4677" priority="433" operator="equal">
      <formula>"3-001-2214"</formula>
    </cfRule>
    <cfRule type="cellIs" dxfId="4676" priority="434" operator="equal">
      <formula>"3-001-5204"</formula>
    </cfRule>
    <cfRule type="cellIs" dxfId="4675" priority="435" operator="equal">
      <formula>"3-001-0002"</formula>
    </cfRule>
  </conditionalFormatting>
  <conditionalFormatting sqref="F269">
    <cfRule type="cellIs" dxfId="4674" priority="430" operator="equal">
      <formula>"3-001-2214"</formula>
    </cfRule>
    <cfRule type="cellIs" dxfId="4673" priority="431" operator="equal">
      <formula>"3-001-5204"</formula>
    </cfRule>
    <cfRule type="cellIs" dxfId="4672" priority="432" operator="equal">
      <formula>"3-001-0002"</formula>
    </cfRule>
  </conditionalFormatting>
  <conditionalFormatting sqref="F268">
    <cfRule type="cellIs" dxfId="4671" priority="427" operator="equal">
      <formula>"3-001-2214"</formula>
    </cfRule>
    <cfRule type="cellIs" dxfId="4670" priority="428" operator="equal">
      <formula>"3-001-5204"</formula>
    </cfRule>
    <cfRule type="cellIs" dxfId="4669" priority="429" operator="equal">
      <formula>"3-001-0002"</formula>
    </cfRule>
  </conditionalFormatting>
  <conditionalFormatting sqref="F277">
    <cfRule type="cellIs" dxfId="4668" priority="423" operator="equal">
      <formula>"3-001-2214"</formula>
    </cfRule>
    <cfRule type="cellIs" dxfId="4667" priority="424" operator="equal">
      <formula>"3-001-5204"</formula>
    </cfRule>
    <cfRule type="cellIs" dxfId="4666" priority="425" operator="equal">
      <formula>"3-001-0002"</formula>
    </cfRule>
  </conditionalFormatting>
  <conditionalFormatting sqref="AS277">
    <cfRule type="expression" dxfId="4665" priority="426">
      <formula>IF(L277=AS277,1,0)</formula>
    </cfRule>
  </conditionalFormatting>
  <conditionalFormatting sqref="AW171:AX171">
    <cfRule type="cellIs" dxfId="4664" priority="422" operator="notEqual">
      <formula>$AW$170</formula>
    </cfRule>
  </conditionalFormatting>
  <conditionalFormatting sqref="F81">
    <cfRule type="cellIs" dxfId="4663" priority="418" operator="equal">
      <formula>"3-001-2214"</formula>
    </cfRule>
    <cfRule type="cellIs" dxfId="4662" priority="419" operator="equal">
      <formula>"3-001-5204"</formula>
    </cfRule>
    <cfRule type="cellIs" dxfId="4661" priority="420" operator="equal">
      <formula>"3-001-0002"</formula>
    </cfRule>
  </conditionalFormatting>
  <conditionalFormatting sqref="AS81">
    <cfRule type="expression" dxfId="4660" priority="421">
      <formula>IF(L81=AS81,1,0)</formula>
    </cfRule>
  </conditionalFormatting>
  <conditionalFormatting sqref="O171">
    <cfRule type="cellIs" dxfId="4659" priority="417" operator="notEqual">
      <formula>$O$170</formula>
    </cfRule>
  </conditionalFormatting>
  <conditionalFormatting sqref="AS238">
    <cfRule type="expression" dxfId="4658" priority="416">
      <formula>IF(L238=AS238,1,0)</formula>
    </cfRule>
  </conditionalFormatting>
  <conditionalFormatting sqref="F238">
    <cfRule type="cellIs" dxfId="4657" priority="413" operator="equal">
      <formula>"3-001-2214"</formula>
    </cfRule>
    <cfRule type="cellIs" dxfId="4656" priority="414" operator="equal">
      <formula>"3-001-5204"</formula>
    </cfRule>
    <cfRule type="cellIs" dxfId="4655" priority="415" operator="equal">
      <formula>"3-001-0002"</formula>
    </cfRule>
  </conditionalFormatting>
  <conditionalFormatting sqref="AS23">
    <cfRule type="expression" dxfId="4654" priority="412">
      <formula>IF(L23=AS23,1,0)</formula>
    </cfRule>
  </conditionalFormatting>
  <conditionalFormatting sqref="F23">
    <cfRule type="cellIs" dxfId="4653" priority="409" operator="equal">
      <formula>"3-001-2214"</formula>
    </cfRule>
    <cfRule type="cellIs" dxfId="4652" priority="410" operator="equal">
      <formula>"3-001-5204"</formula>
    </cfRule>
    <cfRule type="cellIs" dxfId="4651" priority="411" operator="equal">
      <formula>"3-001-0002"</formula>
    </cfRule>
  </conditionalFormatting>
  <conditionalFormatting sqref="F276">
    <cfRule type="cellIs" dxfId="4650" priority="405" operator="equal">
      <formula>"3-001-2214"</formula>
    </cfRule>
    <cfRule type="cellIs" dxfId="4649" priority="406" operator="equal">
      <formula>"3-001-5204"</formula>
    </cfRule>
    <cfRule type="cellIs" dxfId="4648" priority="407" operator="equal">
      <formula>"3-001-0002"</formula>
    </cfRule>
  </conditionalFormatting>
  <conditionalFormatting sqref="AS276">
    <cfRule type="expression" dxfId="4647" priority="408">
      <formula>IF(L276=AS276,1,0)</formula>
    </cfRule>
  </conditionalFormatting>
  <conditionalFormatting sqref="AS27">
    <cfRule type="expression" dxfId="4646" priority="404">
      <formula>IF(L27=AS27,1,0)</formula>
    </cfRule>
  </conditionalFormatting>
  <conditionalFormatting sqref="F27">
    <cfRule type="cellIs" dxfId="4645" priority="401" operator="equal">
      <formula>"3-001-2214"</formula>
    </cfRule>
    <cfRule type="cellIs" dxfId="4644" priority="402" operator="equal">
      <formula>"3-001-5204"</formula>
    </cfRule>
    <cfRule type="cellIs" dxfId="4643" priority="403" operator="equal">
      <formula>"3-001-0002"</formula>
    </cfRule>
  </conditionalFormatting>
  <conditionalFormatting sqref="AS292">
    <cfRule type="expression" dxfId="4642" priority="400">
      <formula>IF(L292=AS292,1,0)</formula>
    </cfRule>
  </conditionalFormatting>
  <conditionalFormatting sqref="F292">
    <cfRule type="cellIs" dxfId="4641" priority="397" operator="equal">
      <formula>"3-001-2214"</formula>
    </cfRule>
    <cfRule type="cellIs" dxfId="4640" priority="398" operator="equal">
      <formula>"3-001-5204"</formula>
    </cfRule>
    <cfRule type="cellIs" dxfId="4639" priority="399" operator="equal">
      <formula>"3-001-0002"</formula>
    </cfRule>
  </conditionalFormatting>
  <conditionalFormatting sqref="AS290">
    <cfRule type="expression" dxfId="4638" priority="396">
      <formula>IF(L290=AS290,1,0)</formula>
    </cfRule>
  </conditionalFormatting>
  <conditionalFormatting sqref="F290">
    <cfRule type="cellIs" dxfId="4637" priority="393" operator="equal">
      <formula>"3-001-2214"</formula>
    </cfRule>
    <cfRule type="cellIs" dxfId="4636" priority="394" operator="equal">
      <formula>"3-001-5204"</formula>
    </cfRule>
    <cfRule type="cellIs" dxfId="4635" priority="395" operator="equal">
      <formula>"3-001-0002"</formula>
    </cfRule>
  </conditionalFormatting>
  <conditionalFormatting sqref="AS291">
    <cfRule type="expression" dxfId="4634" priority="392">
      <formula>IF(L291=AS291,1,0)</formula>
    </cfRule>
  </conditionalFormatting>
  <conditionalFormatting sqref="F291">
    <cfRule type="cellIs" dxfId="4633" priority="389" operator="equal">
      <formula>"3-001-2214"</formula>
    </cfRule>
    <cfRule type="cellIs" dxfId="4632" priority="390" operator="equal">
      <formula>"3-001-5204"</formula>
    </cfRule>
    <cfRule type="cellIs" dxfId="4631" priority="391" operator="equal">
      <formula>"3-001-0002"</formula>
    </cfRule>
  </conditionalFormatting>
  <conditionalFormatting sqref="F280">
    <cfRule type="cellIs" dxfId="4630" priority="385" operator="equal">
      <formula>"3-001-2214"</formula>
    </cfRule>
    <cfRule type="cellIs" dxfId="4629" priority="386" operator="equal">
      <formula>"3-001-5204"</formula>
    </cfRule>
    <cfRule type="cellIs" dxfId="4628" priority="387" operator="equal">
      <formula>"3-001-0002"</formula>
    </cfRule>
  </conditionalFormatting>
  <conditionalFormatting sqref="AS280">
    <cfRule type="expression" dxfId="4627" priority="388">
      <formula>IF(L280=AS280,1,0)</formula>
    </cfRule>
  </conditionalFormatting>
  <conditionalFormatting sqref="F281">
    <cfRule type="cellIs" dxfId="4626" priority="381" operator="equal">
      <formula>"3-001-2214"</formula>
    </cfRule>
    <cfRule type="cellIs" dxfId="4625" priority="382" operator="equal">
      <formula>"3-001-5204"</formula>
    </cfRule>
    <cfRule type="cellIs" dxfId="4624" priority="383" operator="equal">
      <formula>"3-001-0002"</formula>
    </cfRule>
  </conditionalFormatting>
  <conditionalFormatting sqref="AS281">
    <cfRule type="expression" dxfId="4623" priority="384">
      <formula>IF(L281=AS281,1,0)</formula>
    </cfRule>
  </conditionalFormatting>
  <conditionalFormatting sqref="F278">
    <cfRule type="cellIs" dxfId="4622" priority="377" operator="equal">
      <formula>"3-001-2214"</formula>
    </cfRule>
    <cfRule type="cellIs" dxfId="4621" priority="378" operator="equal">
      <formula>"3-001-5204"</formula>
    </cfRule>
    <cfRule type="cellIs" dxfId="4620" priority="379" operator="equal">
      <formula>"3-001-0002"</formula>
    </cfRule>
  </conditionalFormatting>
  <conditionalFormatting sqref="AS278">
    <cfRule type="expression" dxfId="4619" priority="380">
      <formula>IF(L278=AS278,1,0)</formula>
    </cfRule>
  </conditionalFormatting>
  <conditionalFormatting sqref="O300">
    <cfRule type="cellIs" dxfId="4618" priority="376" operator="notEqual">
      <formula>$O$298</formula>
    </cfRule>
  </conditionalFormatting>
  <conditionalFormatting sqref="AS26">
    <cfRule type="expression" dxfId="4617" priority="375">
      <formula>IF(L26=AS26,1,0)</formula>
    </cfRule>
  </conditionalFormatting>
  <conditionalFormatting sqref="F26">
    <cfRule type="cellIs" dxfId="4616" priority="372" operator="equal">
      <formula>"3-001-2214"</formula>
    </cfRule>
    <cfRule type="cellIs" dxfId="4615" priority="373" operator="equal">
      <formula>"3-001-5204"</formula>
    </cfRule>
    <cfRule type="cellIs" dxfId="4614" priority="374" operator="equal">
      <formula>"3-001-0002"</formula>
    </cfRule>
  </conditionalFormatting>
  <conditionalFormatting sqref="AS243">
    <cfRule type="expression" dxfId="4613" priority="371">
      <formula>IF(L243=AS243,1,0)</formula>
    </cfRule>
  </conditionalFormatting>
  <conditionalFormatting sqref="F243">
    <cfRule type="cellIs" dxfId="4612" priority="368" operator="equal">
      <formula>"3-001-2214"</formula>
    </cfRule>
    <cfRule type="cellIs" dxfId="4611" priority="369" operator="equal">
      <formula>"3-001-5204"</formula>
    </cfRule>
    <cfRule type="cellIs" dxfId="4610" priority="370" operator="equal">
      <formula>"3-001-0002"</formula>
    </cfRule>
  </conditionalFormatting>
  <conditionalFormatting sqref="F249">
    <cfRule type="cellIs" dxfId="4609" priority="364" operator="equal">
      <formula>"3-001-2214"</formula>
    </cfRule>
    <cfRule type="cellIs" dxfId="4608" priority="365" operator="equal">
      <formula>"3-001-5204"</formula>
    </cfRule>
    <cfRule type="cellIs" dxfId="4607" priority="366" operator="equal">
      <formula>"3-001-0002"</formula>
    </cfRule>
  </conditionalFormatting>
  <conditionalFormatting sqref="AS249">
    <cfRule type="expression" dxfId="4606" priority="367">
      <formula>IF(L249=AS249,1,0)</formula>
    </cfRule>
  </conditionalFormatting>
  <conditionalFormatting sqref="F244">
    <cfRule type="cellIs" dxfId="4605" priority="360" operator="equal">
      <formula>"3-001-2214"</formula>
    </cfRule>
    <cfRule type="cellIs" dxfId="4604" priority="361" operator="equal">
      <formula>"3-001-5204"</formula>
    </cfRule>
    <cfRule type="cellIs" dxfId="4603" priority="362" operator="equal">
      <formula>"3-001-0002"</formula>
    </cfRule>
  </conditionalFormatting>
  <conditionalFormatting sqref="AS244">
    <cfRule type="expression" dxfId="4602" priority="363">
      <formula>IF(L244=AS244,1,0)</formula>
    </cfRule>
  </conditionalFormatting>
  <conditionalFormatting sqref="F245">
    <cfRule type="cellIs" dxfId="4601" priority="356" operator="equal">
      <formula>"3-001-2214"</formula>
    </cfRule>
    <cfRule type="cellIs" dxfId="4600" priority="357" operator="equal">
      <formula>"3-001-5204"</formula>
    </cfRule>
    <cfRule type="cellIs" dxfId="4599" priority="358" operator="equal">
      <formula>"3-001-0002"</formula>
    </cfRule>
  </conditionalFormatting>
  <conditionalFormatting sqref="AS245">
    <cfRule type="expression" dxfId="4598" priority="359">
      <formula>IF(L245=AS245,1,0)</formula>
    </cfRule>
  </conditionalFormatting>
  <conditionalFormatting sqref="AS25">
    <cfRule type="expression" dxfId="4597" priority="355">
      <formula>IF(L25=AS25,1,0)</formula>
    </cfRule>
  </conditionalFormatting>
  <conditionalFormatting sqref="F25">
    <cfRule type="cellIs" dxfId="4596" priority="352" operator="equal">
      <formula>"3-001-2214"</formula>
    </cfRule>
    <cfRule type="cellIs" dxfId="4595" priority="353" operator="equal">
      <formula>"3-001-5204"</formula>
    </cfRule>
    <cfRule type="cellIs" dxfId="4594" priority="354" operator="equal">
      <formula>"3-001-0002"</formula>
    </cfRule>
  </conditionalFormatting>
  <conditionalFormatting sqref="AS24">
    <cfRule type="expression" dxfId="4593" priority="351">
      <formula>IF(L24=AS24,1,0)</formula>
    </cfRule>
  </conditionalFormatting>
  <conditionalFormatting sqref="F24">
    <cfRule type="cellIs" dxfId="4592" priority="348" operator="equal">
      <formula>"3-001-2214"</formula>
    </cfRule>
    <cfRule type="cellIs" dxfId="4591" priority="349" operator="equal">
      <formula>"3-001-5204"</formula>
    </cfRule>
    <cfRule type="cellIs" dxfId="4590" priority="350" operator="equal">
      <formula>"3-001-0002"</formula>
    </cfRule>
  </conditionalFormatting>
  <conditionalFormatting sqref="F82">
    <cfRule type="cellIs" dxfId="4589" priority="344" operator="equal">
      <formula>"3-001-2214"</formula>
    </cfRule>
    <cfRule type="cellIs" dxfId="4588" priority="345" operator="equal">
      <formula>"3-001-5204"</formula>
    </cfRule>
    <cfRule type="cellIs" dxfId="4587" priority="346" operator="equal">
      <formula>"3-001-0002"</formula>
    </cfRule>
  </conditionalFormatting>
  <conditionalFormatting sqref="AS82">
    <cfRule type="expression" dxfId="4586" priority="347">
      <formula>IF(L82=AS82,1,0)</formula>
    </cfRule>
  </conditionalFormatting>
  <conditionalFormatting sqref="F83">
    <cfRule type="cellIs" dxfId="4585" priority="340" operator="equal">
      <formula>"3-001-2214"</formula>
    </cfRule>
    <cfRule type="cellIs" dxfId="4584" priority="341" operator="equal">
      <formula>"3-001-5204"</formula>
    </cfRule>
    <cfRule type="cellIs" dxfId="4583" priority="342" operator="equal">
      <formula>"3-001-0002"</formula>
    </cfRule>
  </conditionalFormatting>
  <conditionalFormatting sqref="AS83">
    <cfRule type="expression" dxfId="4582" priority="343">
      <formula>IF(L83=AS83,1,0)</formula>
    </cfRule>
  </conditionalFormatting>
  <conditionalFormatting sqref="F84">
    <cfRule type="cellIs" dxfId="4581" priority="336" operator="equal">
      <formula>"3-001-2214"</formula>
    </cfRule>
    <cfRule type="cellIs" dxfId="4580" priority="337" operator="equal">
      <formula>"3-001-5204"</formula>
    </cfRule>
    <cfRule type="cellIs" dxfId="4579" priority="338" operator="equal">
      <formula>"3-001-0002"</formula>
    </cfRule>
  </conditionalFormatting>
  <conditionalFormatting sqref="AS84">
    <cfRule type="expression" dxfId="4578" priority="339">
      <formula>IF(L84=AS84,1,0)</formula>
    </cfRule>
  </conditionalFormatting>
  <conditionalFormatting sqref="F123">
    <cfRule type="cellIs" dxfId="4577" priority="332" operator="equal">
      <formula>"3-001-2214"</formula>
    </cfRule>
    <cfRule type="cellIs" dxfId="4576" priority="333" operator="equal">
      <formula>"3-001-5204"</formula>
    </cfRule>
    <cfRule type="cellIs" dxfId="4575" priority="334" operator="equal">
      <formula>"3-001-0002"</formula>
    </cfRule>
  </conditionalFormatting>
  <conditionalFormatting sqref="AS123">
    <cfRule type="expression" dxfId="4574" priority="335">
      <formula>IF(L123=AS123,1,0)</formula>
    </cfRule>
  </conditionalFormatting>
  <conditionalFormatting sqref="F122">
    <cfRule type="cellIs" dxfId="4573" priority="328" operator="equal">
      <formula>"3-001-2214"</formula>
    </cfRule>
    <cfRule type="cellIs" dxfId="4572" priority="329" operator="equal">
      <formula>"3-001-5204"</formula>
    </cfRule>
    <cfRule type="cellIs" dxfId="4571" priority="330" operator="equal">
      <formula>"3-001-0002"</formula>
    </cfRule>
  </conditionalFormatting>
  <conditionalFormatting sqref="AS122">
    <cfRule type="expression" dxfId="4570" priority="331">
      <formula>IF(L122=AS122,1,0)</formula>
    </cfRule>
  </conditionalFormatting>
  <conditionalFormatting sqref="F124">
    <cfRule type="cellIs" dxfId="4569" priority="324" operator="equal">
      <formula>"3-001-2214"</formula>
    </cfRule>
    <cfRule type="cellIs" dxfId="4568" priority="325" operator="equal">
      <formula>"3-001-5204"</formula>
    </cfRule>
    <cfRule type="cellIs" dxfId="4567" priority="326" operator="equal">
      <formula>"3-001-0002"</formula>
    </cfRule>
  </conditionalFormatting>
  <conditionalFormatting sqref="AS124">
    <cfRule type="expression" dxfId="4566" priority="327">
      <formula>IF(L124=AS124,1,0)</formula>
    </cfRule>
  </conditionalFormatting>
  <conditionalFormatting sqref="F125">
    <cfRule type="cellIs" dxfId="4565" priority="320" operator="equal">
      <formula>"3-001-2214"</formula>
    </cfRule>
    <cfRule type="cellIs" dxfId="4564" priority="321" operator="equal">
      <formula>"3-001-5204"</formula>
    </cfRule>
    <cfRule type="cellIs" dxfId="4563" priority="322" operator="equal">
      <formula>"3-001-0002"</formula>
    </cfRule>
  </conditionalFormatting>
  <conditionalFormatting sqref="AS125">
    <cfRule type="expression" dxfId="4562" priority="323">
      <formula>IF(L125=AS125,1,0)</formula>
    </cfRule>
  </conditionalFormatting>
  <conditionalFormatting sqref="F126">
    <cfRule type="cellIs" dxfId="4561" priority="316" operator="equal">
      <formula>"3-001-2214"</formula>
    </cfRule>
    <cfRule type="cellIs" dxfId="4560" priority="317" operator="equal">
      <formula>"3-001-5204"</formula>
    </cfRule>
    <cfRule type="cellIs" dxfId="4559" priority="318" operator="equal">
      <formula>"3-001-0002"</formula>
    </cfRule>
  </conditionalFormatting>
  <conditionalFormatting sqref="AS126">
    <cfRule type="expression" dxfId="4558" priority="319">
      <formula>IF(L126=AS126,1,0)</formula>
    </cfRule>
  </conditionalFormatting>
  <conditionalFormatting sqref="F127">
    <cfRule type="cellIs" dxfId="4557" priority="312" operator="equal">
      <formula>"3-001-2214"</formula>
    </cfRule>
    <cfRule type="cellIs" dxfId="4556" priority="313" operator="equal">
      <formula>"3-001-5204"</formula>
    </cfRule>
    <cfRule type="cellIs" dxfId="4555" priority="314" operator="equal">
      <formula>"3-001-0002"</formula>
    </cfRule>
  </conditionalFormatting>
  <conditionalFormatting sqref="AS127">
    <cfRule type="expression" dxfId="4554" priority="315">
      <formula>IF(L127=AS127,1,0)</formula>
    </cfRule>
  </conditionalFormatting>
  <conditionalFormatting sqref="AS208">
    <cfRule type="expression" dxfId="4553" priority="311">
      <formula>IF(L208=AS208,1,0)</formula>
    </cfRule>
  </conditionalFormatting>
  <conditionalFormatting sqref="F208">
    <cfRule type="cellIs" dxfId="4552" priority="308" operator="equal">
      <formula>"3-001-2214"</formula>
    </cfRule>
    <cfRule type="cellIs" dxfId="4551" priority="309" operator="equal">
      <formula>"3-001-5204"</formula>
    </cfRule>
    <cfRule type="cellIs" dxfId="4550" priority="310" operator="equal">
      <formula>"3-001-0002"</formula>
    </cfRule>
  </conditionalFormatting>
  <conditionalFormatting sqref="AS235">
    <cfRule type="expression" dxfId="4549" priority="303">
      <formula>IF(L235=AS235,1,0)</formula>
    </cfRule>
  </conditionalFormatting>
  <conditionalFormatting sqref="F235">
    <cfRule type="cellIs" dxfId="4548" priority="300" operator="equal">
      <formula>"3-001-2214"</formula>
    </cfRule>
    <cfRule type="cellIs" dxfId="4547" priority="301" operator="equal">
      <formula>"3-001-5204"</formula>
    </cfRule>
    <cfRule type="cellIs" dxfId="4546" priority="302" operator="equal">
      <formula>"3-001-0002"</formula>
    </cfRule>
  </conditionalFormatting>
  <conditionalFormatting sqref="F227">
    <cfRule type="cellIs" dxfId="4545" priority="296" operator="equal">
      <formula>"3-001-2214"</formula>
    </cfRule>
    <cfRule type="cellIs" dxfId="4544" priority="297" operator="equal">
      <formula>"3-001-5204"</formula>
    </cfRule>
    <cfRule type="cellIs" dxfId="4543" priority="298" operator="equal">
      <formula>"3-001-0002"</formula>
    </cfRule>
  </conditionalFormatting>
  <conditionalFormatting sqref="AS227">
    <cfRule type="expression" dxfId="4542" priority="299">
      <formula>IF(L227=AS227,1,0)</formula>
    </cfRule>
  </conditionalFormatting>
  <conditionalFormatting sqref="F282">
    <cfRule type="cellIs" dxfId="4541" priority="292" operator="equal">
      <formula>"3-001-2214"</formula>
    </cfRule>
    <cfRule type="cellIs" dxfId="4540" priority="293" operator="equal">
      <formula>"3-001-5204"</formula>
    </cfRule>
    <cfRule type="cellIs" dxfId="4539" priority="294" operator="equal">
      <formula>"3-001-0002"</formula>
    </cfRule>
  </conditionalFormatting>
  <conditionalFormatting sqref="AS282">
    <cfRule type="expression" dxfId="4538" priority="295">
      <formula>IF(L282=AS282,1,0)</formula>
    </cfRule>
  </conditionalFormatting>
  <conditionalFormatting sqref="F129">
    <cfRule type="cellIs" dxfId="4537" priority="288" operator="equal">
      <formula>"3-001-2214"</formula>
    </cfRule>
    <cfRule type="cellIs" dxfId="4536" priority="289" operator="equal">
      <formula>"3-001-5204"</formula>
    </cfRule>
    <cfRule type="cellIs" dxfId="4535" priority="290" operator="equal">
      <formula>"3-001-0002"</formula>
    </cfRule>
  </conditionalFormatting>
  <conditionalFormatting sqref="AS129">
    <cfRule type="expression" dxfId="4534" priority="291">
      <formula>IF(L129=AS129,1,0)</formula>
    </cfRule>
  </conditionalFormatting>
  <conditionalFormatting sqref="F133">
    <cfRule type="cellIs" dxfId="4533" priority="284" operator="equal">
      <formula>"3-001-2214"</formula>
    </cfRule>
    <cfRule type="cellIs" dxfId="4532" priority="285" operator="equal">
      <formula>"3-001-5204"</formula>
    </cfRule>
    <cfRule type="cellIs" dxfId="4531" priority="286" operator="equal">
      <formula>"3-001-0002"</formula>
    </cfRule>
  </conditionalFormatting>
  <conditionalFormatting sqref="AS133">
    <cfRule type="expression" dxfId="4530" priority="287">
      <formula>IF(L133=AS133,1,0)</formula>
    </cfRule>
  </conditionalFormatting>
  <conditionalFormatting sqref="F128">
    <cfRule type="cellIs" dxfId="4529" priority="280" operator="equal">
      <formula>"3-001-2214"</formula>
    </cfRule>
    <cfRule type="cellIs" dxfId="4528" priority="281" operator="equal">
      <formula>"3-001-5204"</formula>
    </cfRule>
    <cfRule type="cellIs" dxfId="4527" priority="282" operator="equal">
      <formula>"3-001-0002"</formula>
    </cfRule>
  </conditionalFormatting>
  <conditionalFormatting sqref="AS128">
    <cfRule type="expression" dxfId="4526" priority="283">
      <formula>IF(L128=AS128,1,0)</formula>
    </cfRule>
  </conditionalFormatting>
  <conditionalFormatting sqref="F222">
    <cfRule type="cellIs" dxfId="4525" priority="276" operator="equal">
      <formula>"3-001-2214"</formula>
    </cfRule>
    <cfRule type="cellIs" dxfId="4524" priority="277" operator="equal">
      <formula>"3-001-5204"</formula>
    </cfRule>
    <cfRule type="cellIs" dxfId="4523" priority="278" operator="equal">
      <formula>"3-001-0002"</formula>
    </cfRule>
  </conditionalFormatting>
  <conditionalFormatting sqref="AS222">
    <cfRule type="expression" dxfId="4522" priority="279">
      <formula>IF(L222=AS222,1,0)</formula>
    </cfRule>
  </conditionalFormatting>
  <conditionalFormatting sqref="AS62">
    <cfRule type="expression" dxfId="4521" priority="275">
      <formula>IF(L62=AS62,1,0)</formula>
    </cfRule>
  </conditionalFormatting>
  <conditionalFormatting sqref="F62">
    <cfRule type="cellIs" dxfId="4520" priority="272" operator="equal">
      <formula>"3-001-2214"</formula>
    </cfRule>
    <cfRule type="cellIs" dxfId="4519" priority="273" operator="equal">
      <formula>"3-001-5204"</formula>
    </cfRule>
    <cfRule type="cellIs" dxfId="4518" priority="274" operator="equal">
      <formula>"3-001-0002"</formula>
    </cfRule>
  </conditionalFormatting>
  <conditionalFormatting sqref="F63">
    <cfRule type="cellIs" dxfId="4517" priority="264" operator="equal">
      <formula>"3-001-2214"</formula>
    </cfRule>
    <cfRule type="cellIs" dxfId="4516" priority="265" operator="equal">
      <formula>"3-001-5204"</formula>
    </cfRule>
    <cfRule type="cellIs" dxfId="4515" priority="266" operator="equal">
      <formula>"3-001-0002"</formula>
    </cfRule>
  </conditionalFormatting>
  <conditionalFormatting sqref="AS63">
    <cfRule type="expression" dxfId="4514" priority="267">
      <formula>IF(L63=AS63,1,0)</formula>
    </cfRule>
  </conditionalFormatting>
  <conditionalFormatting sqref="F64">
    <cfRule type="cellIs" dxfId="4513" priority="268" operator="equal">
      <formula>"3-001-2214"</formula>
    </cfRule>
    <cfRule type="cellIs" dxfId="4512" priority="269" operator="equal">
      <formula>"3-001-5204"</formula>
    </cfRule>
    <cfRule type="cellIs" dxfId="4511" priority="270" operator="equal">
      <formula>"3-001-0002"</formula>
    </cfRule>
  </conditionalFormatting>
  <conditionalFormatting sqref="AS64">
    <cfRule type="expression" dxfId="4510" priority="271">
      <formula>IF(L64=AS64,1,0)</formula>
    </cfRule>
  </conditionalFormatting>
  <conditionalFormatting sqref="AS59">
    <cfRule type="expression" dxfId="4509" priority="259">
      <formula>IF(L59=AS59,1,0)</formula>
    </cfRule>
  </conditionalFormatting>
  <conditionalFormatting sqref="F59">
    <cfRule type="cellIs" dxfId="4508" priority="256" operator="equal">
      <formula>"3-001-2214"</formula>
    </cfRule>
    <cfRule type="cellIs" dxfId="4507" priority="257" operator="equal">
      <formula>"3-001-5204"</formula>
    </cfRule>
    <cfRule type="cellIs" dxfId="4506" priority="258" operator="equal">
      <formula>"3-001-0002"</formula>
    </cfRule>
  </conditionalFormatting>
  <conditionalFormatting sqref="AS58">
    <cfRule type="expression" dxfId="4505" priority="255">
      <formula>IF(L58=AS58,1,0)</formula>
    </cfRule>
  </conditionalFormatting>
  <conditionalFormatting sqref="F58">
    <cfRule type="cellIs" dxfId="4504" priority="252" operator="equal">
      <formula>"3-001-2214"</formula>
    </cfRule>
    <cfRule type="cellIs" dxfId="4503" priority="253" operator="equal">
      <formula>"3-001-5204"</formula>
    </cfRule>
    <cfRule type="cellIs" dxfId="4502" priority="254" operator="equal">
      <formula>"3-001-0002"</formula>
    </cfRule>
  </conditionalFormatting>
  <conditionalFormatting sqref="F233">
    <cfRule type="cellIs" dxfId="4501" priority="248" operator="equal">
      <formula>"3-001-2214"</formula>
    </cfRule>
    <cfRule type="cellIs" dxfId="4500" priority="249" operator="equal">
      <formula>"3-001-5204"</formula>
    </cfRule>
    <cfRule type="cellIs" dxfId="4499" priority="250" operator="equal">
      <formula>"3-001-0002"</formula>
    </cfRule>
  </conditionalFormatting>
  <conditionalFormatting sqref="AS233">
    <cfRule type="expression" dxfId="4498" priority="251">
      <formula>IF(L233=AS233,1,0)</formula>
    </cfRule>
  </conditionalFormatting>
  <conditionalFormatting sqref="F234">
    <cfRule type="cellIs" dxfId="4497" priority="244" operator="equal">
      <formula>"3-001-2214"</formula>
    </cfRule>
    <cfRule type="cellIs" dxfId="4496" priority="245" operator="equal">
      <formula>"3-001-5204"</formula>
    </cfRule>
    <cfRule type="cellIs" dxfId="4495" priority="246" operator="equal">
      <formula>"3-001-0002"</formula>
    </cfRule>
  </conditionalFormatting>
  <conditionalFormatting sqref="AS234">
    <cfRule type="expression" dxfId="4494" priority="247">
      <formula>IF(L234=AS234,1,0)</formula>
    </cfRule>
  </conditionalFormatting>
  <conditionalFormatting sqref="F246">
    <cfRule type="cellIs" dxfId="4493" priority="240" operator="equal">
      <formula>"3-001-2214"</formula>
    </cfRule>
    <cfRule type="cellIs" dxfId="4492" priority="241" operator="equal">
      <formula>"3-001-5204"</formula>
    </cfRule>
    <cfRule type="cellIs" dxfId="4491" priority="242" operator="equal">
      <formula>"3-001-0002"</formula>
    </cfRule>
  </conditionalFormatting>
  <conditionalFormatting sqref="AS246">
    <cfRule type="expression" dxfId="4490" priority="243">
      <formula>IF(L246=AS246,1,0)</formula>
    </cfRule>
  </conditionalFormatting>
  <conditionalFormatting sqref="F279">
    <cfRule type="cellIs" dxfId="4489" priority="236" operator="equal">
      <formula>"3-001-2214"</formula>
    </cfRule>
    <cfRule type="cellIs" dxfId="4488" priority="237" operator="equal">
      <formula>"3-001-5204"</formula>
    </cfRule>
    <cfRule type="cellIs" dxfId="4487" priority="238" operator="equal">
      <formula>"3-001-0002"</formula>
    </cfRule>
  </conditionalFormatting>
  <conditionalFormatting sqref="AS279">
    <cfRule type="expression" dxfId="4486" priority="239">
      <formula>IF(L279=AS279,1,0)</formula>
    </cfRule>
  </conditionalFormatting>
  <conditionalFormatting sqref="F255">
    <cfRule type="cellIs" dxfId="4485" priority="232" operator="equal">
      <formula>"3-001-2214"</formula>
    </cfRule>
    <cfRule type="cellIs" dxfId="4484" priority="233" operator="equal">
      <formula>"3-001-5204"</formula>
    </cfRule>
    <cfRule type="cellIs" dxfId="4483" priority="234" operator="equal">
      <formula>"3-001-0002"</formula>
    </cfRule>
  </conditionalFormatting>
  <conditionalFormatting sqref="AS255">
    <cfRule type="expression" dxfId="4482" priority="235">
      <formula>IF(L255=AS255,1,0)</formula>
    </cfRule>
  </conditionalFormatting>
  <conditionalFormatting sqref="F284">
    <cfRule type="cellIs" dxfId="4481" priority="228" operator="equal">
      <formula>"3-001-2214"</formula>
    </cfRule>
    <cfRule type="cellIs" dxfId="4480" priority="229" operator="equal">
      <formula>"3-001-5204"</formula>
    </cfRule>
    <cfRule type="cellIs" dxfId="4479" priority="230" operator="equal">
      <formula>"3-001-0002"</formula>
    </cfRule>
  </conditionalFormatting>
  <conditionalFormatting sqref="AS284">
    <cfRule type="expression" dxfId="4478" priority="231">
      <formula>IF(L284=AS284,1,0)</formula>
    </cfRule>
  </conditionalFormatting>
  <conditionalFormatting sqref="AS270">
    <cfRule type="expression" dxfId="4477" priority="227">
      <formula>IF(L270=AS270,1,0)</formula>
    </cfRule>
  </conditionalFormatting>
  <conditionalFormatting sqref="F270">
    <cfRule type="cellIs" dxfId="4476" priority="224" operator="equal">
      <formula>"3-001-2214"</formula>
    </cfRule>
    <cfRule type="cellIs" dxfId="4475" priority="225" operator="equal">
      <formula>"3-001-5204"</formula>
    </cfRule>
    <cfRule type="cellIs" dxfId="4474" priority="226" operator="equal">
      <formula>"3-001-0002"</formula>
    </cfRule>
  </conditionalFormatting>
  <conditionalFormatting sqref="AS158">
    <cfRule type="expression" dxfId="4473" priority="223">
      <formula>IF(L158=AS158,1,0)</formula>
    </cfRule>
  </conditionalFormatting>
  <conditionalFormatting sqref="F158">
    <cfRule type="cellIs" dxfId="4472" priority="220" operator="equal">
      <formula>"3-001-2214"</formula>
    </cfRule>
    <cfRule type="cellIs" dxfId="4471" priority="221" operator="equal">
      <formula>"3-001-5204"</formula>
    </cfRule>
    <cfRule type="cellIs" dxfId="4470" priority="222" operator="equal">
      <formula>"3-001-0002"</formula>
    </cfRule>
  </conditionalFormatting>
  <conditionalFormatting sqref="F247">
    <cfRule type="cellIs" dxfId="4469" priority="216" operator="equal">
      <formula>"3-001-2214"</formula>
    </cfRule>
    <cfRule type="cellIs" dxfId="4468" priority="217" operator="equal">
      <formula>"3-001-5204"</formula>
    </cfRule>
    <cfRule type="cellIs" dxfId="4467" priority="218" operator="equal">
      <formula>"3-001-0002"</formula>
    </cfRule>
  </conditionalFormatting>
  <conditionalFormatting sqref="AS247">
    <cfRule type="expression" dxfId="4466" priority="219">
      <formula>IF(L247=AS247,1,0)</formula>
    </cfRule>
  </conditionalFormatting>
  <conditionalFormatting sqref="F21">
    <cfRule type="cellIs" dxfId="4465" priority="213" operator="equal">
      <formula>"3-001-2214"</formula>
    </cfRule>
    <cfRule type="cellIs" dxfId="4464" priority="214" operator="equal">
      <formula>"3-001-5204"</formula>
    </cfRule>
    <cfRule type="cellIs" dxfId="4463" priority="215" operator="equal">
      <formula>"3-001-0002"</formula>
    </cfRule>
  </conditionalFormatting>
  <conditionalFormatting sqref="AS61">
    <cfRule type="expression" dxfId="4462" priority="212">
      <formula>IF(L61=AS61,1,0)</formula>
    </cfRule>
  </conditionalFormatting>
  <conditionalFormatting sqref="F61">
    <cfRule type="cellIs" dxfId="4461" priority="209" operator="equal">
      <formula>"3-001-2214"</formula>
    </cfRule>
    <cfRule type="cellIs" dxfId="4460" priority="210" operator="equal">
      <formula>"3-001-5204"</formula>
    </cfRule>
    <cfRule type="cellIs" dxfId="4459" priority="211" operator="equal">
      <formula>"3-001-0002"</formula>
    </cfRule>
  </conditionalFormatting>
  <conditionalFormatting sqref="AS272">
    <cfRule type="expression" dxfId="4458" priority="208">
      <formula>IF(L272=AS272,1,0)</formula>
    </cfRule>
  </conditionalFormatting>
  <conditionalFormatting sqref="F272">
    <cfRule type="cellIs" dxfId="4457" priority="205" operator="equal">
      <formula>"3-001-2214"</formula>
    </cfRule>
    <cfRule type="cellIs" dxfId="4456" priority="206" operator="equal">
      <formula>"3-001-5204"</formula>
    </cfRule>
    <cfRule type="cellIs" dxfId="4455" priority="207" operator="equal">
      <formula>"3-001-0002"</formula>
    </cfRule>
  </conditionalFormatting>
  <conditionalFormatting sqref="AS271">
    <cfRule type="expression" dxfId="4454" priority="204">
      <formula>IF(L271=AS271,1,0)</formula>
    </cfRule>
  </conditionalFormatting>
  <conditionalFormatting sqref="F271">
    <cfRule type="cellIs" dxfId="4453" priority="201" operator="equal">
      <formula>"3-001-2214"</formula>
    </cfRule>
    <cfRule type="cellIs" dxfId="4452" priority="202" operator="equal">
      <formula>"3-001-5204"</formula>
    </cfRule>
    <cfRule type="cellIs" dxfId="4451" priority="203" operator="equal">
      <formula>"3-001-0002"</formula>
    </cfRule>
  </conditionalFormatting>
  <conditionalFormatting sqref="AS207">
    <cfRule type="expression" dxfId="4450" priority="200">
      <formula>IF(L207=AS207,1,0)</formula>
    </cfRule>
  </conditionalFormatting>
  <conditionalFormatting sqref="F207">
    <cfRule type="cellIs" dxfId="4449" priority="197" operator="equal">
      <formula>"3-001-2214"</formula>
    </cfRule>
    <cfRule type="cellIs" dxfId="4448" priority="198" operator="equal">
      <formula>"3-001-5204"</formula>
    </cfRule>
    <cfRule type="cellIs" dxfId="4447" priority="199" operator="equal">
      <formula>"3-001-0002"</formula>
    </cfRule>
  </conditionalFormatting>
  <conditionalFormatting sqref="F285">
    <cfRule type="cellIs" dxfId="4446" priority="193" operator="equal">
      <formula>"3-001-2214"</formula>
    </cfRule>
    <cfRule type="cellIs" dxfId="4445" priority="194" operator="equal">
      <formula>"3-001-5204"</formula>
    </cfRule>
    <cfRule type="cellIs" dxfId="4444" priority="195" operator="equal">
      <formula>"3-001-0002"</formula>
    </cfRule>
  </conditionalFormatting>
  <conditionalFormatting sqref="AS285">
    <cfRule type="expression" dxfId="4443" priority="196">
      <formula>IF(L285=AS285,1,0)</formula>
    </cfRule>
  </conditionalFormatting>
  <conditionalFormatting sqref="AS209">
    <cfRule type="expression" dxfId="4442" priority="192">
      <formula>IF(L209=AS209,1,0)</formula>
    </cfRule>
  </conditionalFormatting>
  <conditionalFormatting sqref="F209">
    <cfRule type="cellIs" dxfId="4441" priority="189" operator="equal">
      <formula>"3-001-2214"</formula>
    </cfRule>
    <cfRule type="cellIs" dxfId="4440" priority="190" operator="equal">
      <formula>"3-001-5204"</formula>
    </cfRule>
    <cfRule type="cellIs" dxfId="4439" priority="191" operator="equal">
      <formula>"3-001-0002"</formula>
    </cfRule>
  </conditionalFormatting>
  <conditionalFormatting sqref="F283">
    <cfRule type="cellIs" dxfId="4438" priority="185" operator="equal">
      <formula>"3-001-2214"</formula>
    </cfRule>
    <cfRule type="cellIs" dxfId="4437" priority="186" operator="equal">
      <formula>"3-001-5204"</formula>
    </cfRule>
    <cfRule type="cellIs" dxfId="4436" priority="187" operator="equal">
      <formula>"3-001-0002"</formula>
    </cfRule>
  </conditionalFormatting>
  <conditionalFormatting sqref="AS283">
    <cfRule type="expression" dxfId="4435" priority="188">
      <formula>IF(L283=AS283,1,0)</formula>
    </cfRule>
  </conditionalFormatting>
  <conditionalFormatting sqref="AS264">
    <cfRule type="expression" dxfId="4434" priority="176">
      <formula>IF(L264=AS264,1,0)</formula>
    </cfRule>
  </conditionalFormatting>
  <conditionalFormatting sqref="AS263">
    <cfRule type="expression" dxfId="4433" priority="172">
      <formula>IF(L263=AS263,1,0)</formula>
    </cfRule>
  </conditionalFormatting>
  <conditionalFormatting sqref="F263">
    <cfRule type="cellIs" dxfId="4432" priority="169" operator="equal">
      <formula>"3-001-2214"</formula>
    </cfRule>
    <cfRule type="cellIs" dxfId="4431" priority="170" operator="equal">
      <formula>"3-001-5204"</formula>
    </cfRule>
    <cfRule type="cellIs" dxfId="4430" priority="171" operator="equal">
      <formula>"3-001-0002"</formula>
    </cfRule>
  </conditionalFormatting>
  <conditionalFormatting sqref="F264">
    <cfRule type="cellIs" dxfId="4429" priority="162" operator="equal">
      <formula>"3-001-2214"</formula>
    </cfRule>
    <cfRule type="cellIs" dxfId="4428" priority="163" operator="equal">
      <formula>"3-001-5204"</formula>
    </cfRule>
    <cfRule type="cellIs" dxfId="4427" priority="164" operator="equal">
      <formula>"3-001-0002"</formula>
    </cfRule>
  </conditionalFormatting>
  <conditionalFormatting sqref="AS266">
    <cfRule type="expression" dxfId="4426" priority="158">
      <formula>IF(L266=AS266,1,0)</formula>
    </cfRule>
  </conditionalFormatting>
  <conditionalFormatting sqref="F266">
    <cfRule type="cellIs" dxfId="4425" priority="155" operator="equal">
      <formula>"3-001-2214"</formula>
    </cfRule>
    <cfRule type="cellIs" dxfId="4424" priority="156" operator="equal">
      <formula>"3-001-5204"</formula>
    </cfRule>
    <cfRule type="cellIs" dxfId="4423" priority="157" operator="equal">
      <formula>"3-001-0002"</formula>
    </cfRule>
  </conditionalFormatting>
  <conditionalFormatting sqref="F286">
    <cfRule type="cellIs" dxfId="4422" priority="151" operator="equal">
      <formula>"3-001-2214"</formula>
    </cfRule>
    <cfRule type="cellIs" dxfId="4421" priority="152" operator="equal">
      <formula>"3-001-5204"</formula>
    </cfRule>
    <cfRule type="cellIs" dxfId="4420" priority="153" operator="equal">
      <formula>"3-001-0002"</formula>
    </cfRule>
  </conditionalFormatting>
  <conditionalFormatting sqref="AS286">
    <cfRule type="expression" dxfId="4419" priority="154">
      <formula>IF(L286=AS286,1,0)</formula>
    </cfRule>
  </conditionalFormatting>
  <conditionalFormatting sqref="AS159">
    <cfRule type="expression" dxfId="4418" priority="150">
      <formula>IF(L159=AS159,1,0)</formula>
    </cfRule>
  </conditionalFormatting>
  <conditionalFormatting sqref="F159">
    <cfRule type="cellIs" dxfId="4417" priority="147" operator="equal">
      <formula>"3-001-2214"</formula>
    </cfRule>
    <cfRule type="cellIs" dxfId="4416" priority="148" operator="equal">
      <formula>"3-001-5204"</formula>
    </cfRule>
    <cfRule type="cellIs" dxfId="4415" priority="149" operator="equal">
      <formula>"3-001-0002"</formula>
    </cfRule>
  </conditionalFormatting>
  <conditionalFormatting sqref="AS273">
    <cfRule type="expression" dxfId="4414" priority="146">
      <formula>IF(L273=AS273,1,0)</formula>
    </cfRule>
  </conditionalFormatting>
  <conditionalFormatting sqref="F273">
    <cfRule type="cellIs" dxfId="4413" priority="143" operator="equal">
      <formula>"3-001-2214"</formula>
    </cfRule>
    <cfRule type="cellIs" dxfId="4412" priority="144" operator="equal">
      <formula>"3-001-5204"</formula>
    </cfRule>
    <cfRule type="cellIs" dxfId="4411" priority="145" operator="equal">
      <formula>"3-001-0002"</formula>
    </cfRule>
  </conditionalFormatting>
  <conditionalFormatting sqref="AS265">
    <cfRule type="expression" dxfId="4410" priority="142">
      <formula>IF(L265=AS265,1,0)</formula>
    </cfRule>
  </conditionalFormatting>
  <conditionalFormatting sqref="F265">
    <cfRule type="cellIs" dxfId="4409" priority="139" operator="equal">
      <formula>"3-001-2214"</formula>
    </cfRule>
    <cfRule type="cellIs" dxfId="4408" priority="140" operator="equal">
      <formula>"3-001-5204"</formula>
    </cfRule>
    <cfRule type="cellIs" dxfId="4407" priority="141" operator="equal">
      <formula>"3-001-0002"</formula>
    </cfRule>
  </conditionalFormatting>
  <conditionalFormatting sqref="F139">
    <cfRule type="cellIs" dxfId="4406" priority="127" operator="equal">
      <formula>"3-001-2214"</formula>
    </cfRule>
    <cfRule type="cellIs" dxfId="4405" priority="128" operator="equal">
      <formula>"3-001-5204"</formula>
    </cfRule>
    <cfRule type="cellIs" dxfId="4404" priority="129" operator="equal">
      <formula>"3-001-0002"</formula>
    </cfRule>
  </conditionalFormatting>
  <conditionalFormatting sqref="AS139">
    <cfRule type="expression" dxfId="4403" priority="130">
      <formula>IF(L139=AS139,1,0)</formula>
    </cfRule>
  </conditionalFormatting>
  <conditionalFormatting sqref="F138">
    <cfRule type="cellIs" dxfId="4402" priority="123" operator="equal">
      <formula>"3-001-2214"</formula>
    </cfRule>
    <cfRule type="cellIs" dxfId="4401" priority="124" operator="equal">
      <formula>"3-001-5204"</formula>
    </cfRule>
    <cfRule type="cellIs" dxfId="4400" priority="125" operator="equal">
      <formula>"3-001-0002"</formula>
    </cfRule>
  </conditionalFormatting>
  <conditionalFormatting sqref="AS138">
    <cfRule type="expression" dxfId="4399" priority="126">
      <formula>IF(L138=AS138,1,0)</formula>
    </cfRule>
  </conditionalFormatting>
  <conditionalFormatting sqref="F137">
    <cfRule type="cellIs" dxfId="4398" priority="119" operator="equal">
      <formula>"3-001-2214"</formula>
    </cfRule>
    <cfRule type="cellIs" dxfId="4397" priority="120" operator="equal">
      <formula>"3-001-5204"</formula>
    </cfRule>
    <cfRule type="cellIs" dxfId="4396" priority="121" operator="equal">
      <formula>"3-001-0002"</formula>
    </cfRule>
  </conditionalFormatting>
  <conditionalFormatting sqref="AS137">
    <cfRule type="expression" dxfId="4395" priority="122">
      <formula>IF(L137=AS137,1,0)</formula>
    </cfRule>
  </conditionalFormatting>
  <conditionalFormatting sqref="F136">
    <cfRule type="cellIs" dxfId="4394" priority="115" operator="equal">
      <formula>"3-001-2214"</formula>
    </cfRule>
    <cfRule type="cellIs" dxfId="4393" priority="116" operator="equal">
      <formula>"3-001-5204"</formula>
    </cfRule>
    <cfRule type="cellIs" dxfId="4392" priority="117" operator="equal">
      <formula>"3-001-0002"</formula>
    </cfRule>
  </conditionalFormatting>
  <conditionalFormatting sqref="AS136">
    <cfRule type="expression" dxfId="4391" priority="118">
      <formula>IF(L136=AS136,1,0)</formula>
    </cfRule>
  </conditionalFormatting>
  <conditionalFormatting sqref="F135">
    <cfRule type="cellIs" dxfId="4390" priority="111" operator="equal">
      <formula>"3-001-2214"</formula>
    </cfRule>
    <cfRule type="cellIs" dxfId="4389" priority="112" operator="equal">
      <formula>"3-001-5204"</formula>
    </cfRule>
    <cfRule type="cellIs" dxfId="4388" priority="113" operator="equal">
      <formula>"3-001-0002"</formula>
    </cfRule>
  </conditionalFormatting>
  <conditionalFormatting sqref="AS135">
    <cfRule type="expression" dxfId="4387" priority="114">
      <formula>IF(L135=AS135,1,0)</formula>
    </cfRule>
  </conditionalFormatting>
  <conditionalFormatting sqref="F134">
    <cfRule type="cellIs" dxfId="4386" priority="103" operator="equal">
      <formula>"3-001-2214"</formula>
    </cfRule>
    <cfRule type="cellIs" dxfId="4385" priority="104" operator="equal">
      <formula>"3-001-5204"</formula>
    </cfRule>
    <cfRule type="cellIs" dxfId="4384" priority="105" operator="equal">
      <formula>"3-001-0002"</formula>
    </cfRule>
  </conditionalFormatting>
  <conditionalFormatting sqref="AS134">
    <cfRule type="expression" dxfId="4383" priority="106">
      <formula>IF(L134=AS134,1,0)</formula>
    </cfRule>
  </conditionalFormatting>
  <conditionalFormatting sqref="F287">
    <cfRule type="cellIs" dxfId="4382" priority="99" operator="equal">
      <formula>"3-001-2214"</formula>
    </cfRule>
    <cfRule type="cellIs" dxfId="4381" priority="100" operator="equal">
      <formula>"3-001-5204"</formula>
    </cfRule>
    <cfRule type="cellIs" dxfId="4380" priority="101" operator="equal">
      <formula>"3-001-0002"</formula>
    </cfRule>
  </conditionalFormatting>
  <conditionalFormatting sqref="AS287">
    <cfRule type="expression" dxfId="4379" priority="102">
      <formula>IF(L287=AS287,1,0)</formula>
    </cfRule>
  </conditionalFormatting>
  <conditionalFormatting sqref="F248">
    <cfRule type="cellIs" dxfId="4378" priority="95" operator="equal">
      <formula>"3-001-2214"</formula>
    </cfRule>
    <cfRule type="cellIs" dxfId="4377" priority="96" operator="equal">
      <formula>"3-001-5204"</formula>
    </cfRule>
    <cfRule type="cellIs" dxfId="4376" priority="97" operator="equal">
      <formula>"3-001-0002"</formula>
    </cfRule>
  </conditionalFormatting>
  <conditionalFormatting sqref="AS248">
    <cfRule type="expression" dxfId="4375" priority="98">
      <formula>IF(L248=AS248,1,0)</formula>
    </cfRule>
  </conditionalFormatting>
  <conditionalFormatting sqref="AS250">
    <cfRule type="expression" dxfId="4374" priority="94">
      <formula>IF(L250=AS250,1,0)</formula>
    </cfRule>
  </conditionalFormatting>
  <conditionalFormatting sqref="F250">
    <cfRule type="cellIs" dxfId="4373" priority="91" operator="equal">
      <formula>"3-001-2214"</formula>
    </cfRule>
    <cfRule type="cellIs" dxfId="4372" priority="92" operator="equal">
      <formula>"3-001-5204"</formula>
    </cfRule>
    <cfRule type="cellIs" dxfId="4371" priority="93" operator="equal">
      <formula>"3-001-0002"</formula>
    </cfRule>
  </conditionalFormatting>
  <conditionalFormatting sqref="F251">
    <cfRule type="cellIs" dxfId="4370" priority="87" operator="equal">
      <formula>"3-001-2214"</formula>
    </cfRule>
    <cfRule type="cellIs" dxfId="4369" priority="88" operator="equal">
      <formula>"3-001-5204"</formula>
    </cfRule>
    <cfRule type="cellIs" dxfId="4368" priority="89" operator="equal">
      <formula>"3-001-0002"</formula>
    </cfRule>
  </conditionalFormatting>
  <conditionalFormatting sqref="AS251">
    <cfRule type="expression" dxfId="4367" priority="90">
      <formula>IF(L251=AS251,1,0)</formula>
    </cfRule>
  </conditionalFormatting>
  <conditionalFormatting sqref="AS252">
    <cfRule type="expression" dxfId="4366" priority="86">
      <formula>IF(L252=AS252,1,0)</formula>
    </cfRule>
  </conditionalFormatting>
  <conditionalFormatting sqref="F252">
    <cfRule type="cellIs" dxfId="4365" priority="83" operator="equal">
      <formula>"3-001-2214"</formula>
    </cfRule>
    <cfRule type="cellIs" dxfId="4364" priority="84" operator="equal">
      <formula>"3-001-5204"</formula>
    </cfRule>
    <cfRule type="cellIs" dxfId="4363" priority="85" operator="equal">
      <formula>"3-001-0002"</formula>
    </cfRule>
  </conditionalFormatting>
  <conditionalFormatting sqref="AS297">
    <cfRule type="expression" dxfId="4362" priority="78">
      <formula>IF(L297=AS297,1,0)</formula>
    </cfRule>
  </conditionalFormatting>
  <conditionalFormatting sqref="F297">
    <cfRule type="cellIs" dxfId="4361" priority="75" operator="equal">
      <formula>"3-001-2214"</formula>
    </cfRule>
    <cfRule type="cellIs" dxfId="4360" priority="76" operator="equal">
      <formula>"3-001-5204"</formula>
    </cfRule>
    <cfRule type="cellIs" dxfId="4359" priority="77" operator="equal">
      <formula>"3-001-0002"</formula>
    </cfRule>
  </conditionalFormatting>
  <conditionalFormatting sqref="AS296">
    <cfRule type="expression" dxfId="4358" priority="70">
      <formula>IF(L296=AS296,1,0)</formula>
    </cfRule>
  </conditionalFormatting>
  <conditionalFormatting sqref="F296">
    <cfRule type="cellIs" dxfId="4357" priority="67" operator="equal">
      <formula>"3-001-2214"</formula>
    </cfRule>
    <cfRule type="cellIs" dxfId="4356" priority="68" operator="equal">
      <formula>"3-001-5204"</formula>
    </cfRule>
    <cfRule type="cellIs" dxfId="4355" priority="69" operator="equal">
      <formula>"3-001-0002"</formula>
    </cfRule>
  </conditionalFormatting>
  <conditionalFormatting sqref="AS295">
    <cfRule type="expression" dxfId="4354" priority="66">
      <formula>IF(L295=AS295,1,0)</formula>
    </cfRule>
  </conditionalFormatting>
  <conditionalFormatting sqref="F295">
    <cfRule type="cellIs" dxfId="4353" priority="63" operator="equal">
      <formula>"3-001-2214"</formula>
    </cfRule>
    <cfRule type="cellIs" dxfId="4352" priority="64" operator="equal">
      <formula>"3-001-5204"</formula>
    </cfRule>
    <cfRule type="cellIs" dxfId="4351" priority="65" operator="equal">
      <formula>"3-001-0002"</formula>
    </cfRule>
  </conditionalFormatting>
  <conditionalFormatting sqref="F140">
    <cfRule type="cellIs" dxfId="4350" priority="59" operator="equal">
      <formula>"3-001-2214"</formula>
    </cfRule>
    <cfRule type="cellIs" dxfId="4349" priority="60" operator="equal">
      <formula>"3-001-5204"</formula>
    </cfRule>
    <cfRule type="cellIs" dxfId="4348" priority="61" operator="equal">
      <formula>"3-001-0002"</formula>
    </cfRule>
  </conditionalFormatting>
  <conditionalFormatting sqref="AS140">
    <cfRule type="expression" dxfId="4347" priority="62">
      <formula>IF(L140=AS140,1,0)</formula>
    </cfRule>
  </conditionalFormatting>
  <conditionalFormatting sqref="F186">
    <cfRule type="cellIs" dxfId="4346" priority="55" operator="equal">
      <formula>"3-001-2214"</formula>
    </cfRule>
    <cfRule type="cellIs" dxfId="4345" priority="56" operator="equal">
      <formula>"3-001-5204"</formula>
    </cfRule>
    <cfRule type="cellIs" dxfId="4344" priority="57" operator="equal">
      <formula>"3-001-0002"</formula>
    </cfRule>
  </conditionalFormatting>
  <conditionalFormatting sqref="AS186">
    <cfRule type="expression" dxfId="4343" priority="58">
      <formula>IF(L186=AS186,1,0)</formula>
    </cfRule>
  </conditionalFormatting>
  <conditionalFormatting sqref="AS187">
    <cfRule type="expression" dxfId="4342" priority="54">
      <formula>IF(L187=AS187,1,0)</formula>
    </cfRule>
  </conditionalFormatting>
  <conditionalFormatting sqref="F187">
    <cfRule type="cellIs" dxfId="4341" priority="51" operator="equal">
      <formula>"3-001-2214"</formula>
    </cfRule>
    <cfRule type="cellIs" dxfId="4340" priority="52" operator="equal">
      <formula>"3-001-5204"</formula>
    </cfRule>
    <cfRule type="cellIs" dxfId="4339" priority="53" operator="equal">
      <formula>"3-001-0002"</formula>
    </cfRule>
  </conditionalFormatting>
  <conditionalFormatting sqref="F213">
    <cfRule type="cellIs" dxfId="4338" priority="47" operator="equal">
      <formula>"3-001-2214"</formula>
    </cfRule>
    <cfRule type="cellIs" dxfId="4337" priority="48" operator="equal">
      <formula>"3-001-5204"</formula>
    </cfRule>
    <cfRule type="cellIs" dxfId="4336" priority="49" operator="equal">
      <formula>"3-001-0002"</formula>
    </cfRule>
  </conditionalFormatting>
  <conditionalFormatting sqref="AS213">
    <cfRule type="expression" dxfId="4335" priority="50">
      <formula>IF(L213=AS213,1,0)</formula>
    </cfRule>
  </conditionalFormatting>
  <conditionalFormatting sqref="AS214">
    <cfRule type="expression" dxfId="4334" priority="46">
      <formula>IF(L214=AS214,1,0)</formula>
    </cfRule>
  </conditionalFormatting>
  <conditionalFormatting sqref="F214">
    <cfRule type="cellIs" dxfId="4333" priority="43" operator="equal">
      <formula>"3-001-2214"</formula>
    </cfRule>
    <cfRule type="cellIs" dxfId="4332" priority="44" operator="equal">
      <formula>"3-001-5204"</formula>
    </cfRule>
    <cfRule type="cellIs" dxfId="4331" priority="45" operator="equal">
      <formula>"3-001-0002"</formula>
    </cfRule>
  </conditionalFormatting>
  <conditionalFormatting sqref="F89">
    <cfRule type="cellIs" dxfId="4330" priority="39" operator="equal">
      <formula>"3-001-2214"</formula>
    </cfRule>
    <cfRule type="cellIs" dxfId="4329" priority="40" operator="equal">
      <formula>"3-001-5204"</formula>
    </cfRule>
    <cfRule type="cellIs" dxfId="4328" priority="41" operator="equal">
      <formula>"3-001-0002"</formula>
    </cfRule>
  </conditionalFormatting>
  <conditionalFormatting sqref="AS89">
    <cfRule type="expression" dxfId="4327" priority="42">
      <formula>IF(L89=AS89,1,0)</formula>
    </cfRule>
  </conditionalFormatting>
  <conditionalFormatting sqref="F88">
    <cfRule type="cellIs" dxfId="4326" priority="35" operator="equal">
      <formula>"3-001-2214"</formula>
    </cfRule>
    <cfRule type="cellIs" dxfId="4325" priority="36" operator="equal">
      <formula>"3-001-5204"</formula>
    </cfRule>
    <cfRule type="cellIs" dxfId="4324" priority="37" operator="equal">
      <formula>"3-001-0002"</formula>
    </cfRule>
  </conditionalFormatting>
  <conditionalFormatting sqref="AS88">
    <cfRule type="expression" dxfId="4323" priority="38">
      <formula>IF(L88=AS88,1,0)</formula>
    </cfRule>
  </conditionalFormatting>
  <conditionalFormatting sqref="F141">
    <cfRule type="cellIs" dxfId="4322" priority="31" operator="equal">
      <formula>"3-001-2214"</formula>
    </cfRule>
    <cfRule type="cellIs" dxfId="4321" priority="32" operator="equal">
      <formula>"3-001-5204"</formula>
    </cfRule>
    <cfRule type="cellIs" dxfId="4320" priority="33" operator="equal">
      <formula>"3-001-0002"</formula>
    </cfRule>
  </conditionalFormatting>
  <conditionalFormatting sqref="AS141">
    <cfRule type="expression" dxfId="4319" priority="34">
      <formula>IF(L141=AS141,1,0)</formula>
    </cfRule>
  </conditionalFormatting>
  <conditionalFormatting sqref="AS239">
    <cfRule type="expression" dxfId="4318" priority="30">
      <formula>IF(L239=AS239,1,0)</formula>
    </cfRule>
  </conditionalFormatting>
  <conditionalFormatting sqref="F239">
    <cfRule type="cellIs" dxfId="4317" priority="27" operator="equal">
      <formula>"3-001-2214"</formula>
    </cfRule>
    <cfRule type="cellIs" dxfId="4316" priority="28" operator="equal">
      <formula>"3-001-5204"</formula>
    </cfRule>
    <cfRule type="cellIs" dxfId="4315" priority="29" operator="equal">
      <formula>"3-001-0002"</formula>
    </cfRule>
  </conditionalFormatting>
  <conditionalFormatting sqref="F240">
    <cfRule type="cellIs" dxfId="4314" priority="23" operator="equal">
      <formula>"3-001-2214"</formula>
    </cfRule>
    <cfRule type="cellIs" dxfId="4313" priority="24" operator="equal">
      <formula>"3-001-5204"</formula>
    </cfRule>
    <cfRule type="cellIs" dxfId="4312" priority="25" operator="equal">
      <formula>"3-001-0002"</formula>
    </cfRule>
  </conditionalFormatting>
  <conditionalFormatting sqref="AS240">
    <cfRule type="expression" dxfId="4311" priority="26">
      <formula>IF(L240=AS240,1,0)</formula>
    </cfRule>
  </conditionalFormatting>
  <conditionalFormatting sqref="AS241">
    <cfRule type="expression" dxfId="4310" priority="22">
      <formula>IF(L241=AS241,1,0)</formula>
    </cfRule>
  </conditionalFormatting>
  <conditionalFormatting sqref="F241">
    <cfRule type="cellIs" dxfId="4309" priority="19" operator="equal">
      <formula>"3-001-2214"</formula>
    </cfRule>
    <cfRule type="cellIs" dxfId="4308" priority="20" operator="equal">
      <formula>"3-001-5204"</formula>
    </cfRule>
    <cfRule type="cellIs" dxfId="4307" priority="21" operator="equal">
      <formula>"3-001-0002"</formula>
    </cfRule>
  </conditionalFormatting>
  <conditionalFormatting sqref="F142">
    <cfRule type="cellIs" dxfId="4306" priority="15" operator="equal">
      <formula>"3-001-2214"</formula>
    </cfRule>
    <cfRule type="cellIs" dxfId="4305" priority="16" operator="equal">
      <formula>"3-001-5204"</formula>
    </cfRule>
    <cfRule type="cellIs" dxfId="4304" priority="17" operator="equal">
      <formula>"3-001-0002"</formula>
    </cfRule>
  </conditionalFormatting>
  <conditionalFormatting sqref="AS142">
    <cfRule type="expression" dxfId="4303" priority="18">
      <formula>IF(L142=AS142,1,0)</formula>
    </cfRule>
  </conditionalFormatting>
  <conditionalFormatting sqref="AS143">
    <cfRule type="expression" dxfId="4302" priority="7">
      <formula>IF(L143=AS143,1,0)</formula>
    </cfRule>
  </conditionalFormatting>
  <conditionalFormatting sqref="F143">
    <cfRule type="cellIs" dxfId="4301" priority="1" operator="equal">
      <formula>"3-001-2214"</formula>
    </cfRule>
    <cfRule type="cellIs" dxfId="4300" priority="2" operator="equal">
      <formula>"3-001-5204"</formula>
    </cfRule>
    <cfRule type="cellIs" dxfId="4299" priority="3" operator="equal">
      <formula>"3-001-0002"</formula>
    </cfRule>
  </conditionalFormatting>
  <printOptions horizontalCentered="1"/>
  <pageMargins left="0.23622047244094491" right="0.23622047244094491" top="0.35433070866141736" bottom="0.35433070866141736" header="0.31496062992125984" footer="0.31496062992125984"/>
  <pageSetup paperSize="8" scale="23" fitToHeight="0" orientation="landscape" r:id="rId1"/>
  <headerFooter alignWithMargins="0"/>
  <legacyDrawing r:id="rId2"/>
  <extLst>
    <ext xmlns:x14="http://schemas.microsoft.com/office/spreadsheetml/2009/9/main" uri="{78C0D931-6437-407d-A8EE-F0AAD7539E65}">
      <x14:conditionalFormattings>
        <x14:conditionalFormatting xmlns:xm="http://schemas.microsoft.com/office/excel/2006/main">
          <x14:cfRule type="expression" priority="560" id="{9480A020-915A-44A9-AD38-4E3354A46AD3}">
            <xm:f>IF('добавятся в 2021'!J119='добавятся в 2021'!AP119,1,0)</xm:f>
            <x14:dxf>
              <fill>
                <patternFill>
                  <bgColor rgb="FF00B050"/>
                </patternFill>
              </fill>
            </x14:dxf>
          </x14:cfRule>
          <xm:sqref>AS164:AS169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8">
    <tabColor rgb="FF00FF00"/>
    <outlinePr summaryBelow="0" summaryRight="0"/>
    <pageSetUpPr fitToPage="1"/>
  </sheetPr>
  <dimension ref="A1:BV554"/>
  <sheetViews>
    <sheetView view="pageBreakPreview" topLeftCell="A3" zoomScale="70" zoomScaleNormal="85" zoomScaleSheetLayoutView="70" workbookViewId="0">
      <pane xSplit="48" ySplit="8" topLeftCell="BE167" activePane="bottomRight" state="frozen"/>
      <selection activeCell="D3" sqref="D3"/>
      <selection pane="topRight" activeCell="AT3" sqref="AT3"/>
      <selection pane="bottomLeft" activeCell="D11" sqref="D11"/>
      <selection pane="bottomRight" activeCell="N172" sqref="N172"/>
    </sheetView>
  </sheetViews>
  <sheetFormatPr defaultRowHeight="15.75" outlineLevelRow="2" outlineLevelCol="2"/>
  <cols>
    <col min="1" max="1" width="9.140625" style="833" customWidth="1"/>
    <col min="2" max="2" width="11" style="933" customWidth="1"/>
    <col min="3" max="3" width="5.140625" style="834" customWidth="1"/>
    <col min="4" max="4" width="6.7109375" style="835" customWidth="1"/>
    <col min="5" max="5" width="3.140625" style="833" customWidth="1"/>
    <col min="6" max="6" width="8.7109375" style="2" customWidth="1"/>
    <col min="7" max="7" width="6.5703125" style="2" customWidth="1"/>
    <col min="8" max="8" width="17.85546875" style="2" customWidth="1"/>
    <col min="9" max="9" width="6.5703125" style="2" customWidth="1"/>
    <col min="10" max="10" width="8.28515625" style="2" customWidth="1"/>
    <col min="11" max="11" width="45.140625" style="2" customWidth="1"/>
    <col min="12" max="12" width="16.5703125" style="1011" customWidth="1"/>
    <col min="13" max="13" width="13.140625" style="88" customWidth="1" outlineLevel="1"/>
    <col min="14" max="14" width="15.28515625" style="88" customWidth="1" outlineLevel="1"/>
    <col min="15" max="15" width="16.28515625" style="88" customWidth="1" outlineLevel="1" collapsed="1"/>
    <col min="16" max="16" width="16.42578125" style="326" hidden="1" customWidth="1" outlineLevel="2"/>
    <col min="17" max="17" width="17.5703125" style="88" customWidth="1" outlineLevel="1" collapsed="1"/>
    <col min="18" max="18" width="15.85546875" style="326" hidden="1" customWidth="1" outlineLevel="2"/>
    <col min="19" max="19" width="17.5703125" style="88" customWidth="1" outlineLevel="1" collapsed="1"/>
    <col min="20" max="20" width="13.7109375" style="326" hidden="1" customWidth="1" outlineLevel="2"/>
    <col min="21" max="21" width="2.85546875" style="324" customWidth="1"/>
    <col min="22" max="22" width="16.5703125" style="2" customWidth="1" outlineLevel="1"/>
    <col min="23" max="23" width="11.85546875" style="2" customWidth="1" outlineLevel="1"/>
    <col min="24" max="24" width="11.5703125" style="2" customWidth="1" outlineLevel="1"/>
    <col min="25" max="25" width="2.85546875" style="2" customWidth="1" collapsed="1"/>
    <col min="26" max="28" width="15.28515625" style="88" hidden="1" customWidth="1" outlineLevel="2"/>
    <col min="29" max="29" width="16.140625" style="88" hidden="1" customWidth="1" outlineLevel="2"/>
    <col min="30" max="30" width="15.28515625" style="88" hidden="1" customWidth="1" outlineLevel="2"/>
    <col min="31" max="31" width="15.85546875" style="88" hidden="1" customWidth="1" outlineLevel="2"/>
    <col min="32" max="37" width="15.28515625" style="88" hidden="1" customWidth="1" outlineLevel="2"/>
    <col min="38" max="38" width="2.85546875" style="274" customWidth="1" collapsed="1"/>
    <col min="39" max="39" width="15.85546875" style="88" hidden="1" customWidth="1" outlineLevel="2"/>
    <col min="40" max="40" width="15.28515625" style="88" hidden="1" customWidth="1" outlineLevel="2"/>
    <col min="41" max="42" width="15.85546875" style="88" hidden="1" customWidth="1" outlineLevel="2"/>
    <col min="43" max="43" width="15.28515625" style="88" hidden="1" customWidth="1" outlineLevel="2"/>
    <col min="44" max="44" width="16" style="88" hidden="1" customWidth="1" outlineLevel="2"/>
    <col min="45" max="45" width="15.85546875" style="88" customWidth="1" collapsed="1"/>
    <col min="46" max="46" width="16.28515625" style="88" hidden="1" customWidth="1" outlineLevel="1"/>
    <col min="47" max="47" width="16" style="88" hidden="1" customWidth="1" outlineLevel="1"/>
    <col min="48" max="48" width="14.28515625" style="1157" customWidth="1"/>
    <col min="49" max="49" width="15.28515625" style="88" customWidth="1"/>
    <col min="50" max="50" width="15.28515625" style="1102" customWidth="1"/>
    <col min="51" max="51" width="15.28515625" style="88" customWidth="1"/>
    <col min="52" max="52" width="15.28515625" style="1102" customWidth="1"/>
    <col min="53" max="53" width="16" style="88" customWidth="1"/>
    <col min="54" max="54" width="15.28515625" style="1102" customWidth="1"/>
    <col min="55" max="58" width="15.28515625" style="88" customWidth="1"/>
    <col min="59" max="59" width="16.140625" style="88" customWidth="1"/>
    <col min="60" max="60" width="15.28515625" style="88" hidden="1" customWidth="1"/>
    <col min="61" max="61" width="15.28515625" style="88" customWidth="1"/>
    <col min="62" max="62" width="15.28515625" style="88" hidden="1" customWidth="1"/>
    <col min="63" max="63" width="15.28515625" style="88" customWidth="1"/>
    <col min="64" max="64" width="15.28515625" style="88" hidden="1" customWidth="1"/>
    <col min="65" max="65" width="15.28515625" style="88" customWidth="1"/>
    <col min="66" max="66" width="15.28515625" style="88" hidden="1" customWidth="1"/>
    <col min="67" max="67" width="15.28515625" style="88" customWidth="1"/>
    <col min="68" max="68" width="15.28515625" style="88" hidden="1" customWidth="1"/>
    <col min="69" max="69" width="15.28515625" style="88" customWidth="1"/>
    <col min="70" max="70" width="15.28515625" style="88" hidden="1" customWidth="1"/>
    <col min="71" max="71" width="15.85546875" style="88" customWidth="1"/>
    <col min="72" max="72" width="15.28515625" style="88" hidden="1" customWidth="1"/>
    <col min="73" max="73" width="18.28515625" style="2" customWidth="1"/>
    <col min="74" max="87" width="15.85546875" style="2" customWidth="1"/>
    <col min="88" max="247" width="9.140625" style="2"/>
    <col min="248" max="248" width="16.28515625" style="2" customWidth="1"/>
    <col min="249" max="249" width="9.5703125" style="2" customWidth="1"/>
    <col min="250" max="250" width="25.85546875" style="2" customWidth="1"/>
    <col min="251" max="251" width="10.7109375" style="2" customWidth="1"/>
    <col min="252" max="252" width="40.42578125" style="2" customWidth="1"/>
    <col min="253" max="253" width="30.5703125" style="2" customWidth="1"/>
    <col min="254" max="254" width="16.42578125" style="2" customWidth="1"/>
    <col min="255" max="255" width="13" style="2" bestFit="1" customWidth="1"/>
    <col min="256" max="503" width="9.140625" style="2"/>
    <col min="504" max="504" width="16.28515625" style="2" customWidth="1"/>
    <col min="505" max="505" width="9.5703125" style="2" customWidth="1"/>
    <col min="506" max="506" width="25.85546875" style="2" customWidth="1"/>
    <col min="507" max="507" width="10.7109375" style="2" customWidth="1"/>
    <col min="508" max="508" width="40.42578125" style="2" customWidth="1"/>
    <col min="509" max="509" width="30.5703125" style="2" customWidth="1"/>
    <col min="510" max="510" width="16.42578125" style="2" customWidth="1"/>
    <col min="511" max="511" width="13" style="2" bestFit="1" customWidth="1"/>
    <col min="512" max="759" width="9.140625" style="2"/>
    <col min="760" max="760" width="16.28515625" style="2" customWidth="1"/>
    <col min="761" max="761" width="9.5703125" style="2" customWidth="1"/>
    <col min="762" max="762" width="25.85546875" style="2" customWidth="1"/>
    <col min="763" max="763" width="10.7109375" style="2" customWidth="1"/>
    <col min="764" max="764" width="40.42578125" style="2" customWidth="1"/>
    <col min="765" max="765" width="30.5703125" style="2" customWidth="1"/>
    <col min="766" max="766" width="16.42578125" style="2" customWidth="1"/>
    <col min="767" max="767" width="13" style="2" bestFit="1" customWidth="1"/>
    <col min="768" max="1015" width="9.140625" style="2"/>
    <col min="1016" max="1016" width="16.28515625" style="2" customWidth="1"/>
    <col min="1017" max="1017" width="9.5703125" style="2" customWidth="1"/>
    <col min="1018" max="1018" width="25.85546875" style="2" customWidth="1"/>
    <col min="1019" max="1019" width="10.7109375" style="2" customWidth="1"/>
    <col min="1020" max="1020" width="40.42578125" style="2" customWidth="1"/>
    <col min="1021" max="1021" width="30.5703125" style="2" customWidth="1"/>
    <col min="1022" max="1022" width="16.42578125" style="2" customWidth="1"/>
    <col min="1023" max="1023" width="13" style="2" bestFit="1" customWidth="1"/>
    <col min="1024" max="1271" width="9.140625" style="2"/>
    <col min="1272" max="1272" width="16.28515625" style="2" customWidth="1"/>
    <col min="1273" max="1273" width="9.5703125" style="2" customWidth="1"/>
    <col min="1274" max="1274" width="25.85546875" style="2" customWidth="1"/>
    <col min="1275" max="1275" width="10.7109375" style="2" customWidth="1"/>
    <col min="1276" max="1276" width="40.42578125" style="2" customWidth="1"/>
    <col min="1277" max="1277" width="30.5703125" style="2" customWidth="1"/>
    <col min="1278" max="1278" width="16.42578125" style="2" customWidth="1"/>
    <col min="1279" max="1279" width="13" style="2" bestFit="1" customWidth="1"/>
    <col min="1280" max="1527" width="9.140625" style="2"/>
    <col min="1528" max="1528" width="16.28515625" style="2" customWidth="1"/>
    <col min="1529" max="1529" width="9.5703125" style="2" customWidth="1"/>
    <col min="1530" max="1530" width="25.85546875" style="2" customWidth="1"/>
    <col min="1531" max="1531" width="10.7109375" style="2" customWidth="1"/>
    <col min="1532" max="1532" width="40.42578125" style="2" customWidth="1"/>
    <col min="1533" max="1533" width="30.5703125" style="2" customWidth="1"/>
    <col min="1534" max="1534" width="16.42578125" style="2" customWidth="1"/>
    <col min="1535" max="1535" width="13" style="2" bestFit="1" customWidth="1"/>
    <col min="1536" max="1783" width="9.140625" style="2"/>
    <col min="1784" max="1784" width="16.28515625" style="2" customWidth="1"/>
    <col min="1785" max="1785" width="9.5703125" style="2" customWidth="1"/>
    <col min="1786" max="1786" width="25.85546875" style="2" customWidth="1"/>
    <col min="1787" max="1787" width="10.7109375" style="2" customWidth="1"/>
    <col min="1788" max="1788" width="40.42578125" style="2" customWidth="1"/>
    <col min="1789" max="1789" width="30.5703125" style="2" customWidth="1"/>
    <col min="1790" max="1790" width="16.42578125" style="2" customWidth="1"/>
    <col min="1791" max="1791" width="13" style="2" bestFit="1" customWidth="1"/>
    <col min="1792" max="2039" width="9.140625" style="2"/>
    <col min="2040" max="2040" width="16.28515625" style="2" customWidth="1"/>
    <col min="2041" max="2041" width="9.5703125" style="2" customWidth="1"/>
    <col min="2042" max="2042" width="25.85546875" style="2" customWidth="1"/>
    <col min="2043" max="2043" width="10.7109375" style="2" customWidth="1"/>
    <col min="2044" max="2044" width="40.42578125" style="2" customWidth="1"/>
    <col min="2045" max="2045" width="30.5703125" style="2" customWidth="1"/>
    <col min="2046" max="2046" width="16.42578125" style="2" customWidth="1"/>
    <col min="2047" max="2047" width="13" style="2" bestFit="1" customWidth="1"/>
    <col min="2048" max="2295" width="9.140625" style="2"/>
    <col min="2296" max="2296" width="16.28515625" style="2" customWidth="1"/>
    <col min="2297" max="2297" width="9.5703125" style="2" customWidth="1"/>
    <col min="2298" max="2298" width="25.85546875" style="2" customWidth="1"/>
    <col min="2299" max="2299" width="10.7109375" style="2" customWidth="1"/>
    <col min="2300" max="2300" width="40.42578125" style="2" customWidth="1"/>
    <col min="2301" max="2301" width="30.5703125" style="2" customWidth="1"/>
    <col min="2302" max="2302" width="16.42578125" style="2" customWidth="1"/>
    <col min="2303" max="2303" width="13" style="2" bestFit="1" customWidth="1"/>
    <col min="2304" max="2551" width="9.140625" style="2"/>
    <col min="2552" max="2552" width="16.28515625" style="2" customWidth="1"/>
    <col min="2553" max="2553" width="9.5703125" style="2" customWidth="1"/>
    <col min="2554" max="2554" width="25.85546875" style="2" customWidth="1"/>
    <col min="2555" max="2555" width="10.7109375" style="2" customWidth="1"/>
    <col min="2556" max="2556" width="40.42578125" style="2" customWidth="1"/>
    <col min="2557" max="2557" width="30.5703125" style="2" customWidth="1"/>
    <col min="2558" max="2558" width="16.42578125" style="2" customWidth="1"/>
    <col min="2559" max="2559" width="13" style="2" bestFit="1" customWidth="1"/>
    <col min="2560" max="2807" width="9.140625" style="2"/>
    <col min="2808" max="2808" width="16.28515625" style="2" customWidth="1"/>
    <col min="2809" max="2809" width="9.5703125" style="2" customWidth="1"/>
    <col min="2810" max="2810" width="25.85546875" style="2" customWidth="1"/>
    <col min="2811" max="2811" width="10.7109375" style="2" customWidth="1"/>
    <col min="2812" max="2812" width="40.42578125" style="2" customWidth="1"/>
    <col min="2813" max="2813" width="30.5703125" style="2" customWidth="1"/>
    <col min="2814" max="2814" width="16.42578125" style="2" customWidth="1"/>
    <col min="2815" max="2815" width="13" style="2" bestFit="1" customWidth="1"/>
    <col min="2816" max="3063" width="9.140625" style="2"/>
    <col min="3064" max="3064" width="16.28515625" style="2" customWidth="1"/>
    <col min="3065" max="3065" width="9.5703125" style="2" customWidth="1"/>
    <col min="3066" max="3066" width="25.85546875" style="2" customWidth="1"/>
    <col min="3067" max="3067" width="10.7109375" style="2" customWidth="1"/>
    <col min="3068" max="3068" width="40.42578125" style="2" customWidth="1"/>
    <col min="3069" max="3069" width="30.5703125" style="2" customWidth="1"/>
    <col min="3070" max="3070" width="16.42578125" style="2" customWidth="1"/>
    <col min="3071" max="3071" width="13" style="2" bestFit="1" customWidth="1"/>
    <col min="3072" max="3319" width="9.140625" style="2"/>
    <col min="3320" max="3320" width="16.28515625" style="2" customWidth="1"/>
    <col min="3321" max="3321" width="9.5703125" style="2" customWidth="1"/>
    <col min="3322" max="3322" width="25.85546875" style="2" customWidth="1"/>
    <col min="3323" max="3323" width="10.7109375" style="2" customWidth="1"/>
    <col min="3324" max="3324" width="40.42578125" style="2" customWidth="1"/>
    <col min="3325" max="3325" width="30.5703125" style="2" customWidth="1"/>
    <col min="3326" max="3326" width="16.42578125" style="2" customWidth="1"/>
    <col min="3327" max="3327" width="13" style="2" bestFit="1" customWidth="1"/>
    <col min="3328" max="3575" width="9.140625" style="2"/>
    <col min="3576" max="3576" width="16.28515625" style="2" customWidth="1"/>
    <col min="3577" max="3577" width="9.5703125" style="2" customWidth="1"/>
    <col min="3578" max="3578" width="25.85546875" style="2" customWidth="1"/>
    <col min="3579" max="3579" width="10.7109375" style="2" customWidth="1"/>
    <col min="3580" max="3580" width="40.42578125" style="2" customWidth="1"/>
    <col min="3581" max="3581" width="30.5703125" style="2" customWidth="1"/>
    <col min="3582" max="3582" width="16.42578125" style="2" customWidth="1"/>
    <col min="3583" max="3583" width="13" style="2" bestFit="1" customWidth="1"/>
    <col min="3584" max="3831" width="9.140625" style="2"/>
    <col min="3832" max="3832" width="16.28515625" style="2" customWidth="1"/>
    <col min="3833" max="3833" width="9.5703125" style="2" customWidth="1"/>
    <col min="3834" max="3834" width="25.85546875" style="2" customWidth="1"/>
    <col min="3835" max="3835" width="10.7109375" style="2" customWidth="1"/>
    <col min="3836" max="3836" width="40.42578125" style="2" customWidth="1"/>
    <col min="3837" max="3837" width="30.5703125" style="2" customWidth="1"/>
    <col min="3838" max="3838" width="16.42578125" style="2" customWidth="1"/>
    <col min="3839" max="3839" width="13" style="2" bestFit="1" customWidth="1"/>
    <col min="3840" max="4087" width="9.140625" style="2"/>
    <col min="4088" max="4088" width="16.28515625" style="2" customWidth="1"/>
    <col min="4089" max="4089" width="9.5703125" style="2" customWidth="1"/>
    <col min="4090" max="4090" width="25.85546875" style="2" customWidth="1"/>
    <col min="4091" max="4091" width="10.7109375" style="2" customWidth="1"/>
    <col min="4092" max="4092" width="40.42578125" style="2" customWidth="1"/>
    <col min="4093" max="4093" width="30.5703125" style="2" customWidth="1"/>
    <col min="4094" max="4094" width="16.42578125" style="2" customWidth="1"/>
    <col min="4095" max="4095" width="13" style="2" bestFit="1" customWidth="1"/>
    <col min="4096" max="4343" width="9.140625" style="2"/>
    <col min="4344" max="4344" width="16.28515625" style="2" customWidth="1"/>
    <col min="4345" max="4345" width="9.5703125" style="2" customWidth="1"/>
    <col min="4346" max="4346" width="25.85546875" style="2" customWidth="1"/>
    <col min="4347" max="4347" width="10.7109375" style="2" customWidth="1"/>
    <col min="4348" max="4348" width="40.42578125" style="2" customWidth="1"/>
    <col min="4349" max="4349" width="30.5703125" style="2" customWidth="1"/>
    <col min="4350" max="4350" width="16.42578125" style="2" customWidth="1"/>
    <col min="4351" max="4351" width="13" style="2" bestFit="1" customWidth="1"/>
    <col min="4352" max="4599" width="9.140625" style="2"/>
    <col min="4600" max="4600" width="16.28515625" style="2" customWidth="1"/>
    <col min="4601" max="4601" width="9.5703125" style="2" customWidth="1"/>
    <col min="4602" max="4602" width="25.85546875" style="2" customWidth="1"/>
    <col min="4603" max="4603" width="10.7109375" style="2" customWidth="1"/>
    <col min="4604" max="4604" width="40.42578125" style="2" customWidth="1"/>
    <col min="4605" max="4605" width="30.5703125" style="2" customWidth="1"/>
    <col min="4606" max="4606" width="16.42578125" style="2" customWidth="1"/>
    <col min="4607" max="4607" width="13" style="2" bestFit="1" customWidth="1"/>
    <col min="4608" max="4855" width="9.140625" style="2"/>
    <col min="4856" max="4856" width="16.28515625" style="2" customWidth="1"/>
    <col min="4857" max="4857" width="9.5703125" style="2" customWidth="1"/>
    <col min="4858" max="4858" width="25.85546875" style="2" customWidth="1"/>
    <col min="4859" max="4859" width="10.7109375" style="2" customWidth="1"/>
    <col min="4860" max="4860" width="40.42578125" style="2" customWidth="1"/>
    <col min="4861" max="4861" width="30.5703125" style="2" customWidth="1"/>
    <col min="4862" max="4862" width="16.42578125" style="2" customWidth="1"/>
    <col min="4863" max="4863" width="13" style="2" bestFit="1" customWidth="1"/>
    <col min="4864" max="5111" width="9.140625" style="2"/>
    <col min="5112" max="5112" width="16.28515625" style="2" customWidth="1"/>
    <col min="5113" max="5113" width="9.5703125" style="2" customWidth="1"/>
    <col min="5114" max="5114" width="25.85546875" style="2" customWidth="1"/>
    <col min="5115" max="5115" width="10.7109375" style="2" customWidth="1"/>
    <col min="5116" max="5116" width="40.42578125" style="2" customWidth="1"/>
    <col min="5117" max="5117" width="30.5703125" style="2" customWidth="1"/>
    <col min="5118" max="5118" width="16.42578125" style="2" customWidth="1"/>
    <col min="5119" max="5119" width="13" style="2" bestFit="1" customWidth="1"/>
    <col min="5120" max="5367" width="9.140625" style="2"/>
    <col min="5368" max="5368" width="16.28515625" style="2" customWidth="1"/>
    <col min="5369" max="5369" width="9.5703125" style="2" customWidth="1"/>
    <col min="5370" max="5370" width="25.85546875" style="2" customWidth="1"/>
    <col min="5371" max="5371" width="10.7109375" style="2" customWidth="1"/>
    <col min="5372" max="5372" width="40.42578125" style="2" customWidth="1"/>
    <col min="5373" max="5373" width="30.5703125" style="2" customWidth="1"/>
    <col min="5374" max="5374" width="16.42578125" style="2" customWidth="1"/>
    <col min="5375" max="5375" width="13" style="2" bestFit="1" customWidth="1"/>
    <col min="5376" max="5623" width="9.140625" style="2"/>
    <col min="5624" max="5624" width="16.28515625" style="2" customWidth="1"/>
    <col min="5625" max="5625" width="9.5703125" style="2" customWidth="1"/>
    <col min="5626" max="5626" width="25.85546875" style="2" customWidth="1"/>
    <col min="5627" max="5627" width="10.7109375" style="2" customWidth="1"/>
    <col min="5628" max="5628" width="40.42578125" style="2" customWidth="1"/>
    <col min="5629" max="5629" width="30.5703125" style="2" customWidth="1"/>
    <col min="5630" max="5630" width="16.42578125" style="2" customWidth="1"/>
    <col min="5631" max="5631" width="13" style="2" bestFit="1" customWidth="1"/>
    <col min="5632" max="5879" width="9.140625" style="2"/>
    <col min="5880" max="5880" width="16.28515625" style="2" customWidth="1"/>
    <col min="5881" max="5881" width="9.5703125" style="2" customWidth="1"/>
    <col min="5882" max="5882" width="25.85546875" style="2" customWidth="1"/>
    <col min="5883" max="5883" width="10.7109375" style="2" customWidth="1"/>
    <col min="5884" max="5884" width="40.42578125" style="2" customWidth="1"/>
    <col min="5885" max="5885" width="30.5703125" style="2" customWidth="1"/>
    <col min="5886" max="5886" width="16.42578125" style="2" customWidth="1"/>
    <col min="5887" max="5887" width="13" style="2" bestFit="1" customWidth="1"/>
    <col min="5888" max="6135" width="9.140625" style="2"/>
    <col min="6136" max="6136" width="16.28515625" style="2" customWidth="1"/>
    <col min="6137" max="6137" width="9.5703125" style="2" customWidth="1"/>
    <col min="6138" max="6138" width="25.85546875" style="2" customWidth="1"/>
    <col min="6139" max="6139" width="10.7109375" style="2" customWidth="1"/>
    <col min="6140" max="6140" width="40.42578125" style="2" customWidth="1"/>
    <col min="6141" max="6141" width="30.5703125" style="2" customWidth="1"/>
    <col min="6142" max="6142" width="16.42578125" style="2" customWidth="1"/>
    <col min="6143" max="6143" width="13" style="2" bestFit="1" customWidth="1"/>
    <col min="6144" max="6391" width="9.140625" style="2"/>
    <col min="6392" max="6392" width="16.28515625" style="2" customWidth="1"/>
    <col min="6393" max="6393" width="9.5703125" style="2" customWidth="1"/>
    <col min="6394" max="6394" width="25.85546875" style="2" customWidth="1"/>
    <col min="6395" max="6395" width="10.7109375" style="2" customWidth="1"/>
    <col min="6396" max="6396" width="40.42578125" style="2" customWidth="1"/>
    <col min="6397" max="6397" width="30.5703125" style="2" customWidth="1"/>
    <col min="6398" max="6398" width="16.42578125" style="2" customWidth="1"/>
    <col min="6399" max="6399" width="13" style="2" bestFit="1" customWidth="1"/>
    <col min="6400" max="6647" width="9.140625" style="2"/>
    <col min="6648" max="6648" width="16.28515625" style="2" customWidth="1"/>
    <col min="6649" max="6649" width="9.5703125" style="2" customWidth="1"/>
    <col min="6650" max="6650" width="25.85546875" style="2" customWidth="1"/>
    <col min="6651" max="6651" width="10.7109375" style="2" customWidth="1"/>
    <col min="6652" max="6652" width="40.42578125" style="2" customWidth="1"/>
    <col min="6653" max="6653" width="30.5703125" style="2" customWidth="1"/>
    <col min="6654" max="6654" width="16.42578125" style="2" customWidth="1"/>
    <col min="6655" max="6655" width="13" style="2" bestFit="1" customWidth="1"/>
    <col min="6656" max="6903" width="9.140625" style="2"/>
    <col min="6904" max="6904" width="16.28515625" style="2" customWidth="1"/>
    <col min="6905" max="6905" width="9.5703125" style="2" customWidth="1"/>
    <col min="6906" max="6906" width="25.85546875" style="2" customWidth="1"/>
    <col min="6907" max="6907" width="10.7109375" style="2" customWidth="1"/>
    <col min="6908" max="6908" width="40.42578125" style="2" customWidth="1"/>
    <col min="6909" max="6909" width="30.5703125" style="2" customWidth="1"/>
    <col min="6910" max="6910" width="16.42578125" style="2" customWidth="1"/>
    <col min="6911" max="6911" width="13" style="2" bestFit="1" customWidth="1"/>
    <col min="6912" max="7159" width="9.140625" style="2"/>
    <col min="7160" max="7160" width="16.28515625" style="2" customWidth="1"/>
    <col min="7161" max="7161" width="9.5703125" style="2" customWidth="1"/>
    <col min="7162" max="7162" width="25.85546875" style="2" customWidth="1"/>
    <col min="7163" max="7163" width="10.7109375" style="2" customWidth="1"/>
    <col min="7164" max="7164" width="40.42578125" style="2" customWidth="1"/>
    <col min="7165" max="7165" width="30.5703125" style="2" customWidth="1"/>
    <col min="7166" max="7166" width="16.42578125" style="2" customWidth="1"/>
    <col min="7167" max="7167" width="13" style="2" bestFit="1" customWidth="1"/>
    <col min="7168" max="7415" width="9.140625" style="2"/>
    <col min="7416" max="7416" width="16.28515625" style="2" customWidth="1"/>
    <col min="7417" max="7417" width="9.5703125" style="2" customWidth="1"/>
    <col min="7418" max="7418" width="25.85546875" style="2" customWidth="1"/>
    <col min="7419" max="7419" width="10.7109375" style="2" customWidth="1"/>
    <col min="7420" max="7420" width="40.42578125" style="2" customWidth="1"/>
    <col min="7421" max="7421" width="30.5703125" style="2" customWidth="1"/>
    <col min="7422" max="7422" width="16.42578125" style="2" customWidth="1"/>
    <col min="7423" max="7423" width="13" style="2" bestFit="1" customWidth="1"/>
    <col min="7424" max="7671" width="9.140625" style="2"/>
    <col min="7672" max="7672" width="16.28515625" style="2" customWidth="1"/>
    <col min="7673" max="7673" width="9.5703125" style="2" customWidth="1"/>
    <col min="7674" max="7674" width="25.85546875" style="2" customWidth="1"/>
    <col min="7675" max="7675" width="10.7109375" style="2" customWidth="1"/>
    <col min="7676" max="7676" width="40.42578125" style="2" customWidth="1"/>
    <col min="7677" max="7677" width="30.5703125" style="2" customWidth="1"/>
    <col min="7678" max="7678" width="16.42578125" style="2" customWidth="1"/>
    <col min="7679" max="7679" width="13" style="2" bestFit="1" customWidth="1"/>
    <col min="7680" max="7927" width="9.140625" style="2"/>
    <col min="7928" max="7928" width="16.28515625" style="2" customWidth="1"/>
    <col min="7929" max="7929" width="9.5703125" style="2" customWidth="1"/>
    <col min="7930" max="7930" width="25.85546875" style="2" customWidth="1"/>
    <col min="7931" max="7931" width="10.7109375" style="2" customWidth="1"/>
    <col min="7932" max="7932" width="40.42578125" style="2" customWidth="1"/>
    <col min="7933" max="7933" width="30.5703125" style="2" customWidth="1"/>
    <col min="7934" max="7934" width="16.42578125" style="2" customWidth="1"/>
    <col min="7935" max="7935" width="13" style="2" bestFit="1" customWidth="1"/>
    <col min="7936" max="8183" width="9.140625" style="2"/>
    <col min="8184" max="8184" width="16.28515625" style="2" customWidth="1"/>
    <col min="8185" max="8185" width="9.5703125" style="2" customWidth="1"/>
    <col min="8186" max="8186" width="25.85546875" style="2" customWidth="1"/>
    <col min="8187" max="8187" width="10.7109375" style="2" customWidth="1"/>
    <col min="8188" max="8188" width="40.42578125" style="2" customWidth="1"/>
    <col min="8189" max="8189" width="30.5703125" style="2" customWidth="1"/>
    <col min="8190" max="8190" width="16.42578125" style="2" customWidth="1"/>
    <col min="8191" max="8191" width="13" style="2" bestFit="1" customWidth="1"/>
    <col min="8192" max="8439" width="9.140625" style="2"/>
    <col min="8440" max="8440" width="16.28515625" style="2" customWidth="1"/>
    <col min="8441" max="8441" width="9.5703125" style="2" customWidth="1"/>
    <col min="8442" max="8442" width="25.85546875" style="2" customWidth="1"/>
    <col min="8443" max="8443" width="10.7109375" style="2" customWidth="1"/>
    <col min="8444" max="8444" width="40.42578125" style="2" customWidth="1"/>
    <col min="8445" max="8445" width="30.5703125" style="2" customWidth="1"/>
    <col min="8446" max="8446" width="16.42578125" style="2" customWidth="1"/>
    <col min="8447" max="8447" width="13" style="2" bestFit="1" customWidth="1"/>
    <col min="8448" max="8695" width="9.140625" style="2"/>
    <col min="8696" max="8696" width="16.28515625" style="2" customWidth="1"/>
    <col min="8697" max="8697" width="9.5703125" style="2" customWidth="1"/>
    <col min="8698" max="8698" width="25.85546875" style="2" customWidth="1"/>
    <col min="8699" max="8699" width="10.7109375" style="2" customWidth="1"/>
    <col min="8700" max="8700" width="40.42578125" style="2" customWidth="1"/>
    <col min="8701" max="8701" width="30.5703125" style="2" customWidth="1"/>
    <col min="8702" max="8702" width="16.42578125" style="2" customWidth="1"/>
    <col min="8703" max="8703" width="13" style="2" bestFit="1" customWidth="1"/>
    <col min="8704" max="8951" width="9.140625" style="2"/>
    <col min="8952" max="8952" width="16.28515625" style="2" customWidth="1"/>
    <col min="8953" max="8953" width="9.5703125" style="2" customWidth="1"/>
    <col min="8954" max="8954" width="25.85546875" style="2" customWidth="1"/>
    <col min="8955" max="8955" width="10.7109375" style="2" customWidth="1"/>
    <col min="8956" max="8956" width="40.42578125" style="2" customWidth="1"/>
    <col min="8957" max="8957" width="30.5703125" style="2" customWidth="1"/>
    <col min="8958" max="8958" width="16.42578125" style="2" customWidth="1"/>
    <col min="8959" max="8959" width="13" style="2" bestFit="1" customWidth="1"/>
    <col min="8960" max="9207" width="9.140625" style="2"/>
    <col min="9208" max="9208" width="16.28515625" style="2" customWidth="1"/>
    <col min="9209" max="9209" width="9.5703125" style="2" customWidth="1"/>
    <col min="9210" max="9210" width="25.85546875" style="2" customWidth="1"/>
    <col min="9211" max="9211" width="10.7109375" style="2" customWidth="1"/>
    <col min="9212" max="9212" width="40.42578125" style="2" customWidth="1"/>
    <col min="9213" max="9213" width="30.5703125" style="2" customWidth="1"/>
    <col min="9214" max="9214" width="16.42578125" style="2" customWidth="1"/>
    <col min="9215" max="9215" width="13" style="2" bestFit="1" customWidth="1"/>
    <col min="9216" max="9463" width="9.140625" style="2"/>
    <col min="9464" max="9464" width="16.28515625" style="2" customWidth="1"/>
    <col min="9465" max="9465" width="9.5703125" style="2" customWidth="1"/>
    <col min="9466" max="9466" width="25.85546875" style="2" customWidth="1"/>
    <col min="9467" max="9467" width="10.7109375" style="2" customWidth="1"/>
    <col min="9468" max="9468" width="40.42578125" style="2" customWidth="1"/>
    <col min="9469" max="9469" width="30.5703125" style="2" customWidth="1"/>
    <col min="9470" max="9470" width="16.42578125" style="2" customWidth="1"/>
    <col min="9471" max="9471" width="13" style="2" bestFit="1" customWidth="1"/>
    <col min="9472" max="9719" width="9.140625" style="2"/>
    <col min="9720" max="9720" width="16.28515625" style="2" customWidth="1"/>
    <col min="9721" max="9721" width="9.5703125" style="2" customWidth="1"/>
    <col min="9722" max="9722" width="25.85546875" style="2" customWidth="1"/>
    <col min="9723" max="9723" width="10.7109375" style="2" customWidth="1"/>
    <col min="9724" max="9724" width="40.42578125" style="2" customWidth="1"/>
    <col min="9725" max="9725" width="30.5703125" style="2" customWidth="1"/>
    <col min="9726" max="9726" width="16.42578125" style="2" customWidth="1"/>
    <col min="9727" max="9727" width="13" style="2" bestFit="1" customWidth="1"/>
    <col min="9728" max="9975" width="9.140625" style="2"/>
    <col min="9976" max="9976" width="16.28515625" style="2" customWidth="1"/>
    <col min="9977" max="9977" width="9.5703125" style="2" customWidth="1"/>
    <col min="9978" max="9978" width="25.85546875" style="2" customWidth="1"/>
    <col min="9979" max="9979" width="10.7109375" style="2" customWidth="1"/>
    <col min="9980" max="9980" width="40.42578125" style="2" customWidth="1"/>
    <col min="9981" max="9981" width="30.5703125" style="2" customWidth="1"/>
    <col min="9982" max="9982" width="16.42578125" style="2" customWidth="1"/>
    <col min="9983" max="9983" width="13" style="2" bestFit="1" customWidth="1"/>
    <col min="9984" max="10231" width="9.140625" style="2"/>
    <col min="10232" max="10232" width="16.28515625" style="2" customWidth="1"/>
    <col min="10233" max="10233" width="9.5703125" style="2" customWidth="1"/>
    <col min="10234" max="10234" width="25.85546875" style="2" customWidth="1"/>
    <col min="10235" max="10235" width="10.7109375" style="2" customWidth="1"/>
    <col min="10236" max="10236" width="40.42578125" style="2" customWidth="1"/>
    <col min="10237" max="10237" width="30.5703125" style="2" customWidth="1"/>
    <col min="10238" max="10238" width="16.42578125" style="2" customWidth="1"/>
    <col min="10239" max="10239" width="13" style="2" bestFit="1" customWidth="1"/>
    <col min="10240" max="10487" width="9.140625" style="2"/>
    <col min="10488" max="10488" width="16.28515625" style="2" customWidth="1"/>
    <col min="10489" max="10489" width="9.5703125" style="2" customWidth="1"/>
    <col min="10490" max="10490" width="25.85546875" style="2" customWidth="1"/>
    <col min="10491" max="10491" width="10.7109375" style="2" customWidth="1"/>
    <col min="10492" max="10492" width="40.42578125" style="2" customWidth="1"/>
    <col min="10493" max="10493" width="30.5703125" style="2" customWidth="1"/>
    <col min="10494" max="10494" width="16.42578125" style="2" customWidth="1"/>
    <col min="10495" max="10495" width="13" style="2" bestFit="1" customWidth="1"/>
    <col min="10496" max="10743" width="9.140625" style="2"/>
    <col min="10744" max="10744" width="16.28515625" style="2" customWidth="1"/>
    <col min="10745" max="10745" width="9.5703125" style="2" customWidth="1"/>
    <col min="10746" max="10746" width="25.85546875" style="2" customWidth="1"/>
    <col min="10747" max="10747" width="10.7109375" style="2" customWidth="1"/>
    <col min="10748" max="10748" width="40.42578125" style="2" customWidth="1"/>
    <col min="10749" max="10749" width="30.5703125" style="2" customWidth="1"/>
    <col min="10750" max="10750" width="16.42578125" style="2" customWidth="1"/>
    <col min="10751" max="10751" width="13" style="2" bestFit="1" customWidth="1"/>
    <col min="10752" max="10999" width="9.140625" style="2"/>
    <col min="11000" max="11000" width="16.28515625" style="2" customWidth="1"/>
    <col min="11001" max="11001" width="9.5703125" style="2" customWidth="1"/>
    <col min="11002" max="11002" width="25.85546875" style="2" customWidth="1"/>
    <col min="11003" max="11003" width="10.7109375" style="2" customWidth="1"/>
    <col min="11004" max="11004" width="40.42578125" style="2" customWidth="1"/>
    <col min="11005" max="11005" width="30.5703125" style="2" customWidth="1"/>
    <col min="11006" max="11006" width="16.42578125" style="2" customWidth="1"/>
    <col min="11007" max="11007" width="13" style="2" bestFit="1" customWidth="1"/>
    <col min="11008" max="11255" width="9.140625" style="2"/>
    <col min="11256" max="11256" width="16.28515625" style="2" customWidth="1"/>
    <col min="11257" max="11257" width="9.5703125" style="2" customWidth="1"/>
    <col min="11258" max="11258" width="25.85546875" style="2" customWidth="1"/>
    <col min="11259" max="11259" width="10.7109375" style="2" customWidth="1"/>
    <col min="11260" max="11260" width="40.42578125" style="2" customWidth="1"/>
    <col min="11261" max="11261" width="30.5703125" style="2" customWidth="1"/>
    <col min="11262" max="11262" width="16.42578125" style="2" customWidth="1"/>
    <col min="11263" max="11263" width="13" style="2" bestFit="1" customWidth="1"/>
    <col min="11264" max="11511" width="9.140625" style="2"/>
    <col min="11512" max="11512" width="16.28515625" style="2" customWidth="1"/>
    <col min="11513" max="11513" width="9.5703125" style="2" customWidth="1"/>
    <col min="11514" max="11514" width="25.85546875" style="2" customWidth="1"/>
    <col min="11515" max="11515" width="10.7109375" style="2" customWidth="1"/>
    <col min="11516" max="11516" width="40.42578125" style="2" customWidth="1"/>
    <col min="11517" max="11517" width="30.5703125" style="2" customWidth="1"/>
    <col min="11518" max="11518" width="16.42578125" style="2" customWidth="1"/>
    <col min="11519" max="11519" width="13" style="2" bestFit="1" customWidth="1"/>
    <col min="11520" max="11767" width="9.140625" style="2"/>
    <col min="11768" max="11768" width="16.28515625" style="2" customWidth="1"/>
    <col min="11769" max="11769" width="9.5703125" style="2" customWidth="1"/>
    <col min="11770" max="11770" width="25.85546875" style="2" customWidth="1"/>
    <col min="11771" max="11771" width="10.7109375" style="2" customWidth="1"/>
    <col min="11772" max="11772" width="40.42578125" style="2" customWidth="1"/>
    <col min="11773" max="11773" width="30.5703125" style="2" customWidth="1"/>
    <col min="11774" max="11774" width="16.42578125" style="2" customWidth="1"/>
    <col min="11775" max="11775" width="13" style="2" bestFit="1" customWidth="1"/>
    <col min="11776" max="12023" width="9.140625" style="2"/>
    <col min="12024" max="12024" width="16.28515625" style="2" customWidth="1"/>
    <col min="12025" max="12025" width="9.5703125" style="2" customWidth="1"/>
    <col min="12026" max="12026" width="25.85546875" style="2" customWidth="1"/>
    <col min="12027" max="12027" width="10.7109375" style="2" customWidth="1"/>
    <col min="12028" max="12028" width="40.42578125" style="2" customWidth="1"/>
    <col min="12029" max="12029" width="30.5703125" style="2" customWidth="1"/>
    <col min="12030" max="12030" width="16.42578125" style="2" customWidth="1"/>
    <col min="12031" max="12031" width="13" style="2" bestFit="1" customWidth="1"/>
    <col min="12032" max="12279" width="9.140625" style="2"/>
    <col min="12280" max="12280" width="16.28515625" style="2" customWidth="1"/>
    <col min="12281" max="12281" width="9.5703125" style="2" customWidth="1"/>
    <col min="12282" max="12282" width="25.85546875" style="2" customWidth="1"/>
    <col min="12283" max="12283" width="10.7109375" style="2" customWidth="1"/>
    <col min="12284" max="12284" width="40.42578125" style="2" customWidth="1"/>
    <col min="12285" max="12285" width="30.5703125" style="2" customWidth="1"/>
    <col min="12286" max="12286" width="16.42578125" style="2" customWidth="1"/>
    <col min="12287" max="12287" width="13" style="2" bestFit="1" customWidth="1"/>
    <col min="12288" max="12535" width="9.140625" style="2"/>
    <col min="12536" max="12536" width="16.28515625" style="2" customWidth="1"/>
    <col min="12537" max="12537" width="9.5703125" style="2" customWidth="1"/>
    <col min="12538" max="12538" width="25.85546875" style="2" customWidth="1"/>
    <col min="12539" max="12539" width="10.7109375" style="2" customWidth="1"/>
    <col min="12540" max="12540" width="40.42578125" style="2" customWidth="1"/>
    <col min="12541" max="12541" width="30.5703125" style="2" customWidth="1"/>
    <col min="12542" max="12542" width="16.42578125" style="2" customWidth="1"/>
    <col min="12543" max="12543" width="13" style="2" bestFit="1" customWidth="1"/>
    <col min="12544" max="12791" width="9.140625" style="2"/>
    <col min="12792" max="12792" width="16.28515625" style="2" customWidth="1"/>
    <col min="12793" max="12793" width="9.5703125" style="2" customWidth="1"/>
    <col min="12794" max="12794" width="25.85546875" style="2" customWidth="1"/>
    <col min="12795" max="12795" width="10.7109375" style="2" customWidth="1"/>
    <col min="12796" max="12796" width="40.42578125" style="2" customWidth="1"/>
    <col min="12797" max="12797" width="30.5703125" style="2" customWidth="1"/>
    <col min="12798" max="12798" width="16.42578125" style="2" customWidth="1"/>
    <col min="12799" max="12799" width="13" style="2" bestFit="1" customWidth="1"/>
    <col min="12800" max="13047" width="9.140625" style="2"/>
    <col min="13048" max="13048" width="16.28515625" style="2" customWidth="1"/>
    <col min="13049" max="13049" width="9.5703125" style="2" customWidth="1"/>
    <col min="13050" max="13050" width="25.85546875" style="2" customWidth="1"/>
    <col min="13051" max="13051" width="10.7109375" style="2" customWidth="1"/>
    <col min="13052" max="13052" width="40.42578125" style="2" customWidth="1"/>
    <col min="13053" max="13053" width="30.5703125" style="2" customWidth="1"/>
    <col min="13054" max="13054" width="16.42578125" style="2" customWidth="1"/>
    <col min="13055" max="13055" width="13" style="2" bestFit="1" customWidth="1"/>
    <col min="13056" max="13303" width="9.140625" style="2"/>
    <col min="13304" max="13304" width="16.28515625" style="2" customWidth="1"/>
    <col min="13305" max="13305" width="9.5703125" style="2" customWidth="1"/>
    <col min="13306" max="13306" width="25.85546875" style="2" customWidth="1"/>
    <col min="13307" max="13307" width="10.7109375" style="2" customWidth="1"/>
    <col min="13308" max="13308" width="40.42578125" style="2" customWidth="1"/>
    <col min="13309" max="13309" width="30.5703125" style="2" customWidth="1"/>
    <col min="13310" max="13310" width="16.42578125" style="2" customWidth="1"/>
    <col min="13311" max="13311" width="13" style="2" bestFit="1" customWidth="1"/>
    <col min="13312" max="13559" width="9.140625" style="2"/>
    <col min="13560" max="13560" width="16.28515625" style="2" customWidth="1"/>
    <col min="13561" max="13561" width="9.5703125" style="2" customWidth="1"/>
    <col min="13562" max="13562" width="25.85546875" style="2" customWidth="1"/>
    <col min="13563" max="13563" width="10.7109375" style="2" customWidth="1"/>
    <col min="13564" max="13564" width="40.42578125" style="2" customWidth="1"/>
    <col min="13565" max="13565" width="30.5703125" style="2" customWidth="1"/>
    <col min="13566" max="13566" width="16.42578125" style="2" customWidth="1"/>
    <col min="13567" max="13567" width="13" style="2" bestFit="1" customWidth="1"/>
    <col min="13568" max="13815" width="9.140625" style="2"/>
    <col min="13816" max="13816" width="16.28515625" style="2" customWidth="1"/>
    <col min="13817" max="13817" width="9.5703125" style="2" customWidth="1"/>
    <col min="13818" max="13818" width="25.85546875" style="2" customWidth="1"/>
    <col min="13819" max="13819" width="10.7109375" style="2" customWidth="1"/>
    <col min="13820" max="13820" width="40.42578125" style="2" customWidth="1"/>
    <col min="13821" max="13821" width="30.5703125" style="2" customWidth="1"/>
    <col min="13822" max="13822" width="16.42578125" style="2" customWidth="1"/>
    <col min="13823" max="13823" width="13" style="2" bestFit="1" customWidth="1"/>
    <col min="13824" max="14071" width="9.140625" style="2"/>
    <col min="14072" max="14072" width="16.28515625" style="2" customWidth="1"/>
    <col min="14073" max="14073" width="9.5703125" style="2" customWidth="1"/>
    <col min="14074" max="14074" width="25.85546875" style="2" customWidth="1"/>
    <col min="14075" max="14075" width="10.7109375" style="2" customWidth="1"/>
    <col min="14076" max="14076" width="40.42578125" style="2" customWidth="1"/>
    <col min="14077" max="14077" width="30.5703125" style="2" customWidth="1"/>
    <col min="14078" max="14078" width="16.42578125" style="2" customWidth="1"/>
    <col min="14079" max="14079" width="13" style="2" bestFit="1" customWidth="1"/>
    <col min="14080" max="14327" width="9.140625" style="2"/>
    <col min="14328" max="14328" width="16.28515625" style="2" customWidth="1"/>
    <col min="14329" max="14329" width="9.5703125" style="2" customWidth="1"/>
    <col min="14330" max="14330" width="25.85546875" style="2" customWidth="1"/>
    <col min="14331" max="14331" width="10.7109375" style="2" customWidth="1"/>
    <col min="14332" max="14332" width="40.42578125" style="2" customWidth="1"/>
    <col min="14333" max="14333" width="30.5703125" style="2" customWidth="1"/>
    <col min="14334" max="14334" width="16.42578125" style="2" customWidth="1"/>
    <col min="14335" max="14335" width="13" style="2" bestFit="1" customWidth="1"/>
    <col min="14336" max="14583" width="9.140625" style="2"/>
    <col min="14584" max="14584" width="16.28515625" style="2" customWidth="1"/>
    <col min="14585" max="14585" width="9.5703125" style="2" customWidth="1"/>
    <col min="14586" max="14586" width="25.85546875" style="2" customWidth="1"/>
    <col min="14587" max="14587" width="10.7109375" style="2" customWidth="1"/>
    <col min="14588" max="14588" width="40.42578125" style="2" customWidth="1"/>
    <col min="14589" max="14589" width="30.5703125" style="2" customWidth="1"/>
    <col min="14590" max="14590" width="16.42578125" style="2" customWidth="1"/>
    <col min="14591" max="14591" width="13" style="2" bestFit="1" customWidth="1"/>
    <col min="14592" max="14839" width="9.140625" style="2"/>
    <col min="14840" max="14840" width="16.28515625" style="2" customWidth="1"/>
    <col min="14841" max="14841" width="9.5703125" style="2" customWidth="1"/>
    <col min="14842" max="14842" width="25.85546875" style="2" customWidth="1"/>
    <col min="14843" max="14843" width="10.7109375" style="2" customWidth="1"/>
    <col min="14844" max="14844" width="40.42578125" style="2" customWidth="1"/>
    <col min="14845" max="14845" width="30.5703125" style="2" customWidth="1"/>
    <col min="14846" max="14846" width="16.42578125" style="2" customWidth="1"/>
    <col min="14847" max="14847" width="13" style="2" bestFit="1" customWidth="1"/>
    <col min="14848" max="15095" width="9.140625" style="2"/>
    <col min="15096" max="15096" width="16.28515625" style="2" customWidth="1"/>
    <col min="15097" max="15097" width="9.5703125" style="2" customWidth="1"/>
    <col min="15098" max="15098" width="25.85546875" style="2" customWidth="1"/>
    <col min="15099" max="15099" width="10.7109375" style="2" customWidth="1"/>
    <col min="15100" max="15100" width="40.42578125" style="2" customWidth="1"/>
    <col min="15101" max="15101" width="30.5703125" style="2" customWidth="1"/>
    <col min="15102" max="15102" width="16.42578125" style="2" customWidth="1"/>
    <col min="15103" max="15103" width="13" style="2" bestFit="1" customWidth="1"/>
    <col min="15104" max="15351" width="9.140625" style="2"/>
    <col min="15352" max="15352" width="16.28515625" style="2" customWidth="1"/>
    <col min="15353" max="15353" width="9.5703125" style="2" customWidth="1"/>
    <col min="15354" max="15354" width="25.85546875" style="2" customWidth="1"/>
    <col min="15355" max="15355" width="10.7109375" style="2" customWidth="1"/>
    <col min="15356" max="15356" width="40.42578125" style="2" customWidth="1"/>
    <col min="15357" max="15357" width="30.5703125" style="2" customWidth="1"/>
    <col min="15358" max="15358" width="16.42578125" style="2" customWidth="1"/>
    <col min="15359" max="15359" width="13" style="2" bestFit="1" customWidth="1"/>
    <col min="15360" max="15607" width="9.140625" style="2"/>
    <col min="15608" max="15608" width="16.28515625" style="2" customWidth="1"/>
    <col min="15609" max="15609" width="9.5703125" style="2" customWidth="1"/>
    <col min="15610" max="15610" width="25.85546875" style="2" customWidth="1"/>
    <col min="15611" max="15611" width="10.7109375" style="2" customWidth="1"/>
    <col min="15612" max="15612" width="40.42578125" style="2" customWidth="1"/>
    <col min="15613" max="15613" width="30.5703125" style="2" customWidth="1"/>
    <col min="15614" max="15614" width="16.42578125" style="2" customWidth="1"/>
    <col min="15615" max="15615" width="13" style="2" bestFit="1" customWidth="1"/>
    <col min="15616" max="15863" width="9.140625" style="2"/>
    <col min="15864" max="15864" width="16.28515625" style="2" customWidth="1"/>
    <col min="15865" max="15865" width="9.5703125" style="2" customWidth="1"/>
    <col min="15866" max="15866" width="25.85546875" style="2" customWidth="1"/>
    <col min="15867" max="15867" width="10.7109375" style="2" customWidth="1"/>
    <col min="15868" max="15868" width="40.42578125" style="2" customWidth="1"/>
    <col min="15869" max="15869" width="30.5703125" style="2" customWidth="1"/>
    <col min="15870" max="15870" width="16.42578125" style="2" customWidth="1"/>
    <col min="15871" max="15871" width="13" style="2" bestFit="1" customWidth="1"/>
    <col min="15872" max="16119" width="9.140625" style="2"/>
    <col min="16120" max="16120" width="16.28515625" style="2" customWidth="1"/>
    <col min="16121" max="16121" width="9.5703125" style="2" customWidth="1"/>
    <col min="16122" max="16122" width="25.85546875" style="2" customWidth="1"/>
    <col min="16123" max="16123" width="10.7109375" style="2" customWidth="1"/>
    <col min="16124" max="16124" width="40.42578125" style="2" customWidth="1"/>
    <col min="16125" max="16125" width="30.5703125" style="2" customWidth="1"/>
    <col min="16126" max="16126" width="16.42578125" style="2" customWidth="1"/>
    <col min="16127" max="16127" width="13" style="2" bestFit="1" customWidth="1"/>
    <col min="16128" max="16384" width="9.140625" style="2"/>
  </cols>
  <sheetData>
    <row r="1" spans="1:74" ht="15" hidden="1" customHeight="1">
      <c r="AV1" s="751"/>
      <c r="AX1" s="88"/>
      <c r="AZ1" s="88"/>
      <c r="BB1" s="88"/>
    </row>
    <row r="2" spans="1:74" ht="15" hidden="1" customHeight="1">
      <c r="AV2" s="751"/>
      <c r="AX2" s="88"/>
      <c r="AZ2" s="88"/>
      <c r="BB2" s="88"/>
    </row>
    <row r="3" spans="1:74" s="358" customFormat="1">
      <c r="A3" s="836"/>
      <c r="B3" s="934"/>
      <c r="C3" s="837"/>
      <c r="D3" s="838"/>
      <c r="E3" s="836" t="s">
        <v>201</v>
      </c>
      <c r="F3" s="820"/>
      <c r="G3" s="360"/>
      <c r="H3" s="360"/>
      <c r="I3" s="360"/>
      <c r="J3" s="361"/>
      <c r="K3" s="362" t="s">
        <v>215</v>
      </c>
      <c r="L3" s="1012">
        <f t="shared" ref="L3:T3" si="0">L4</f>
        <v>0</v>
      </c>
      <c r="M3" s="363">
        <f t="shared" si="0"/>
        <v>0</v>
      </c>
      <c r="N3" s="363">
        <f t="shared" si="0"/>
        <v>0</v>
      </c>
      <c r="O3" s="363">
        <f t="shared" si="0"/>
        <v>0</v>
      </c>
      <c r="P3" s="364">
        <f t="shared" si="0"/>
        <v>0</v>
      </c>
      <c r="Q3" s="363">
        <f t="shared" si="0"/>
        <v>0</v>
      </c>
      <c r="R3" s="364">
        <f t="shared" si="0"/>
        <v>0</v>
      </c>
      <c r="S3" s="363">
        <f t="shared" si="0"/>
        <v>0</v>
      </c>
      <c r="T3" s="364">
        <f t="shared" si="0"/>
        <v>0</v>
      </c>
      <c r="U3" s="365"/>
      <c r="V3" s="366"/>
      <c r="W3" s="366"/>
      <c r="X3" s="366"/>
      <c r="Z3" s="367">
        <f>AW3+AY3+BA3</f>
        <v>0</v>
      </c>
      <c r="AA3" s="363">
        <f>AX3+AZ3+BB3</f>
        <v>0</v>
      </c>
      <c r="AB3" s="280">
        <f>Z3-AA3</f>
        <v>0</v>
      </c>
      <c r="AC3" s="367">
        <f>BC3+BE3+BG3</f>
        <v>0</v>
      </c>
      <c r="AD3" s="363">
        <f>BD3+BF3+BH3</f>
        <v>0</v>
      </c>
      <c r="AE3" s="280">
        <f>AC3-AD3</f>
        <v>0</v>
      </c>
      <c r="AF3" s="367">
        <f>BI3+BK3+BM3</f>
        <v>0</v>
      </c>
      <c r="AG3" s="363">
        <f>BJ3+BL3+BN3</f>
        <v>0</v>
      </c>
      <c r="AH3" s="280">
        <f>AF3-AG3</f>
        <v>0</v>
      </c>
      <c r="AI3" s="367">
        <f>BO3+BQ3+BS3</f>
        <v>0</v>
      </c>
      <c r="AJ3" s="363">
        <f>BP3+BR3+BT3</f>
        <v>0</v>
      </c>
      <c r="AK3" s="280">
        <f>AI3-AJ3</f>
        <v>0</v>
      </c>
      <c r="AL3" s="368"/>
      <c r="AM3" s="367">
        <f>Z3+AC3</f>
        <v>0</v>
      </c>
      <c r="AN3" s="363">
        <f>AA3+AD3</f>
        <v>0</v>
      </c>
      <c r="AO3" s="280">
        <f>AM3-AN3</f>
        <v>0</v>
      </c>
      <c r="AP3" s="367">
        <f>Z3+AC3+AF3</f>
        <v>0</v>
      </c>
      <c r="AQ3" s="363">
        <f>AA3+AD3+AG3</f>
        <v>0</v>
      </c>
      <c r="AR3" s="280">
        <f>AP3-AQ3</f>
        <v>0</v>
      </c>
      <c r="AS3" s="367">
        <f>Z3+AC3+AF3+AI3</f>
        <v>0</v>
      </c>
      <c r="AT3" s="363">
        <f>AA3+AD3+AG3+AJ3</f>
        <v>0</v>
      </c>
      <c r="AU3" s="280">
        <f>AS3-AT3</f>
        <v>0</v>
      </c>
      <c r="AV3" s="1154"/>
      <c r="AW3" s="367">
        <f t="shared" ref="AW3:BT3" si="1">AW4</f>
        <v>0</v>
      </c>
      <c r="AX3" s="1097">
        <f t="shared" si="1"/>
        <v>0</v>
      </c>
      <c r="AY3" s="363">
        <f t="shared" si="1"/>
        <v>0</v>
      </c>
      <c r="AZ3" s="1097">
        <f t="shared" si="1"/>
        <v>0</v>
      </c>
      <c r="BA3" s="363">
        <f t="shared" si="1"/>
        <v>0</v>
      </c>
      <c r="BB3" s="1119">
        <f t="shared" si="1"/>
        <v>0</v>
      </c>
      <c r="BC3" s="367">
        <f t="shared" si="1"/>
        <v>0</v>
      </c>
      <c r="BD3" s="363">
        <f t="shared" si="1"/>
        <v>0</v>
      </c>
      <c r="BE3" s="363">
        <f t="shared" si="1"/>
        <v>0</v>
      </c>
      <c r="BF3" s="363">
        <f t="shared" si="1"/>
        <v>0</v>
      </c>
      <c r="BG3" s="363">
        <f t="shared" si="1"/>
        <v>0</v>
      </c>
      <c r="BH3" s="369">
        <f t="shared" si="1"/>
        <v>0</v>
      </c>
      <c r="BI3" s="367">
        <f t="shared" si="1"/>
        <v>0</v>
      </c>
      <c r="BJ3" s="363">
        <f t="shared" si="1"/>
        <v>0</v>
      </c>
      <c r="BK3" s="363">
        <f t="shared" si="1"/>
        <v>0</v>
      </c>
      <c r="BL3" s="363">
        <f t="shared" si="1"/>
        <v>0</v>
      </c>
      <c r="BM3" s="363">
        <f t="shared" si="1"/>
        <v>0</v>
      </c>
      <c r="BN3" s="369">
        <f t="shared" si="1"/>
        <v>0</v>
      </c>
      <c r="BO3" s="367">
        <f t="shared" si="1"/>
        <v>0</v>
      </c>
      <c r="BP3" s="363">
        <f t="shared" si="1"/>
        <v>0</v>
      </c>
      <c r="BQ3" s="363">
        <f t="shared" si="1"/>
        <v>0</v>
      </c>
      <c r="BR3" s="363">
        <f t="shared" si="1"/>
        <v>0</v>
      </c>
      <c r="BS3" s="363">
        <f t="shared" si="1"/>
        <v>0</v>
      </c>
      <c r="BT3" s="280">
        <f t="shared" si="1"/>
        <v>0</v>
      </c>
    </row>
    <row r="4" spans="1:74" s="313" customFormat="1">
      <c r="A4" s="839"/>
      <c r="B4" s="935"/>
      <c r="C4" s="840"/>
      <c r="D4" s="841"/>
      <c r="E4" s="839"/>
      <c r="F4" s="821"/>
      <c r="G4" s="314"/>
      <c r="H4" s="739"/>
      <c r="I4" s="739"/>
      <c r="J4" s="740"/>
      <c r="K4" s="317" t="s">
        <v>214</v>
      </c>
      <c r="L4" s="1013"/>
      <c r="M4" s="318"/>
      <c r="N4" s="318"/>
      <c r="O4" s="318"/>
      <c r="P4" s="329"/>
      <c r="Q4" s="319"/>
      <c r="R4" s="329"/>
      <c r="S4" s="319"/>
      <c r="T4" s="329"/>
      <c r="U4" s="335"/>
      <c r="V4" s="320"/>
      <c r="W4" s="320"/>
      <c r="X4" s="320"/>
      <c r="Z4" s="336">
        <f>AW4+AY4+BA4</f>
        <v>0</v>
      </c>
      <c r="AA4" s="337">
        <f>AX4+AZ4+BB4</f>
        <v>0</v>
      </c>
      <c r="AB4" s="338">
        <f>Z4-AA4</f>
        <v>0</v>
      </c>
      <c r="AC4" s="336">
        <f>BC4+BE4+BG4</f>
        <v>0</v>
      </c>
      <c r="AD4" s="337">
        <f>BD4+BF4+BH4</f>
        <v>0</v>
      </c>
      <c r="AE4" s="338">
        <f>AC4-AD4</f>
        <v>0</v>
      </c>
      <c r="AF4" s="336">
        <f>BI4+BK4+BM4</f>
        <v>0</v>
      </c>
      <c r="AG4" s="337">
        <f>BJ4+BL4+BN4</f>
        <v>0</v>
      </c>
      <c r="AH4" s="338">
        <f>AF4-AG4</f>
        <v>0</v>
      </c>
      <c r="AI4" s="336">
        <f>BO4+BQ4+BS4</f>
        <v>0</v>
      </c>
      <c r="AJ4" s="337">
        <f>BP4+BR4+BT4</f>
        <v>0</v>
      </c>
      <c r="AK4" s="338">
        <f>AI4-AJ4</f>
        <v>0</v>
      </c>
      <c r="AL4" s="342"/>
      <c r="AM4" s="336">
        <f>Z4+AC4</f>
        <v>0</v>
      </c>
      <c r="AN4" s="339">
        <f>AA4+AD4</f>
        <v>0</v>
      </c>
      <c r="AO4" s="340">
        <f>AM4-AN4</f>
        <v>0</v>
      </c>
      <c r="AP4" s="336">
        <f>Z4+AC4+AF4</f>
        <v>0</v>
      </c>
      <c r="AQ4" s="339">
        <f>AA4+AD4+AG4</f>
        <v>0</v>
      </c>
      <c r="AR4" s="340">
        <f>AP4-AQ4</f>
        <v>0</v>
      </c>
      <c r="AS4" s="341">
        <f>Z4+AC4+AF4+AI4</f>
        <v>0</v>
      </c>
      <c r="AT4" s="339">
        <f>AA4+AD4+AG4+AJ4</f>
        <v>0</v>
      </c>
      <c r="AU4" s="340">
        <f>AS4-AT4</f>
        <v>0</v>
      </c>
      <c r="AV4" s="1155"/>
      <c r="AW4" s="343"/>
      <c r="AX4" s="1098"/>
      <c r="AY4" s="345"/>
      <c r="AZ4" s="1098"/>
      <c r="BA4" s="345"/>
      <c r="BB4" s="1120"/>
      <c r="BC4" s="347"/>
      <c r="BD4" s="348"/>
      <c r="BE4" s="349"/>
      <c r="BF4" s="348"/>
      <c r="BG4" s="349"/>
      <c r="BH4" s="350"/>
      <c r="BI4" s="351"/>
      <c r="BJ4" s="352"/>
      <c r="BK4" s="337"/>
      <c r="BL4" s="352"/>
      <c r="BM4" s="337"/>
      <c r="BN4" s="353"/>
      <c r="BO4" s="354"/>
      <c r="BP4" s="355"/>
      <c r="BQ4" s="356"/>
      <c r="BR4" s="355"/>
      <c r="BS4" s="356"/>
      <c r="BT4" s="357"/>
    </row>
    <row r="5" spans="1:74" s="523" customFormat="1" ht="39.75" customHeight="1" thickBot="1">
      <c r="A5" s="842"/>
      <c r="B5" s="934"/>
      <c r="C5" s="843"/>
      <c r="D5" s="844"/>
      <c r="E5" s="842"/>
      <c r="F5" s="822"/>
      <c r="G5" s="525"/>
      <c r="H5" s="525"/>
      <c r="I5" s="525"/>
      <c r="J5" s="526"/>
      <c r="K5" s="530" t="s">
        <v>376</v>
      </c>
      <c r="L5" s="685">
        <f t="shared" ref="L5:T5" si="2">SUBTOTAL(9,L12:L176,L182:L183,L190:L305)</f>
        <v>89535831.709999993</v>
      </c>
      <c r="M5" s="685">
        <f t="shared" si="2"/>
        <v>247442.91</v>
      </c>
      <c r="N5" s="685">
        <f t="shared" si="2"/>
        <v>10697603.289999999</v>
      </c>
      <c r="O5" s="685">
        <f t="shared" si="2"/>
        <v>100233435</v>
      </c>
      <c r="P5" s="685">
        <f t="shared" si="2"/>
        <v>20241049.359999999</v>
      </c>
      <c r="Q5" s="685">
        <f t="shared" si="2"/>
        <v>70621110.739999995</v>
      </c>
      <c r="R5" s="685">
        <f t="shared" si="2"/>
        <v>0</v>
      </c>
      <c r="S5" s="685">
        <f t="shared" si="2"/>
        <v>70264600.709999993</v>
      </c>
      <c r="T5" s="685">
        <f t="shared" si="2"/>
        <v>0</v>
      </c>
      <c r="U5" s="685"/>
      <c r="V5" s="685">
        <f>SUBTOTAL(9,V12:V176,V182:V183,V190:V305)</f>
        <v>467197.09</v>
      </c>
      <c r="W5" s="685">
        <f>SUBTOTAL(9,W12:W176,W182:W183,W190:W305)</f>
        <v>0</v>
      </c>
      <c r="X5" s="685" t="e">
        <f>SUBTOTAL(9,X12:X176,X182:X183,X190:X305)</f>
        <v>#VALUE!</v>
      </c>
      <c r="Y5" s="685"/>
      <c r="Z5" s="685"/>
      <c r="AA5" s="685"/>
      <c r="AB5" s="685"/>
      <c r="AC5" s="685"/>
      <c r="AD5" s="685"/>
      <c r="AE5" s="685"/>
      <c r="AF5" s="685"/>
      <c r="AG5" s="685"/>
      <c r="AH5" s="685"/>
      <c r="AI5" s="685"/>
      <c r="AJ5" s="685"/>
      <c r="AK5" s="685"/>
      <c r="AL5" s="685"/>
      <c r="AM5" s="685">
        <f t="shared" ref="AM5:BS5" si="3">SUBTOTAL(9,AM12:AM176,AM182:AM183,AM190:AM305)</f>
        <v>58252904</v>
      </c>
      <c r="AN5" s="685">
        <f t="shared" si="3"/>
        <v>17698072.530000001</v>
      </c>
      <c r="AO5" s="685">
        <f t="shared" si="3"/>
        <v>40554831.469999999</v>
      </c>
      <c r="AP5" s="685">
        <f t="shared" si="3"/>
        <v>71728251.420000002</v>
      </c>
      <c r="AQ5" s="685">
        <f t="shared" si="3"/>
        <v>17809072.530000001</v>
      </c>
      <c r="AR5" s="685">
        <f t="shared" si="3"/>
        <v>53919178.890000001</v>
      </c>
      <c r="AS5" s="685">
        <f t="shared" si="3"/>
        <v>89114783.599999994</v>
      </c>
      <c r="AT5" s="685">
        <f t="shared" si="3"/>
        <v>17912708.530000001</v>
      </c>
      <c r="AU5" s="685">
        <f t="shared" si="3"/>
        <v>71202075.069999993</v>
      </c>
      <c r="AV5" s="1156">
        <f t="shared" si="3"/>
        <v>411048.11</v>
      </c>
      <c r="AW5" s="685">
        <f t="shared" si="3"/>
        <v>7980195.9699999997</v>
      </c>
      <c r="AX5" s="1099">
        <f t="shared" si="3"/>
        <v>970302.02</v>
      </c>
      <c r="AY5" s="685">
        <f t="shared" si="3"/>
        <v>5831130.21</v>
      </c>
      <c r="AZ5" s="1099">
        <f t="shared" si="3"/>
        <v>7483292.1200000001</v>
      </c>
      <c r="BA5" s="685">
        <f t="shared" si="3"/>
        <v>12015512.449999999</v>
      </c>
      <c r="BB5" s="1099">
        <f t="shared" si="3"/>
        <v>9052543.3900000006</v>
      </c>
      <c r="BC5" s="685">
        <f t="shared" si="3"/>
        <v>6868973.4900000002</v>
      </c>
      <c r="BD5" s="685">
        <f t="shared" si="3"/>
        <v>117535</v>
      </c>
      <c r="BE5" s="685">
        <f t="shared" si="3"/>
        <v>7336215.0899999999</v>
      </c>
      <c r="BF5" s="685">
        <f t="shared" si="3"/>
        <v>47400</v>
      </c>
      <c r="BG5" s="685">
        <f t="shared" si="3"/>
        <v>18230876.789999999</v>
      </c>
      <c r="BH5" s="685">
        <f t="shared" si="3"/>
        <v>37000</v>
      </c>
      <c r="BI5" s="685">
        <f t="shared" si="3"/>
        <v>6131573.04</v>
      </c>
      <c r="BJ5" s="685">
        <f t="shared" si="3"/>
        <v>37000</v>
      </c>
      <c r="BK5" s="685">
        <f t="shared" si="3"/>
        <v>4009707.27</v>
      </c>
      <c r="BL5" s="685">
        <f t="shared" si="3"/>
        <v>37000</v>
      </c>
      <c r="BM5" s="685">
        <f t="shared" si="3"/>
        <v>3334067.11</v>
      </c>
      <c r="BN5" s="685">
        <f t="shared" si="3"/>
        <v>37000</v>
      </c>
      <c r="BO5" s="685">
        <f t="shared" si="3"/>
        <v>1645946.98</v>
      </c>
      <c r="BP5" s="685">
        <f t="shared" si="3"/>
        <v>37000</v>
      </c>
      <c r="BQ5" s="685">
        <f t="shared" si="3"/>
        <v>2790100.59</v>
      </c>
      <c r="BR5" s="685">
        <f t="shared" si="3"/>
        <v>66636</v>
      </c>
      <c r="BS5" s="685">
        <f t="shared" si="3"/>
        <v>12950484.609999999</v>
      </c>
      <c r="BT5" s="575">
        <f>SUBTOTAL(9,BT7:BT170,BT176:BT177,BT184:BT268)</f>
        <v>5643230.71</v>
      </c>
    </row>
    <row r="6" spans="1:74" ht="18.75">
      <c r="F6" s="322" t="s">
        <v>137</v>
      </c>
      <c r="G6" s="322"/>
      <c r="H6" s="322"/>
      <c r="I6" s="322"/>
      <c r="J6" s="322"/>
      <c r="K6" s="322"/>
      <c r="L6" s="1014"/>
      <c r="M6" s="322"/>
      <c r="N6" s="322"/>
      <c r="O6" s="322"/>
      <c r="P6" s="327"/>
      <c r="Q6" s="322"/>
      <c r="R6" s="327"/>
      <c r="S6" s="2"/>
      <c r="T6" s="327"/>
      <c r="Z6" s="2"/>
      <c r="AA6" s="2"/>
      <c r="AB6" s="2"/>
      <c r="AC6" s="2"/>
      <c r="AD6" s="2"/>
      <c r="AE6" s="2"/>
      <c r="AF6" s="2"/>
      <c r="AG6" s="2"/>
      <c r="AH6" s="2"/>
      <c r="AI6" s="2"/>
      <c r="AJ6" s="2"/>
      <c r="AK6" s="2"/>
      <c r="AL6" s="273"/>
      <c r="AM6" s="2"/>
      <c r="AN6" s="2"/>
      <c r="AO6" s="2"/>
      <c r="AP6" s="2"/>
      <c r="AQ6" s="2"/>
      <c r="AR6" s="2"/>
      <c r="AS6" s="2"/>
      <c r="AT6" s="2"/>
      <c r="AU6" s="644"/>
      <c r="AW6" s="643"/>
      <c r="AX6" s="1100"/>
      <c r="AY6" s="643"/>
      <c r="AZ6" s="1100"/>
      <c r="BA6" s="643"/>
      <c r="BB6" s="1100"/>
      <c r="BC6" s="643"/>
      <c r="BD6" s="643"/>
      <c r="BE6" s="643"/>
      <c r="BF6" s="643"/>
      <c r="BG6" s="643"/>
      <c r="BH6" s="643"/>
      <c r="BI6" s="643"/>
      <c r="BJ6" s="643"/>
      <c r="BK6" s="643"/>
      <c r="BL6" s="643"/>
      <c r="BM6" s="643"/>
      <c r="BN6" s="643" t="e">
        <f t="shared" ref="BN6:BR6" si="4">ROUND(BN12/$AV$6,0)</f>
        <v>#DIV/0!</v>
      </c>
      <c r="BO6" s="643"/>
      <c r="BP6" s="643" t="e">
        <f t="shared" si="4"/>
        <v>#DIV/0!</v>
      </c>
      <c r="BQ6" s="643"/>
      <c r="BR6" s="643" t="e">
        <f t="shared" si="4"/>
        <v>#DIV/0!</v>
      </c>
      <c r="BS6" s="643"/>
      <c r="BT6" s="2"/>
    </row>
    <row r="7" spans="1:74" ht="18.75">
      <c r="F7" s="323" t="s">
        <v>29</v>
      </c>
      <c r="G7" s="321"/>
      <c r="H7" s="321"/>
      <c r="I7" s="321"/>
      <c r="J7" s="321"/>
      <c r="K7" s="321"/>
      <c r="L7" s="1015"/>
      <c r="M7" s="321"/>
      <c r="N7" s="321"/>
      <c r="O7" s="321"/>
      <c r="Q7" s="321"/>
      <c r="S7" s="2"/>
      <c r="Z7" s="2"/>
      <c r="AA7" s="2"/>
      <c r="AB7" s="2"/>
      <c r="AC7" s="2"/>
      <c r="AD7" s="2"/>
      <c r="AE7" s="2"/>
      <c r="AF7" s="2"/>
      <c r="AG7" s="2"/>
      <c r="AH7" s="2"/>
      <c r="AI7" s="2"/>
      <c r="AJ7" s="2"/>
      <c r="AK7" s="2"/>
      <c r="AL7" s="273"/>
      <c r="AM7" s="2"/>
      <c r="AN7" s="2"/>
      <c r="AO7" s="2"/>
      <c r="AP7" s="2"/>
      <c r="AQ7" s="2"/>
      <c r="AR7" s="2"/>
      <c r="AS7" s="2"/>
      <c r="AT7" s="2"/>
      <c r="AU7" s="2"/>
      <c r="AW7" s="1132" t="s">
        <v>738</v>
      </c>
      <c r="AX7" s="1101"/>
      <c r="AY7" s="2"/>
      <c r="AZ7" s="1101"/>
      <c r="BA7" s="2"/>
      <c r="BB7" s="1101"/>
      <c r="BC7" s="2"/>
      <c r="BD7" s="2"/>
      <c r="BE7" s="2"/>
      <c r="BF7" s="2"/>
      <c r="BG7" s="2"/>
      <c r="BH7" s="2"/>
      <c r="BI7" s="2"/>
      <c r="BJ7" s="2"/>
      <c r="BK7" s="2"/>
      <c r="BL7" s="2"/>
      <c r="BM7" s="2"/>
      <c r="BN7" s="2"/>
      <c r="BO7" s="2"/>
      <c r="BP7" s="2"/>
      <c r="BQ7" s="2"/>
      <c r="BR7" s="2"/>
      <c r="BS7" s="2"/>
      <c r="BT7" s="2"/>
    </row>
    <row r="8" spans="1:74" ht="16.5" thickBot="1">
      <c r="AV8" s="1158" t="s">
        <v>449</v>
      </c>
      <c r="BA8" s="386">
        <f>BB8-AW12-AY12-BA12</f>
        <v>941214.16</v>
      </c>
      <c r="BB8" s="1121">
        <v>9724242</v>
      </c>
      <c r="BG8" s="387">
        <f>BH8-BC12-BE12-BG12</f>
        <v>-3915758</v>
      </c>
      <c r="BH8" s="385">
        <v>9724242</v>
      </c>
      <c r="BM8" s="386">
        <f>BN8-BI12-BK12-BM12</f>
        <v>9101546.2599999998</v>
      </c>
      <c r="BN8" s="385">
        <v>9724242</v>
      </c>
      <c r="BS8" s="386">
        <f>BT8-BO12-BQ12-BS12</f>
        <v>5643230.71</v>
      </c>
      <c r="BT8" s="385">
        <f>ROUND($L$12*25%,2)</f>
        <v>5643230.71</v>
      </c>
    </row>
    <row r="9" spans="1:74" ht="27" customHeight="1" thickBot="1">
      <c r="H9" s="4"/>
      <c r="I9" s="4"/>
      <c r="L9" s="1016"/>
      <c r="Q9" s="5"/>
      <c r="S9" s="5" t="s">
        <v>0</v>
      </c>
      <c r="V9" s="737" t="s">
        <v>382</v>
      </c>
      <c r="W9" s="736" t="s">
        <v>391</v>
      </c>
      <c r="X9" s="738" t="s">
        <v>383</v>
      </c>
      <c r="Z9" s="1489" t="s">
        <v>182</v>
      </c>
      <c r="AA9" s="1490"/>
      <c r="AB9" s="1491"/>
      <c r="AC9" s="1489" t="s">
        <v>181</v>
      </c>
      <c r="AD9" s="1490"/>
      <c r="AE9" s="1491"/>
      <c r="AF9" s="1489" t="s">
        <v>186</v>
      </c>
      <c r="AG9" s="1490"/>
      <c r="AH9" s="1491"/>
      <c r="AI9" s="1489" t="s">
        <v>189</v>
      </c>
      <c r="AJ9" s="1490"/>
      <c r="AK9" s="1491"/>
      <c r="AL9" s="275"/>
      <c r="AM9" s="1492" t="s">
        <v>188</v>
      </c>
      <c r="AN9" s="1493"/>
      <c r="AO9" s="1494"/>
      <c r="AP9" s="1492" t="s">
        <v>187</v>
      </c>
      <c r="AQ9" s="1493"/>
      <c r="AR9" s="1494"/>
      <c r="AS9" s="1492" t="s">
        <v>213</v>
      </c>
      <c r="AT9" s="1493"/>
      <c r="AU9" s="1494"/>
      <c r="AV9" s="1159"/>
      <c r="AW9" s="1495" t="s">
        <v>179</v>
      </c>
      <c r="AX9" s="1520"/>
      <c r="AY9" s="1496" t="s">
        <v>178</v>
      </c>
      <c r="AZ9" s="1520"/>
      <c r="BA9" s="1496" t="s">
        <v>180</v>
      </c>
      <c r="BB9" s="1521"/>
      <c r="BC9" s="1498" t="s">
        <v>183</v>
      </c>
      <c r="BD9" s="1488"/>
      <c r="BE9" s="1488" t="s">
        <v>184</v>
      </c>
      <c r="BF9" s="1488"/>
      <c r="BG9" s="1488" t="s">
        <v>185</v>
      </c>
      <c r="BH9" s="1501"/>
      <c r="BI9" s="1502" t="s">
        <v>190</v>
      </c>
      <c r="BJ9" s="1503"/>
      <c r="BK9" s="1503" t="s">
        <v>191</v>
      </c>
      <c r="BL9" s="1503"/>
      <c r="BM9" s="1503" t="s">
        <v>192</v>
      </c>
      <c r="BN9" s="1504"/>
      <c r="BO9" s="1505" t="s">
        <v>193</v>
      </c>
      <c r="BP9" s="1499"/>
      <c r="BQ9" s="1499" t="s">
        <v>194</v>
      </c>
      <c r="BR9" s="1499"/>
      <c r="BS9" s="1499" t="s">
        <v>195</v>
      </c>
      <c r="BT9" s="1500"/>
      <c r="BU9" s="307" t="s">
        <v>198</v>
      </c>
      <c r="BV9" s="307" t="s">
        <v>199</v>
      </c>
    </row>
    <row r="10" spans="1:74" s="31" customFormat="1" ht="73.5" customHeight="1" thickBot="1">
      <c r="A10" s="845" t="s">
        <v>450</v>
      </c>
      <c r="B10" s="936" t="s">
        <v>451</v>
      </c>
      <c r="C10" s="846" t="s">
        <v>377</v>
      </c>
      <c r="D10" s="847" t="s">
        <v>380</v>
      </c>
      <c r="E10" s="848" t="s">
        <v>200</v>
      </c>
      <c r="F10" s="823" t="s">
        <v>1</v>
      </c>
      <c r="G10" s="12" t="s">
        <v>2</v>
      </c>
      <c r="H10" s="12" t="s">
        <v>68</v>
      </c>
      <c r="I10" s="12" t="s">
        <v>4</v>
      </c>
      <c r="J10" s="12" t="s">
        <v>5</v>
      </c>
      <c r="K10" s="522" t="s">
        <v>6</v>
      </c>
      <c r="L10" s="1017" t="s">
        <v>641</v>
      </c>
      <c r="M10" s="732" t="s">
        <v>73</v>
      </c>
      <c r="N10" s="732" t="s">
        <v>203</v>
      </c>
      <c r="O10" s="732" t="s">
        <v>33</v>
      </c>
      <c r="P10" s="733" t="s">
        <v>62</v>
      </c>
      <c r="Q10" s="732" t="s">
        <v>50</v>
      </c>
      <c r="R10" s="734" t="s">
        <v>62</v>
      </c>
      <c r="S10" s="735" t="s">
        <v>138</v>
      </c>
      <c r="T10" s="659" t="s">
        <v>62</v>
      </c>
      <c r="U10" s="325"/>
      <c r="V10" s="12" t="s">
        <v>210</v>
      </c>
      <c r="W10" s="12" t="s">
        <v>211</v>
      </c>
      <c r="X10" s="12" t="s">
        <v>212</v>
      </c>
      <c r="Z10" s="261" t="s">
        <v>82</v>
      </c>
      <c r="AA10" s="252" t="s">
        <v>177</v>
      </c>
      <c r="AB10" s="268" t="s">
        <v>196</v>
      </c>
      <c r="AC10" s="261" t="s">
        <v>82</v>
      </c>
      <c r="AD10" s="252" t="s">
        <v>177</v>
      </c>
      <c r="AE10" s="268" t="s">
        <v>196</v>
      </c>
      <c r="AF10" s="261" t="s">
        <v>82</v>
      </c>
      <c r="AG10" s="252" t="s">
        <v>177</v>
      </c>
      <c r="AH10" s="268" t="s">
        <v>196</v>
      </c>
      <c r="AI10" s="261" t="s">
        <v>82</v>
      </c>
      <c r="AJ10" s="252" t="s">
        <v>177</v>
      </c>
      <c r="AK10" s="268" t="s">
        <v>196</v>
      </c>
      <c r="AL10" s="276"/>
      <c r="AM10" s="261" t="s">
        <v>82</v>
      </c>
      <c r="AN10" s="246" t="s">
        <v>177</v>
      </c>
      <c r="AO10" s="279" t="s">
        <v>196</v>
      </c>
      <c r="AP10" s="261" t="s">
        <v>82</v>
      </c>
      <c r="AQ10" s="246" t="s">
        <v>177</v>
      </c>
      <c r="AR10" s="279" t="s">
        <v>196</v>
      </c>
      <c r="AS10" s="261" t="s">
        <v>82</v>
      </c>
      <c r="AT10" s="246" t="s">
        <v>177</v>
      </c>
      <c r="AU10" s="279" t="s">
        <v>196</v>
      </c>
      <c r="AV10" s="1160"/>
      <c r="AW10" s="288" t="s">
        <v>82</v>
      </c>
      <c r="AX10" s="1103" t="s">
        <v>177</v>
      </c>
      <c r="AY10" s="285" t="s">
        <v>82</v>
      </c>
      <c r="AZ10" s="1103" t="s">
        <v>177</v>
      </c>
      <c r="BA10" s="285" t="s">
        <v>82</v>
      </c>
      <c r="BB10" s="1122" t="s">
        <v>177</v>
      </c>
      <c r="BC10" s="295" t="s">
        <v>82</v>
      </c>
      <c r="BD10" s="294" t="s">
        <v>177</v>
      </c>
      <c r="BE10" s="293" t="s">
        <v>82</v>
      </c>
      <c r="BF10" s="294" t="s">
        <v>177</v>
      </c>
      <c r="BG10" s="293" t="s">
        <v>82</v>
      </c>
      <c r="BH10" s="296" t="s">
        <v>177</v>
      </c>
      <c r="BI10" s="299" t="s">
        <v>82</v>
      </c>
      <c r="BJ10" s="298" t="s">
        <v>177</v>
      </c>
      <c r="BK10" s="297" t="s">
        <v>82</v>
      </c>
      <c r="BL10" s="298" t="s">
        <v>177</v>
      </c>
      <c r="BM10" s="297" t="s">
        <v>82</v>
      </c>
      <c r="BN10" s="300" t="s">
        <v>177</v>
      </c>
      <c r="BO10" s="304" t="s">
        <v>82</v>
      </c>
      <c r="BP10" s="303" t="s">
        <v>177</v>
      </c>
      <c r="BQ10" s="302" t="s">
        <v>82</v>
      </c>
      <c r="BR10" s="303" t="s">
        <v>177</v>
      </c>
      <c r="BS10" s="302" t="s">
        <v>82</v>
      </c>
      <c r="BT10" s="284" t="s">
        <v>177</v>
      </c>
    </row>
    <row r="11" spans="1:74" s="31" customFormat="1" ht="42" customHeight="1" thickBot="1">
      <c r="A11" s="287">
        <v>1</v>
      </c>
      <c r="B11" s="933"/>
      <c r="C11" s="845"/>
      <c r="D11" s="849"/>
      <c r="E11" s="287" t="s">
        <v>201</v>
      </c>
      <c r="F11" s="306" t="s">
        <v>219</v>
      </c>
      <c r="G11" s="306"/>
      <c r="H11" s="306"/>
      <c r="I11" s="306"/>
      <c r="J11" s="306"/>
      <c r="K11" s="306"/>
      <c r="L11" s="1018"/>
      <c r="M11" s="311"/>
      <c r="N11" s="311"/>
      <c r="O11" s="311"/>
      <c r="P11" s="333"/>
      <c r="Q11" s="311"/>
      <c r="R11" s="333"/>
      <c r="T11" s="333"/>
      <c r="U11" s="325"/>
      <c r="V11" s="308"/>
      <c r="W11" s="308"/>
      <c r="X11" s="308"/>
      <c r="Z11" s="262"/>
      <c r="AA11" s="3"/>
      <c r="AB11" s="257"/>
      <c r="AC11" s="262"/>
      <c r="AD11" s="3"/>
      <c r="AE11" s="257"/>
      <c r="AF11" s="262"/>
      <c r="AG11" s="3"/>
      <c r="AH11" s="257"/>
      <c r="AI11" s="262"/>
      <c r="AJ11" s="3"/>
      <c r="AK11" s="257"/>
      <c r="AL11" s="3"/>
      <c r="AM11" s="262"/>
      <c r="AN11" s="3"/>
      <c r="AO11" s="257"/>
      <c r="AP11" s="262"/>
      <c r="AQ11" s="3"/>
      <c r="AR11" s="257"/>
      <c r="AS11" s="262"/>
      <c r="AT11" s="3"/>
      <c r="AU11" s="257"/>
      <c r="AV11" s="593"/>
      <c r="AW11" s="289"/>
      <c r="AX11" s="1104"/>
      <c r="AY11" s="287"/>
      <c r="AZ11" s="1104"/>
      <c r="BA11" s="287"/>
      <c r="BB11" s="1123"/>
      <c r="BC11" s="289"/>
      <c r="BD11" s="287"/>
      <c r="BE11" s="287"/>
      <c r="BF11" s="287"/>
      <c r="BG11" s="287"/>
      <c r="BH11" s="292"/>
      <c r="BI11" s="289"/>
      <c r="BJ11" s="287"/>
      <c r="BK11" s="287"/>
      <c r="BL11" s="287"/>
      <c r="BM11" s="287"/>
      <c r="BN11" s="292"/>
      <c r="BO11" s="289"/>
      <c r="BP11" s="287"/>
      <c r="BQ11" s="287"/>
      <c r="BR11" s="287"/>
      <c r="BS11" s="287"/>
      <c r="BT11" s="290"/>
    </row>
    <row r="12" spans="1:74" s="378" customFormat="1" ht="32.25" thickBot="1">
      <c r="A12" s="287">
        <v>2</v>
      </c>
      <c r="B12" s="933"/>
      <c r="C12" s="850"/>
      <c r="D12" s="851"/>
      <c r="E12" s="852" t="s">
        <v>201</v>
      </c>
      <c r="F12" s="824" t="s">
        <v>7</v>
      </c>
      <c r="G12" s="376">
        <v>4</v>
      </c>
      <c r="H12" s="376" t="s">
        <v>226</v>
      </c>
      <c r="I12" s="376">
        <v>111</v>
      </c>
      <c r="J12" s="377">
        <v>211</v>
      </c>
      <c r="K12" s="531" t="s">
        <v>8</v>
      </c>
      <c r="L12" s="1019">
        <v>22572922.84</v>
      </c>
      <c r="M12" s="972"/>
      <c r="N12" s="972">
        <f>ROUND(10458445.41/1.302,2)</f>
        <v>8032600.1600000001</v>
      </c>
      <c r="O12" s="1057">
        <f>L12+N12</f>
        <v>30605523</v>
      </c>
      <c r="P12" s="973">
        <f>41959190-L12-L190</f>
        <v>14323156.289999999</v>
      </c>
      <c r="Q12" s="971">
        <v>24496803.949999999</v>
      </c>
      <c r="R12" s="973"/>
      <c r="S12" s="971">
        <v>24191233.949999999</v>
      </c>
      <c r="T12" s="556"/>
      <c r="U12" s="380"/>
      <c r="V12" s="381"/>
      <c r="W12" s="381"/>
      <c r="X12" s="381"/>
      <c r="Z12" s="382">
        <f t="shared" ref="Z12:AA53" si="5">AW12+AY12+BA12</f>
        <v>8783027.8399999999</v>
      </c>
      <c r="AA12" s="247">
        <f t="shared" si="5"/>
        <v>8479402.4700000007</v>
      </c>
      <c r="AB12" s="383">
        <f t="shared" ref="AB12:AB81" si="6">Z12-AA12</f>
        <v>303625.37</v>
      </c>
      <c r="AC12" s="382">
        <f t="shared" ref="AC12:AD53" si="7">BC12+BE12+BG12</f>
        <v>13640000</v>
      </c>
      <c r="AD12" s="247">
        <f t="shared" si="7"/>
        <v>0</v>
      </c>
      <c r="AE12" s="383">
        <f t="shared" ref="AE12:AE81" si="8">AC12-AD12</f>
        <v>13640000</v>
      </c>
      <c r="AF12" s="382">
        <f t="shared" ref="AF12:AG53" si="9">BI12+BK12+BM12</f>
        <v>622695.74</v>
      </c>
      <c r="AG12" s="247">
        <f t="shared" si="9"/>
        <v>0</v>
      </c>
      <c r="AH12" s="383">
        <f t="shared" ref="AH12:AH81" si="10">AF12-AG12</f>
        <v>622695.74</v>
      </c>
      <c r="AI12" s="382">
        <f t="shared" ref="AI12:AJ53" si="11">BO12+BQ12+BS12</f>
        <v>0</v>
      </c>
      <c r="AJ12" s="247">
        <f t="shared" si="11"/>
        <v>0</v>
      </c>
      <c r="AK12" s="383">
        <f t="shared" ref="AK12:AK81" si="12">AI12-AJ12</f>
        <v>0</v>
      </c>
      <c r="AL12" s="250"/>
      <c r="AM12" s="382">
        <f t="shared" ref="AM12:AN53" si="13">Z12+AC12</f>
        <v>22423027.84</v>
      </c>
      <c r="AN12" s="247">
        <f t="shared" si="13"/>
        <v>8479402.4700000007</v>
      </c>
      <c r="AO12" s="383">
        <f t="shared" ref="AO12:AO81" si="14">AM12-AN12</f>
        <v>13943625.369999999</v>
      </c>
      <c r="AP12" s="382">
        <f t="shared" ref="AP12:AQ53" si="15">Z12+AC12+AF12</f>
        <v>23045723.579999998</v>
      </c>
      <c r="AQ12" s="247">
        <f t="shared" si="15"/>
        <v>8479402.4700000007</v>
      </c>
      <c r="AR12" s="383">
        <f t="shared" ref="AR12:AR81" si="16">AP12-AQ12</f>
        <v>14566321.109999999</v>
      </c>
      <c r="AS12" s="382">
        <f>Z12+AC12+AF12+AI12</f>
        <v>23045723.579999998</v>
      </c>
      <c r="AT12" s="247">
        <f t="shared" ref="AT12:AT81" si="17">AA12+AD12+AG12+AJ12</f>
        <v>8479402.4700000007</v>
      </c>
      <c r="AU12" s="383">
        <f t="shared" ref="AU12:AU81" si="18">AS12-AT12</f>
        <v>14566321.109999999</v>
      </c>
      <c r="AV12" s="599">
        <f t="shared" ref="AV12:AV81" si="19">L12-AS12</f>
        <v>-472800.74</v>
      </c>
      <c r="AW12" s="382">
        <v>1390000</v>
      </c>
      <c r="AX12" s="1131">
        <v>948705.39</v>
      </c>
      <c r="AY12" s="247">
        <f>2420000-AY13</f>
        <v>2183027.84</v>
      </c>
      <c r="AZ12" s="1131">
        <v>3500238.93</v>
      </c>
      <c r="BA12" s="247">
        <v>5210000</v>
      </c>
      <c r="BB12" s="1124">
        <v>4030458.15</v>
      </c>
      <c r="BC12" s="382">
        <v>2420000</v>
      </c>
      <c r="BD12" s="247"/>
      <c r="BE12" s="247">
        <v>2420000</v>
      </c>
      <c r="BF12" s="247"/>
      <c r="BG12" s="247">
        <v>8800000</v>
      </c>
      <c r="BH12" s="384"/>
      <c r="BI12" s="382">
        <v>622695.74</v>
      </c>
      <c r="BJ12" s="247"/>
      <c r="BK12" s="247"/>
      <c r="BL12" s="247"/>
      <c r="BM12" s="247"/>
      <c r="BN12" s="384"/>
      <c r="BO12" s="382"/>
      <c r="BP12" s="247"/>
      <c r="BQ12" s="247"/>
      <c r="BR12" s="247"/>
      <c r="BS12" s="247"/>
      <c r="BT12" s="383"/>
      <c r="BU12" s="378">
        <v>0.01</v>
      </c>
      <c r="BV12" s="378" t="s">
        <v>197</v>
      </c>
    </row>
    <row r="13" spans="1:74" s="897" customFormat="1" ht="31.5">
      <c r="A13" s="287">
        <v>3</v>
      </c>
      <c r="B13" s="937"/>
      <c r="C13" s="887"/>
      <c r="D13" s="888"/>
      <c r="E13" s="889" t="s">
        <v>201</v>
      </c>
      <c r="F13" s="890" t="s">
        <v>7</v>
      </c>
      <c r="G13" s="891">
        <v>4</v>
      </c>
      <c r="H13" s="891" t="s">
        <v>489</v>
      </c>
      <c r="I13" s="891">
        <v>111</v>
      </c>
      <c r="J13" s="892">
        <v>211</v>
      </c>
      <c r="K13" s="893" t="s">
        <v>8</v>
      </c>
      <c r="L13" s="1020">
        <v>709772.9</v>
      </c>
      <c r="M13" s="253"/>
      <c r="N13" s="254"/>
      <c r="O13" s="1058">
        <f>L13+N13</f>
        <v>709772.9</v>
      </c>
      <c r="P13" s="975"/>
      <c r="Q13" s="974">
        <v>0</v>
      </c>
      <c r="R13" s="975"/>
      <c r="S13" s="974">
        <v>0</v>
      </c>
      <c r="T13" s="894"/>
      <c r="U13" s="895"/>
      <c r="V13" s="896"/>
      <c r="W13" s="896"/>
      <c r="X13" s="896"/>
      <c r="Z13" s="898">
        <f t="shared" si="5"/>
        <v>236972.16</v>
      </c>
      <c r="AA13" s="253">
        <f t="shared" si="5"/>
        <v>0</v>
      </c>
      <c r="AB13" s="899">
        <f t="shared" si="6"/>
        <v>236972.16</v>
      </c>
      <c r="AC13" s="898">
        <f t="shared" si="7"/>
        <v>0</v>
      </c>
      <c r="AD13" s="253">
        <f t="shared" si="7"/>
        <v>0</v>
      </c>
      <c r="AE13" s="899">
        <f t="shared" si="8"/>
        <v>0</v>
      </c>
      <c r="AF13" s="898">
        <f t="shared" si="9"/>
        <v>0</v>
      </c>
      <c r="AG13" s="253">
        <f t="shared" si="9"/>
        <v>0</v>
      </c>
      <c r="AH13" s="899">
        <f t="shared" si="10"/>
        <v>0</v>
      </c>
      <c r="AI13" s="898">
        <f t="shared" si="11"/>
        <v>0</v>
      </c>
      <c r="AJ13" s="253">
        <f t="shared" si="11"/>
        <v>0</v>
      </c>
      <c r="AK13" s="899">
        <f t="shared" si="12"/>
        <v>0</v>
      </c>
      <c r="AL13" s="256"/>
      <c r="AM13" s="898">
        <f t="shared" si="13"/>
        <v>236972.16</v>
      </c>
      <c r="AN13" s="253">
        <f t="shared" si="13"/>
        <v>0</v>
      </c>
      <c r="AO13" s="899">
        <f t="shared" si="14"/>
        <v>236972.16</v>
      </c>
      <c r="AP13" s="898">
        <f t="shared" si="15"/>
        <v>236972.16</v>
      </c>
      <c r="AQ13" s="253">
        <f t="shared" si="15"/>
        <v>0</v>
      </c>
      <c r="AR13" s="899">
        <f t="shared" si="16"/>
        <v>236972.16</v>
      </c>
      <c r="AS13" s="898">
        <f>Z13+AC13+AF13+AI13</f>
        <v>236972.16</v>
      </c>
      <c r="AT13" s="253">
        <f t="shared" si="17"/>
        <v>0</v>
      </c>
      <c r="AU13" s="899">
        <f t="shared" si="18"/>
        <v>236972.16</v>
      </c>
      <c r="AV13" s="900">
        <f t="shared" si="19"/>
        <v>472800.74</v>
      </c>
      <c r="AW13" s="898"/>
      <c r="AX13" s="1106"/>
      <c r="AY13" s="974">
        <v>236972.16</v>
      </c>
      <c r="AZ13" s="1106"/>
      <c r="BA13" s="253"/>
      <c r="BB13" s="1125"/>
      <c r="BC13" s="898"/>
      <c r="BD13" s="253"/>
      <c r="BE13" s="253"/>
      <c r="BF13" s="253"/>
      <c r="BG13" s="253"/>
      <c r="BH13" s="901"/>
      <c r="BI13" s="898"/>
      <c r="BJ13" s="253"/>
      <c r="BK13" s="253"/>
      <c r="BL13" s="253"/>
      <c r="BM13" s="253"/>
      <c r="BN13" s="901"/>
      <c r="BO13" s="898"/>
      <c r="BP13" s="253"/>
      <c r="BQ13" s="253"/>
      <c r="BR13" s="253"/>
      <c r="BS13" s="253"/>
      <c r="BT13" s="899"/>
      <c r="BU13" s="897">
        <v>0.01</v>
      </c>
      <c r="BV13" s="897" t="s">
        <v>197</v>
      </c>
    </row>
    <row r="14" spans="1:74" s="358" customFormat="1" ht="31.5">
      <c r="A14" s="287">
        <v>4</v>
      </c>
      <c r="B14" s="933"/>
      <c r="C14" s="837"/>
      <c r="D14" s="838"/>
      <c r="E14" s="836" t="s">
        <v>201</v>
      </c>
      <c r="F14" s="820" t="s">
        <v>7</v>
      </c>
      <c r="G14" s="360">
        <v>4</v>
      </c>
      <c r="H14" s="360" t="s">
        <v>226</v>
      </c>
      <c r="I14" s="360">
        <v>119</v>
      </c>
      <c r="J14" s="361">
        <v>213</v>
      </c>
      <c r="K14" s="532" t="s">
        <v>10</v>
      </c>
      <c r="L14" s="1021">
        <v>6560084.6900000004</v>
      </c>
      <c r="M14" s="363"/>
      <c r="N14" s="363">
        <f>10458445.41-N12</f>
        <v>2425845.25</v>
      </c>
      <c r="O14" s="1051">
        <f t="shared" ref="O14:O83" si="20">L14+N14</f>
        <v>8985929.9399999995</v>
      </c>
      <c r="P14" s="557">
        <f>12475243.59-L14-L195</f>
        <v>4426924.3099999996</v>
      </c>
      <c r="Q14" s="544">
        <v>7276356.8899999997</v>
      </c>
      <c r="R14" s="557"/>
      <c r="S14" s="544">
        <v>7185672.04</v>
      </c>
      <c r="T14" s="557"/>
      <c r="U14" s="365"/>
      <c r="V14" s="366"/>
      <c r="W14" s="366"/>
      <c r="X14" s="366"/>
      <c r="Z14" s="367">
        <f t="shared" si="5"/>
        <v>1374706.23</v>
      </c>
      <c r="AA14" s="363">
        <f t="shared" si="5"/>
        <v>1374706.23</v>
      </c>
      <c r="AB14" s="280">
        <f t="shared" si="6"/>
        <v>0</v>
      </c>
      <c r="AC14" s="367">
        <f t="shared" si="7"/>
        <v>2489448.19</v>
      </c>
      <c r="AD14" s="363">
        <f t="shared" si="7"/>
        <v>0</v>
      </c>
      <c r="AE14" s="280">
        <f t="shared" si="8"/>
        <v>2489448.19</v>
      </c>
      <c r="AF14" s="367">
        <f t="shared" si="9"/>
        <v>2741050.57</v>
      </c>
      <c r="AG14" s="363">
        <f t="shared" si="9"/>
        <v>0</v>
      </c>
      <c r="AH14" s="280">
        <f t="shared" si="10"/>
        <v>2741050.57</v>
      </c>
      <c r="AI14" s="367">
        <f t="shared" si="11"/>
        <v>0</v>
      </c>
      <c r="AJ14" s="363">
        <f t="shared" si="11"/>
        <v>0</v>
      </c>
      <c r="AK14" s="280">
        <f t="shared" si="12"/>
        <v>0</v>
      </c>
      <c r="AL14" s="368"/>
      <c r="AM14" s="367">
        <f t="shared" si="13"/>
        <v>3864154.42</v>
      </c>
      <c r="AN14" s="363">
        <f t="shared" si="13"/>
        <v>1374706.23</v>
      </c>
      <c r="AO14" s="280">
        <f t="shared" si="14"/>
        <v>2489448.19</v>
      </c>
      <c r="AP14" s="367">
        <f t="shared" si="15"/>
        <v>6605204.9900000002</v>
      </c>
      <c r="AQ14" s="363">
        <f t="shared" si="15"/>
        <v>1374706.23</v>
      </c>
      <c r="AR14" s="280">
        <f t="shared" si="16"/>
        <v>5230498.76</v>
      </c>
      <c r="AS14" s="367">
        <f t="shared" ref="AS14:AT75" si="21">Z14+AC14+AF14+AI14</f>
        <v>6605204.9900000002</v>
      </c>
      <c r="AT14" s="363">
        <f t="shared" si="17"/>
        <v>1374706.23</v>
      </c>
      <c r="AU14" s="280">
        <f t="shared" si="18"/>
        <v>5230498.76</v>
      </c>
      <c r="AV14" s="588">
        <f t="shared" si="19"/>
        <v>-45120.3</v>
      </c>
      <c r="AW14" s="367">
        <v>4830.41</v>
      </c>
      <c r="AX14" s="1097">
        <v>4830.41</v>
      </c>
      <c r="AY14" s="363">
        <v>517256.52</v>
      </c>
      <c r="AZ14" s="1097">
        <v>517256.52</v>
      </c>
      <c r="BA14" s="363">
        <v>852619.3</v>
      </c>
      <c r="BB14" s="1119">
        <v>852619.3</v>
      </c>
      <c r="BC14" s="367">
        <f>BA12*30.2%-545651.81</f>
        <v>1027768.19</v>
      </c>
      <c r="BD14" s="363"/>
      <c r="BE14" s="363">
        <f>BC12*30.2%</f>
        <v>730840</v>
      </c>
      <c r="BF14" s="363"/>
      <c r="BG14" s="363">
        <f>BE12*30.2%</f>
        <v>730840</v>
      </c>
      <c r="BH14" s="369"/>
      <c r="BI14" s="367">
        <f>BG12*30.2%</f>
        <v>2657600</v>
      </c>
      <c r="BJ14" s="363"/>
      <c r="BK14" s="363">
        <f>BI12*30.2%</f>
        <v>188054.11</v>
      </c>
      <c r="BL14" s="363"/>
      <c r="BM14" s="363">
        <f>BK12*30.2%-68794.05-35809.49</f>
        <v>-104603.54</v>
      </c>
      <c r="BN14" s="369"/>
      <c r="BO14" s="367"/>
      <c r="BP14" s="363"/>
      <c r="BQ14" s="363">
        <f>BO12*30.2%</f>
        <v>0</v>
      </c>
      <c r="BR14" s="363"/>
      <c r="BS14" s="363">
        <f>BQ12*30.2%</f>
        <v>0</v>
      </c>
      <c r="BT14" s="280"/>
      <c r="BV14" s="358" t="s">
        <v>197</v>
      </c>
    </row>
    <row r="15" spans="1:74" s="881" customFormat="1" ht="31.5">
      <c r="A15" s="287">
        <v>5</v>
      </c>
      <c r="B15" s="938"/>
      <c r="C15" s="869"/>
      <c r="D15" s="870"/>
      <c r="E15" s="871" t="s">
        <v>201</v>
      </c>
      <c r="F15" s="872" t="s">
        <v>7</v>
      </c>
      <c r="G15" s="873">
        <v>4</v>
      </c>
      <c r="H15" s="873" t="s">
        <v>489</v>
      </c>
      <c r="I15" s="873">
        <v>119</v>
      </c>
      <c r="J15" s="874">
        <v>213</v>
      </c>
      <c r="K15" s="875" t="s">
        <v>10</v>
      </c>
      <c r="L15" s="1022">
        <v>116685.88</v>
      </c>
      <c r="M15" s="877"/>
      <c r="N15" s="877"/>
      <c r="O15" s="1059">
        <f>L15+N15</f>
        <v>116685.88</v>
      </c>
      <c r="P15" s="878"/>
      <c r="Q15" s="876">
        <v>0</v>
      </c>
      <c r="R15" s="878"/>
      <c r="S15" s="876">
        <v>0</v>
      </c>
      <c r="T15" s="878"/>
      <c r="U15" s="879"/>
      <c r="V15" s="880"/>
      <c r="W15" s="880"/>
      <c r="X15" s="880"/>
      <c r="Z15" s="882">
        <f t="shared" si="5"/>
        <v>71565.58</v>
      </c>
      <c r="AA15" s="877">
        <f t="shared" si="5"/>
        <v>71565.58</v>
      </c>
      <c r="AB15" s="883">
        <f t="shared" si="6"/>
        <v>0</v>
      </c>
      <c r="AC15" s="882">
        <f t="shared" si="7"/>
        <v>0</v>
      </c>
      <c r="AD15" s="877">
        <f t="shared" si="7"/>
        <v>0</v>
      </c>
      <c r="AE15" s="883">
        <f t="shared" si="8"/>
        <v>0</v>
      </c>
      <c r="AF15" s="882">
        <f t="shared" si="9"/>
        <v>0</v>
      </c>
      <c r="AG15" s="877">
        <f t="shared" si="9"/>
        <v>0</v>
      </c>
      <c r="AH15" s="883">
        <f t="shared" si="10"/>
        <v>0</v>
      </c>
      <c r="AI15" s="882">
        <f t="shared" si="11"/>
        <v>0</v>
      </c>
      <c r="AJ15" s="877">
        <f t="shared" si="11"/>
        <v>0</v>
      </c>
      <c r="AK15" s="883">
        <f t="shared" si="12"/>
        <v>0</v>
      </c>
      <c r="AL15" s="884"/>
      <c r="AM15" s="882">
        <f t="shared" si="13"/>
        <v>71565.58</v>
      </c>
      <c r="AN15" s="877">
        <f t="shared" si="13"/>
        <v>71565.58</v>
      </c>
      <c r="AO15" s="883">
        <f t="shared" si="14"/>
        <v>0</v>
      </c>
      <c r="AP15" s="882">
        <f t="shared" si="15"/>
        <v>71565.58</v>
      </c>
      <c r="AQ15" s="877">
        <f t="shared" si="15"/>
        <v>71565.58</v>
      </c>
      <c r="AR15" s="883">
        <f t="shared" si="16"/>
        <v>0</v>
      </c>
      <c r="AS15" s="882">
        <f t="shared" si="21"/>
        <v>71565.58</v>
      </c>
      <c r="AT15" s="877">
        <f t="shared" si="17"/>
        <v>71565.58</v>
      </c>
      <c r="AU15" s="883">
        <f t="shared" si="18"/>
        <v>0</v>
      </c>
      <c r="AV15" s="885">
        <f t="shared" si="19"/>
        <v>45120.3</v>
      </c>
      <c r="AW15" s="882"/>
      <c r="AX15" s="1107"/>
      <c r="AY15" s="877">
        <v>71565.58</v>
      </c>
      <c r="AZ15" s="1107">
        <v>71565.58</v>
      </c>
      <c r="BA15" s="877"/>
      <c r="BB15" s="1126"/>
      <c r="BC15" s="882"/>
      <c r="BD15" s="877"/>
      <c r="BE15" s="877"/>
      <c r="BF15" s="877"/>
      <c r="BG15" s="877"/>
      <c r="BH15" s="886"/>
      <c r="BI15" s="882"/>
      <c r="BJ15" s="877"/>
      <c r="BK15" s="877"/>
      <c r="BL15" s="877"/>
      <c r="BM15" s="877"/>
      <c r="BN15" s="886"/>
      <c r="BO15" s="882"/>
      <c r="BP15" s="877"/>
      <c r="BQ15" s="877"/>
      <c r="BR15" s="877"/>
      <c r="BS15" s="877"/>
      <c r="BT15" s="883"/>
      <c r="BV15" s="881" t="s">
        <v>197</v>
      </c>
    </row>
    <row r="16" spans="1:74" s="358" customFormat="1" ht="31.5">
      <c r="A16" s="287">
        <v>6</v>
      </c>
      <c r="B16" s="933"/>
      <c r="C16" s="837"/>
      <c r="D16" s="838"/>
      <c r="E16" s="836" t="s">
        <v>201</v>
      </c>
      <c r="F16" s="820" t="s">
        <v>135</v>
      </c>
      <c r="G16" s="360">
        <v>4</v>
      </c>
      <c r="H16" s="360" t="s">
        <v>226</v>
      </c>
      <c r="I16" s="360">
        <v>119</v>
      </c>
      <c r="J16" s="361">
        <v>213</v>
      </c>
      <c r="K16" s="532" t="s">
        <v>221</v>
      </c>
      <c r="L16" s="1023">
        <v>0</v>
      </c>
      <c r="M16" s="363"/>
      <c r="N16" s="363"/>
      <c r="O16" s="1051">
        <f t="shared" si="20"/>
        <v>0</v>
      </c>
      <c r="P16" s="557"/>
      <c r="Q16" s="367"/>
      <c r="R16" s="557"/>
      <c r="S16" s="367"/>
      <c r="T16" s="557"/>
      <c r="U16" s="365"/>
      <c r="V16" s="366"/>
      <c r="W16" s="366"/>
      <c r="X16" s="366"/>
      <c r="Z16" s="367">
        <f t="shared" si="5"/>
        <v>0</v>
      </c>
      <c r="AA16" s="363">
        <f t="shared" si="5"/>
        <v>0</v>
      </c>
      <c r="AB16" s="280">
        <f t="shared" si="6"/>
        <v>0</v>
      </c>
      <c r="AC16" s="367">
        <f t="shared" si="7"/>
        <v>0</v>
      </c>
      <c r="AD16" s="363">
        <f t="shared" si="7"/>
        <v>0</v>
      </c>
      <c r="AE16" s="280">
        <f t="shared" si="8"/>
        <v>0</v>
      </c>
      <c r="AF16" s="367">
        <f t="shared" si="9"/>
        <v>0</v>
      </c>
      <c r="AG16" s="363">
        <f t="shared" si="9"/>
        <v>0</v>
      </c>
      <c r="AH16" s="280">
        <f t="shared" si="10"/>
        <v>0</v>
      </c>
      <c r="AI16" s="367">
        <f t="shared" si="11"/>
        <v>0</v>
      </c>
      <c r="AJ16" s="363">
        <f t="shared" si="11"/>
        <v>0</v>
      </c>
      <c r="AK16" s="280">
        <f t="shared" si="12"/>
        <v>0</v>
      </c>
      <c r="AL16" s="368"/>
      <c r="AM16" s="367">
        <f t="shared" si="13"/>
        <v>0</v>
      </c>
      <c r="AN16" s="363">
        <f t="shared" si="13"/>
        <v>0</v>
      </c>
      <c r="AO16" s="280">
        <f t="shared" si="14"/>
        <v>0</v>
      </c>
      <c r="AP16" s="367">
        <f t="shared" si="15"/>
        <v>0</v>
      </c>
      <c r="AQ16" s="363">
        <f t="shared" si="15"/>
        <v>0</v>
      </c>
      <c r="AR16" s="280">
        <f t="shared" si="16"/>
        <v>0</v>
      </c>
      <c r="AS16" s="367">
        <f t="shared" si="21"/>
        <v>0</v>
      </c>
      <c r="AT16" s="363">
        <f t="shared" si="17"/>
        <v>0</v>
      </c>
      <c r="AU16" s="280">
        <f t="shared" si="18"/>
        <v>0</v>
      </c>
      <c r="AV16" s="588">
        <f t="shared" si="19"/>
        <v>0</v>
      </c>
      <c r="AW16" s="367"/>
      <c r="AX16" s="1097"/>
      <c r="AY16" s="363"/>
      <c r="AZ16" s="1097"/>
      <c r="BA16" s="363"/>
      <c r="BB16" s="1119"/>
      <c r="BC16" s="367"/>
      <c r="BD16" s="363"/>
      <c r="BE16" s="363"/>
      <c r="BF16" s="363"/>
      <c r="BG16" s="363"/>
      <c r="BH16" s="369"/>
      <c r="BI16" s="367"/>
      <c r="BJ16" s="363"/>
      <c r="BK16" s="363"/>
      <c r="BL16" s="363"/>
      <c r="BM16" s="363"/>
      <c r="BN16" s="369"/>
      <c r="BO16" s="367"/>
      <c r="BP16" s="363"/>
      <c r="BQ16" s="363"/>
      <c r="BR16" s="363"/>
      <c r="BS16" s="363"/>
      <c r="BT16" s="280"/>
    </row>
    <row r="17" spans="1:72" s="378" customFormat="1" ht="111" customHeight="1">
      <c r="A17" s="287">
        <v>7</v>
      </c>
      <c r="B17" s="933"/>
      <c r="C17" s="850" t="s">
        <v>377</v>
      </c>
      <c r="D17" s="851"/>
      <c r="E17" s="852" t="s">
        <v>201</v>
      </c>
      <c r="F17" s="824" t="s">
        <v>7</v>
      </c>
      <c r="G17" s="376">
        <v>4</v>
      </c>
      <c r="H17" s="376" t="s">
        <v>71</v>
      </c>
      <c r="I17" s="376">
        <v>111</v>
      </c>
      <c r="J17" s="377">
        <v>211</v>
      </c>
      <c r="K17" s="531" t="s">
        <v>513</v>
      </c>
      <c r="L17" s="1024">
        <f>SUM(L18:L22)</f>
        <v>95000</v>
      </c>
      <c r="M17" s="247"/>
      <c r="N17" s="247">
        <f>SUM(N18:N22)</f>
        <v>0</v>
      </c>
      <c r="O17" s="1060">
        <f t="shared" si="20"/>
        <v>95000</v>
      </c>
      <c r="P17" s="558"/>
      <c r="Q17" s="382">
        <f>SUM(Q18:Q22)</f>
        <v>115000</v>
      </c>
      <c r="R17" s="558"/>
      <c r="S17" s="382">
        <f t="shared" ref="S17" si="22">SUM(S18:S22)</f>
        <v>87000</v>
      </c>
      <c r="T17" s="558"/>
      <c r="U17" s="380"/>
      <c r="V17" s="381"/>
      <c r="W17" s="381"/>
      <c r="X17" s="381"/>
      <c r="Z17" s="382">
        <f t="shared" si="5"/>
        <v>15000</v>
      </c>
      <c r="AA17" s="247">
        <f t="shared" si="5"/>
        <v>15000</v>
      </c>
      <c r="AB17" s="383">
        <f t="shared" si="6"/>
        <v>0</v>
      </c>
      <c r="AC17" s="382">
        <f t="shared" si="7"/>
        <v>41000</v>
      </c>
      <c r="AD17" s="247">
        <f t="shared" si="7"/>
        <v>0</v>
      </c>
      <c r="AE17" s="383">
        <f t="shared" si="8"/>
        <v>41000</v>
      </c>
      <c r="AF17" s="382">
        <f t="shared" si="9"/>
        <v>12000</v>
      </c>
      <c r="AG17" s="247">
        <f t="shared" si="9"/>
        <v>0</v>
      </c>
      <c r="AH17" s="383">
        <f t="shared" si="10"/>
        <v>12000</v>
      </c>
      <c r="AI17" s="382">
        <f t="shared" si="11"/>
        <v>27000</v>
      </c>
      <c r="AJ17" s="247">
        <f t="shared" si="11"/>
        <v>0</v>
      </c>
      <c r="AK17" s="383">
        <f t="shared" si="12"/>
        <v>27000</v>
      </c>
      <c r="AL17" s="250"/>
      <c r="AM17" s="382">
        <f t="shared" si="13"/>
        <v>56000</v>
      </c>
      <c r="AN17" s="247">
        <f t="shared" si="13"/>
        <v>15000</v>
      </c>
      <c r="AO17" s="383">
        <f t="shared" si="14"/>
        <v>41000</v>
      </c>
      <c r="AP17" s="382">
        <f t="shared" si="15"/>
        <v>68000</v>
      </c>
      <c r="AQ17" s="247">
        <f t="shared" si="15"/>
        <v>15000</v>
      </c>
      <c r="AR17" s="383">
        <f t="shared" si="16"/>
        <v>53000</v>
      </c>
      <c r="AS17" s="382">
        <f t="shared" si="21"/>
        <v>95000</v>
      </c>
      <c r="AT17" s="247">
        <f t="shared" si="17"/>
        <v>15000</v>
      </c>
      <c r="AU17" s="383">
        <f t="shared" si="18"/>
        <v>80000</v>
      </c>
      <c r="AV17" s="599">
        <f t="shared" si="19"/>
        <v>0</v>
      </c>
      <c r="AW17" s="382">
        <f t="shared" ref="AW17:BT17" si="23">SUM(AW18:AW22)</f>
        <v>0</v>
      </c>
      <c r="AX17" s="1105">
        <f t="shared" si="23"/>
        <v>0</v>
      </c>
      <c r="AY17" s="247">
        <f t="shared" si="23"/>
        <v>15000</v>
      </c>
      <c r="AZ17" s="1105">
        <f t="shared" si="23"/>
        <v>15000</v>
      </c>
      <c r="BA17" s="247">
        <f t="shared" si="23"/>
        <v>0</v>
      </c>
      <c r="BB17" s="1124">
        <f t="shared" si="23"/>
        <v>0</v>
      </c>
      <c r="BC17" s="382">
        <f t="shared" si="23"/>
        <v>21000</v>
      </c>
      <c r="BD17" s="247">
        <f t="shared" si="23"/>
        <v>0</v>
      </c>
      <c r="BE17" s="247">
        <f t="shared" si="23"/>
        <v>20000</v>
      </c>
      <c r="BF17" s="247">
        <f t="shared" si="23"/>
        <v>0</v>
      </c>
      <c r="BG17" s="247">
        <f t="shared" si="23"/>
        <v>0</v>
      </c>
      <c r="BH17" s="384">
        <f t="shared" si="23"/>
        <v>0</v>
      </c>
      <c r="BI17" s="382">
        <f t="shared" si="23"/>
        <v>7000</v>
      </c>
      <c r="BJ17" s="247">
        <f t="shared" si="23"/>
        <v>0</v>
      </c>
      <c r="BK17" s="247">
        <f t="shared" si="23"/>
        <v>5000</v>
      </c>
      <c r="BL17" s="247">
        <f t="shared" si="23"/>
        <v>0</v>
      </c>
      <c r="BM17" s="247">
        <f t="shared" si="23"/>
        <v>0</v>
      </c>
      <c r="BN17" s="384">
        <f t="shared" si="23"/>
        <v>0</v>
      </c>
      <c r="BO17" s="382">
        <f t="shared" si="23"/>
        <v>7000</v>
      </c>
      <c r="BP17" s="247">
        <f t="shared" si="23"/>
        <v>0</v>
      </c>
      <c r="BQ17" s="247">
        <f t="shared" si="23"/>
        <v>20000</v>
      </c>
      <c r="BR17" s="247">
        <f t="shared" si="23"/>
        <v>0</v>
      </c>
      <c r="BS17" s="247">
        <f t="shared" si="23"/>
        <v>0</v>
      </c>
      <c r="BT17" s="383">
        <f t="shared" si="23"/>
        <v>0</v>
      </c>
    </row>
    <row r="18" spans="1:72" s="313" customFormat="1" ht="25.5" outlineLevel="1">
      <c r="A18" s="287">
        <v>8</v>
      </c>
      <c r="B18" s="933"/>
      <c r="C18" s="840"/>
      <c r="D18" s="841"/>
      <c r="E18" s="839"/>
      <c r="F18" s="821" t="s">
        <v>7</v>
      </c>
      <c r="G18" s="314">
        <v>4</v>
      </c>
      <c r="H18" s="739" t="s">
        <v>71</v>
      </c>
      <c r="I18" s="739">
        <v>111</v>
      </c>
      <c r="J18" s="740">
        <v>211</v>
      </c>
      <c r="K18" s="533" t="s">
        <v>316</v>
      </c>
      <c r="L18" s="1025">
        <v>10000</v>
      </c>
      <c r="M18" s="318"/>
      <c r="N18" s="318"/>
      <c r="O18" s="1052">
        <f t="shared" si="20"/>
        <v>10000</v>
      </c>
      <c r="P18" s="559"/>
      <c r="Q18" s="341">
        <f>10000*3</f>
        <v>30000</v>
      </c>
      <c r="R18" s="559"/>
      <c r="S18" s="341">
        <v>10000</v>
      </c>
      <c r="T18" s="559"/>
      <c r="U18" s="335"/>
      <c r="V18" s="320"/>
      <c r="W18" s="320"/>
      <c r="X18" s="320"/>
      <c r="Z18" s="336">
        <f t="shared" si="5"/>
        <v>0</v>
      </c>
      <c r="AA18" s="337">
        <f t="shared" si="5"/>
        <v>0</v>
      </c>
      <c r="AB18" s="338">
        <f t="shared" si="6"/>
        <v>0</v>
      </c>
      <c r="AC18" s="336">
        <f t="shared" si="7"/>
        <v>10000</v>
      </c>
      <c r="AD18" s="337">
        <f t="shared" si="7"/>
        <v>0</v>
      </c>
      <c r="AE18" s="338">
        <f t="shared" si="8"/>
        <v>10000</v>
      </c>
      <c r="AF18" s="336">
        <f t="shared" si="9"/>
        <v>0</v>
      </c>
      <c r="AG18" s="337">
        <f t="shared" si="9"/>
        <v>0</v>
      </c>
      <c r="AH18" s="338">
        <f t="shared" si="10"/>
        <v>0</v>
      </c>
      <c r="AI18" s="336">
        <f t="shared" si="11"/>
        <v>0</v>
      </c>
      <c r="AJ18" s="337">
        <f t="shared" si="11"/>
        <v>0</v>
      </c>
      <c r="AK18" s="338">
        <f t="shared" si="12"/>
        <v>0</v>
      </c>
      <c r="AL18" s="342"/>
      <c r="AM18" s="336">
        <f t="shared" si="13"/>
        <v>10000</v>
      </c>
      <c r="AN18" s="339">
        <f t="shared" si="13"/>
        <v>0</v>
      </c>
      <c r="AO18" s="340">
        <f t="shared" si="14"/>
        <v>10000</v>
      </c>
      <c r="AP18" s="336">
        <f t="shared" si="15"/>
        <v>10000</v>
      </c>
      <c r="AQ18" s="339">
        <f t="shared" si="15"/>
        <v>0</v>
      </c>
      <c r="AR18" s="340">
        <f t="shared" si="16"/>
        <v>10000</v>
      </c>
      <c r="AS18" s="341">
        <f t="shared" si="21"/>
        <v>10000</v>
      </c>
      <c r="AT18" s="339">
        <f t="shared" si="17"/>
        <v>0</v>
      </c>
      <c r="AU18" s="340">
        <f t="shared" si="18"/>
        <v>10000</v>
      </c>
      <c r="AV18" s="589">
        <f t="shared" si="19"/>
        <v>0</v>
      </c>
      <c r="AW18" s="343"/>
      <c r="AX18" s="1098"/>
      <c r="AY18" s="345"/>
      <c r="AZ18" s="1098"/>
      <c r="BA18" s="345"/>
      <c r="BB18" s="1120"/>
      <c r="BC18" s="347">
        <v>10000</v>
      </c>
      <c r="BD18" s="348"/>
      <c r="BE18" s="349"/>
      <c r="BF18" s="348"/>
      <c r="BG18" s="349"/>
      <c r="BH18" s="350"/>
      <c r="BI18" s="351"/>
      <c r="BJ18" s="352"/>
      <c r="BK18" s="337"/>
      <c r="BL18" s="352"/>
      <c r="BM18" s="337"/>
      <c r="BN18" s="353"/>
      <c r="BO18" s="354"/>
      <c r="BP18" s="355"/>
      <c r="BQ18" s="356"/>
      <c r="BR18" s="355"/>
      <c r="BS18" s="356"/>
      <c r="BT18" s="357"/>
    </row>
    <row r="19" spans="1:72" s="313" customFormat="1" ht="25.5" outlineLevel="1">
      <c r="A19" s="287">
        <v>9</v>
      </c>
      <c r="B19" s="933"/>
      <c r="C19" s="840"/>
      <c r="D19" s="841"/>
      <c r="E19" s="839"/>
      <c r="F19" s="821" t="s">
        <v>7</v>
      </c>
      <c r="G19" s="314">
        <v>4</v>
      </c>
      <c r="H19" s="739" t="s">
        <v>71</v>
      </c>
      <c r="I19" s="739">
        <v>111</v>
      </c>
      <c r="J19" s="740">
        <v>211</v>
      </c>
      <c r="K19" s="533" t="s">
        <v>317</v>
      </c>
      <c r="L19" s="1025">
        <f>20000*2</f>
        <v>40000</v>
      </c>
      <c r="M19" s="318"/>
      <c r="N19" s="318"/>
      <c r="O19" s="1052">
        <f t="shared" si="20"/>
        <v>40000</v>
      </c>
      <c r="P19" s="559"/>
      <c r="Q19" s="341">
        <f>20000*2</f>
        <v>40000</v>
      </c>
      <c r="R19" s="559"/>
      <c r="S19" s="341">
        <f>20000*2</f>
        <v>40000</v>
      </c>
      <c r="T19" s="559"/>
      <c r="U19" s="335"/>
      <c r="V19" s="320"/>
      <c r="W19" s="320"/>
      <c r="X19" s="320"/>
      <c r="Z19" s="336">
        <f t="shared" si="5"/>
        <v>0</v>
      </c>
      <c r="AA19" s="337">
        <f t="shared" si="5"/>
        <v>0</v>
      </c>
      <c r="AB19" s="338">
        <f t="shared" si="6"/>
        <v>0</v>
      </c>
      <c r="AC19" s="336">
        <f t="shared" si="7"/>
        <v>20000</v>
      </c>
      <c r="AD19" s="337">
        <f t="shared" si="7"/>
        <v>0</v>
      </c>
      <c r="AE19" s="338">
        <f t="shared" si="8"/>
        <v>20000</v>
      </c>
      <c r="AF19" s="336">
        <f t="shared" si="9"/>
        <v>0</v>
      </c>
      <c r="AG19" s="337">
        <f t="shared" si="9"/>
        <v>0</v>
      </c>
      <c r="AH19" s="338">
        <f t="shared" si="10"/>
        <v>0</v>
      </c>
      <c r="AI19" s="336">
        <f t="shared" si="11"/>
        <v>20000</v>
      </c>
      <c r="AJ19" s="337">
        <f t="shared" si="11"/>
        <v>0</v>
      </c>
      <c r="AK19" s="338">
        <f t="shared" si="12"/>
        <v>20000</v>
      </c>
      <c r="AL19" s="342"/>
      <c r="AM19" s="336">
        <f t="shared" si="13"/>
        <v>20000</v>
      </c>
      <c r="AN19" s="339">
        <f t="shared" si="13"/>
        <v>0</v>
      </c>
      <c r="AO19" s="340">
        <f t="shared" si="14"/>
        <v>20000</v>
      </c>
      <c r="AP19" s="336">
        <f t="shared" si="15"/>
        <v>20000</v>
      </c>
      <c r="AQ19" s="339">
        <f t="shared" si="15"/>
        <v>0</v>
      </c>
      <c r="AR19" s="340">
        <f t="shared" si="16"/>
        <v>20000</v>
      </c>
      <c r="AS19" s="341">
        <f t="shared" si="21"/>
        <v>40000</v>
      </c>
      <c r="AT19" s="339">
        <f t="shared" si="17"/>
        <v>0</v>
      </c>
      <c r="AU19" s="340">
        <f t="shared" si="18"/>
        <v>40000</v>
      </c>
      <c r="AV19" s="589">
        <f t="shared" si="19"/>
        <v>0</v>
      </c>
      <c r="AW19" s="343"/>
      <c r="AX19" s="1098"/>
      <c r="AY19" s="345"/>
      <c r="AZ19" s="1098"/>
      <c r="BA19" s="345"/>
      <c r="BB19" s="1120"/>
      <c r="BC19" s="347"/>
      <c r="BD19" s="348"/>
      <c r="BE19" s="349">
        <v>20000</v>
      </c>
      <c r="BF19" s="348"/>
      <c r="BG19" s="349"/>
      <c r="BH19" s="350"/>
      <c r="BI19" s="351"/>
      <c r="BJ19" s="352"/>
      <c r="BK19" s="337"/>
      <c r="BL19" s="352"/>
      <c r="BM19" s="337"/>
      <c r="BN19" s="353"/>
      <c r="BO19" s="354"/>
      <c r="BP19" s="355"/>
      <c r="BQ19" s="356">
        <v>20000</v>
      </c>
      <c r="BR19" s="355"/>
      <c r="BS19" s="356"/>
      <c r="BT19" s="357"/>
    </row>
    <row r="20" spans="1:72" s="313" customFormat="1" ht="25.5" outlineLevel="1">
      <c r="A20" s="287">
        <v>10</v>
      </c>
      <c r="B20" s="1148"/>
      <c r="C20" s="840"/>
      <c r="D20" s="841"/>
      <c r="E20" s="839"/>
      <c r="F20" s="821" t="s">
        <v>7</v>
      </c>
      <c r="G20" s="314">
        <v>4</v>
      </c>
      <c r="H20" s="739" t="s">
        <v>71</v>
      </c>
      <c r="I20" s="739">
        <v>111</v>
      </c>
      <c r="J20" s="740">
        <v>211</v>
      </c>
      <c r="K20" s="533" t="s">
        <v>318</v>
      </c>
      <c r="L20" s="1025">
        <f>5000*3-10000</f>
        <v>5000</v>
      </c>
      <c r="M20" s="318"/>
      <c r="N20" s="318"/>
      <c r="O20" s="1052">
        <f t="shared" si="20"/>
        <v>5000</v>
      </c>
      <c r="P20" s="559"/>
      <c r="Q20" s="341">
        <f>5000*3</f>
        <v>15000</v>
      </c>
      <c r="R20" s="559"/>
      <c r="S20" s="341">
        <f>5000*3</f>
        <v>15000</v>
      </c>
      <c r="T20" s="559"/>
      <c r="U20" s="335"/>
      <c r="V20" s="320"/>
      <c r="W20" s="320"/>
      <c r="X20" s="320"/>
      <c r="Z20" s="336">
        <f t="shared" si="5"/>
        <v>0</v>
      </c>
      <c r="AA20" s="337">
        <f t="shared" si="5"/>
        <v>0</v>
      </c>
      <c r="AB20" s="338">
        <f t="shared" si="6"/>
        <v>0</v>
      </c>
      <c r="AC20" s="336">
        <f t="shared" si="7"/>
        <v>0</v>
      </c>
      <c r="AD20" s="337">
        <f t="shared" si="7"/>
        <v>0</v>
      </c>
      <c r="AE20" s="338">
        <f t="shared" si="8"/>
        <v>0</v>
      </c>
      <c r="AF20" s="336">
        <f t="shared" si="9"/>
        <v>5000</v>
      </c>
      <c r="AG20" s="337">
        <f t="shared" si="9"/>
        <v>0</v>
      </c>
      <c r="AH20" s="338">
        <f t="shared" si="10"/>
        <v>5000</v>
      </c>
      <c r="AI20" s="336">
        <f t="shared" si="11"/>
        <v>0</v>
      </c>
      <c r="AJ20" s="337">
        <f t="shared" si="11"/>
        <v>0</v>
      </c>
      <c r="AK20" s="338">
        <f t="shared" si="12"/>
        <v>0</v>
      </c>
      <c r="AL20" s="342"/>
      <c r="AM20" s="336">
        <f t="shared" si="13"/>
        <v>0</v>
      </c>
      <c r="AN20" s="339">
        <f t="shared" si="13"/>
        <v>0</v>
      </c>
      <c r="AO20" s="340">
        <f t="shared" si="14"/>
        <v>0</v>
      </c>
      <c r="AP20" s="336">
        <f t="shared" si="15"/>
        <v>5000</v>
      </c>
      <c r="AQ20" s="339">
        <f t="shared" si="15"/>
        <v>0</v>
      </c>
      <c r="AR20" s="340">
        <f t="shared" si="16"/>
        <v>5000</v>
      </c>
      <c r="AS20" s="341">
        <f t="shared" si="21"/>
        <v>5000</v>
      </c>
      <c r="AT20" s="339">
        <f t="shared" si="17"/>
        <v>0</v>
      </c>
      <c r="AU20" s="340">
        <f t="shared" si="18"/>
        <v>5000</v>
      </c>
      <c r="AV20" s="589">
        <f t="shared" si="19"/>
        <v>0</v>
      </c>
      <c r="AW20" s="343"/>
      <c r="AX20" s="1098"/>
      <c r="AY20" s="345"/>
      <c r="AZ20" s="1098"/>
      <c r="BA20" s="345"/>
      <c r="BB20" s="1120"/>
      <c r="BC20" s="347"/>
      <c r="BD20" s="348"/>
      <c r="BE20" s="349"/>
      <c r="BF20" s="348"/>
      <c r="BG20" s="349"/>
      <c r="BH20" s="350"/>
      <c r="BI20" s="351"/>
      <c r="BJ20" s="352"/>
      <c r="BK20" s="337">
        <v>5000</v>
      </c>
      <c r="BL20" s="352"/>
      <c r="BM20" s="337"/>
      <c r="BN20" s="353"/>
      <c r="BO20" s="354"/>
      <c r="BP20" s="355"/>
      <c r="BQ20" s="356"/>
      <c r="BR20" s="355"/>
      <c r="BS20" s="356"/>
      <c r="BT20" s="357"/>
    </row>
    <row r="21" spans="1:72" s="313" customFormat="1" ht="25.5" outlineLevel="1">
      <c r="A21" s="287">
        <v>11</v>
      </c>
      <c r="B21" s="1151"/>
      <c r="C21" s="840"/>
      <c r="D21" s="841"/>
      <c r="E21" s="839"/>
      <c r="F21" s="821" t="s">
        <v>7</v>
      </c>
      <c r="G21" s="314">
        <v>4</v>
      </c>
      <c r="H21" s="739" t="s">
        <v>71</v>
      </c>
      <c r="I21" s="739">
        <v>111</v>
      </c>
      <c r="J21" s="740">
        <v>211</v>
      </c>
      <c r="K21" s="533" t="s">
        <v>680</v>
      </c>
      <c r="L21" s="1025">
        <v>10000</v>
      </c>
      <c r="M21" s="318"/>
      <c r="N21" s="318"/>
      <c r="O21" s="1052">
        <f t="shared" si="20"/>
        <v>10000</v>
      </c>
      <c r="P21" s="559"/>
      <c r="Q21" s="341">
        <v>0</v>
      </c>
      <c r="R21" s="559"/>
      <c r="S21" s="341">
        <v>0</v>
      </c>
      <c r="T21" s="559"/>
      <c r="U21" s="335"/>
      <c r="V21" s="320"/>
      <c r="W21" s="320"/>
      <c r="X21" s="320"/>
      <c r="Z21" s="336"/>
      <c r="AA21" s="337"/>
      <c r="AB21" s="338"/>
      <c r="AC21" s="336"/>
      <c r="AD21" s="337"/>
      <c r="AE21" s="338"/>
      <c r="AF21" s="336"/>
      <c r="AG21" s="337"/>
      <c r="AH21" s="338"/>
      <c r="AI21" s="336"/>
      <c r="AJ21" s="337"/>
      <c r="AK21" s="338"/>
      <c r="AL21" s="342"/>
      <c r="AM21" s="336"/>
      <c r="AN21" s="339"/>
      <c r="AO21" s="340"/>
      <c r="AP21" s="336"/>
      <c r="AQ21" s="339"/>
      <c r="AR21" s="340"/>
      <c r="AS21" s="341"/>
      <c r="AT21" s="339"/>
      <c r="AU21" s="340"/>
      <c r="AV21" s="589"/>
      <c r="AW21" s="343"/>
      <c r="AX21" s="1098"/>
      <c r="AY21" s="345">
        <v>10000</v>
      </c>
      <c r="AZ21" s="1098">
        <v>10000</v>
      </c>
      <c r="BA21" s="345"/>
      <c r="BB21" s="1120"/>
      <c r="BC21" s="347"/>
      <c r="BD21" s="348"/>
      <c r="BE21" s="349"/>
      <c r="BF21" s="348"/>
      <c r="BG21" s="349"/>
      <c r="BH21" s="350"/>
      <c r="BI21" s="351"/>
      <c r="BJ21" s="352"/>
      <c r="BK21" s="337"/>
      <c r="BL21" s="352"/>
      <c r="BM21" s="337"/>
      <c r="BN21" s="353"/>
      <c r="BO21" s="354"/>
      <c r="BP21" s="355"/>
      <c r="BQ21" s="356"/>
      <c r="BR21" s="355"/>
      <c r="BS21" s="356"/>
      <c r="BT21" s="357"/>
    </row>
    <row r="22" spans="1:72" s="313" customFormat="1" ht="38.25" outlineLevel="1">
      <c r="A22" s="287">
        <v>12</v>
      </c>
      <c r="B22" s="936"/>
      <c r="C22" s="840"/>
      <c r="D22" s="841"/>
      <c r="E22" s="839"/>
      <c r="F22" s="821" t="s">
        <v>7</v>
      </c>
      <c r="G22" s="314">
        <v>4</v>
      </c>
      <c r="H22" s="739" t="s">
        <v>71</v>
      </c>
      <c r="I22" s="739">
        <v>111</v>
      </c>
      <c r="J22" s="740">
        <v>211</v>
      </c>
      <c r="K22" s="533" t="s">
        <v>322</v>
      </c>
      <c r="L22" s="1025">
        <f>1000*9*4-6000</f>
        <v>30000</v>
      </c>
      <c r="M22" s="318"/>
      <c r="N22" s="318"/>
      <c r="O22" s="1052">
        <f t="shared" si="20"/>
        <v>30000</v>
      </c>
      <c r="P22" s="559"/>
      <c r="Q22" s="341">
        <f>1000*7*4+1000*1*2</f>
        <v>30000</v>
      </c>
      <c r="R22" s="559"/>
      <c r="S22" s="341">
        <f>1000*4*4+1000*2*3</f>
        <v>22000</v>
      </c>
      <c r="T22" s="559"/>
      <c r="U22" s="335"/>
      <c r="V22" s="320"/>
      <c r="W22" s="320"/>
      <c r="X22" s="320"/>
      <c r="Z22" s="336">
        <f t="shared" si="5"/>
        <v>5000</v>
      </c>
      <c r="AA22" s="337">
        <f t="shared" si="5"/>
        <v>5000</v>
      </c>
      <c r="AB22" s="338">
        <f t="shared" si="6"/>
        <v>0</v>
      </c>
      <c r="AC22" s="336">
        <f t="shared" si="7"/>
        <v>11000</v>
      </c>
      <c r="AD22" s="337">
        <f t="shared" si="7"/>
        <v>0</v>
      </c>
      <c r="AE22" s="338">
        <f t="shared" si="8"/>
        <v>11000</v>
      </c>
      <c r="AF22" s="336">
        <f t="shared" si="9"/>
        <v>7000</v>
      </c>
      <c r="AG22" s="337">
        <f t="shared" si="9"/>
        <v>0</v>
      </c>
      <c r="AH22" s="338">
        <f t="shared" si="10"/>
        <v>7000</v>
      </c>
      <c r="AI22" s="336">
        <f t="shared" si="11"/>
        <v>7000</v>
      </c>
      <c r="AJ22" s="337">
        <f t="shared" si="11"/>
        <v>0</v>
      </c>
      <c r="AK22" s="338">
        <f t="shared" si="12"/>
        <v>7000</v>
      </c>
      <c r="AL22" s="342"/>
      <c r="AM22" s="336">
        <f t="shared" si="13"/>
        <v>16000</v>
      </c>
      <c r="AN22" s="339">
        <f t="shared" si="13"/>
        <v>5000</v>
      </c>
      <c r="AO22" s="340">
        <f t="shared" si="14"/>
        <v>11000</v>
      </c>
      <c r="AP22" s="336">
        <f t="shared" si="15"/>
        <v>23000</v>
      </c>
      <c r="AQ22" s="339">
        <f t="shared" si="15"/>
        <v>5000</v>
      </c>
      <c r="AR22" s="340">
        <f t="shared" si="16"/>
        <v>18000</v>
      </c>
      <c r="AS22" s="341">
        <f t="shared" si="21"/>
        <v>30000</v>
      </c>
      <c r="AT22" s="339">
        <f t="shared" si="17"/>
        <v>5000</v>
      </c>
      <c r="AU22" s="340">
        <f t="shared" si="18"/>
        <v>25000</v>
      </c>
      <c r="AV22" s="589">
        <f t="shared" si="19"/>
        <v>0</v>
      </c>
      <c r="AW22" s="343"/>
      <c r="AX22" s="1098"/>
      <c r="AY22" s="345">
        <v>5000</v>
      </c>
      <c r="AZ22" s="1098">
        <v>5000</v>
      </c>
      <c r="BA22" s="345"/>
      <c r="BB22" s="1120"/>
      <c r="BC22" s="347">
        <f>9000-2000+4000</f>
        <v>11000</v>
      </c>
      <c r="BD22" s="348"/>
      <c r="BE22" s="349"/>
      <c r="BF22" s="348"/>
      <c r="BG22" s="349"/>
      <c r="BH22" s="350"/>
      <c r="BI22" s="351">
        <f>9000-2000</f>
        <v>7000</v>
      </c>
      <c r="BJ22" s="352"/>
      <c r="BK22" s="337"/>
      <c r="BL22" s="352"/>
      <c r="BM22" s="337"/>
      <c r="BN22" s="353"/>
      <c r="BO22" s="354">
        <f>9000-2000</f>
        <v>7000</v>
      </c>
      <c r="BP22" s="355"/>
      <c r="BQ22" s="356"/>
      <c r="BR22" s="355"/>
      <c r="BS22" s="356"/>
      <c r="BT22" s="357"/>
    </row>
    <row r="23" spans="1:72" s="358" customFormat="1" ht="94.5">
      <c r="A23" s="287">
        <v>13</v>
      </c>
      <c r="B23" s="936"/>
      <c r="C23" s="837"/>
      <c r="D23" s="838"/>
      <c r="E23" s="836" t="s">
        <v>201</v>
      </c>
      <c r="F23" s="820" t="s">
        <v>7</v>
      </c>
      <c r="G23" s="360">
        <v>4</v>
      </c>
      <c r="H23" s="360" t="s">
        <v>71</v>
      </c>
      <c r="I23" s="360">
        <v>111</v>
      </c>
      <c r="J23" s="361">
        <v>266</v>
      </c>
      <c r="K23" s="532" t="s">
        <v>536</v>
      </c>
      <c r="L23" s="1023">
        <f>SUM(L24:L26)</f>
        <v>208770.48</v>
      </c>
      <c r="M23" s="363"/>
      <c r="N23" s="363">
        <f>SUM(N24:N26)</f>
        <v>0</v>
      </c>
      <c r="O23" s="1051">
        <f t="shared" si="20"/>
        <v>208770.48</v>
      </c>
      <c r="P23" s="557"/>
      <c r="Q23" s="367">
        <f>SUM(Q24:Q26)</f>
        <v>174498.02</v>
      </c>
      <c r="R23" s="557"/>
      <c r="S23" s="367">
        <f>SUM(S24:S26)</f>
        <v>146516.96</v>
      </c>
      <c r="T23" s="557"/>
      <c r="U23" s="365"/>
      <c r="V23" s="366"/>
      <c r="W23" s="366"/>
      <c r="X23" s="366"/>
      <c r="Z23" s="367">
        <f t="shared" si="5"/>
        <v>13266</v>
      </c>
      <c r="AA23" s="363">
        <f t="shared" si="5"/>
        <v>3414.31</v>
      </c>
      <c r="AB23" s="280">
        <f t="shared" si="6"/>
        <v>9851.69</v>
      </c>
      <c r="AC23" s="367">
        <f t="shared" si="7"/>
        <v>12000</v>
      </c>
      <c r="AD23" s="363">
        <f t="shared" si="7"/>
        <v>0</v>
      </c>
      <c r="AE23" s="280">
        <f t="shared" si="8"/>
        <v>12000</v>
      </c>
      <c r="AF23" s="367">
        <f t="shared" si="9"/>
        <v>168570.48</v>
      </c>
      <c r="AG23" s="363">
        <f t="shared" si="9"/>
        <v>0</v>
      </c>
      <c r="AH23" s="280">
        <f t="shared" si="10"/>
        <v>168570.48</v>
      </c>
      <c r="AI23" s="367">
        <f t="shared" si="11"/>
        <v>14934</v>
      </c>
      <c r="AJ23" s="363">
        <f t="shared" si="11"/>
        <v>0</v>
      </c>
      <c r="AK23" s="280">
        <f t="shared" si="12"/>
        <v>14934</v>
      </c>
      <c r="AL23" s="368"/>
      <c r="AM23" s="367">
        <f t="shared" si="13"/>
        <v>25266</v>
      </c>
      <c r="AN23" s="363">
        <f t="shared" si="13"/>
        <v>3414.31</v>
      </c>
      <c r="AO23" s="280">
        <f t="shared" si="14"/>
        <v>21851.69</v>
      </c>
      <c r="AP23" s="367">
        <f t="shared" si="15"/>
        <v>193836.48</v>
      </c>
      <c r="AQ23" s="363">
        <f t="shared" si="15"/>
        <v>3414.31</v>
      </c>
      <c r="AR23" s="280">
        <f t="shared" si="16"/>
        <v>190422.17</v>
      </c>
      <c r="AS23" s="367">
        <f t="shared" si="21"/>
        <v>208770.48</v>
      </c>
      <c r="AT23" s="363">
        <f t="shared" si="17"/>
        <v>3414.31</v>
      </c>
      <c r="AU23" s="280">
        <f t="shared" si="18"/>
        <v>205356.17</v>
      </c>
      <c r="AV23" s="588">
        <f t="shared" si="19"/>
        <v>0</v>
      </c>
      <c r="AW23" s="367">
        <f t="shared" ref="AW23:BS23" si="24">SUM(AW24:AW26)</f>
        <v>0</v>
      </c>
      <c r="AX23" s="1097">
        <f t="shared" si="24"/>
        <v>1923.31</v>
      </c>
      <c r="AY23" s="363">
        <f t="shared" si="24"/>
        <v>13266</v>
      </c>
      <c r="AZ23" s="1097">
        <f t="shared" si="24"/>
        <v>574</v>
      </c>
      <c r="BA23" s="363">
        <f t="shared" si="24"/>
        <v>0</v>
      </c>
      <c r="BB23" s="1119">
        <f t="shared" si="24"/>
        <v>917</v>
      </c>
      <c r="BC23" s="367">
        <f t="shared" si="24"/>
        <v>2000</v>
      </c>
      <c r="BD23" s="363">
        <f t="shared" si="24"/>
        <v>0</v>
      </c>
      <c r="BE23" s="363">
        <f t="shared" si="24"/>
        <v>10000</v>
      </c>
      <c r="BF23" s="363">
        <f t="shared" si="24"/>
        <v>0</v>
      </c>
      <c r="BG23" s="363">
        <f t="shared" si="24"/>
        <v>0</v>
      </c>
      <c r="BH23" s="369">
        <f t="shared" si="24"/>
        <v>0</v>
      </c>
      <c r="BI23" s="367">
        <f t="shared" si="24"/>
        <v>2000</v>
      </c>
      <c r="BJ23" s="363">
        <f t="shared" si="24"/>
        <v>0</v>
      </c>
      <c r="BK23" s="363">
        <f t="shared" si="24"/>
        <v>132483.46</v>
      </c>
      <c r="BL23" s="363">
        <f t="shared" si="24"/>
        <v>0</v>
      </c>
      <c r="BM23" s="363">
        <f t="shared" si="24"/>
        <v>34087.019999999997</v>
      </c>
      <c r="BN23" s="369">
        <f t="shared" si="24"/>
        <v>0</v>
      </c>
      <c r="BO23" s="367">
        <f t="shared" si="24"/>
        <v>2000</v>
      </c>
      <c r="BP23" s="363">
        <f t="shared" si="24"/>
        <v>0</v>
      </c>
      <c r="BQ23" s="363">
        <f t="shared" si="24"/>
        <v>6200</v>
      </c>
      <c r="BR23" s="363">
        <f t="shared" si="24"/>
        <v>0</v>
      </c>
      <c r="BS23" s="363">
        <f t="shared" si="24"/>
        <v>6734</v>
      </c>
      <c r="BT23" s="280"/>
    </row>
    <row r="24" spans="1:72" s="313" customFormat="1" ht="38.25">
      <c r="A24" s="287">
        <v>14</v>
      </c>
      <c r="B24" s="936"/>
      <c r="C24" s="840"/>
      <c r="D24" s="841"/>
      <c r="E24" s="839"/>
      <c r="F24" s="821" t="s">
        <v>7</v>
      </c>
      <c r="G24" s="314">
        <v>4</v>
      </c>
      <c r="H24" s="739" t="s">
        <v>71</v>
      </c>
      <c r="I24" s="739">
        <v>111</v>
      </c>
      <c r="J24" s="740">
        <v>266</v>
      </c>
      <c r="K24" s="317" t="s">
        <v>535</v>
      </c>
      <c r="L24" s="1025">
        <v>46200</v>
      </c>
      <c r="M24" s="318"/>
      <c r="N24" s="318"/>
      <c r="O24" s="1052">
        <f t="shared" si="20"/>
        <v>46200</v>
      </c>
      <c r="P24" s="329"/>
      <c r="Q24" s="319">
        <v>46200</v>
      </c>
      <c r="R24" s="329"/>
      <c r="S24" s="319">
        <v>46200</v>
      </c>
      <c r="T24" s="329"/>
      <c r="U24" s="335"/>
      <c r="V24" s="320"/>
      <c r="W24" s="320"/>
      <c r="X24" s="320"/>
      <c r="Z24" s="336">
        <f t="shared" si="5"/>
        <v>13266</v>
      </c>
      <c r="AA24" s="337">
        <f t="shared" si="5"/>
        <v>3414.31</v>
      </c>
      <c r="AB24" s="338">
        <f t="shared" si="6"/>
        <v>9851.69</v>
      </c>
      <c r="AC24" s="336">
        <f t="shared" si="7"/>
        <v>10000</v>
      </c>
      <c r="AD24" s="337">
        <f t="shared" si="7"/>
        <v>0</v>
      </c>
      <c r="AE24" s="338">
        <f t="shared" si="8"/>
        <v>10000</v>
      </c>
      <c r="AF24" s="336">
        <f t="shared" si="9"/>
        <v>10000</v>
      </c>
      <c r="AG24" s="337">
        <f t="shared" si="9"/>
        <v>0</v>
      </c>
      <c r="AH24" s="338">
        <f t="shared" si="10"/>
        <v>10000</v>
      </c>
      <c r="AI24" s="336">
        <f t="shared" si="11"/>
        <v>12934</v>
      </c>
      <c r="AJ24" s="337">
        <f t="shared" si="11"/>
        <v>0</v>
      </c>
      <c r="AK24" s="338">
        <f t="shared" si="12"/>
        <v>12934</v>
      </c>
      <c r="AL24" s="342"/>
      <c r="AM24" s="336">
        <f t="shared" si="13"/>
        <v>23266</v>
      </c>
      <c r="AN24" s="339">
        <f t="shared" si="13"/>
        <v>3414.31</v>
      </c>
      <c r="AO24" s="340">
        <f t="shared" si="14"/>
        <v>19851.689999999999</v>
      </c>
      <c r="AP24" s="336">
        <f t="shared" si="15"/>
        <v>33266</v>
      </c>
      <c r="AQ24" s="339">
        <f t="shared" si="15"/>
        <v>3414.31</v>
      </c>
      <c r="AR24" s="340">
        <f t="shared" si="16"/>
        <v>29851.69</v>
      </c>
      <c r="AS24" s="341">
        <f t="shared" si="21"/>
        <v>46200</v>
      </c>
      <c r="AT24" s="339">
        <f t="shared" si="17"/>
        <v>3414.31</v>
      </c>
      <c r="AU24" s="340">
        <f t="shared" si="18"/>
        <v>42785.69</v>
      </c>
      <c r="AV24" s="589">
        <f t="shared" si="19"/>
        <v>0</v>
      </c>
      <c r="AW24" s="343"/>
      <c r="AX24" s="1098">
        <v>1923.31</v>
      </c>
      <c r="AY24" s="345">
        <f>20000-6734</f>
        <v>13266</v>
      </c>
      <c r="AZ24" s="1098">
        <v>574</v>
      </c>
      <c r="BA24" s="345"/>
      <c r="BB24" s="1120">
        <v>917</v>
      </c>
      <c r="BC24" s="347"/>
      <c r="BD24" s="348"/>
      <c r="BE24" s="349">
        <v>10000</v>
      </c>
      <c r="BF24" s="348"/>
      <c r="BG24" s="349"/>
      <c r="BH24" s="350"/>
      <c r="BI24" s="351"/>
      <c r="BJ24" s="352"/>
      <c r="BK24" s="337">
        <v>10000</v>
      </c>
      <c r="BL24" s="352"/>
      <c r="BM24" s="337"/>
      <c r="BN24" s="353"/>
      <c r="BO24" s="354"/>
      <c r="BP24" s="355"/>
      <c r="BQ24" s="356">
        <v>6200</v>
      </c>
      <c r="BR24" s="355"/>
      <c r="BS24" s="356">
        <v>6734</v>
      </c>
      <c r="BT24" s="357"/>
    </row>
    <row r="25" spans="1:72" s="313" customFormat="1" ht="51">
      <c r="A25" s="287">
        <v>15</v>
      </c>
      <c r="B25" s="936"/>
      <c r="C25" s="840"/>
      <c r="D25" s="841"/>
      <c r="E25" s="839"/>
      <c r="F25" s="821" t="s">
        <v>7</v>
      </c>
      <c r="G25" s="314">
        <v>4</v>
      </c>
      <c r="H25" s="739" t="s">
        <v>71</v>
      </c>
      <c r="I25" s="739">
        <v>111</v>
      </c>
      <c r="J25" s="740">
        <v>266</v>
      </c>
      <c r="K25" s="317" t="s">
        <v>527</v>
      </c>
      <c r="L25" s="1025">
        <v>6000</v>
      </c>
      <c r="M25" s="318"/>
      <c r="N25" s="318"/>
      <c r="O25" s="1052">
        <f t="shared" si="20"/>
        <v>6000</v>
      </c>
      <c r="P25" s="329"/>
      <c r="Q25" s="319">
        <v>0</v>
      </c>
      <c r="R25" s="329"/>
      <c r="S25" s="319">
        <v>0</v>
      </c>
      <c r="T25" s="329"/>
      <c r="U25" s="335"/>
      <c r="V25" s="320"/>
      <c r="W25" s="320"/>
      <c r="X25" s="320"/>
      <c r="Z25" s="336">
        <f>AW25+AY25+BA25</f>
        <v>0</v>
      </c>
      <c r="AA25" s="337">
        <f>AX25+AZ25+BB25</f>
        <v>0</v>
      </c>
      <c r="AB25" s="338">
        <f>Z25-AA25</f>
        <v>0</v>
      </c>
      <c r="AC25" s="336">
        <f>BC25+BE25+BG25</f>
        <v>2000</v>
      </c>
      <c r="AD25" s="337">
        <f>BD25+BF25+BH25</f>
        <v>0</v>
      </c>
      <c r="AE25" s="338">
        <f>AC25-AD25</f>
        <v>2000</v>
      </c>
      <c r="AF25" s="336">
        <f>BI25+BK25+BM25</f>
        <v>2000</v>
      </c>
      <c r="AG25" s="337">
        <f>BJ25+BL25+BN25</f>
        <v>0</v>
      </c>
      <c r="AH25" s="338">
        <f>AF25-AG25</f>
        <v>2000</v>
      </c>
      <c r="AI25" s="336">
        <f>BO25+BQ25+BS25</f>
        <v>2000</v>
      </c>
      <c r="AJ25" s="337">
        <f>BP25+BR25+BT25</f>
        <v>0</v>
      </c>
      <c r="AK25" s="338">
        <f>AI25-AJ25</f>
        <v>2000</v>
      </c>
      <c r="AL25" s="342"/>
      <c r="AM25" s="336">
        <f>Z25+AC25</f>
        <v>2000</v>
      </c>
      <c r="AN25" s="339">
        <f>AA25+AD25</f>
        <v>0</v>
      </c>
      <c r="AO25" s="340">
        <f>AM25-AN25</f>
        <v>2000</v>
      </c>
      <c r="AP25" s="336">
        <f>Z25+AC25+AF25</f>
        <v>4000</v>
      </c>
      <c r="AQ25" s="339">
        <f>AA25+AD25+AG25</f>
        <v>0</v>
      </c>
      <c r="AR25" s="340">
        <f>AP25-AQ25</f>
        <v>4000</v>
      </c>
      <c r="AS25" s="341">
        <f>Z25+AC25+AF25+AI25</f>
        <v>6000</v>
      </c>
      <c r="AT25" s="339">
        <f>AA25+AD25+AG25+AJ25</f>
        <v>0</v>
      </c>
      <c r="AU25" s="340">
        <f>AS25-AT25</f>
        <v>6000</v>
      </c>
      <c r="AV25" s="589"/>
      <c r="AW25" s="343"/>
      <c r="AX25" s="1098"/>
      <c r="AY25" s="345"/>
      <c r="AZ25" s="1098"/>
      <c r="BA25" s="345"/>
      <c r="BB25" s="1120"/>
      <c r="BC25" s="347">
        <v>2000</v>
      </c>
      <c r="BD25" s="348"/>
      <c r="BE25" s="349"/>
      <c r="BF25" s="348"/>
      <c r="BG25" s="349"/>
      <c r="BH25" s="350"/>
      <c r="BI25" s="351">
        <v>2000</v>
      </c>
      <c r="BJ25" s="352"/>
      <c r="BK25" s="337"/>
      <c r="BL25" s="352"/>
      <c r="BM25" s="337"/>
      <c r="BN25" s="353"/>
      <c r="BO25" s="354">
        <v>2000</v>
      </c>
      <c r="BP25" s="355"/>
      <c r="BQ25" s="356"/>
      <c r="BR25" s="355"/>
      <c r="BS25" s="356"/>
      <c r="BT25" s="357"/>
    </row>
    <row r="26" spans="1:72" s="313" customFormat="1" ht="38.25">
      <c r="A26" s="287">
        <v>16</v>
      </c>
      <c r="B26" s="936"/>
      <c r="C26" s="840"/>
      <c r="D26" s="841"/>
      <c r="E26" s="839"/>
      <c r="F26" s="821" t="s">
        <v>7</v>
      </c>
      <c r="G26" s="314">
        <v>4</v>
      </c>
      <c r="H26" s="739" t="s">
        <v>71</v>
      </c>
      <c r="I26" s="739">
        <v>111</v>
      </c>
      <c r="J26" s="740">
        <v>266</v>
      </c>
      <c r="K26" s="317" t="s">
        <v>528</v>
      </c>
      <c r="L26" s="1025">
        <v>156570.48000000001</v>
      </c>
      <c r="M26" s="318"/>
      <c r="N26" s="318"/>
      <c r="O26" s="1052">
        <f t="shared" si="20"/>
        <v>156570.48000000001</v>
      </c>
      <c r="P26" s="329"/>
      <c r="Q26" s="319">
        <f>174498.02-46200</f>
        <v>128298.02</v>
      </c>
      <c r="R26" s="329"/>
      <c r="S26" s="319">
        <f>146516.96-46200</f>
        <v>100316.96</v>
      </c>
      <c r="T26" s="329"/>
      <c r="U26" s="335"/>
      <c r="V26" s="320"/>
      <c r="W26" s="320"/>
      <c r="X26" s="320"/>
      <c r="Z26" s="336">
        <f>AW26+AY26+BA26</f>
        <v>0</v>
      </c>
      <c r="AA26" s="337">
        <f>AX26+AZ26+BB26</f>
        <v>0</v>
      </c>
      <c r="AB26" s="338">
        <f>Z26-AA26</f>
        <v>0</v>
      </c>
      <c r="AC26" s="336">
        <f>BC26+BE26+BG26</f>
        <v>0</v>
      </c>
      <c r="AD26" s="337">
        <f>BD26+BF26+BH26</f>
        <v>0</v>
      </c>
      <c r="AE26" s="338">
        <f>AC26-AD26</f>
        <v>0</v>
      </c>
      <c r="AF26" s="336">
        <f>BI26+BK26+BM26</f>
        <v>156570.48000000001</v>
      </c>
      <c r="AG26" s="337">
        <f>BJ26+BL26+BN26</f>
        <v>0</v>
      </c>
      <c r="AH26" s="338">
        <f>AF26-AG26</f>
        <v>156570.48000000001</v>
      </c>
      <c r="AI26" s="336">
        <f>BO26+BQ26+BS26</f>
        <v>0</v>
      </c>
      <c r="AJ26" s="337">
        <f>BP26+BR26+BT26</f>
        <v>0</v>
      </c>
      <c r="AK26" s="338">
        <f>AI26-AJ26</f>
        <v>0</v>
      </c>
      <c r="AL26" s="342"/>
      <c r="AM26" s="336">
        <f>Z26+AC26</f>
        <v>0</v>
      </c>
      <c r="AN26" s="339">
        <f>AA26+AD26</f>
        <v>0</v>
      </c>
      <c r="AO26" s="340">
        <f>AM26-AN26</f>
        <v>0</v>
      </c>
      <c r="AP26" s="336">
        <f>Z26+AC26+AF26</f>
        <v>156570.48000000001</v>
      </c>
      <c r="AQ26" s="339">
        <f>AA26+AD26+AG26</f>
        <v>0</v>
      </c>
      <c r="AR26" s="340">
        <f>AP26-AQ26</f>
        <v>156570.48000000001</v>
      </c>
      <c r="AS26" s="341">
        <f>Z26+AC26+AF26+AI26</f>
        <v>156570.48000000001</v>
      </c>
      <c r="AT26" s="339">
        <f>AA26+AD26+AG26+AJ26</f>
        <v>0</v>
      </c>
      <c r="AU26" s="340">
        <f>AS26-AT26</f>
        <v>156570.48000000001</v>
      </c>
      <c r="AV26" s="589"/>
      <c r="AW26" s="343"/>
      <c r="AX26" s="1098"/>
      <c r="AY26" s="345"/>
      <c r="AZ26" s="1098"/>
      <c r="BA26" s="345"/>
      <c r="BB26" s="1120"/>
      <c r="BC26" s="347"/>
      <c r="BD26" s="348"/>
      <c r="BE26" s="349"/>
      <c r="BF26" s="348"/>
      <c r="BG26" s="349"/>
      <c r="BH26" s="350"/>
      <c r="BI26" s="351"/>
      <c r="BJ26" s="352"/>
      <c r="BK26" s="337">
        <v>122483.46</v>
      </c>
      <c r="BL26" s="352"/>
      <c r="BM26" s="337">
        <v>34087.019999999997</v>
      </c>
      <c r="BN26" s="353"/>
      <c r="BO26" s="354"/>
      <c r="BP26" s="355"/>
      <c r="BQ26" s="356"/>
      <c r="BR26" s="355"/>
      <c r="BS26" s="356"/>
      <c r="BT26" s="357"/>
    </row>
    <row r="27" spans="1:72" s="358" customFormat="1" ht="85.5" customHeight="1">
      <c r="A27" s="287">
        <v>17</v>
      </c>
      <c r="B27" s="936"/>
      <c r="C27" s="837"/>
      <c r="D27" s="838"/>
      <c r="E27" s="836" t="s">
        <v>201</v>
      </c>
      <c r="F27" s="820" t="s">
        <v>7</v>
      </c>
      <c r="G27" s="360">
        <v>4</v>
      </c>
      <c r="H27" s="360" t="s">
        <v>71</v>
      </c>
      <c r="I27" s="360">
        <v>119</v>
      </c>
      <c r="J27" s="361">
        <v>266</v>
      </c>
      <c r="K27" s="532" t="s">
        <v>530</v>
      </c>
      <c r="L27" s="1023">
        <v>250000</v>
      </c>
      <c r="M27" s="363"/>
      <c r="N27" s="363"/>
      <c r="O27" s="1051">
        <f t="shared" si="20"/>
        <v>250000</v>
      </c>
      <c r="P27" s="557"/>
      <c r="Q27" s="367"/>
      <c r="R27" s="557"/>
      <c r="S27" s="367"/>
      <c r="T27" s="557"/>
      <c r="U27" s="365"/>
      <c r="V27" s="366"/>
      <c r="W27" s="366"/>
      <c r="X27" s="366"/>
      <c r="Z27" s="367">
        <f t="shared" si="5"/>
        <v>37000</v>
      </c>
      <c r="AA27" s="363">
        <f t="shared" si="5"/>
        <v>0</v>
      </c>
      <c r="AB27" s="280">
        <f t="shared" si="6"/>
        <v>37000</v>
      </c>
      <c r="AC27" s="367">
        <f t="shared" si="7"/>
        <v>87000</v>
      </c>
      <c r="AD27" s="363">
        <f t="shared" si="7"/>
        <v>111000</v>
      </c>
      <c r="AE27" s="280">
        <f t="shared" si="8"/>
        <v>-24000</v>
      </c>
      <c r="AF27" s="367">
        <f t="shared" si="9"/>
        <v>63000</v>
      </c>
      <c r="AG27" s="363">
        <f t="shared" si="9"/>
        <v>111000</v>
      </c>
      <c r="AH27" s="280">
        <f t="shared" si="10"/>
        <v>-48000</v>
      </c>
      <c r="AI27" s="367">
        <f t="shared" si="11"/>
        <v>63000</v>
      </c>
      <c r="AJ27" s="363">
        <f t="shared" si="11"/>
        <v>74000</v>
      </c>
      <c r="AK27" s="280">
        <f t="shared" si="12"/>
        <v>-11000</v>
      </c>
      <c r="AL27" s="368"/>
      <c r="AM27" s="367">
        <f t="shared" si="13"/>
        <v>124000</v>
      </c>
      <c r="AN27" s="363">
        <f t="shared" si="13"/>
        <v>111000</v>
      </c>
      <c r="AO27" s="280">
        <f t="shared" si="14"/>
        <v>13000</v>
      </c>
      <c r="AP27" s="367">
        <f t="shared" si="15"/>
        <v>187000</v>
      </c>
      <c r="AQ27" s="363">
        <f t="shared" si="15"/>
        <v>222000</v>
      </c>
      <c r="AR27" s="280">
        <f t="shared" si="16"/>
        <v>-35000</v>
      </c>
      <c r="AS27" s="367">
        <f t="shared" si="21"/>
        <v>250000</v>
      </c>
      <c r="AT27" s="363">
        <f t="shared" si="17"/>
        <v>296000</v>
      </c>
      <c r="AU27" s="280">
        <f t="shared" si="18"/>
        <v>-46000</v>
      </c>
      <c r="AV27" s="588">
        <f t="shared" si="19"/>
        <v>0</v>
      </c>
      <c r="AW27" s="367"/>
      <c r="AX27" s="1097"/>
      <c r="AY27" s="363"/>
      <c r="AZ27" s="1097"/>
      <c r="BA27" s="363">
        <f>13000+24000</f>
        <v>37000</v>
      </c>
      <c r="BB27" s="1119"/>
      <c r="BC27" s="367">
        <f t="shared" ref="BC27:BR27" si="25">13000+24000</f>
        <v>37000</v>
      </c>
      <c r="BD27" s="363">
        <f t="shared" si="25"/>
        <v>37000</v>
      </c>
      <c r="BE27" s="363">
        <f>13000</f>
        <v>13000</v>
      </c>
      <c r="BF27" s="363">
        <f t="shared" si="25"/>
        <v>37000</v>
      </c>
      <c r="BG27" s="363">
        <f t="shared" si="25"/>
        <v>37000</v>
      </c>
      <c r="BH27" s="369">
        <f t="shared" si="25"/>
        <v>37000</v>
      </c>
      <c r="BI27" s="367">
        <f t="shared" si="25"/>
        <v>37000</v>
      </c>
      <c r="BJ27" s="363">
        <f t="shared" si="25"/>
        <v>37000</v>
      </c>
      <c r="BK27" s="363">
        <f>13000</f>
        <v>13000</v>
      </c>
      <c r="BL27" s="363">
        <f t="shared" si="25"/>
        <v>37000</v>
      </c>
      <c r="BM27" s="363">
        <f>13000</f>
        <v>13000</v>
      </c>
      <c r="BN27" s="369">
        <f t="shared" si="25"/>
        <v>37000</v>
      </c>
      <c r="BO27" s="367">
        <f t="shared" si="25"/>
        <v>37000</v>
      </c>
      <c r="BP27" s="363">
        <f t="shared" si="25"/>
        <v>37000</v>
      </c>
      <c r="BQ27" s="363">
        <f>13000</f>
        <v>13000</v>
      </c>
      <c r="BR27" s="363">
        <f t="shared" si="25"/>
        <v>37000</v>
      </c>
      <c r="BS27" s="363">
        <f>13000</f>
        <v>13000</v>
      </c>
      <c r="BT27" s="280"/>
    </row>
    <row r="28" spans="1:72" s="358" customFormat="1" ht="47.25" customHeight="1">
      <c r="A28" s="287">
        <v>18</v>
      </c>
      <c r="B28" s="933"/>
      <c r="C28" s="850" t="s">
        <v>377</v>
      </c>
      <c r="D28" s="838"/>
      <c r="E28" s="836" t="s">
        <v>201</v>
      </c>
      <c r="F28" s="820" t="s">
        <v>7</v>
      </c>
      <c r="G28" s="360">
        <v>4</v>
      </c>
      <c r="H28" s="360" t="s">
        <v>71</v>
      </c>
      <c r="I28" s="360">
        <v>119</v>
      </c>
      <c r="J28" s="361">
        <v>213</v>
      </c>
      <c r="K28" s="532" t="s">
        <v>366</v>
      </c>
      <c r="L28" s="1023">
        <f>SUM(L29:L32)</f>
        <v>80866.679999999993</v>
      </c>
      <c r="M28" s="363"/>
      <c r="N28" s="363"/>
      <c r="O28" s="1051">
        <f t="shared" si="20"/>
        <v>80866.679999999993</v>
      </c>
      <c r="P28" s="557"/>
      <c r="Q28" s="367">
        <f>SUM(Q29:Q32)</f>
        <v>78368.399999999994</v>
      </c>
      <c r="R28" s="557"/>
      <c r="S28" s="367">
        <f>SUM(S29:S32)</f>
        <v>63878.12</v>
      </c>
      <c r="T28" s="557"/>
      <c r="U28" s="365"/>
      <c r="V28" s="366"/>
      <c r="W28" s="366"/>
      <c r="X28" s="366"/>
      <c r="Z28" s="367">
        <f t="shared" si="5"/>
        <v>0</v>
      </c>
      <c r="AA28" s="363">
        <f t="shared" si="5"/>
        <v>0</v>
      </c>
      <c r="AB28" s="280">
        <f t="shared" si="6"/>
        <v>0</v>
      </c>
      <c r="AC28" s="367">
        <f t="shared" si="7"/>
        <v>33306.68</v>
      </c>
      <c r="AD28" s="363">
        <f t="shared" si="7"/>
        <v>0</v>
      </c>
      <c r="AE28" s="280">
        <f t="shared" si="8"/>
        <v>33306.68</v>
      </c>
      <c r="AF28" s="367">
        <f t="shared" si="9"/>
        <v>38500</v>
      </c>
      <c r="AG28" s="363">
        <f t="shared" si="9"/>
        <v>0</v>
      </c>
      <c r="AH28" s="280">
        <f t="shared" si="10"/>
        <v>38500</v>
      </c>
      <c r="AI28" s="367">
        <f t="shared" si="11"/>
        <v>9060</v>
      </c>
      <c r="AJ28" s="363">
        <f t="shared" si="11"/>
        <v>0</v>
      </c>
      <c r="AK28" s="280">
        <f t="shared" si="12"/>
        <v>9060</v>
      </c>
      <c r="AL28" s="368"/>
      <c r="AM28" s="367">
        <f t="shared" si="13"/>
        <v>33306.68</v>
      </c>
      <c r="AN28" s="363">
        <f t="shared" si="13"/>
        <v>0</v>
      </c>
      <c r="AO28" s="280">
        <f t="shared" si="14"/>
        <v>33306.68</v>
      </c>
      <c r="AP28" s="367">
        <f t="shared" si="15"/>
        <v>71806.679999999993</v>
      </c>
      <c r="AQ28" s="363">
        <f t="shared" si="15"/>
        <v>0</v>
      </c>
      <c r="AR28" s="280">
        <f t="shared" si="16"/>
        <v>71806.679999999993</v>
      </c>
      <c r="AS28" s="367">
        <f t="shared" si="21"/>
        <v>80866.679999999993</v>
      </c>
      <c r="AT28" s="363">
        <f t="shared" si="17"/>
        <v>0</v>
      </c>
      <c r="AU28" s="280">
        <f t="shared" si="18"/>
        <v>80866.679999999993</v>
      </c>
      <c r="AV28" s="588">
        <f t="shared" si="19"/>
        <v>0</v>
      </c>
      <c r="AW28" s="367">
        <f t="shared" ref="AW28:BT28" si="26">SUM(AW29:AW32)</f>
        <v>0</v>
      </c>
      <c r="AX28" s="1097">
        <f t="shared" si="26"/>
        <v>0</v>
      </c>
      <c r="AY28" s="363">
        <f t="shared" si="26"/>
        <v>0</v>
      </c>
      <c r="AZ28" s="1097">
        <f t="shared" si="26"/>
        <v>0</v>
      </c>
      <c r="BA28" s="363">
        <f t="shared" si="26"/>
        <v>0</v>
      </c>
      <c r="BB28" s="1119">
        <f t="shared" si="26"/>
        <v>0</v>
      </c>
      <c r="BC28" s="367">
        <f t="shared" si="26"/>
        <v>3020</v>
      </c>
      <c r="BD28" s="363">
        <f t="shared" si="26"/>
        <v>0</v>
      </c>
      <c r="BE28" s="363">
        <f t="shared" si="26"/>
        <v>0</v>
      </c>
      <c r="BF28" s="363">
        <f t="shared" si="26"/>
        <v>0</v>
      </c>
      <c r="BG28" s="363">
        <f t="shared" si="26"/>
        <v>30286.68</v>
      </c>
      <c r="BH28" s="369">
        <f t="shared" si="26"/>
        <v>0</v>
      </c>
      <c r="BI28" s="367">
        <f t="shared" si="26"/>
        <v>0</v>
      </c>
      <c r="BJ28" s="363">
        <f t="shared" si="26"/>
        <v>0</v>
      </c>
      <c r="BK28" s="363">
        <f t="shared" si="26"/>
        <v>36990</v>
      </c>
      <c r="BL28" s="363">
        <f t="shared" si="26"/>
        <v>0</v>
      </c>
      <c r="BM28" s="363">
        <f t="shared" si="26"/>
        <v>1510</v>
      </c>
      <c r="BN28" s="369">
        <f t="shared" si="26"/>
        <v>0</v>
      </c>
      <c r="BO28" s="367">
        <f t="shared" si="26"/>
        <v>0</v>
      </c>
      <c r="BP28" s="363">
        <f t="shared" si="26"/>
        <v>0</v>
      </c>
      <c r="BQ28" s="363">
        <f t="shared" si="26"/>
        <v>3020</v>
      </c>
      <c r="BR28" s="363">
        <f t="shared" si="26"/>
        <v>0</v>
      </c>
      <c r="BS28" s="363">
        <f t="shared" si="26"/>
        <v>6040</v>
      </c>
      <c r="BT28" s="280">
        <f t="shared" si="26"/>
        <v>0</v>
      </c>
    </row>
    <row r="29" spans="1:72" s="313" customFormat="1" ht="51" outlineLevel="1">
      <c r="A29" s="287">
        <v>19</v>
      </c>
      <c r="B29" s="933"/>
      <c r="C29" s="840"/>
      <c r="D29" s="841"/>
      <c r="E29" s="839"/>
      <c r="F29" s="825" t="s">
        <v>7</v>
      </c>
      <c r="G29" s="314">
        <v>4</v>
      </c>
      <c r="H29" s="739" t="s">
        <v>71</v>
      </c>
      <c r="I29" s="739">
        <v>119</v>
      </c>
      <c r="J29" s="740">
        <v>213</v>
      </c>
      <c r="K29" s="533" t="s">
        <v>315</v>
      </c>
      <c r="L29" s="1025">
        <v>3020</v>
      </c>
      <c r="M29" s="318"/>
      <c r="N29" s="318"/>
      <c r="O29" s="1052">
        <f t="shared" si="20"/>
        <v>3020</v>
      </c>
      <c r="P29" s="559"/>
      <c r="Q29" s="336">
        <f>3020*3</f>
        <v>9060</v>
      </c>
      <c r="R29" s="559"/>
      <c r="S29" s="336">
        <v>3020</v>
      </c>
      <c r="T29" s="559"/>
      <c r="U29" s="335"/>
      <c r="V29" s="320"/>
      <c r="W29" s="320"/>
      <c r="X29" s="320"/>
      <c r="Z29" s="336">
        <f t="shared" si="5"/>
        <v>0</v>
      </c>
      <c r="AA29" s="337">
        <f t="shared" si="5"/>
        <v>0</v>
      </c>
      <c r="AB29" s="338">
        <f t="shared" si="6"/>
        <v>0</v>
      </c>
      <c r="AC29" s="336">
        <f t="shared" si="7"/>
        <v>3020</v>
      </c>
      <c r="AD29" s="337">
        <f t="shared" si="7"/>
        <v>0</v>
      </c>
      <c r="AE29" s="338">
        <f t="shared" si="8"/>
        <v>3020</v>
      </c>
      <c r="AF29" s="336">
        <f t="shared" si="9"/>
        <v>0</v>
      </c>
      <c r="AG29" s="337">
        <f t="shared" si="9"/>
        <v>0</v>
      </c>
      <c r="AH29" s="338">
        <f t="shared" si="10"/>
        <v>0</v>
      </c>
      <c r="AI29" s="336">
        <f t="shared" si="11"/>
        <v>0</v>
      </c>
      <c r="AJ29" s="337">
        <f t="shared" si="11"/>
        <v>0</v>
      </c>
      <c r="AK29" s="338">
        <f t="shared" si="12"/>
        <v>0</v>
      </c>
      <c r="AL29" s="342"/>
      <c r="AM29" s="336">
        <f t="shared" si="13"/>
        <v>3020</v>
      </c>
      <c r="AN29" s="339">
        <f t="shared" si="13"/>
        <v>0</v>
      </c>
      <c r="AO29" s="340">
        <f t="shared" si="14"/>
        <v>3020</v>
      </c>
      <c r="AP29" s="336">
        <f t="shared" si="15"/>
        <v>3020</v>
      </c>
      <c r="AQ29" s="339">
        <f t="shared" si="15"/>
        <v>0</v>
      </c>
      <c r="AR29" s="340">
        <f t="shared" si="16"/>
        <v>3020</v>
      </c>
      <c r="AS29" s="341">
        <f t="shared" si="21"/>
        <v>3020</v>
      </c>
      <c r="AT29" s="339">
        <f t="shared" si="17"/>
        <v>0</v>
      </c>
      <c r="AU29" s="340">
        <f t="shared" si="18"/>
        <v>3020</v>
      </c>
      <c r="AV29" s="589">
        <f t="shared" si="19"/>
        <v>0</v>
      </c>
      <c r="AW29" s="343"/>
      <c r="AX29" s="1098"/>
      <c r="AY29" s="345"/>
      <c r="AZ29" s="1098"/>
      <c r="BA29" s="345"/>
      <c r="BB29" s="1120"/>
      <c r="BC29" s="347">
        <v>3020</v>
      </c>
      <c r="BD29" s="348"/>
      <c r="BE29" s="349"/>
      <c r="BF29" s="348"/>
      <c r="BG29" s="349"/>
      <c r="BH29" s="350"/>
      <c r="BI29" s="351"/>
      <c r="BJ29" s="352"/>
      <c r="BK29" s="337"/>
      <c r="BL29" s="352"/>
      <c r="BM29" s="337"/>
      <c r="BN29" s="353"/>
      <c r="BO29" s="354"/>
      <c r="BP29" s="355"/>
      <c r="BQ29" s="356"/>
      <c r="BR29" s="355"/>
      <c r="BS29" s="356"/>
      <c r="BT29" s="357"/>
    </row>
    <row r="30" spans="1:72" s="313" customFormat="1" ht="38.25" outlineLevel="1">
      <c r="A30" s="287">
        <v>20</v>
      </c>
      <c r="B30" s="933"/>
      <c r="C30" s="840"/>
      <c r="D30" s="841"/>
      <c r="E30" s="839"/>
      <c r="F30" s="825" t="s">
        <v>7</v>
      </c>
      <c r="G30" s="314">
        <v>4</v>
      </c>
      <c r="H30" s="739" t="s">
        <v>71</v>
      </c>
      <c r="I30" s="739">
        <v>119</v>
      </c>
      <c r="J30" s="740">
        <v>213</v>
      </c>
      <c r="K30" s="533" t="s">
        <v>319</v>
      </c>
      <c r="L30" s="1025">
        <f>6040*2</f>
        <v>12080</v>
      </c>
      <c r="M30" s="318"/>
      <c r="N30" s="318"/>
      <c r="O30" s="1052">
        <f t="shared" si="20"/>
        <v>12080</v>
      </c>
      <c r="P30" s="559"/>
      <c r="Q30" s="341">
        <f>6040*2</f>
        <v>12080</v>
      </c>
      <c r="R30" s="559"/>
      <c r="S30" s="341">
        <f>6040*2</f>
        <v>12080</v>
      </c>
      <c r="T30" s="559"/>
      <c r="U30" s="335"/>
      <c r="V30" s="320"/>
      <c r="W30" s="320"/>
      <c r="X30" s="320"/>
      <c r="Z30" s="336">
        <f t="shared" si="5"/>
        <v>0</v>
      </c>
      <c r="AA30" s="337">
        <f t="shared" si="5"/>
        <v>0</v>
      </c>
      <c r="AB30" s="338">
        <f t="shared" si="6"/>
        <v>0</v>
      </c>
      <c r="AC30" s="336">
        <f t="shared" si="7"/>
        <v>6040</v>
      </c>
      <c r="AD30" s="337">
        <f t="shared" si="7"/>
        <v>0</v>
      </c>
      <c r="AE30" s="338">
        <f t="shared" si="8"/>
        <v>6040</v>
      </c>
      <c r="AF30" s="336">
        <f t="shared" si="9"/>
        <v>0</v>
      </c>
      <c r="AG30" s="337">
        <f t="shared" si="9"/>
        <v>0</v>
      </c>
      <c r="AH30" s="338">
        <f t="shared" si="10"/>
        <v>0</v>
      </c>
      <c r="AI30" s="336">
        <f t="shared" si="11"/>
        <v>6040</v>
      </c>
      <c r="AJ30" s="337">
        <f t="shared" si="11"/>
        <v>0</v>
      </c>
      <c r="AK30" s="338">
        <f t="shared" si="12"/>
        <v>6040</v>
      </c>
      <c r="AL30" s="342"/>
      <c r="AM30" s="336">
        <f t="shared" si="13"/>
        <v>6040</v>
      </c>
      <c r="AN30" s="339">
        <f t="shared" si="13"/>
        <v>0</v>
      </c>
      <c r="AO30" s="340">
        <f t="shared" si="14"/>
        <v>6040</v>
      </c>
      <c r="AP30" s="336">
        <f t="shared" si="15"/>
        <v>6040</v>
      </c>
      <c r="AQ30" s="339">
        <f t="shared" si="15"/>
        <v>0</v>
      </c>
      <c r="AR30" s="340">
        <f t="shared" si="16"/>
        <v>6040</v>
      </c>
      <c r="AS30" s="341">
        <f t="shared" si="21"/>
        <v>12080</v>
      </c>
      <c r="AT30" s="339">
        <f t="shared" si="17"/>
        <v>0</v>
      </c>
      <c r="AU30" s="340">
        <f t="shared" si="18"/>
        <v>12080</v>
      </c>
      <c r="AV30" s="589">
        <f t="shared" si="19"/>
        <v>0</v>
      </c>
      <c r="AW30" s="343"/>
      <c r="AX30" s="1098"/>
      <c r="AY30" s="345"/>
      <c r="AZ30" s="1098"/>
      <c r="BA30" s="345"/>
      <c r="BB30" s="1120"/>
      <c r="BC30" s="347"/>
      <c r="BD30" s="348"/>
      <c r="BE30" s="349"/>
      <c r="BF30" s="348"/>
      <c r="BG30" s="349">
        <v>6040</v>
      </c>
      <c r="BH30" s="350"/>
      <c r="BI30" s="351"/>
      <c r="BJ30" s="352"/>
      <c r="BK30" s="337"/>
      <c r="BL30" s="352"/>
      <c r="BM30" s="337"/>
      <c r="BN30" s="353"/>
      <c r="BO30" s="354"/>
      <c r="BP30" s="355"/>
      <c r="BQ30" s="356"/>
      <c r="BR30" s="355"/>
      <c r="BS30" s="356">
        <v>6040</v>
      </c>
      <c r="BT30" s="357"/>
    </row>
    <row r="31" spans="1:72" s="313" customFormat="1" ht="38.25" outlineLevel="1">
      <c r="A31" s="287">
        <v>21</v>
      </c>
      <c r="B31" s="933"/>
      <c r="C31" s="840"/>
      <c r="D31" s="841"/>
      <c r="E31" s="839"/>
      <c r="F31" s="825" t="s">
        <v>7</v>
      </c>
      <c r="G31" s="314">
        <v>4</v>
      </c>
      <c r="H31" s="739" t="s">
        <v>71</v>
      </c>
      <c r="I31" s="739">
        <v>119</v>
      </c>
      <c r="J31" s="740">
        <v>213</v>
      </c>
      <c r="K31" s="533" t="s">
        <v>321</v>
      </c>
      <c r="L31" s="1025">
        <f>1510*3</f>
        <v>4530</v>
      </c>
      <c r="M31" s="318"/>
      <c r="N31" s="318"/>
      <c r="O31" s="1052">
        <f t="shared" si="20"/>
        <v>4530</v>
      </c>
      <c r="P31" s="559"/>
      <c r="Q31" s="341">
        <f>1510*3</f>
        <v>4530</v>
      </c>
      <c r="R31" s="559"/>
      <c r="S31" s="341">
        <f>1510*3</f>
        <v>4530</v>
      </c>
      <c r="T31" s="559"/>
      <c r="U31" s="335"/>
      <c r="V31" s="320"/>
      <c r="W31" s="320"/>
      <c r="X31" s="320"/>
      <c r="Z31" s="336">
        <f t="shared" si="5"/>
        <v>0</v>
      </c>
      <c r="AA31" s="337">
        <f t="shared" si="5"/>
        <v>0</v>
      </c>
      <c r="AB31" s="338">
        <f t="shared" si="6"/>
        <v>0</v>
      </c>
      <c r="AC31" s="336">
        <f t="shared" si="7"/>
        <v>0</v>
      </c>
      <c r="AD31" s="337">
        <f t="shared" si="7"/>
        <v>0</v>
      </c>
      <c r="AE31" s="338">
        <f t="shared" si="8"/>
        <v>0</v>
      </c>
      <c r="AF31" s="336">
        <f t="shared" si="9"/>
        <v>1510</v>
      </c>
      <c r="AG31" s="337">
        <f t="shared" si="9"/>
        <v>0</v>
      </c>
      <c r="AH31" s="338">
        <f t="shared" si="10"/>
        <v>1510</v>
      </c>
      <c r="AI31" s="336">
        <f t="shared" si="11"/>
        <v>3020</v>
      </c>
      <c r="AJ31" s="337">
        <f t="shared" si="11"/>
        <v>0</v>
      </c>
      <c r="AK31" s="338">
        <f t="shared" si="12"/>
        <v>3020</v>
      </c>
      <c r="AL31" s="342"/>
      <c r="AM31" s="336">
        <f t="shared" si="13"/>
        <v>0</v>
      </c>
      <c r="AN31" s="339">
        <f t="shared" si="13"/>
        <v>0</v>
      </c>
      <c r="AO31" s="340">
        <f t="shared" si="14"/>
        <v>0</v>
      </c>
      <c r="AP31" s="336">
        <f t="shared" si="15"/>
        <v>1510</v>
      </c>
      <c r="AQ31" s="339">
        <f t="shared" si="15"/>
        <v>0</v>
      </c>
      <c r="AR31" s="340">
        <f t="shared" si="16"/>
        <v>1510</v>
      </c>
      <c r="AS31" s="341">
        <f t="shared" si="21"/>
        <v>4530</v>
      </c>
      <c r="AT31" s="339">
        <f t="shared" si="17"/>
        <v>0</v>
      </c>
      <c r="AU31" s="340">
        <f t="shared" si="18"/>
        <v>4530</v>
      </c>
      <c r="AV31" s="589">
        <f t="shared" si="19"/>
        <v>0</v>
      </c>
      <c r="AW31" s="343"/>
      <c r="AX31" s="1098"/>
      <c r="AY31" s="345"/>
      <c r="AZ31" s="1098"/>
      <c r="BA31" s="345"/>
      <c r="BB31" s="1120"/>
      <c r="BC31" s="347"/>
      <c r="BD31" s="348"/>
      <c r="BE31" s="349"/>
      <c r="BF31" s="348"/>
      <c r="BG31" s="349"/>
      <c r="BH31" s="350"/>
      <c r="BI31" s="351"/>
      <c r="BJ31" s="352"/>
      <c r="BK31" s="337"/>
      <c r="BL31" s="352"/>
      <c r="BM31" s="337">
        <v>1510</v>
      </c>
      <c r="BN31" s="353"/>
      <c r="BO31" s="354"/>
      <c r="BP31" s="355"/>
      <c r="BQ31" s="356">
        <v>3020</v>
      </c>
      <c r="BR31" s="355"/>
      <c r="BS31" s="356"/>
      <c r="BT31" s="357"/>
    </row>
    <row r="32" spans="1:72" s="313" customFormat="1" ht="63.75" outlineLevel="1">
      <c r="A32" s="287">
        <v>22</v>
      </c>
      <c r="B32" s="933"/>
      <c r="C32" s="840"/>
      <c r="D32" s="841"/>
      <c r="E32" s="839"/>
      <c r="F32" s="825" t="s">
        <v>7</v>
      </c>
      <c r="G32" s="314">
        <v>4</v>
      </c>
      <c r="H32" s="739" t="s">
        <v>71</v>
      </c>
      <c r="I32" s="739">
        <v>119</v>
      </c>
      <c r="J32" s="740">
        <v>213</v>
      </c>
      <c r="K32" s="533" t="s">
        <v>320</v>
      </c>
      <c r="L32" s="1025">
        <v>61236.68</v>
      </c>
      <c r="M32" s="318"/>
      <c r="N32" s="318"/>
      <c r="O32" s="1052">
        <f t="shared" si="20"/>
        <v>61236.68</v>
      </c>
      <c r="P32" s="559"/>
      <c r="Q32" s="336">
        <v>52698.400000000001</v>
      </c>
      <c r="R32" s="559"/>
      <c r="S32" s="336">
        <v>44248.12</v>
      </c>
      <c r="T32" s="559"/>
      <c r="U32" s="335"/>
      <c r="V32" s="320"/>
      <c r="W32" s="320"/>
      <c r="X32" s="320"/>
      <c r="Z32" s="336">
        <f t="shared" si="5"/>
        <v>0</v>
      </c>
      <c r="AA32" s="337">
        <f t="shared" si="5"/>
        <v>0</v>
      </c>
      <c r="AB32" s="338">
        <f t="shared" si="6"/>
        <v>0</v>
      </c>
      <c r="AC32" s="336">
        <f t="shared" si="7"/>
        <v>24246.68</v>
      </c>
      <c r="AD32" s="337">
        <f t="shared" si="7"/>
        <v>0</v>
      </c>
      <c r="AE32" s="338">
        <f t="shared" si="8"/>
        <v>24246.68</v>
      </c>
      <c r="AF32" s="336">
        <f t="shared" si="9"/>
        <v>36990</v>
      </c>
      <c r="AG32" s="337">
        <f t="shared" si="9"/>
        <v>0</v>
      </c>
      <c r="AH32" s="338">
        <f t="shared" si="10"/>
        <v>36990</v>
      </c>
      <c r="AI32" s="336">
        <f t="shared" si="11"/>
        <v>0</v>
      </c>
      <c r="AJ32" s="337">
        <f t="shared" si="11"/>
        <v>0</v>
      </c>
      <c r="AK32" s="338">
        <f t="shared" si="12"/>
        <v>0</v>
      </c>
      <c r="AL32" s="342"/>
      <c r="AM32" s="336">
        <f t="shared" si="13"/>
        <v>24246.68</v>
      </c>
      <c r="AN32" s="339">
        <f t="shared" si="13"/>
        <v>0</v>
      </c>
      <c r="AO32" s="340">
        <f t="shared" si="14"/>
        <v>24246.68</v>
      </c>
      <c r="AP32" s="336">
        <f t="shared" si="15"/>
        <v>61236.68</v>
      </c>
      <c r="AQ32" s="339">
        <f t="shared" si="15"/>
        <v>0</v>
      </c>
      <c r="AR32" s="340">
        <f t="shared" si="16"/>
        <v>61236.68</v>
      </c>
      <c r="AS32" s="341">
        <f t="shared" si="21"/>
        <v>61236.68</v>
      </c>
      <c r="AT32" s="339">
        <f t="shared" si="17"/>
        <v>0</v>
      </c>
      <c r="AU32" s="340">
        <f t="shared" si="18"/>
        <v>61236.68</v>
      </c>
      <c r="AV32" s="589">
        <f t="shared" si="19"/>
        <v>0</v>
      </c>
      <c r="AW32" s="343"/>
      <c r="AX32" s="1098"/>
      <c r="AY32" s="345"/>
      <c r="AZ32" s="1098"/>
      <c r="BA32" s="345"/>
      <c r="BB32" s="1120"/>
      <c r="BC32" s="347"/>
      <c r="BD32" s="348"/>
      <c r="BE32" s="349"/>
      <c r="BF32" s="348"/>
      <c r="BG32" s="349">
        <v>24246.68</v>
      </c>
      <c r="BH32" s="350"/>
      <c r="BI32" s="351"/>
      <c r="BJ32" s="352"/>
      <c r="BK32" s="337">
        <v>36990</v>
      </c>
      <c r="BL32" s="352"/>
      <c r="BM32" s="337"/>
      <c r="BN32" s="353"/>
      <c r="BO32" s="354"/>
      <c r="BP32" s="355"/>
      <c r="BQ32" s="356"/>
      <c r="BR32" s="355"/>
      <c r="BS32" s="356"/>
      <c r="BT32" s="357"/>
    </row>
    <row r="33" spans="1:74" s="378" customFormat="1" ht="31.5">
      <c r="A33" s="287">
        <v>23</v>
      </c>
      <c r="B33" s="933"/>
      <c r="C33" s="850"/>
      <c r="D33" s="1181" t="s">
        <v>227</v>
      </c>
      <c r="E33" s="852" t="s">
        <v>201</v>
      </c>
      <c r="F33" s="824" t="s">
        <v>7</v>
      </c>
      <c r="G33" s="376">
        <v>4</v>
      </c>
      <c r="H33" s="375" t="s">
        <v>225</v>
      </c>
      <c r="I33" s="376">
        <v>111</v>
      </c>
      <c r="J33" s="377">
        <v>211</v>
      </c>
      <c r="K33" s="531" t="s">
        <v>222</v>
      </c>
      <c r="L33" s="1024">
        <v>0</v>
      </c>
      <c r="M33" s="247"/>
      <c r="N33" s="247"/>
      <c r="O33" s="1060">
        <f t="shared" si="20"/>
        <v>0</v>
      </c>
      <c r="P33" s="558"/>
      <c r="Q33" s="382"/>
      <c r="R33" s="558"/>
      <c r="S33" s="382"/>
      <c r="T33" s="558"/>
      <c r="U33" s="380"/>
      <c r="V33" s="381"/>
      <c r="W33" s="381"/>
      <c r="X33" s="381"/>
      <c r="Z33" s="382">
        <f t="shared" si="5"/>
        <v>0</v>
      </c>
      <c r="AA33" s="247">
        <f t="shared" si="5"/>
        <v>0</v>
      </c>
      <c r="AB33" s="383">
        <f t="shared" si="6"/>
        <v>0</v>
      </c>
      <c r="AC33" s="382">
        <f t="shared" si="7"/>
        <v>0</v>
      </c>
      <c r="AD33" s="247">
        <f t="shared" si="7"/>
        <v>0</v>
      </c>
      <c r="AE33" s="383">
        <f t="shared" si="8"/>
        <v>0</v>
      </c>
      <c r="AF33" s="382">
        <f t="shared" si="9"/>
        <v>0</v>
      </c>
      <c r="AG33" s="247">
        <f t="shared" si="9"/>
        <v>0</v>
      </c>
      <c r="AH33" s="383">
        <f t="shared" si="10"/>
        <v>0</v>
      </c>
      <c r="AI33" s="382">
        <f t="shared" si="11"/>
        <v>0</v>
      </c>
      <c r="AJ33" s="247">
        <f t="shared" si="11"/>
        <v>0</v>
      </c>
      <c r="AK33" s="383">
        <f t="shared" si="12"/>
        <v>0</v>
      </c>
      <c r="AL33" s="250"/>
      <c r="AM33" s="382">
        <f t="shared" si="13"/>
        <v>0</v>
      </c>
      <c r="AN33" s="247">
        <f t="shared" si="13"/>
        <v>0</v>
      </c>
      <c r="AO33" s="383">
        <f t="shared" si="14"/>
        <v>0</v>
      </c>
      <c r="AP33" s="382">
        <f t="shared" si="15"/>
        <v>0</v>
      </c>
      <c r="AQ33" s="247">
        <f t="shared" si="15"/>
        <v>0</v>
      </c>
      <c r="AR33" s="383">
        <f t="shared" si="16"/>
        <v>0</v>
      </c>
      <c r="AS33" s="382">
        <f t="shared" si="21"/>
        <v>0</v>
      </c>
      <c r="AT33" s="247">
        <f t="shared" si="17"/>
        <v>0</v>
      </c>
      <c r="AU33" s="383">
        <f t="shared" si="18"/>
        <v>0</v>
      </c>
      <c r="AV33" s="599">
        <f t="shared" si="19"/>
        <v>0</v>
      </c>
      <c r="AW33" s="382"/>
      <c r="AX33" s="1105"/>
      <c r="AY33" s="247"/>
      <c r="AZ33" s="1105"/>
      <c r="BA33" s="247"/>
      <c r="BB33" s="1124"/>
      <c r="BC33" s="382"/>
      <c r="BD33" s="247"/>
      <c r="BE33" s="247"/>
      <c r="BF33" s="247"/>
      <c r="BG33" s="247"/>
      <c r="BH33" s="384"/>
      <c r="BI33" s="382"/>
      <c r="BJ33" s="247"/>
      <c r="BK33" s="247"/>
      <c r="BL33" s="247"/>
      <c r="BM33" s="247"/>
      <c r="BN33" s="384"/>
      <c r="BO33" s="382"/>
      <c r="BP33" s="247"/>
      <c r="BQ33" s="247"/>
      <c r="BR33" s="247"/>
      <c r="BS33" s="247"/>
      <c r="BT33" s="383"/>
      <c r="BV33" s="378" t="s">
        <v>197</v>
      </c>
    </row>
    <row r="34" spans="1:74" s="358" customFormat="1" ht="31.5">
      <c r="A34" s="287">
        <v>24</v>
      </c>
      <c r="B34" s="933"/>
      <c r="C34" s="837"/>
      <c r="D34" s="1180" t="s">
        <v>227</v>
      </c>
      <c r="E34" s="836" t="s">
        <v>201</v>
      </c>
      <c r="F34" s="820" t="s">
        <v>7</v>
      </c>
      <c r="G34" s="360">
        <v>4</v>
      </c>
      <c r="H34" s="360" t="s">
        <v>224</v>
      </c>
      <c r="I34" s="360">
        <v>119</v>
      </c>
      <c r="J34" s="361">
        <v>213</v>
      </c>
      <c r="K34" s="532" t="s">
        <v>223</v>
      </c>
      <c r="L34" s="1023">
        <v>0</v>
      </c>
      <c r="M34" s="363"/>
      <c r="N34" s="363"/>
      <c r="O34" s="1051">
        <f t="shared" si="20"/>
        <v>0</v>
      </c>
      <c r="P34" s="557"/>
      <c r="Q34" s="367"/>
      <c r="R34" s="557"/>
      <c r="S34" s="367"/>
      <c r="T34" s="557"/>
      <c r="U34" s="365"/>
      <c r="V34" s="366"/>
      <c r="W34" s="366"/>
      <c r="X34" s="366"/>
      <c r="Z34" s="367">
        <f t="shared" si="5"/>
        <v>0</v>
      </c>
      <c r="AA34" s="363">
        <f t="shared" si="5"/>
        <v>0</v>
      </c>
      <c r="AB34" s="280">
        <f t="shared" si="6"/>
        <v>0</v>
      </c>
      <c r="AC34" s="367">
        <f t="shared" si="7"/>
        <v>0</v>
      </c>
      <c r="AD34" s="363">
        <f t="shared" si="7"/>
        <v>0</v>
      </c>
      <c r="AE34" s="280">
        <f t="shared" si="8"/>
        <v>0</v>
      </c>
      <c r="AF34" s="367">
        <f t="shared" si="9"/>
        <v>0</v>
      </c>
      <c r="AG34" s="363">
        <f t="shared" si="9"/>
        <v>0</v>
      </c>
      <c r="AH34" s="280">
        <f t="shared" si="10"/>
        <v>0</v>
      </c>
      <c r="AI34" s="367">
        <f t="shared" si="11"/>
        <v>0</v>
      </c>
      <c r="AJ34" s="363">
        <f t="shared" si="11"/>
        <v>0</v>
      </c>
      <c r="AK34" s="280">
        <f t="shared" si="12"/>
        <v>0</v>
      </c>
      <c r="AL34" s="368"/>
      <c r="AM34" s="367">
        <f t="shared" si="13"/>
        <v>0</v>
      </c>
      <c r="AN34" s="363">
        <f t="shared" si="13"/>
        <v>0</v>
      </c>
      <c r="AO34" s="280">
        <f t="shared" si="14"/>
        <v>0</v>
      </c>
      <c r="AP34" s="367">
        <f t="shared" si="15"/>
        <v>0</v>
      </c>
      <c r="AQ34" s="363">
        <f t="shared" si="15"/>
        <v>0</v>
      </c>
      <c r="AR34" s="280">
        <f t="shared" si="16"/>
        <v>0</v>
      </c>
      <c r="AS34" s="367">
        <f t="shared" si="21"/>
        <v>0</v>
      </c>
      <c r="AT34" s="363">
        <f t="shared" si="17"/>
        <v>0</v>
      </c>
      <c r="AU34" s="280">
        <f t="shared" si="18"/>
        <v>0</v>
      </c>
      <c r="AV34" s="588">
        <f t="shared" si="19"/>
        <v>0</v>
      </c>
      <c r="AW34" s="367"/>
      <c r="AX34" s="1097"/>
      <c r="AY34" s="363"/>
      <c r="AZ34" s="1097"/>
      <c r="BA34" s="363"/>
      <c r="BB34" s="1119"/>
      <c r="BC34" s="367"/>
      <c r="BD34" s="363"/>
      <c r="BE34" s="363"/>
      <c r="BF34" s="363"/>
      <c r="BG34" s="363"/>
      <c r="BH34" s="369"/>
      <c r="BI34" s="367"/>
      <c r="BJ34" s="363"/>
      <c r="BK34" s="363"/>
      <c r="BL34" s="363"/>
      <c r="BM34" s="363"/>
      <c r="BN34" s="369"/>
      <c r="BO34" s="367"/>
      <c r="BP34" s="363"/>
      <c r="BQ34" s="363"/>
      <c r="BR34" s="363"/>
      <c r="BS34" s="363"/>
      <c r="BT34" s="280"/>
      <c r="BV34" s="358" t="s">
        <v>197</v>
      </c>
    </row>
    <row r="35" spans="1:74" s="358" customFormat="1" ht="31.5">
      <c r="A35" s="287">
        <v>25</v>
      </c>
      <c r="B35" s="1151"/>
      <c r="C35" s="837"/>
      <c r="D35" s="838"/>
      <c r="E35" s="836" t="s">
        <v>201</v>
      </c>
      <c r="F35" s="820" t="s">
        <v>7</v>
      </c>
      <c r="G35" s="360">
        <v>4</v>
      </c>
      <c r="H35" s="360" t="s">
        <v>71</v>
      </c>
      <c r="I35" s="360">
        <v>112</v>
      </c>
      <c r="J35" s="361">
        <v>214</v>
      </c>
      <c r="K35" s="532" t="s">
        <v>35</v>
      </c>
      <c r="L35" s="1023">
        <f>SUM(L36:L37)</f>
        <v>993266</v>
      </c>
      <c r="M35" s="363"/>
      <c r="N35" s="363">
        <f>SUM(N36:N37)</f>
        <v>0</v>
      </c>
      <c r="O35" s="1051">
        <f t="shared" si="20"/>
        <v>993266</v>
      </c>
      <c r="P35" s="557"/>
      <c r="Q35" s="367">
        <f>SUM(Q36:Q37)</f>
        <v>900000</v>
      </c>
      <c r="R35" s="557"/>
      <c r="S35" s="367">
        <f>SUM(S36:S37)</f>
        <v>1000000</v>
      </c>
      <c r="T35" s="557"/>
      <c r="U35" s="365"/>
      <c r="V35" s="366"/>
      <c r="W35" s="366"/>
      <c r="X35" s="366"/>
      <c r="Z35" s="367">
        <f t="shared" si="5"/>
        <v>0</v>
      </c>
      <c r="AA35" s="363">
        <f t="shared" si="5"/>
        <v>0</v>
      </c>
      <c r="AB35" s="280">
        <f t="shared" si="6"/>
        <v>0</v>
      </c>
      <c r="AC35" s="367">
        <f t="shared" si="7"/>
        <v>800000</v>
      </c>
      <c r="AD35" s="363">
        <f t="shared" si="7"/>
        <v>0</v>
      </c>
      <c r="AE35" s="280">
        <f t="shared" si="8"/>
        <v>800000</v>
      </c>
      <c r="AF35" s="367">
        <f t="shared" si="9"/>
        <v>193266</v>
      </c>
      <c r="AG35" s="363">
        <f t="shared" si="9"/>
        <v>0</v>
      </c>
      <c r="AH35" s="280">
        <f t="shared" si="10"/>
        <v>193266</v>
      </c>
      <c r="AI35" s="367">
        <f t="shared" si="11"/>
        <v>0</v>
      </c>
      <c r="AJ35" s="363">
        <f t="shared" si="11"/>
        <v>0</v>
      </c>
      <c r="AK35" s="280">
        <f t="shared" si="12"/>
        <v>0</v>
      </c>
      <c r="AL35" s="368"/>
      <c r="AM35" s="367">
        <f t="shared" si="13"/>
        <v>800000</v>
      </c>
      <c r="AN35" s="363">
        <f t="shared" si="13"/>
        <v>0</v>
      </c>
      <c r="AO35" s="280">
        <f t="shared" si="14"/>
        <v>800000</v>
      </c>
      <c r="AP35" s="367">
        <f t="shared" si="15"/>
        <v>993266</v>
      </c>
      <c r="AQ35" s="363">
        <f t="shared" si="15"/>
        <v>0</v>
      </c>
      <c r="AR35" s="280">
        <f t="shared" si="16"/>
        <v>993266</v>
      </c>
      <c r="AS35" s="367">
        <f t="shared" si="21"/>
        <v>993266</v>
      </c>
      <c r="AT35" s="363">
        <f t="shared" si="17"/>
        <v>0</v>
      </c>
      <c r="AU35" s="280">
        <f t="shared" si="18"/>
        <v>993266</v>
      </c>
      <c r="AV35" s="588">
        <f t="shared" si="19"/>
        <v>0</v>
      </c>
      <c r="AW35" s="367">
        <f t="shared" ref="AW35:BS35" si="27">SUM(AW36:AW37)</f>
        <v>0</v>
      </c>
      <c r="AX35" s="1097">
        <f t="shared" si="27"/>
        <v>0</v>
      </c>
      <c r="AY35" s="363">
        <f t="shared" si="27"/>
        <v>0</v>
      </c>
      <c r="AZ35" s="1097">
        <f t="shared" si="27"/>
        <v>0</v>
      </c>
      <c r="BA35" s="363">
        <f t="shared" si="27"/>
        <v>0</v>
      </c>
      <c r="BB35" s="1119">
        <f t="shared" si="27"/>
        <v>0</v>
      </c>
      <c r="BC35" s="367">
        <f t="shared" si="27"/>
        <v>0</v>
      </c>
      <c r="BD35" s="363">
        <f t="shared" si="27"/>
        <v>0</v>
      </c>
      <c r="BE35" s="363">
        <f t="shared" si="27"/>
        <v>0</v>
      </c>
      <c r="BF35" s="363">
        <f t="shared" si="27"/>
        <v>0</v>
      </c>
      <c r="BG35" s="363">
        <f t="shared" si="27"/>
        <v>800000</v>
      </c>
      <c r="BH35" s="369">
        <f t="shared" si="27"/>
        <v>0</v>
      </c>
      <c r="BI35" s="367">
        <f t="shared" si="27"/>
        <v>0</v>
      </c>
      <c r="BJ35" s="363">
        <f t="shared" si="27"/>
        <v>0</v>
      </c>
      <c r="BK35" s="363">
        <f t="shared" si="27"/>
        <v>193266</v>
      </c>
      <c r="BL35" s="363">
        <f t="shared" si="27"/>
        <v>0</v>
      </c>
      <c r="BM35" s="363">
        <f t="shared" si="27"/>
        <v>0</v>
      </c>
      <c r="BN35" s="369">
        <f t="shared" si="27"/>
        <v>0</v>
      </c>
      <c r="BO35" s="367">
        <f t="shared" si="27"/>
        <v>0</v>
      </c>
      <c r="BP35" s="363">
        <f t="shared" si="27"/>
        <v>0</v>
      </c>
      <c r="BQ35" s="363">
        <f t="shared" si="27"/>
        <v>0</v>
      </c>
      <c r="BR35" s="363">
        <f t="shared" si="27"/>
        <v>0</v>
      </c>
      <c r="BS35" s="363">
        <f t="shared" si="27"/>
        <v>0</v>
      </c>
      <c r="BT35" s="280"/>
    </row>
    <row r="36" spans="1:74" s="313" customFormat="1" ht="76.5">
      <c r="A36" s="287">
        <v>26</v>
      </c>
      <c r="B36" s="935"/>
      <c r="C36" s="840"/>
      <c r="D36" s="841"/>
      <c r="E36" s="839"/>
      <c r="F36" s="821" t="s">
        <v>7</v>
      </c>
      <c r="G36" s="314">
        <v>4</v>
      </c>
      <c r="H36" s="739" t="s">
        <v>71</v>
      </c>
      <c r="I36" s="739">
        <v>112</v>
      </c>
      <c r="J36" s="740">
        <v>214</v>
      </c>
      <c r="K36" s="317" t="s">
        <v>844</v>
      </c>
      <c r="L36" s="1013">
        <v>986259.6</v>
      </c>
      <c r="M36" s="318"/>
      <c r="N36" s="318"/>
      <c r="O36" s="1052">
        <f t="shared" si="20"/>
        <v>986259.6</v>
      </c>
      <c r="P36" s="329"/>
      <c r="Q36" s="319">
        <v>900000</v>
      </c>
      <c r="R36" s="329"/>
      <c r="S36" s="319">
        <v>1000000</v>
      </c>
      <c r="T36" s="329"/>
      <c r="U36" s="335"/>
      <c r="V36" s="596" t="s">
        <v>863</v>
      </c>
      <c r="W36" s="320"/>
      <c r="X36" s="320"/>
      <c r="Z36" s="336">
        <f>AW36+AY36+BA36</f>
        <v>0</v>
      </c>
      <c r="AA36" s="337">
        <f>AX36+AZ36+BB36</f>
        <v>0</v>
      </c>
      <c r="AB36" s="338">
        <f>Z36-AA36</f>
        <v>0</v>
      </c>
      <c r="AC36" s="336">
        <f>BC36+BE36+BG36</f>
        <v>792993.6</v>
      </c>
      <c r="AD36" s="337">
        <f>BD36+BF36+BH36</f>
        <v>0</v>
      </c>
      <c r="AE36" s="338">
        <f>AC36-AD36</f>
        <v>792993.6</v>
      </c>
      <c r="AF36" s="336">
        <f>BI36+BK36+BM36</f>
        <v>193266</v>
      </c>
      <c r="AG36" s="337">
        <f>BJ36+BL36+BN36</f>
        <v>0</v>
      </c>
      <c r="AH36" s="338">
        <f>AF36-AG36</f>
        <v>193266</v>
      </c>
      <c r="AI36" s="336">
        <f>BO36+BQ36+BS36</f>
        <v>0</v>
      </c>
      <c r="AJ36" s="337">
        <f>BP36+BR36+BT36</f>
        <v>0</v>
      </c>
      <c r="AK36" s="338">
        <f>AI36-AJ36</f>
        <v>0</v>
      </c>
      <c r="AL36" s="342"/>
      <c r="AM36" s="336">
        <f>Z36+AC36</f>
        <v>792993.6</v>
      </c>
      <c r="AN36" s="339">
        <f>AA36+AD36</f>
        <v>0</v>
      </c>
      <c r="AO36" s="340">
        <f>AM36-AN36</f>
        <v>792993.6</v>
      </c>
      <c r="AP36" s="336">
        <f>Z36+AC36+AF36</f>
        <v>986259.6</v>
      </c>
      <c r="AQ36" s="339">
        <f>AA36+AD36+AG36</f>
        <v>0</v>
      </c>
      <c r="AR36" s="340">
        <f>AP36-AQ36</f>
        <v>986259.6</v>
      </c>
      <c r="AS36" s="341">
        <f>Z36+AC36+AF36+AI36</f>
        <v>986259.6</v>
      </c>
      <c r="AT36" s="339">
        <f>AA36+AD36+AG36+AJ36</f>
        <v>0</v>
      </c>
      <c r="AU36" s="340">
        <f>AS36-AT36</f>
        <v>986259.6</v>
      </c>
      <c r="AV36" s="589">
        <f t="shared" si="19"/>
        <v>0</v>
      </c>
      <c r="AW36" s="343"/>
      <c r="AX36" s="1098"/>
      <c r="AY36" s="345"/>
      <c r="AZ36" s="1098"/>
      <c r="BA36" s="345"/>
      <c r="BB36" s="1120"/>
      <c r="BC36" s="347"/>
      <c r="BD36" s="348"/>
      <c r="BE36" s="349"/>
      <c r="BF36" s="348"/>
      <c r="BG36" s="349">
        <v>792993.6</v>
      </c>
      <c r="BH36" s="350"/>
      <c r="BI36" s="351"/>
      <c r="BJ36" s="352"/>
      <c r="BK36" s="337">
        <f>200000-6734</f>
        <v>193266</v>
      </c>
      <c r="BL36" s="352"/>
      <c r="BM36" s="337"/>
      <c r="BN36" s="353"/>
      <c r="BO36" s="354"/>
      <c r="BP36" s="355"/>
      <c r="BQ36" s="356"/>
      <c r="BR36" s="355"/>
      <c r="BS36" s="356"/>
      <c r="BT36" s="357"/>
    </row>
    <row r="37" spans="1:74" s="313" customFormat="1" ht="25.5">
      <c r="A37" s="287">
        <v>27</v>
      </c>
      <c r="B37" s="935"/>
      <c r="C37" s="840"/>
      <c r="D37" s="841"/>
      <c r="E37" s="839"/>
      <c r="F37" s="821" t="s">
        <v>7</v>
      </c>
      <c r="G37" s="314">
        <v>4</v>
      </c>
      <c r="H37" s="739" t="s">
        <v>71</v>
      </c>
      <c r="I37" s="739">
        <v>112</v>
      </c>
      <c r="J37" s="740">
        <v>214</v>
      </c>
      <c r="K37" s="317" t="s">
        <v>843</v>
      </c>
      <c r="L37" s="1013">
        <v>7006.4</v>
      </c>
      <c r="M37" s="318"/>
      <c r="N37" s="318"/>
      <c r="O37" s="1052">
        <f t="shared" si="20"/>
        <v>7006.4</v>
      </c>
      <c r="P37" s="329"/>
      <c r="Q37" s="319">
        <v>0</v>
      </c>
      <c r="R37" s="329"/>
      <c r="S37" s="319">
        <v>0</v>
      </c>
      <c r="T37" s="329"/>
      <c r="U37" s="335"/>
      <c r="V37" s="596" t="s">
        <v>845</v>
      </c>
      <c r="W37" s="320"/>
      <c r="X37" s="320"/>
      <c r="Z37" s="336">
        <f>AW37+AY37+BA37</f>
        <v>0</v>
      </c>
      <c r="AA37" s="337">
        <f>AX37+AZ37+BB37</f>
        <v>0</v>
      </c>
      <c r="AB37" s="338">
        <f>Z37-AA37</f>
        <v>0</v>
      </c>
      <c r="AC37" s="336">
        <f>BC37+BE37+BG37</f>
        <v>7006.4</v>
      </c>
      <c r="AD37" s="337">
        <f>BD37+BF37+BH37</f>
        <v>0</v>
      </c>
      <c r="AE37" s="338">
        <f>AC37-AD37</f>
        <v>7006.4</v>
      </c>
      <c r="AF37" s="336">
        <f>BI37+BK37+BM37</f>
        <v>0</v>
      </c>
      <c r="AG37" s="337">
        <f>BJ37+BL37+BN37</f>
        <v>0</v>
      </c>
      <c r="AH37" s="338">
        <f>AF37-AG37</f>
        <v>0</v>
      </c>
      <c r="AI37" s="336">
        <f>BO37+BQ37+BS37</f>
        <v>0</v>
      </c>
      <c r="AJ37" s="337">
        <f>BP37+BR37+BT37</f>
        <v>0</v>
      </c>
      <c r="AK37" s="338">
        <f>AI37-AJ37</f>
        <v>0</v>
      </c>
      <c r="AL37" s="342"/>
      <c r="AM37" s="336">
        <f>Z37+AC37</f>
        <v>7006.4</v>
      </c>
      <c r="AN37" s="339">
        <f>AA37+AD37</f>
        <v>0</v>
      </c>
      <c r="AO37" s="340">
        <f>AM37-AN37</f>
        <v>7006.4</v>
      </c>
      <c r="AP37" s="336">
        <f>Z37+AC37+AF37</f>
        <v>7006.4</v>
      </c>
      <c r="AQ37" s="339">
        <f>AA37+AD37+AG37</f>
        <v>0</v>
      </c>
      <c r="AR37" s="340">
        <f>AP37-AQ37</f>
        <v>7006.4</v>
      </c>
      <c r="AS37" s="341">
        <f>Z37+AC37+AF37+AI37</f>
        <v>7006.4</v>
      </c>
      <c r="AT37" s="339">
        <f>AA37+AD37+AG37+AJ37</f>
        <v>0</v>
      </c>
      <c r="AU37" s="340">
        <f>AS37-AT37</f>
        <v>7006.4</v>
      </c>
      <c r="AV37" s="589">
        <f t="shared" si="19"/>
        <v>0</v>
      </c>
      <c r="AW37" s="343"/>
      <c r="AX37" s="1098"/>
      <c r="AY37" s="345"/>
      <c r="AZ37" s="1098"/>
      <c r="BA37" s="345"/>
      <c r="BB37" s="1120"/>
      <c r="BC37" s="347"/>
      <c r="BD37" s="348"/>
      <c r="BE37" s="349"/>
      <c r="BF37" s="348"/>
      <c r="BG37" s="349">
        <v>7006.4</v>
      </c>
      <c r="BH37" s="350"/>
      <c r="BI37" s="351"/>
      <c r="BJ37" s="352"/>
      <c r="BK37" s="337"/>
      <c r="BL37" s="352"/>
      <c r="BM37" s="337"/>
      <c r="BN37" s="353"/>
      <c r="BO37" s="354"/>
      <c r="BP37" s="355"/>
      <c r="BQ37" s="356"/>
      <c r="BR37" s="355"/>
      <c r="BS37" s="356"/>
      <c r="BT37" s="357"/>
    </row>
    <row r="38" spans="1:74" s="358" customFormat="1" ht="47.25">
      <c r="A38" s="287">
        <v>28</v>
      </c>
      <c r="B38" s="933"/>
      <c r="C38" s="837"/>
      <c r="D38" s="838"/>
      <c r="E38" s="836" t="s">
        <v>201</v>
      </c>
      <c r="F38" s="820" t="s">
        <v>7</v>
      </c>
      <c r="G38" s="360">
        <v>4</v>
      </c>
      <c r="H38" s="360" t="s">
        <v>71</v>
      </c>
      <c r="I38" s="360">
        <v>112</v>
      </c>
      <c r="J38" s="361">
        <v>266</v>
      </c>
      <c r="K38" s="532" t="s">
        <v>220</v>
      </c>
      <c r="L38" s="1023">
        <f>3060</f>
        <v>3060</v>
      </c>
      <c r="M38" s="363"/>
      <c r="N38" s="363"/>
      <c r="O38" s="1051">
        <f t="shared" si="20"/>
        <v>3060</v>
      </c>
      <c r="P38" s="557"/>
      <c r="Q38" s="367">
        <v>1105</v>
      </c>
      <c r="R38" s="557"/>
      <c r="S38" s="367">
        <v>0</v>
      </c>
      <c r="T38" s="557"/>
      <c r="U38" s="365"/>
      <c r="V38" s="366"/>
      <c r="W38" s="366"/>
      <c r="X38" s="366"/>
      <c r="Z38" s="367">
        <f t="shared" si="5"/>
        <v>510</v>
      </c>
      <c r="AA38" s="363">
        <f t="shared" si="5"/>
        <v>300</v>
      </c>
      <c r="AB38" s="280">
        <f t="shared" si="6"/>
        <v>210</v>
      </c>
      <c r="AC38" s="367">
        <f t="shared" si="7"/>
        <v>765</v>
      </c>
      <c r="AD38" s="363">
        <f t="shared" si="7"/>
        <v>0</v>
      </c>
      <c r="AE38" s="280">
        <f t="shared" si="8"/>
        <v>765</v>
      </c>
      <c r="AF38" s="367">
        <f t="shared" si="9"/>
        <v>765</v>
      </c>
      <c r="AG38" s="363">
        <f t="shared" si="9"/>
        <v>0</v>
      </c>
      <c r="AH38" s="280">
        <f t="shared" si="10"/>
        <v>765</v>
      </c>
      <c r="AI38" s="367">
        <f t="shared" si="11"/>
        <v>1020</v>
      </c>
      <c r="AJ38" s="363">
        <f t="shared" si="11"/>
        <v>0</v>
      </c>
      <c r="AK38" s="280">
        <f t="shared" si="12"/>
        <v>1020</v>
      </c>
      <c r="AL38" s="368"/>
      <c r="AM38" s="367">
        <f t="shared" si="13"/>
        <v>1275</v>
      </c>
      <c r="AN38" s="363">
        <f t="shared" si="13"/>
        <v>300</v>
      </c>
      <c r="AO38" s="280">
        <f t="shared" si="14"/>
        <v>975</v>
      </c>
      <c r="AP38" s="367">
        <f t="shared" si="15"/>
        <v>2040</v>
      </c>
      <c r="AQ38" s="363">
        <f t="shared" si="15"/>
        <v>300</v>
      </c>
      <c r="AR38" s="280">
        <f t="shared" si="16"/>
        <v>1740</v>
      </c>
      <c r="AS38" s="367">
        <f t="shared" si="21"/>
        <v>3060</v>
      </c>
      <c r="AT38" s="363">
        <f t="shared" si="17"/>
        <v>300</v>
      </c>
      <c r="AU38" s="280">
        <f t="shared" si="18"/>
        <v>2760</v>
      </c>
      <c r="AV38" s="588">
        <f t="shared" si="19"/>
        <v>0</v>
      </c>
      <c r="AW38" s="367"/>
      <c r="AX38" s="1097"/>
      <c r="AY38" s="363">
        <f>3*85</f>
        <v>255</v>
      </c>
      <c r="AZ38" s="1097">
        <v>150</v>
      </c>
      <c r="BA38" s="363">
        <f>3*85</f>
        <v>255</v>
      </c>
      <c r="BB38" s="1119">
        <v>150</v>
      </c>
      <c r="BC38" s="367">
        <f>3*85</f>
        <v>255</v>
      </c>
      <c r="BD38" s="363"/>
      <c r="BE38" s="363">
        <f>3*85</f>
        <v>255</v>
      </c>
      <c r="BF38" s="363"/>
      <c r="BG38" s="363">
        <f>3*85</f>
        <v>255</v>
      </c>
      <c r="BH38" s="369"/>
      <c r="BI38" s="367">
        <f>3*85</f>
        <v>255</v>
      </c>
      <c r="BJ38" s="363"/>
      <c r="BK38" s="363">
        <f>3*85</f>
        <v>255</v>
      </c>
      <c r="BL38" s="363"/>
      <c r="BM38" s="363">
        <f>3*85</f>
        <v>255</v>
      </c>
      <c r="BN38" s="369"/>
      <c r="BO38" s="367">
        <f>3*85</f>
        <v>255</v>
      </c>
      <c r="BP38" s="363"/>
      <c r="BQ38" s="363">
        <f>3*85</f>
        <v>255</v>
      </c>
      <c r="BR38" s="363"/>
      <c r="BS38" s="363">
        <f>3*85*2</f>
        <v>510</v>
      </c>
      <c r="BT38" s="280"/>
    </row>
    <row r="39" spans="1:74" s="358" customFormat="1" ht="31.5" customHeight="1">
      <c r="A39" s="287">
        <v>29</v>
      </c>
      <c r="B39" s="933"/>
      <c r="C39" s="850" t="s">
        <v>377</v>
      </c>
      <c r="D39" s="838"/>
      <c r="E39" s="836" t="s">
        <v>201</v>
      </c>
      <c r="F39" s="820" t="s">
        <v>7</v>
      </c>
      <c r="G39" s="360">
        <v>4</v>
      </c>
      <c r="H39" s="360" t="s">
        <v>71</v>
      </c>
      <c r="I39" s="360">
        <v>244</v>
      </c>
      <c r="J39" s="361">
        <v>221</v>
      </c>
      <c r="K39" s="532" t="s">
        <v>11</v>
      </c>
      <c r="L39" s="1023">
        <f>SUM(L40:L44)</f>
        <v>196510.7</v>
      </c>
      <c r="M39" s="363"/>
      <c r="N39" s="363"/>
      <c r="O39" s="1051">
        <f t="shared" si="20"/>
        <v>196510.7</v>
      </c>
      <c r="P39" s="557"/>
      <c r="Q39" s="367">
        <f>SUM(Q40:Q44)</f>
        <v>196510.72</v>
      </c>
      <c r="R39" s="557"/>
      <c r="S39" s="367">
        <f t="shared" ref="S39" si="28">SUM(S40:S44)</f>
        <v>197767.89</v>
      </c>
      <c r="T39" s="557"/>
      <c r="U39" s="365"/>
      <c r="V39" s="366"/>
      <c r="W39" s="366"/>
      <c r="X39" s="366"/>
      <c r="Z39" s="367">
        <f t="shared" si="5"/>
        <v>35716.83</v>
      </c>
      <c r="AA39" s="363">
        <f t="shared" si="5"/>
        <v>36413.230000000003</v>
      </c>
      <c r="AB39" s="280">
        <f t="shared" si="6"/>
        <v>-696.4</v>
      </c>
      <c r="AC39" s="367">
        <f t="shared" si="7"/>
        <v>52744.800000000003</v>
      </c>
      <c r="AD39" s="363">
        <f t="shared" si="7"/>
        <v>0</v>
      </c>
      <c r="AE39" s="280">
        <f t="shared" si="8"/>
        <v>52744.800000000003</v>
      </c>
      <c r="AF39" s="367">
        <f t="shared" si="9"/>
        <v>52591.49</v>
      </c>
      <c r="AG39" s="363">
        <f t="shared" si="9"/>
        <v>0</v>
      </c>
      <c r="AH39" s="280">
        <f t="shared" si="10"/>
        <v>52591.49</v>
      </c>
      <c r="AI39" s="367">
        <f t="shared" si="11"/>
        <v>55457.58</v>
      </c>
      <c r="AJ39" s="363">
        <f t="shared" si="11"/>
        <v>0</v>
      </c>
      <c r="AK39" s="280">
        <f t="shared" si="12"/>
        <v>55457.58</v>
      </c>
      <c r="AL39" s="368"/>
      <c r="AM39" s="367">
        <f t="shared" si="13"/>
        <v>88461.63</v>
      </c>
      <c r="AN39" s="363">
        <f t="shared" si="13"/>
        <v>36413.230000000003</v>
      </c>
      <c r="AO39" s="280">
        <f t="shared" si="14"/>
        <v>52048.4</v>
      </c>
      <c r="AP39" s="367">
        <f t="shared" si="15"/>
        <v>141053.12</v>
      </c>
      <c r="AQ39" s="363">
        <f t="shared" si="15"/>
        <v>36413.230000000003</v>
      </c>
      <c r="AR39" s="280">
        <f t="shared" si="16"/>
        <v>104639.89</v>
      </c>
      <c r="AS39" s="367">
        <f t="shared" si="21"/>
        <v>196510.7</v>
      </c>
      <c r="AT39" s="363">
        <f t="shared" si="17"/>
        <v>36413.230000000003</v>
      </c>
      <c r="AU39" s="280">
        <f t="shared" si="18"/>
        <v>160097.47</v>
      </c>
      <c r="AV39" s="588">
        <f t="shared" si="19"/>
        <v>0</v>
      </c>
      <c r="AW39" s="367">
        <f t="shared" ref="AW39:BT39" si="29">SUM(AW40:AW44)</f>
        <v>0</v>
      </c>
      <c r="AX39" s="1097">
        <f t="shared" si="29"/>
        <v>0</v>
      </c>
      <c r="AY39" s="363">
        <f t="shared" si="29"/>
        <v>17801.93</v>
      </c>
      <c r="AZ39" s="1097">
        <f t="shared" si="29"/>
        <v>18790.830000000002</v>
      </c>
      <c r="BA39" s="363">
        <f t="shared" si="29"/>
        <v>17914.900000000001</v>
      </c>
      <c r="BB39" s="1119">
        <f t="shared" si="29"/>
        <v>17622.400000000001</v>
      </c>
      <c r="BC39" s="367">
        <f t="shared" si="29"/>
        <v>17405.59</v>
      </c>
      <c r="BD39" s="363">
        <f t="shared" si="29"/>
        <v>0</v>
      </c>
      <c r="BE39" s="363">
        <f t="shared" si="29"/>
        <v>17940</v>
      </c>
      <c r="BF39" s="363">
        <f t="shared" si="29"/>
        <v>0</v>
      </c>
      <c r="BG39" s="363">
        <f t="shared" si="29"/>
        <v>17399.21</v>
      </c>
      <c r="BH39" s="369">
        <f t="shared" si="29"/>
        <v>0</v>
      </c>
      <c r="BI39" s="367">
        <f t="shared" si="29"/>
        <v>17711.490000000002</v>
      </c>
      <c r="BJ39" s="363">
        <f t="shared" si="29"/>
        <v>0</v>
      </c>
      <c r="BK39" s="363">
        <f t="shared" si="29"/>
        <v>17440</v>
      </c>
      <c r="BL39" s="363">
        <f t="shared" si="29"/>
        <v>0</v>
      </c>
      <c r="BM39" s="363">
        <f t="shared" si="29"/>
        <v>17440</v>
      </c>
      <c r="BN39" s="369">
        <f t="shared" si="29"/>
        <v>0</v>
      </c>
      <c r="BO39" s="367">
        <f t="shared" si="29"/>
        <v>17440</v>
      </c>
      <c r="BP39" s="363">
        <f t="shared" si="29"/>
        <v>0</v>
      </c>
      <c r="BQ39" s="363">
        <f t="shared" si="29"/>
        <v>12640</v>
      </c>
      <c r="BR39" s="363">
        <f t="shared" si="29"/>
        <v>0</v>
      </c>
      <c r="BS39" s="363">
        <f t="shared" si="29"/>
        <v>25377.58</v>
      </c>
      <c r="BT39" s="280">
        <f t="shared" si="29"/>
        <v>0</v>
      </c>
    </row>
    <row r="40" spans="1:74" s="313" customFormat="1" ht="25.5" outlineLevel="1">
      <c r="A40" s="287">
        <v>30</v>
      </c>
      <c r="B40" s="933"/>
      <c r="C40" s="840"/>
      <c r="D40" s="841"/>
      <c r="E40" s="839"/>
      <c r="F40" s="821" t="s">
        <v>7</v>
      </c>
      <c r="G40" s="314">
        <v>4</v>
      </c>
      <c r="H40" s="739" t="s">
        <v>71</v>
      </c>
      <c r="I40" s="739">
        <v>244</v>
      </c>
      <c r="J40" s="740">
        <v>221</v>
      </c>
      <c r="K40" s="533" t="s">
        <v>236</v>
      </c>
      <c r="L40" s="1025">
        <f>2230.7-600</f>
        <v>1630.7</v>
      </c>
      <c r="M40" s="318"/>
      <c r="N40" s="318"/>
      <c r="O40" s="1052">
        <f t="shared" si="20"/>
        <v>1630.7</v>
      </c>
      <c r="P40" s="559"/>
      <c r="Q40" s="336">
        <v>2230.7199999999998</v>
      </c>
      <c r="R40" s="559"/>
      <c r="S40" s="336">
        <v>3487.89</v>
      </c>
      <c r="T40" s="559"/>
      <c r="U40" s="335"/>
      <c r="V40" s="320"/>
      <c r="W40" s="320"/>
      <c r="X40" s="320"/>
      <c r="Z40" s="336">
        <f t="shared" si="5"/>
        <v>900</v>
      </c>
      <c r="AA40" s="337">
        <f t="shared" si="5"/>
        <v>1596.4</v>
      </c>
      <c r="AB40" s="338">
        <f t="shared" si="6"/>
        <v>-696.4</v>
      </c>
      <c r="AC40" s="336">
        <f t="shared" si="7"/>
        <v>500</v>
      </c>
      <c r="AD40" s="337">
        <f t="shared" si="7"/>
        <v>0</v>
      </c>
      <c r="AE40" s="338">
        <f t="shared" si="8"/>
        <v>500</v>
      </c>
      <c r="AF40" s="336">
        <f t="shared" si="9"/>
        <v>230.7</v>
      </c>
      <c r="AG40" s="337">
        <f t="shared" si="9"/>
        <v>0</v>
      </c>
      <c r="AH40" s="338">
        <f t="shared" si="10"/>
        <v>230.7</v>
      </c>
      <c r="AI40" s="336">
        <f t="shared" si="11"/>
        <v>0</v>
      </c>
      <c r="AJ40" s="337">
        <f t="shared" si="11"/>
        <v>0</v>
      </c>
      <c r="AK40" s="338">
        <f t="shared" si="12"/>
        <v>0</v>
      </c>
      <c r="AL40" s="342"/>
      <c r="AM40" s="336">
        <f t="shared" si="13"/>
        <v>1400</v>
      </c>
      <c r="AN40" s="339">
        <f t="shared" si="13"/>
        <v>1596.4</v>
      </c>
      <c r="AO40" s="340">
        <f t="shared" si="14"/>
        <v>-196.4</v>
      </c>
      <c r="AP40" s="336">
        <f t="shared" si="15"/>
        <v>1630.7</v>
      </c>
      <c r="AQ40" s="339">
        <f t="shared" si="15"/>
        <v>1596.4</v>
      </c>
      <c r="AR40" s="340">
        <f t="shared" si="16"/>
        <v>34.299999999999997</v>
      </c>
      <c r="AS40" s="341">
        <f t="shared" si="21"/>
        <v>1630.7</v>
      </c>
      <c r="AT40" s="339">
        <f t="shared" si="17"/>
        <v>1596.4</v>
      </c>
      <c r="AU40" s="340">
        <f t="shared" si="18"/>
        <v>34.299999999999997</v>
      </c>
      <c r="AV40" s="589">
        <f t="shared" si="19"/>
        <v>0</v>
      </c>
      <c r="AW40" s="343"/>
      <c r="AX40" s="1098"/>
      <c r="AY40" s="345">
        <v>400</v>
      </c>
      <c r="AZ40" s="1098">
        <v>1388.9</v>
      </c>
      <c r="BA40" s="345">
        <v>500</v>
      </c>
      <c r="BB40" s="1120">
        <v>207.5</v>
      </c>
      <c r="BC40" s="347"/>
      <c r="BD40" s="348"/>
      <c r="BE40" s="349">
        <v>500</v>
      </c>
      <c r="BF40" s="348"/>
      <c r="BG40" s="349"/>
      <c r="BH40" s="350"/>
      <c r="BI40" s="351">
        <v>230.7</v>
      </c>
      <c r="BJ40" s="352"/>
      <c r="BK40" s="337"/>
      <c r="BL40" s="352"/>
      <c r="BM40" s="337"/>
      <c r="BN40" s="353"/>
      <c r="BO40" s="354"/>
      <c r="BP40" s="355"/>
      <c r="BQ40" s="356"/>
      <c r="BR40" s="355"/>
      <c r="BS40" s="356"/>
      <c r="BT40" s="357"/>
    </row>
    <row r="41" spans="1:74" s="313" customFormat="1" ht="38.25" outlineLevel="1">
      <c r="A41" s="287">
        <v>31</v>
      </c>
      <c r="B41" s="933"/>
      <c r="C41" s="840"/>
      <c r="D41" s="841"/>
      <c r="E41" s="839"/>
      <c r="F41" s="821" t="s">
        <v>7</v>
      </c>
      <c r="G41" s="314">
        <v>4</v>
      </c>
      <c r="H41" s="739" t="s">
        <v>71</v>
      </c>
      <c r="I41" s="739">
        <v>244</v>
      </c>
      <c r="J41" s="740">
        <v>221</v>
      </c>
      <c r="K41" s="533" t="s">
        <v>422</v>
      </c>
      <c r="L41" s="1025">
        <v>63480</v>
      </c>
      <c r="M41" s="318"/>
      <c r="N41" s="318"/>
      <c r="O41" s="1052">
        <f t="shared" si="20"/>
        <v>63480</v>
      </c>
      <c r="P41" s="559"/>
      <c r="Q41" s="336">
        <v>63480</v>
      </c>
      <c r="R41" s="559"/>
      <c r="S41" s="336">
        <v>63480</v>
      </c>
      <c r="T41" s="559"/>
      <c r="U41" s="335"/>
      <c r="V41" s="596" t="s">
        <v>231</v>
      </c>
      <c r="W41" s="597" t="s">
        <v>423</v>
      </c>
      <c r="X41" s="597" t="s">
        <v>381</v>
      </c>
      <c r="Z41" s="336">
        <f t="shared" si="5"/>
        <v>10580</v>
      </c>
      <c r="AA41" s="337">
        <f t="shared" si="5"/>
        <v>10580</v>
      </c>
      <c r="AB41" s="338">
        <f t="shared" si="6"/>
        <v>0</v>
      </c>
      <c r="AC41" s="336">
        <f t="shared" si="7"/>
        <v>15870</v>
      </c>
      <c r="AD41" s="337">
        <f t="shared" si="7"/>
        <v>0</v>
      </c>
      <c r="AE41" s="338">
        <f t="shared" si="8"/>
        <v>15870</v>
      </c>
      <c r="AF41" s="336">
        <f t="shared" si="9"/>
        <v>15870</v>
      </c>
      <c r="AG41" s="337">
        <f t="shared" si="9"/>
        <v>0</v>
      </c>
      <c r="AH41" s="338">
        <f t="shared" si="10"/>
        <v>15870</v>
      </c>
      <c r="AI41" s="336">
        <f t="shared" si="11"/>
        <v>21160</v>
      </c>
      <c r="AJ41" s="337">
        <f t="shared" si="11"/>
        <v>0</v>
      </c>
      <c r="AK41" s="338">
        <f t="shared" si="12"/>
        <v>21160</v>
      </c>
      <c r="AL41" s="342"/>
      <c r="AM41" s="336">
        <f t="shared" si="13"/>
        <v>26450</v>
      </c>
      <c r="AN41" s="339">
        <f t="shared" si="13"/>
        <v>10580</v>
      </c>
      <c r="AO41" s="340">
        <f t="shared" si="14"/>
        <v>15870</v>
      </c>
      <c r="AP41" s="336">
        <f t="shared" si="15"/>
        <v>42320</v>
      </c>
      <c r="AQ41" s="339">
        <f t="shared" si="15"/>
        <v>10580</v>
      </c>
      <c r="AR41" s="340">
        <f t="shared" si="16"/>
        <v>31740</v>
      </c>
      <c r="AS41" s="341">
        <f t="shared" si="21"/>
        <v>63480</v>
      </c>
      <c r="AT41" s="339">
        <f t="shared" si="17"/>
        <v>10580</v>
      </c>
      <c r="AU41" s="340">
        <f t="shared" si="18"/>
        <v>52900</v>
      </c>
      <c r="AV41" s="589">
        <f t="shared" si="19"/>
        <v>0</v>
      </c>
      <c r="AW41" s="343"/>
      <c r="AX41" s="1098"/>
      <c r="AY41" s="345">
        <v>5290</v>
      </c>
      <c r="AZ41" s="1098">
        <v>5290</v>
      </c>
      <c r="BA41" s="345">
        <v>5290</v>
      </c>
      <c r="BB41" s="1120">
        <v>5290</v>
      </c>
      <c r="BC41" s="347">
        <v>5290</v>
      </c>
      <c r="BD41" s="348"/>
      <c r="BE41" s="1135">
        <v>5290</v>
      </c>
      <c r="BF41" s="348"/>
      <c r="BG41" s="1135">
        <v>5290</v>
      </c>
      <c r="BH41" s="350"/>
      <c r="BI41" s="351">
        <v>5290</v>
      </c>
      <c r="BJ41" s="352"/>
      <c r="BK41" s="337">
        <v>5290</v>
      </c>
      <c r="BL41" s="352"/>
      <c r="BM41" s="337">
        <v>5290</v>
      </c>
      <c r="BN41" s="353"/>
      <c r="BO41" s="354">
        <v>5290</v>
      </c>
      <c r="BP41" s="355"/>
      <c r="BQ41" s="356">
        <v>5290</v>
      </c>
      <c r="BR41" s="355"/>
      <c r="BS41" s="356">
        <f>5290*2</f>
        <v>10580</v>
      </c>
      <c r="BT41" s="357"/>
    </row>
    <row r="42" spans="1:74" s="313" customFormat="1" ht="38.25" outlineLevel="1">
      <c r="A42" s="287">
        <v>32</v>
      </c>
      <c r="B42" s="933"/>
      <c r="C42" s="840"/>
      <c r="D42" s="841"/>
      <c r="E42" s="839"/>
      <c r="F42" s="821" t="s">
        <v>7</v>
      </c>
      <c r="G42" s="314">
        <v>4</v>
      </c>
      <c r="H42" s="739" t="s">
        <v>71</v>
      </c>
      <c r="I42" s="739">
        <v>244</v>
      </c>
      <c r="J42" s="740">
        <v>221</v>
      </c>
      <c r="K42" s="533" t="s">
        <v>421</v>
      </c>
      <c r="L42" s="1025">
        <v>87600</v>
      </c>
      <c r="M42" s="318"/>
      <c r="N42" s="318"/>
      <c r="O42" s="1052">
        <f t="shared" si="20"/>
        <v>87600</v>
      </c>
      <c r="P42" s="559"/>
      <c r="Q42" s="336">
        <v>87600</v>
      </c>
      <c r="R42" s="559"/>
      <c r="S42" s="336">
        <v>87600</v>
      </c>
      <c r="T42" s="559"/>
      <c r="U42" s="335"/>
      <c r="V42" s="596" t="s">
        <v>231</v>
      </c>
      <c r="W42" s="597" t="s">
        <v>424</v>
      </c>
      <c r="X42" s="597" t="s">
        <v>381</v>
      </c>
      <c r="Z42" s="336">
        <f t="shared" si="5"/>
        <v>14600</v>
      </c>
      <c r="AA42" s="337">
        <f t="shared" si="5"/>
        <v>14600</v>
      </c>
      <c r="AB42" s="338">
        <f t="shared" si="6"/>
        <v>0</v>
      </c>
      <c r="AC42" s="336">
        <f t="shared" si="7"/>
        <v>21900</v>
      </c>
      <c r="AD42" s="337">
        <f t="shared" si="7"/>
        <v>0</v>
      </c>
      <c r="AE42" s="338">
        <f t="shared" si="8"/>
        <v>21900</v>
      </c>
      <c r="AF42" s="336">
        <f t="shared" si="9"/>
        <v>21900</v>
      </c>
      <c r="AG42" s="337">
        <f t="shared" si="9"/>
        <v>0</v>
      </c>
      <c r="AH42" s="338">
        <f t="shared" si="10"/>
        <v>21900</v>
      </c>
      <c r="AI42" s="336">
        <f t="shared" si="11"/>
        <v>29200</v>
      </c>
      <c r="AJ42" s="337">
        <f t="shared" si="11"/>
        <v>0</v>
      </c>
      <c r="AK42" s="338">
        <f t="shared" si="12"/>
        <v>29200</v>
      </c>
      <c r="AL42" s="342"/>
      <c r="AM42" s="336">
        <f t="shared" si="13"/>
        <v>36500</v>
      </c>
      <c r="AN42" s="339">
        <f t="shared" si="13"/>
        <v>14600</v>
      </c>
      <c r="AO42" s="340">
        <f t="shared" si="14"/>
        <v>21900</v>
      </c>
      <c r="AP42" s="336">
        <f t="shared" si="15"/>
        <v>58400</v>
      </c>
      <c r="AQ42" s="339">
        <f t="shared" si="15"/>
        <v>14600</v>
      </c>
      <c r="AR42" s="340">
        <f t="shared" si="16"/>
        <v>43800</v>
      </c>
      <c r="AS42" s="341">
        <f t="shared" si="21"/>
        <v>87600</v>
      </c>
      <c r="AT42" s="339">
        <f t="shared" si="17"/>
        <v>14600</v>
      </c>
      <c r="AU42" s="340">
        <f t="shared" si="18"/>
        <v>73000</v>
      </c>
      <c r="AV42" s="589">
        <f t="shared" si="19"/>
        <v>0</v>
      </c>
      <c r="AW42" s="343"/>
      <c r="AX42" s="1098"/>
      <c r="AY42" s="345">
        <v>7300</v>
      </c>
      <c r="AZ42" s="1098">
        <v>7300</v>
      </c>
      <c r="BA42" s="345">
        <v>7300</v>
      </c>
      <c r="BB42" s="1120">
        <v>7300</v>
      </c>
      <c r="BC42" s="347">
        <v>7300</v>
      </c>
      <c r="BD42" s="348"/>
      <c r="BE42" s="1135">
        <v>7300</v>
      </c>
      <c r="BF42" s="348"/>
      <c r="BG42" s="1135">
        <v>7300</v>
      </c>
      <c r="BH42" s="350"/>
      <c r="BI42" s="351">
        <v>7300</v>
      </c>
      <c r="BJ42" s="352"/>
      <c r="BK42" s="337">
        <v>7300</v>
      </c>
      <c r="BL42" s="352"/>
      <c r="BM42" s="337">
        <v>7300</v>
      </c>
      <c r="BN42" s="353"/>
      <c r="BO42" s="354">
        <v>7300</v>
      </c>
      <c r="BP42" s="355"/>
      <c r="BQ42" s="356">
        <v>7300</v>
      </c>
      <c r="BR42" s="355"/>
      <c r="BS42" s="356">
        <f>7300*2</f>
        <v>14600</v>
      </c>
      <c r="BT42" s="357"/>
    </row>
    <row r="43" spans="1:74" s="313" customFormat="1" ht="38.25" outlineLevel="1">
      <c r="A43" s="287">
        <v>33</v>
      </c>
      <c r="B43" s="933"/>
      <c r="C43" s="840"/>
      <c r="D43" s="841"/>
      <c r="E43" s="839"/>
      <c r="F43" s="821" t="s">
        <v>7</v>
      </c>
      <c r="G43" s="314">
        <v>4</v>
      </c>
      <c r="H43" s="739" t="s">
        <v>71</v>
      </c>
      <c r="I43" s="739">
        <v>244</v>
      </c>
      <c r="J43" s="740">
        <v>221</v>
      </c>
      <c r="K43" s="533" t="s">
        <v>418</v>
      </c>
      <c r="L43" s="1025">
        <v>600</v>
      </c>
      <c r="M43" s="318"/>
      <c r="N43" s="318"/>
      <c r="O43" s="1052">
        <f t="shared" si="20"/>
        <v>600</v>
      </c>
      <c r="P43" s="559"/>
      <c r="Q43" s="336">
        <v>0</v>
      </c>
      <c r="R43" s="559"/>
      <c r="S43" s="336">
        <v>0</v>
      </c>
      <c r="T43" s="559"/>
      <c r="U43" s="335"/>
      <c r="V43" s="596" t="s">
        <v>419</v>
      </c>
      <c r="W43" s="597" t="s">
        <v>420</v>
      </c>
      <c r="X43" s="597" t="s">
        <v>381</v>
      </c>
      <c r="Z43" s="336">
        <f t="shared" si="5"/>
        <v>36.83</v>
      </c>
      <c r="AA43" s="337">
        <f t="shared" si="5"/>
        <v>36.83</v>
      </c>
      <c r="AB43" s="338">
        <f t="shared" si="6"/>
        <v>0</v>
      </c>
      <c r="AC43" s="336">
        <f t="shared" si="7"/>
        <v>74.8</v>
      </c>
      <c r="AD43" s="337">
        <f t="shared" si="7"/>
        <v>0</v>
      </c>
      <c r="AE43" s="338">
        <f t="shared" si="8"/>
        <v>74.8</v>
      </c>
      <c r="AF43" s="336">
        <f t="shared" si="9"/>
        <v>190.79</v>
      </c>
      <c r="AG43" s="337">
        <f t="shared" si="9"/>
        <v>0</v>
      </c>
      <c r="AH43" s="338">
        <f t="shared" si="10"/>
        <v>190.79</v>
      </c>
      <c r="AI43" s="336">
        <f t="shared" si="11"/>
        <v>297.58</v>
      </c>
      <c r="AJ43" s="337">
        <f t="shared" si="11"/>
        <v>0</v>
      </c>
      <c r="AK43" s="338">
        <f t="shared" si="12"/>
        <v>297.58</v>
      </c>
      <c r="AL43" s="342"/>
      <c r="AM43" s="336">
        <f t="shared" si="13"/>
        <v>111.63</v>
      </c>
      <c r="AN43" s="339">
        <f t="shared" si="13"/>
        <v>36.83</v>
      </c>
      <c r="AO43" s="340">
        <f t="shared" si="14"/>
        <v>74.8</v>
      </c>
      <c r="AP43" s="336">
        <f t="shared" si="15"/>
        <v>302.42</v>
      </c>
      <c r="AQ43" s="339">
        <f t="shared" si="15"/>
        <v>36.83</v>
      </c>
      <c r="AR43" s="340">
        <f t="shared" si="16"/>
        <v>265.58999999999997</v>
      </c>
      <c r="AS43" s="341">
        <f t="shared" si="21"/>
        <v>600</v>
      </c>
      <c r="AT43" s="339">
        <f t="shared" si="17"/>
        <v>36.83</v>
      </c>
      <c r="AU43" s="340">
        <f t="shared" si="18"/>
        <v>563.16999999999996</v>
      </c>
      <c r="AV43" s="589">
        <f t="shared" si="19"/>
        <v>0</v>
      </c>
      <c r="AW43" s="343"/>
      <c r="AX43" s="1098"/>
      <c r="AY43" s="345">
        <v>11.93</v>
      </c>
      <c r="AZ43" s="1098">
        <v>11.93</v>
      </c>
      <c r="BA43" s="345">
        <v>24.9</v>
      </c>
      <c r="BB43" s="1120">
        <v>24.9</v>
      </c>
      <c r="BC43" s="347">
        <v>15.59</v>
      </c>
      <c r="BD43" s="348"/>
      <c r="BE43" s="349">
        <v>50</v>
      </c>
      <c r="BF43" s="348"/>
      <c r="BG43" s="349">
        <v>9.2100000000000009</v>
      </c>
      <c r="BH43" s="350"/>
      <c r="BI43" s="351">
        <f>50+40.79</f>
        <v>90.79</v>
      </c>
      <c r="BJ43" s="352"/>
      <c r="BK43" s="337">
        <v>50</v>
      </c>
      <c r="BL43" s="352"/>
      <c r="BM43" s="337">
        <v>50</v>
      </c>
      <c r="BN43" s="353"/>
      <c r="BO43" s="354">
        <v>50</v>
      </c>
      <c r="BP43" s="355"/>
      <c r="BQ43" s="356">
        <v>50</v>
      </c>
      <c r="BR43" s="355"/>
      <c r="BS43" s="356">
        <f>50*2+97.58</f>
        <v>197.58</v>
      </c>
      <c r="BT43" s="357"/>
    </row>
    <row r="44" spans="1:74" s="313" customFormat="1" ht="25.5" outlineLevel="1">
      <c r="A44" s="287">
        <v>34</v>
      </c>
      <c r="B44" s="933"/>
      <c r="C44" s="840"/>
      <c r="D44" s="841"/>
      <c r="E44" s="839"/>
      <c r="F44" s="821" t="s">
        <v>7</v>
      </c>
      <c r="G44" s="314">
        <v>4</v>
      </c>
      <c r="H44" s="739" t="s">
        <v>71</v>
      </c>
      <c r="I44" s="739">
        <v>244</v>
      </c>
      <c r="J44" s="740">
        <v>221</v>
      </c>
      <c r="K44" s="533" t="s">
        <v>428</v>
      </c>
      <c r="L44" s="1025">
        <v>43200</v>
      </c>
      <c r="M44" s="318"/>
      <c r="N44" s="318"/>
      <c r="O44" s="1052">
        <f t="shared" si="20"/>
        <v>43200</v>
      </c>
      <c r="P44" s="559"/>
      <c r="Q44" s="336">
        <v>43200</v>
      </c>
      <c r="R44" s="559"/>
      <c r="S44" s="336">
        <v>43200</v>
      </c>
      <c r="T44" s="559"/>
      <c r="U44" s="335"/>
      <c r="V44" s="596" t="s">
        <v>234</v>
      </c>
      <c r="W44" s="597" t="s">
        <v>427</v>
      </c>
      <c r="X44" s="597" t="s">
        <v>381</v>
      </c>
      <c r="Z44" s="336">
        <f t="shared" si="5"/>
        <v>9600</v>
      </c>
      <c r="AA44" s="337">
        <f t="shared" si="5"/>
        <v>9600</v>
      </c>
      <c r="AB44" s="338">
        <f t="shared" si="6"/>
        <v>0</v>
      </c>
      <c r="AC44" s="336">
        <f t="shared" si="7"/>
        <v>14400</v>
      </c>
      <c r="AD44" s="337">
        <f t="shared" si="7"/>
        <v>0</v>
      </c>
      <c r="AE44" s="338">
        <f t="shared" si="8"/>
        <v>14400</v>
      </c>
      <c r="AF44" s="336">
        <f t="shared" si="9"/>
        <v>14400</v>
      </c>
      <c r="AG44" s="337">
        <f t="shared" si="9"/>
        <v>0</v>
      </c>
      <c r="AH44" s="338">
        <f t="shared" si="10"/>
        <v>14400</v>
      </c>
      <c r="AI44" s="336">
        <f t="shared" si="11"/>
        <v>4800</v>
      </c>
      <c r="AJ44" s="337">
        <f t="shared" si="11"/>
        <v>0</v>
      </c>
      <c r="AK44" s="338">
        <f t="shared" si="12"/>
        <v>4800</v>
      </c>
      <c r="AL44" s="342"/>
      <c r="AM44" s="336">
        <f t="shared" si="13"/>
        <v>24000</v>
      </c>
      <c r="AN44" s="339">
        <f t="shared" si="13"/>
        <v>9600</v>
      </c>
      <c r="AO44" s="340">
        <f t="shared" si="14"/>
        <v>14400</v>
      </c>
      <c r="AP44" s="336">
        <f t="shared" si="15"/>
        <v>38400</v>
      </c>
      <c r="AQ44" s="339">
        <f t="shared" si="15"/>
        <v>9600</v>
      </c>
      <c r="AR44" s="340">
        <f t="shared" si="16"/>
        <v>28800</v>
      </c>
      <c r="AS44" s="341">
        <f t="shared" si="21"/>
        <v>43200</v>
      </c>
      <c r="AT44" s="339">
        <f t="shared" si="17"/>
        <v>9600</v>
      </c>
      <c r="AU44" s="340">
        <f t="shared" si="18"/>
        <v>33600</v>
      </c>
      <c r="AV44" s="589">
        <f t="shared" si="19"/>
        <v>0</v>
      </c>
      <c r="AW44" s="343"/>
      <c r="AX44" s="1098"/>
      <c r="AY44" s="345">
        <v>4800</v>
      </c>
      <c r="AZ44" s="1098">
        <v>4800</v>
      </c>
      <c r="BA44" s="345">
        <v>4800</v>
      </c>
      <c r="BB44" s="1120">
        <v>4800</v>
      </c>
      <c r="BC44" s="347">
        <v>4800</v>
      </c>
      <c r="BD44" s="348"/>
      <c r="BE44" s="1135">
        <v>4800</v>
      </c>
      <c r="BF44" s="348"/>
      <c r="BG44" s="1135">
        <v>4800</v>
      </c>
      <c r="BH44" s="350"/>
      <c r="BI44" s="351">
        <v>4800</v>
      </c>
      <c r="BJ44" s="352"/>
      <c r="BK44" s="337">
        <v>4800</v>
      </c>
      <c r="BL44" s="352"/>
      <c r="BM44" s="337">
        <v>4800</v>
      </c>
      <c r="BN44" s="353"/>
      <c r="BO44" s="354">
        <v>4800</v>
      </c>
      <c r="BP44" s="355"/>
      <c r="BQ44" s="356"/>
      <c r="BR44" s="355"/>
      <c r="BS44" s="356"/>
      <c r="BT44" s="357"/>
    </row>
    <row r="45" spans="1:74" s="358" customFormat="1" ht="31.5" customHeight="1">
      <c r="A45" s="287">
        <v>35</v>
      </c>
      <c r="B45" s="933"/>
      <c r="C45" s="850" t="s">
        <v>377</v>
      </c>
      <c r="D45" s="838"/>
      <c r="E45" s="836" t="s">
        <v>201</v>
      </c>
      <c r="F45" s="820" t="s">
        <v>7</v>
      </c>
      <c r="G45" s="360">
        <v>4</v>
      </c>
      <c r="H45" s="360" t="s">
        <v>71</v>
      </c>
      <c r="I45" s="360">
        <v>244</v>
      </c>
      <c r="J45" s="361">
        <v>222</v>
      </c>
      <c r="K45" s="532" t="s">
        <v>12</v>
      </c>
      <c r="L45" s="1023">
        <f>SUM(L46:L47)</f>
        <v>137727.94</v>
      </c>
      <c r="M45" s="363"/>
      <c r="N45" s="363"/>
      <c r="O45" s="1051">
        <f t="shared" si="20"/>
        <v>137727.94</v>
      </c>
      <c r="P45" s="557"/>
      <c r="Q45" s="367">
        <f>SUM(Q46:Q47)</f>
        <v>137727.94</v>
      </c>
      <c r="R45" s="557"/>
      <c r="S45" s="367">
        <f>SUM(S46:S47)</f>
        <v>138609.04999999999</v>
      </c>
      <c r="T45" s="557"/>
      <c r="U45" s="365"/>
      <c r="V45" s="366"/>
      <c r="W45" s="366"/>
      <c r="X45" s="366"/>
      <c r="Z45" s="367">
        <f t="shared" si="5"/>
        <v>10000</v>
      </c>
      <c r="AA45" s="363">
        <f t="shared" si="5"/>
        <v>22563.57</v>
      </c>
      <c r="AB45" s="280">
        <f t="shared" si="6"/>
        <v>-12563.57</v>
      </c>
      <c r="AC45" s="367">
        <f t="shared" si="7"/>
        <v>45249</v>
      </c>
      <c r="AD45" s="363">
        <f t="shared" si="7"/>
        <v>0</v>
      </c>
      <c r="AE45" s="280">
        <f t="shared" si="8"/>
        <v>45249</v>
      </c>
      <c r="AF45" s="367">
        <f t="shared" si="9"/>
        <v>43257</v>
      </c>
      <c r="AG45" s="363">
        <f t="shared" si="9"/>
        <v>0</v>
      </c>
      <c r="AH45" s="280">
        <f t="shared" si="10"/>
        <v>43257</v>
      </c>
      <c r="AI45" s="367">
        <f t="shared" si="11"/>
        <v>39221.94</v>
      </c>
      <c r="AJ45" s="363">
        <f t="shared" si="11"/>
        <v>0</v>
      </c>
      <c r="AK45" s="280">
        <f t="shared" si="12"/>
        <v>39221.94</v>
      </c>
      <c r="AL45" s="368"/>
      <c r="AM45" s="367">
        <f t="shared" si="13"/>
        <v>55249</v>
      </c>
      <c r="AN45" s="363">
        <f t="shared" si="13"/>
        <v>22563.57</v>
      </c>
      <c r="AO45" s="280">
        <f t="shared" si="14"/>
        <v>32685.43</v>
      </c>
      <c r="AP45" s="367">
        <f t="shared" si="15"/>
        <v>98506</v>
      </c>
      <c r="AQ45" s="363">
        <f t="shared" si="15"/>
        <v>22563.57</v>
      </c>
      <c r="AR45" s="280">
        <f t="shared" si="16"/>
        <v>75942.429999999993</v>
      </c>
      <c r="AS45" s="367">
        <f t="shared" si="21"/>
        <v>137727.94</v>
      </c>
      <c r="AT45" s="363">
        <f t="shared" si="17"/>
        <v>22563.57</v>
      </c>
      <c r="AU45" s="280">
        <f t="shared" si="18"/>
        <v>115164.37</v>
      </c>
      <c r="AV45" s="588">
        <f t="shared" si="19"/>
        <v>0</v>
      </c>
      <c r="AW45" s="367">
        <f t="shared" ref="AW45:BT45" si="30">SUM(AW46:AW47)</f>
        <v>0</v>
      </c>
      <c r="AX45" s="1097">
        <f t="shared" si="30"/>
        <v>5409.8</v>
      </c>
      <c r="AY45" s="363">
        <f t="shared" si="30"/>
        <v>5000</v>
      </c>
      <c r="AZ45" s="1097">
        <f t="shared" si="30"/>
        <v>4026.5</v>
      </c>
      <c r="BA45" s="363">
        <f t="shared" si="30"/>
        <v>5000</v>
      </c>
      <c r="BB45" s="1119">
        <f t="shared" si="30"/>
        <v>13127.27</v>
      </c>
      <c r="BC45" s="367">
        <f t="shared" si="30"/>
        <v>16431</v>
      </c>
      <c r="BD45" s="363">
        <f t="shared" si="30"/>
        <v>0</v>
      </c>
      <c r="BE45" s="363">
        <f t="shared" si="30"/>
        <v>9456.1</v>
      </c>
      <c r="BF45" s="363">
        <f t="shared" si="30"/>
        <v>0</v>
      </c>
      <c r="BG45" s="363">
        <f t="shared" si="30"/>
        <v>19361.900000000001</v>
      </c>
      <c r="BH45" s="369">
        <f t="shared" si="30"/>
        <v>0</v>
      </c>
      <c r="BI45" s="367">
        <f t="shared" si="30"/>
        <v>10507</v>
      </c>
      <c r="BJ45" s="363">
        <f t="shared" si="30"/>
        <v>0</v>
      </c>
      <c r="BK45" s="363">
        <f t="shared" si="30"/>
        <v>17750</v>
      </c>
      <c r="BL45" s="363">
        <f t="shared" si="30"/>
        <v>0</v>
      </c>
      <c r="BM45" s="363">
        <f t="shared" si="30"/>
        <v>15000</v>
      </c>
      <c r="BN45" s="369">
        <f t="shared" si="30"/>
        <v>0</v>
      </c>
      <c r="BO45" s="367">
        <f t="shared" si="30"/>
        <v>14100</v>
      </c>
      <c r="BP45" s="363">
        <f t="shared" si="30"/>
        <v>0</v>
      </c>
      <c r="BQ45" s="363">
        <f t="shared" si="30"/>
        <v>5000</v>
      </c>
      <c r="BR45" s="363">
        <f t="shared" si="30"/>
        <v>0</v>
      </c>
      <c r="BS45" s="363">
        <f t="shared" si="30"/>
        <v>20121.939999999999</v>
      </c>
      <c r="BT45" s="280">
        <f t="shared" si="30"/>
        <v>0</v>
      </c>
    </row>
    <row r="46" spans="1:74" s="313" customFormat="1" ht="25.5" outlineLevel="1">
      <c r="A46" s="287">
        <v>36</v>
      </c>
      <c r="B46" s="933"/>
      <c r="C46" s="840"/>
      <c r="D46" s="841"/>
      <c r="E46" s="839"/>
      <c r="F46" s="821" t="s">
        <v>7</v>
      </c>
      <c r="G46" s="314">
        <v>4</v>
      </c>
      <c r="H46" s="739" t="s">
        <v>71</v>
      </c>
      <c r="I46" s="739">
        <v>244</v>
      </c>
      <c r="J46" s="740">
        <v>222</v>
      </c>
      <c r="K46" s="533" t="s">
        <v>245</v>
      </c>
      <c r="L46" s="1025">
        <f>137727.94-77727.94</f>
        <v>60000</v>
      </c>
      <c r="M46" s="318"/>
      <c r="N46" s="318"/>
      <c r="O46" s="1052">
        <f t="shared" si="20"/>
        <v>60000</v>
      </c>
      <c r="P46" s="559"/>
      <c r="Q46" s="336">
        <v>137727.94</v>
      </c>
      <c r="R46" s="559"/>
      <c r="S46" s="336">
        <v>138609.04999999999</v>
      </c>
      <c r="T46" s="559"/>
      <c r="U46" s="335"/>
      <c r="V46" s="597" t="s">
        <v>240</v>
      </c>
      <c r="W46" s="597" t="s">
        <v>429</v>
      </c>
      <c r="X46" s="597" t="s">
        <v>381</v>
      </c>
      <c r="Z46" s="336">
        <f t="shared" si="5"/>
        <v>10000</v>
      </c>
      <c r="AA46" s="337">
        <f t="shared" si="5"/>
        <v>15063.57</v>
      </c>
      <c r="AB46" s="338">
        <f t="shared" si="6"/>
        <v>-5063.57</v>
      </c>
      <c r="AC46" s="336">
        <f t="shared" si="7"/>
        <v>17474</v>
      </c>
      <c r="AD46" s="337">
        <f t="shared" si="7"/>
        <v>0</v>
      </c>
      <c r="AE46" s="338">
        <f t="shared" si="8"/>
        <v>17474</v>
      </c>
      <c r="AF46" s="336">
        <f t="shared" si="9"/>
        <v>19157</v>
      </c>
      <c r="AG46" s="337">
        <f t="shared" si="9"/>
        <v>0</v>
      </c>
      <c r="AH46" s="338">
        <f t="shared" si="10"/>
        <v>19157</v>
      </c>
      <c r="AI46" s="336">
        <f t="shared" si="11"/>
        <v>13369</v>
      </c>
      <c r="AJ46" s="337">
        <f t="shared" si="11"/>
        <v>0</v>
      </c>
      <c r="AK46" s="338">
        <f t="shared" si="12"/>
        <v>13369</v>
      </c>
      <c r="AL46" s="342"/>
      <c r="AM46" s="336">
        <f t="shared" si="13"/>
        <v>27474</v>
      </c>
      <c r="AN46" s="339">
        <f t="shared" si="13"/>
        <v>15063.57</v>
      </c>
      <c r="AO46" s="340">
        <f t="shared" si="14"/>
        <v>12410.43</v>
      </c>
      <c r="AP46" s="336">
        <f t="shared" si="15"/>
        <v>46631</v>
      </c>
      <c r="AQ46" s="339">
        <f t="shared" si="15"/>
        <v>15063.57</v>
      </c>
      <c r="AR46" s="340">
        <f t="shared" si="16"/>
        <v>31567.43</v>
      </c>
      <c r="AS46" s="341">
        <f t="shared" si="21"/>
        <v>60000</v>
      </c>
      <c r="AT46" s="339">
        <f t="shared" si="17"/>
        <v>15063.57</v>
      </c>
      <c r="AU46" s="340">
        <f t="shared" si="18"/>
        <v>44936.43</v>
      </c>
      <c r="AV46" s="589">
        <f t="shared" si="19"/>
        <v>0</v>
      </c>
      <c r="AW46" s="343"/>
      <c r="AX46" s="1098">
        <v>5409.8</v>
      </c>
      <c r="AY46" s="345">
        <v>5000</v>
      </c>
      <c r="AZ46" s="1098">
        <v>2651.5</v>
      </c>
      <c r="BA46" s="345">
        <v>5000</v>
      </c>
      <c r="BB46" s="1120">
        <v>7002.27</v>
      </c>
      <c r="BC46" s="347">
        <v>11631</v>
      </c>
      <c r="BD46" s="348"/>
      <c r="BE46" s="1135">
        <v>3606.1</v>
      </c>
      <c r="BF46" s="348"/>
      <c r="BG46" s="1135">
        <v>2236.9</v>
      </c>
      <c r="BH46" s="350"/>
      <c r="BI46" s="351">
        <f>5000+4157</f>
        <v>9157</v>
      </c>
      <c r="BJ46" s="352"/>
      <c r="BK46" s="337">
        <v>5000</v>
      </c>
      <c r="BL46" s="352"/>
      <c r="BM46" s="337">
        <v>5000</v>
      </c>
      <c r="BN46" s="353"/>
      <c r="BO46" s="354">
        <v>5000</v>
      </c>
      <c r="BP46" s="355"/>
      <c r="BQ46" s="356">
        <v>5000</v>
      </c>
      <c r="BR46" s="355"/>
      <c r="BS46" s="356">
        <f>5000*2-6631</f>
        <v>3369</v>
      </c>
      <c r="BT46" s="357"/>
    </row>
    <row r="47" spans="1:74" s="313" customFormat="1" ht="38.25" outlineLevel="1">
      <c r="A47" s="287">
        <v>37</v>
      </c>
      <c r="B47" s="933"/>
      <c r="C47" s="840"/>
      <c r="D47" s="841"/>
      <c r="E47" s="839"/>
      <c r="F47" s="821" t="s">
        <v>7</v>
      </c>
      <c r="G47" s="314">
        <v>4</v>
      </c>
      <c r="H47" s="739" t="s">
        <v>71</v>
      </c>
      <c r="I47" s="739">
        <v>244</v>
      </c>
      <c r="J47" s="740">
        <v>222</v>
      </c>
      <c r="K47" s="533" t="s">
        <v>244</v>
      </c>
      <c r="L47" s="1025">
        <v>77727.94</v>
      </c>
      <c r="M47" s="318"/>
      <c r="N47" s="318"/>
      <c r="O47" s="1052">
        <f t="shared" si="20"/>
        <v>77727.94</v>
      </c>
      <c r="P47" s="559"/>
      <c r="Q47" s="336">
        <v>0</v>
      </c>
      <c r="R47" s="559"/>
      <c r="S47" s="336">
        <v>0</v>
      </c>
      <c r="T47" s="559"/>
      <c r="U47" s="335"/>
      <c r="V47" s="597" t="s">
        <v>459</v>
      </c>
      <c r="W47" s="597" t="s">
        <v>460</v>
      </c>
      <c r="X47" s="597" t="s">
        <v>461</v>
      </c>
      <c r="Z47" s="336">
        <f t="shared" si="5"/>
        <v>0</v>
      </c>
      <c r="AA47" s="337">
        <f t="shared" si="5"/>
        <v>7500</v>
      </c>
      <c r="AB47" s="338">
        <f t="shared" si="6"/>
        <v>-7500</v>
      </c>
      <c r="AC47" s="336">
        <f t="shared" si="7"/>
        <v>27775</v>
      </c>
      <c r="AD47" s="337">
        <f t="shared" si="7"/>
        <v>0</v>
      </c>
      <c r="AE47" s="338">
        <f t="shared" si="8"/>
        <v>27775</v>
      </c>
      <c r="AF47" s="336">
        <f t="shared" si="9"/>
        <v>24100</v>
      </c>
      <c r="AG47" s="337">
        <f t="shared" si="9"/>
        <v>0</v>
      </c>
      <c r="AH47" s="338">
        <f t="shared" si="10"/>
        <v>24100</v>
      </c>
      <c r="AI47" s="336">
        <f t="shared" si="11"/>
        <v>25852.94</v>
      </c>
      <c r="AJ47" s="337">
        <f t="shared" si="11"/>
        <v>0</v>
      </c>
      <c r="AK47" s="338">
        <f t="shared" si="12"/>
        <v>25852.94</v>
      </c>
      <c r="AL47" s="342"/>
      <c r="AM47" s="336">
        <f t="shared" si="13"/>
        <v>27775</v>
      </c>
      <c r="AN47" s="339">
        <f t="shared" si="13"/>
        <v>7500</v>
      </c>
      <c r="AO47" s="340">
        <f t="shared" si="14"/>
        <v>20275</v>
      </c>
      <c r="AP47" s="336">
        <f t="shared" si="15"/>
        <v>51875</v>
      </c>
      <c r="AQ47" s="339">
        <f t="shared" si="15"/>
        <v>7500</v>
      </c>
      <c r="AR47" s="340">
        <f t="shared" si="16"/>
        <v>44375</v>
      </c>
      <c r="AS47" s="341">
        <f t="shared" si="21"/>
        <v>77727.94</v>
      </c>
      <c r="AT47" s="339">
        <f t="shared" si="17"/>
        <v>7500</v>
      </c>
      <c r="AU47" s="340">
        <f t="shared" si="18"/>
        <v>70227.94</v>
      </c>
      <c r="AV47" s="589">
        <f t="shared" si="19"/>
        <v>0</v>
      </c>
      <c r="AW47" s="343"/>
      <c r="AX47" s="1098"/>
      <c r="AY47" s="345"/>
      <c r="AZ47" s="1098">
        <v>1375</v>
      </c>
      <c r="BA47" s="345"/>
      <c r="BB47" s="1120">
        <v>6125</v>
      </c>
      <c r="BC47" s="1134">
        <f>1800+1200+1800</f>
        <v>4800</v>
      </c>
      <c r="BD47" s="348"/>
      <c r="BE47" s="1135">
        <f>550+3000+2300</f>
        <v>5850</v>
      </c>
      <c r="BF47" s="348"/>
      <c r="BG47" s="1135">
        <f>600+4225+600+1150+3300+5000+2250</f>
        <v>17125</v>
      </c>
      <c r="BH47" s="350"/>
      <c r="BI47" s="351">
        <f>9650-3300-5000</f>
        <v>1350</v>
      </c>
      <c r="BJ47" s="352"/>
      <c r="BK47" s="337">
        <f>15000-2250</f>
        <v>12750</v>
      </c>
      <c r="BL47" s="352"/>
      <c r="BM47" s="337">
        <v>10000</v>
      </c>
      <c r="BN47" s="353"/>
      <c r="BO47" s="354">
        <v>9100</v>
      </c>
      <c r="BP47" s="355"/>
      <c r="BQ47" s="356"/>
      <c r="BR47" s="355"/>
      <c r="BS47" s="356">
        <f>22727.94-5375-600</f>
        <v>16752.939999999999</v>
      </c>
      <c r="BT47" s="357"/>
    </row>
    <row r="48" spans="1:74" s="358" customFormat="1" ht="31.5" customHeight="1">
      <c r="A48" s="287">
        <v>38</v>
      </c>
      <c r="B48" s="933"/>
      <c r="C48" s="850" t="s">
        <v>377</v>
      </c>
      <c r="D48" s="838"/>
      <c r="E48" s="836" t="s">
        <v>201</v>
      </c>
      <c r="F48" s="820" t="s">
        <v>7</v>
      </c>
      <c r="G48" s="360">
        <v>4</v>
      </c>
      <c r="H48" s="360" t="s">
        <v>71</v>
      </c>
      <c r="I48" s="360">
        <v>244</v>
      </c>
      <c r="J48" s="361">
        <v>223</v>
      </c>
      <c r="K48" s="532" t="s">
        <v>13</v>
      </c>
      <c r="L48" s="1023">
        <f>SUM(L49:L50)</f>
        <v>1044506.81</v>
      </c>
      <c r="M48" s="363"/>
      <c r="N48" s="363"/>
      <c r="O48" s="1051">
        <f t="shared" si="20"/>
        <v>1044506.81</v>
      </c>
      <c r="P48" s="557"/>
      <c r="Q48" s="367">
        <f>SUM(Q49:Q50)</f>
        <v>1121133.8700000001</v>
      </c>
      <c r="R48" s="557"/>
      <c r="S48" s="367">
        <f>SUM(S49:S50)</f>
        <v>1129802.1399999999</v>
      </c>
      <c r="T48" s="557"/>
      <c r="U48" s="365"/>
      <c r="V48" s="366"/>
      <c r="W48" s="366"/>
      <c r="X48" s="366"/>
      <c r="Z48" s="367">
        <f t="shared" si="5"/>
        <v>255340</v>
      </c>
      <c r="AA48" s="363">
        <f t="shared" si="5"/>
        <v>73050.59</v>
      </c>
      <c r="AB48" s="280">
        <f t="shared" si="6"/>
        <v>182289.41</v>
      </c>
      <c r="AC48" s="367">
        <f t="shared" si="7"/>
        <v>278010</v>
      </c>
      <c r="AD48" s="363">
        <f t="shared" si="7"/>
        <v>0</v>
      </c>
      <c r="AE48" s="280">
        <f t="shared" si="8"/>
        <v>278010</v>
      </c>
      <c r="AF48" s="367">
        <f t="shared" si="9"/>
        <v>168010</v>
      </c>
      <c r="AG48" s="363">
        <f t="shared" si="9"/>
        <v>0</v>
      </c>
      <c r="AH48" s="280">
        <f t="shared" si="10"/>
        <v>168010</v>
      </c>
      <c r="AI48" s="367">
        <f t="shared" si="11"/>
        <v>343146.81</v>
      </c>
      <c r="AJ48" s="363">
        <f t="shared" si="11"/>
        <v>0</v>
      </c>
      <c r="AK48" s="280">
        <f t="shared" si="12"/>
        <v>343146.81</v>
      </c>
      <c r="AL48" s="368"/>
      <c r="AM48" s="367">
        <f t="shared" si="13"/>
        <v>533350</v>
      </c>
      <c r="AN48" s="363">
        <f t="shared" si="13"/>
        <v>73050.59</v>
      </c>
      <c r="AO48" s="280">
        <f t="shared" si="14"/>
        <v>460299.41</v>
      </c>
      <c r="AP48" s="367">
        <f t="shared" si="15"/>
        <v>701360</v>
      </c>
      <c r="AQ48" s="363">
        <f t="shared" si="15"/>
        <v>73050.59</v>
      </c>
      <c r="AR48" s="280">
        <f t="shared" si="16"/>
        <v>628309.41</v>
      </c>
      <c r="AS48" s="367">
        <f t="shared" si="21"/>
        <v>1044506.81</v>
      </c>
      <c r="AT48" s="363">
        <f t="shared" si="17"/>
        <v>73050.59</v>
      </c>
      <c r="AU48" s="280">
        <f t="shared" si="18"/>
        <v>971456.22</v>
      </c>
      <c r="AV48" s="588">
        <f t="shared" si="19"/>
        <v>0</v>
      </c>
      <c r="AW48" s="367">
        <f t="shared" ref="AW48:BT48" si="31">SUM(AW49:AW50)</f>
        <v>0</v>
      </c>
      <c r="AX48" s="1097">
        <f t="shared" si="31"/>
        <v>0</v>
      </c>
      <c r="AY48" s="363">
        <f t="shared" si="31"/>
        <v>132670</v>
      </c>
      <c r="AZ48" s="1097">
        <f t="shared" si="31"/>
        <v>73050.59</v>
      </c>
      <c r="BA48" s="363">
        <f t="shared" si="31"/>
        <v>122670</v>
      </c>
      <c r="BB48" s="1119">
        <f t="shared" si="31"/>
        <v>0</v>
      </c>
      <c r="BC48" s="367">
        <f t="shared" si="31"/>
        <v>112670</v>
      </c>
      <c r="BD48" s="363">
        <f t="shared" si="31"/>
        <v>0</v>
      </c>
      <c r="BE48" s="363">
        <f t="shared" si="31"/>
        <v>102670</v>
      </c>
      <c r="BF48" s="363">
        <f t="shared" si="31"/>
        <v>0</v>
      </c>
      <c r="BG48" s="363">
        <f t="shared" si="31"/>
        <v>62670</v>
      </c>
      <c r="BH48" s="369">
        <f t="shared" si="31"/>
        <v>0</v>
      </c>
      <c r="BI48" s="367">
        <f t="shared" si="31"/>
        <v>62670</v>
      </c>
      <c r="BJ48" s="363">
        <f t="shared" si="31"/>
        <v>0</v>
      </c>
      <c r="BK48" s="363">
        <f t="shared" si="31"/>
        <v>52670</v>
      </c>
      <c r="BL48" s="363">
        <f t="shared" si="31"/>
        <v>0</v>
      </c>
      <c r="BM48" s="363">
        <f t="shared" si="31"/>
        <v>52670</v>
      </c>
      <c r="BN48" s="369">
        <f t="shared" si="31"/>
        <v>0</v>
      </c>
      <c r="BO48" s="367">
        <f t="shared" si="31"/>
        <v>82670</v>
      </c>
      <c r="BP48" s="363">
        <f t="shared" si="31"/>
        <v>0</v>
      </c>
      <c r="BQ48" s="363">
        <f t="shared" si="31"/>
        <v>122670</v>
      </c>
      <c r="BR48" s="363">
        <f t="shared" si="31"/>
        <v>0</v>
      </c>
      <c r="BS48" s="363">
        <f t="shared" si="31"/>
        <v>137806.81</v>
      </c>
      <c r="BT48" s="280">
        <f t="shared" si="31"/>
        <v>0</v>
      </c>
    </row>
    <row r="49" spans="1:72" s="313" customFormat="1" ht="25.5" outlineLevel="1">
      <c r="A49" s="287">
        <v>39</v>
      </c>
      <c r="B49" s="933"/>
      <c r="C49" s="840"/>
      <c r="D49" s="841"/>
      <c r="E49" s="839"/>
      <c r="F49" s="821" t="s">
        <v>7</v>
      </c>
      <c r="G49" s="314">
        <v>4</v>
      </c>
      <c r="H49" s="739" t="s">
        <v>71</v>
      </c>
      <c r="I49" s="739">
        <v>244</v>
      </c>
      <c r="J49" s="740">
        <v>223</v>
      </c>
      <c r="K49" s="533" t="s">
        <v>246</v>
      </c>
      <c r="L49" s="1025">
        <v>1016987.56</v>
      </c>
      <c r="M49" s="318"/>
      <c r="N49" s="318"/>
      <c r="O49" s="1052">
        <f t="shared" si="20"/>
        <v>1016987.56</v>
      </c>
      <c r="P49" s="559"/>
      <c r="Q49" s="336">
        <v>1092480.0900000001</v>
      </c>
      <c r="R49" s="559"/>
      <c r="S49" s="336">
        <v>1100951.1299999999</v>
      </c>
      <c r="T49" s="559"/>
      <c r="U49" s="335"/>
      <c r="V49" s="596" t="s">
        <v>444</v>
      </c>
      <c r="W49" s="610" t="s">
        <v>443</v>
      </c>
      <c r="X49" s="597" t="s">
        <v>381</v>
      </c>
      <c r="Z49" s="336">
        <f t="shared" si="5"/>
        <v>250000</v>
      </c>
      <c r="AA49" s="337">
        <f t="shared" si="5"/>
        <v>73050.59</v>
      </c>
      <c r="AB49" s="338">
        <f t="shared" si="6"/>
        <v>176949.41</v>
      </c>
      <c r="AC49" s="336">
        <f t="shared" si="7"/>
        <v>270000</v>
      </c>
      <c r="AD49" s="337">
        <f t="shared" si="7"/>
        <v>0</v>
      </c>
      <c r="AE49" s="338">
        <f t="shared" si="8"/>
        <v>270000</v>
      </c>
      <c r="AF49" s="336">
        <f t="shared" si="9"/>
        <v>160000</v>
      </c>
      <c r="AG49" s="337">
        <f t="shared" si="9"/>
        <v>0</v>
      </c>
      <c r="AH49" s="338">
        <f t="shared" si="10"/>
        <v>160000</v>
      </c>
      <c r="AI49" s="336">
        <f t="shared" si="11"/>
        <v>336987.56</v>
      </c>
      <c r="AJ49" s="337">
        <f t="shared" si="11"/>
        <v>0</v>
      </c>
      <c r="AK49" s="338">
        <f t="shared" si="12"/>
        <v>336987.56</v>
      </c>
      <c r="AL49" s="342"/>
      <c r="AM49" s="336">
        <f t="shared" si="13"/>
        <v>520000</v>
      </c>
      <c r="AN49" s="339">
        <f t="shared" si="13"/>
        <v>73050.59</v>
      </c>
      <c r="AO49" s="340">
        <f t="shared" si="14"/>
        <v>446949.41</v>
      </c>
      <c r="AP49" s="336">
        <f t="shared" si="15"/>
        <v>680000</v>
      </c>
      <c r="AQ49" s="339">
        <f t="shared" si="15"/>
        <v>73050.59</v>
      </c>
      <c r="AR49" s="340">
        <f t="shared" si="16"/>
        <v>606949.41</v>
      </c>
      <c r="AS49" s="341">
        <f t="shared" si="21"/>
        <v>1016987.56</v>
      </c>
      <c r="AT49" s="339">
        <f t="shared" si="17"/>
        <v>73050.59</v>
      </c>
      <c r="AU49" s="340">
        <f t="shared" si="18"/>
        <v>943936.97</v>
      </c>
      <c r="AV49" s="589">
        <f t="shared" si="19"/>
        <v>0</v>
      </c>
      <c r="AW49" s="343"/>
      <c r="AX49" s="1098"/>
      <c r="AY49" s="345">
        <v>130000</v>
      </c>
      <c r="AZ49" s="1098">
        <v>73050.59</v>
      </c>
      <c r="BA49" s="345">
        <v>120000</v>
      </c>
      <c r="BB49" s="1120"/>
      <c r="BC49" s="347">
        <v>110000</v>
      </c>
      <c r="BD49" s="348"/>
      <c r="BE49" s="349">
        <v>100000</v>
      </c>
      <c r="BF49" s="348"/>
      <c r="BG49" s="349">
        <v>60000</v>
      </c>
      <c r="BH49" s="350"/>
      <c r="BI49" s="351">
        <v>60000</v>
      </c>
      <c r="BJ49" s="352"/>
      <c r="BK49" s="337">
        <v>50000</v>
      </c>
      <c r="BL49" s="352"/>
      <c r="BM49" s="337">
        <v>50000</v>
      </c>
      <c r="BN49" s="353"/>
      <c r="BO49" s="354">
        <v>80000</v>
      </c>
      <c r="BP49" s="355"/>
      <c r="BQ49" s="356">
        <v>120000</v>
      </c>
      <c r="BR49" s="355"/>
      <c r="BS49" s="356">
        <f>130000+6987.56</f>
        <v>136987.56</v>
      </c>
      <c r="BT49" s="357"/>
    </row>
    <row r="50" spans="1:72" s="313" customFormat="1" ht="25.5" outlineLevel="1">
      <c r="A50" s="287">
        <v>40</v>
      </c>
      <c r="B50" s="933"/>
      <c r="C50" s="840"/>
      <c r="D50" s="841"/>
      <c r="E50" s="839"/>
      <c r="F50" s="821" t="s">
        <v>7</v>
      </c>
      <c r="G50" s="314">
        <v>4</v>
      </c>
      <c r="H50" s="739" t="s">
        <v>71</v>
      </c>
      <c r="I50" s="739">
        <v>244</v>
      </c>
      <c r="J50" s="740">
        <v>223</v>
      </c>
      <c r="K50" s="533" t="s">
        <v>252</v>
      </c>
      <c r="L50" s="1025">
        <v>27519.25</v>
      </c>
      <c r="M50" s="318"/>
      <c r="N50" s="318"/>
      <c r="O50" s="1052">
        <f t="shared" si="20"/>
        <v>27519.25</v>
      </c>
      <c r="P50" s="559"/>
      <c r="Q50" s="336">
        <v>28653.78</v>
      </c>
      <c r="R50" s="559"/>
      <c r="S50" s="336">
        <v>28851.01</v>
      </c>
      <c r="T50" s="559"/>
      <c r="U50" s="335"/>
      <c r="V50" s="596" t="s">
        <v>444</v>
      </c>
      <c r="W50" s="610" t="s">
        <v>443</v>
      </c>
      <c r="X50" s="597" t="s">
        <v>381</v>
      </c>
      <c r="Z50" s="336">
        <f t="shared" si="5"/>
        <v>5340</v>
      </c>
      <c r="AA50" s="337">
        <f t="shared" si="5"/>
        <v>0</v>
      </c>
      <c r="AB50" s="338">
        <f t="shared" si="6"/>
        <v>5340</v>
      </c>
      <c r="AC50" s="336">
        <f t="shared" si="7"/>
        <v>8010</v>
      </c>
      <c r="AD50" s="337">
        <f t="shared" si="7"/>
        <v>0</v>
      </c>
      <c r="AE50" s="338">
        <f t="shared" si="8"/>
        <v>8010</v>
      </c>
      <c r="AF50" s="336">
        <f t="shared" si="9"/>
        <v>8010</v>
      </c>
      <c r="AG50" s="337">
        <f t="shared" si="9"/>
        <v>0</v>
      </c>
      <c r="AH50" s="338">
        <f t="shared" si="10"/>
        <v>8010</v>
      </c>
      <c r="AI50" s="336">
        <f t="shared" si="11"/>
        <v>6159.25</v>
      </c>
      <c r="AJ50" s="337">
        <f t="shared" si="11"/>
        <v>0</v>
      </c>
      <c r="AK50" s="338">
        <f t="shared" si="12"/>
        <v>6159.25</v>
      </c>
      <c r="AL50" s="342"/>
      <c r="AM50" s="336">
        <f t="shared" si="13"/>
        <v>13350</v>
      </c>
      <c r="AN50" s="339">
        <f t="shared" si="13"/>
        <v>0</v>
      </c>
      <c r="AO50" s="340">
        <f t="shared" si="14"/>
        <v>13350</v>
      </c>
      <c r="AP50" s="336">
        <f t="shared" si="15"/>
        <v>21360</v>
      </c>
      <c r="AQ50" s="339">
        <f t="shared" si="15"/>
        <v>0</v>
      </c>
      <c r="AR50" s="340">
        <f t="shared" si="16"/>
        <v>21360</v>
      </c>
      <c r="AS50" s="341">
        <f t="shared" si="21"/>
        <v>27519.25</v>
      </c>
      <c r="AT50" s="339">
        <f t="shared" si="17"/>
        <v>0</v>
      </c>
      <c r="AU50" s="340">
        <f t="shared" si="18"/>
        <v>27519.25</v>
      </c>
      <c r="AV50" s="589">
        <f t="shared" si="19"/>
        <v>0</v>
      </c>
      <c r="AW50" s="343"/>
      <c r="AX50" s="1098"/>
      <c r="AY50" s="345">
        <v>2670</v>
      </c>
      <c r="AZ50" s="1098"/>
      <c r="BA50" s="345">
        <v>2670</v>
      </c>
      <c r="BB50" s="1120"/>
      <c r="BC50" s="347">
        <v>2670</v>
      </c>
      <c r="BD50" s="348"/>
      <c r="BE50" s="349">
        <v>2670</v>
      </c>
      <c r="BF50" s="348"/>
      <c r="BG50" s="349">
        <v>2670</v>
      </c>
      <c r="BH50" s="350"/>
      <c r="BI50" s="351">
        <v>2670</v>
      </c>
      <c r="BJ50" s="352"/>
      <c r="BK50" s="337">
        <v>2670</v>
      </c>
      <c r="BL50" s="352"/>
      <c r="BM50" s="337">
        <v>2670</v>
      </c>
      <c r="BN50" s="353"/>
      <c r="BO50" s="354">
        <v>2670</v>
      </c>
      <c r="BP50" s="355"/>
      <c r="BQ50" s="356">
        <v>2670</v>
      </c>
      <c r="BR50" s="355"/>
      <c r="BS50" s="356">
        <v>819.25</v>
      </c>
      <c r="BT50" s="357"/>
    </row>
    <row r="51" spans="1:72" s="358" customFormat="1" ht="31.5" customHeight="1">
      <c r="A51" s="287">
        <v>41</v>
      </c>
      <c r="B51" s="933"/>
      <c r="C51" s="850" t="s">
        <v>377</v>
      </c>
      <c r="D51" s="838"/>
      <c r="E51" s="836" t="s">
        <v>201</v>
      </c>
      <c r="F51" s="820" t="s">
        <v>7</v>
      </c>
      <c r="G51" s="360">
        <v>4</v>
      </c>
      <c r="H51" s="360" t="s">
        <v>71</v>
      </c>
      <c r="I51" s="360">
        <v>244</v>
      </c>
      <c r="J51" s="361">
        <v>224</v>
      </c>
      <c r="K51" s="532" t="s">
        <v>151</v>
      </c>
      <c r="L51" s="1021">
        <f>L52</f>
        <v>12428476.800000001</v>
      </c>
      <c r="M51" s="363"/>
      <c r="N51" s="363"/>
      <c r="O51" s="1051">
        <f t="shared" si="20"/>
        <v>12428476.800000001</v>
      </c>
      <c r="P51" s="557">
        <f>12428476.8-L51</f>
        <v>0</v>
      </c>
      <c r="Q51" s="544">
        <f>Q52</f>
        <v>3668142.76</v>
      </c>
      <c r="R51" s="557"/>
      <c r="S51" s="544">
        <f t="shared" ref="S51" si="32">S52</f>
        <v>3648174.72</v>
      </c>
      <c r="T51" s="557"/>
      <c r="U51" s="365"/>
      <c r="V51" s="366"/>
      <c r="W51" s="366"/>
      <c r="X51" s="366"/>
      <c r="Z51" s="367">
        <f>AW51+AY51+BA51</f>
        <v>2071412.8</v>
      </c>
      <c r="AA51" s="363">
        <f>AX51+AZ51+BB51</f>
        <v>2071412.8</v>
      </c>
      <c r="AB51" s="280">
        <f>Z51-AA51</f>
        <v>0</v>
      </c>
      <c r="AC51" s="367">
        <f>BC51+BE51+BG51</f>
        <v>3107119.2</v>
      </c>
      <c r="AD51" s="363">
        <f>BD51+BF51+BH51</f>
        <v>0</v>
      </c>
      <c r="AE51" s="280">
        <f>AC51-AD51</f>
        <v>3107119.2</v>
      </c>
      <c r="AF51" s="367">
        <f>BI51+BK51+BM51</f>
        <v>3107119.2</v>
      </c>
      <c r="AG51" s="363">
        <f>BJ51+BL51+BN51</f>
        <v>0</v>
      </c>
      <c r="AH51" s="280">
        <f>AF51-AG51</f>
        <v>3107119.2</v>
      </c>
      <c r="AI51" s="367">
        <f>BO51+BQ51+BS51</f>
        <v>4142825.6</v>
      </c>
      <c r="AJ51" s="363">
        <f>BP51+BR51+BT51</f>
        <v>0</v>
      </c>
      <c r="AK51" s="280">
        <f>AI51-AJ51</f>
        <v>4142825.6</v>
      </c>
      <c r="AL51" s="368"/>
      <c r="AM51" s="367">
        <f>Z51+AC51</f>
        <v>5178532</v>
      </c>
      <c r="AN51" s="363">
        <f>AA51+AD51</f>
        <v>2071412.8</v>
      </c>
      <c r="AO51" s="280">
        <f>AM51-AN51</f>
        <v>3107119.2</v>
      </c>
      <c r="AP51" s="367">
        <f>Z51+AC51+AF51</f>
        <v>8285651.2000000002</v>
      </c>
      <c r="AQ51" s="363">
        <f>AA51+AD51+AG51</f>
        <v>2071412.8</v>
      </c>
      <c r="AR51" s="280">
        <f>AP51-AQ51</f>
        <v>6214238.4000000004</v>
      </c>
      <c r="AS51" s="367">
        <f>Z51+AC51+AF51+AI51</f>
        <v>12428476.800000001</v>
      </c>
      <c r="AT51" s="363">
        <f>AA51+AD51+AG51+AJ51</f>
        <v>2071412.8</v>
      </c>
      <c r="AU51" s="280">
        <f>AS51-AT51</f>
        <v>10357064</v>
      </c>
      <c r="AV51" s="588">
        <f t="shared" si="19"/>
        <v>0</v>
      </c>
      <c r="AW51" s="367">
        <f t="shared" ref="AW51:BT51" si="33">AW52</f>
        <v>0</v>
      </c>
      <c r="AX51" s="1097">
        <f t="shared" si="33"/>
        <v>0</v>
      </c>
      <c r="AY51" s="363">
        <f t="shared" si="33"/>
        <v>1035706.4</v>
      </c>
      <c r="AZ51" s="1097">
        <f t="shared" si="33"/>
        <v>1035706.4</v>
      </c>
      <c r="BA51" s="363">
        <f t="shared" si="33"/>
        <v>1035706.4</v>
      </c>
      <c r="BB51" s="1119">
        <f t="shared" si="33"/>
        <v>1035706.4</v>
      </c>
      <c r="BC51" s="367">
        <f t="shared" si="33"/>
        <v>1035706.4</v>
      </c>
      <c r="BD51" s="363">
        <f t="shared" si="33"/>
        <v>0</v>
      </c>
      <c r="BE51" s="363">
        <f t="shared" si="33"/>
        <v>1035706.4</v>
      </c>
      <c r="BF51" s="363">
        <f t="shared" si="33"/>
        <v>0</v>
      </c>
      <c r="BG51" s="363">
        <f t="shared" si="33"/>
        <v>1035706.4</v>
      </c>
      <c r="BH51" s="369">
        <f t="shared" si="33"/>
        <v>0</v>
      </c>
      <c r="BI51" s="367">
        <f t="shared" si="33"/>
        <v>1035706.4</v>
      </c>
      <c r="BJ51" s="363">
        <f t="shared" si="33"/>
        <v>0</v>
      </c>
      <c r="BK51" s="363">
        <f t="shared" si="33"/>
        <v>1035706.4</v>
      </c>
      <c r="BL51" s="363">
        <f t="shared" si="33"/>
        <v>0</v>
      </c>
      <c r="BM51" s="363">
        <f t="shared" si="33"/>
        <v>1035706.4</v>
      </c>
      <c r="BN51" s="369">
        <f t="shared" si="33"/>
        <v>0</v>
      </c>
      <c r="BO51" s="367">
        <f t="shared" si="33"/>
        <v>0</v>
      </c>
      <c r="BP51" s="363">
        <f t="shared" si="33"/>
        <v>0</v>
      </c>
      <c r="BQ51" s="363">
        <f t="shared" si="33"/>
        <v>0</v>
      </c>
      <c r="BR51" s="363">
        <f t="shared" si="33"/>
        <v>0</v>
      </c>
      <c r="BS51" s="363">
        <f t="shared" si="33"/>
        <v>4142825.6</v>
      </c>
      <c r="BT51" s="280">
        <f t="shared" si="33"/>
        <v>0</v>
      </c>
    </row>
    <row r="52" spans="1:72" s="313" customFormat="1" ht="38.25" outlineLevel="1">
      <c r="A52" s="287">
        <v>42</v>
      </c>
      <c r="B52" s="933"/>
      <c r="C52" s="840"/>
      <c r="D52" s="841"/>
      <c r="E52" s="839"/>
      <c r="F52" s="821" t="s">
        <v>7</v>
      </c>
      <c r="G52" s="314">
        <v>4</v>
      </c>
      <c r="H52" s="739" t="s">
        <v>71</v>
      </c>
      <c r="I52" s="739">
        <v>244</v>
      </c>
      <c r="J52" s="740">
        <v>224</v>
      </c>
      <c r="K52" s="533" t="s">
        <v>264</v>
      </c>
      <c r="L52" s="1026">
        <v>12428476.800000001</v>
      </c>
      <c r="M52" s="318"/>
      <c r="N52" s="318"/>
      <c r="O52" s="1010">
        <f t="shared" si="20"/>
        <v>12428476.800000001</v>
      </c>
      <c r="P52" s="559"/>
      <c r="Q52" s="509">
        <v>3668142.76</v>
      </c>
      <c r="R52" s="560"/>
      <c r="S52" s="509">
        <v>3648174.72</v>
      </c>
      <c r="T52" s="559"/>
      <c r="U52" s="335"/>
      <c r="V52" s="597" t="s">
        <v>265</v>
      </c>
      <c r="W52" s="597" t="s">
        <v>414</v>
      </c>
      <c r="X52" s="597" t="s">
        <v>417</v>
      </c>
      <c r="Z52" s="336">
        <f>AW52+AY52+BA52</f>
        <v>2071412.8</v>
      </c>
      <c r="AA52" s="337">
        <f>AX52+AZ52+BB52</f>
        <v>2071412.8</v>
      </c>
      <c r="AB52" s="338">
        <f>Z52-AA52</f>
        <v>0</v>
      </c>
      <c r="AC52" s="336">
        <f>BC52+BE52+BG52</f>
        <v>3107119.2</v>
      </c>
      <c r="AD52" s="337">
        <f>BD52+BF52+BH52</f>
        <v>0</v>
      </c>
      <c r="AE52" s="338">
        <f>AC52-AD52</f>
        <v>3107119.2</v>
      </c>
      <c r="AF52" s="336">
        <f>BI52+BK52+BM52</f>
        <v>3107119.2</v>
      </c>
      <c r="AG52" s="337">
        <f>BJ52+BL52+BN52</f>
        <v>0</v>
      </c>
      <c r="AH52" s="338">
        <f>AF52-AG52</f>
        <v>3107119.2</v>
      </c>
      <c r="AI52" s="336">
        <f>BO52+BQ52+BS52</f>
        <v>4142825.6</v>
      </c>
      <c r="AJ52" s="337">
        <f>BP52+BR52+BT52</f>
        <v>0</v>
      </c>
      <c r="AK52" s="338">
        <f>AI52-AJ52</f>
        <v>4142825.6</v>
      </c>
      <c r="AL52" s="342"/>
      <c r="AM52" s="336">
        <f>Z52+AC52</f>
        <v>5178532</v>
      </c>
      <c r="AN52" s="339">
        <f>AA52+AD52</f>
        <v>2071412.8</v>
      </c>
      <c r="AO52" s="340">
        <f>AM52-AN52</f>
        <v>3107119.2</v>
      </c>
      <c r="AP52" s="336">
        <f>Z52+AC52+AF52</f>
        <v>8285651.2000000002</v>
      </c>
      <c r="AQ52" s="339">
        <f>AA52+AD52+AG52</f>
        <v>2071412.8</v>
      </c>
      <c r="AR52" s="340">
        <f>AP52-AQ52</f>
        <v>6214238.4000000004</v>
      </c>
      <c r="AS52" s="341">
        <f>Z52+AC52+AF52+AI52</f>
        <v>12428476.800000001</v>
      </c>
      <c r="AT52" s="339">
        <f>AA52+AD52+AG52+AJ52</f>
        <v>2071412.8</v>
      </c>
      <c r="AU52" s="340">
        <f>AS52-AT52</f>
        <v>10357064</v>
      </c>
      <c r="AV52" s="589">
        <f t="shared" si="19"/>
        <v>0</v>
      </c>
      <c r="AW52" s="343"/>
      <c r="AX52" s="1098"/>
      <c r="AY52" s="345">
        <v>1035706.4</v>
      </c>
      <c r="AZ52" s="1098">
        <v>1035706.4</v>
      </c>
      <c r="BA52" s="345">
        <v>1035706.4</v>
      </c>
      <c r="BB52" s="1120">
        <v>1035706.4</v>
      </c>
      <c r="BC52" s="347">
        <v>1035706.4</v>
      </c>
      <c r="BD52" s="348"/>
      <c r="BE52" s="349">
        <v>1035706.4</v>
      </c>
      <c r="BF52" s="348"/>
      <c r="BG52" s="349">
        <v>1035706.4</v>
      </c>
      <c r="BH52" s="350"/>
      <c r="BI52" s="351">
        <v>1035706.4</v>
      </c>
      <c r="BJ52" s="352"/>
      <c r="BK52" s="337">
        <v>1035706.4</v>
      </c>
      <c r="BL52" s="352"/>
      <c r="BM52" s="337">
        <v>1035706.4</v>
      </c>
      <c r="BN52" s="353"/>
      <c r="BO52" s="354"/>
      <c r="BP52" s="355"/>
      <c r="BQ52" s="356"/>
      <c r="BR52" s="355"/>
      <c r="BS52" s="356">
        <v>4142825.6</v>
      </c>
      <c r="BT52" s="357"/>
    </row>
    <row r="53" spans="1:72" s="358" customFormat="1" ht="31.5" customHeight="1">
      <c r="A53" s="287">
        <v>43</v>
      </c>
      <c r="B53" s="933"/>
      <c r="C53" s="850" t="s">
        <v>377</v>
      </c>
      <c r="D53" s="1180" t="s">
        <v>588</v>
      </c>
      <c r="E53" s="836" t="s">
        <v>201</v>
      </c>
      <c r="F53" s="820" t="s">
        <v>7</v>
      </c>
      <c r="G53" s="360">
        <v>4</v>
      </c>
      <c r="H53" s="360" t="s">
        <v>71</v>
      </c>
      <c r="I53" s="360">
        <v>244</v>
      </c>
      <c r="J53" s="361">
        <v>225</v>
      </c>
      <c r="K53" s="532" t="s">
        <v>149</v>
      </c>
      <c r="L53" s="1023">
        <f>SUM(L54:L56)</f>
        <v>77583.179999999993</v>
      </c>
      <c r="M53" s="363"/>
      <c r="N53" s="363"/>
      <c r="O53" s="1051">
        <f t="shared" si="20"/>
        <v>77583.179999999993</v>
      </c>
      <c r="P53" s="557"/>
      <c r="Q53" s="367">
        <f>SUM(Q54:Q56)</f>
        <v>81611.22</v>
      </c>
      <c r="R53" s="557"/>
      <c r="S53" s="367">
        <f>SUM(S54:S56)</f>
        <v>81611.22</v>
      </c>
      <c r="T53" s="557"/>
      <c r="U53" s="365"/>
      <c r="V53" s="366"/>
      <c r="W53" s="366"/>
      <c r="X53" s="366"/>
      <c r="Z53" s="367">
        <f t="shared" si="5"/>
        <v>16380.54</v>
      </c>
      <c r="AA53" s="363">
        <f t="shared" si="5"/>
        <v>16380.54</v>
      </c>
      <c r="AB53" s="280">
        <f t="shared" si="6"/>
        <v>0</v>
      </c>
      <c r="AC53" s="367">
        <f t="shared" si="7"/>
        <v>30570.81</v>
      </c>
      <c r="AD53" s="363">
        <f t="shared" si="7"/>
        <v>10400</v>
      </c>
      <c r="AE53" s="280">
        <f t="shared" si="8"/>
        <v>20170.810000000001</v>
      </c>
      <c r="AF53" s="367">
        <f t="shared" si="9"/>
        <v>7570.81</v>
      </c>
      <c r="AG53" s="363">
        <f t="shared" si="9"/>
        <v>0</v>
      </c>
      <c r="AH53" s="280">
        <f t="shared" si="10"/>
        <v>7570.81</v>
      </c>
      <c r="AI53" s="367">
        <f t="shared" si="11"/>
        <v>22861.14</v>
      </c>
      <c r="AJ53" s="363">
        <f t="shared" si="11"/>
        <v>0</v>
      </c>
      <c r="AK53" s="280">
        <f t="shared" si="12"/>
        <v>22861.14</v>
      </c>
      <c r="AL53" s="368"/>
      <c r="AM53" s="367">
        <f t="shared" si="13"/>
        <v>46951.35</v>
      </c>
      <c r="AN53" s="363">
        <f t="shared" si="13"/>
        <v>26780.54</v>
      </c>
      <c r="AO53" s="280">
        <f t="shared" si="14"/>
        <v>20170.810000000001</v>
      </c>
      <c r="AP53" s="367">
        <f t="shared" si="15"/>
        <v>54522.16</v>
      </c>
      <c r="AQ53" s="363">
        <f t="shared" si="15"/>
        <v>26780.54</v>
      </c>
      <c r="AR53" s="280">
        <f t="shared" si="16"/>
        <v>27741.62</v>
      </c>
      <c r="AS53" s="367">
        <f t="shared" si="21"/>
        <v>77383.3</v>
      </c>
      <c r="AT53" s="363">
        <f t="shared" si="17"/>
        <v>26780.54</v>
      </c>
      <c r="AU53" s="280">
        <f t="shared" si="18"/>
        <v>50602.76</v>
      </c>
      <c r="AV53" s="588">
        <f t="shared" si="19"/>
        <v>199.88</v>
      </c>
      <c r="AW53" s="367">
        <f t="shared" ref="AW53:BT53" si="34">SUM(AW54:AW56)</f>
        <v>0</v>
      </c>
      <c r="AX53" s="1097">
        <f t="shared" si="34"/>
        <v>0</v>
      </c>
      <c r="AY53" s="363">
        <f t="shared" si="34"/>
        <v>6440.27</v>
      </c>
      <c r="AZ53" s="1097">
        <f t="shared" si="34"/>
        <v>6440.27</v>
      </c>
      <c r="BA53" s="363">
        <f t="shared" si="34"/>
        <v>9940.27</v>
      </c>
      <c r="BB53" s="1119">
        <f t="shared" si="34"/>
        <v>9940.27</v>
      </c>
      <c r="BC53" s="367">
        <f t="shared" si="34"/>
        <v>10390.27</v>
      </c>
      <c r="BD53" s="363">
        <f t="shared" si="34"/>
        <v>5200</v>
      </c>
      <c r="BE53" s="363">
        <f t="shared" si="34"/>
        <v>10390.27</v>
      </c>
      <c r="BF53" s="363">
        <f t="shared" si="34"/>
        <v>5200</v>
      </c>
      <c r="BG53" s="363">
        <f t="shared" si="34"/>
        <v>9790.27</v>
      </c>
      <c r="BH53" s="369">
        <f t="shared" si="34"/>
        <v>0</v>
      </c>
      <c r="BI53" s="367">
        <f t="shared" si="34"/>
        <v>5190.2700000000004</v>
      </c>
      <c r="BJ53" s="363">
        <f t="shared" si="34"/>
        <v>0</v>
      </c>
      <c r="BK53" s="363">
        <f t="shared" si="34"/>
        <v>1190.27</v>
      </c>
      <c r="BL53" s="363">
        <f t="shared" si="34"/>
        <v>0</v>
      </c>
      <c r="BM53" s="363">
        <f t="shared" si="34"/>
        <v>1190.27</v>
      </c>
      <c r="BN53" s="369">
        <f t="shared" si="34"/>
        <v>0</v>
      </c>
      <c r="BO53" s="367">
        <f t="shared" si="34"/>
        <v>5190.2700000000004</v>
      </c>
      <c r="BP53" s="363">
        <f t="shared" si="34"/>
        <v>0</v>
      </c>
      <c r="BQ53" s="363">
        <f t="shared" si="34"/>
        <v>5190.2700000000004</v>
      </c>
      <c r="BR53" s="363">
        <f t="shared" si="34"/>
        <v>0</v>
      </c>
      <c r="BS53" s="363">
        <f t="shared" si="34"/>
        <v>12480.6</v>
      </c>
      <c r="BT53" s="280">
        <f t="shared" si="34"/>
        <v>0</v>
      </c>
    </row>
    <row r="54" spans="1:72" s="313" customFormat="1" ht="63.75" outlineLevel="1">
      <c r="A54" s="287">
        <v>44</v>
      </c>
      <c r="B54" s="933"/>
      <c r="C54" s="840"/>
      <c r="D54" s="853" t="s">
        <v>588</v>
      </c>
      <c r="E54" s="839"/>
      <c r="F54" s="821" t="s">
        <v>7</v>
      </c>
      <c r="G54" s="314">
        <v>4</v>
      </c>
      <c r="H54" s="739" t="s">
        <v>71</v>
      </c>
      <c r="I54" s="739">
        <v>244</v>
      </c>
      <c r="J54" s="740">
        <v>225</v>
      </c>
      <c r="K54" s="533" t="s">
        <v>262</v>
      </c>
      <c r="L54" s="1025">
        <f>18311.28-4028.04</f>
        <v>14283.24</v>
      </c>
      <c r="M54" s="318"/>
      <c r="N54" s="318"/>
      <c r="O54" s="1052">
        <f t="shared" si="20"/>
        <v>14283.24</v>
      </c>
      <c r="P54" s="559"/>
      <c r="Q54" s="341">
        <v>18311.28</v>
      </c>
      <c r="R54" s="559"/>
      <c r="S54" s="341">
        <v>18311.28</v>
      </c>
      <c r="T54" s="559"/>
      <c r="U54" s="335"/>
      <c r="V54" s="596" t="s">
        <v>253</v>
      </c>
      <c r="W54" s="597" t="s">
        <v>394</v>
      </c>
      <c r="X54" s="597" t="s">
        <v>381</v>
      </c>
      <c r="Z54" s="336">
        <f t="shared" ref="Z54:AA99" si="35">AW54+AY54+BA54</f>
        <v>2380.54</v>
      </c>
      <c r="AA54" s="337">
        <f t="shared" si="35"/>
        <v>2380.54</v>
      </c>
      <c r="AB54" s="338">
        <f t="shared" si="6"/>
        <v>0</v>
      </c>
      <c r="AC54" s="336">
        <f t="shared" ref="AC54:AD99" si="36">BC54+BE54+BG54</f>
        <v>3570.81</v>
      </c>
      <c r="AD54" s="337">
        <f t="shared" si="36"/>
        <v>0</v>
      </c>
      <c r="AE54" s="338">
        <f t="shared" si="8"/>
        <v>3570.81</v>
      </c>
      <c r="AF54" s="336">
        <f t="shared" ref="AF54:AG99" si="37">BI54+BK54+BM54</f>
        <v>3570.81</v>
      </c>
      <c r="AG54" s="337">
        <f t="shared" si="37"/>
        <v>0</v>
      </c>
      <c r="AH54" s="338">
        <f t="shared" si="10"/>
        <v>3570.81</v>
      </c>
      <c r="AI54" s="336">
        <f t="shared" ref="AI54:AJ99" si="38">BO54+BQ54+BS54</f>
        <v>4761.08</v>
      </c>
      <c r="AJ54" s="337">
        <f t="shared" si="38"/>
        <v>0</v>
      </c>
      <c r="AK54" s="338">
        <f t="shared" si="12"/>
        <v>4761.08</v>
      </c>
      <c r="AL54" s="342"/>
      <c r="AM54" s="336">
        <f t="shared" ref="AM54:AN99" si="39">Z54+AC54</f>
        <v>5951.35</v>
      </c>
      <c r="AN54" s="339">
        <f t="shared" si="39"/>
        <v>2380.54</v>
      </c>
      <c r="AO54" s="340">
        <f t="shared" si="14"/>
        <v>3570.81</v>
      </c>
      <c r="AP54" s="336">
        <f t="shared" ref="AP54:AQ99" si="40">Z54+AC54+AF54</f>
        <v>9522.16</v>
      </c>
      <c r="AQ54" s="339">
        <f t="shared" si="40"/>
        <v>2380.54</v>
      </c>
      <c r="AR54" s="340">
        <f t="shared" si="16"/>
        <v>7141.62</v>
      </c>
      <c r="AS54" s="341">
        <f t="shared" si="21"/>
        <v>14283.24</v>
      </c>
      <c r="AT54" s="339">
        <f t="shared" si="17"/>
        <v>2380.54</v>
      </c>
      <c r="AU54" s="340">
        <f t="shared" si="18"/>
        <v>11902.7</v>
      </c>
      <c r="AV54" s="589">
        <f t="shared" si="19"/>
        <v>0</v>
      </c>
      <c r="AW54" s="343"/>
      <c r="AX54" s="1098"/>
      <c r="AY54" s="345">
        <v>1190.27</v>
      </c>
      <c r="AZ54" s="1098">
        <v>1190.27</v>
      </c>
      <c r="BA54" s="345">
        <v>1190.27</v>
      </c>
      <c r="BB54" s="1120">
        <v>1190.27</v>
      </c>
      <c r="BC54" s="347">
        <v>1190.27</v>
      </c>
      <c r="BD54" s="348"/>
      <c r="BE54" s="1135">
        <v>1190.27</v>
      </c>
      <c r="BF54" s="348"/>
      <c r="BG54" s="349">
        <v>1190.27</v>
      </c>
      <c r="BH54" s="350"/>
      <c r="BI54" s="351">
        <v>1190.27</v>
      </c>
      <c r="BJ54" s="352"/>
      <c r="BK54" s="337">
        <v>1190.27</v>
      </c>
      <c r="BL54" s="352"/>
      <c r="BM54" s="337">
        <v>1190.27</v>
      </c>
      <c r="BN54" s="353"/>
      <c r="BO54" s="354">
        <v>1190.27</v>
      </c>
      <c r="BP54" s="355"/>
      <c r="BQ54" s="356">
        <v>1190.27</v>
      </c>
      <c r="BR54" s="355"/>
      <c r="BS54" s="356">
        <f>1190.27*2</f>
        <v>2380.54</v>
      </c>
      <c r="BT54" s="357"/>
    </row>
    <row r="55" spans="1:72" s="313" customFormat="1" ht="76.5" outlineLevel="1">
      <c r="A55" s="287">
        <v>45</v>
      </c>
      <c r="B55" s="933"/>
      <c r="C55" s="840"/>
      <c r="D55" s="853" t="s">
        <v>588</v>
      </c>
      <c r="E55" s="839"/>
      <c r="F55" s="821" t="s">
        <v>7</v>
      </c>
      <c r="G55" s="314">
        <v>4</v>
      </c>
      <c r="H55" s="739" t="s">
        <v>71</v>
      </c>
      <c r="I55" s="739">
        <v>244</v>
      </c>
      <c r="J55" s="740">
        <v>225</v>
      </c>
      <c r="K55" s="533" t="s">
        <v>263</v>
      </c>
      <c r="L55" s="1025">
        <v>25199.88</v>
      </c>
      <c r="M55" s="318"/>
      <c r="N55" s="318"/>
      <c r="O55" s="1052">
        <f t="shared" si="20"/>
        <v>25199.88</v>
      </c>
      <c r="P55" s="559"/>
      <c r="Q55" s="341">
        <v>25199.88</v>
      </c>
      <c r="R55" s="559"/>
      <c r="S55" s="341">
        <v>25199.88</v>
      </c>
      <c r="T55" s="559"/>
      <c r="U55" s="335"/>
      <c r="V55" s="596" t="s">
        <v>599</v>
      </c>
      <c r="W55" s="597" t="s">
        <v>452</v>
      </c>
      <c r="X55" s="597" t="s">
        <v>453</v>
      </c>
      <c r="Z55" s="336">
        <f t="shared" si="35"/>
        <v>10000</v>
      </c>
      <c r="AA55" s="337">
        <f t="shared" si="35"/>
        <v>10000</v>
      </c>
      <c r="AB55" s="338">
        <f t="shared" si="6"/>
        <v>0</v>
      </c>
      <c r="AC55" s="336">
        <f t="shared" si="36"/>
        <v>15000</v>
      </c>
      <c r="AD55" s="337">
        <f t="shared" si="36"/>
        <v>10400</v>
      </c>
      <c r="AE55" s="338">
        <f t="shared" si="8"/>
        <v>4600</v>
      </c>
      <c r="AF55" s="336">
        <f t="shared" si="37"/>
        <v>0</v>
      </c>
      <c r="AG55" s="337">
        <f t="shared" si="37"/>
        <v>0</v>
      </c>
      <c r="AH55" s="338">
        <f t="shared" si="10"/>
        <v>0</v>
      </c>
      <c r="AI55" s="336">
        <f t="shared" si="38"/>
        <v>0</v>
      </c>
      <c r="AJ55" s="337">
        <f t="shared" si="38"/>
        <v>0</v>
      </c>
      <c r="AK55" s="338">
        <f t="shared" si="12"/>
        <v>0</v>
      </c>
      <c r="AL55" s="342"/>
      <c r="AM55" s="336">
        <f t="shared" si="39"/>
        <v>25000</v>
      </c>
      <c r="AN55" s="339">
        <f t="shared" si="39"/>
        <v>20400</v>
      </c>
      <c r="AO55" s="340">
        <f t="shared" si="14"/>
        <v>4600</v>
      </c>
      <c r="AP55" s="336">
        <f t="shared" si="40"/>
        <v>25000</v>
      </c>
      <c r="AQ55" s="339">
        <f t="shared" si="40"/>
        <v>20400</v>
      </c>
      <c r="AR55" s="340">
        <f t="shared" si="16"/>
        <v>4600</v>
      </c>
      <c r="AS55" s="341">
        <f t="shared" si="21"/>
        <v>25000</v>
      </c>
      <c r="AT55" s="339">
        <f t="shared" si="17"/>
        <v>20400</v>
      </c>
      <c r="AU55" s="340">
        <f t="shared" si="18"/>
        <v>4600</v>
      </c>
      <c r="AV55" s="803">
        <f t="shared" si="19"/>
        <v>199.88</v>
      </c>
      <c r="AW55" s="343"/>
      <c r="AX55" s="1098"/>
      <c r="AY55" s="1133">
        <v>5250</v>
      </c>
      <c r="AZ55" s="1152">
        <v>5250</v>
      </c>
      <c r="BA55" s="1133">
        <v>4750</v>
      </c>
      <c r="BB55" s="1153">
        <v>4750</v>
      </c>
      <c r="BC55" s="1134">
        <v>5200</v>
      </c>
      <c r="BD55" s="1140">
        <v>5200</v>
      </c>
      <c r="BE55" s="1135">
        <v>5200</v>
      </c>
      <c r="BF55" s="1140">
        <v>5200</v>
      </c>
      <c r="BG55" s="1135">
        <v>4600</v>
      </c>
      <c r="BH55" s="350"/>
      <c r="BI55" s="351"/>
      <c r="BJ55" s="352"/>
      <c r="BK55" s="337"/>
      <c r="BL55" s="352"/>
      <c r="BM55" s="337"/>
      <c r="BN55" s="353"/>
      <c r="BO55" s="354"/>
      <c r="BP55" s="355"/>
      <c r="BQ55" s="356"/>
      <c r="BR55" s="355"/>
      <c r="BS55" s="356"/>
      <c r="BT55" s="357"/>
    </row>
    <row r="56" spans="1:72" s="313" customFormat="1" ht="63.75" outlineLevel="1">
      <c r="A56" s="287">
        <v>46</v>
      </c>
      <c r="B56" s="933"/>
      <c r="C56" s="840"/>
      <c r="D56" s="853" t="s">
        <v>588</v>
      </c>
      <c r="E56" s="839"/>
      <c r="F56" s="821" t="s">
        <v>7</v>
      </c>
      <c r="G56" s="314">
        <v>4</v>
      </c>
      <c r="H56" s="739" t="s">
        <v>71</v>
      </c>
      <c r="I56" s="739">
        <v>244</v>
      </c>
      <c r="J56" s="740">
        <v>225</v>
      </c>
      <c r="K56" s="533" t="s">
        <v>361</v>
      </c>
      <c r="L56" s="1025">
        <v>38100.06</v>
      </c>
      <c r="M56" s="318"/>
      <c r="N56" s="318"/>
      <c r="O56" s="1052">
        <f t="shared" si="20"/>
        <v>38100.06</v>
      </c>
      <c r="P56" s="559"/>
      <c r="Q56" s="341">
        <v>38100.06</v>
      </c>
      <c r="R56" s="559"/>
      <c r="S56" s="341">
        <v>38100.06</v>
      </c>
      <c r="T56" s="559"/>
      <c r="U56" s="335"/>
      <c r="V56" s="597" t="s">
        <v>258</v>
      </c>
      <c r="W56" s="597" t="s">
        <v>454</v>
      </c>
      <c r="X56" s="597" t="s">
        <v>455</v>
      </c>
      <c r="Z56" s="336">
        <f t="shared" si="35"/>
        <v>4000</v>
      </c>
      <c r="AA56" s="337">
        <f t="shared" si="35"/>
        <v>4000</v>
      </c>
      <c r="AB56" s="338">
        <f t="shared" si="6"/>
        <v>0</v>
      </c>
      <c r="AC56" s="336">
        <f t="shared" si="36"/>
        <v>12000</v>
      </c>
      <c r="AD56" s="337">
        <f t="shared" si="36"/>
        <v>0</v>
      </c>
      <c r="AE56" s="338">
        <f t="shared" si="8"/>
        <v>12000</v>
      </c>
      <c r="AF56" s="336">
        <f t="shared" si="37"/>
        <v>4000</v>
      </c>
      <c r="AG56" s="337">
        <f t="shared" si="37"/>
        <v>0</v>
      </c>
      <c r="AH56" s="338">
        <f t="shared" si="10"/>
        <v>4000</v>
      </c>
      <c r="AI56" s="336">
        <f t="shared" si="38"/>
        <v>18100.060000000001</v>
      </c>
      <c r="AJ56" s="337">
        <f t="shared" si="38"/>
        <v>0</v>
      </c>
      <c r="AK56" s="338">
        <f t="shared" si="12"/>
        <v>18100.060000000001</v>
      </c>
      <c r="AL56" s="342"/>
      <c r="AM56" s="336">
        <f t="shared" si="39"/>
        <v>16000</v>
      </c>
      <c r="AN56" s="339">
        <f t="shared" si="39"/>
        <v>4000</v>
      </c>
      <c r="AO56" s="340">
        <f t="shared" si="14"/>
        <v>12000</v>
      </c>
      <c r="AP56" s="336">
        <f t="shared" si="40"/>
        <v>20000</v>
      </c>
      <c r="AQ56" s="339">
        <f t="shared" si="40"/>
        <v>4000</v>
      </c>
      <c r="AR56" s="340">
        <f t="shared" si="16"/>
        <v>16000</v>
      </c>
      <c r="AS56" s="341">
        <f t="shared" si="21"/>
        <v>38100.06</v>
      </c>
      <c r="AT56" s="339">
        <f t="shared" si="17"/>
        <v>4000</v>
      </c>
      <c r="AU56" s="340">
        <f t="shared" si="18"/>
        <v>34100.06</v>
      </c>
      <c r="AV56" s="589">
        <f t="shared" si="19"/>
        <v>0</v>
      </c>
      <c r="AW56" s="343"/>
      <c r="AX56" s="1098"/>
      <c r="AY56" s="345"/>
      <c r="AZ56" s="1098"/>
      <c r="BA56" s="345">
        <v>4000</v>
      </c>
      <c r="BB56" s="1120">
        <v>4000</v>
      </c>
      <c r="BC56" s="347">
        <v>4000</v>
      </c>
      <c r="BD56" s="348"/>
      <c r="BE56" s="1135">
        <v>4000</v>
      </c>
      <c r="BF56" s="348"/>
      <c r="BG56" s="1135">
        <v>4000</v>
      </c>
      <c r="BH56" s="350"/>
      <c r="BI56" s="351">
        <v>4000</v>
      </c>
      <c r="BJ56" s="352"/>
      <c r="BK56" s="337"/>
      <c r="BL56" s="352"/>
      <c r="BM56" s="337"/>
      <c r="BN56" s="353"/>
      <c r="BO56" s="354">
        <v>4000</v>
      </c>
      <c r="BP56" s="355"/>
      <c r="BQ56" s="356">
        <v>4000</v>
      </c>
      <c r="BR56" s="355"/>
      <c r="BS56" s="356">
        <f>4000*2+2100.06</f>
        <v>10100.06</v>
      </c>
      <c r="BT56" s="357"/>
    </row>
    <row r="57" spans="1:72" s="358" customFormat="1" ht="31.5" customHeight="1">
      <c r="A57" s="287">
        <v>47</v>
      </c>
      <c r="B57" s="933"/>
      <c r="C57" s="850" t="s">
        <v>377</v>
      </c>
      <c r="D57" s="853" t="s">
        <v>207</v>
      </c>
      <c r="E57" s="836" t="s">
        <v>201</v>
      </c>
      <c r="F57" s="820" t="s">
        <v>7</v>
      </c>
      <c r="G57" s="360">
        <v>4</v>
      </c>
      <c r="H57" s="360" t="s">
        <v>71</v>
      </c>
      <c r="I57" s="360">
        <v>244</v>
      </c>
      <c r="J57" s="361">
        <v>225</v>
      </c>
      <c r="K57" s="532" t="s">
        <v>148</v>
      </c>
      <c r="L57" s="1023">
        <f>L58</f>
        <v>535089.69999999995</v>
      </c>
      <c r="M57" s="363"/>
      <c r="N57" s="363"/>
      <c r="O57" s="1051">
        <f t="shared" si="20"/>
        <v>535089.69999999995</v>
      </c>
      <c r="P57" s="557"/>
      <c r="Q57" s="367">
        <f>Q58</f>
        <v>538687.53</v>
      </c>
      <c r="R57" s="557"/>
      <c r="S57" s="367">
        <f>S58</f>
        <v>538687.52</v>
      </c>
      <c r="T57" s="557"/>
      <c r="U57" s="365"/>
      <c r="V57" s="366">
        <f>L212</f>
        <v>109000</v>
      </c>
      <c r="W57" s="366"/>
      <c r="X57" s="391">
        <f>L57/(L57+V57)</f>
        <v>0.83079999999999998</v>
      </c>
      <c r="Z57" s="367">
        <f t="shared" si="35"/>
        <v>53494.19</v>
      </c>
      <c r="AA57" s="363">
        <f t="shared" si="35"/>
        <v>53494.19</v>
      </c>
      <c r="AB57" s="280">
        <f t="shared" si="6"/>
        <v>0</v>
      </c>
      <c r="AC57" s="367">
        <f t="shared" si="36"/>
        <v>101255.89</v>
      </c>
      <c r="AD57" s="363">
        <f t="shared" si="36"/>
        <v>0</v>
      </c>
      <c r="AE57" s="280">
        <f t="shared" si="8"/>
        <v>101255.89</v>
      </c>
      <c r="AF57" s="367">
        <f t="shared" si="37"/>
        <v>99092.04</v>
      </c>
      <c r="AG57" s="363">
        <f t="shared" si="37"/>
        <v>0</v>
      </c>
      <c r="AH57" s="280">
        <f t="shared" si="10"/>
        <v>99092.04</v>
      </c>
      <c r="AI57" s="367">
        <f t="shared" si="38"/>
        <v>281247.58</v>
      </c>
      <c r="AJ57" s="363">
        <f t="shared" si="38"/>
        <v>0</v>
      </c>
      <c r="AK57" s="280">
        <f t="shared" si="12"/>
        <v>281247.58</v>
      </c>
      <c r="AL57" s="368"/>
      <c r="AM57" s="367">
        <f t="shared" si="39"/>
        <v>154750.07999999999</v>
      </c>
      <c r="AN57" s="363">
        <f t="shared" si="39"/>
        <v>53494.19</v>
      </c>
      <c r="AO57" s="280">
        <f t="shared" si="14"/>
        <v>101255.89</v>
      </c>
      <c r="AP57" s="367">
        <f t="shared" si="40"/>
        <v>253842.12</v>
      </c>
      <c r="AQ57" s="363">
        <f t="shared" si="40"/>
        <v>53494.19</v>
      </c>
      <c r="AR57" s="280">
        <f t="shared" si="16"/>
        <v>200347.93</v>
      </c>
      <c r="AS57" s="367">
        <f t="shared" si="21"/>
        <v>535089.69999999995</v>
      </c>
      <c r="AT57" s="363">
        <f t="shared" si="17"/>
        <v>53494.19</v>
      </c>
      <c r="AU57" s="280">
        <f t="shared" si="18"/>
        <v>481595.51</v>
      </c>
      <c r="AV57" s="588">
        <f t="shared" si="19"/>
        <v>0</v>
      </c>
      <c r="AW57" s="367">
        <f t="shared" ref="AW57:BT57" si="41">AW58</f>
        <v>0</v>
      </c>
      <c r="AX57" s="1097">
        <f t="shared" si="41"/>
        <v>0</v>
      </c>
      <c r="AY57" s="363">
        <f t="shared" si="41"/>
        <v>22339.96</v>
      </c>
      <c r="AZ57" s="1097">
        <f t="shared" si="41"/>
        <v>22339.96</v>
      </c>
      <c r="BA57" s="363">
        <f t="shared" si="41"/>
        <v>31154.23</v>
      </c>
      <c r="BB57" s="1119">
        <f t="shared" si="41"/>
        <v>31154.23</v>
      </c>
      <c r="BC57" s="367">
        <f t="shared" si="41"/>
        <v>35050.83</v>
      </c>
      <c r="BD57" s="363">
        <f t="shared" si="41"/>
        <v>0</v>
      </c>
      <c r="BE57" s="363">
        <f t="shared" si="41"/>
        <v>35050.83</v>
      </c>
      <c r="BF57" s="363">
        <f t="shared" si="41"/>
        <v>0</v>
      </c>
      <c r="BG57" s="363">
        <f t="shared" si="41"/>
        <v>31154.23</v>
      </c>
      <c r="BH57" s="369">
        <f t="shared" si="41"/>
        <v>0</v>
      </c>
      <c r="BI57" s="367">
        <f t="shared" si="41"/>
        <v>33561.5</v>
      </c>
      <c r="BJ57" s="363">
        <f t="shared" si="41"/>
        <v>0</v>
      </c>
      <c r="BK57" s="363">
        <f t="shared" si="41"/>
        <v>32765.27</v>
      </c>
      <c r="BL57" s="363">
        <f t="shared" si="41"/>
        <v>0</v>
      </c>
      <c r="BM57" s="363">
        <f t="shared" si="41"/>
        <v>32765.27</v>
      </c>
      <c r="BN57" s="369">
        <f t="shared" si="41"/>
        <v>0</v>
      </c>
      <c r="BO57" s="367">
        <f t="shared" si="41"/>
        <v>0</v>
      </c>
      <c r="BP57" s="363">
        <f t="shared" si="41"/>
        <v>0</v>
      </c>
      <c r="BQ57" s="363">
        <f t="shared" si="41"/>
        <v>0</v>
      </c>
      <c r="BR57" s="363">
        <f t="shared" si="41"/>
        <v>0</v>
      </c>
      <c r="BS57" s="363">
        <f t="shared" si="41"/>
        <v>281247.58</v>
      </c>
      <c r="BT57" s="280">
        <f t="shared" si="41"/>
        <v>0</v>
      </c>
    </row>
    <row r="58" spans="1:72" s="313" customFormat="1" ht="25.5" outlineLevel="1">
      <c r="A58" s="287">
        <v>48</v>
      </c>
      <c r="B58" s="933"/>
      <c r="C58" s="840"/>
      <c r="D58" s="853" t="s">
        <v>207</v>
      </c>
      <c r="E58" s="839"/>
      <c r="F58" s="821" t="s">
        <v>7</v>
      </c>
      <c r="G58" s="314">
        <v>4</v>
      </c>
      <c r="H58" s="739" t="s">
        <v>71</v>
      </c>
      <c r="I58" s="739">
        <v>244</v>
      </c>
      <c r="J58" s="740">
        <v>225</v>
      </c>
      <c r="K58" s="533" t="s">
        <v>209</v>
      </c>
      <c r="L58" s="1025">
        <v>535089.69999999995</v>
      </c>
      <c r="M58" s="318"/>
      <c r="N58" s="318"/>
      <c r="O58" s="1052">
        <f t="shared" si="20"/>
        <v>535089.69999999995</v>
      </c>
      <c r="P58" s="559"/>
      <c r="Q58" s="336">
        <v>538687.53</v>
      </c>
      <c r="R58" s="559"/>
      <c r="S58" s="336">
        <v>538687.52</v>
      </c>
      <c r="T58" s="559"/>
      <c r="U58" s="335"/>
      <c r="V58" s="597" t="s">
        <v>832</v>
      </c>
      <c r="W58" s="597" t="s">
        <v>685</v>
      </c>
      <c r="X58" s="597" t="s">
        <v>686</v>
      </c>
      <c r="Z58" s="336">
        <f t="shared" si="35"/>
        <v>53494.19</v>
      </c>
      <c r="AA58" s="337">
        <f t="shared" si="35"/>
        <v>53494.19</v>
      </c>
      <c r="AB58" s="338">
        <f t="shared" si="6"/>
        <v>0</v>
      </c>
      <c r="AC58" s="336">
        <f t="shared" si="36"/>
        <v>101255.89</v>
      </c>
      <c r="AD58" s="337">
        <f t="shared" si="36"/>
        <v>0</v>
      </c>
      <c r="AE58" s="338">
        <f t="shared" si="8"/>
        <v>101255.89</v>
      </c>
      <c r="AF58" s="336">
        <f t="shared" si="37"/>
        <v>99092.04</v>
      </c>
      <c r="AG58" s="337">
        <f t="shared" si="37"/>
        <v>0</v>
      </c>
      <c r="AH58" s="338">
        <f t="shared" si="10"/>
        <v>99092.04</v>
      </c>
      <c r="AI58" s="336">
        <f t="shared" si="38"/>
        <v>281247.58</v>
      </c>
      <c r="AJ58" s="337">
        <f t="shared" si="38"/>
        <v>0</v>
      </c>
      <c r="AK58" s="338">
        <f t="shared" si="12"/>
        <v>281247.58</v>
      </c>
      <c r="AL58" s="342"/>
      <c r="AM58" s="336">
        <f t="shared" si="39"/>
        <v>154750.07999999999</v>
      </c>
      <c r="AN58" s="339">
        <f t="shared" si="39"/>
        <v>53494.19</v>
      </c>
      <c r="AO58" s="340">
        <f t="shared" si="14"/>
        <v>101255.89</v>
      </c>
      <c r="AP58" s="336">
        <f t="shared" si="40"/>
        <v>253842.12</v>
      </c>
      <c r="AQ58" s="339">
        <f t="shared" si="40"/>
        <v>53494.19</v>
      </c>
      <c r="AR58" s="340">
        <f t="shared" si="16"/>
        <v>200347.93</v>
      </c>
      <c r="AS58" s="809">
        <f t="shared" si="21"/>
        <v>535089.69999999995</v>
      </c>
      <c r="AT58" s="339">
        <f t="shared" si="17"/>
        <v>53494.19</v>
      </c>
      <c r="AU58" s="340">
        <f t="shared" si="18"/>
        <v>481595.51</v>
      </c>
      <c r="AV58" s="589">
        <f t="shared" si="19"/>
        <v>0</v>
      </c>
      <c r="AW58" s="343"/>
      <c r="AX58" s="1098"/>
      <c r="AY58" s="345">
        <f>925.05*1.61*15</f>
        <v>22339.96</v>
      </c>
      <c r="AZ58" s="1098">
        <v>22339.96</v>
      </c>
      <c r="BA58" s="1135">
        <f>ROUND(925.05*1.61*19,2)+ROUND(354.9*1.61*5,2)</f>
        <v>31154.23</v>
      </c>
      <c r="BB58" s="1120">
        <v>31154.23</v>
      </c>
      <c r="BC58" s="347">
        <f>925.05*1.61*22+354.9*1.61*4</f>
        <v>35050.83</v>
      </c>
      <c r="BD58" s="348"/>
      <c r="BE58" s="349">
        <f>925.05*1.61*22+354.9*1.61*4</f>
        <v>35050.83</v>
      </c>
      <c r="BF58" s="348"/>
      <c r="BG58" s="1135">
        <f>ROUND(925.05*1.61*19,2)+ROUND(354.9*1.61*5,2)</f>
        <v>31154.23</v>
      </c>
      <c r="BH58" s="350"/>
      <c r="BI58" s="351">
        <f>925.05*1.61*21+354.9*1.61*4</f>
        <v>33561.5</v>
      </c>
      <c r="BJ58" s="352"/>
      <c r="BK58" s="337">
        <f>925.05*1.61*22</f>
        <v>32765.27</v>
      </c>
      <c r="BL58" s="352"/>
      <c r="BM58" s="337">
        <f>925.05*1.61*22</f>
        <v>32765.27</v>
      </c>
      <c r="BN58" s="353"/>
      <c r="BO58" s="354"/>
      <c r="BP58" s="355"/>
      <c r="BQ58" s="356"/>
      <c r="BR58" s="355"/>
      <c r="BS58" s="356">
        <f>281247+0.58</f>
        <v>281247.58</v>
      </c>
      <c r="BT58" s="357"/>
    </row>
    <row r="59" spans="1:72" s="358" customFormat="1" ht="47.25" customHeight="1">
      <c r="A59" s="287">
        <v>49</v>
      </c>
      <c r="B59" s="933"/>
      <c r="C59" s="850" t="s">
        <v>377</v>
      </c>
      <c r="D59" s="838"/>
      <c r="E59" s="836" t="s">
        <v>201</v>
      </c>
      <c r="F59" s="820" t="s">
        <v>7</v>
      </c>
      <c r="G59" s="360">
        <v>4</v>
      </c>
      <c r="H59" s="360" t="s">
        <v>71</v>
      </c>
      <c r="I59" s="360">
        <v>244</v>
      </c>
      <c r="J59" s="361">
        <v>225</v>
      </c>
      <c r="K59" s="532" t="s">
        <v>364</v>
      </c>
      <c r="L59" s="1023">
        <f>SUM(L60:L63)</f>
        <v>27290.76</v>
      </c>
      <c r="M59" s="363"/>
      <c r="N59" s="363"/>
      <c r="O59" s="1051">
        <f t="shared" si="20"/>
        <v>27290.76</v>
      </c>
      <c r="P59" s="571"/>
      <c r="Q59" s="367">
        <f>SUM(Q60:Q63)</f>
        <v>27290.76</v>
      </c>
      <c r="R59" s="557"/>
      <c r="S59" s="367">
        <f>SUM(S60:S63)</f>
        <v>27290.76</v>
      </c>
      <c r="T59" s="557"/>
      <c r="U59" s="365"/>
      <c r="V59" s="366"/>
      <c r="W59" s="366"/>
      <c r="X59" s="391"/>
      <c r="Z59" s="367">
        <f>AW59+AY59+BA59</f>
        <v>6822.69</v>
      </c>
      <c r="AA59" s="363">
        <f>AX59+AZ59+BB59</f>
        <v>0</v>
      </c>
      <c r="AB59" s="280">
        <f>Z59-AA59</f>
        <v>6822.69</v>
      </c>
      <c r="AC59" s="367">
        <f>BC59+BE59+BG59</f>
        <v>6822.69</v>
      </c>
      <c r="AD59" s="363">
        <f>BD59+BF59+BH59</f>
        <v>0</v>
      </c>
      <c r="AE59" s="280">
        <f>AC59-AD59</f>
        <v>6822.69</v>
      </c>
      <c r="AF59" s="367">
        <f>BI59+BK59+BM59</f>
        <v>6822.69</v>
      </c>
      <c r="AG59" s="363">
        <f>BJ59+BL59+BN59</f>
        <v>0</v>
      </c>
      <c r="AH59" s="280">
        <f>AF59-AG59</f>
        <v>6822.69</v>
      </c>
      <c r="AI59" s="367">
        <f>BO59+BQ59+BS59</f>
        <v>6822.69</v>
      </c>
      <c r="AJ59" s="363">
        <f>BP59+BR59+BT59</f>
        <v>0</v>
      </c>
      <c r="AK59" s="280">
        <f>AI59-AJ59</f>
        <v>6822.69</v>
      </c>
      <c r="AL59" s="368"/>
      <c r="AM59" s="367">
        <f>Z59+AC59</f>
        <v>13645.38</v>
      </c>
      <c r="AN59" s="363">
        <f>AA59+AD59</f>
        <v>0</v>
      </c>
      <c r="AO59" s="280">
        <f>AM59-AN59</f>
        <v>13645.38</v>
      </c>
      <c r="AP59" s="367">
        <f>Z59+AC59+AF59</f>
        <v>20468.07</v>
      </c>
      <c r="AQ59" s="363">
        <f>AA59+AD59+AG59</f>
        <v>0</v>
      </c>
      <c r="AR59" s="280">
        <f>AP59-AQ59</f>
        <v>20468.07</v>
      </c>
      <c r="AS59" s="367">
        <f>Z59+AC59+AF59+AI59</f>
        <v>27290.76</v>
      </c>
      <c r="AT59" s="363">
        <f>AA59+AD59+AG59+AJ59</f>
        <v>0</v>
      </c>
      <c r="AU59" s="280">
        <f>AS59-AT59</f>
        <v>27290.76</v>
      </c>
      <c r="AV59" s="588">
        <f t="shared" si="19"/>
        <v>0</v>
      </c>
      <c r="AW59" s="367">
        <f t="shared" ref="AW59:BT59" si="42">SUM(AW60:AW63)</f>
        <v>0</v>
      </c>
      <c r="AX59" s="1108">
        <f t="shared" si="42"/>
        <v>0</v>
      </c>
      <c r="AY59" s="367">
        <f t="shared" si="42"/>
        <v>6822.69</v>
      </c>
      <c r="AZ59" s="1108">
        <f t="shared" si="42"/>
        <v>0</v>
      </c>
      <c r="BA59" s="367">
        <f t="shared" si="42"/>
        <v>0</v>
      </c>
      <c r="BB59" s="1108">
        <f t="shared" si="42"/>
        <v>0</v>
      </c>
      <c r="BC59" s="367">
        <f t="shared" si="42"/>
        <v>2520</v>
      </c>
      <c r="BD59" s="367">
        <f t="shared" si="42"/>
        <v>0</v>
      </c>
      <c r="BE59" s="367">
        <f t="shared" si="42"/>
        <v>4302.6899999999996</v>
      </c>
      <c r="BF59" s="367">
        <f t="shared" si="42"/>
        <v>0</v>
      </c>
      <c r="BG59" s="367">
        <f t="shared" si="42"/>
        <v>0</v>
      </c>
      <c r="BH59" s="367">
        <f t="shared" si="42"/>
        <v>0</v>
      </c>
      <c r="BI59" s="367">
        <f t="shared" si="42"/>
        <v>0</v>
      </c>
      <c r="BJ59" s="367">
        <f t="shared" si="42"/>
        <v>0</v>
      </c>
      <c r="BK59" s="367">
        <f t="shared" si="42"/>
        <v>0</v>
      </c>
      <c r="BL59" s="367">
        <f t="shared" si="42"/>
        <v>0</v>
      </c>
      <c r="BM59" s="367">
        <f t="shared" si="42"/>
        <v>6822.69</v>
      </c>
      <c r="BN59" s="367">
        <f t="shared" si="42"/>
        <v>0</v>
      </c>
      <c r="BO59" s="367">
        <f t="shared" si="42"/>
        <v>0</v>
      </c>
      <c r="BP59" s="367">
        <f t="shared" si="42"/>
        <v>0</v>
      </c>
      <c r="BQ59" s="367">
        <f t="shared" si="42"/>
        <v>6822.69</v>
      </c>
      <c r="BR59" s="367">
        <f t="shared" si="42"/>
        <v>0</v>
      </c>
      <c r="BS59" s="367">
        <f t="shared" si="42"/>
        <v>0</v>
      </c>
      <c r="BT59" s="367">
        <f t="shared" si="42"/>
        <v>0</v>
      </c>
    </row>
    <row r="60" spans="1:72" s="313" customFormat="1" ht="51" outlineLevel="1">
      <c r="A60" s="287">
        <v>50</v>
      </c>
      <c r="B60" s="933"/>
      <c r="C60" s="840"/>
      <c r="D60" s="853" t="s">
        <v>216</v>
      </c>
      <c r="E60" s="839"/>
      <c r="F60" s="821" t="s">
        <v>7</v>
      </c>
      <c r="G60" s="314">
        <v>4</v>
      </c>
      <c r="H60" s="739" t="s">
        <v>71</v>
      </c>
      <c r="I60" s="739">
        <v>244</v>
      </c>
      <c r="J60" s="740">
        <v>225</v>
      </c>
      <c r="K60" s="533" t="s">
        <v>574</v>
      </c>
      <c r="L60" s="1025">
        <v>6822.69</v>
      </c>
      <c r="M60" s="318"/>
      <c r="N60" s="318"/>
      <c r="O60" s="1052">
        <f t="shared" si="20"/>
        <v>6822.69</v>
      </c>
      <c r="P60" s="570"/>
      <c r="Q60" s="509">
        <v>6822.69</v>
      </c>
      <c r="R60" s="559"/>
      <c r="S60" s="542">
        <v>6822.69</v>
      </c>
      <c r="T60" s="559"/>
      <c r="U60" s="335"/>
      <c r="V60" s="597" t="s">
        <v>254</v>
      </c>
      <c r="W60" s="597" t="s">
        <v>653</v>
      </c>
      <c r="X60" s="597" t="s">
        <v>654</v>
      </c>
      <c r="Z60" s="336">
        <f t="shared" ref="Z60:AA68" si="43">AW60+AY60+BA60</f>
        <v>0</v>
      </c>
      <c r="AA60" s="337">
        <f t="shared" si="43"/>
        <v>0</v>
      </c>
      <c r="AB60" s="338">
        <f t="shared" ref="AB60" si="44">Z60-AA60</f>
        <v>0</v>
      </c>
      <c r="AC60" s="336">
        <f t="shared" ref="AC60:AD68" si="45">BC60+BE60+BG60</f>
        <v>6822.69</v>
      </c>
      <c r="AD60" s="337">
        <f t="shared" si="45"/>
        <v>0</v>
      </c>
      <c r="AE60" s="338">
        <f t="shared" ref="AE60" si="46">AC60-AD60</f>
        <v>6822.69</v>
      </c>
      <c r="AF60" s="336">
        <f t="shared" ref="AF60:AG68" si="47">BI60+BK60+BM60</f>
        <v>0</v>
      </c>
      <c r="AG60" s="337">
        <f t="shared" si="47"/>
        <v>0</v>
      </c>
      <c r="AH60" s="338">
        <f t="shared" ref="AH60" si="48">AF60-AG60</f>
        <v>0</v>
      </c>
      <c r="AI60" s="336">
        <f t="shared" ref="AI60:AJ68" si="49">BO60+BQ60+BS60</f>
        <v>0</v>
      </c>
      <c r="AJ60" s="337">
        <f t="shared" si="49"/>
        <v>0</v>
      </c>
      <c r="AK60" s="338">
        <f t="shared" ref="AK60" si="50">AI60-AJ60</f>
        <v>0</v>
      </c>
      <c r="AL60" s="342"/>
      <c r="AM60" s="336">
        <f t="shared" ref="AM60:AN68" si="51">Z60+AC60</f>
        <v>6822.69</v>
      </c>
      <c r="AN60" s="339">
        <f t="shared" si="51"/>
        <v>0</v>
      </c>
      <c r="AO60" s="340">
        <f t="shared" ref="AO60" si="52">AM60-AN60</f>
        <v>6822.69</v>
      </c>
      <c r="AP60" s="336">
        <f t="shared" ref="AP60:AQ68" si="53">Z60+AC60+AF60</f>
        <v>6822.69</v>
      </c>
      <c r="AQ60" s="339">
        <f t="shared" si="53"/>
        <v>0</v>
      </c>
      <c r="AR60" s="340">
        <f t="shared" ref="AR60" si="54">AP60-AQ60</f>
        <v>6822.69</v>
      </c>
      <c r="AS60" s="341">
        <f t="shared" ref="AS60:AT68" si="55">Z60+AC60+AF60+AI60</f>
        <v>6822.69</v>
      </c>
      <c r="AT60" s="339">
        <f t="shared" si="55"/>
        <v>0</v>
      </c>
      <c r="AU60" s="340">
        <f t="shared" ref="AU60" si="56">AS60-AT60</f>
        <v>6822.69</v>
      </c>
      <c r="AV60" s="1068">
        <f t="shared" si="19"/>
        <v>0</v>
      </c>
      <c r="AW60" s="343"/>
      <c r="AX60" s="1098"/>
      <c r="AY60" s="345"/>
      <c r="AZ60" s="1098"/>
      <c r="BA60" s="345"/>
      <c r="BB60" s="1120"/>
      <c r="BC60" s="347">
        <f>(9*140+9*140)</f>
        <v>2520</v>
      </c>
      <c r="BD60" s="348"/>
      <c r="BE60" s="349">
        <v>4302.6899999999996</v>
      </c>
      <c r="BF60" s="348"/>
      <c r="BG60" s="349"/>
      <c r="BH60" s="350"/>
      <c r="BI60" s="351"/>
      <c r="BJ60" s="352"/>
      <c r="BK60" s="337"/>
      <c r="BL60" s="352"/>
      <c r="BM60" s="337"/>
      <c r="BN60" s="353"/>
      <c r="BO60" s="354"/>
      <c r="BP60" s="355"/>
      <c r="BQ60" s="356"/>
      <c r="BR60" s="355"/>
      <c r="BS60" s="356"/>
      <c r="BT60" s="357"/>
    </row>
    <row r="61" spans="1:72" s="313" customFormat="1" ht="51" outlineLevel="1">
      <c r="A61" s="287">
        <v>51</v>
      </c>
      <c r="B61" s="933"/>
      <c r="C61" s="840"/>
      <c r="D61" s="853" t="s">
        <v>216</v>
      </c>
      <c r="E61" s="839"/>
      <c r="F61" s="821" t="s">
        <v>7</v>
      </c>
      <c r="G61" s="314">
        <v>4</v>
      </c>
      <c r="H61" s="739" t="s">
        <v>71</v>
      </c>
      <c r="I61" s="739">
        <v>244</v>
      </c>
      <c r="J61" s="740">
        <v>225</v>
      </c>
      <c r="K61" s="533" t="s">
        <v>362</v>
      </c>
      <c r="L61" s="1025">
        <v>6822.69</v>
      </c>
      <c r="M61" s="318"/>
      <c r="N61" s="318"/>
      <c r="O61" s="1052">
        <f t="shared" si="20"/>
        <v>6822.69</v>
      </c>
      <c r="P61" s="570"/>
      <c r="Q61" s="509">
        <v>6822.69</v>
      </c>
      <c r="R61" s="559"/>
      <c r="S61" s="542">
        <v>6822.69</v>
      </c>
      <c r="T61" s="559"/>
      <c r="U61" s="335"/>
      <c r="V61" s="320" t="s">
        <v>254</v>
      </c>
      <c r="W61" s="388"/>
      <c r="X61" s="388"/>
      <c r="Z61" s="336">
        <f t="shared" si="43"/>
        <v>6822.69</v>
      </c>
      <c r="AA61" s="337">
        <f t="shared" si="43"/>
        <v>0</v>
      </c>
      <c r="AB61" s="338">
        <f>Z61-AA61</f>
        <v>6822.69</v>
      </c>
      <c r="AC61" s="336">
        <f t="shared" si="45"/>
        <v>0</v>
      </c>
      <c r="AD61" s="337">
        <f t="shared" si="45"/>
        <v>0</v>
      </c>
      <c r="AE61" s="338">
        <f>AC61-AD61</f>
        <v>0</v>
      </c>
      <c r="AF61" s="336">
        <f t="shared" si="47"/>
        <v>0</v>
      </c>
      <c r="AG61" s="337">
        <f t="shared" si="47"/>
        <v>0</v>
      </c>
      <c r="AH61" s="338">
        <f>AF61-AG61</f>
        <v>0</v>
      </c>
      <c r="AI61" s="336">
        <f t="shared" si="49"/>
        <v>0</v>
      </c>
      <c r="AJ61" s="337">
        <f t="shared" si="49"/>
        <v>0</v>
      </c>
      <c r="AK61" s="338">
        <f>AI61-AJ61</f>
        <v>0</v>
      </c>
      <c r="AL61" s="342"/>
      <c r="AM61" s="336">
        <f t="shared" si="51"/>
        <v>6822.69</v>
      </c>
      <c r="AN61" s="339">
        <f t="shared" si="51"/>
        <v>0</v>
      </c>
      <c r="AO61" s="340">
        <f>AM61-AN61</f>
        <v>6822.69</v>
      </c>
      <c r="AP61" s="336">
        <f t="shared" si="53"/>
        <v>6822.69</v>
      </c>
      <c r="AQ61" s="339">
        <f t="shared" si="53"/>
        <v>0</v>
      </c>
      <c r="AR61" s="340">
        <f>AP61-AQ61</f>
        <v>6822.69</v>
      </c>
      <c r="AS61" s="341">
        <f t="shared" si="55"/>
        <v>6822.69</v>
      </c>
      <c r="AT61" s="339">
        <f t="shared" si="55"/>
        <v>0</v>
      </c>
      <c r="AU61" s="340">
        <f>AS61-AT61</f>
        <v>6822.69</v>
      </c>
      <c r="AV61" s="589">
        <f t="shared" si="19"/>
        <v>0</v>
      </c>
      <c r="AW61" s="343"/>
      <c r="AX61" s="1098"/>
      <c r="AY61" s="345">
        <f>35*170 + 7*124.67</f>
        <v>6822.69</v>
      </c>
      <c r="AZ61" s="1098"/>
      <c r="BA61" s="345"/>
      <c r="BB61" s="1120"/>
      <c r="BC61" s="347"/>
      <c r="BD61" s="348"/>
      <c r="BE61" s="349"/>
      <c r="BF61" s="348"/>
      <c r="BG61" s="349"/>
      <c r="BH61" s="350"/>
      <c r="BI61" s="351"/>
      <c r="BJ61" s="352"/>
      <c r="BK61" s="337"/>
      <c r="BL61" s="352"/>
      <c r="BM61" s="337"/>
      <c r="BN61" s="353"/>
      <c r="BO61" s="354"/>
      <c r="BP61" s="355"/>
      <c r="BQ61" s="356"/>
      <c r="BR61" s="355"/>
      <c r="BS61" s="356"/>
      <c r="BT61" s="357"/>
    </row>
    <row r="62" spans="1:72" s="313" customFormat="1" ht="51" outlineLevel="1">
      <c r="A62" s="287">
        <v>52</v>
      </c>
      <c r="B62" s="933"/>
      <c r="C62" s="840"/>
      <c r="D62" s="853" t="s">
        <v>216</v>
      </c>
      <c r="E62" s="839"/>
      <c r="F62" s="821" t="s">
        <v>7</v>
      </c>
      <c r="G62" s="314">
        <v>4</v>
      </c>
      <c r="H62" s="739" t="s">
        <v>71</v>
      </c>
      <c r="I62" s="739">
        <v>244</v>
      </c>
      <c r="J62" s="740">
        <v>225</v>
      </c>
      <c r="K62" s="533" t="s">
        <v>363</v>
      </c>
      <c r="L62" s="1025">
        <v>6822.69</v>
      </c>
      <c r="M62" s="318"/>
      <c r="N62" s="318"/>
      <c r="O62" s="1052">
        <f t="shared" si="20"/>
        <v>6822.69</v>
      </c>
      <c r="P62" s="570"/>
      <c r="Q62" s="509">
        <v>6822.69</v>
      </c>
      <c r="R62" s="559"/>
      <c r="S62" s="542">
        <v>6822.69</v>
      </c>
      <c r="T62" s="559"/>
      <c r="U62" s="335"/>
      <c r="V62" s="320" t="s">
        <v>254</v>
      </c>
      <c r="W62" s="388"/>
      <c r="X62" s="388"/>
      <c r="Z62" s="336">
        <f t="shared" si="43"/>
        <v>0</v>
      </c>
      <c r="AA62" s="337">
        <f t="shared" si="43"/>
        <v>0</v>
      </c>
      <c r="AB62" s="338">
        <f>Z62-AA62</f>
        <v>0</v>
      </c>
      <c r="AC62" s="336">
        <f t="shared" si="45"/>
        <v>0</v>
      </c>
      <c r="AD62" s="337">
        <f t="shared" si="45"/>
        <v>0</v>
      </c>
      <c r="AE62" s="338">
        <f>AC62-AD62</f>
        <v>0</v>
      </c>
      <c r="AF62" s="336">
        <f t="shared" si="47"/>
        <v>6822.69</v>
      </c>
      <c r="AG62" s="337">
        <f t="shared" si="47"/>
        <v>0</v>
      </c>
      <c r="AH62" s="338">
        <f>AF62-AG62</f>
        <v>6822.69</v>
      </c>
      <c r="AI62" s="336">
        <f t="shared" si="49"/>
        <v>0</v>
      </c>
      <c r="AJ62" s="337">
        <f t="shared" si="49"/>
        <v>0</v>
      </c>
      <c r="AK62" s="338">
        <f>AI62-AJ62</f>
        <v>0</v>
      </c>
      <c r="AL62" s="342"/>
      <c r="AM62" s="336">
        <f t="shared" si="51"/>
        <v>0</v>
      </c>
      <c r="AN62" s="339">
        <f t="shared" si="51"/>
        <v>0</v>
      </c>
      <c r="AO62" s="340">
        <f>AM62-AN62</f>
        <v>0</v>
      </c>
      <c r="AP62" s="336">
        <f t="shared" si="53"/>
        <v>6822.69</v>
      </c>
      <c r="AQ62" s="339">
        <f t="shared" si="53"/>
        <v>0</v>
      </c>
      <c r="AR62" s="340">
        <f>AP62-AQ62</f>
        <v>6822.69</v>
      </c>
      <c r="AS62" s="341">
        <f t="shared" si="55"/>
        <v>6822.69</v>
      </c>
      <c r="AT62" s="339">
        <f t="shared" si="55"/>
        <v>0</v>
      </c>
      <c r="AU62" s="340">
        <f>AS62-AT62</f>
        <v>6822.69</v>
      </c>
      <c r="AV62" s="589">
        <f t="shared" si="19"/>
        <v>0</v>
      </c>
      <c r="AW62" s="343"/>
      <c r="AX62" s="1098"/>
      <c r="AY62" s="345"/>
      <c r="AZ62" s="1098"/>
      <c r="BA62" s="345"/>
      <c r="BB62" s="1120"/>
      <c r="BC62" s="347"/>
      <c r="BD62" s="348"/>
      <c r="BE62" s="349"/>
      <c r="BF62" s="348"/>
      <c r="BG62" s="349"/>
      <c r="BH62" s="350"/>
      <c r="BI62" s="351"/>
      <c r="BJ62" s="352"/>
      <c r="BK62" s="337"/>
      <c r="BL62" s="352"/>
      <c r="BM62" s="337">
        <f>35*170 + 7*124.67</f>
        <v>6822.69</v>
      </c>
      <c r="BN62" s="353"/>
      <c r="BO62" s="354"/>
      <c r="BP62" s="355"/>
      <c r="BQ62" s="356"/>
      <c r="BR62" s="355"/>
      <c r="BS62" s="356"/>
      <c r="BT62" s="357"/>
    </row>
    <row r="63" spans="1:72" s="313" customFormat="1" ht="51" outlineLevel="1">
      <c r="A63" s="287">
        <v>53</v>
      </c>
      <c r="B63" s="933"/>
      <c r="C63" s="840"/>
      <c r="D63" s="853" t="s">
        <v>216</v>
      </c>
      <c r="E63" s="839"/>
      <c r="F63" s="821" t="s">
        <v>7</v>
      </c>
      <c r="G63" s="314">
        <v>4</v>
      </c>
      <c r="H63" s="739" t="s">
        <v>71</v>
      </c>
      <c r="I63" s="739">
        <v>244</v>
      </c>
      <c r="J63" s="740">
        <v>225</v>
      </c>
      <c r="K63" s="533" t="s">
        <v>261</v>
      </c>
      <c r="L63" s="1025">
        <v>6822.69</v>
      </c>
      <c r="M63" s="318"/>
      <c r="N63" s="318"/>
      <c r="O63" s="1052">
        <f t="shared" si="20"/>
        <v>6822.69</v>
      </c>
      <c r="P63" s="570"/>
      <c r="Q63" s="509">
        <v>6822.69</v>
      </c>
      <c r="R63" s="559"/>
      <c r="S63" s="542">
        <v>6822.69</v>
      </c>
      <c r="T63" s="559"/>
      <c r="U63" s="335"/>
      <c r="V63" s="320" t="s">
        <v>254</v>
      </c>
      <c r="W63" s="388"/>
      <c r="X63" s="388"/>
      <c r="Z63" s="336">
        <f t="shared" si="43"/>
        <v>0</v>
      </c>
      <c r="AA63" s="337">
        <f t="shared" si="43"/>
        <v>0</v>
      </c>
      <c r="AB63" s="338">
        <f>Z63-AA63</f>
        <v>0</v>
      </c>
      <c r="AC63" s="336">
        <f t="shared" si="45"/>
        <v>0</v>
      </c>
      <c r="AD63" s="337">
        <f t="shared" si="45"/>
        <v>0</v>
      </c>
      <c r="AE63" s="338">
        <f>AC63-AD63</f>
        <v>0</v>
      </c>
      <c r="AF63" s="336">
        <f t="shared" si="47"/>
        <v>0</v>
      </c>
      <c r="AG63" s="337">
        <f t="shared" si="47"/>
        <v>0</v>
      </c>
      <c r="AH63" s="338">
        <f>AF63-AG63</f>
        <v>0</v>
      </c>
      <c r="AI63" s="336">
        <f t="shared" si="49"/>
        <v>6822.69</v>
      </c>
      <c r="AJ63" s="337">
        <f t="shared" si="49"/>
        <v>0</v>
      </c>
      <c r="AK63" s="338">
        <f>AI63-AJ63</f>
        <v>6822.69</v>
      </c>
      <c r="AL63" s="342"/>
      <c r="AM63" s="336">
        <f t="shared" si="51"/>
        <v>0</v>
      </c>
      <c r="AN63" s="339">
        <f t="shared" si="51"/>
        <v>0</v>
      </c>
      <c r="AO63" s="340">
        <f>AM63-AN63</f>
        <v>0</v>
      </c>
      <c r="AP63" s="336">
        <f t="shared" si="53"/>
        <v>0</v>
      </c>
      <c r="AQ63" s="339">
        <f t="shared" si="53"/>
        <v>0</v>
      </c>
      <c r="AR63" s="340">
        <f>AP63-AQ63</f>
        <v>0</v>
      </c>
      <c r="AS63" s="341">
        <f t="shared" si="55"/>
        <v>6822.69</v>
      </c>
      <c r="AT63" s="339">
        <f t="shared" si="55"/>
        <v>0</v>
      </c>
      <c r="AU63" s="340">
        <f>AS63-AT63</f>
        <v>6822.69</v>
      </c>
      <c r="AV63" s="589">
        <f t="shared" si="19"/>
        <v>0</v>
      </c>
      <c r="AW63" s="343"/>
      <c r="AX63" s="1098"/>
      <c r="AY63" s="345"/>
      <c r="AZ63" s="1098"/>
      <c r="BA63" s="345"/>
      <c r="BB63" s="1120"/>
      <c r="BC63" s="347"/>
      <c r="BD63" s="348"/>
      <c r="BE63" s="349"/>
      <c r="BF63" s="348"/>
      <c r="BG63" s="349"/>
      <c r="BH63" s="350"/>
      <c r="BI63" s="351"/>
      <c r="BJ63" s="352"/>
      <c r="BK63" s="337"/>
      <c r="BL63" s="352"/>
      <c r="BM63" s="337"/>
      <c r="BN63" s="353"/>
      <c r="BO63" s="354"/>
      <c r="BP63" s="355"/>
      <c r="BQ63" s="356">
        <f>35*170 + 7*124.67</f>
        <v>6822.69</v>
      </c>
      <c r="BR63" s="355"/>
      <c r="BS63" s="356"/>
      <c r="BT63" s="357"/>
    </row>
    <row r="64" spans="1:72" s="358" customFormat="1" ht="60" customHeight="1">
      <c r="A64" s="287">
        <v>54</v>
      </c>
      <c r="B64" s="1148"/>
      <c r="C64" s="850" t="s">
        <v>377</v>
      </c>
      <c r="D64" s="838"/>
      <c r="E64" s="836" t="s">
        <v>201</v>
      </c>
      <c r="F64" s="820" t="s">
        <v>7</v>
      </c>
      <c r="G64" s="360">
        <v>4</v>
      </c>
      <c r="H64" s="360" t="s">
        <v>71</v>
      </c>
      <c r="I64" s="360">
        <v>112</v>
      </c>
      <c r="J64" s="361">
        <v>226</v>
      </c>
      <c r="K64" s="532" t="s">
        <v>771</v>
      </c>
      <c r="L64" s="1023">
        <f>SUM(L65:L66)</f>
        <v>6734</v>
      </c>
      <c r="M64" s="363"/>
      <c r="N64" s="363">
        <f>SUM(N65:N66)</f>
        <v>0</v>
      </c>
      <c r="O64" s="1051">
        <f t="shared" si="20"/>
        <v>6734</v>
      </c>
      <c r="P64" s="557"/>
      <c r="Q64" s="367">
        <f>SUM(Q65:Q66)</f>
        <v>0</v>
      </c>
      <c r="R64" s="557"/>
      <c r="S64" s="367">
        <f>SUM(S65:S66)</f>
        <v>0</v>
      </c>
      <c r="T64" s="557"/>
      <c r="U64" s="365"/>
      <c r="V64" s="366"/>
      <c r="W64" s="366"/>
      <c r="X64" s="366"/>
      <c r="Z64" s="367">
        <f t="shared" si="43"/>
        <v>6734</v>
      </c>
      <c r="AA64" s="363">
        <f t="shared" si="43"/>
        <v>0</v>
      </c>
      <c r="AB64" s="280">
        <f t="shared" ref="AB64:AB65" si="57">Z64-AA64</f>
        <v>6734</v>
      </c>
      <c r="AC64" s="367">
        <f t="shared" si="45"/>
        <v>0</v>
      </c>
      <c r="AD64" s="363">
        <f t="shared" si="45"/>
        <v>0</v>
      </c>
      <c r="AE64" s="280">
        <f t="shared" ref="AE64:AE65" si="58">AC64-AD64</f>
        <v>0</v>
      </c>
      <c r="AF64" s="367">
        <f t="shared" si="47"/>
        <v>0</v>
      </c>
      <c r="AG64" s="363">
        <f t="shared" si="47"/>
        <v>0</v>
      </c>
      <c r="AH64" s="280">
        <f t="shared" ref="AH64:AH65" si="59">AF64-AG64</f>
        <v>0</v>
      </c>
      <c r="AI64" s="367">
        <f t="shared" si="49"/>
        <v>0</v>
      </c>
      <c r="AJ64" s="363">
        <f t="shared" si="49"/>
        <v>0</v>
      </c>
      <c r="AK64" s="280">
        <f t="shared" ref="AK64:AK65" si="60">AI64-AJ64</f>
        <v>0</v>
      </c>
      <c r="AL64" s="368"/>
      <c r="AM64" s="367">
        <f t="shared" si="51"/>
        <v>6734</v>
      </c>
      <c r="AN64" s="363">
        <f t="shared" si="51"/>
        <v>0</v>
      </c>
      <c r="AO64" s="280">
        <f t="shared" ref="AO64:AO65" si="61">AM64-AN64</f>
        <v>6734</v>
      </c>
      <c r="AP64" s="367">
        <f t="shared" si="53"/>
        <v>6734</v>
      </c>
      <c r="AQ64" s="363">
        <f t="shared" si="53"/>
        <v>0</v>
      </c>
      <c r="AR64" s="280">
        <f t="shared" ref="AR64:AR65" si="62">AP64-AQ64</f>
        <v>6734</v>
      </c>
      <c r="AS64" s="367">
        <f t="shared" si="55"/>
        <v>6734</v>
      </c>
      <c r="AT64" s="363">
        <f t="shared" si="55"/>
        <v>0</v>
      </c>
      <c r="AU64" s="280">
        <f t="shared" ref="AU64:AU65" si="63">AS64-AT64</f>
        <v>6734</v>
      </c>
      <c r="AV64" s="588">
        <f t="shared" si="19"/>
        <v>0</v>
      </c>
      <c r="AW64" s="367">
        <f t="shared" ref="AW64:BS64" si="64">SUM(AW65:AW66)</f>
        <v>0</v>
      </c>
      <c r="AX64" s="1097">
        <f t="shared" si="64"/>
        <v>0</v>
      </c>
      <c r="AY64" s="363">
        <f t="shared" si="64"/>
        <v>0</v>
      </c>
      <c r="AZ64" s="1097">
        <f t="shared" si="64"/>
        <v>0</v>
      </c>
      <c r="BA64" s="363">
        <f t="shared" si="64"/>
        <v>6734</v>
      </c>
      <c r="BB64" s="1119">
        <f t="shared" si="64"/>
        <v>0</v>
      </c>
      <c r="BC64" s="367">
        <f t="shared" si="64"/>
        <v>0</v>
      </c>
      <c r="BD64" s="363">
        <f t="shared" si="64"/>
        <v>0</v>
      </c>
      <c r="BE64" s="363">
        <f t="shared" si="64"/>
        <v>0</v>
      </c>
      <c r="BF64" s="363">
        <f t="shared" si="64"/>
        <v>0</v>
      </c>
      <c r="BG64" s="363">
        <f t="shared" si="64"/>
        <v>0</v>
      </c>
      <c r="BH64" s="369">
        <f t="shared" si="64"/>
        <v>0</v>
      </c>
      <c r="BI64" s="367">
        <f t="shared" si="64"/>
        <v>0</v>
      </c>
      <c r="BJ64" s="363">
        <f t="shared" si="64"/>
        <v>0</v>
      </c>
      <c r="BK64" s="363">
        <f t="shared" si="64"/>
        <v>0</v>
      </c>
      <c r="BL64" s="363">
        <f t="shared" si="64"/>
        <v>0</v>
      </c>
      <c r="BM64" s="363">
        <f t="shared" si="64"/>
        <v>0</v>
      </c>
      <c r="BN64" s="369">
        <f t="shared" si="64"/>
        <v>0</v>
      </c>
      <c r="BO64" s="367">
        <f t="shared" si="64"/>
        <v>0</v>
      </c>
      <c r="BP64" s="363">
        <f t="shared" si="64"/>
        <v>0</v>
      </c>
      <c r="BQ64" s="363">
        <f t="shared" si="64"/>
        <v>0</v>
      </c>
      <c r="BR64" s="363">
        <f t="shared" si="64"/>
        <v>0</v>
      </c>
      <c r="BS64" s="363">
        <f t="shared" si="64"/>
        <v>0</v>
      </c>
      <c r="BT64" s="280">
        <f>SUM(BT65:BT75)</f>
        <v>0</v>
      </c>
    </row>
    <row r="65" spans="1:72" s="313" customFormat="1" ht="38.25" outlineLevel="1">
      <c r="A65" s="287">
        <v>55</v>
      </c>
      <c r="B65" s="1148"/>
      <c r="C65" s="840"/>
      <c r="D65" s="841"/>
      <c r="E65" s="839"/>
      <c r="F65" s="821" t="s">
        <v>7</v>
      </c>
      <c r="G65" s="314">
        <v>4</v>
      </c>
      <c r="H65" s="739" t="s">
        <v>71</v>
      </c>
      <c r="I65" s="739">
        <v>112</v>
      </c>
      <c r="J65" s="740">
        <v>226</v>
      </c>
      <c r="K65" s="533" t="s">
        <v>621</v>
      </c>
      <c r="L65" s="1025">
        <v>3744</v>
      </c>
      <c r="M65" s="318"/>
      <c r="N65" s="318"/>
      <c r="O65" s="1052">
        <f t="shared" si="20"/>
        <v>3744</v>
      </c>
      <c r="P65" s="559"/>
      <c r="Q65" s="336"/>
      <c r="R65" s="559"/>
      <c r="S65" s="336"/>
      <c r="T65" s="559"/>
      <c r="U65" s="335"/>
      <c r="V65" s="801" t="s">
        <v>625</v>
      </c>
      <c r="W65" s="801" t="s">
        <v>626</v>
      </c>
      <c r="X65" s="801"/>
      <c r="Z65" s="336">
        <f t="shared" si="43"/>
        <v>3744</v>
      </c>
      <c r="AA65" s="337">
        <f t="shared" si="43"/>
        <v>0</v>
      </c>
      <c r="AB65" s="338">
        <f t="shared" si="57"/>
        <v>3744</v>
      </c>
      <c r="AC65" s="336">
        <f t="shared" si="45"/>
        <v>0</v>
      </c>
      <c r="AD65" s="337">
        <f t="shared" si="45"/>
        <v>0</v>
      </c>
      <c r="AE65" s="338">
        <f t="shared" si="58"/>
        <v>0</v>
      </c>
      <c r="AF65" s="336">
        <f t="shared" si="47"/>
        <v>0</v>
      </c>
      <c r="AG65" s="337">
        <f t="shared" si="47"/>
        <v>0</v>
      </c>
      <c r="AH65" s="338">
        <f t="shared" si="59"/>
        <v>0</v>
      </c>
      <c r="AI65" s="336">
        <f t="shared" si="49"/>
        <v>0</v>
      </c>
      <c r="AJ65" s="337">
        <f t="shared" si="49"/>
        <v>0</v>
      </c>
      <c r="AK65" s="338">
        <f t="shared" si="60"/>
        <v>0</v>
      </c>
      <c r="AL65" s="342"/>
      <c r="AM65" s="336">
        <f t="shared" si="51"/>
        <v>3744</v>
      </c>
      <c r="AN65" s="339">
        <f t="shared" si="51"/>
        <v>0</v>
      </c>
      <c r="AO65" s="340">
        <f t="shared" si="61"/>
        <v>3744</v>
      </c>
      <c r="AP65" s="336">
        <f t="shared" si="53"/>
        <v>3744</v>
      </c>
      <c r="AQ65" s="339">
        <f t="shared" si="53"/>
        <v>0</v>
      </c>
      <c r="AR65" s="340">
        <f t="shared" si="62"/>
        <v>3744</v>
      </c>
      <c r="AS65" s="341">
        <f t="shared" si="55"/>
        <v>3744</v>
      </c>
      <c r="AT65" s="339">
        <f t="shared" si="55"/>
        <v>0</v>
      </c>
      <c r="AU65" s="340">
        <f t="shared" si="63"/>
        <v>3744</v>
      </c>
      <c r="AV65" s="589">
        <f t="shared" si="19"/>
        <v>0</v>
      </c>
      <c r="AW65" s="343"/>
      <c r="AX65" s="1098"/>
      <c r="AY65" s="345"/>
      <c r="AZ65" s="1098"/>
      <c r="BA65" s="345">
        <v>3744</v>
      </c>
      <c r="BB65" s="1120"/>
      <c r="BC65" s="347"/>
      <c r="BD65" s="348"/>
      <c r="BE65" s="349"/>
      <c r="BF65" s="348"/>
      <c r="BG65" s="349"/>
      <c r="BH65" s="350"/>
      <c r="BI65" s="351"/>
      <c r="BJ65" s="352"/>
      <c r="BK65" s="337"/>
      <c r="BL65" s="352"/>
      <c r="BM65" s="337"/>
      <c r="BN65" s="353"/>
      <c r="BO65" s="354"/>
      <c r="BP65" s="355"/>
      <c r="BQ65" s="356"/>
      <c r="BR65" s="355"/>
      <c r="BS65" s="356"/>
      <c r="BT65" s="357"/>
    </row>
    <row r="66" spans="1:72" s="313" customFormat="1" ht="25.5" outlineLevel="1">
      <c r="A66" s="287">
        <v>56</v>
      </c>
      <c r="B66" s="1148"/>
      <c r="C66" s="840"/>
      <c r="D66" s="841"/>
      <c r="E66" s="839"/>
      <c r="F66" s="821" t="s">
        <v>7</v>
      </c>
      <c r="G66" s="314">
        <v>4</v>
      </c>
      <c r="H66" s="739" t="s">
        <v>71</v>
      </c>
      <c r="I66" s="739">
        <v>112</v>
      </c>
      <c r="J66" s="740">
        <v>226</v>
      </c>
      <c r="K66" s="533" t="s">
        <v>622</v>
      </c>
      <c r="L66" s="1025">
        <v>2990</v>
      </c>
      <c r="M66" s="318"/>
      <c r="N66" s="318"/>
      <c r="O66" s="1052">
        <f t="shared" si="20"/>
        <v>2990</v>
      </c>
      <c r="P66" s="559"/>
      <c r="Q66" s="336"/>
      <c r="R66" s="559"/>
      <c r="S66" s="336"/>
      <c r="T66" s="559"/>
      <c r="U66" s="335"/>
      <c r="V66" s="801" t="s">
        <v>650</v>
      </c>
      <c r="W66" s="801" t="s">
        <v>651</v>
      </c>
      <c r="X66" s="801"/>
      <c r="Z66" s="336">
        <f t="shared" si="43"/>
        <v>2990</v>
      </c>
      <c r="AA66" s="337">
        <f t="shared" si="43"/>
        <v>0</v>
      </c>
      <c r="AB66" s="338">
        <f>Z66-AA66</f>
        <v>2990</v>
      </c>
      <c r="AC66" s="336">
        <f t="shared" si="45"/>
        <v>0</v>
      </c>
      <c r="AD66" s="337">
        <f t="shared" si="45"/>
        <v>0</v>
      </c>
      <c r="AE66" s="338">
        <f>AC66-AD66</f>
        <v>0</v>
      </c>
      <c r="AF66" s="336">
        <f t="shared" si="47"/>
        <v>0</v>
      </c>
      <c r="AG66" s="337">
        <f t="shared" si="47"/>
        <v>0</v>
      </c>
      <c r="AH66" s="338">
        <f>AF66-AG66</f>
        <v>0</v>
      </c>
      <c r="AI66" s="336">
        <f t="shared" si="49"/>
        <v>0</v>
      </c>
      <c r="AJ66" s="337">
        <f t="shared" si="49"/>
        <v>0</v>
      </c>
      <c r="AK66" s="338">
        <f>AI66-AJ66</f>
        <v>0</v>
      </c>
      <c r="AL66" s="342"/>
      <c r="AM66" s="336">
        <f t="shared" si="51"/>
        <v>2990</v>
      </c>
      <c r="AN66" s="339">
        <f t="shared" si="51"/>
        <v>0</v>
      </c>
      <c r="AO66" s="340">
        <f>AM66-AN66</f>
        <v>2990</v>
      </c>
      <c r="AP66" s="336">
        <f t="shared" si="53"/>
        <v>2990</v>
      </c>
      <c r="AQ66" s="339">
        <f t="shared" si="53"/>
        <v>0</v>
      </c>
      <c r="AR66" s="340">
        <f>AP66-AQ66</f>
        <v>2990</v>
      </c>
      <c r="AS66" s="341">
        <f t="shared" si="55"/>
        <v>2990</v>
      </c>
      <c r="AT66" s="339">
        <f t="shared" si="55"/>
        <v>0</v>
      </c>
      <c r="AU66" s="340">
        <f>AS66-AT66</f>
        <v>2990</v>
      </c>
      <c r="AV66" s="589">
        <f t="shared" si="19"/>
        <v>0</v>
      </c>
      <c r="AW66" s="343"/>
      <c r="AX66" s="1098"/>
      <c r="AY66" s="345"/>
      <c r="AZ66" s="1098"/>
      <c r="BA66" s="345">
        <v>2990</v>
      </c>
      <c r="BB66" s="1120"/>
      <c r="BC66" s="347"/>
      <c r="BD66" s="348"/>
      <c r="BE66" s="349"/>
      <c r="BF66" s="348"/>
      <c r="BG66" s="349"/>
      <c r="BH66" s="350"/>
      <c r="BI66" s="351"/>
      <c r="BJ66" s="352"/>
      <c r="BK66" s="337"/>
      <c r="BL66" s="352"/>
      <c r="BM66" s="337"/>
      <c r="BN66" s="353"/>
      <c r="BO66" s="354"/>
      <c r="BP66" s="355"/>
      <c r="BQ66" s="356"/>
      <c r="BR66" s="355"/>
      <c r="BS66" s="356"/>
      <c r="BT66" s="357"/>
    </row>
    <row r="67" spans="1:72" s="358" customFormat="1" ht="31.5" customHeight="1">
      <c r="A67" s="287">
        <v>57</v>
      </c>
      <c r="B67" s="933"/>
      <c r="C67" s="850" t="s">
        <v>377</v>
      </c>
      <c r="D67" s="853" t="s">
        <v>207</v>
      </c>
      <c r="E67" s="836" t="s">
        <v>201</v>
      </c>
      <c r="F67" s="820" t="s">
        <v>7</v>
      </c>
      <c r="G67" s="360">
        <v>4</v>
      </c>
      <c r="H67" s="360" t="s">
        <v>71</v>
      </c>
      <c r="I67" s="360">
        <v>244</v>
      </c>
      <c r="J67" s="361">
        <v>226</v>
      </c>
      <c r="K67" s="532" t="s">
        <v>150</v>
      </c>
      <c r="L67" s="1023">
        <f>L68</f>
        <v>297533.71000000002</v>
      </c>
      <c r="M67" s="363"/>
      <c r="N67" s="363"/>
      <c r="O67" s="1051">
        <f t="shared" si="20"/>
        <v>297533.71000000002</v>
      </c>
      <c r="P67" s="557"/>
      <c r="Q67" s="367">
        <f>Q68</f>
        <v>215351.84</v>
      </c>
      <c r="R67" s="557"/>
      <c r="S67" s="367">
        <f>S68</f>
        <v>185247.25</v>
      </c>
      <c r="T67" s="557"/>
      <c r="U67" s="365"/>
      <c r="V67" s="366">
        <f>L222</f>
        <v>358197.09</v>
      </c>
      <c r="W67" s="366"/>
      <c r="X67" s="391">
        <f>L67/(L67+V67)</f>
        <v>0.45369999999999999</v>
      </c>
      <c r="Z67" s="367">
        <f t="shared" si="43"/>
        <v>73200</v>
      </c>
      <c r="AA67" s="363">
        <f t="shared" si="43"/>
        <v>73650</v>
      </c>
      <c r="AB67" s="280">
        <f>Z67-AA67</f>
        <v>-450</v>
      </c>
      <c r="AC67" s="367">
        <f t="shared" si="45"/>
        <v>152400</v>
      </c>
      <c r="AD67" s="363">
        <f t="shared" si="45"/>
        <v>0</v>
      </c>
      <c r="AE67" s="280">
        <f>AC67-AD67</f>
        <v>152400</v>
      </c>
      <c r="AF67" s="367">
        <f t="shared" si="47"/>
        <v>71933.710000000006</v>
      </c>
      <c r="AG67" s="363">
        <f t="shared" si="47"/>
        <v>0</v>
      </c>
      <c r="AH67" s="280">
        <f>AF67-AG67</f>
        <v>71933.710000000006</v>
      </c>
      <c r="AI67" s="367">
        <f t="shared" si="49"/>
        <v>0</v>
      </c>
      <c r="AJ67" s="363">
        <f t="shared" si="49"/>
        <v>0</v>
      </c>
      <c r="AK67" s="280">
        <f>AI67-AJ67</f>
        <v>0</v>
      </c>
      <c r="AL67" s="368"/>
      <c r="AM67" s="367">
        <f t="shared" si="51"/>
        <v>225600</v>
      </c>
      <c r="AN67" s="363">
        <f t="shared" si="51"/>
        <v>73650</v>
      </c>
      <c r="AO67" s="280">
        <f>AM67-AN67</f>
        <v>151950</v>
      </c>
      <c r="AP67" s="367">
        <f t="shared" si="53"/>
        <v>297533.71000000002</v>
      </c>
      <c r="AQ67" s="363">
        <f t="shared" si="53"/>
        <v>73650</v>
      </c>
      <c r="AR67" s="280">
        <f>AP67-AQ67</f>
        <v>223883.71</v>
      </c>
      <c r="AS67" s="367">
        <f t="shared" si="55"/>
        <v>297533.71000000002</v>
      </c>
      <c r="AT67" s="363">
        <f t="shared" si="55"/>
        <v>73650</v>
      </c>
      <c r="AU67" s="280">
        <f>AS67-AT67</f>
        <v>223883.71</v>
      </c>
      <c r="AV67" s="588">
        <f t="shared" si="19"/>
        <v>0</v>
      </c>
      <c r="AW67" s="367">
        <f>SUM(AW68)</f>
        <v>0</v>
      </c>
      <c r="AX67" s="1097">
        <f t="shared" ref="AX67:BT67" si="65">SUM(AX68)</f>
        <v>0</v>
      </c>
      <c r="AY67" s="363">
        <f t="shared" si="65"/>
        <v>27000</v>
      </c>
      <c r="AZ67" s="1097">
        <f t="shared" si="65"/>
        <v>27000</v>
      </c>
      <c r="BA67" s="363">
        <f t="shared" si="65"/>
        <v>46200</v>
      </c>
      <c r="BB67" s="1119">
        <f t="shared" si="65"/>
        <v>46650</v>
      </c>
      <c r="BC67" s="367">
        <f t="shared" si="65"/>
        <v>51600</v>
      </c>
      <c r="BD67" s="363">
        <f t="shared" si="65"/>
        <v>0</v>
      </c>
      <c r="BE67" s="363">
        <f t="shared" si="65"/>
        <v>51600</v>
      </c>
      <c r="BF67" s="363">
        <f t="shared" si="65"/>
        <v>0</v>
      </c>
      <c r="BG67" s="363">
        <f t="shared" si="65"/>
        <v>49200</v>
      </c>
      <c r="BH67" s="369">
        <f t="shared" si="65"/>
        <v>0</v>
      </c>
      <c r="BI67" s="367">
        <f t="shared" si="65"/>
        <v>49800</v>
      </c>
      <c r="BJ67" s="363">
        <f t="shared" si="65"/>
        <v>0</v>
      </c>
      <c r="BK67" s="363">
        <f t="shared" si="65"/>
        <v>22133.71</v>
      </c>
      <c r="BL67" s="363">
        <f t="shared" si="65"/>
        <v>0</v>
      </c>
      <c r="BM67" s="363">
        <f t="shared" si="65"/>
        <v>0</v>
      </c>
      <c r="BN67" s="369">
        <f t="shared" si="65"/>
        <v>0</v>
      </c>
      <c r="BO67" s="367">
        <f t="shared" si="65"/>
        <v>0</v>
      </c>
      <c r="BP67" s="363">
        <f t="shared" si="65"/>
        <v>0</v>
      </c>
      <c r="BQ67" s="363">
        <f t="shared" si="65"/>
        <v>0</v>
      </c>
      <c r="BR67" s="363">
        <f t="shared" si="65"/>
        <v>0</v>
      </c>
      <c r="BS67" s="363">
        <f t="shared" si="65"/>
        <v>0</v>
      </c>
      <c r="BT67" s="280">
        <f t="shared" si="65"/>
        <v>0</v>
      </c>
    </row>
    <row r="68" spans="1:72" s="313" customFormat="1" ht="51" outlineLevel="1">
      <c r="A68" s="287">
        <v>58</v>
      </c>
      <c r="B68" s="933"/>
      <c r="C68" s="840"/>
      <c r="D68" s="853" t="s">
        <v>207</v>
      </c>
      <c r="E68" s="839"/>
      <c r="F68" s="821" t="s">
        <v>7</v>
      </c>
      <c r="G68" s="314">
        <v>4</v>
      </c>
      <c r="H68" s="739" t="s">
        <v>71</v>
      </c>
      <c r="I68" s="739">
        <v>244</v>
      </c>
      <c r="J68" s="740">
        <v>226</v>
      </c>
      <c r="K68" s="533" t="s">
        <v>267</v>
      </c>
      <c r="L68" s="1025">
        <v>297533.71000000002</v>
      </c>
      <c r="M68" s="318"/>
      <c r="N68" s="318"/>
      <c r="O68" s="1052">
        <f t="shared" si="20"/>
        <v>297533.71000000002</v>
      </c>
      <c r="P68" s="559"/>
      <c r="Q68" s="336">
        <v>215351.84</v>
      </c>
      <c r="R68" s="559"/>
      <c r="S68" s="336">
        <v>185247.25</v>
      </c>
      <c r="T68" s="559"/>
      <c r="U68" s="335"/>
      <c r="V68" s="596" t="s">
        <v>268</v>
      </c>
      <c r="W68" s="597" t="s">
        <v>465</v>
      </c>
      <c r="X68" s="597" t="s">
        <v>416</v>
      </c>
      <c r="Z68" s="336">
        <f t="shared" si="43"/>
        <v>73200</v>
      </c>
      <c r="AA68" s="337">
        <f t="shared" si="43"/>
        <v>73650</v>
      </c>
      <c r="AB68" s="338">
        <f>Z68-AA68</f>
        <v>-450</v>
      </c>
      <c r="AC68" s="336">
        <f t="shared" si="45"/>
        <v>152400</v>
      </c>
      <c r="AD68" s="337">
        <f t="shared" si="45"/>
        <v>0</v>
      </c>
      <c r="AE68" s="338">
        <f>AC68-AD68</f>
        <v>152400</v>
      </c>
      <c r="AF68" s="336">
        <f t="shared" si="47"/>
        <v>71933.710000000006</v>
      </c>
      <c r="AG68" s="337">
        <f t="shared" si="47"/>
        <v>0</v>
      </c>
      <c r="AH68" s="338">
        <f>AF68-AG68</f>
        <v>71933.710000000006</v>
      </c>
      <c r="AI68" s="336">
        <f t="shared" si="49"/>
        <v>0</v>
      </c>
      <c r="AJ68" s="337">
        <f t="shared" si="49"/>
        <v>0</v>
      </c>
      <c r="AK68" s="338">
        <f>AI68-AJ68</f>
        <v>0</v>
      </c>
      <c r="AL68" s="342"/>
      <c r="AM68" s="336">
        <f t="shared" si="51"/>
        <v>225600</v>
      </c>
      <c r="AN68" s="339">
        <f t="shared" si="51"/>
        <v>73650</v>
      </c>
      <c r="AO68" s="340">
        <f>AM68-AN68</f>
        <v>151950</v>
      </c>
      <c r="AP68" s="336">
        <f t="shared" si="53"/>
        <v>297533.71000000002</v>
      </c>
      <c r="AQ68" s="339">
        <f t="shared" si="53"/>
        <v>73650</v>
      </c>
      <c r="AR68" s="340">
        <f>AP68-AQ68</f>
        <v>223883.71</v>
      </c>
      <c r="AS68" s="341">
        <f t="shared" si="55"/>
        <v>297533.71000000002</v>
      </c>
      <c r="AT68" s="339">
        <f t="shared" si="55"/>
        <v>73650</v>
      </c>
      <c r="AU68" s="340">
        <f>AS68-AT68</f>
        <v>223883.71</v>
      </c>
      <c r="AV68" s="589">
        <f t="shared" si="19"/>
        <v>0</v>
      </c>
      <c r="AW68" s="343"/>
      <c r="AX68" s="1098"/>
      <c r="AY68" s="345">
        <f>150*12*15</f>
        <v>27000</v>
      </c>
      <c r="AZ68" s="1098">
        <v>27000</v>
      </c>
      <c r="BA68" s="345">
        <f>150*12*23+150*4*8</f>
        <v>46200</v>
      </c>
      <c r="BB68" s="1120">
        <f>46200+450</f>
        <v>46650</v>
      </c>
      <c r="BC68" s="347">
        <f>150*12*26+150*4*8</f>
        <v>51600</v>
      </c>
      <c r="BD68" s="348"/>
      <c r="BE68" s="349">
        <f>150*12*26+150*4*8</f>
        <v>51600</v>
      </c>
      <c r="BF68" s="348"/>
      <c r="BG68" s="349">
        <f>150*12*24+150*5*8</f>
        <v>49200</v>
      </c>
      <c r="BH68" s="350"/>
      <c r="BI68" s="351">
        <f>150*12*25+150*4*8</f>
        <v>49800</v>
      </c>
      <c r="BJ68" s="352"/>
      <c r="BK68" s="351">
        <f>(150*12*27+150*4*8)-31266.29</f>
        <v>22133.71</v>
      </c>
      <c r="BL68" s="352"/>
      <c r="BM68" s="337"/>
      <c r="BN68" s="353"/>
      <c r="BO68" s="354"/>
      <c r="BP68" s="355"/>
      <c r="BQ68" s="356"/>
      <c r="BR68" s="355"/>
      <c r="BS68" s="356"/>
      <c r="BT68" s="357"/>
    </row>
    <row r="69" spans="1:72" s="358" customFormat="1" ht="60" customHeight="1">
      <c r="A69" s="287">
        <v>59</v>
      </c>
      <c r="B69" s="933"/>
      <c r="C69" s="850" t="s">
        <v>377</v>
      </c>
      <c r="D69" s="838"/>
      <c r="E69" s="836" t="s">
        <v>201</v>
      </c>
      <c r="F69" s="820" t="s">
        <v>7</v>
      </c>
      <c r="G69" s="360">
        <v>4</v>
      </c>
      <c r="H69" s="360" t="s">
        <v>71</v>
      </c>
      <c r="I69" s="360">
        <v>244</v>
      </c>
      <c r="J69" s="361">
        <v>226</v>
      </c>
      <c r="K69" s="532" t="s">
        <v>170</v>
      </c>
      <c r="L69" s="1023">
        <f>SUM(L70:L80)</f>
        <v>419234.9</v>
      </c>
      <c r="M69" s="363"/>
      <c r="N69" s="363"/>
      <c r="O69" s="1051">
        <f t="shared" si="20"/>
        <v>419234.9</v>
      </c>
      <c r="P69" s="557"/>
      <c r="Q69" s="367">
        <f>SUM(Q70:Q80)</f>
        <v>515206.86</v>
      </c>
      <c r="R69" s="557"/>
      <c r="S69" s="367">
        <f>SUM(S70:S80)</f>
        <v>515206.86</v>
      </c>
      <c r="T69" s="557"/>
      <c r="U69" s="365"/>
      <c r="V69" s="366"/>
      <c r="W69" s="366"/>
      <c r="X69" s="366"/>
      <c r="Z69" s="367">
        <f t="shared" si="35"/>
        <v>75225.2</v>
      </c>
      <c r="AA69" s="363">
        <f t="shared" si="35"/>
        <v>64599.96</v>
      </c>
      <c r="AB69" s="280">
        <f t="shared" si="6"/>
        <v>10625.24</v>
      </c>
      <c r="AC69" s="367">
        <f t="shared" si="36"/>
        <v>98896.44</v>
      </c>
      <c r="AD69" s="363">
        <f t="shared" si="36"/>
        <v>0</v>
      </c>
      <c r="AE69" s="280">
        <f t="shared" si="8"/>
        <v>98896.44</v>
      </c>
      <c r="AF69" s="367">
        <f t="shared" si="37"/>
        <v>98532.44</v>
      </c>
      <c r="AG69" s="363">
        <f t="shared" si="37"/>
        <v>0</v>
      </c>
      <c r="AH69" s="280">
        <f t="shared" si="10"/>
        <v>98532.44</v>
      </c>
      <c r="AI69" s="367">
        <f t="shared" si="38"/>
        <v>145488.82</v>
      </c>
      <c r="AJ69" s="363">
        <f t="shared" si="38"/>
        <v>14818</v>
      </c>
      <c r="AK69" s="280">
        <f t="shared" si="12"/>
        <v>130670.82</v>
      </c>
      <c r="AL69" s="368"/>
      <c r="AM69" s="367">
        <f t="shared" si="39"/>
        <v>174121.64</v>
      </c>
      <c r="AN69" s="363">
        <f t="shared" si="39"/>
        <v>64599.96</v>
      </c>
      <c r="AO69" s="280">
        <f t="shared" si="14"/>
        <v>109521.68</v>
      </c>
      <c r="AP69" s="367">
        <f t="shared" si="40"/>
        <v>272654.08000000002</v>
      </c>
      <c r="AQ69" s="363">
        <f t="shared" si="40"/>
        <v>64599.96</v>
      </c>
      <c r="AR69" s="280">
        <f t="shared" si="16"/>
        <v>208054.12</v>
      </c>
      <c r="AS69" s="367">
        <f t="shared" si="21"/>
        <v>418142.9</v>
      </c>
      <c r="AT69" s="363">
        <f t="shared" si="17"/>
        <v>79417.960000000006</v>
      </c>
      <c r="AU69" s="280">
        <f t="shared" si="18"/>
        <v>338724.94</v>
      </c>
      <c r="AV69" s="588">
        <f t="shared" si="19"/>
        <v>1092</v>
      </c>
      <c r="AW69" s="367">
        <f t="shared" ref="AW69:BT69" si="66">SUM(AW70:AW80)</f>
        <v>0</v>
      </c>
      <c r="AX69" s="1097">
        <f t="shared" si="66"/>
        <v>0</v>
      </c>
      <c r="AY69" s="363">
        <f t="shared" si="66"/>
        <v>27453.32</v>
      </c>
      <c r="AZ69" s="1097">
        <f t="shared" si="66"/>
        <v>16828.080000000002</v>
      </c>
      <c r="BA69" s="363">
        <f t="shared" si="66"/>
        <v>47771.88</v>
      </c>
      <c r="BB69" s="1119">
        <f t="shared" si="66"/>
        <v>47771.88</v>
      </c>
      <c r="BC69" s="367">
        <f t="shared" si="66"/>
        <v>32989.68</v>
      </c>
      <c r="BD69" s="363">
        <f t="shared" si="66"/>
        <v>0</v>
      </c>
      <c r="BE69" s="363">
        <f t="shared" si="66"/>
        <v>32917.08</v>
      </c>
      <c r="BF69" s="363">
        <f t="shared" si="66"/>
        <v>0</v>
      </c>
      <c r="BG69" s="363">
        <f t="shared" si="66"/>
        <v>32989.68</v>
      </c>
      <c r="BH69" s="369">
        <f t="shared" si="66"/>
        <v>0</v>
      </c>
      <c r="BI69" s="367">
        <f t="shared" si="66"/>
        <v>32917.08</v>
      </c>
      <c r="BJ69" s="363">
        <f t="shared" si="66"/>
        <v>0</v>
      </c>
      <c r="BK69" s="363">
        <f t="shared" si="66"/>
        <v>32807.68</v>
      </c>
      <c r="BL69" s="363">
        <f t="shared" si="66"/>
        <v>0</v>
      </c>
      <c r="BM69" s="363">
        <f t="shared" si="66"/>
        <v>32807.68</v>
      </c>
      <c r="BN69" s="369">
        <f t="shared" si="66"/>
        <v>0</v>
      </c>
      <c r="BO69" s="367">
        <f t="shared" si="66"/>
        <v>47138.38</v>
      </c>
      <c r="BP69" s="363">
        <f t="shared" si="66"/>
        <v>0</v>
      </c>
      <c r="BQ69" s="363">
        <f t="shared" si="66"/>
        <v>32807.68</v>
      </c>
      <c r="BR69" s="363">
        <f t="shared" si="66"/>
        <v>14818</v>
      </c>
      <c r="BS69" s="363">
        <f t="shared" si="66"/>
        <v>65542.759999999995</v>
      </c>
      <c r="BT69" s="280">
        <f t="shared" si="66"/>
        <v>0</v>
      </c>
    </row>
    <row r="70" spans="1:72" s="313" customFormat="1" ht="63.75" outlineLevel="1">
      <c r="A70" s="287">
        <v>60</v>
      </c>
      <c r="B70" s="933"/>
      <c r="C70" s="840"/>
      <c r="D70" s="841"/>
      <c r="E70" s="839"/>
      <c r="F70" s="821" t="s">
        <v>7</v>
      </c>
      <c r="G70" s="314">
        <v>4</v>
      </c>
      <c r="H70" s="739" t="s">
        <v>71</v>
      </c>
      <c r="I70" s="739">
        <v>244</v>
      </c>
      <c r="J70" s="740">
        <v>226</v>
      </c>
      <c r="K70" s="533" t="s">
        <v>447</v>
      </c>
      <c r="L70" s="1025">
        <f>17950.7+7386.7</f>
        <v>25337.4</v>
      </c>
      <c r="M70" s="318"/>
      <c r="N70" s="318"/>
      <c r="O70" s="1052">
        <f t="shared" si="20"/>
        <v>25337.4</v>
      </c>
      <c r="P70" s="559"/>
      <c r="Q70" s="336">
        <v>17950.7</v>
      </c>
      <c r="R70" s="559"/>
      <c r="S70" s="336">
        <v>17950.7</v>
      </c>
      <c r="T70" s="559"/>
      <c r="U70" s="335"/>
      <c r="V70" s="801" t="s">
        <v>448</v>
      </c>
      <c r="W70" s="801" t="s">
        <v>474</v>
      </c>
      <c r="X70" s="801" t="s">
        <v>446</v>
      </c>
      <c r="Z70" s="336">
        <f t="shared" si="35"/>
        <v>3121.8</v>
      </c>
      <c r="AA70" s="337">
        <f t="shared" si="35"/>
        <v>3121.8</v>
      </c>
      <c r="AB70" s="338">
        <f t="shared" si="6"/>
        <v>0</v>
      </c>
      <c r="AC70" s="336">
        <f t="shared" si="36"/>
        <v>6679.2</v>
      </c>
      <c r="AD70" s="337">
        <f t="shared" si="36"/>
        <v>0</v>
      </c>
      <c r="AE70" s="338">
        <f t="shared" si="8"/>
        <v>6679.2</v>
      </c>
      <c r="AF70" s="336">
        <f t="shared" si="37"/>
        <v>6679.2</v>
      </c>
      <c r="AG70" s="337">
        <f t="shared" si="37"/>
        <v>0</v>
      </c>
      <c r="AH70" s="338">
        <f t="shared" si="10"/>
        <v>6679.2</v>
      </c>
      <c r="AI70" s="336">
        <f t="shared" si="38"/>
        <v>8857.2000000000007</v>
      </c>
      <c r="AJ70" s="337">
        <f t="shared" si="38"/>
        <v>0</v>
      </c>
      <c r="AK70" s="338">
        <f t="shared" si="12"/>
        <v>8857.2000000000007</v>
      </c>
      <c r="AL70" s="342"/>
      <c r="AM70" s="336">
        <f t="shared" si="39"/>
        <v>9801</v>
      </c>
      <c r="AN70" s="339">
        <f t="shared" si="39"/>
        <v>3121.8</v>
      </c>
      <c r="AO70" s="340">
        <f t="shared" si="14"/>
        <v>6679.2</v>
      </c>
      <c r="AP70" s="336">
        <f t="shared" si="40"/>
        <v>16480.2</v>
      </c>
      <c r="AQ70" s="339">
        <f t="shared" si="40"/>
        <v>3121.8</v>
      </c>
      <c r="AR70" s="340">
        <f t="shared" si="16"/>
        <v>13358.4</v>
      </c>
      <c r="AS70" s="341">
        <f t="shared" si="21"/>
        <v>25337.4</v>
      </c>
      <c r="AT70" s="339">
        <f t="shared" si="17"/>
        <v>3121.8</v>
      </c>
      <c r="AU70" s="340">
        <f t="shared" si="18"/>
        <v>22215.599999999999</v>
      </c>
      <c r="AV70" s="803">
        <f t="shared" si="19"/>
        <v>0</v>
      </c>
      <c r="AW70" s="343"/>
      <c r="AX70" s="1098"/>
      <c r="AY70" s="345">
        <f>180*6.05</f>
        <v>1089</v>
      </c>
      <c r="AZ70" s="1098">
        <v>1089</v>
      </c>
      <c r="BA70" s="345">
        <f>336*6.05</f>
        <v>2032.8</v>
      </c>
      <c r="BB70" s="1120">
        <v>2032.8</v>
      </c>
      <c r="BC70" s="347">
        <f>372*6.05</f>
        <v>2250.6</v>
      </c>
      <c r="BD70" s="348"/>
      <c r="BE70" s="349">
        <f>360*6.05</f>
        <v>2178</v>
      </c>
      <c r="BF70" s="348"/>
      <c r="BG70" s="349">
        <f>372*6.05</f>
        <v>2250.6</v>
      </c>
      <c r="BH70" s="350"/>
      <c r="BI70" s="351">
        <f>360*6.05</f>
        <v>2178</v>
      </c>
      <c r="BJ70" s="352"/>
      <c r="BK70" s="337">
        <f>372*6.05</f>
        <v>2250.6</v>
      </c>
      <c r="BL70" s="352"/>
      <c r="BM70" s="337">
        <f>372*6.05</f>
        <v>2250.6</v>
      </c>
      <c r="BN70" s="353"/>
      <c r="BO70" s="354">
        <f>360*6.05</f>
        <v>2178</v>
      </c>
      <c r="BP70" s="355"/>
      <c r="BQ70" s="356">
        <f>372*6.05</f>
        <v>2250.6</v>
      </c>
      <c r="BR70" s="355"/>
      <c r="BS70" s="356">
        <f>360*6.05+372*6.05</f>
        <v>4428.6000000000004</v>
      </c>
      <c r="BT70" s="357"/>
    </row>
    <row r="71" spans="1:72" s="313" customFormat="1" ht="38.25" outlineLevel="1">
      <c r="A71" s="287">
        <v>61</v>
      </c>
      <c r="B71" s="933"/>
      <c r="C71" s="840"/>
      <c r="D71" s="841"/>
      <c r="E71" s="839"/>
      <c r="F71" s="821" t="s">
        <v>7</v>
      </c>
      <c r="G71" s="314">
        <v>4</v>
      </c>
      <c r="H71" s="739" t="s">
        <v>71</v>
      </c>
      <c r="I71" s="739">
        <v>244</v>
      </c>
      <c r="J71" s="740">
        <v>226</v>
      </c>
      <c r="K71" s="533" t="s">
        <v>343</v>
      </c>
      <c r="L71" s="1025">
        <v>52171.199999999997</v>
      </c>
      <c r="M71" s="318"/>
      <c r="N71" s="318"/>
      <c r="O71" s="1052">
        <f t="shared" si="20"/>
        <v>52171.199999999997</v>
      </c>
      <c r="P71" s="559"/>
      <c r="Q71" s="336">
        <v>52171.199999999997</v>
      </c>
      <c r="R71" s="559"/>
      <c r="S71" s="336">
        <v>52171.199999999997</v>
      </c>
      <c r="T71" s="559"/>
      <c r="U71" s="335"/>
      <c r="V71" s="596" t="s">
        <v>253</v>
      </c>
      <c r="W71" s="597" t="s">
        <v>395</v>
      </c>
      <c r="X71" s="597" t="s">
        <v>381</v>
      </c>
      <c r="Z71" s="336">
        <f t="shared" si="35"/>
        <v>8695.2000000000007</v>
      </c>
      <c r="AA71" s="337">
        <f t="shared" si="35"/>
        <v>8695.2000000000007</v>
      </c>
      <c r="AB71" s="338">
        <f>Z71-AA71</f>
        <v>0</v>
      </c>
      <c r="AC71" s="336">
        <f t="shared" si="36"/>
        <v>13042.8</v>
      </c>
      <c r="AD71" s="337">
        <f t="shared" si="36"/>
        <v>0</v>
      </c>
      <c r="AE71" s="338">
        <f>AC71-AD71</f>
        <v>13042.8</v>
      </c>
      <c r="AF71" s="336">
        <f t="shared" si="37"/>
        <v>13042.8</v>
      </c>
      <c r="AG71" s="337">
        <f t="shared" si="37"/>
        <v>0</v>
      </c>
      <c r="AH71" s="338">
        <f>AF71-AG71</f>
        <v>13042.8</v>
      </c>
      <c r="AI71" s="336">
        <f t="shared" si="38"/>
        <v>17390.400000000001</v>
      </c>
      <c r="AJ71" s="337">
        <f t="shared" si="38"/>
        <v>0</v>
      </c>
      <c r="AK71" s="338">
        <f>AI71-AJ71</f>
        <v>17390.400000000001</v>
      </c>
      <c r="AL71" s="342"/>
      <c r="AM71" s="336">
        <f t="shared" si="39"/>
        <v>21738</v>
      </c>
      <c r="AN71" s="339">
        <f t="shared" si="39"/>
        <v>8695.2000000000007</v>
      </c>
      <c r="AO71" s="340">
        <f>AM71-AN71</f>
        <v>13042.8</v>
      </c>
      <c r="AP71" s="336">
        <f t="shared" si="40"/>
        <v>34780.800000000003</v>
      </c>
      <c r="AQ71" s="339">
        <f t="shared" si="40"/>
        <v>8695.2000000000007</v>
      </c>
      <c r="AR71" s="340">
        <f>AP71-AQ71</f>
        <v>26085.599999999999</v>
      </c>
      <c r="AS71" s="341">
        <f t="shared" si="21"/>
        <v>52171.199999999997</v>
      </c>
      <c r="AT71" s="339">
        <f t="shared" si="21"/>
        <v>8695.2000000000007</v>
      </c>
      <c r="AU71" s="340">
        <f>AS71-AT71</f>
        <v>43476</v>
      </c>
      <c r="AV71" s="589">
        <f t="shared" si="19"/>
        <v>0</v>
      </c>
      <c r="AW71" s="343"/>
      <c r="AX71" s="1098"/>
      <c r="AY71" s="345">
        <v>4347.6000000000004</v>
      </c>
      <c r="AZ71" s="1098">
        <v>4347.6000000000004</v>
      </c>
      <c r="BA71" s="345">
        <v>4347.6000000000004</v>
      </c>
      <c r="BB71" s="1120">
        <v>4347.6000000000004</v>
      </c>
      <c r="BC71" s="347">
        <v>4347.6000000000004</v>
      </c>
      <c r="BD71" s="348"/>
      <c r="BE71" s="1135">
        <v>4347.6000000000004</v>
      </c>
      <c r="BF71" s="348"/>
      <c r="BG71" s="349">
        <v>4347.6000000000004</v>
      </c>
      <c r="BH71" s="350"/>
      <c r="BI71" s="351">
        <v>4347.6000000000004</v>
      </c>
      <c r="BJ71" s="352"/>
      <c r="BK71" s="337">
        <v>4347.6000000000004</v>
      </c>
      <c r="BL71" s="352"/>
      <c r="BM71" s="337">
        <v>4347.6000000000004</v>
      </c>
      <c r="BN71" s="353"/>
      <c r="BO71" s="354">
        <v>4347.6000000000004</v>
      </c>
      <c r="BP71" s="355"/>
      <c r="BQ71" s="356">
        <v>4347.6000000000004</v>
      </c>
      <c r="BR71" s="355"/>
      <c r="BS71" s="356">
        <f>4347.6*2</f>
        <v>8695.2000000000007</v>
      </c>
      <c r="BT71" s="357"/>
    </row>
    <row r="72" spans="1:72" s="313" customFormat="1" ht="38.25" outlineLevel="1">
      <c r="A72" s="287">
        <v>62</v>
      </c>
      <c r="B72" s="933"/>
      <c r="C72" s="840"/>
      <c r="D72" s="841"/>
      <c r="E72" s="839"/>
      <c r="F72" s="821" t="s">
        <v>7</v>
      </c>
      <c r="G72" s="314">
        <v>4</v>
      </c>
      <c r="H72" s="739" t="s">
        <v>71</v>
      </c>
      <c r="I72" s="739">
        <v>244</v>
      </c>
      <c r="J72" s="740">
        <v>226</v>
      </c>
      <c r="K72" s="533" t="s">
        <v>814</v>
      </c>
      <c r="L72" s="1025">
        <f>33361.68+4028.04-691.92</f>
        <v>36697.800000000003</v>
      </c>
      <c r="M72" s="318"/>
      <c r="N72" s="318"/>
      <c r="O72" s="1052">
        <f>L72+N72</f>
        <v>36697.800000000003</v>
      </c>
      <c r="P72" s="559"/>
      <c r="Q72" s="336">
        <v>33361.68</v>
      </c>
      <c r="R72" s="559"/>
      <c r="S72" s="336">
        <v>33361.68</v>
      </c>
      <c r="T72" s="559"/>
      <c r="U72" s="335"/>
      <c r="V72" s="596" t="s">
        <v>253</v>
      </c>
      <c r="W72" s="597" t="s">
        <v>394</v>
      </c>
      <c r="X72" s="597" t="s">
        <v>381</v>
      </c>
      <c r="Z72" s="336">
        <f t="shared" si="35"/>
        <v>6116.3</v>
      </c>
      <c r="AA72" s="337">
        <f t="shared" si="35"/>
        <v>6116.3</v>
      </c>
      <c r="AB72" s="338">
        <f>Z72-AA72</f>
        <v>0</v>
      </c>
      <c r="AC72" s="336">
        <f t="shared" si="36"/>
        <v>9174.4500000000007</v>
      </c>
      <c r="AD72" s="337">
        <f t="shared" si="36"/>
        <v>0</v>
      </c>
      <c r="AE72" s="338">
        <f>AC72-AD72</f>
        <v>9174.4500000000007</v>
      </c>
      <c r="AF72" s="336">
        <f t="shared" si="37"/>
        <v>9174.4500000000007</v>
      </c>
      <c r="AG72" s="337">
        <f t="shared" si="37"/>
        <v>0</v>
      </c>
      <c r="AH72" s="338">
        <f>AF72-AG72</f>
        <v>9174.4500000000007</v>
      </c>
      <c r="AI72" s="336">
        <f t="shared" si="38"/>
        <v>12232.6</v>
      </c>
      <c r="AJ72" s="337">
        <f t="shared" si="38"/>
        <v>0</v>
      </c>
      <c r="AK72" s="338">
        <f>AI72-AJ72</f>
        <v>12232.6</v>
      </c>
      <c r="AL72" s="342"/>
      <c r="AM72" s="336">
        <f t="shared" si="39"/>
        <v>15290.75</v>
      </c>
      <c r="AN72" s="339">
        <f t="shared" si="39"/>
        <v>6116.3</v>
      </c>
      <c r="AO72" s="340">
        <f>AM72-AN72</f>
        <v>9174.4500000000007</v>
      </c>
      <c r="AP72" s="336">
        <f t="shared" si="40"/>
        <v>24465.200000000001</v>
      </c>
      <c r="AQ72" s="339">
        <f t="shared" si="40"/>
        <v>6116.3</v>
      </c>
      <c r="AR72" s="340">
        <f>AP72-AQ72</f>
        <v>18348.900000000001</v>
      </c>
      <c r="AS72" s="341">
        <f t="shared" si="21"/>
        <v>36697.800000000003</v>
      </c>
      <c r="AT72" s="339">
        <f t="shared" si="21"/>
        <v>6116.3</v>
      </c>
      <c r="AU72" s="340">
        <f>AS72-AT72</f>
        <v>30581.5</v>
      </c>
      <c r="AV72" s="589">
        <f>L72-AS72</f>
        <v>0</v>
      </c>
      <c r="AW72" s="343"/>
      <c r="AX72" s="1098"/>
      <c r="AY72" s="345">
        <f>104.24+2171.99+781.92</f>
        <v>3058.15</v>
      </c>
      <c r="AZ72" s="1098">
        <v>3058.15</v>
      </c>
      <c r="BA72" s="345">
        <f>104.24+2171.99+781.92</f>
        <v>3058.15</v>
      </c>
      <c r="BB72" s="1120">
        <v>3058.15</v>
      </c>
      <c r="BC72" s="347">
        <f>104.24+2171.99+781.92</f>
        <v>3058.15</v>
      </c>
      <c r="BD72" s="348"/>
      <c r="BE72" s="1135">
        <f>104.24+2171.99+781.92</f>
        <v>3058.15</v>
      </c>
      <c r="BF72" s="348"/>
      <c r="BG72" s="349">
        <f>104.24+2171.99+781.92</f>
        <v>3058.15</v>
      </c>
      <c r="BH72" s="350"/>
      <c r="BI72" s="351">
        <f>104.24+2171.99+781.92</f>
        <v>3058.15</v>
      </c>
      <c r="BJ72" s="352"/>
      <c r="BK72" s="337">
        <f>104.24+2171.99+781.92</f>
        <v>3058.15</v>
      </c>
      <c r="BL72" s="352"/>
      <c r="BM72" s="337">
        <f>104.24+2171.99+781.92</f>
        <v>3058.15</v>
      </c>
      <c r="BN72" s="353"/>
      <c r="BO72" s="354">
        <f>104.24+2171.99+781.92</f>
        <v>3058.15</v>
      </c>
      <c r="BP72" s="355"/>
      <c r="BQ72" s="356">
        <f>104.24+2171.99+781.92</f>
        <v>3058.15</v>
      </c>
      <c r="BR72" s="355"/>
      <c r="BS72" s="356">
        <f>(104.24+2171.99+781.92)*2</f>
        <v>6116.3</v>
      </c>
      <c r="BT72" s="357"/>
    </row>
    <row r="73" spans="1:72" s="313" customFormat="1" ht="25.5" outlineLevel="1">
      <c r="A73" s="287">
        <v>63</v>
      </c>
      <c r="B73" s="933"/>
      <c r="C73" s="840"/>
      <c r="D73" s="841"/>
      <c r="E73" s="839"/>
      <c r="F73" s="821" t="s">
        <v>7</v>
      </c>
      <c r="G73" s="314">
        <v>4</v>
      </c>
      <c r="H73" s="739" t="s">
        <v>71</v>
      </c>
      <c r="I73" s="739">
        <v>244</v>
      </c>
      <c r="J73" s="740">
        <v>226</v>
      </c>
      <c r="K73" s="533" t="s">
        <v>344</v>
      </c>
      <c r="L73" s="1025">
        <f>21790-7386.7</f>
        <v>14403.3</v>
      </c>
      <c r="M73" s="318"/>
      <c r="N73" s="318"/>
      <c r="O73" s="1052">
        <f t="shared" si="20"/>
        <v>14403.3</v>
      </c>
      <c r="P73" s="559"/>
      <c r="Q73" s="336">
        <v>21790</v>
      </c>
      <c r="R73" s="559"/>
      <c r="S73" s="336">
        <v>21790</v>
      </c>
      <c r="T73" s="559"/>
      <c r="U73" s="335"/>
      <c r="V73" s="320" t="s">
        <v>599</v>
      </c>
      <c r="W73" s="388" t="s">
        <v>333</v>
      </c>
      <c r="X73" s="388" t="s">
        <v>334</v>
      </c>
      <c r="Z73" s="336">
        <f t="shared" si="35"/>
        <v>0</v>
      </c>
      <c r="AA73" s="337">
        <f t="shared" si="35"/>
        <v>0</v>
      </c>
      <c r="AB73" s="338">
        <f>Z73-AA73</f>
        <v>0</v>
      </c>
      <c r="AC73" s="336">
        <f t="shared" si="36"/>
        <v>0</v>
      </c>
      <c r="AD73" s="337">
        <f t="shared" si="36"/>
        <v>0</v>
      </c>
      <c r="AE73" s="338">
        <f>AC73-AD73</f>
        <v>0</v>
      </c>
      <c r="AF73" s="336">
        <f t="shared" si="37"/>
        <v>0</v>
      </c>
      <c r="AG73" s="337">
        <f t="shared" si="37"/>
        <v>0</v>
      </c>
      <c r="AH73" s="338">
        <f>AF73-AG73</f>
        <v>0</v>
      </c>
      <c r="AI73" s="336">
        <f t="shared" si="38"/>
        <v>14403.3</v>
      </c>
      <c r="AJ73" s="337">
        <f t="shared" si="38"/>
        <v>0</v>
      </c>
      <c r="AK73" s="338">
        <f>AI73-AJ73</f>
        <v>14403.3</v>
      </c>
      <c r="AL73" s="342"/>
      <c r="AM73" s="336">
        <f t="shared" si="39"/>
        <v>0</v>
      </c>
      <c r="AN73" s="339">
        <f t="shared" si="39"/>
        <v>0</v>
      </c>
      <c r="AO73" s="340">
        <f>AM73-AN73</f>
        <v>0</v>
      </c>
      <c r="AP73" s="336">
        <f t="shared" si="40"/>
        <v>0</v>
      </c>
      <c r="AQ73" s="339">
        <f t="shared" si="40"/>
        <v>0</v>
      </c>
      <c r="AR73" s="340">
        <f>AP73-AQ73</f>
        <v>0</v>
      </c>
      <c r="AS73" s="341">
        <f t="shared" si="21"/>
        <v>14403.3</v>
      </c>
      <c r="AT73" s="339">
        <f t="shared" si="21"/>
        <v>0</v>
      </c>
      <c r="AU73" s="340">
        <f>AS73-AT73</f>
        <v>14403.3</v>
      </c>
      <c r="AV73" s="589">
        <f t="shared" si="19"/>
        <v>0</v>
      </c>
      <c r="AW73" s="343"/>
      <c r="AX73" s="1098"/>
      <c r="AY73" s="345"/>
      <c r="AZ73" s="1098"/>
      <c r="BA73" s="345"/>
      <c r="BB73" s="1120"/>
      <c r="BC73" s="347"/>
      <c r="BD73" s="348"/>
      <c r="BE73" s="349"/>
      <c r="BF73" s="348"/>
      <c r="BG73" s="349"/>
      <c r="BH73" s="350"/>
      <c r="BI73" s="351"/>
      <c r="BJ73" s="352"/>
      <c r="BK73" s="337"/>
      <c r="BL73" s="352"/>
      <c r="BM73" s="337"/>
      <c r="BN73" s="353"/>
      <c r="BO73" s="354">
        <f>21790-7386.7</f>
        <v>14403.3</v>
      </c>
      <c r="BP73" s="355"/>
      <c r="BQ73" s="356"/>
      <c r="BR73" s="355"/>
      <c r="BS73" s="356"/>
      <c r="BT73" s="357"/>
    </row>
    <row r="74" spans="1:72" s="313" customFormat="1" ht="25.5" outlineLevel="1">
      <c r="A74" s="287">
        <v>64</v>
      </c>
      <c r="B74" s="933"/>
      <c r="C74" s="840"/>
      <c r="D74" s="841"/>
      <c r="E74" s="839"/>
      <c r="F74" s="821" t="s">
        <v>7</v>
      </c>
      <c r="G74" s="314">
        <v>4</v>
      </c>
      <c r="H74" s="739" t="s">
        <v>71</v>
      </c>
      <c r="I74" s="739">
        <v>244</v>
      </c>
      <c r="J74" s="740">
        <v>226</v>
      </c>
      <c r="K74" s="533" t="s">
        <v>345</v>
      </c>
      <c r="L74" s="1025">
        <v>0</v>
      </c>
      <c r="M74" s="318"/>
      <c r="N74" s="318"/>
      <c r="O74" s="1052">
        <f t="shared" si="20"/>
        <v>0</v>
      </c>
      <c r="P74" s="559"/>
      <c r="Q74" s="336">
        <v>100000</v>
      </c>
      <c r="R74" s="559"/>
      <c r="S74" s="336">
        <v>100000</v>
      </c>
      <c r="T74" s="559"/>
      <c r="U74" s="335"/>
      <c r="V74" s="320" t="s">
        <v>470</v>
      </c>
      <c r="W74" s="388" t="s">
        <v>328</v>
      </c>
      <c r="X74" s="388" t="s">
        <v>329</v>
      </c>
      <c r="Z74" s="336">
        <f t="shared" si="35"/>
        <v>0</v>
      </c>
      <c r="AA74" s="337">
        <f t="shared" si="35"/>
        <v>0</v>
      </c>
      <c r="AB74" s="338">
        <f t="shared" si="6"/>
        <v>0</v>
      </c>
      <c r="AC74" s="336">
        <f t="shared" si="36"/>
        <v>0</v>
      </c>
      <c r="AD74" s="337">
        <f t="shared" si="36"/>
        <v>0</v>
      </c>
      <c r="AE74" s="338">
        <f t="shared" si="8"/>
        <v>0</v>
      </c>
      <c r="AF74" s="336">
        <f t="shared" si="37"/>
        <v>0</v>
      </c>
      <c r="AG74" s="337">
        <f t="shared" si="37"/>
        <v>0</v>
      </c>
      <c r="AH74" s="338">
        <f t="shared" si="10"/>
        <v>0</v>
      </c>
      <c r="AI74" s="336">
        <f t="shared" si="38"/>
        <v>0</v>
      </c>
      <c r="AJ74" s="337">
        <f t="shared" si="38"/>
        <v>0</v>
      </c>
      <c r="AK74" s="338">
        <f t="shared" si="12"/>
        <v>0</v>
      </c>
      <c r="AL74" s="342"/>
      <c r="AM74" s="336">
        <f t="shared" si="39"/>
        <v>0</v>
      </c>
      <c r="AN74" s="339">
        <f t="shared" si="39"/>
        <v>0</v>
      </c>
      <c r="AO74" s="340">
        <f t="shared" si="14"/>
        <v>0</v>
      </c>
      <c r="AP74" s="336">
        <f t="shared" si="40"/>
        <v>0</v>
      </c>
      <c r="AQ74" s="339">
        <f t="shared" si="40"/>
        <v>0</v>
      </c>
      <c r="AR74" s="340">
        <f t="shared" si="16"/>
        <v>0</v>
      </c>
      <c r="AS74" s="341">
        <f t="shared" si="21"/>
        <v>0</v>
      </c>
      <c r="AT74" s="339">
        <f t="shared" si="17"/>
        <v>0</v>
      </c>
      <c r="AU74" s="340">
        <f t="shared" si="18"/>
        <v>0</v>
      </c>
      <c r="AV74" s="589">
        <f t="shared" si="19"/>
        <v>0</v>
      </c>
      <c r="AW74" s="343"/>
      <c r="AX74" s="1098"/>
      <c r="AY74" s="345"/>
      <c r="AZ74" s="1098"/>
      <c r="BA74" s="345"/>
      <c r="BB74" s="1120"/>
      <c r="BC74" s="347"/>
      <c r="BD74" s="348"/>
      <c r="BE74" s="349"/>
      <c r="BF74" s="348"/>
      <c r="BG74" s="349"/>
      <c r="BH74" s="350"/>
      <c r="BI74" s="351"/>
      <c r="BJ74" s="352"/>
      <c r="BK74" s="337"/>
      <c r="BL74" s="352"/>
      <c r="BM74" s="337"/>
      <c r="BN74" s="353"/>
      <c r="BO74" s="354"/>
      <c r="BP74" s="355"/>
      <c r="BQ74" s="356"/>
      <c r="BR74" s="355"/>
      <c r="BS74" s="356"/>
      <c r="BT74" s="357"/>
    </row>
    <row r="75" spans="1:72" s="313" customFormat="1" ht="51" outlineLevel="1">
      <c r="A75" s="287">
        <v>65</v>
      </c>
      <c r="B75" s="1145" t="s">
        <v>836</v>
      </c>
      <c r="C75" s="840"/>
      <c r="D75" s="841"/>
      <c r="E75" s="839"/>
      <c r="F75" s="821" t="s">
        <v>7</v>
      </c>
      <c r="G75" s="314">
        <v>4</v>
      </c>
      <c r="H75" s="739" t="s">
        <v>71</v>
      </c>
      <c r="I75" s="739">
        <v>244</v>
      </c>
      <c r="J75" s="740">
        <v>226</v>
      </c>
      <c r="K75" s="533" t="s">
        <v>346</v>
      </c>
      <c r="L75" s="1025">
        <v>90000</v>
      </c>
      <c r="M75" s="318"/>
      <c r="N75" s="318"/>
      <c r="O75" s="1052">
        <f t="shared" si="20"/>
        <v>90000</v>
      </c>
      <c r="P75" s="559"/>
      <c r="Q75" s="336">
        <v>0</v>
      </c>
      <c r="R75" s="559"/>
      <c r="S75" s="336">
        <v>0</v>
      </c>
      <c r="T75" s="559"/>
      <c r="U75" s="335"/>
      <c r="V75" s="596" t="s">
        <v>611</v>
      </c>
      <c r="W75" s="597" t="s">
        <v>612</v>
      </c>
      <c r="X75" s="597" t="s">
        <v>392</v>
      </c>
      <c r="Z75" s="336">
        <f t="shared" si="35"/>
        <v>30000</v>
      </c>
      <c r="AA75" s="337">
        <f t="shared" si="35"/>
        <v>30000</v>
      </c>
      <c r="AB75" s="338">
        <f t="shared" ref="AB75:AB80" si="67">Z75-AA75</f>
        <v>0</v>
      </c>
      <c r="AC75" s="336">
        <f t="shared" si="36"/>
        <v>45000</v>
      </c>
      <c r="AD75" s="337">
        <f t="shared" si="36"/>
        <v>0</v>
      </c>
      <c r="AE75" s="338">
        <f t="shared" ref="AE75:AE80" si="68">AC75-AD75</f>
        <v>45000</v>
      </c>
      <c r="AF75" s="336">
        <f t="shared" si="37"/>
        <v>15000</v>
      </c>
      <c r="AG75" s="337">
        <f t="shared" si="37"/>
        <v>0</v>
      </c>
      <c r="AH75" s="338">
        <f t="shared" ref="AH75:AH80" si="69">AF75-AG75</f>
        <v>15000</v>
      </c>
      <c r="AI75" s="336">
        <f t="shared" si="38"/>
        <v>0</v>
      </c>
      <c r="AJ75" s="337">
        <f t="shared" si="38"/>
        <v>0</v>
      </c>
      <c r="AK75" s="338">
        <f t="shared" ref="AK75:AK80" si="70">AI75-AJ75</f>
        <v>0</v>
      </c>
      <c r="AL75" s="342"/>
      <c r="AM75" s="336">
        <f t="shared" si="39"/>
        <v>75000</v>
      </c>
      <c r="AN75" s="339">
        <f t="shared" si="39"/>
        <v>30000</v>
      </c>
      <c r="AO75" s="340">
        <f t="shared" ref="AO75:AO80" si="71">AM75-AN75</f>
        <v>45000</v>
      </c>
      <c r="AP75" s="336">
        <f t="shared" si="40"/>
        <v>90000</v>
      </c>
      <c r="AQ75" s="339">
        <f t="shared" si="40"/>
        <v>30000</v>
      </c>
      <c r="AR75" s="340">
        <f t="shared" ref="AR75:AR80" si="72">AP75-AQ75</f>
        <v>60000</v>
      </c>
      <c r="AS75" s="341">
        <f t="shared" si="21"/>
        <v>90000</v>
      </c>
      <c r="AT75" s="339">
        <f t="shared" si="21"/>
        <v>30000</v>
      </c>
      <c r="AU75" s="340">
        <f t="shared" ref="AU75:AU80" si="73">AS75-AT75</f>
        <v>60000</v>
      </c>
      <c r="AV75" s="589">
        <f t="shared" si="19"/>
        <v>0</v>
      </c>
      <c r="AW75" s="343"/>
      <c r="AX75" s="1098"/>
      <c r="AY75" s="345"/>
      <c r="AZ75" s="1098"/>
      <c r="BA75" s="345">
        <v>30000</v>
      </c>
      <c r="BB75" s="1120">
        <v>30000</v>
      </c>
      <c r="BC75" s="347">
        <v>15000</v>
      </c>
      <c r="BD75" s="348"/>
      <c r="BE75" s="349">
        <v>15000</v>
      </c>
      <c r="BF75" s="348"/>
      <c r="BG75" s="349">
        <v>15000</v>
      </c>
      <c r="BH75" s="350"/>
      <c r="BI75" s="351">
        <v>15000</v>
      </c>
      <c r="BJ75" s="352"/>
      <c r="BK75" s="337"/>
      <c r="BL75" s="352"/>
      <c r="BM75" s="337"/>
      <c r="BN75" s="353"/>
      <c r="BO75" s="354"/>
      <c r="BP75" s="355"/>
      <c r="BQ75" s="356"/>
      <c r="BR75" s="355"/>
      <c r="BS75" s="356"/>
      <c r="BT75" s="357"/>
    </row>
    <row r="76" spans="1:72" s="313" customFormat="1" ht="25.5" outlineLevel="1">
      <c r="A76" s="287">
        <v>66</v>
      </c>
      <c r="B76" s="1145" t="s">
        <v>837</v>
      </c>
      <c r="C76" s="840"/>
      <c r="D76" s="841"/>
      <c r="E76" s="839"/>
      <c r="F76" s="821" t="s">
        <v>7</v>
      </c>
      <c r="G76" s="314">
        <v>4</v>
      </c>
      <c r="H76" s="739" t="s">
        <v>71</v>
      </c>
      <c r="I76" s="739">
        <v>244</v>
      </c>
      <c r="J76" s="740">
        <v>226</v>
      </c>
      <c r="K76" s="533" t="s">
        <v>838</v>
      </c>
      <c r="L76" s="1025">
        <v>90000</v>
      </c>
      <c r="M76" s="318"/>
      <c r="N76" s="318"/>
      <c r="O76" s="1052">
        <f t="shared" ref="O76" si="74">L76+N76</f>
        <v>90000</v>
      </c>
      <c r="P76" s="559"/>
      <c r="Q76" s="336">
        <v>180000</v>
      </c>
      <c r="R76" s="559"/>
      <c r="S76" s="336">
        <v>180000</v>
      </c>
      <c r="T76" s="559"/>
      <c r="U76" s="335"/>
      <c r="V76" s="596" t="s">
        <v>471</v>
      </c>
      <c r="W76" s="811" t="s">
        <v>481</v>
      </c>
      <c r="X76" s="811"/>
      <c r="Z76" s="336">
        <f t="shared" ref="Z76" si="75">AW76+AY76+BA76</f>
        <v>0</v>
      </c>
      <c r="AA76" s="337">
        <f t="shared" ref="AA76" si="76">AX76+AZ76+BB76</f>
        <v>0</v>
      </c>
      <c r="AB76" s="338">
        <f t="shared" si="67"/>
        <v>0</v>
      </c>
      <c r="AC76" s="336">
        <f t="shared" ref="AC76" si="77">BC76+BE76+BG76</f>
        <v>0</v>
      </c>
      <c r="AD76" s="337">
        <f t="shared" ref="AD76" si="78">BD76+BF76+BH76</f>
        <v>0</v>
      </c>
      <c r="AE76" s="338">
        <f t="shared" si="68"/>
        <v>0</v>
      </c>
      <c r="AF76" s="336">
        <f t="shared" ref="AF76" si="79">BI76+BK76+BM76</f>
        <v>29636</v>
      </c>
      <c r="AG76" s="337">
        <f t="shared" ref="AG76" si="80">BJ76+BL76+BN76</f>
        <v>0</v>
      </c>
      <c r="AH76" s="338">
        <f t="shared" si="69"/>
        <v>29636</v>
      </c>
      <c r="AI76" s="336">
        <f t="shared" ref="AI76" si="81">BO76+BQ76+BS76</f>
        <v>59272</v>
      </c>
      <c r="AJ76" s="337">
        <f t="shared" ref="AJ76" si="82">BP76+BR76+BT76</f>
        <v>14818</v>
      </c>
      <c r="AK76" s="338">
        <f t="shared" si="70"/>
        <v>44454</v>
      </c>
      <c r="AL76" s="342"/>
      <c r="AM76" s="336">
        <f t="shared" ref="AM76" si="83">Z76+AC76</f>
        <v>0</v>
      </c>
      <c r="AN76" s="339">
        <f t="shared" ref="AN76" si="84">AA76+AD76</f>
        <v>0</v>
      </c>
      <c r="AO76" s="340">
        <f t="shared" si="71"/>
        <v>0</v>
      </c>
      <c r="AP76" s="336">
        <f t="shared" ref="AP76" si="85">Z76+AC76+AF76</f>
        <v>29636</v>
      </c>
      <c r="AQ76" s="339">
        <f t="shared" ref="AQ76" si="86">AA76+AD76+AG76</f>
        <v>0</v>
      </c>
      <c r="AR76" s="340">
        <f t="shared" si="72"/>
        <v>29636</v>
      </c>
      <c r="AS76" s="341">
        <f t="shared" ref="AS76" si="87">Z76+AC76+AF76+AI76</f>
        <v>88908</v>
      </c>
      <c r="AT76" s="339">
        <f t="shared" ref="AT76" si="88">AA76+AD76+AG76+AJ76</f>
        <v>14818</v>
      </c>
      <c r="AU76" s="340">
        <f t="shared" si="73"/>
        <v>74090</v>
      </c>
      <c r="AV76" s="803">
        <f t="shared" ref="AV76" si="89">L76-AS76</f>
        <v>1092</v>
      </c>
      <c r="AW76" s="343"/>
      <c r="AX76" s="1098"/>
      <c r="AY76" s="345"/>
      <c r="AZ76" s="1098"/>
      <c r="BA76" s="345"/>
      <c r="BB76" s="1120"/>
      <c r="BC76" s="347"/>
      <c r="BD76" s="348"/>
      <c r="BE76" s="349"/>
      <c r="BF76" s="348"/>
      <c r="BG76" s="349"/>
      <c r="BH76" s="350"/>
      <c r="BI76" s="351"/>
      <c r="BJ76" s="352"/>
      <c r="BK76" s="337">
        <v>14818</v>
      </c>
      <c r="BL76" s="352"/>
      <c r="BM76" s="337">
        <v>14818</v>
      </c>
      <c r="BN76" s="353"/>
      <c r="BO76" s="354">
        <v>14818</v>
      </c>
      <c r="BP76" s="355"/>
      <c r="BQ76" s="356">
        <v>14818</v>
      </c>
      <c r="BR76" s="355">
        <v>14818</v>
      </c>
      <c r="BS76" s="356">
        <f>14818*2</f>
        <v>29636</v>
      </c>
      <c r="BT76" s="357"/>
    </row>
    <row r="77" spans="1:72" s="313" customFormat="1" ht="38.25" outlineLevel="1">
      <c r="A77" s="287">
        <v>67</v>
      </c>
      <c r="B77" s="933"/>
      <c r="C77" s="840"/>
      <c r="D77" s="841"/>
      <c r="E77" s="839"/>
      <c r="F77" s="821" t="s">
        <v>7</v>
      </c>
      <c r="G77" s="314">
        <v>4</v>
      </c>
      <c r="H77" s="739" t="s">
        <v>71</v>
      </c>
      <c r="I77" s="739">
        <v>244</v>
      </c>
      <c r="J77" s="740">
        <v>226</v>
      </c>
      <c r="K77" s="533" t="s">
        <v>371</v>
      </c>
      <c r="L77" s="1025">
        <f>9933.32+691.92</f>
        <v>10625.24</v>
      </c>
      <c r="M77" s="318"/>
      <c r="N77" s="318"/>
      <c r="O77" s="1052">
        <f t="shared" si="20"/>
        <v>10625.24</v>
      </c>
      <c r="P77" s="559"/>
      <c r="Q77" s="336">
        <v>9933.32</v>
      </c>
      <c r="R77" s="559"/>
      <c r="S77" s="336">
        <v>9933.32</v>
      </c>
      <c r="T77" s="559"/>
      <c r="U77" s="335"/>
      <c r="V77" s="388" t="s">
        <v>384</v>
      </c>
      <c r="W77" s="320"/>
      <c r="X77" s="320"/>
      <c r="Z77" s="336">
        <f t="shared" si="35"/>
        <v>10625.24</v>
      </c>
      <c r="AA77" s="337">
        <f t="shared" si="35"/>
        <v>0</v>
      </c>
      <c r="AB77" s="338">
        <f t="shared" si="67"/>
        <v>10625.24</v>
      </c>
      <c r="AC77" s="336">
        <f t="shared" si="36"/>
        <v>0</v>
      </c>
      <c r="AD77" s="337">
        <f t="shared" si="36"/>
        <v>0</v>
      </c>
      <c r="AE77" s="338">
        <f t="shared" si="68"/>
        <v>0</v>
      </c>
      <c r="AF77" s="336">
        <f t="shared" si="37"/>
        <v>0</v>
      </c>
      <c r="AG77" s="337">
        <f t="shared" si="37"/>
        <v>0</v>
      </c>
      <c r="AH77" s="338">
        <f t="shared" si="69"/>
        <v>0</v>
      </c>
      <c r="AI77" s="336">
        <f t="shared" si="38"/>
        <v>0</v>
      </c>
      <c r="AJ77" s="337">
        <f t="shared" si="38"/>
        <v>0</v>
      </c>
      <c r="AK77" s="338">
        <f t="shared" si="70"/>
        <v>0</v>
      </c>
      <c r="AL77" s="342"/>
      <c r="AM77" s="336">
        <f t="shared" si="39"/>
        <v>10625.24</v>
      </c>
      <c r="AN77" s="339">
        <f t="shared" si="39"/>
        <v>0</v>
      </c>
      <c r="AO77" s="340">
        <f t="shared" si="71"/>
        <v>10625.24</v>
      </c>
      <c r="AP77" s="336">
        <f t="shared" si="40"/>
        <v>10625.24</v>
      </c>
      <c r="AQ77" s="339">
        <f t="shared" si="40"/>
        <v>0</v>
      </c>
      <c r="AR77" s="340">
        <f t="shared" si="72"/>
        <v>10625.24</v>
      </c>
      <c r="AS77" s="341">
        <f t="shared" ref="AS77:AT93" si="90">Z77+AC77+AF77+AI77</f>
        <v>10625.24</v>
      </c>
      <c r="AT77" s="339">
        <f t="shared" si="90"/>
        <v>0</v>
      </c>
      <c r="AU77" s="340">
        <f t="shared" si="73"/>
        <v>10625.24</v>
      </c>
      <c r="AV77" s="589">
        <f t="shared" si="19"/>
        <v>0</v>
      </c>
      <c r="AW77" s="343"/>
      <c r="AX77" s="1098"/>
      <c r="AY77" s="345">
        <f>9933.32+691.92</f>
        <v>10625.24</v>
      </c>
      <c r="AZ77" s="1098"/>
      <c r="BA77" s="345"/>
      <c r="BB77" s="1120"/>
      <c r="BC77" s="347"/>
      <c r="BD77" s="348"/>
      <c r="BE77" s="349"/>
      <c r="BF77" s="348"/>
      <c r="BG77" s="349"/>
      <c r="BH77" s="350"/>
      <c r="BI77" s="351"/>
      <c r="BJ77" s="352"/>
      <c r="BK77" s="337"/>
      <c r="BL77" s="352"/>
      <c r="BM77" s="337"/>
      <c r="BN77" s="353"/>
      <c r="BO77" s="354"/>
      <c r="BP77" s="355"/>
      <c r="BQ77" s="356"/>
      <c r="BR77" s="355"/>
      <c r="BS77" s="356"/>
      <c r="BT77" s="357"/>
    </row>
    <row r="78" spans="1:72" s="313" customFormat="1" ht="38.25" outlineLevel="1">
      <c r="A78" s="287">
        <v>68</v>
      </c>
      <c r="B78" s="933"/>
      <c r="C78" s="840"/>
      <c r="D78" s="841"/>
      <c r="E78" s="839"/>
      <c r="F78" s="821" t="s">
        <v>7</v>
      </c>
      <c r="G78" s="314">
        <v>4</v>
      </c>
      <c r="H78" s="739" t="s">
        <v>71</v>
      </c>
      <c r="I78" s="739">
        <v>244</v>
      </c>
      <c r="J78" s="740">
        <v>226</v>
      </c>
      <c r="K78" s="533" t="s">
        <v>396</v>
      </c>
      <c r="L78" s="1025">
        <f>8333.33*12</f>
        <v>99999.96</v>
      </c>
      <c r="M78" s="318"/>
      <c r="N78" s="318"/>
      <c r="O78" s="1052">
        <f t="shared" si="20"/>
        <v>99999.96</v>
      </c>
      <c r="P78" s="559"/>
      <c r="Q78" s="336">
        <v>99999.96</v>
      </c>
      <c r="R78" s="559"/>
      <c r="S78" s="336">
        <v>99999.96</v>
      </c>
      <c r="T78" s="559"/>
      <c r="U78" s="335"/>
      <c r="V78" s="596" t="s">
        <v>331</v>
      </c>
      <c r="W78" s="597" t="s">
        <v>386</v>
      </c>
      <c r="X78" s="597" t="s">
        <v>381</v>
      </c>
      <c r="Z78" s="336">
        <f t="shared" si="35"/>
        <v>16666.66</v>
      </c>
      <c r="AA78" s="337">
        <f t="shared" si="35"/>
        <v>16666.66</v>
      </c>
      <c r="AB78" s="338">
        <f t="shared" si="67"/>
        <v>0</v>
      </c>
      <c r="AC78" s="336">
        <f t="shared" si="36"/>
        <v>24999.99</v>
      </c>
      <c r="AD78" s="337">
        <f t="shared" si="36"/>
        <v>0</v>
      </c>
      <c r="AE78" s="338">
        <f t="shared" si="68"/>
        <v>24999.99</v>
      </c>
      <c r="AF78" s="336">
        <f t="shared" si="37"/>
        <v>24999.99</v>
      </c>
      <c r="AG78" s="337">
        <f t="shared" si="37"/>
        <v>0</v>
      </c>
      <c r="AH78" s="338">
        <f t="shared" si="69"/>
        <v>24999.99</v>
      </c>
      <c r="AI78" s="336">
        <f t="shared" si="38"/>
        <v>33333.32</v>
      </c>
      <c r="AJ78" s="337">
        <f t="shared" si="38"/>
        <v>0</v>
      </c>
      <c r="AK78" s="338">
        <f t="shared" si="70"/>
        <v>33333.32</v>
      </c>
      <c r="AL78" s="342"/>
      <c r="AM78" s="336">
        <f t="shared" si="39"/>
        <v>41666.65</v>
      </c>
      <c r="AN78" s="339">
        <f t="shared" si="39"/>
        <v>16666.66</v>
      </c>
      <c r="AO78" s="340">
        <f t="shared" si="71"/>
        <v>24999.99</v>
      </c>
      <c r="AP78" s="336">
        <f t="shared" si="40"/>
        <v>66666.64</v>
      </c>
      <c r="AQ78" s="339">
        <f t="shared" si="40"/>
        <v>16666.66</v>
      </c>
      <c r="AR78" s="340">
        <f t="shared" si="72"/>
        <v>49999.98</v>
      </c>
      <c r="AS78" s="341">
        <f t="shared" si="90"/>
        <v>99999.96</v>
      </c>
      <c r="AT78" s="339">
        <f t="shared" si="90"/>
        <v>16666.66</v>
      </c>
      <c r="AU78" s="340">
        <f t="shared" si="73"/>
        <v>83333.3</v>
      </c>
      <c r="AV78" s="589">
        <f t="shared" si="19"/>
        <v>0</v>
      </c>
      <c r="AW78" s="343"/>
      <c r="AX78" s="1098"/>
      <c r="AY78" s="345">
        <v>8333.33</v>
      </c>
      <c r="AZ78" s="1098">
        <v>8333.33</v>
      </c>
      <c r="BA78" s="345">
        <v>8333.33</v>
      </c>
      <c r="BB78" s="1120">
        <v>8333.33</v>
      </c>
      <c r="BC78" s="347">
        <v>8333.33</v>
      </c>
      <c r="BD78" s="348"/>
      <c r="BE78" s="349">
        <v>8333.33</v>
      </c>
      <c r="BF78" s="348"/>
      <c r="BG78" s="1135">
        <v>8333.33</v>
      </c>
      <c r="BH78" s="350"/>
      <c r="BI78" s="351">
        <v>8333.33</v>
      </c>
      <c r="BJ78" s="352"/>
      <c r="BK78" s="337">
        <v>8333.33</v>
      </c>
      <c r="BL78" s="352"/>
      <c r="BM78" s="337">
        <v>8333.33</v>
      </c>
      <c r="BN78" s="353"/>
      <c r="BO78" s="354">
        <v>8333.33</v>
      </c>
      <c r="BP78" s="355"/>
      <c r="BQ78" s="356">
        <v>8333.33</v>
      </c>
      <c r="BR78" s="355"/>
      <c r="BS78" s="356">
        <f>8333.33*2</f>
        <v>16666.66</v>
      </c>
      <c r="BT78" s="357"/>
    </row>
    <row r="79" spans="1:72" s="313" customFormat="1" ht="38.25" outlineLevel="1">
      <c r="A79" s="287">
        <v>69</v>
      </c>
      <c r="B79" s="933"/>
      <c r="C79" s="840"/>
      <c r="D79" s="841"/>
      <c r="E79" s="839"/>
      <c r="F79" s="821" t="s">
        <v>7</v>
      </c>
      <c r="G79" s="314">
        <v>4</v>
      </c>
      <c r="H79" s="739" t="s">
        <v>71</v>
      </c>
      <c r="I79" s="739">
        <v>244</v>
      </c>
      <c r="J79" s="740">
        <v>226</v>
      </c>
      <c r="K79" s="533" t="s">
        <v>347</v>
      </c>
      <c r="L79" s="1025">
        <v>0</v>
      </c>
      <c r="M79" s="318"/>
      <c r="N79" s="318"/>
      <c r="O79" s="1052">
        <f t="shared" si="20"/>
        <v>0</v>
      </c>
      <c r="P79" s="559"/>
      <c r="Q79" s="336">
        <v>0</v>
      </c>
      <c r="R79" s="559"/>
      <c r="S79" s="336">
        <v>0</v>
      </c>
      <c r="T79" s="559"/>
      <c r="U79" s="335"/>
      <c r="V79" s="320" t="s">
        <v>338</v>
      </c>
      <c r="W79" s="388" t="s">
        <v>339</v>
      </c>
      <c r="X79" s="388" t="s">
        <v>340</v>
      </c>
      <c r="Z79" s="336">
        <f t="shared" si="35"/>
        <v>0</v>
      </c>
      <c r="AA79" s="337">
        <f t="shared" si="35"/>
        <v>0</v>
      </c>
      <c r="AB79" s="338">
        <f t="shared" si="67"/>
        <v>0</v>
      </c>
      <c r="AC79" s="336">
        <f t="shared" si="36"/>
        <v>0</v>
      </c>
      <c r="AD79" s="337">
        <f t="shared" si="36"/>
        <v>0</v>
      </c>
      <c r="AE79" s="338">
        <f t="shared" si="68"/>
        <v>0</v>
      </c>
      <c r="AF79" s="336">
        <f t="shared" si="37"/>
        <v>0</v>
      </c>
      <c r="AG79" s="337">
        <f t="shared" si="37"/>
        <v>0</v>
      </c>
      <c r="AH79" s="338">
        <f t="shared" si="69"/>
        <v>0</v>
      </c>
      <c r="AI79" s="336">
        <f t="shared" si="38"/>
        <v>0</v>
      </c>
      <c r="AJ79" s="337">
        <f t="shared" si="38"/>
        <v>0</v>
      </c>
      <c r="AK79" s="338">
        <f t="shared" si="70"/>
        <v>0</v>
      </c>
      <c r="AL79" s="342"/>
      <c r="AM79" s="336">
        <f t="shared" si="39"/>
        <v>0</v>
      </c>
      <c r="AN79" s="339">
        <f t="shared" si="39"/>
        <v>0</v>
      </c>
      <c r="AO79" s="340">
        <f t="shared" si="71"/>
        <v>0</v>
      </c>
      <c r="AP79" s="336">
        <f t="shared" si="40"/>
        <v>0</v>
      </c>
      <c r="AQ79" s="339">
        <f t="shared" si="40"/>
        <v>0</v>
      </c>
      <c r="AR79" s="340">
        <f t="shared" si="72"/>
        <v>0</v>
      </c>
      <c r="AS79" s="341">
        <f t="shared" si="90"/>
        <v>0</v>
      </c>
      <c r="AT79" s="339">
        <f t="shared" si="90"/>
        <v>0</v>
      </c>
      <c r="AU79" s="340">
        <f t="shared" si="73"/>
        <v>0</v>
      </c>
      <c r="AV79" s="589">
        <f t="shared" si="19"/>
        <v>0</v>
      </c>
      <c r="AW79" s="343"/>
      <c r="AX79" s="1098"/>
      <c r="AY79" s="345"/>
      <c r="AZ79" s="1098"/>
      <c r="BA79" s="345"/>
      <c r="BB79" s="1120"/>
      <c r="BC79" s="347"/>
      <c r="BD79" s="348"/>
      <c r="BE79" s="349"/>
      <c r="BF79" s="348"/>
      <c r="BG79" s="349"/>
      <c r="BH79" s="350"/>
      <c r="BI79" s="351"/>
      <c r="BJ79" s="352"/>
      <c r="BK79" s="337"/>
      <c r="BL79" s="352"/>
      <c r="BM79" s="337"/>
      <c r="BN79" s="353"/>
      <c r="BO79" s="354"/>
      <c r="BP79" s="355"/>
      <c r="BQ79" s="356"/>
      <c r="BR79" s="355"/>
      <c r="BS79" s="356"/>
      <c r="BT79" s="357"/>
    </row>
    <row r="80" spans="1:72" s="313" customFormat="1" ht="25.5" outlineLevel="1">
      <c r="A80" s="287">
        <v>70</v>
      </c>
      <c r="B80" s="933"/>
      <c r="C80" s="840"/>
      <c r="D80" s="841"/>
      <c r="E80" s="839"/>
      <c r="F80" s="821" t="s">
        <v>7</v>
      </c>
      <c r="G80" s="314">
        <v>4</v>
      </c>
      <c r="H80" s="739" t="s">
        <v>71</v>
      </c>
      <c r="I80" s="739">
        <v>244</v>
      </c>
      <c r="J80" s="740">
        <v>226</v>
      </c>
      <c r="K80" s="534" t="s">
        <v>353</v>
      </c>
      <c r="L80" s="1025"/>
      <c r="M80" s="318"/>
      <c r="N80" s="318"/>
      <c r="O80" s="1052">
        <f t="shared" si="20"/>
        <v>0</v>
      </c>
      <c r="P80" s="559"/>
      <c r="Q80" s="336"/>
      <c r="R80" s="559"/>
      <c r="S80" s="336"/>
      <c r="T80" s="559"/>
      <c r="U80" s="335"/>
      <c r="V80" s="320" t="s">
        <v>335</v>
      </c>
      <c r="W80" s="388" t="s">
        <v>336</v>
      </c>
      <c r="X80" s="388" t="s">
        <v>337</v>
      </c>
      <c r="Z80" s="336">
        <f>AW80+AY80+BA80</f>
        <v>0</v>
      </c>
      <c r="AA80" s="337">
        <f>AX80+AZ80+BB80</f>
        <v>0</v>
      </c>
      <c r="AB80" s="338">
        <f t="shared" si="67"/>
        <v>0</v>
      </c>
      <c r="AC80" s="336">
        <f>BC80+BE80+BG80</f>
        <v>0</v>
      </c>
      <c r="AD80" s="337">
        <f>BD80+BF80+BH80</f>
        <v>0</v>
      </c>
      <c r="AE80" s="338">
        <f t="shared" si="68"/>
        <v>0</v>
      </c>
      <c r="AF80" s="336">
        <f>BI80+BK80+BM80</f>
        <v>0</v>
      </c>
      <c r="AG80" s="337">
        <f>BJ80+BL80+BN80</f>
        <v>0</v>
      </c>
      <c r="AH80" s="338">
        <f t="shared" si="69"/>
        <v>0</v>
      </c>
      <c r="AI80" s="336">
        <f>BO80+BQ80+BS80</f>
        <v>0</v>
      </c>
      <c r="AJ80" s="337">
        <f>BP80+BR80+BT80</f>
        <v>0</v>
      </c>
      <c r="AK80" s="338">
        <f t="shared" si="70"/>
        <v>0</v>
      </c>
      <c r="AL80" s="342"/>
      <c r="AM80" s="336">
        <f>Z80+AC80</f>
        <v>0</v>
      </c>
      <c r="AN80" s="339">
        <f>AA80+AD80</f>
        <v>0</v>
      </c>
      <c r="AO80" s="340">
        <f t="shared" si="71"/>
        <v>0</v>
      </c>
      <c r="AP80" s="336">
        <f>Z80+AC80+AF80</f>
        <v>0</v>
      </c>
      <c r="AQ80" s="339">
        <f>AA80+AD80+AG80</f>
        <v>0</v>
      </c>
      <c r="AR80" s="340">
        <f t="shared" si="72"/>
        <v>0</v>
      </c>
      <c r="AS80" s="341">
        <f>Z80+AC80+AF80+AI80</f>
        <v>0</v>
      </c>
      <c r="AT80" s="339">
        <f>AA80+AD80+AG80+AJ80</f>
        <v>0</v>
      </c>
      <c r="AU80" s="340">
        <f t="shared" si="73"/>
        <v>0</v>
      </c>
      <c r="AV80" s="589">
        <f t="shared" si="19"/>
        <v>0</v>
      </c>
      <c r="AW80" s="343"/>
      <c r="AX80" s="1098"/>
      <c r="AY80" s="345"/>
      <c r="AZ80" s="1098"/>
      <c r="BA80" s="345"/>
      <c r="BB80" s="1120"/>
      <c r="BC80" s="347"/>
      <c r="BD80" s="348"/>
      <c r="BE80" s="349"/>
      <c r="BF80" s="348"/>
      <c r="BG80" s="349"/>
      <c r="BH80" s="350"/>
      <c r="BI80" s="351"/>
      <c r="BJ80" s="352"/>
      <c r="BK80" s="337"/>
      <c r="BL80" s="352"/>
      <c r="BM80" s="337"/>
      <c r="BN80" s="353"/>
      <c r="BO80" s="354"/>
      <c r="BP80" s="355"/>
      <c r="BQ80" s="356"/>
      <c r="BR80" s="355"/>
      <c r="BS80" s="356"/>
      <c r="BT80" s="357"/>
    </row>
    <row r="81" spans="1:72" s="965" customFormat="1" ht="48.75" customHeight="1">
      <c r="A81" s="287">
        <v>71</v>
      </c>
      <c r="B81" s="952"/>
      <c r="C81" s="953" t="s">
        <v>377</v>
      </c>
      <c r="D81" s="954"/>
      <c r="E81" s="955" t="s">
        <v>201</v>
      </c>
      <c r="F81" s="956" t="s">
        <v>7</v>
      </c>
      <c r="G81" s="957">
        <v>4</v>
      </c>
      <c r="H81" s="957" t="s">
        <v>266</v>
      </c>
      <c r="I81" s="957">
        <v>244</v>
      </c>
      <c r="J81" s="958">
        <v>226</v>
      </c>
      <c r="K81" s="959" t="s">
        <v>307</v>
      </c>
      <c r="L81" s="1027">
        <v>2100099.31</v>
      </c>
      <c r="M81" s="961"/>
      <c r="N81" s="961"/>
      <c r="O81" s="1061">
        <f t="shared" si="20"/>
        <v>2100099.31</v>
      </c>
      <c r="P81" s="962"/>
      <c r="Q81" s="960">
        <f>Q90</f>
        <v>2256788.4500000002</v>
      </c>
      <c r="R81" s="962"/>
      <c r="S81" s="960">
        <f>S90</f>
        <v>2150208.7400000002</v>
      </c>
      <c r="T81" s="962"/>
      <c r="U81" s="963"/>
      <c r="V81" s="964"/>
      <c r="W81" s="964"/>
      <c r="X81" s="964"/>
      <c r="Z81" s="960">
        <f t="shared" si="35"/>
        <v>340187.83</v>
      </c>
      <c r="AA81" s="961">
        <f t="shared" si="35"/>
        <v>340187.83</v>
      </c>
      <c r="AB81" s="966">
        <f t="shared" si="6"/>
        <v>0</v>
      </c>
      <c r="AC81" s="960">
        <f t="shared" si="36"/>
        <v>559569.35</v>
      </c>
      <c r="AD81" s="961">
        <f t="shared" si="36"/>
        <v>0</v>
      </c>
      <c r="AE81" s="966">
        <f t="shared" si="8"/>
        <v>559569.35</v>
      </c>
      <c r="AF81" s="960">
        <f t="shared" si="37"/>
        <v>340187.83</v>
      </c>
      <c r="AG81" s="961">
        <f t="shared" si="37"/>
        <v>0</v>
      </c>
      <c r="AH81" s="966">
        <f t="shared" si="10"/>
        <v>340187.83</v>
      </c>
      <c r="AI81" s="960">
        <f t="shared" si="38"/>
        <v>860154.3</v>
      </c>
      <c r="AJ81" s="961">
        <f t="shared" si="38"/>
        <v>0</v>
      </c>
      <c r="AK81" s="966">
        <f t="shared" si="12"/>
        <v>860154.3</v>
      </c>
      <c r="AL81" s="967"/>
      <c r="AM81" s="960">
        <f t="shared" si="39"/>
        <v>899757.18</v>
      </c>
      <c r="AN81" s="961">
        <f t="shared" si="39"/>
        <v>340187.83</v>
      </c>
      <c r="AO81" s="966">
        <f t="shared" si="14"/>
        <v>559569.35</v>
      </c>
      <c r="AP81" s="960">
        <f t="shared" si="40"/>
        <v>1239945.01</v>
      </c>
      <c r="AQ81" s="961">
        <f t="shared" si="40"/>
        <v>340187.83</v>
      </c>
      <c r="AR81" s="966">
        <f t="shared" si="16"/>
        <v>899757.18</v>
      </c>
      <c r="AS81" s="960">
        <f t="shared" si="90"/>
        <v>2100099.31</v>
      </c>
      <c r="AT81" s="961">
        <f t="shared" si="17"/>
        <v>340187.83</v>
      </c>
      <c r="AU81" s="966">
        <f t="shared" si="18"/>
        <v>1759911.48</v>
      </c>
      <c r="AV81" s="968">
        <f t="shared" si="19"/>
        <v>0</v>
      </c>
      <c r="AW81" s="960">
        <f t="shared" ref="AW81:BT81" si="91">SUM(AW89,AW82,AW98,AW101,AW110,AW114)</f>
        <v>0</v>
      </c>
      <c r="AX81" s="1109">
        <f t="shared" si="91"/>
        <v>0</v>
      </c>
      <c r="AY81" s="961">
        <f t="shared" si="91"/>
        <v>0</v>
      </c>
      <c r="AZ81" s="1109">
        <f t="shared" si="91"/>
        <v>0</v>
      </c>
      <c r="BA81" s="961">
        <f t="shared" si="91"/>
        <v>340187.83</v>
      </c>
      <c r="BB81" s="1127">
        <f t="shared" si="91"/>
        <v>340187.83</v>
      </c>
      <c r="BC81" s="960">
        <f t="shared" si="91"/>
        <v>25300</v>
      </c>
      <c r="BD81" s="961">
        <f t="shared" si="91"/>
        <v>0</v>
      </c>
      <c r="BE81" s="961">
        <f t="shared" si="91"/>
        <v>0</v>
      </c>
      <c r="BF81" s="961">
        <f t="shared" si="91"/>
        <v>0</v>
      </c>
      <c r="BG81" s="961">
        <f t="shared" si="91"/>
        <v>534269.35</v>
      </c>
      <c r="BH81" s="969">
        <f t="shared" si="91"/>
        <v>0</v>
      </c>
      <c r="BI81" s="960">
        <f t="shared" si="91"/>
        <v>0</v>
      </c>
      <c r="BJ81" s="961">
        <f t="shared" si="91"/>
        <v>0</v>
      </c>
      <c r="BK81" s="961">
        <f t="shared" si="91"/>
        <v>100000</v>
      </c>
      <c r="BL81" s="961">
        <f t="shared" si="91"/>
        <v>0</v>
      </c>
      <c r="BM81" s="961">
        <f t="shared" si="91"/>
        <v>240187.83</v>
      </c>
      <c r="BN81" s="969">
        <f t="shared" si="91"/>
        <v>0</v>
      </c>
      <c r="BO81" s="960">
        <f t="shared" si="91"/>
        <v>233059.9</v>
      </c>
      <c r="BP81" s="961">
        <f t="shared" si="91"/>
        <v>0</v>
      </c>
      <c r="BQ81" s="961">
        <f t="shared" si="91"/>
        <v>534034.63</v>
      </c>
      <c r="BR81" s="961">
        <f t="shared" si="91"/>
        <v>0</v>
      </c>
      <c r="BS81" s="961">
        <f t="shared" si="91"/>
        <v>93059.77</v>
      </c>
      <c r="BT81" s="966">
        <f t="shared" si="91"/>
        <v>0</v>
      </c>
    </row>
    <row r="82" spans="1:72" s="459" customFormat="1" ht="97.5" outlineLevel="1">
      <c r="A82" s="287">
        <v>72</v>
      </c>
      <c r="B82" s="933"/>
      <c r="C82" s="922" t="s">
        <v>378</v>
      </c>
      <c r="D82" s="854" t="s">
        <v>273</v>
      </c>
      <c r="E82" s="855"/>
      <c r="F82" s="923" t="s">
        <v>7</v>
      </c>
      <c r="G82" s="462">
        <v>4</v>
      </c>
      <c r="H82" s="741" t="s">
        <v>70</v>
      </c>
      <c r="I82" s="741">
        <v>244</v>
      </c>
      <c r="J82" s="742">
        <v>226</v>
      </c>
      <c r="K82" s="535" t="s">
        <v>492</v>
      </c>
      <c r="L82" s="1028">
        <f>SUM(L83:L88)</f>
        <v>340187.83</v>
      </c>
      <c r="M82" s="352"/>
      <c r="N82" s="352"/>
      <c r="O82" s="1062">
        <f t="shared" si="20"/>
        <v>340187.83</v>
      </c>
      <c r="P82" s="924"/>
      <c r="Q82" s="464"/>
      <c r="R82" s="924"/>
      <c r="S82" s="464"/>
      <c r="T82" s="924"/>
      <c r="U82" s="925"/>
      <c r="V82" s="926"/>
      <c r="W82" s="926"/>
      <c r="X82" s="926"/>
      <c r="Y82" s="927"/>
      <c r="Z82" s="928">
        <f t="shared" si="35"/>
        <v>340187.83</v>
      </c>
      <c r="AA82" s="929">
        <f t="shared" si="35"/>
        <v>340187.83</v>
      </c>
      <c r="AB82" s="930">
        <f t="shared" ref="AB82:AB178" si="92">Z82-AA82</f>
        <v>0</v>
      </c>
      <c r="AC82" s="928">
        <f t="shared" si="36"/>
        <v>0</v>
      </c>
      <c r="AD82" s="929">
        <f t="shared" si="36"/>
        <v>0</v>
      </c>
      <c r="AE82" s="930">
        <f t="shared" ref="AE82:AE178" si="93">AC82-AD82</f>
        <v>0</v>
      </c>
      <c r="AF82" s="928">
        <f t="shared" si="37"/>
        <v>0</v>
      </c>
      <c r="AG82" s="929">
        <f t="shared" si="37"/>
        <v>0</v>
      </c>
      <c r="AH82" s="930">
        <f t="shared" ref="AH82:AH178" si="94">AF82-AG82</f>
        <v>0</v>
      </c>
      <c r="AI82" s="928">
        <f t="shared" si="38"/>
        <v>0</v>
      </c>
      <c r="AJ82" s="929">
        <f t="shared" si="38"/>
        <v>0</v>
      </c>
      <c r="AK82" s="930">
        <f t="shared" ref="AK82:AK178" si="95">AI82-AJ82</f>
        <v>0</v>
      </c>
      <c r="AL82" s="931"/>
      <c r="AM82" s="464">
        <f t="shared" si="39"/>
        <v>340187.83</v>
      </c>
      <c r="AN82" s="352">
        <f t="shared" si="39"/>
        <v>340187.83</v>
      </c>
      <c r="AO82" s="465">
        <f t="shared" ref="AO82:AO178" si="96">AM82-AN82</f>
        <v>0</v>
      </c>
      <c r="AP82" s="464">
        <f t="shared" si="40"/>
        <v>340187.83</v>
      </c>
      <c r="AQ82" s="352">
        <f t="shared" si="40"/>
        <v>340187.83</v>
      </c>
      <c r="AR82" s="465">
        <f t="shared" ref="AR82:AR178" si="97">AP82-AQ82</f>
        <v>0</v>
      </c>
      <c r="AS82" s="464">
        <f t="shared" si="90"/>
        <v>340187.83</v>
      </c>
      <c r="AT82" s="352">
        <f t="shared" si="90"/>
        <v>340187.83</v>
      </c>
      <c r="AU82" s="465">
        <f t="shared" ref="AU82:AU176" si="98">AS82-AT82</f>
        <v>0</v>
      </c>
      <c r="AV82" s="600">
        <f t="shared" ref="AV82:AV184" si="99">L82-AS82</f>
        <v>0</v>
      </c>
      <c r="AW82" s="464">
        <f t="shared" ref="AW82:BT82" si="100">SUM(AW83:AW88)</f>
        <v>0</v>
      </c>
      <c r="AX82" s="1110">
        <f t="shared" si="100"/>
        <v>0</v>
      </c>
      <c r="AY82" s="352">
        <f t="shared" si="100"/>
        <v>0</v>
      </c>
      <c r="AZ82" s="1110">
        <f t="shared" si="100"/>
        <v>0</v>
      </c>
      <c r="BA82" s="352">
        <f t="shared" si="100"/>
        <v>340187.83</v>
      </c>
      <c r="BB82" s="1128">
        <f t="shared" si="100"/>
        <v>340187.83</v>
      </c>
      <c r="BC82" s="464">
        <f t="shared" si="100"/>
        <v>0</v>
      </c>
      <c r="BD82" s="352">
        <f t="shared" si="100"/>
        <v>0</v>
      </c>
      <c r="BE82" s="352">
        <f t="shared" si="100"/>
        <v>0</v>
      </c>
      <c r="BF82" s="352">
        <f t="shared" si="100"/>
        <v>0</v>
      </c>
      <c r="BG82" s="352">
        <f t="shared" si="100"/>
        <v>0</v>
      </c>
      <c r="BH82" s="353">
        <f t="shared" si="100"/>
        <v>0</v>
      </c>
      <c r="BI82" s="464">
        <f t="shared" si="100"/>
        <v>0</v>
      </c>
      <c r="BJ82" s="352">
        <f t="shared" si="100"/>
        <v>0</v>
      </c>
      <c r="BK82" s="352">
        <f t="shared" si="100"/>
        <v>0</v>
      </c>
      <c r="BL82" s="352">
        <f t="shared" si="100"/>
        <v>0</v>
      </c>
      <c r="BM82" s="352">
        <f t="shared" si="100"/>
        <v>0</v>
      </c>
      <c r="BN82" s="353">
        <f t="shared" si="100"/>
        <v>0</v>
      </c>
      <c r="BO82" s="464">
        <f t="shared" si="100"/>
        <v>0</v>
      </c>
      <c r="BP82" s="352">
        <f t="shared" si="100"/>
        <v>0</v>
      </c>
      <c r="BQ82" s="352">
        <f t="shared" si="100"/>
        <v>0</v>
      </c>
      <c r="BR82" s="352">
        <f t="shared" si="100"/>
        <v>0</v>
      </c>
      <c r="BS82" s="352">
        <f t="shared" si="100"/>
        <v>0</v>
      </c>
      <c r="BT82" s="465">
        <f t="shared" si="100"/>
        <v>0</v>
      </c>
    </row>
    <row r="83" spans="1:72" s="399" customFormat="1" ht="38.25" customHeight="1" outlineLevel="2">
      <c r="A83" s="287">
        <v>73</v>
      </c>
      <c r="B83" s="933"/>
      <c r="C83" s="859"/>
      <c r="D83" s="841" t="s">
        <v>273</v>
      </c>
      <c r="E83" s="860"/>
      <c r="F83" s="829" t="s">
        <v>7</v>
      </c>
      <c r="G83" s="400">
        <v>4</v>
      </c>
      <c r="H83" s="747" t="s">
        <v>70</v>
      </c>
      <c r="I83" s="747">
        <v>244</v>
      </c>
      <c r="J83" s="748">
        <v>226</v>
      </c>
      <c r="K83" s="538" t="s">
        <v>493</v>
      </c>
      <c r="L83" s="1029">
        <v>36399</v>
      </c>
      <c r="M83" s="403"/>
      <c r="N83" s="403"/>
      <c r="O83" s="1063">
        <f t="shared" si="20"/>
        <v>36399</v>
      </c>
      <c r="P83" s="565"/>
      <c r="Q83" s="406"/>
      <c r="R83" s="565"/>
      <c r="S83" s="406"/>
      <c r="T83" s="565"/>
      <c r="U83" s="428"/>
      <c r="V83" s="597" t="s">
        <v>494</v>
      </c>
      <c r="W83" s="597" t="s">
        <v>539</v>
      </c>
      <c r="X83" s="597" t="s">
        <v>540</v>
      </c>
      <c r="Z83" s="406">
        <f t="shared" si="35"/>
        <v>36399</v>
      </c>
      <c r="AA83" s="407">
        <f t="shared" si="35"/>
        <v>36399</v>
      </c>
      <c r="AB83" s="408">
        <f t="shared" si="92"/>
        <v>0</v>
      </c>
      <c r="AC83" s="406">
        <f t="shared" si="36"/>
        <v>0</v>
      </c>
      <c r="AD83" s="407">
        <f t="shared" si="36"/>
        <v>0</v>
      </c>
      <c r="AE83" s="408">
        <f t="shared" si="93"/>
        <v>0</v>
      </c>
      <c r="AF83" s="406">
        <f t="shared" si="37"/>
        <v>0</v>
      </c>
      <c r="AG83" s="407">
        <f t="shared" si="37"/>
        <v>0</v>
      </c>
      <c r="AH83" s="408">
        <f t="shared" si="94"/>
        <v>0</v>
      </c>
      <c r="AI83" s="406">
        <f t="shared" si="38"/>
        <v>0</v>
      </c>
      <c r="AJ83" s="407">
        <f t="shared" si="38"/>
        <v>0</v>
      </c>
      <c r="AK83" s="408">
        <f t="shared" si="95"/>
        <v>0</v>
      </c>
      <c r="AL83" s="409"/>
      <c r="AM83" s="406">
        <f t="shared" si="39"/>
        <v>36399</v>
      </c>
      <c r="AN83" s="410">
        <f t="shared" si="39"/>
        <v>36399</v>
      </c>
      <c r="AO83" s="411">
        <f t="shared" si="96"/>
        <v>0</v>
      </c>
      <c r="AP83" s="406">
        <f t="shared" si="40"/>
        <v>36399</v>
      </c>
      <c r="AQ83" s="410">
        <f t="shared" si="40"/>
        <v>36399</v>
      </c>
      <c r="AR83" s="411">
        <f t="shared" si="97"/>
        <v>0</v>
      </c>
      <c r="AS83" s="412">
        <f t="shared" si="90"/>
        <v>36399</v>
      </c>
      <c r="AT83" s="410">
        <f t="shared" si="90"/>
        <v>36399</v>
      </c>
      <c r="AU83" s="411">
        <f t="shared" si="98"/>
        <v>0</v>
      </c>
      <c r="AV83" s="603">
        <f t="shared" si="99"/>
        <v>0</v>
      </c>
      <c r="AW83" s="413"/>
      <c r="AX83" s="1098"/>
      <c r="AY83" s="415"/>
      <c r="AZ83" s="1098"/>
      <c r="BA83" s="415">
        <v>36399</v>
      </c>
      <c r="BB83" s="1120">
        <v>36399</v>
      </c>
      <c r="BC83" s="417"/>
      <c r="BD83" s="418"/>
      <c r="BE83" s="419"/>
      <c r="BF83" s="418"/>
      <c r="BG83" s="419"/>
      <c r="BH83" s="420"/>
      <c r="BI83" s="421"/>
      <c r="BJ83" s="422"/>
      <c r="BK83" s="407"/>
      <c r="BL83" s="422"/>
      <c r="BM83" s="407"/>
      <c r="BN83" s="423"/>
      <c r="BO83" s="424"/>
      <c r="BP83" s="425"/>
      <c r="BQ83" s="426"/>
      <c r="BR83" s="425"/>
      <c r="BS83" s="426"/>
      <c r="BT83" s="427"/>
    </row>
    <row r="84" spans="1:72" s="399" customFormat="1" ht="38.25" customHeight="1" outlineLevel="2">
      <c r="A84" s="287">
        <v>74</v>
      </c>
      <c r="B84" s="933"/>
      <c r="C84" s="859"/>
      <c r="D84" s="841" t="s">
        <v>273</v>
      </c>
      <c r="E84" s="860"/>
      <c r="F84" s="829" t="s">
        <v>7</v>
      </c>
      <c r="G84" s="400">
        <v>4</v>
      </c>
      <c r="H84" s="747" t="s">
        <v>70</v>
      </c>
      <c r="I84" s="747">
        <v>244</v>
      </c>
      <c r="J84" s="748">
        <v>226</v>
      </c>
      <c r="K84" s="538" t="s">
        <v>504</v>
      </c>
      <c r="L84" s="1029">
        <v>126600</v>
      </c>
      <c r="M84" s="403"/>
      <c r="N84" s="403"/>
      <c r="O84" s="1063">
        <f t="shared" ref="O84:O168" si="101">L84+N84</f>
        <v>126600</v>
      </c>
      <c r="P84" s="565"/>
      <c r="Q84" s="406"/>
      <c r="R84" s="565"/>
      <c r="S84" s="406"/>
      <c r="T84" s="565"/>
      <c r="U84" s="428"/>
      <c r="V84" s="597" t="s">
        <v>592</v>
      </c>
      <c r="W84" s="597" t="s">
        <v>593</v>
      </c>
      <c r="X84" s="597" t="s">
        <v>594</v>
      </c>
      <c r="Z84" s="406">
        <f t="shared" si="35"/>
        <v>126600</v>
      </c>
      <c r="AA84" s="407">
        <f t="shared" si="35"/>
        <v>126600</v>
      </c>
      <c r="AB84" s="408">
        <f t="shared" si="92"/>
        <v>0</v>
      </c>
      <c r="AC84" s="406">
        <f t="shared" si="36"/>
        <v>0</v>
      </c>
      <c r="AD84" s="407">
        <f t="shared" si="36"/>
        <v>0</v>
      </c>
      <c r="AE84" s="408">
        <f t="shared" si="93"/>
        <v>0</v>
      </c>
      <c r="AF84" s="406">
        <f t="shared" si="37"/>
        <v>0</v>
      </c>
      <c r="AG84" s="407">
        <f t="shared" si="37"/>
        <v>0</v>
      </c>
      <c r="AH84" s="408">
        <f t="shared" si="94"/>
        <v>0</v>
      </c>
      <c r="AI84" s="406">
        <f t="shared" si="38"/>
        <v>0</v>
      </c>
      <c r="AJ84" s="407">
        <f t="shared" si="38"/>
        <v>0</v>
      </c>
      <c r="AK84" s="408">
        <f t="shared" si="95"/>
        <v>0</v>
      </c>
      <c r="AL84" s="409"/>
      <c r="AM84" s="406">
        <f t="shared" si="39"/>
        <v>126600</v>
      </c>
      <c r="AN84" s="410">
        <f t="shared" si="39"/>
        <v>126600</v>
      </c>
      <c r="AO84" s="411">
        <f t="shared" si="96"/>
        <v>0</v>
      </c>
      <c r="AP84" s="406">
        <f t="shared" si="40"/>
        <v>126600</v>
      </c>
      <c r="AQ84" s="410">
        <f t="shared" si="40"/>
        <v>126600</v>
      </c>
      <c r="AR84" s="411">
        <f t="shared" si="97"/>
        <v>0</v>
      </c>
      <c r="AS84" s="412">
        <f t="shared" si="90"/>
        <v>126600</v>
      </c>
      <c r="AT84" s="410">
        <f t="shared" si="90"/>
        <v>126600</v>
      </c>
      <c r="AU84" s="411">
        <f t="shared" si="98"/>
        <v>0</v>
      </c>
      <c r="AV84" s="603">
        <f t="shared" si="99"/>
        <v>0</v>
      </c>
      <c r="AW84" s="413"/>
      <c r="AX84" s="1098"/>
      <c r="AY84" s="415"/>
      <c r="AZ84" s="1098"/>
      <c r="BA84" s="415">
        <v>126600</v>
      </c>
      <c r="BB84" s="1120">
        <v>126600</v>
      </c>
      <c r="BC84" s="417"/>
      <c r="BD84" s="418"/>
      <c r="BE84" s="419"/>
      <c r="BF84" s="418"/>
      <c r="BG84" s="419"/>
      <c r="BH84" s="420"/>
      <c r="BI84" s="421"/>
      <c r="BJ84" s="422"/>
      <c r="BK84" s="407"/>
      <c r="BL84" s="422"/>
      <c r="BM84" s="407"/>
      <c r="BN84" s="423"/>
      <c r="BO84" s="424"/>
      <c r="BP84" s="425"/>
      <c r="BQ84" s="426"/>
      <c r="BR84" s="425"/>
      <c r="BS84" s="426"/>
      <c r="BT84" s="427"/>
    </row>
    <row r="85" spans="1:72" s="399" customFormat="1" ht="38.25" customHeight="1" outlineLevel="2">
      <c r="A85" s="287">
        <v>75</v>
      </c>
      <c r="B85" s="933"/>
      <c r="C85" s="859"/>
      <c r="D85" s="841" t="s">
        <v>273</v>
      </c>
      <c r="E85" s="860"/>
      <c r="F85" s="829" t="s">
        <v>7</v>
      </c>
      <c r="G85" s="400">
        <v>4</v>
      </c>
      <c r="H85" s="747" t="s">
        <v>70</v>
      </c>
      <c r="I85" s="747">
        <v>244</v>
      </c>
      <c r="J85" s="748">
        <v>226</v>
      </c>
      <c r="K85" s="538" t="s">
        <v>646</v>
      </c>
      <c r="L85" s="1029">
        <v>53200</v>
      </c>
      <c r="M85" s="403"/>
      <c r="N85" s="403"/>
      <c r="O85" s="1063">
        <f t="shared" si="101"/>
        <v>53200</v>
      </c>
      <c r="P85" s="565"/>
      <c r="Q85" s="406"/>
      <c r="R85" s="565"/>
      <c r="S85" s="406"/>
      <c r="T85" s="565"/>
      <c r="U85" s="428"/>
      <c r="V85" s="597" t="s">
        <v>544</v>
      </c>
      <c r="W85" s="597" t="s">
        <v>647</v>
      </c>
      <c r="X85" s="597" t="s">
        <v>602</v>
      </c>
      <c r="Z85" s="406">
        <f t="shared" si="35"/>
        <v>53200</v>
      </c>
      <c r="AA85" s="407">
        <f t="shared" si="35"/>
        <v>53200</v>
      </c>
      <c r="AB85" s="408">
        <f t="shared" si="92"/>
        <v>0</v>
      </c>
      <c r="AC85" s="406">
        <f t="shared" si="36"/>
        <v>0</v>
      </c>
      <c r="AD85" s="407">
        <f t="shared" si="36"/>
        <v>0</v>
      </c>
      <c r="AE85" s="408">
        <f t="shared" si="93"/>
        <v>0</v>
      </c>
      <c r="AF85" s="406">
        <f t="shared" si="37"/>
        <v>0</v>
      </c>
      <c r="AG85" s="407">
        <f t="shared" si="37"/>
        <v>0</v>
      </c>
      <c r="AH85" s="408">
        <f t="shared" si="94"/>
        <v>0</v>
      </c>
      <c r="AI85" s="406">
        <f t="shared" si="38"/>
        <v>0</v>
      </c>
      <c r="AJ85" s="407">
        <f t="shared" si="38"/>
        <v>0</v>
      </c>
      <c r="AK85" s="408">
        <f t="shared" si="95"/>
        <v>0</v>
      </c>
      <c r="AL85" s="409"/>
      <c r="AM85" s="406">
        <f t="shared" si="39"/>
        <v>53200</v>
      </c>
      <c r="AN85" s="410">
        <f t="shared" si="39"/>
        <v>53200</v>
      </c>
      <c r="AO85" s="411">
        <f t="shared" si="96"/>
        <v>0</v>
      </c>
      <c r="AP85" s="406">
        <f t="shared" si="40"/>
        <v>53200</v>
      </c>
      <c r="AQ85" s="410">
        <f t="shared" si="40"/>
        <v>53200</v>
      </c>
      <c r="AR85" s="411">
        <f t="shared" si="97"/>
        <v>0</v>
      </c>
      <c r="AS85" s="412">
        <f t="shared" si="90"/>
        <v>53200</v>
      </c>
      <c r="AT85" s="410">
        <f t="shared" si="90"/>
        <v>53200</v>
      </c>
      <c r="AU85" s="411">
        <f t="shared" si="98"/>
        <v>0</v>
      </c>
      <c r="AV85" s="603">
        <f t="shared" si="99"/>
        <v>0</v>
      </c>
      <c r="AW85" s="413"/>
      <c r="AX85" s="1098"/>
      <c r="AY85" s="415"/>
      <c r="AZ85" s="1098"/>
      <c r="BA85" s="415">
        <v>53200</v>
      </c>
      <c r="BB85" s="1120">
        <v>53200</v>
      </c>
      <c r="BC85" s="417"/>
      <c r="BD85" s="418"/>
      <c r="BE85" s="419"/>
      <c r="BF85" s="418"/>
      <c r="BG85" s="419"/>
      <c r="BH85" s="420"/>
      <c r="BI85" s="421"/>
      <c r="BJ85" s="422"/>
      <c r="BK85" s="407"/>
      <c r="BL85" s="422"/>
      <c r="BM85" s="407"/>
      <c r="BN85" s="423"/>
      <c r="BO85" s="424"/>
      <c r="BP85" s="425"/>
      <c r="BQ85" s="426"/>
      <c r="BR85" s="425"/>
      <c r="BS85" s="426"/>
      <c r="BT85" s="427"/>
    </row>
    <row r="86" spans="1:72" s="399" customFormat="1" ht="38.25" customHeight="1" outlineLevel="2">
      <c r="A86" s="287">
        <v>76</v>
      </c>
      <c r="B86" s="933"/>
      <c r="C86" s="859"/>
      <c r="D86" s="841" t="s">
        <v>273</v>
      </c>
      <c r="E86" s="860"/>
      <c r="F86" s="829" t="s">
        <v>7</v>
      </c>
      <c r="G86" s="400">
        <v>4</v>
      </c>
      <c r="H86" s="747" t="s">
        <v>70</v>
      </c>
      <c r="I86" s="747">
        <v>244</v>
      </c>
      <c r="J86" s="748">
        <v>226</v>
      </c>
      <c r="K86" s="538" t="s">
        <v>545</v>
      </c>
      <c r="L86" s="1029">
        <v>95800</v>
      </c>
      <c r="M86" s="403"/>
      <c r="N86" s="403"/>
      <c r="O86" s="1063">
        <f t="shared" si="101"/>
        <v>95800</v>
      </c>
      <c r="P86" s="565"/>
      <c r="Q86" s="406"/>
      <c r="R86" s="565"/>
      <c r="S86" s="406"/>
      <c r="T86" s="565"/>
      <c r="U86" s="428"/>
      <c r="V86" s="597" t="s">
        <v>659</v>
      </c>
      <c r="W86" s="597" t="s">
        <v>658</v>
      </c>
      <c r="X86" s="597" t="s">
        <v>660</v>
      </c>
      <c r="Z86" s="406">
        <f t="shared" si="35"/>
        <v>95800</v>
      </c>
      <c r="AA86" s="407">
        <f t="shared" si="35"/>
        <v>95800</v>
      </c>
      <c r="AB86" s="408">
        <f t="shared" si="92"/>
        <v>0</v>
      </c>
      <c r="AC86" s="406">
        <f t="shared" si="36"/>
        <v>0</v>
      </c>
      <c r="AD86" s="407">
        <f t="shared" si="36"/>
        <v>0</v>
      </c>
      <c r="AE86" s="408">
        <f t="shared" si="93"/>
        <v>0</v>
      </c>
      <c r="AF86" s="406">
        <f t="shared" si="37"/>
        <v>0</v>
      </c>
      <c r="AG86" s="407">
        <f t="shared" si="37"/>
        <v>0</v>
      </c>
      <c r="AH86" s="408">
        <f t="shared" si="94"/>
        <v>0</v>
      </c>
      <c r="AI86" s="406">
        <f t="shared" si="38"/>
        <v>0</v>
      </c>
      <c r="AJ86" s="407">
        <f t="shared" si="38"/>
        <v>0</v>
      </c>
      <c r="AK86" s="408">
        <f t="shared" si="95"/>
        <v>0</v>
      </c>
      <c r="AL86" s="409"/>
      <c r="AM86" s="406">
        <f t="shared" si="39"/>
        <v>95800</v>
      </c>
      <c r="AN86" s="410">
        <f t="shared" si="39"/>
        <v>95800</v>
      </c>
      <c r="AO86" s="411">
        <f t="shared" si="96"/>
        <v>0</v>
      </c>
      <c r="AP86" s="406">
        <f t="shared" si="40"/>
        <v>95800</v>
      </c>
      <c r="AQ86" s="410">
        <f t="shared" si="40"/>
        <v>95800</v>
      </c>
      <c r="AR86" s="411">
        <f t="shared" si="97"/>
        <v>0</v>
      </c>
      <c r="AS86" s="412">
        <f t="shared" si="90"/>
        <v>95800</v>
      </c>
      <c r="AT86" s="410">
        <f t="shared" si="90"/>
        <v>95800</v>
      </c>
      <c r="AU86" s="411">
        <f t="shared" si="98"/>
        <v>0</v>
      </c>
      <c r="AV86" s="603">
        <f t="shared" si="99"/>
        <v>0</v>
      </c>
      <c r="AW86" s="413"/>
      <c r="AX86" s="1098"/>
      <c r="AY86" s="415"/>
      <c r="AZ86" s="1098"/>
      <c r="BA86" s="415">
        <v>95800</v>
      </c>
      <c r="BB86" s="1120">
        <v>95800</v>
      </c>
      <c r="BC86" s="417"/>
      <c r="BD86" s="418"/>
      <c r="BE86" s="419"/>
      <c r="BF86" s="418"/>
      <c r="BG86" s="419"/>
      <c r="BH86" s="420"/>
      <c r="BI86" s="421"/>
      <c r="BJ86" s="422"/>
      <c r="BK86" s="407"/>
      <c r="BL86" s="422"/>
      <c r="BM86" s="407"/>
      <c r="BN86" s="423"/>
      <c r="BO86" s="424"/>
      <c r="BP86" s="425"/>
      <c r="BQ86" s="426"/>
      <c r="BR86" s="425"/>
      <c r="BS86" s="426"/>
      <c r="BT86" s="427"/>
    </row>
    <row r="87" spans="1:72" s="399" customFormat="1" ht="38.25" customHeight="1" outlineLevel="2">
      <c r="A87" s="287">
        <v>77</v>
      </c>
      <c r="B87" s="933"/>
      <c r="C87" s="859"/>
      <c r="D87" s="841" t="s">
        <v>273</v>
      </c>
      <c r="E87" s="860"/>
      <c r="F87" s="829" t="s">
        <v>7</v>
      </c>
      <c r="G87" s="400">
        <v>4</v>
      </c>
      <c r="H87" s="747" t="s">
        <v>70</v>
      </c>
      <c r="I87" s="747">
        <v>244</v>
      </c>
      <c r="J87" s="748">
        <v>226</v>
      </c>
      <c r="K87" s="538" t="s">
        <v>552</v>
      </c>
      <c r="L87" s="1029">
        <v>28188.83</v>
      </c>
      <c r="M87" s="403"/>
      <c r="N87" s="403"/>
      <c r="O87" s="1063">
        <f t="shared" si="101"/>
        <v>28188.83</v>
      </c>
      <c r="P87" s="565"/>
      <c r="Q87" s="406"/>
      <c r="R87" s="565"/>
      <c r="S87" s="406"/>
      <c r="T87" s="565"/>
      <c r="U87" s="428"/>
      <c r="V87" s="597" t="s">
        <v>553</v>
      </c>
      <c r="W87" s="597" t="s">
        <v>661</v>
      </c>
      <c r="X87" s="597" t="s">
        <v>657</v>
      </c>
      <c r="Z87" s="406">
        <f t="shared" si="35"/>
        <v>28188.83</v>
      </c>
      <c r="AA87" s="407">
        <f t="shared" si="35"/>
        <v>28188.83</v>
      </c>
      <c r="AB87" s="408">
        <f t="shared" si="92"/>
        <v>0</v>
      </c>
      <c r="AC87" s="406">
        <f t="shared" si="36"/>
        <v>0</v>
      </c>
      <c r="AD87" s="407">
        <f t="shared" si="36"/>
        <v>0</v>
      </c>
      <c r="AE87" s="408">
        <f t="shared" si="93"/>
        <v>0</v>
      </c>
      <c r="AF87" s="406">
        <f t="shared" si="37"/>
        <v>0</v>
      </c>
      <c r="AG87" s="407">
        <f t="shared" si="37"/>
        <v>0</v>
      </c>
      <c r="AH87" s="408">
        <f t="shared" si="94"/>
        <v>0</v>
      </c>
      <c r="AI87" s="406">
        <f t="shared" si="38"/>
        <v>0</v>
      </c>
      <c r="AJ87" s="407">
        <f t="shared" si="38"/>
        <v>0</v>
      </c>
      <c r="AK87" s="408">
        <f t="shared" si="95"/>
        <v>0</v>
      </c>
      <c r="AL87" s="409"/>
      <c r="AM87" s="406">
        <f t="shared" si="39"/>
        <v>28188.83</v>
      </c>
      <c r="AN87" s="410">
        <f t="shared" si="39"/>
        <v>28188.83</v>
      </c>
      <c r="AO87" s="411">
        <f t="shared" si="96"/>
        <v>0</v>
      </c>
      <c r="AP87" s="406">
        <f t="shared" si="40"/>
        <v>28188.83</v>
      </c>
      <c r="AQ87" s="410">
        <f t="shared" si="40"/>
        <v>28188.83</v>
      </c>
      <c r="AR87" s="411">
        <f t="shared" si="97"/>
        <v>0</v>
      </c>
      <c r="AS87" s="412">
        <f t="shared" si="90"/>
        <v>28188.83</v>
      </c>
      <c r="AT87" s="410">
        <f t="shared" si="90"/>
        <v>28188.83</v>
      </c>
      <c r="AU87" s="411">
        <f t="shared" si="98"/>
        <v>0</v>
      </c>
      <c r="AV87" s="603">
        <f t="shared" si="99"/>
        <v>0</v>
      </c>
      <c r="AW87" s="413"/>
      <c r="AX87" s="1098"/>
      <c r="AY87" s="415"/>
      <c r="AZ87" s="1098"/>
      <c r="BA87" s="415">
        <v>28188.83</v>
      </c>
      <c r="BB87" s="1120">
        <v>28188.83</v>
      </c>
      <c r="BC87" s="417"/>
      <c r="BD87" s="418"/>
      <c r="BE87" s="419"/>
      <c r="BF87" s="418"/>
      <c r="BG87" s="419"/>
      <c r="BH87" s="420"/>
      <c r="BI87" s="421"/>
      <c r="BJ87" s="422"/>
      <c r="BK87" s="407"/>
      <c r="BL87" s="422"/>
      <c r="BM87" s="407"/>
      <c r="BN87" s="423"/>
      <c r="BO87" s="424"/>
      <c r="BP87" s="425"/>
      <c r="BQ87" s="426"/>
      <c r="BR87" s="425"/>
      <c r="BS87" s="426"/>
      <c r="BT87" s="427"/>
    </row>
    <row r="88" spans="1:72" s="430" customFormat="1" ht="25.5" customHeight="1" outlineLevel="2">
      <c r="A88" s="287">
        <v>78</v>
      </c>
      <c r="B88" s="933"/>
      <c r="C88" s="743"/>
      <c r="D88" s="856" t="s">
        <v>273</v>
      </c>
      <c r="E88" s="857"/>
      <c r="F88" s="827" t="s">
        <v>7</v>
      </c>
      <c r="G88" s="431">
        <v>4</v>
      </c>
      <c r="H88" s="474" t="s">
        <v>70</v>
      </c>
      <c r="I88" s="743">
        <v>244</v>
      </c>
      <c r="J88" s="744">
        <v>226</v>
      </c>
      <c r="K88" s="536" t="s">
        <v>284</v>
      </c>
      <c r="L88" s="1030"/>
      <c r="M88" s="434"/>
      <c r="N88" s="434"/>
      <c r="O88" s="1064">
        <f t="shared" si="101"/>
        <v>0</v>
      </c>
      <c r="P88" s="563"/>
      <c r="Q88" s="437"/>
      <c r="R88" s="563"/>
      <c r="S88" s="437"/>
      <c r="T88" s="563"/>
      <c r="U88" s="467"/>
      <c r="V88" s="436"/>
      <c r="W88" s="436"/>
      <c r="X88" s="436"/>
      <c r="Z88" s="437">
        <f t="shared" si="35"/>
        <v>0</v>
      </c>
      <c r="AA88" s="438">
        <f t="shared" si="35"/>
        <v>0</v>
      </c>
      <c r="AB88" s="439">
        <f t="shared" si="92"/>
        <v>0</v>
      </c>
      <c r="AC88" s="437">
        <f t="shared" si="36"/>
        <v>0</v>
      </c>
      <c r="AD88" s="438">
        <f t="shared" si="36"/>
        <v>0</v>
      </c>
      <c r="AE88" s="439">
        <f t="shared" si="93"/>
        <v>0</v>
      </c>
      <c r="AF88" s="437">
        <f t="shared" si="37"/>
        <v>0</v>
      </c>
      <c r="AG88" s="438">
        <f t="shared" si="37"/>
        <v>0</v>
      </c>
      <c r="AH88" s="439">
        <f t="shared" si="94"/>
        <v>0</v>
      </c>
      <c r="AI88" s="437">
        <f t="shared" si="38"/>
        <v>0</v>
      </c>
      <c r="AJ88" s="438">
        <f t="shared" si="38"/>
        <v>0</v>
      </c>
      <c r="AK88" s="439">
        <f t="shared" si="95"/>
        <v>0</v>
      </c>
      <c r="AL88" s="440"/>
      <c r="AM88" s="437">
        <f t="shared" si="39"/>
        <v>0</v>
      </c>
      <c r="AN88" s="441">
        <f t="shared" si="39"/>
        <v>0</v>
      </c>
      <c r="AO88" s="442">
        <f t="shared" si="96"/>
        <v>0</v>
      </c>
      <c r="AP88" s="437">
        <f t="shared" si="40"/>
        <v>0</v>
      </c>
      <c r="AQ88" s="441">
        <f t="shared" si="40"/>
        <v>0</v>
      </c>
      <c r="AR88" s="442">
        <f t="shared" si="97"/>
        <v>0</v>
      </c>
      <c r="AS88" s="443">
        <f t="shared" si="90"/>
        <v>0</v>
      </c>
      <c r="AT88" s="441">
        <f t="shared" si="90"/>
        <v>0</v>
      </c>
      <c r="AU88" s="442">
        <f t="shared" si="98"/>
        <v>0</v>
      </c>
      <c r="AV88" s="601">
        <f t="shared" si="99"/>
        <v>0</v>
      </c>
      <c r="AW88" s="444"/>
      <c r="AX88" s="1111"/>
      <c r="AY88" s="446"/>
      <c r="AZ88" s="1111"/>
      <c r="BA88" s="446"/>
      <c r="BB88" s="1129"/>
      <c r="BC88" s="448"/>
      <c r="BD88" s="449"/>
      <c r="BE88" s="450"/>
      <c r="BF88" s="449"/>
      <c r="BG88" s="450"/>
      <c r="BH88" s="451"/>
      <c r="BI88" s="452"/>
      <c r="BJ88" s="453"/>
      <c r="BK88" s="438"/>
      <c r="BL88" s="453"/>
      <c r="BM88" s="438"/>
      <c r="BN88" s="454"/>
      <c r="BO88" s="455"/>
      <c r="BP88" s="456"/>
      <c r="BQ88" s="457"/>
      <c r="BR88" s="456"/>
      <c r="BS88" s="457"/>
      <c r="BT88" s="458"/>
    </row>
    <row r="89" spans="1:72" s="459" customFormat="1" ht="66.75" outlineLevel="1">
      <c r="A89" s="287">
        <v>79</v>
      </c>
      <c r="B89" s="933"/>
      <c r="C89" s="850" t="s">
        <v>378</v>
      </c>
      <c r="D89" s="854" t="s">
        <v>807</v>
      </c>
      <c r="E89" s="855"/>
      <c r="F89" s="826" t="s">
        <v>7</v>
      </c>
      <c r="G89" s="462">
        <v>4</v>
      </c>
      <c r="H89" s="741" t="s">
        <v>70</v>
      </c>
      <c r="I89" s="741">
        <v>244</v>
      </c>
      <c r="J89" s="742">
        <v>226</v>
      </c>
      <c r="K89" s="907" t="s">
        <v>687</v>
      </c>
      <c r="L89" s="1028">
        <v>559569.35</v>
      </c>
      <c r="M89" s="352"/>
      <c r="N89" s="352">
        <f>SUM(N90:N97)</f>
        <v>0</v>
      </c>
      <c r="O89" s="1062">
        <f t="shared" si="101"/>
        <v>559569.35</v>
      </c>
      <c r="P89" s="561"/>
      <c r="Q89" s="464">
        <f>Q90</f>
        <v>2256788.4500000002</v>
      </c>
      <c r="R89" s="561"/>
      <c r="S89" s="464">
        <f>S90</f>
        <v>2150208.7400000002</v>
      </c>
      <c r="T89" s="561"/>
      <c r="U89" s="393"/>
      <c r="V89" s="394"/>
      <c r="W89" s="394"/>
      <c r="X89" s="394"/>
      <c r="Y89" s="392"/>
      <c r="Z89" s="395">
        <f t="shared" si="35"/>
        <v>0</v>
      </c>
      <c r="AA89" s="396">
        <f t="shared" si="35"/>
        <v>0</v>
      </c>
      <c r="AB89" s="397">
        <f t="shared" si="92"/>
        <v>0</v>
      </c>
      <c r="AC89" s="395">
        <f t="shared" si="36"/>
        <v>559569.35</v>
      </c>
      <c r="AD89" s="396">
        <f t="shared" si="36"/>
        <v>0</v>
      </c>
      <c r="AE89" s="397">
        <f t="shared" si="93"/>
        <v>559569.35</v>
      </c>
      <c r="AF89" s="395">
        <f t="shared" si="37"/>
        <v>0</v>
      </c>
      <c r="AG89" s="396">
        <f t="shared" si="37"/>
        <v>0</v>
      </c>
      <c r="AH89" s="397">
        <f t="shared" si="94"/>
        <v>0</v>
      </c>
      <c r="AI89" s="395">
        <f t="shared" si="38"/>
        <v>0</v>
      </c>
      <c r="AJ89" s="396">
        <f t="shared" si="38"/>
        <v>0</v>
      </c>
      <c r="AK89" s="397">
        <f t="shared" si="95"/>
        <v>0</v>
      </c>
      <c r="AL89" s="398"/>
      <c r="AM89" s="464">
        <f t="shared" si="39"/>
        <v>559569.35</v>
      </c>
      <c r="AN89" s="352">
        <f t="shared" si="39"/>
        <v>0</v>
      </c>
      <c r="AO89" s="465">
        <f t="shared" si="96"/>
        <v>559569.35</v>
      </c>
      <c r="AP89" s="464">
        <f t="shared" si="40"/>
        <v>559569.35</v>
      </c>
      <c r="AQ89" s="352">
        <f t="shared" si="40"/>
        <v>0</v>
      </c>
      <c r="AR89" s="465">
        <f t="shared" si="97"/>
        <v>559569.35</v>
      </c>
      <c r="AS89" s="464">
        <f t="shared" si="90"/>
        <v>559569.35</v>
      </c>
      <c r="AT89" s="352">
        <f t="shared" si="90"/>
        <v>0</v>
      </c>
      <c r="AU89" s="465">
        <f t="shared" si="98"/>
        <v>559569.35</v>
      </c>
      <c r="AV89" s="600">
        <f t="shared" si="99"/>
        <v>0</v>
      </c>
      <c r="AW89" s="464">
        <f t="shared" ref="AW89:BT89" si="102">SUM(AW90:AW97)</f>
        <v>0</v>
      </c>
      <c r="AX89" s="1110">
        <f t="shared" si="102"/>
        <v>0</v>
      </c>
      <c r="AY89" s="352">
        <f t="shared" si="102"/>
        <v>0</v>
      </c>
      <c r="AZ89" s="1110">
        <f t="shared" si="102"/>
        <v>0</v>
      </c>
      <c r="BA89" s="352">
        <f t="shared" si="102"/>
        <v>0</v>
      </c>
      <c r="BB89" s="1128">
        <f t="shared" si="102"/>
        <v>0</v>
      </c>
      <c r="BC89" s="464">
        <f t="shared" si="102"/>
        <v>25300</v>
      </c>
      <c r="BD89" s="352">
        <f t="shared" si="102"/>
        <v>0</v>
      </c>
      <c r="BE89" s="352">
        <f t="shared" si="102"/>
        <v>0</v>
      </c>
      <c r="BF89" s="352">
        <f t="shared" si="102"/>
        <v>0</v>
      </c>
      <c r="BG89" s="352">
        <f t="shared" si="102"/>
        <v>534269.35</v>
      </c>
      <c r="BH89" s="353">
        <f t="shared" si="102"/>
        <v>0</v>
      </c>
      <c r="BI89" s="464">
        <f t="shared" si="102"/>
        <v>0</v>
      </c>
      <c r="BJ89" s="352">
        <f t="shared" si="102"/>
        <v>0</v>
      </c>
      <c r="BK89" s="352">
        <f t="shared" si="102"/>
        <v>0</v>
      </c>
      <c r="BL89" s="352">
        <f t="shared" si="102"/>
        <v>0</v>
      </c>
      <c r="BM89" s="352">
        <f t="shared" si="102"/>
        <v>0</v>
      </c>
      <c r="BN89" s="353">
        <f t="shared" si="102"/>
        <v>0</v>
      </c>
      <c r="BO89" s="464">
        <f t="shared" si="102"/>
        <v>0</v>
      </c>
      <c r="BP89" s="352">
        <f t="shared" si="102"/>
        <v>0</v>
      </c>
      <c r="BQ89" s="352">
        <f t="shared" si="102"/>
        <v>0</v>
      </c>
      <c r="BR89" s="352">
        <f t="shared" si="102"/>
        <v>0</v>
      </c>
      <c r="BS89" s="352">
        <f t="shared" si="102"/>
        <v>0</v>
      </c>
      <c r="BT89" s="465">
        <f t="shared" si="102"/>
        <v>0</v>
      </c>
    </row>
    <row r="90" spans="1:72" s="313" customFormat="1" ht="38.25" customHeight="1" outlineLevel="2">
      <c r="A90" s="287">
        <v>80</v>
      </c>
      <c r="B90" s="933"/>
      <c r="C90" s="840"/>
      <c r="D90" s="841" t="s">
        <v>807</v>
      </c>
      <c r="E90" s="839"/>
      <c r="F90" s="821" t="s">
        <v>7</v>
      </c>
      <c r="G90" s="314">
        <v>4</v>
      </c>
      <c r="H90" s="739" t="s">
        <v>70</v>
      </c>
      <c r="I90" s="739">
        <v>244</v>
      </c>
      <c r="J90" s="740">
        <v>226</v>
      </c>
      <c r="K90" s="533" t="s">
        <v>285</v>
      </c>
      <c r="L90" s="1031">
        <v>0</v>
      </c>
      <c r="M90" s="318"/>
      <c r="N90" s="318"/>
      <c r="O90" s="1052">
        <f t="shared" si="101"/>
        <v>0</v>
      </c>
      <c r="P90" s="562"/>
      <c r="Q90" s="336">
        <v>2256788.4500000002</v>
      </c>
      <c r="R90" s="562"/>
      <c r="S90" s="336">
        <v>2150208.7400000002</v>
      </c>
      <c r="T90" s="562"/>
      <c r="U90" s="466"/>
      <c r="V90" s="320"/>
      <c r="W90" s="320"/>
      <c r="X90" s="320"/>
      <c r="Z90" s="336">
        <f t="shared" si="35"/>
        <v>0</v>
      </c>
      <c r="AA90" s="337">
        <f t="shared" si="35"/>
        <v>0</v>
      </c>
      <c r="AB90" s="338">
        <f t="shared" si="92"/>
        <v>0</v>
      </c>
      <c r="AC90" s="336">
        <f t="shared" si="36"/>
        <v>0</v>
      </c>
      <c r="AD90" s="337">
        <f t="shared" si="36"/>
        <v>0</v>
      </c>
      <c r="AE90" s="338">
        <f t="shared" si="93"/>
        <v>0</v>
      </c>
      <c r="AF90" s="336">
        <f t="shared" si="37"/>
        <v>0</v>
      </c>
      <c r="AG90" s="337">
        <f t="shared" si="37"/>
        <v>0</v>
      </c>
      <c r="AH90" s="338">
        <f t="shared" si="94"/>
        <v>0</v>
      </c>
      <c r="AI90" s="336">
        <f t="shared" si="38"/>
        <v>0</v>
      </c>
      <c r="AJ90" s="337">
        <f t="shared" si="38"/>
        <v>0</v>
      </c>
      <c r="AK90" s="338">
        <f t="shared" si="95"/>
        <v>0</v>
      </c>
      <c r="AL90" s="342"/>
      <c r="AM90" s="336">
        <f t="shared" si="39"/>
        <v>0</v>
      </c>
      <c r="AN90" s="339">
        <f t="shared" si="39"/>
        <v>0</v>
      </c>
      <c r="AO90" s="340">
        <f t="shared" si="96"/>
        <v>0</v>
      </c>
      <c r="AP90" s="336">
        <f t="shared" si="40"/>
        <v>0</v>
      </c>
      <c r="AQ90" s="339">
        <f t="shared" si="40"/>
        <v>0</v>
      </c>
      <c r="AR90" s="340">
        <f t="shared" si="97"/>
        <v>0</v>
      </c>
      <c r="AS90" s="341">
        <f t="shared" si="90"/>
        <v>0</v>
      </c>
      <c r="AT90" s="339">
        <f t="shared" si="90"/>
        <v>0</v>
      </c>
      <c r="AU90" s="340">
        <f t="shared" si="98"/>
        <v>0</v>
      </c>
      <c r="AV90" s="589">
        <f t="shared" si="99"/>
        <v>0</v>
      </c>
      <c r="AW90" s="343"/>
      <c r="AX90" s="1098"/>
      <c r="AY90" s="345"/>
      <c r="AZ90" s="1098"/>
      <c r="BA90" s="345"/>
      <c r="BB90" s="1120"/>
      <c r="BC90" s="347"/>
      <c r="BD90" s="348"/>
      <c r="BE90" s="349"/>
      <c r="BF90" s="348"/>
      <c r="BG90" s="349"/>
      <c r="BH90" s="350"/>
      <c r="BI90" s="351"/>
      <c r="BJ90" s="352"/>
      <c r="BK90" s="337"/>
      <c r="BL90" s="352"/>
      <c r="BM90" s="337"/>
      <c r="BN90" s="353"/>
      <c r="BO90" s="354"/>
      <c r="BP90" s="355"/>
      <c r="BQ90" s="356"/>
      <c r="BR90" s="355"/>
      <c r="BS90" s="356"/>
      <c r="BT90" s="357"/>
    </row>
    <row r="91" spans="1:72" s="313" customFormat="1" ht="38.25" customHeight="1" outlineLevel="2">
      <c r="A91" s="287">
        <v>81</v>
      </c>
      <c r="B91" s="933"/>
      <c r="C91" s="840"/>
      <c r="D91" s="841" t="s">
        <v>807</v>
      </c>
      <c r="E91" s="839"/>
      <c r="F91" s="821" t="s">
        <v>7</v>
      </c>
      <c r="G91" s="314">
        <v>4</v>
      </c>
      <c r="H91" s="739" t="s">
        <v>70</v>
      </c>
      <c r="I91" s="739">
        <v>244</v>
      </c>
      <c r="J91" s="740">
        <v>226</v>
      </c>
      <c r="K91" s="538" t="s">
        <v>780</v>
      </c>
      <c r="L91" s="1029">
        <v>285966</v>
      </c>
      <c r="M91" s="318"/>
      <c r="N91" s="318"/>
      <c r="O91" s="1063">
        <f t="shared" si="101"/>
        <v>285966</v>
      </c>
      <c r="P91" s="562"/>
      <c r="Q91" s="336"/>
      <c r="R91" s="562"/>
      <c r="S91" s="336"/>
      <c r="T91" s="562"/>
      <c r="U91" s="466"/>
      <c r="V91" s="597" t="s">
        <v>776</v>
      </c>
      <c r="W91" s="597" t="s">
        <v>810</v>
      </c>
      <c r="X91" s="597" t="s">
        <v>809</v>
      </c>
      <c r="Z91" s="336">
        <f t="shared" si="35"/>
        <v>0</v>
      </c>
      <c r="AA91" s="337">
        <f t="shared" si="35"/>
        <v>0</v>
      </c>
      <c r="AB91" s="338">
        <f t="shared" si="92"/>
        <v>0</v>
      </c>
      <c r="AC91" s="336">
        <f t="shared" si="36"/>
        <v>285966</v>
      </c>
      <c r="AD91" s="337">
        <f t="shared" si="36"/>
        <v>0</v>
      </c>
      <c r="AE91" s="338">
        <f t="shared" si="93"/>
        <v>285966</v>
      </c>
      <c r="AF91" s="336">
        <f t="shared" si="37"/>
        <v>0</v>
      </c>
      <c r="AG91" s="337">
        <f t="shared" si="37"/>
        <v>0</v>
      </c>
      <c r="AH91" s="338">
        <f t="shared" si="94"/>
        <v>0</v>
      </c>
      <c r="AI91" s="336">
        <f t="shared" si="38"/>
        <v>0</v>
      </c>
      <c r="AJ91" s="337">
        <f t="shared" si="38"/>
        <v>0</v>
      </c>
      <c r="AK91" s="338">
        <f t="shared" si="95"/>
        <v>0</v>
      </c>
      <c r="AL91" s="342"/>
      <c r="AM91" s="336">
        <f t="shared" si="39"/>
        <v>285966</v>
      </c>
      <c r="AN91" s="339">
        <f t="shared" si="39"/>
        <v>0</v>
      </c>
      <c r="AO91" s="340">
        <f t="shared" si="96"/>
        <v>285966</v>
      </c>
      <c r="AP91" s="336">
        <f t="shared" si="40"/>
        <v>285966</v>
      </c>
      <c r="AQ91" s="339">
        <f t="shared" si="40"/>
        <v>0</v>
      </c>
      <c r="AR91" s="340">
        <f t="shared" si="97"/>
        <v>285966</v>
      </c>
      <c r="AS91" s="341">
        <f t="shared" si="90"/>
        <v>285966</v>
      </c>
      <c r="AT91" s="339">
        <f t="shared" si="90"/>
        <v>0</v>
      </c>
      <c r="AU91" s="340">
        <f t="shared" si="98"/>
        <v>285966</v>
      </c>
      <c r="AV91" s="589">
        <f t="shared" si="99"/>
        <v>0</v>
      </c>
      <c r="AW91" s="343"/>
      <c r="AX91" s="1098"/>
      <c r="AY91" s="345"/>
      <c r="AZ91" s="1098"/>
      <c r="BA91" s="345"/>
      <c r="BB91" s="1120"/>
      <c r="BC91" s="347"/>
      <c r="BD91" s="348"/>
      <c r="BE91" s="349"/>
      <c r="BF91" s="348"/>
      <c r="BG91" s="349">
        <f>288966-3000</f>
        <v>285966</v>
      </c>
      <c r="BH91" s="350"/>
      <c r="BI91" s="351"/>
      <c r="BJ91" s="352"/>
      <c r="BK91" s="337"/>
      <c r="BL91" s="352"/>
      <c r="BM91" s="337"/>
      <c r="BN91" s="353"/>
      <c r="BO91" s="354"/>
      <c r="BP91" s="355"/>
      <c r="BQ91" s="356"/>
      <c r="BR91" s="355"/>
      <c r="BS91" s="356"/>
      <c r="BT91" s="357"/>
    </row>
    <row r="92" spans="1:72" s="313" customFormat="1" ht="38.25" customHeight="1" outlineLevel="2">
      <c r="A92" s="287">
        <v>82</v>
      </c>
      <c r="B92" s="933"/>
      <c r="C92" s="840"/>
      <c r="D92" s="841" t="s">
        <v>807</v>
      </c>
      <c r="E92" s="839"/>
      <c r="F92" s="821" t="s">
        <v>7</v>
      </c>
      <c r="G92" s="314">
        <v>4</v>
      </c>
      <c r="H92" s="739" t="s">
        <v>70</v>
      </c>
      <c r="I92" s="739">
        <v>244</v>
      </c>
      <c r="J92" s="740">
        <v>226</v>
      </c>
      <c r="K92" s="538" t="s">
        <v>774</v>
      </c>
      <c r="L92" s="1029">
        <v>248303.35</v>
      </c>
      <c r="M92" s="318"/>
      <c r="N92" s="318"/>
      <c r="O92" s="1063">
        <f t="shared" si="101"/>
        <v>248303.35</v>
      </c>
      <c r="P92" s="562"/>
      <c r="Q92" s="336"/>
      <c r="R92" s="562"/>
      <c r="S92" s="336"/>
      <c r="T92" s="562"/>
      <c r="U92" s="466"/>
      <c r="V92" s="597" t="s">
        <v>777</v>
      </c>
      <c r="W92" s="597" t="s">
        <v>808</v>
      </c>
      <c r="X92" s="597" t="s">
        <v>809</v>
      </c>
      <c r="Z92" s="336">
        <f t="shared" si="35"/>
        <v>0</v>
      </c>
      <c r="AA92" s="337">
        <f t="shared" si="35"/>
        <v>0</v>
      </c>
      <c r="AB92" s="338">
        <f t="shared" si="92"/>
        <v>0</v>
      </c>
      <c r="AC92" s="336">
        <f t="shared" si="36"/>
        <v>248303.35</v>
      </c>
      <c r="AD92" s="337">
        <f t="shared" si="36"/>
        <v>0</v>
      </c>
      <c r="AE92" s="338">
        <f t="shared" si="93"/>
        <v>248303.35</v>
      </c>
      <c r="AF92" s="336">
        <f t="shared" si="37"/>
        <v>0</v>
      </c>
      <c r="AG92" s="337">
        <f t="shared" si="37"/>
        <v>0</v>
      </c>
      <c r="AH92" s="338">
        <f t="shared" si="94"/>
        <v>0</v>
      </c>
      <c r="AI92" s="336">
        <f t="shared" si="38"/>
        <v>0</v>
      </c>
      <c r="AJ92" s="337">
        <f t="shared" si="38"/>
        <v>0</v>
      </c>
      <c r="AK92" s="338">
        <f t="shared" si="95"/>
        <v>0</v>
      </c>
      <c r="AL92" s="342"/>
      <c r="AM92" s="336">
        <f t="shared" si="39"/>
        <v>248303.35</v>
      </c>
      <c r="AN92" s="339">
        <f t="shared" si="39"/>
        <v>0</v>
      </c>
      <c r="AO92" s="340">
        <f t="shared" si="96"/>
        <v>248303.35</v>
      </c>
      <c r="AP92" s="336">
        <f t="shared" si="40"/>
        <v>248303.35</v>
      </c>
      <c r="AQ92" s="339">
        <f t="shared" si="40"/>
        <v>0</v>
      </c>
      <c r="AR92" s="340">
        <f t="shared" si="97"/>
        <v>248303.35</v>
      </c>
      <c r="AS92" s="341">
        <f t="shared" si="90"/>
        <v>248303.35</v>
      </c>
      <c r="AT92" s="339">
        <f t="shared" si="90"/>
        <v>0</v>
      </c>
      <c r="AU92" s="340">
        <f t="shared" si="98"/>
        <v>248303.35</v>
      </c>
      <c r="AV92" s="589">
        <f t="shared" si="99"/>
        <v>0</v>
      </c>
      <c r="AW92" s="343"/>
      <c r="AX92" s="1098"/>
      <c r="AY92" s="345"/>
      <c r="AZ92" s="1098"/>
      <c r="BA92" s="345"/>
      <c r="BB92" s="1120"/>
      <c r="BC92" s="347"/>
      <c r="BD92" s="348"/>
      <c r="BE92" s="349"/>
      <c r="BF92" s="348"/>
      <c r="BG92" s="349">
        <v>248303.35</v>
      </c>
      <c r="BH92" s="350"/>
      <c r="BI92" s="351"/>
      <c r="BJ92" s="352"/>
      <c r="BK92" s="337"/>
      <c r="BL92" s="352"/>
      <c r="BM92" s="337"/>
      <c r="BN92" s="353"/>
      <c r="BO92" s="354"/>
      <c r="BP92" s="355"/>
      <c r="BQ92" s="356"/>
      <c r="BR92" s="355"/>
      <c r="BS92" s="356"/>
      <c r="BT92" s="357"/>
    </row>
    <row r="93" spans="1:72" s="313" customFormat="1" ht="25.5" customHeight="1" outlineLevel="2">
      <c r="A93" s="287">
        <v>83</v>
      </c>
      <c r="B93" s="933"/>
      <c r="C93" s="840"/>
      <c r="D93" s="841" t="s">
        <v>807</v>
      </c>
      <c r="E93" s="839"/>
      <c r="F93" s="821" t="s">
        <v>7</v>
      </c>
      <c r="G93" s="314">
        <v>4</v>
      </c>
      <c r="H93" s="739" t="s">
        <v>70</v>
      </c>
      <c r="I93" s="739">
        <v>244</v>
      </c>
      <c r="J93" s="740">
        <v>226</v>
      </c>
      <c r="K93" s="533" t="s">
        <v>286</v>
      </c>
      <c r="L93" s="1031">
        <v>0</v>
      </c>
      <c r="M93" s="318"/>
      <c r="N93" s="318"/>
      <c r="O93" s="1052">
        <f t="shared" si="101"/>
        <v>0</v>
      </c>
      <c r="P93" s="562"/>
      <c r="Q93" s="336"/>
      <c r="R93" s="562"/>
      <c r="S93" s="336"/>
      <c r="T93" s="562"/>
      <c r="U93" s="466"/>
      <c r="V93" s="320"/>
      <c r="W93" s="320"/>
      <c r="X93" s="320"/>
      <c r="Z93" s="336">
        <f t="shared" si="35"/>
        <v>0</v>
      </c>
      <c r="AA93" s="337">
        <f t="shared" si="35"/>
        <v>0</v>
      </c>
      <c r="AB93" s="338">
        <f t="shared" si="92"/>
        <v>0</v>
      </c>
      <c r="AC93" s="336">
        <f t="shared" si="36"/>
        <v>0</v>
      </c>
      <c r="AD93" s="337">
        <f t="shared" si="36"/>
        <v>0</v>
      </c>
      <c r="AE93" s="338">
        <f t="shared" si="93"/>
        <v>0</v>
      </c>
      <c r="AF93" s="336">
        <f t="shared" si="37"/>
        <v>0</v>
      </c>
      <c r="AG93" s="337">
        <f t="shared" si="37"/>
        <v>0</v>
      </c>
      <c r="AH93" s="338">
        <f t="shared" si="94"/>
        <v>0</v>
      </c>
      <c r="AI93" s="336">
        <f t="shared" si="38"/>
        <v>0</v>
      </c>
      <c r="AJ93" s="337">
        <f t="shared" si="38"/>
        <v>0</v>
      </c>
      <c r="AK93" s="338">
        <f t="shared" si="95"/>
        <v>0</v>
      </c>
      <c r="AL93" s="342"/>
      <c r="AM93" s="336">
        <f t="shared" si="39"/>
        <v>0</v>
      </c>
      <c r="AN93" s="339">
        <f t="shared" si="39"/>
        <v>0</v>
      </c>
      <c r="AO93" s="340">
        <f t="shared" si="96"/>
        <v>0</v>
      </c>
      <c r="AP93" s="336">
        <f t="shared" si="40"/>
        <v>0</v>
      </c>
      <c r="AQ93" s="339">
        <f t="shared" si="40"/>
        <v>0</v>
      </c>
      <c r="AR93" s="340">
        <f t="shared" si="97"/>
        <v>0</v>
      </c>
      <c r="AS93" s="341">
        <f t="shared" si="90"/>
        <v>0</v>
      </c>
      <c r="AT93" s="339">
        <f t="shared" si="90"/>
        <v>0</v>
      </c>
      <c r="AU93" s="340">
        <f t="shared" si="98"/>
        <v>0</v>
      </c>
      <c r="AV93" s="589">
        <f t="shared" si="99"/>
        <v>0</v>
      </c>
      <c r="AW93" s="343"/>
      <c r="AX93" s="1098"/>
      <c r="AY93" s="345"/>
      <c r="AZ93" s="1098"/>
      <c r="BA93" s="345"/>
      <c r="BB93" s="1120"/>
      <c r="BC93" s="347"/>
      <c r="BD93" s="348"/>
      <c r="BE93" s="349"/>
      <c r="BF93" s="348"/>
      <c r="BG93" s="349"/>
      <c r="BH93" s="350"/>
      <c r="BI93" s="351"/>
      <c r="BJ93" s="352"/>
      <c r="BK93" s="337"/>
      <c r="BL93" s="352"/>
      <c r="BM93" s="337"/>
      <c r="BN93" s="353"/>
      <c r="BO93" s="354"/>
      <c r="BP93" s="355"/>
      <c r="BQ93" s="356"/>
      <c r="BR93" s="355"/>
      <c r="BS93" s="356"/>
      <c r="BT93" s="357"/>
    </row>
    <row r="94" spans="1:72" s="313" customFormat="1" ht="25.5" customHeight="1" outlineLevel="2">
      <c r="A94" s="287">
        <v>84</v>
      </c>
      <c r="B94" s="933"/>
      <c r="C94" s="840"/>
      <c r="D94" s="841" t="s">
        <v>807</v>
      </c>
      <c r="E94" s="839"/>
      <c r="F94" s="821" t="s">
        <v>7</v>
      </c>
      <c r="G94" s="314">
        <v>4</v>
      </c>
      <c r="H94" s="739" t="s">
        <v>70</v>
      </c>
      <c r="I94" s="739">
        <v>244</v>
      </c>
      <c r="J94" s="740">
        <v>226</v>
      </c>
      <c r="K94" s="533" t="s">
        <v>287</v>
      </c>
      <c r="L94" s="1031">
        <v>0</v>
      </c>
      <c r="M94" s="318"/>
      <c r="N94" s="318"/>
      <c r="O94" s="1052">
        <f t="shared" si="101"/>
        <v>0</v>
      </c>
      <c r="P94" s="562"/>
      <c r="Q94" s="336"/>
      <c r="R94" s="562"/>
      <c r="S94" s="336"/>
      <c r="T94" s="562"/>
      <c r="U94" s="466"/>
      <c r="V94" s="320"/>
      <c r="W94" s="320"/>
      <c r="X94" s="320"/>
      <c r="Z94" s="336">
        <f t="shared" si="35"/>
        <v>0</v>
      </c>
      <c r="AA94" s="337">
        <f t="shared" si="35"/>
        <v>0</v>
      </c>
      <c r="AB94" s="338">
        <f t="shared" si="92"/>
        <v>0</v>
      </c>
      <c r="AC94" s="336">
        <f t="shared" si="36"/>
        <v>0</v>
      </c>
      <c r="AD94" s="337">
        <f t="shared" si="36"/>
        <v>0</v>
      </c>
      <c r="AE94" s="338">
        <f t="shared" si="93"/>
        <v>0</v>
      </c>
      <c r="AF94" s="336">
        <f t="shared" si="37"/>
        <v>0</v>
      </c>
      <c r="AG94" s="337">
        <f t="shared" si="37"/>
        <v>0</v>
      </c>
      <c r="AH94" s="338">
        <f t="shared" si="94"/>
        <v>0</v>
      </c>
      <c r="AI94" s="336">
        <f t="shared" si="38"/>
        <v>0</v>
      </c>
      <c r="AJ94" s="337">
        <f t="shared" si="38"/>
        <v>0</v>
      </c>
      <c r="AK94" s="338">
        <f t="shared" si="95"/>
        <v>0</v>
      </c>
      <c r="AL94" s="342"/>
      <c r="AM94" s="336">
        <f t="shared" si="39"/>
        <v>0</v>
      </c>
      <c r="AN94" s="339">
        <f t="shared" si="39"/>
        <v>0</v>
      </c>
      <c r="AO94" s="340">
        <f t="shared" si="96"/>
        <v>0</v>
      </c>
      <c r="AP94" s="336">
        <f t="shared" si="40"/>
        <v>0</v>
      </c>
      <c r="AQ94" s="339">
        <f t="shared" si="40"/>
        <v>0</v>
      </c>
      <c r="AR94" s="340">
        <f t="shared" si="97"/>
        <v>0</v>
      </c>
      <c r="AS94" s="341">
        <f t="shared" ref="AS94:AT109" si="103">Z94+AC94+AF94+AI94</f>
        <v>0</v>
      </c>
      <c r="AT94" s="339">
        <f t="shared" si="103"/>
        <v>0</v>
      </c>
      <c r="AU94" s="340">
        <f t="shared" si="98"/>
        <v>0</v>
      </c>
      <c r="AV94" s="589">
        <f t="shared" si="99"/>
        <v>0</v>
      </c>
      <c r="AW94" s="343"/>
      <c r="AX94" s="1098"/>
      <c r="AY94" s="345"/>
      <c r="AZ94" s="1098"/>
      <c r="BA94" s="345"/>
      <c r="BB94" s="1120"/>
      <c r="BC94" s="347"/>
      <c r="BD94" s="348"/>
      <c r="BE94" s="349"/>
      <c r="BF94" s="348"/>
      <c r="BG94" s="349"/>
      <c r="BH94" s="350"/>
      <c r="BI94" s="351"/>
      <c r="BJ94" s="352"/>
      <c r="BK94" s="337"/>
      <c r="BL94" s="352"/>
      <c r="BM94" s="337"/>
      <c r="BN94" s="353"/>
      <c r="BO94" s="354"/>
      <c r="BP94" s="355"/>
      <c r="BQ94" s="356"/>
      <c r="BR94" s="355"/>
      <c r="BS94" s="356"/>
      <c r="BT94" s="357"/>
    </row>
    <row r="95" spans="1:72" s="313" customFormat="1" ht="25.5" customHeight="1" outlineLevel="2">
      <c r="A95" s="287">
        <v>85</v>
      </c>
      <c r="B95" s="933"/>
      <c r="C95" s="840"/>
      <c r="D95" s="841" t="s">
        <v>807</v>
      </c>
      <c r="E95" s="839"/>
      <c r="F95" s="821" t="s">
        <v>7</v>
      </c>
      <c r="G95" s="314">
        <v>4</v>
      </c>
      <c r="H95" s="739" t="s">
        <v>70</v>
      </c>
      <c r="I95" s="739">
        <v>244</v>
      </c>
      <c r="J95" s="740">
        <v>226</v>
      </c>
      <c r="K95" s="538" t="s">
        <v>493</v>
      </c>
      <c r="L95" s="1029">
        <v>25300</v>
      </c>
      <c r="M95" s="318"/>
      <c r="N95" s="318"/>
      <c r="O95" s="1063">
        <f t="shared" si="101"/>
        <v>25300</v>
      </c>
      <c r="P95" s="562"/>
      <c r="Q95" s="336"/>
      <c r="R95" s="562"/>
      <c r="S95" s="336"/>
      <c r="T95" s="562"/>
      <c r="U95" s="466"/>
      <c r="V95" s="597" t="s">
        <v>494</v>
      </c>
      <c r="W95" s="597" t="s">
        <v>763</v>
      </c>
      <c r="X95" s="597" t="s">
        <v>764</v>
      </c>
      <c r="Z95" s="336">
        <f t="shared" si="35"/>
        <v>0</v>
      </c>
      <c r="AA95" s="337">
        <f t="shared" si="35"/>
        <v>0</v>
      </c>
      <c r="AB95" s="338">
        <f t="shared" si="92"/>
        <v>0</v>
      </c>
      <c r="AC95" s="336">
        <f t="shared" si="36"/>
        <v>25300</v>
      </c>
      <c r="AD95" s="337">
        <f t="shared" si="36"/>
        <v>0</v>
      </c>
      <c r="AE95" s="338">
        <f t="shared" si="93"/>
        <v>25300</v>
      </c>
      <c r="AF95" s="336">
        <f t="shared" si="37"/>
        <v>0</v>
      </c>
      <c r="AG95" s="337">
        <f t="shared" si="37"/>
        <v>0</v>
      </c>
      <c r="AH95" s="338">
        <f t="shared" si="94"/>
        <v>0</v>
      </c>
      <c r="AI95" s="336">
        <f t="shared" si="38"/>
        <v>0</v>
      </c>
      <c r="AJ95" s="337">
        <f t="shared" si="38"/>
        <v>0</v>
      </c>
      <c r="AK95" s="338">
        <f t="shared" si="95"/>
        <v>0</v>
      </c>
      <c r="AL95" s="342"/>
      <c r="AM95" s="336">
        <f t="shared" si="39"/>
        <v>25300</v>
      </c>
      <c r="AN95" s="339">
        <f t="shared" si="39"/>
        <v>0</v>
      </c>
      <c r="AO95" s="340">
        <f t="shared" si="96"/>
        <v>25300</v>
      </c>
      <c r="AP95" s="336">
        <f t="shared" si="40"/>
        <v>25300</v>
      </c>
      <c r="AQ95" s="339">
        <f t="shared" si="40"/>
        <v>0</v>
      </c>
      <c r="AR95" s="340">
        <f t="shared" si="97"/>
        <v>25300</v>
      </c>
      <c r="AS95" s="341">
        <f t="shared" si="103"/>
        <v>25300</v>
      </c>
      <c r="AT95" s="339">
        <f t="shared" si="103"/>
        <v>0</v>
      </c>
      <c r="AU95" s="340">
        <f t="shared" si="98"/>
        <v>25300</v>
      </c>
      <c r="AV95" s="589">
        <f t="shared" si="99"/>
        <v>0</v>
      </c>
      <c r="AW95" s="343"/>
      <c r="AX95" s="1098"/>
      <c r="AY95" s="345"/>
      <c r="AZ95" s="1098"/>
      <c r="BA95" s="345"/>
      <c r="BB95" s="1120"/>
      <c r="BC95" s="347">
        <v>25300</v>
      </c>
      <c r="BD95" s="348"/>
      <c r="BE95" s="349"/>
      <c r="BF95" s="348"/>
      <c r="BG95" s="349"/>
      <c r="BH95" s="350"/>
      <c r="BI95" s="351"/>
      <c r="BJ95" s="352"/>
      <c r="BK95" s="337"/>
      <c r="BL95" s="352"/>
      <c r="BM95" s="337"/>
      <c r="BN95" s="353"/>
      <c r="BO95" s="354"/>
      <c r="BP95" s="355"/>
      <c r="BQ95" s="356"/>
      <c r="BR95" s="355"/>
      <c r="BS95" s="356"/>
      <c r="BT95" s="357"/>
    </row>
    <row r="96" spans="1:72" s="313" customFormat="1" ht="25.5" customHeight="1" outlineLevel="2">
      <c r="A96" s="287">
        <v>86</v>
      </c>
      <c r="B96" s="933"/>
      <c r="C96" s="840"/>
      <c r="D96" s="841" t="s">
        <v>807</v>
      </c>
      <c r="E96" s="839"/>
      <c r="F96" s="821" t="s">
        <v>7</v>
      </c>
      <c r="G96" s="314">
        <v>4</v>
      </c>
      <c r="H96" s="739" t="s">
        <v>70</v>
      </c>
      <c r="I96" s="739">
        <v>244</v>
      </c>
      <c r="J96" s="740">
        <v>226</v>
      </c>
      <c r="K96" s="533" t="s">
        <v>289</v>
      </c>
      <c r="L96" s="1031">
        <v>0</v>
      </c>
      <c r="M96" s="318"/>
      <c r="N96" s="318"/>
      <c r="O96" s="1052">
        <f t="shared" si="101"/>
        <v>0</v>
      </c>
      <c r="P96" s="562"/>
      <c r="Q96" s="336"/>
      <c r="R96" s="562"/>
      <c r="S96" s="336"/>
      <c r="T96" s="562"/>
      <c r="U96" s="466"/>
      <c r="V96" s="320"/>
      <c r="W96" s="320"/>
      <c r="X96" s="320"/>
      <c r="Z96" s="336">
        <f t="shared" si="35"/>
        <v>0</v>
      </c>
      <c r="AA96" s="337">
        <f t="shared" si="35"/>
        <v>0</v>
      </c>
      <c r="AB96" s="338">
        <f t="shared" si="92"/>
        <v>0</v>
      </c>
      <c r="AC96" s="336">
        <f t="shared" si="36"/>
        <v>0</v>
      </c>
      <c r="AD96" s="337">
        <f t="shared" si="36"/>
        <v>0</v>
      </c>
      <c r="AE96" s="338">
        <f t="shared" si="93"/>
        <v>0</v>
      </c>
      <c r="AF96" s="336">
        <f t="shared" si="37"/>
        <v>0</v>
      </c>
      <c r="AG96" s="337">
        <f t="shared" si="37"/>
        <v>0</v>
      </c>
      <c r="AH96" s="338">
        <f t="shared" si="94"/>
        <v>0</v>
      </c>
      <c r="AI96" s="336">
        <f t="shared" si="38"/>
        <v>0</v>
      </c>
      <c r="AJ96" s="337">
        <f t="shared" si="38"/>
        <v>0</v>
      </c>
      <c r="AK96" s="338">
        <f t="shared" si="95"/>
        <v>0</v>
      </c>
      <c r="AL96" s="342"/>
      <c r="AM96" s="336">
        <f t="shared" si="39"/>
        <v>0</v>
      </c>
      <c r="AN96" s="339">
        <f t="shared" si="39"/>
        <v>0</v>
      </c>
      <c r="AO96" s="340">
        <f t="shared" si="96"/>
        <v>0</v>
      </c>
      <c r="AP96" s="336">
        <f t="shared" si="40"/>
        <v>0</v>
      </c>
      <c r="AQ96" s="339">
        <f t="shared" si="40"/>
        <v>0</v>
      </c>
      <c r="AR96" s="340">
        <f t="shared" si="97"/>
        <v>0</v>
      </c>
      <c r="AS96" s="341">
        <f t="shared" si="103"/>
        <v>0</v>
      </c>
      <c r="AT96" s="339">
        <f t="shared" si="103"/>
        <v>0</v>
      </c>
      <c r="AU96" s="340">
        <f t="shared" si="98"/>
        <v>0</v>
      </c>
      <c r="AV96" s="589">
        <f t="shared" si="99"/>
        <v>0</v>
      </c>
      <c r="AW96" s="343"/>
      <c r="AX96" s="1098"/>
      <c r="AY96" s="345"/>
      <c r="AZ96" s="1098"/>
      <c r="BA96" s="345"/>
      <c r="BB96" s="1120"/>
      <c r="BC96" s="347"/>
      <c r="BD96" s="348"/>
      <c r="BE96" s="349"/>
      <c r="BF96" s="348"/>
      <c r="BG96" s="349"/>
      <c r="BH96" s="350"/>
      <c r="BI96" s="351"/>
      <c r="BJ96" s="352"/>
      <c r="BK96" s="337"/>
      <c r="BL96" s="352"/>
      <c r="BM96" s="337"/>
      <c r="BN96" s="353"/>
      <c r="BO96" s="354"/>
      <c r="BP96" s="355"/>
      <c r="BQ96" s="356"/>
      <c r="BR96" s="355"/>
      <c r="BS96" s="356"/>
      <c r="BT96" s="357"/>
    </row>
    <row r="97" spans="1:72" s="430" customFormat="1" ht="25.5" customHeight="1" outlineLevel="2">
      <c r="A97" s="287">
        <v>87</v>
      </c>
      <c r="B97" s="936"/>
      <c r="C97" s="743"/>
      <c r="D97" s="856" t="s">
        <v>807</v>
      </c>
      <c r="E97" s="857"/>
      <c r="F97" s="827" t="s">
        <v>7</v>
      </c>
      <c r="G97" s="431">
        <v>4</v>
      </c>
      <c r="H97" s="474" t="s">
        <v>70</v>
      </c>
      <c r="I97" s="743">
        <v>244</v>
      </c>
      <c r="J97" s="744">
        <v>226</v>
      </c>
      <c r="K97" s="536" t="s">
        <v>688</v>
      </c>
      <c r="L97" s="1030">
        <f>559569.35-SUM(L90:L96)</f>
        <v>0</v>
      </c>
      <c r="M97" s="434"/>
      <c r="N97" s="434"/>
      <c r="O97" s="1064">
        <f t="shared" si="101"/>
        <v>0</v>
      </c>
      <c r="P97" s="563"/>
      <c r="Q97" s="437"/>
      <c r="R97" s="563"/>
      <c r="S97" s="437"/>
      <c r="T97" s="563"/>
      <c r="U97" s="467"/>
      <c r="V97" s="436"/>
      <c r="W97" s="436"/>
      <c r="X97" s="436"/>
      <c r="Z97" s="437">
        <f t="shared" si="35"/>
        <v>0</v>
      </c>
      <c r="AA97" s="438">
        <f t="shared" si="35"/>
        <v>0</v>
      </c>
      <c r="AB97" s="439">
        <f t="shared" si="92"/>
        <v>0</v>
      </c>
      <c r="AC97" s="437">
        <f t="shared" si="36"/>
        <v>0</v>
      </c>
      <c r="AD97" s="438">
        <f t="shared" si="36"/>
        <v>0</v>
      </c>
      <c r="AE97" s="439">
        <f t="shared" si="93"/>
        <v>0</v>
      </c>
      <c r="AF97" s="437">
        <f t="shared" si="37"/>
        <v>0</v>
      </c>
      <c r="AG97" s="438">
        <f t="shared" si="37"/>
        <v>0</v>
      </c>
      <c r="AH97" s="439">
        <f t="shared" si="94"/>
        <v>0</v>
      </c>
      <c r="AI97" s="437">
        <f t="shared" si="38"/>
        <v>0</v>
      </c>
      <c r="AJ97" s="438">
        <f t="shared" si="38"/>
        <v>0</v>
      </c>
      <c r="AK97" s="439">
        <f t="shared" si="95"/>
        <v>0</v>
      </c>
      <c r="AL97" s="440"/>
      <c r="AM97" s="437">
        <f t="shared" si="39"/>
        <v>0</v>
      </c>
      <c r="AN97" s="441">
        <f t="shared" si="39"/>
        <v>0</v>
      </c>
      <c r="AO97" s="442">
        <f t="shared" si="96"/>
        <v>0</v>
      </c>
      <c r="AP97" s="437">
        <f t="shared" si="40"/>
        <v>0</v>
      </c>
      <c r="AQ97" s="441">
        <f t="shared" si="40"/>
        <v>0</v>
      </c>
      <c r="AR97" s="442">
        <f t="shared" si="97"/>
        <v>0</v>
      </c>
      <c r="AS97" s="443">
        <f t="shared" si="103"/>
        <v>0</v>
      </c>
      <c r="AT97" s="441">
        <f t="shared" si="103"/>
        <v>0</v>
      </c>
      <c r="AU97" s="442">
        <f t="shared" si="98"/>
        <v>0</v>
      </c>
      <c r="AV97" s="601">
        <f t="shared" si="99"/>
        <v>0</v>
      </c>
      <c r="AW97" s="444"/>
      <c r="AX97" s="1111"/>
      <c r="AY97" s="446"/>
      <c r="AZ97" s="1111"/>
      <c r="BA97" s="446"/>
      <c r="BB97" s="1129"/>
      <c r="BC97" s="448"/>
      <c r="BD97" s="449"/>
      <c r="BE97" s="450"/>
      <c r="BF97" s="449"/>
      <c r="BG97" s="450"/>
      <c r="BH97" s="451"/>
      <c r="BI97" s="452"/>
      <c r="BJ97" s="453"/>
      <c r="BK97" s="438"/>
      <c r="BL97" s="453"/>
      <c r="BM97" s="438"/>
      <c r="BN97" s="454"/>
      <c r="BO97" s="455"/>
      <c r="BP97" s="456"/>
      <c r="BQ97" s="457"/>
      <c r="BR97" s="456"/>
      <c r="BS97" s="457"/>
      <c r="BT97" s="458"/>
    </row>
    <row r="98" spans="1:72" s="459" customFormat="1" ht="66.75" customHeight="1" outlineLevel="1">
      <c r="A98" s="287">
        <v>88</v>
      </c>
      <c r="B98" s="933"/>
      <c r="C98" s="850" t="s">
        <v>378</v>
      </c>
      <c r="D98" s="854" t="s">
        <v>272</v>
      </c>
      <c r="E98" s="855"/>
      <c r="F98" s="826" t="s">
        <v>7</v>
      </c>
      <c r="G98" s="462">
        <v>4</v>
      </c>
      <c r="H98" s="741" t="s">
        <v>70</v>
      </c>
      <c r="I98" s="741">
        <v>244</v>
      </c>
      <c r="J98" s="742">
        <v>226</v>
      </c>
      <c r="K98" s="535" t="s">
        <v>278</v>
      </c>
      <c r="L98" s="1028">
        <v>340187.83</v>
      </c>
      <c r="M98" s="352"/>
      <c r="N98" s="352"/>
      <c r="O98" s="1062">
        <f t="shared" si="101"/>
        <v>340187.83</v>
      </c>
      <c r="P98" s="561"/>
      <c r="Q98" s="464"/>
      <c r="R98" s="561"/>
      <c r="S98" s="464"/>
      <c r="T98" s="561"/>
      <c r="U98" s="393"/>
      <c r="V98" s="394"/>
      <c r="W98" s="394"/>
      <c r="X98" s="394"/>
      <c r="Y98" s="392"/>
      <c r="Z98" s="395">
        <f t="shared" si="35"/>
        <v>0</v>
      </c>
      <c r="AA98" s="396">
        <f t="shared" si="35"/>
        <v>0</v>
      </c>
      <c r="AB98" s="397">
        <f t="shared" si="92"/>
        <v>0</v>
      </c>
      <c r="AC98" s="395">
        <f t="shared" si="36"/>
        <v>0</v>
      </c>
      <c r="AD98" s="396">
        <f t="shared" si="36"/>
        <v>0</v>
      </c>
      <c r="AE98" s="397">
        <f t="shared" si="93"/>
        <v>0</v>
      </c>
      <c r="AF98" s="395">
        <f t="shared" si="37"/>
        <v>340187.83</v>
      </c>
      <c r="AG98" s="396">
        <f t="shared" si="37"/>
        <v>0</v>
      </c>
      <c r="AH98" s="397">
        <f t="shared" si="94"/>
        <v>340187.83</v>
      </c>
      <c r="AI98" s="395">
        <f t="shared" si="38"/>
        <v>0</v>
      </c>
      <c r="AJ98" s="396">
        <f t="shared" si="38"/>
        <v>0</v>
      </c>
      <c r="AK98" s="397">
        <f t="shared" si="95"/>
        <v>0</v>
      </c>
      <c r="AL98" s="398"/>
      <c r="AM98" s="464">
        <f t="shared" si="39"/>
        <v>0</v>
      </c>
      <c r="AN98" s="352">
        <f t="shared" si="39"/>
        <v>0</v>
      </c>
      <c r="AO98" s="465">
        <f t="shared" si="96"/>
        <v>0</v>
      </c>
      <c r="AP98" s="464">
        <f t="shared" si="40"/>
        <v>340187.83</v>
      </c>
      <c r="AQ98" s="352">
        <f t="shared" si="40"/>
        <v>0</v>
      </c>
      <c r="AR98" s="465">
        <f t="shared" si="97"/>
        <v>340187.83</v>
      </c>
      <c r="AS98" s="464">
        <f t="shared" si="103"/>
        <v>340187.83</v>
      </c>
      <c r="AT98" s="352">
        <f t="shared" si="103"/>
        <v>0</v>
      </c>
      <c r="AU98" s="465">
        <f t="shared" si="98"/>
        <v>340187.83</v>
      </c>
      <c r="AV98" s="600">
        <f t="shared" si="99"/>
        <v>0</v>
      </c>
      <c r="AW98" s="464">
        <f t="shared" ref="AW98:BT98" si="104">SUM(AW99:AW100)</f>
        <v>0</v>
      </c>
      <c r="AX98" s="1110">
        <f t="shared" si="104"/>
        <v>0</v>
      </c>
      <c r="AY98" s="352">
        <f t="shared" si="104"/>
        <v>0</v>
      </c>
      <c r="AZ98" s="1110">
        <f t="shared" si="104"/>
        <v>0</v>
      </c>
      <c r="BA98" s="352">
        <f t="shared" si="104"/>
        <v>0</v>
      </c>
      <c r="BB98" s="1128">
        <f t="shared" si="104"/>
        <v>0</v>
      </c>
      <c r="BC98" s="464">
        <f t="shared" si="104"/>
        <v>0</v>
      </c>
      <c r="BD98" s="352">
        <f t="shared" si="104"/>
        <v>0</v>
      </c>
      <c r="BE98" s="352">
        <f t="shared" si="104"/>
        <v>0</v>
      </c>
      <c r="BF98" s="352">
        <f t="shared" si="104"/>
        <v>0</v>
      </c>
      <c r="BG98" s="352">
        <f t="shared" si="104"/>
        <v>0</v>
      </c>
      <c r="BH98" s="353">
        <f t="shared" si="104"/>
        <v>0</v>
      </c>
      <c r="BI98" s="464">
        <f t="shared" si="104"/>
        <v>0</v>
      </c>
      <c r="BJ98" s="352">
        <f t="shared" si="104"/>
        <v>0</v>
      </c>
      <c r="BK98" s="352">
        <f t="shared" si="104"/>
        <v>100000</v>
      </c>
      <c r="BL98" s="352">
        <f t="shared" si="104"/>
        <v>0</v>
      </c>
      <c r="BM98" s="352">
        <f t="shared" si="104"/>
        <v>240187.83</v>
      </c>
      <c r="BN98" s="353">
        <f t="shared" si="104"/>
        <v>0</v>
      </c>
      <c r="BO98" s="464">
        <f t="shared" si="104"/>
        <v>0</v>
      </c>
      <c r="BP98" s="352">
        <f t="shared" si="104"/>
        <v>0</v>
      </c>
      <c r="BQ98" s="352">
        <f t="shared" si="104"/>
        <v>0</v>
      </c>
      <c r="BR98" s="352">
        <f t="shared" si="104"/>
        <v>0</v>
      </c>
      <c r="BS98" s="352">
        <f t="shared" si="104"/>
        <v>0</v>
      </c>
      <c r="BT98" s="465">
        <f t="shared" si="104"/>
        <v>0</v>
      </c>
    </row>
    <row r="99" spans="1:72" s="313" customFormat="1" ht="38.25" customHeight="1" outlineLevel="2">
      <c r="A99" s="287">
        <v>89</v>
      </c>
      <c r="B99" s="933"/>
      <c r="C99" s="840"/>
      <c r="D99" s="841" t="s">
        <v>272</v>
      </c>
      <c r="E99" s="839"/>
      <c r="F99" s="821" t="s">
        <v>7</v>
      </c>
      <c r="G99" s="314">
        <v>4</v>
      </c>
      <c r="H99" s="739" t="s">
        <v>70</v>
      </c>
      <c r="I99" s="739">
        <v>244</v>
      </c>
      <c r="J99" s="740">
        <v>226</v>
      </c>
      <c r="K99" s="533" t="s">
        <v>291</v>
      </c>
      <c r="L99" s="1031">
        <v>340187.83</v>
      </c>
      <c r="M99" s="318"/>
      <c r="N99" s="318"/>
      <c r="O99" s="1052">
        <f t="shared" si="101"/>
        <v>340187.83</v>
      </c>
      <c r="P99" s="562"/>
      <c r="Q99" s="336"/>
      <c r="R99" s="562"/>
      <c r="S99" s="336"/>
      <c r="T99" s="562"/>
      <c r="U99" s="466"/>
      <c r="V99" s="320"/>
      <c r="W99" s="320"/>
      <c r="X99" s="320"/>
      <c r="Z99" s="336">
        <f t="shared" si="35"/>
        <v>0</v>
      </c>
      <c r="AA99" s="337">
        <f t="shared" si="35"/>
        <v>0</v>
      </c>
      <c r="AB99" s="338">
        <f t="shared" si="92"/>
        <v>0</v>
      </c>
      <c r="AC99" s="336">
        <f t="shared" si="36"/>
        <v>0</v>
      </c>
      <c r="AD99" s="337">
        <f t="shared" si="36"/>
        <v>0</v>
      </c>
      <c r="AE99" s="338">
        <f t="shared" si="93"/>
        <v>0</v>
      </c>
      <c r="AF99" s="336">
        <f t="shared" si="37"/>
        <v>340187.83</v>
      </c>
      <c r="AG99" s="337">
        <f t="shared" si="37"/>
        <v>0</v>
      </c>
      <c r="AH99" s="338">
        <f t="shared" si="94"/>
        <v>340187.83</v>
      </c>
      <c r="AI99" s="336">
        <f t="shared" si="38"/>
        <v>0</v>
      </c>
      <c r="AJ99" s="337">
        <f t="shared" si="38"/>
        <v>0</v>
      </c>
      <c r="AK99" s="338">
        <f t="shared" si="95"/>
        <v>0</v>
      </c>
      <c r="AL99" s="342"/>
      <c r="AM99" s="336">
        <f t="shared" si="39"/>
        <v>0</v>
      </c>
      <c r="AN99" s="339">
        <f t="shared" si="39"/>
        <v>0</v>
      </c>
      <c r="AO99" s="340">
        <f t="shared" si="96"/>
        <v>0</v>
      </c>
      <c r="AP99" s="336">
        <f t="shared" si="40"/>
        <v>340187.83</v>
      </c>
      <c r="AQ99" s="339">
        <f t="shared" si="40"/>
        <v>0</v>
      </c>
      <c r="AR99" s="340">
        <f t="shared" si="97"/>
        <v>340187.83</v>
      </c>
      <c r="AS99" s="341">
        <f t="shared" si="103"/>
        <v>340187.83</v>
      </c>
      <c r="AT99" s="339">
        <f t="shared" si="103"/>
        <v>0</v>
      </c>
      <c r="AU99" s="340">
        <f t="shared" si="98"/>
        <v>340187.83</v>
      </c>
      <c r="AV99" s="589">
        <f t="shared" si="99"/>
        <v>0</v>
      </c>
      <c r="AW99" s="343"/>
      <c r="AX99" s="1098"/>
      <c r="AY99" s="345"/>
      <c r="AZ99" s="1098"/>
      <c r="BA99" s="345"/>
      <c r="BB99" s="1120"/>
      <c r="BC99" s="347"/>
      <c r="BD99" s="348"/>
      <c r="BE99" s="349"/>
      <c r="BF99" s="348"/>
      <c r="BG99" s="349"/>
      <c r="BH99" s="350"/>
      <c r="BI99" s="351"/>
      <c r="BJ99" s="352"/>
      <c r="BK99" s="337">
        <v>100000</v>
      </c>
      <c r="BL99" s="352"/>
      <c r="BM99" s="337">
        <v>240187.83</v>
      </c>
      <c r="BN99" s="353"/>
      <c r="BO99" s="354"/>
      <c r="BP99" s="355"/>
      <c r="BQ99" s="356"/>
      <c r="BR99" s="355"/>
      <c r="BS99" s="356"/>
      <c r="BT99" s="357"/>
    </row>
    <row r="100" spans="1:72" s="430" customFormat="1" ht="25.5" customHeight="1" outlineLevel="2">
      <c r="A100" s="287">
        <v>90</v>
      </c>
      <c r="B100" s="933"/>
      <c r="C100" s="743"/>
      <c r="D100" s="856" t="s">
        <v>272</v>
      </c>
      <c r="E100" s="857"/>
      <c r="F100" s="827" t="s">
        <v>7</v>
      </c>
      <c r="G100" s="431">
        <v>4</v>
      </c>
      <c r="H100" s="474" t="s">
        <v>70</v>
      </c>
      <c r="I100" s="743">
        <v>244</v>
      </c>
      <c r="J100" s="744">
        <v>226</v>
      </c>
      <c r="K100" s="536" t="s">
        <v>284</v>
      </c>
      <c r="L100" s="1030"/>
      <c r="M100" s="434"/>
      <c r="N100" s="434"/>
      <c r="O100" s="1064">
        <f t="shared" si="101"/>
        <v>0</v>
      </c>
      <c r="P100" s="563"/>
      <c r="Q100" s="437"/>
      <c r="R100" s="563"/>
      <c r="S100" s="437"/>
      <c r="T100" s="563"/>
      <c r="U100" s="467"/>
      <c r="V100" s="436"/>
      <c r="W100" s="436"/>
      <c r="X100" s="436"/>
      <c r="Z100" s="437">
        <f t="shared" ref="Z100:AA157" si="105">AW100+AY100+BA100</f>
        <v>0</v>
      </c>
      <c r="AA100" s="438">
        <f t="shared" si="105"/>
        <v>0</v>
      </c>
      <c r="AB100" s="439">
        <f t="shared" si="92"/>
        <v>0</v>
      </c>
      <c r="AC100" s="437">
        <f t="shared" ref="AC100:AD157" si="106">BC100+BE100+BG100</f>
        <v>0</v>
      </c>
      <c r="AD100" s="438">
        <f t="shared" si="106"/>
        <v>0</v>
      </c>
      <c r="AE100" s="439">
        <f t="shared" si="93"/>
        <v>0</v>
      </c>
      <c r="AF100" s="437">
        <f t="shared" ref="AF100:AG157" si="107">BI100+BK100+BM100</f>
        <v>0</v>
      </c>
      <c r="AG100" s="438">
        <f t="shared" si="107"/>
        <v>0</v>
      </c>
      <c r="AH100" s="439">
        <f t="shared" si="94"/>
        <v>0</v>
      </c>
      <c r="AI100" s="437">
        <f t="shared" ref="AI100:AJ157" si="108">BO100+BQ100+BS100</f>
        <v>0</v>
      </c>
      <c r="AJ100" s="438">
        <f t="shared" si="108"/>
        <v>0</v>
      </c>
      <c r="AK100" s="439">
        <f t="shared" si="95"/>
        <v>0</v>
      </c>
      <c r="AL100" s="440"/>
      <c r="AM100" s="437">
        <f t="shared" ref="AM100:AN157" si="109">Z100+AC100</f>
        <v>0</v>
      </c>
      <c r="AN100" s="441">
        <f t="shared" si="109"/>
        <v>0</v>
      </c>
      <c r="AO100" s="442">
        <f t="shared" si="96"/>
        <v>0</v>
      </c>
      <c r="AP100" s="437">
        <f t="shared" ref="AP100:AQ157" si="110">Z100+AC100+AF100</f>
        <v>0</v>
      </c>
      <c r="AQ100" s="441">
        <f t="shared" si="110"/>
        <v>0</v>
      </c>
      <c r="AR100" s="442">
        <f t="shared" si="97"/>
        <v>0</v>
      </c>
      <c r="AS100" s="443">
        <f t="shared" si="103"/>
        <v>0</v>
      </c>
      <c r="AT100" s="441">
        <f t="shared" si="103"/>
        <v>0</v>
      </c>
      <c r="AU100" s="442">
        <f t="shared" si="98"/>
        <v>0</v>
      </c>
      <c r="AV100" s="601">
        <f t="shared" si="99"/>
        <v>0</v>
      </c>
      <c r="AW100" s="444"/>
      <c r="AX100" s="1111"/>
      <c r="AY100" s="446"/>
      <c r="AZ100" s="1111"/>
      <c r="BA100" s="446"/>
      <c r="BB100" s="1129"/>
      <c r="BC100" s="448"/>
      <c r="BD100" s="449"/>
      <c r="BE100" s="450"/>
      <c r="BF100" s="449"/>
      <c r="BG100" s="450"/>
      <c r="BH100" s="451"/>
      <c r="BI100" s="452"/>
      <c r="BJ100" s="453"/>
      <c r="BK100" s="438"/>
      <c r="BL100" s="453"/>
      <c r="BM100" s="438"/>
      <c r="BN100" s="454"/>
      <c r="BO100" s="455"/>
      <c r="BP100" s="456"/>
      <c r="BQ100" s="457"/>
      <c r="BR100" s="456"/>
      <c r="BS100" s="457"/>
      <c r="BT100" s="458"/>
    </row>
    <row r="101" spans="1:72" s="468" customFormat="1" ht="66.75" customHeight="1" outlineLevel="1">
      <c r="A101" s="287">
        <v>91</v>
      </c>
      <c r="B101" s="933"/>
      <c r="C101" s="850" t="s">
        <v>378</v>
      </c>
      <c r="D101" s="854" t="s">
        <v>276</v>
      </c>
      <c r="E101" s="858"/>
      <c r="F101" s="828" t="s">
        <v>7</v>
      </c>
      <c r="G101" s="469">
        <v>4</v>
      </c>
      <c r="H101" s="745" t="s">
        <v>70</v>
      </c>
      <c r="I101" s="745">
        <v>244</v>
      </c>
      <c r="J101" s="746">
        <v>226</v>
      </c>
      <c r="K101" s="537" t="s">
        <v>281</v>
      </c>
      <c r="L101" s="1032">
        <v>421906.7</v>
      </c>
      <c r="M101" s="422"/>
      <c r="N101" s="422"/>
      <c r="O101" s="1065">
        <f t="shared" si="101"/>
        <v>421906.7</v>
      </c>
      <c r="P101" s="564">
        <v>741617.76</v>
      </c>
      <c r="Q101" s="472"/>
      <c r="R101" s="564"/>
      <c r="S101" s="472"/>
      <c r="T101" s="564"/>
      <c r="U101" s="393"/>
      <c r="V101" s="394"/>
      <c r="W101" s="394"/>
      <c r="X101" s="394"/>
      <c r="Y101" s="392"/>
      <c r="Z101" s="395">
        <f t="shared" si="105"/>
        <v>0</v>
      </c>
      <c r="AA101" s="396">
        <f t="shared" si="105"/>
        <v>0</v>
      </c>
      <c r="AB101" s="397">
        <f t="shared" si="92"/>
        <v>0</v>
      </c>
      <c r="AC101" s="395">
        <f t="shared" si="106"/>
        <v>0</v>
      </c>
      <c r="AD101" s="396">
        <f t="shared" si="106"/>
        <v>0</v>
      </c>
      <c r="AE101" s="397">
        <f t="shared" si="93"/>
        <v>0</v>
      </c>
      <c r="AF101" s="395">
        <f t="shared" si="107"/>
        <v>0</v>
      </c>
      <c r="AG101" s="396">
        <f t="shared" si="107"/>
        <v>0</v>
      </c>
      <c r="AH101" s="397">
        <f t="shared" si="94"/>
        <v>0</v>
      </c>
      <c r="AI101" s="395">
        <f t="shared" si="108"/>
        <v>421906.7</v>
      </c>
      <c r="AJ101" s="396">
        <f t="shared" si="108"/>
        <v>0</v>
      </c>
      <c r="AK101" s="397">
        <f t="shared" si="95"/>
        <v>421906.7</v>
      </c>
      <c r="AL101" s="398"/>
      <c r="AM101" s="472">
        <f t="shared" si="109"/>
        <v>0</v>
      </c>
      <c r="AN101" s="422">
        <f t="shared" si="109"/>
        <v>0</v>
      </c>
      <c r="AO101" s="473">
        <f t="shared" si="96"/>
        <v>0</v>
      </c>
      <c r="AP101" s="472">
        <f t="shared" si="110"/>
        <v>0</v>
      </c>
      <c r="AQ101" s="422">
        <f t="shared" si="110"/>
        <v>0</v>
      </c>
      <c r="AR101" s="473">
        <f t="shared" si="97"/>
        <v>0</v>
      </c>
      <c r="AS101" s="472">
        <f t="shared" si="103"/>
        <v>421906.7</v>
      </c>
      <c r="AT101" s="422">
        <f t="shared" si="103"/>
        <v>0</v>
      </c>
      <c r="AU101" s="473">
        <f t="shared" si="98"/>
        <v>421906.7</v>
      </c>
      <c r="AV101" s="602">
        <f t="shared" si="99"/>
        <v>0</v>
      </c>
      <c r="AW101" s="472">
        <f t="shared" ref="AW101:BT101" si="111">SUM(AW102:AW109)</f>
        <v>0</v>
      </c>
      <c r="AX101" s="1110">
        <f t="shared" si="111"/>
        <v>0</v>
      </c>
      <c r="AY101" s="422">
        <f t="shared" si="111"/>
        <v>0</v>
      </c>
      <c r="AZ101" s="1110">
        <f t="shared" si="111"/>
        <v>0</v>
      </c>
      <c r="BA101" s="422">
        <f t="shared" si="111"/>
        <v>0</v>
      </c>
      <c r="BB101" s="1128">
        <f t="shared" si="111"/>
        <v>0</v>
      </c>
      <c r="BC101" s="472">
        <f t="shared" si="111"/>
        <v>0</v>
      </c>
      <c r="BD101" s="422">
        <f t="shared" si="111"/>
        <v>0</v>
      </c>
      <c r="BE101" s="422">
        <f t="shared" si="111"/>
        <v>0</v>
      </c>
      <c r="BF101" s="422">
        <f t="shared" si="111"/>
        <v>0</v>
      </c>
      <c r="BG101" s="422">
        <f t="shared" si="111"/>
        <v>0</v>
      </c>
      <c r="BH101" s="423">
        <f t="shared" si="111"/>
        <v>0</v>
      </c>
      <c r="BI101" s="472">
        <f t="shared" si="111"/>
        <v>0</v>
      </c>
      <c r="BJ101" s="422">
        <f t="shared" si="111"/>
        <v>0</v>
      </c>
      <c r="BK101" s="422">
        <f t="shared" si="111"/>
        <v>0</v>
      </c>
      <c r="BL101" s="422">
        <f t="shared" si="111"/>
        <v>0</v>
      </c>
      <c r="BM101" s="422">
        <f t="shared" si="111"/>
        <v>0</v>
      </c>
      <c r="BN101" s="423">
        <f t="shared" si="111"/>
        <v>0</v>
      </c>
      <c r="BO101" s="472">
        <f t="shared" si="111"/>
        <v>233059.9</v>
      </c>
      <c r="BP101" s="422">
        <f t="shared" si="111"/>
        <v>0</v>
      </c>
      <c r="BQ101" s="422">
        <f t="shared" si="111"/>
        <v>188846.8</v>
      </c>
      <c r="BR101" s="422">
        <f t="shared" si="111"/>
        <v>0</v>
      </c>
      <c r="BS101" s="422">
        <f t="shared" si="111"/>
        <v>0</v>
      </c>
      <c r="BT101" s="473">
        <f t="shared" si="111"/>
        <v>0</v>
      </c>
    </row>
    <row r="102" spans="1:72" s="399" customFormat="1" ht="25.5" customHeight="1" outlineLevel="2">
      <c r="A102" s="287">
        <v>92</v>
      </c>
      <c r="B102" s="933"/>
      <c r="C102" s="859"/>
      <c r="D102" s="841" t="s">
        <v>276</v>
      </c>
      <c r="E102" s="860"/>
      <c r="F102" s="829" t="s">
        <v>7</v>
      </c>
      <c r="G102" s="400">
        <v>4</v>
      </c>
      <c r="H102" s="747" t="s">
        <v>70</v>
      </c>
      <c r="I102" s="747">
        <v>244</v>
      </c>
      <c r="J102" s="748">
        <v>226</v>
      </c>
      <c r="K102" s="538" t="s">
        <v>292</v>
      </c>
      <c r="L102" s="1031">
        <v>388846.8</v>
      </c>
      <c r="M102" s="403"/>
      <c r="N102" s="403"/>
      <c r="O102" s="1063">
        <f t="shared" si="101"/>
        <v>388846.8</v>
      </c>
      <c r="P102" s="565">
        <v>0</v>
      </c>
      <c r="Q102" s="406"/>
      <c r="R102" s="565"/>
      <c r="S102" s="406"/>
      <c r="T102" s="565"/>
      <c r="U102" s="428"/>
      <c r="V102" s="405"/>
      <c r="W102" s="405"/>
      <c r="X102" s="405"/>
      <c r="Z102" s="406">
        <f t="shared" si="105"/>
        <v>0</v>
      </c>
      <c r="AA102" s="407">
        <f t="shared" si="105"/>
        <v>0</v>
      </c>
      <c r="AB102" s="408">
        <f t="shared" si="92"/>
        <v>0</v>
      </c>
      <c r="AC102" s="406">
        <f t="shared" si="106"/>
        <v>0</v>
      </c>
      <c r="AD102" s="407">
        <f t="shared" si="106"/>
        <v>0</v>
      </c>
      <c r="AE102" s="408">
        <f t="shared" si="93"/>
        <v>0</v>
      </c>
      <c r="AF102" s="406">
        <f t="shared" si="107"/>
        <v>0</v>
      </c>
      <c r="AG102" s="407">
        <f t="shared" si="107"/>
        <v>0</v>
      </c>
      <c r="AH102" s="408">
        <f t="shared" si="94"/>
        <v>0</v>
      </c>
      <c r="AI102" s="406">
        <f t="shared" si="108"/>
        <v>388846.8</v>
      </c>
      <c r="AJ102" s="407">
        <f t="shared" si="108"/>
        <v>0</v>
      </c>
      <c r="AK102" s="408">
        <f t="shared" si="95"/>
        <v>388846.8</v>
      </c>
      <c r="AL102" s="409"/>
      <c r="AM102" s="406">
        <f t="shared" si="109"/>
        <v>0</v>
      </c>
      <c r="AN102" s="410">
        <f t="shared" si="109"/>
        <v>0</v>
      </c>
      <c r="AO102" s="411">
        <f t="shared" si="96"/>
        <v>0</v>
      </c>
      <c r="AP102" s="406">
        <f t="shared" si="110"/>
        <v>0</v>
      </c>
      <c r="AQ102" s="410">
        <f t="shared" si="110"/>
        <v>0</v>
      </c>
      <c r="AR102" s="411">
        <f t="shared" si="97"/>
        <v>0</v>
      </c>
      <c r="AS102" s="412">
        <f t="shared" si="103"/>
        <v>388846.8</v>
      </c>
      <c r="AT102" s="410">
        <f t="shared" si="103"/>
        <v>0</v>
      </c>
      <c r="AU102" s="411">
        <f t="shared" si="98"/>
        <v>388846.8</v>
      </c>
      <c r="AV102" s="603">
        <f t="shared" si="99"/>
        <v>0</v>
      </c>
      <c r="AW102" s="413"/>
      <c r="AX102" s="1098"/>
      <c r="AY102" s="415"/>
      <c r="AZ102" s="1098"/>
      <c r="BA102" s="415"/>
      <c r="BB102" s="1120"/>
      <c r="BC102" s="417"/>
      <c r="BD102" s="418"/>
      <c r="BE102" s="419"/>
      <c r="BF102" s="418"/>
      <c r="BG102" s="419"/>
      <c r="BH102" s="420"/>
      <c r="BI102" s="421"/>
      <c r="BJ102" s="422"/>
      <c r="BK102" s="407"/>
      <c r="BL102" s="422"/>
      <c r="BM102" s="407"/>
      <c r="BN102" s="423"/>
      <c r="BO102" s="424">
        <v>200000</v>
      </c>
      <c r="BP102" s="425"/>
      <c r="BQ102" s="426">
        <v>188846.8</v>
      </c>
      <c r="BR102" s="425"/>
      <c r="BS102" s="426"/>
      <c r="BT102" s="427"/>
    </row>
    <row r="103" spans="1:72" s="399" customFormat="1" ht="25.5" customHeight="1" outlineLevel="2">
      <c r="A103" s="287">
        <v>93</v>
      </c>
      <c r="B103" s="933"/>
      <c r="C103" s="859"/>
      <c r="D103" s="841" t="s">
        <v>276</v>
      </c>
      <c r="E103" s="860"/>
      <c r="F103" s="829" t="s">
        <v>7</v>
      </c>
      <c r="G103" s="400">
        <v>4</v>
      </c>
      <c r="H103" s="747" t="s">
        <v>70</v>
      </c>
      <c r="I103" s="747">
        <v>244</v>
      </c>
      <c r="J103" s="748">
        <v>226</v>
      </c>
      <c r="K103" s="538" t="s">
        <v>293</v>
      </c>
      <c r="L103" s="1031">
        <v>0</v>
      </c>
      <c r="M103" s="403"/>
      <c r="N103" s="403"/>
      <c r="O103" s="1063">
        <f t="shared" si="101"/>
        <v>0</v>
      </c>
      <c r="P103" s="565">
        <v>165393.4</v>
      </c>
      <c r="Q103" s="406"/>
      <c r="R103" s="565"/>
      <c r="S103" s="406"/>
      <c r="T103" s="565"/>
      <c r="U103" s="428"/>
      <c r="V103" s="405"/>
      <c r="W103" s="405"/>
      <c r="X103" s="405"/>
      <c r="Z103" s="406">
        <f t="shared" si="105"/>
        <v>0</v>
      </c>
      <c r="AA103" s="407">
        <f t="shared" si="105"/>
        <v>0</v>
      </c>
      <c r="AB103" s="408">
        <f t="shared" si="92"/>
        <v>0</v>
      </c>
      <c r="AC103" s="406">
        <f t="shared" si="106"/>
        <v>0</v>
      </c>
      <c r="AD103" s="407">
        <f t="shared" si="106"/>
        <v>0</v>
      </c>
      <c r="AE103" s="408">
        <f t="shared" si="93"/>
        <v>0</v>
      </c>
      <c r="AF103" s="406">
        <f t="shared" si="107"/>
        <v>0</v>
      </c>
      <c r="AG103" s="407">
        <f t="shared" si="107"/>
        <v>0</v>
      </c>
      <c r="AH103" s="408">
        <f t="shared" si="94"/>
        <v>0</v>
      </c>
      <c r="AI103" s="406">
        <f t="shared" si="108"/>
        <v>0</v>
      </c>
      <c r="AJ103" s="407">
        <f t="shared" si="108"/>
        <v>0</v>
      </c>
      <c r="AK103" s="408">
        <f t="shared" si="95"/>
        <v>0</v>
      </c>
      <c r="AL103" s="409"/>
      <c r="AM103" s="406">
        <f t="shared" si="109"/>
        <v>0</v>
      </c>
      <c r="AN103" s="410">
        <f t="shared" si="109"/>
        <v>0</v>
      </c>
      <c r="AO103" s="411">
        <f t="shared" si="96"/>
        <v>0</v>
      </c>
      <c r="AP103" s="406">
        <f t="shared" si="110"/>
        <v>0</v>
      </c>
      <c r="AQ103" s="410">
        <f t="shared" si="110"/>
        <v>0</v>
      </c>
      <c r="AR103" s="411">
        <f t="shared" si="97"/>
        <v>0</v>
      </c>
      <c r="AS103" s="412">
        <f t="shared" si="103"/>
        <v>0</v>
      </c>
      <c r="AT103" s="410">
        <f t="shared" si="103"/>
        <v>0</v>
      </c>
      <c r="AU103" s="411">
        <f t="shared" si="98"/>
        <v>0</v>
      </c>
      <c r="AV103" s="603">
        <f t="shared" si="99"/>
        <v>0</v>
      </c>
      <c r="AW103" s="413"/>
      <c r="AX103" s="1098"/>
      <c r="AY103" s="415"/>
      <c r="AZ103" s="1098"/>
      <c r="BA103" s="415"/>
      <c r="BB103" s="1120"/>
      <c r="BC103" s="417"/>
      <c r="BD103" s="418"/>
      <c r="BE103" s="419"/>
      <c r="BF103" s="418"/>
      <c r="BG103" s="419"/>
      <c r="BH103" s="420"/>
      <c r="BI103" s="421"/>
      <c r="BJ103" s="422"/>
      <c r="BK103" s="407"/>
      <c r="BL103" s="422"/>
      <c r="BM103" s="407"/>
      <c r="BN103" s="423"/>
      <c r="BO103" s="424"/>
      <c r="BP103" s="425"/>
      <c r="BQ103" s="426"/>
      <c r="BR103" s="425"/>
      <c r="BS103" s="426"/>
      <c r="BT103" s="427"/>
    </row>
    <row r="104" spans="1:72" s="399" customFormat="1" ht="25.5" customHeight="1" outlineLevel="2">
      <c r="A104" s="287">
        <v>94</v>
      </c>
      <c r="B104" s="933"/>
      <c r="C104" s="859"/>
      <c r="D104" s="841" t="s">
        <v>276</v>
      </c>
      <c r="E104" s="860"/>
      <c r="F104" s="829" t="s">
        <v>7</v>
      </c>
      <c r="G104" s="400">
        <v>4</v>
      </c>
      <c r="H104" s="747" t="s">
        <v>70</v>
      </c>
      <c r="I104" s="747">
        <v>244</v>
      </c>
      <c r="J104" s="748">
        <v>226</v>
      </c>
      <c r="K104" s="538" t="s">
        <v>294</v>
      </c>
      <c r="L104" s="1031">
        <v>0</v>
      </c>
      <c r="M104" s="403"/>
      <c r="N104" s="403"/>
      <c r="O104" s="1063">
        <f t="shared" si="101"/>
        <v>0</v>
      </c>
      <c r="P104" s="565">
        <v>246736.08</v>
      </c>
      <c r="Q104" s="406"/>
      <c r="R104" s="565"/>
      <c r="S104" s="406"/>
      <c r="T104" s="565"/>
      <c r="U104" s="428"/>
      <c r="V104" s="405"/>
      <c r="W104" s="405"/>
      <c r="X104" s="405"/>
      <c r="Z104" s="406">
        <f t="shared" si="105"/>
        <v>0</v>
      </c>
      <c r="AA104" s="407">
        <f t="shared" si="105"/>
        <v>0</v>
      </c>
      <c r="AB104" s="408">
        <f t="shared" si="92"/>
        <v>0</v>
      </c>
      <c r="AC104" s="406">
        <f t="shared" si="106"/>
        <v>0</v>
      </c>
      <c r="AD104" s="407">
        <f t="shared" si="106"/>
        <v>0</v>
      </c>
      <c r="AE104" s="408">
        <f t="shared" si="93"/>
        <v>0</v>
      </c>
      <c r="AF104" s="406">
        <f t="shared" si="107"/>
        <v>0</v>
      </c>
      <c r="AG104" s="407">
        <f t="shared" si="107"/>
        <v>0</v>
      </c>
      <c r="AH104" s="408">
        <f t="shared" si="94"/>
        <v>0</v>
      </c>
      <c r="AI104" s="406">
        <f t="shared" si="108"/>
        <v>0</v>
      </c>
      <c r="AJ104" s="407">
        <f t="shared" si="108"/>
        <v>0</v>
      </c>
      <c r="AK104" s="408">
        <f t="shared" si="95"/>
        <v>0</v>
      </c>
      <c r="AL104" s="409"/>
      <c r="AM104" s="406">
        <f t="shared" si="109"/>
        <v>0</v>
      </c>
      <c r="AN104" s="410">
        <f t="shared" si="109"/>
        <v>0</v>
      </c>
      <c r="AO104" s="411">
        <f t="shared" si="96"/>
        <v>0</v>
      </c>
      <c r="AP104" s="406">
        <f t="shared" si="110"/>
        <v>0</v>
      </c>
      <c r="AQ104" s="410">
        <f t="shared" si="110"/>
        <v>0</v>
      </c>
      <c r="AR104" s="411">
        <f t="shared" si="97"/>
        <v>0</v>
      </c>
      <c r="AS104" s="412">
        <f t="shared" si="103"/>
        <v>0</v>
      </c>
      <c r="AT104" s="410">
        <f t="shared" si="103"/>
        <v>0</v>
      </c>
      <c r="AU104" s="411">
        <f t="shared" si="98"/>
        <v>0</v>
      </c>
      <c r="AV104" s="603">
        <f t="shared" si="99"/>
        <v>0</v>
      </c>
      <c r="AW104" s="413"/>
      <c r="AX104" s="1098"/>
      <c r="AY104" s="415"/>
      <c r="AZ104" s="1098"/>
      <c r="BA104" s="415"/>
      <c r="BB104" s="1120"/>
      <c r="BC104" s="417"/>
      <c r="BD104" s="418"/>
      <c r="BE104" s="419"/>
      <c r="BF104" s="418"/>
      <c r="BG104" s="419"/>
      <c r="BH104" s="420"/>
      <c r="BI104" s="421"/>
      <c r="BJ104" s="422"/>
      <c r="BK104" s="407"/>
      <c r="BL104" s="422"/>
      <c r="BM104" s="407"/>
      <c r="BN104" s="423"/>
      <c r="BO104" s="424"/>
      <c r="BP104" s="425"/>
      <c r="BQ104" s="426"/>
      <c r="BR104" s="425"/>
      <c r="BS104" s="426"/>
      <c r="BT104" s="427"/>
    </row>
    <row r="105" spans="1:72" s="399" customFormat="1" ht="25.5" customHeight="1" outlineLevel="2">
      <c r="A105" s="287">
        <v>95</v>
      </c>
      <c r="B105" s="933"/>
      <c r="C105" s="859"/>
      <c r="D105" s="841" t="s">
        <v>276</v>
      </c>
      <c r="E105" s="860"/>
      <c r="F105" s="829" t="s">
        <v>7</v>
      </c>
      <c r="G105" s="400">
        <v>4</v>
      </c>
      <c r="H105" s="747" t="s">
        <v>70</v>
      </c>
      <c r="I105" s="747">
        <v>244</v>
      </c>
      <c r="J105" s="748">
        <v>226</v>
      </c>
      <c r="K105" s="538" t="s">
        <v>295</v>
      </c>
      <c r="L105" s="1031">
        <v>0</v>
      </c>
      <c r="M105" s="403"/>
      <c r="N105" s="403"/>
      <c r="O105" s="1063">
        <f t="shared" si="101"/>
        <v>0</v>
      </c>
      <c r="P105" s="565">
        <v>299886.7</v>
      </c>
      <c r="Q105" s="406"/>
      <c r="R105" s="565"/>
      <c r="S105" s="406"/>
      <c r="T105" s="565"/>
      <c r="U105" s="428"/>
      <c r="V105" s="405"/>
      <c r="W105" s="405"/>
      <c r="X105" s="405"/>
      <c r="Z105" s="406">
        <f t="shared" si="105"/>
        <v>0</v>
      </c>
      <c r="AA105" s="407">
        <f t="shared" si="105"/>
        <v>0</v>
      </c>
      <c r="AB105" s="408">
        <f t="shared" si="92"/>
        <v>0</v>
      </c>
      <c r="AC105" s="406">
        <f t="shared" si="106"/>
        <v>0</v>
      </c>
      <c r="AD105" s="407">
        <f t="shared" si="106"/>
        <v>0</v>
      </c>
      <c r="AE105" s="408">
        <f t="shared" si="93"/>
        <v>0</v>
      </c>
      <c r="AF105" s="406">
        <f t="shared" si="107"/>
        <v>0</v>
      </c>
      <c r="AG105" s="407">
        <f t="shared" si="107"/>
        <v>0</v>
      </c>
      <c r="AH105" s="408">
        <f t="shared" si="94"/>
        <v>0</v>
      </c>
      <c r="AI105" s="406">
        <f t="shared" si="108"/>
        <v>0</v>
      </c>
      <c r="AJ105" s="407">
        <f t="shared" si="108"/>
        <v>0</v>
      </c>
      <c r="AK105" s="408">
        <f t="shared" si="95"/>
        <v>0</v>
      </c>
      <c r="AL105" s="409"/>
      <c r="AM105" s="406">
        <f t="shared" si="109"/>
        <v>0</v>
      </c>
      <c r="AN105" s="410">
        <f t="shared" si="109"/>
        <v>0</v>
      </c>
      <c r="AO105" s="411">
        <f t="shared" si="96"/>
        <v>0</v>
      </c>
      <c r="AP105" s="406">
        <f t="shared" si="110"/>
        <v>0</v>
      </c>
      <c r="AQ105" s="410">
        <f t="shared" si="110"/>
        <v>0</v>
      </c>
      <c r="AR105" s="411">
        <f t="shared" si="97"/>
        <v>0</v>
      </c>
      <c r="AS105" s="412">
        <f t="shared" si="103"/>
        <v>0</v>
      </c>
      <c r="AT105" s="410">
        <f t="shared" si="103"/>
        <v>0</v>
      </c>
      <c r="AU105" s="411">
        <f t="shared" si="98"/>
        <v>0</v>
      </c>
      <c r="AV105" s="603">
        <f t="shared" si="99"/>
        <v>0</v>
      </c>
      <c r="AW105" s="413"/>
      <c r="AX105" s="1098"/>
      <c r="AY105" s="415"/>
      <c r="AZ105" s="1098"/>
      <c r="BA105" s="415"/>
      <c r="BB105" s="1120"/>
      <c r="BC105" s="417"/>
      <c r="BD105" s="418"/>
      <c r="BE105" s="419"/>
      <c r="BF105" s="418"/>
      <c r="BG105" s="419"/>
      <c r="BH105" s="420"/>
      <c r="BI105" s="421"/>
      <c r="BJ105" s="422"/>
      <c r="BK105" s="407"/>
      <c r="BL105" s="422"/>
      <c r="BM105" s="407"/>
      <c r="BN105" s="423"/>
      <c r="BO105" s="424"/>
      <c r="BP105" s="425"/>
      <c r="BQ105" s="426"/>
      <c r="BR105" s="425"/>
      <c r="BS105" s="426"/>
      <c r="BT105" s="427"/>
    </row>
    <row r="106" spans="1:72" s="399" customFormat="1" ht="25.5" customHeight="1" outlineLevel="2">
      <c r="A106" s="287">
        <v>96</v>
      </c>
      <c r="B106" s="933"/>
      <c r="C106" s="859"/>
      <c r="D106" s="841" t="s">
        <v>276</v>
      </c>
      <c r="E106" s="860"/>
      <c r="F106" s="829" t="s">
        <v>7</v>
      </c>
      <c r="G106" s="400">
        <v>4</v>
      </c>
      <c r="H106" s="747" t="s">
        <v>70</v>
      </c>
      <c r="I106" s="747">
        <v>244</v>
      </c>
      <c r="J106" s="748">
        <v>226</v>
      </c>
      <c r="K106" s="538" t="s">
        <v>296</v>
      </c>
      <c r="L106" s="1031">
        <v>28059.9</v>
      </c>
      <c r="M106" s="403"/>
      <c r="N106" s="403"/>
      <c r="O106" s="1063">
        <f t="shared" si="101"/>
        <v>28059.9</v>
      </c>
      <c r="P106" s="565">
        <v>27268.25</v>
      </c>
      <c r="Q106" s="406"/>
      <c r="R106" s="565"/>
      <c r="S106" s="406"/>
      <c r="T106" s="565"/>
      <c r="U106" s="428"/>
      <c r="V106" s="405"/>
      <c r="W106" s="405"/>
      <c r="X106" s="405"/>
      <c r="Z106" s="406">
        <f t="shared" si="105"/>
        <v>0</v>
      </c>
      <c r="AA106" s="407">
        <f t="shared" si="105"/>
        <v>0</v>
      </c>
      <c r="AB106" s="408">
        <f t="shared" si="92"/>
        <v>0</v>
      </c>
      <c r="AC106" s="406">
        <f t="shared" si="106"/>
        <v>0</v>
      </c>
      <c r="AD106" s="407">
        <f t="shared" si="106"/>
        <v>0</v>
      </c>
      <c r="AE106" s="408">
        <f t="shared" si="93"/>
        <v>0</v>
      </c>
      <c r="AF106" s="406">
        <f t="shared" si="107"/>
        <v>0</v>
      </c>
      <c r="AG106" s="407">
        <f t="shared" si="107"/>
        <v>0</v>
      </c>
      <c r="AH106" s="408">
        <f t="shared" si="94"/>
        <v>0</v>
      </c>
      <c r="AI106" s="406">
        <f t="shared" si="108"/>
        <v>28059.9</v>
      </c>
      <c r="AJ106" s="407">
        <f t="shared" si="108"/>
        <v>0</v>
      </c>
      <c r="AK106" s="408">
        <f t="shared" si="95"/>
        <v>28059.9</v>
      </c>
      <c r="AL106" s="409"/>
      <c r="AM106" s="406">
        <f t="shared" si="109"/>
        <v>0</v>
      </c>
      <c r="AN106" s="410">
        <f t="shared" si="109"/>
        <v>0</v>
      </c>
      <c r="AO106" s="411">
        <f t="shared" si="96"/>
        <v>0</v>
      </c>
      <c r="AP106" s="406">
        <f t="shared" si="110"/>
        <v>0</v>
      </c>
      <c r="AQ106" s="410">
        <f t="shared" si="110"/>
        <v>0</v>
      </c>
      <c r="AR106" s="411">
        <f t="shared" si="97"/>
        <v>0</v>
      </c>
      <c r="AS106" s="412">
        <f t="shared" si="103"/>
        <v>28059.9</v>
      </c>
      <c r="AT106" s="410">
        <f t="shared" si="103"/>
        <v>0</v>
      </c>
      <c r="AU106" s="411">
        <f t="shared" si="98"/>
        <v>28059.9</v>
      </c>
      <c r="AV106" s="603">
        <f t="shared" si="99"/>
        <v>0</v>
      </c>
      <c r="AW106" s="413"/>
      <c r="AX106" s="1098"/>
      <c r="AY106" s="415"/>
      <c r="AZ106" s="1098"/>
      <c r="BA106" s="415"/>
      <c r="BB106" s="1120"/>
      <c r="BC106" s="417"/>
      <c r="BD106" s="418"/>
      <c r="BE106" s="419"/>
      <c r="BF106" s="418"/>
      <c r="BG106" s="419"/>
      <c r="BH106" s="420"/>
      <c r="BI106" s="421"/>
      <c r="BJ106" s="422"/>
      <c r="BK106" s="407"/>
      <c r="BL106" s="422"/>
      <c r="BM106" s="407"/>
      <c r="BN106" s="423"/>
      <c r="BO106" s="424">
        <v>28059.9</v>
      </c>
      <c r="BP106" s="425"/>
      <c r="BQ106" s="426"/>
      <c r="BR106" s="425"/>
      <c r="BS106" s="426"/>
      <c r="BT106" s="427"/>
    </row>
    <row r="107" spans="1:72" s="399" customFormat="1" ht="25.5" customHeight="1" outlineLevel="2">
      <c r="A107" s="287">
        <v>97</v>
      </c>
      <c r="B107" s="933"/>
      <c r="C107" s="859"/>
      <c r="D107" s="841" t="s">
        <v>276</v>
      </c>
      <c r="E107" s="860"/>
      <c r="F107" s="829" t="s">
        <v>7</v>
      </c>
      <c r="G107" s="400">
        <v>4</v>
      </c>
      <c r="H107" s="747" t="s">
        <v>70</v>
      </c>
      <c r="I107" s="747">
        <v>244</v>
      </c>
      <c r="J107" s="748">
        <v>226</v>
      </c>
      <c r="K107" s="538" t="s">
        <v>288</v>
      </c>
      <c r="L107" s="1031">
        <v>5000</v>
      </c>
      <c r="M107" s="403"/>
      <c r="N107" s="403"/>
      <c r="O107" s="1063">
        <f t="shared" si="101"/>
        <v>5000</v>
      </c>
      <c r="P107" s="565">
        <v>0</v>
      </c>
      <c r="Q107" s="406"/>
      <c r="R107" s="565"/>
      <c r="S107" s="406"/>
      <c r="T107" s="565"/>
      <c r="U107" s="428"/>
      <c r="V107" s="405"/>
      <c r="W107" s="405"/>
      <c r="X107" s="405"/>
      <c r="Z107" s="406">
        <f t="shared" si="105"/>
        <v>0</v>
      </c>
      <c r="AA107" s="407">
        <f t="shared" si="105"/>
        <v>0</v>
      </c>
      <c r="AB107" s="408">
        <f t="shared" si="92"/>
        <v>0</v>
      </c>
      <c r="AC107" s="406">
        <f t="shared" si="106"/>
        <v>0</v>
      </c>
      <c r="AD107" s="407">
        <f t="shared" si="106"/>
        <v>0</v>
      </c>
      <c r="AE107" s="408">
        <f t="shared" si="93"/>
        <v>0</v>
      </c>
      <c r="AF107" s="406">
        <f t="shared" si="107"/>
        <v>0</v>
      </c>
      <c r="AG107" s="407">
        <f t="shared" si="107"/>
        <v>0</v>
      </c>
      <c r="AH107" s="408">
        <f t="shared" si="94"/>
        <v>0</v>
      </c>
      <c r="AI107" s="406">
        <f t="shared" si="108"/>
        <v>5000</v>
      </c>
      <c r="AJ107" s="407">
        <f t="shared" si="108"/>
        <v>0</v>
      </c>
      <c r="AK107" s="408">
        <f t="shared" si="95"/>
        <v>5000</v>
      </c>
      <c r="AL107" s="409"/>
      <c r="AM107" s="406">
        <f t="shared" si="109"/>
        <v>0</v>
      </c>
      <c r="AN107" s="410">
        <f t="shared" si="109"/>
        <v>0</v>
      </c>
      <c r="AO107" s="411">
        <f t="shared" si="96"/>
        <v>0</v>
      </c>
      <c r="AP107" s="406">
        <f t="shared" si="110"/>
        <v>0</v>
      </c>
      <c r="AQ107" s="410">
        <f t="shared" si="110"/>
        <v>0</v>
      </c>
      <c r="AR107" s="411">
        <f t="shared" si="97"/>
        <v>0</v>
      </c>
      <c r="AS107" s="412">
        <f t="shared" si="103"/>
        <v>5000</v>
      </c>
      <c r="AT107" s="410">
        <f t="shared" si="103"/>
        <v>0</v>
      </c>
      <c r="AU107" s="411">
        <f t="shared" si="98"/>
        <v>5000</v>
      </c>
      <c r="AV107" s="603">
        <f t="shared" si="99"/>
        <v>0</v>
      </c>
      <c r="AW107" s="413"/>
      <c r="AX107" s="1098"/>
      <c r="AY107" s="415"/>
      <c r="AZ107" s="1098"/>
      <c r="BA107" s="415"/>
      <c r="BB107" s="1120"/>
      <c r="BC107" s="417"/>
      <c r="BD107" s="418"/>
      <c r="BE107" s="419"/>
      <c r="BF107" s="418"/>
      <c r="BG107" s="419"/>
      <c r="BH107" s="420"/>
      <c r="BI107" s="421"/>
      <c r="BJ107" s="422"/>
      <c r="BK107" s="407"/>
      <c r="BL107" s="422"/>
      <c r="BM107" s="407"/>
      <c r="BN107" s="423"/>
      <c r="BO107" s="424">
        <v>5000</v>
      </c>
      <c r="BP107" s="425"/>
      <c r="BQ107" s="426"/>
      <c r="BR107" s="425"/>
      <c r="BS107" s="426"/>
      <c r="BT107" s="427"/>
    </row>
    <row r="108" spans="1:72" s="399" customFormat="1" ht="25.5" customHeight="1" outlineLevel="2">
      <c r="A108" s="287">
        <v>98</v>
      </c>
      <c r="B108" s="933"/>
      <c r="C108" s="859"/>
      <c r="D108" s="841" t="s">
        <v>276</v>
      </c>
      <c r="E108" s="860"/>
      <c r="F108" s="829" t="s">
        <v>7</v>
      </c>
      <c r="G108" s="400">
        <v>4</v>
      </c>
      <c r="H108" s="747" t="s">
        <v>70</v>
      </c>
      <c r="I108" s="747">
        <v>244</v>
      </c>
      <c r="J108" s="748">
        <v>226</v>
      </c>
      <c r="K108" s="538" t="s">
        <v>297</v>
      </c>
      <c r="L108" s="1031">
        <v>0</v>
      </c>
      <c r="M108" s="403"/>
      <c r="N108" s="403"/>
      <c r="O108" s="1063">
        <f t="shared" si="101"/>
        <v>0</v>
      </c>
      <c r="P108" s="565">
        <v>2333.33</v>
      </c>
      <c r="Q108" s="406"/>
      <c r="R108" s="565"/>
      <c r="S108" s="406"/>
      <c r="T108" s="565"/>
      <c r="U108" s="428"/>
      <c r="V108" s="405"/>
      <c r="W108" s="405"/>
      <c r="X108" s="405"/>
      <c r="Z108" s="406">
        <f t="shared" si="105"/>
        <v>0</v>
      </c>
      <c r="AA108" s="407">
        <f t="shared" si="105"/>
        <v>0</v>
      </c>
      <c r="AB108" s="408">
        <f t="shared" si="92"/>
        <v>0</v>
      </c>
      <c r="AC108" s="406">
        <f t="shared" si="106"/>
        <v>0</v>
      </c>
      <c r="AD108" s="407">
        <f t="shared" si="106"/>
        <v>0</v>
      </c>
      <c r="AE108" s="408">
        <f t="shared" si="93"/>
        <v>0</v>
      </c>
      <c r="AF108" s="406">
        <f t="shared" si="107"/>
        <v>0</v>
      </c>
      <c r="AG108" s="407">
        <f t="shared" si="107"/>
        <v>0</v>
      </c>
      <c r="AH108" s="408">
        <f t="shared" si="94"/>
        <v>0</v>
      </c>
      <c r="AI108" s="406">
        <f t="shared" si="108"/>
        <v>0</v>
      </c>
      <c r="AJ108" s="407">
        <f t="shared" si="108"/>
        <v>0</v>
      </c>
      <c r="AK108" s="408">
        <f t="shared" si="95"/>
        <v>0</v>
      </c>
      <c r="AL108" s="409"/>
      <c r="AM108" s="406">
        <f t="shared" si="109"/>
        <v>0</v>
      </c>
      <c r="AN108" s="410">
        <f t="shared" si="109"/>
        <v>0</v>
      </c>
      <c r="AO108" s="411">
        <f t="shared" si="96"/>
        <v>0</v>
      </c>
      <c r="AP108" s="406">
        <f t="shared" si="110"/>
        <v>0</v>
      </c>
      <c r="AQ108" s="410">
        <f t="shared" si="110"/>
        <v>0</v>
      </c>
      <c r="AR108" s="411">
        <f t="shared" si="97"/>
        <v>0</v>
      </c>
      <c r="AS108" s="412">
        <f t="shared" si="103"/>
        <v>0</v>
      </c>
      <c r="AT108" s="410">
        <f t="shared" si="103"/>
        <v>0</v>
      </c>
      <c r="AU108" s="411">
        <f t="shared" si="98"/>
        <v>0</v>
      </c>
      <c r="AV108" s="603">
        <f t="shared" si="99"/>
        <v>0</v>
      </c>
      <c r="AW108" s="413"/>
      <c r="AX108" s="1098"/>
      <c r="AY108" s="415"/>
      <c r="AZ108" s="1098"/>
      <c r="BA108" s="415"/>
      <c r="BB108" s="1120"/>
      <c r="BC108" s="417"/>
      <c r="BD108" s="418"/>
      <c r="BE108" s="419"/>
      <c r="BF108" s="418"/>
      <c r="BG108" s="419"/>
      <c r="BH108" s="420"/>
      <c r="BI108" s="421"/>
      <c r="BJ108" s="422"/>
      <c r="BK108" s="407"/>
      <c r="BL108" s="422"/>
      <c r="BM108" s="407"/>
      <c r="BN108" s="423"/>
      <c r="BO108" s="424"/>
      <c r="BP108" s="425"/>
      <c r="BQ108" s="426"/>
      <c r="BR108" s="425"/>
      <c r="BS108" s="426"/>
      <c r="BT108" s="427"/>
    </row>
    <row r="109" spans="1:72" s="430" customFormat="1" ht="25.5" customHeight="1" outlineLevel="2">
      <c r="A109" s="287">
        <v>99</v>
      </c>
      <c r="B109" s="933"/>
      <c r="C109" s="743"/>
      <c r="D109" s="856" t="s">
        <v>276</v>
      </c>
      <c r="E109" s="857"/>
      <c r="F109" s="827" t="s">
        <v>7</v>
      </c>
      <c r="G109" s="431">
        <v>4</v>
      </c>
      <c r="H109" s="474" t="s">
        <v>70</v>
      </c>
      <c r="I109" s="743">
        <v>244</v>
      </c>
      <c r="J109" s="744">
        <v>226</v>
      </c>
      <c r="K109" s="536" t="s">
        <v>284</v>
      </c>
      <c r="L109" s="1030"/>
      <c r="M109" s="434"/>
      <c r="N109" s="434"/>
      <c r="O109" s="1064">
        <f t="shared" si="101"/>
        <v>0</v>
      </c>
      <c r="P109" s="563"/>
      <c r="Q109" s="437"/>
      <c r="R109" s="563"/>
      <c r="S109" s="437"/>
      <c r="T109" s="563"/>
      <c r="U109" s="467"/>
      <c r="V109" s="436"/>
      <c r="W109" s="436"/>
      <c r="X109" s="436"/>
      <c r="Z109" s="437">
        <f t="shared" si="105"/>
        <v>0</v>
      </c>
      <c r="AA109" s="438">
        <f t="shared" si="105"/>
        <v>0</v>
      </c>
      <c r="AB109" s="439">
        <f t="shared" si="92"/>
        <v>0</v>
      </c>
      <c r="AC109" s="437">
        <f t="shared" si="106"/>
        <v>0</v>
      </c>
      <c r="AD109" s="438">
        <f t="shared" si="106"/>
        <v>0</v>
      </c>
      <c r="AE109" s="439">
        <f t="shared" si="93"/>
        <v>0</v>
      </c>
      <c r="AF109" s="437">
        <f t="shared" si="107"/>
        <v>0</v>
      </c>
      <c r="AG109" s="438">
        <f t="shared" si="107"/>
        <v>0</v>
      </c>
      <c r="AH109" s="439">
        <f t="shared" si="94"/>
        <v>0</v>
      </c>
      <c r="AI109" s="437">
        <f t="shared" si="108"/>
        <v>0</v>
      </c>
      <c r="AJ109" s="438">
        <f t="shared" si="108"/>
        <v>0</v>
      </c>
      <c r="AK109" s="439">
        <f t="shared" si="95"/>
        <v>0</v>
      </c>
      <c r="AL109" s="440"/>
      <c r="AM109" s="437">
        <f t="shared" si="109"/>
        <v>0</v>
      </c>
      <c r="AN109" s="441">
        <f t="shared" si="109"/>
        <v>0</v>
      </c>
      <c r="AO109" s="442">
        <f t="shared" si="96"/>
        <v>0</v>
      </c>
      <c r="AP109" s="437">
        <f t="shared" si="110"/>
        <v>0</v>
      </c>
      <c r="AQ109" s="441">
        <f t="shared" si="110"/>
        <v>0</v>
      </c>
      <c r="AR109" s="442">
        <f t="shared" si="97"/>
        <v>0</v>
      </c>
      <c r="AS109" s="443">
        <f t="shared" si="103"/>
        <v>0</v>
      </c>
      <c r="AT109" s="441">
        <f t="shared" si="103"/>
        <v>0</v>
      </c>
      <c r="AU109" s="442">
        <f t="shared" si="98"/>
        <v>0</v>
      </c>
      <c r="AV109" s="601">
        <f t="shared" si="99"/>
        <v>0</v>
      </c>
      <c r="AW109" s="444"/>
      <c r="AX109" s="1111"/>
      <c r="AY109" s="446"/>
      <c r="AZ109" s="1111"/>
      <c r="BA109" s="446"/>
      <c r="BB109" s="1129"/>
      <c r="BC109" s="448"/>
      <c r="BD109" s="449"/>
      <c r="BE109" s="450"/>
      <c r="BF109" s="449"/>
      <c r="BG109" s="450"/>
      <c r="BH109" s="451"/>
      <c r="BI109" s="452"/>
      <c r="BJ109" s="453"/>
      <c r="BK109" s="438"/>
      <c r="BL109" s="453"/>
      <c r="BM109" s="438"/>
      <c r="BN109" s="454"/>
      <c r="BO109" s="455"/>
      <c r="BP109" s="456"/>
      <c r="BQ109" s="457"/>
      <c r="BR109" s="456"/>
      <c r="BS109" s="457"/>
      <c r="BT109" s="458"/>
    </row>
    <row r="110" spans="1:72" s="459" customFormat="1" ht="66.75" customHeight="1" outlineLevel="1">
      <c r="A110" s="287">
        <v>100</v>
      </c>
      <c r="B110" s="933"/>
      <c r="C110" s="850" t="s">
        <v>378</v>
      </c>
      <c r="D110" s="854" t="s">
        <v>274</v>
      </c>
      <c r="E110" s="855"/>
      <c r="F110" s="826" t="s">
        <v>7</v>
      </c>
      <c r="G110" s="462">
        <v>4</v>
      </c>
      <c r="H110" s="741" t="s">
        <v>70</v>
      </c>
      <c r="I110" s="741">
        <v>244</v>
      </c>
      <c r="J110" s="742">
        <v>226</v>
      </c>
      <c r="K110" s="535" t="s">
        <v>283</v>
      </c>
      <c r="L110" s="1028">
        <v>345187.83</v>
      </c>
      <c r="M110" s="352"/>
      <c r="N110" s="352"/>
      <c r="O110" s="1062">
        <f t="shared" si="101"/>
        <v>345187.83</v>
      </c>
      <c r="P110" s="561"/>
      <c r="Q110" s="464"/>
      <c r="R110" s="561"/>
      <c r="S110" s="464"/>
      <c r="T110" s="561"/>
      <c r="U110" s="393"/>
      <c r="V110" s="394"/>
      <c r="W110" s="394"/>
      <c r="X110" s="394"/>
      <c r="Y110" s="392"/>
      <c r="Z110" s="395">
        <f t="shared" si="105"/>
        <v>0</v>
      </c>
      <c r="AA110" s="396">
        <f t="shared" si="105"/>
        <v>0</v>
      </c>
      <c r="AB110" s="397">
        <f t="shared" si="92"/>
        <v>0</v>
      </c>
      <c r="AC110" s="395">
        <f t="shared" si="106"/>
        <v>0</v>
      </c>
      <c r="AD110" s="396">
        <f t="shared" si="106"/>
        <v>0</v>
      </c>
      <c r="AE110" s="397">
        <f t="shared" si="93"/>
        <v>0</v>
      </c>
      <c r="AF110" s="395">
        <f t="shared" si="107"/>
        <v>0</v>
      </c>
      <c r="AG110" s="396">
        <f t="shared" si="107"/>
        <v>0</v>
      </c>
      <c r="AH110" s="397">
        <f t="shared" si="94"/>
        <v>0</v>
      </c>
      <c r="AI110" s="395">
        <f t="shared" si="108"/>
        <v>345187.83</v>
      </c>
      <c r="AJ110" s="396">
        <f t="shared" si="108"/>
        <v>0</v>
      </c>
      <c r="AK110" s="397">
        <f t="shared" si="95"/>
        <v>345187.83</v>
      </c>
      <c r="AL110" s="398"/>
      <c r="AM110" s="464">
        <f t="shared" si="109"/>
        <v>0</v>
      </c>
      <c r="AN110" s="352">
        <f t="shared" si="109"/>
        <v>0</v>
      </c>
      <c r="AO110" s="465">
        <f t="shared" si="96"/>
        <v>0</v>
      </c>
      <c r="AP110" s="464">
        <f t="shared" si="110"/>
        <v>0</v>
      </c>
      <c r="AQ110" s="352">
        <f t="shared" si="110"/>
        <v>0</v>
      </c>
      <c r="AR110" s="465">
        <f t="shared" si="97"/>
        <v>0</v>
      </c>
      <c r="AS110" s="464">
        <f t="shared" ref="AS110:AT173" si="112">Z110+AC110+AF110+AI110</f>
        <v>345187.83</v>
      </c>
      <c r="AT110" s="352">
        <f t="shared" si="112"/>
        <v>0</v>
      </c>
      <c r="AU110" s="465">
        <f t="shared" si="98"/>
        <v>345187.83</v>
      </c>
      <c r="AV110" s="600">
        <f t="shared" si="99"/>
        <v>0</v>
      </c>
      <c r="AW110" s="464">
        <f t="shared" ref="AW110:BT110" si="113">SUM(AW111:AW113)</f>
        <v>0</v>
      </c>
      <c r="AX110" s="1110">
        <f t="shared" si="113"/>
        <v>0</v>
      </c>
      <c r="AY110" s="352">
        <f t="shared" si="113"/>
        <v>0</v>
      </c>
      <c r="AZ110" s="1110">
        <f t="shared" si="113"/>
        <v>0</v>
      </c>
      <c r="BA110" s="352">
        <f t="shared" si="113"/>
        <v>0</v>
      </c>
      <c r="BB110" s="1128">
        <f t="shared" si="113"/>
        <v>0</v>
      </c>
      <c r="BC110" s="464">
        <f t="shared" si="113"/>
        <v>0</v>
      </c>
      <c r="BD110" s="352">
        <f t="shared" si="113"/>
        <v>0</v>
      </c>
      <c r="BE110" s="352">
        <f t="shared" si="113"/>
        <v>0</v>
      </c>
      <c r="BF110" s="352">
        <f t="shared" si="113"/>
        <v>0</v>
      </c>
      <c r="BG110" s="352">
        <f t="shared" si="113"/>
        <v>0</v>
      </c>
      <c r="BH110" s="353">
        <f t="shared" si="113"/>
        <v>0</v>
      </c>
      <c r="BI110" s="464">
        <f t="shared" si="113"/>
        <v>0</v>
      </c>
      <c r="BJ110" s="352">
        <f t="shared" si="113"/>
        <v>0</v>
      </c>
      <c r="BK110" s="352">
        <f t="shared" si="113"/>
        <v>0</v>
      </c>
      <c r="BL110" s="352">
        <f t="shared" si="113"/>
        <v>0</v>
      </c>
      <c r="BM110" s="352">
        <f t="shared" si="113"/>
        <v>0</v>
      </c>
      <c r="BN110" s="353">
        <f t="shared" si="113"/>
        <v>0</v>
      </c>
      <c r="BO110" s="464">
        <f t="shared" si="113"/>
        <v>0</v>
      </c>
      <c r="BP110" s="352">
        <f t="shared" si="113"/>
        <v>0</v>
      </c>
      <c r="BQ110" s="352">
        <f t="shared" si="113"/>
        <v>345187.83</v>
      </c>
      <c r="BR110" s="352">
        <f t="shared" si="113"/>
        <v>0</v>
      </c>
      <c r="BS110" s="352">
        <f t="shared" si="113"/>
        <v>0</v>
      </c>
      <c r="BT110" s="465">
        <f t="shared" si="113"/>
        <v>0</v>
      </c>
    </row>
    <row r="111" spans="1:72" s="313" customFormat="1" ht="38.25" customHeight="1" outlineLevel="2">
      <c r="A111" s="287">
        <v>101</v>
      </c>
      <c r="B111" s="933"/>
      <c r="C111" s="840"/>
      <c r="D111" s="841" t="s">
        <v>274</v>
      </c>
      <c r="E111" s="839"/>
      <c r="F111" s="821" t="s">
        <v>7</v>
      </c>
      <c r="G111" s="314">
        <v>4</v>
      </c>
      <c r="H111" s="739" t="s">
        <v>70</v>
      </c>
      <c r="I111" s="739">
        <v>244</v>
      </c>
      <c r="J111" s="740">
        <v>226</v>
      </c>
      <c r="K111" s="533" t="s">
        <v>290</v>
      </c>
      <c r="L111" s="1031">
        <v>340187.83</v>
      </c>
      <c r="M111" s="318"/>
      <c r="N111" s="318"/>
      <c r="O111" s="1052">
        <f t="shared" si="101"/>
        <v>340187.83</v>
      </c>
      <c r="P111" s="562"/>
      <c r="Q111" s="336"/>
      <c r="R111" s="562"/>
      <c r="S111" s="336"/>
      <c r="T111" s="562"/>
      <c r="U111" s="466"/>
      <c r="V111" s="320"/>
      <c r="W111" s="320"/>
      <c r="X111" s="320"/>
      <c r="Z111" s="336">
        <f t="shared" si="105"/>
        <v>0</v>
      </c>
      <c r="AA111" s="337">
        <f t="shared" si="105"/>
        <v>0</v>
      </c>
      <c r="AB111" s="338">
        <f t="shared" si="92"/>
        <v>0</v>
      </c>
      <c r="AC111" s="336">
        <f t="shared" si="106"/>
        <v>0</v>
      </c>
      <c r="AD111" s="337">
        <f t="shared" si="106"/>
        <v>0</v>
      </c>
      <c r="AE111" s="338">
        <f t="shared" si="93"/>
        <v>0</v>
      </c>
      <c r="AF111" s="336">
        <f t="shared" si="107"/>
        <v>0</v>
      </c>
      <c r="AG111" s="337">
        <f t="shared" si="107"/>
        <v>0</v>
      </c>
      <c r="AH111" s="338">
        <f t="shared" si="94"/>
        <v>0</v>
      </c>
      <c r="AI111" s="336">
        <f t="shared" si="108"/>
        <v>340187.83</v>
      </c>
      <c r="AJ111" s="337">
        <f t="shared" si="108"/>
        <v>0</v>
      </c>
      <c r="AK111" s="338">
        <f t="shared" si="95"/>
        <v>340187.83</v>
      </c>
      <c r="AL111" s="342"/>
      <c r="AM111" s="336">
        <f t="shared" si="109"/>
        <v>0</v>
      </c>
      <c r="AN111" s="339">
        <f t="shared" si="109"/>
        <v>0</v>
      </c>
      <c r="AO111" s="340">
        <f t="shared" si="96"/>
        <v>0</v>
      </c>
      <c r="AP111" s="336">
        <f t="shared" si="110"/>
        <v>0</v>
      </c>
      <c r="AQ111" s="339">
        <f t="shared" si="110"/>
        <v>0</v>
      </c>
      <c r="AR111" s="340">
        <f t="shared" si="97"/>
        <v>0</v>
      </c>
      <c r="AS111" s="341">
        <f t="shared" si="112"/>
        <v>340187.83</v>
      </c>
      <c r="AT111" s="339">
        <f t="shared" si="112"/>
        <v>0</v>
      </c>
      <c r="AU111" s="340">
        <f t="shared" si="98"/>
        <v>340187.83</v>
      </c>
      <c r="AV111" s="589">
        <f t="shared" si="99"/>
        <v>0</v>
      </c>
      <c r="AW111" s="343"/>
      <c r="AX111" s="1098"/>
      <c r="AY111" s="345"/>
      <c r="AZ111" s="1098"/>
      <c r="BA111" s="345"/>
      <c r="BB111" s="1120"/>
      <c r="BC111" s="347"/>
      <c r="BD111" s="348"/>
      <c r="BE111" s="349"/>
      <c r="BF111" s="348"/>
      <c r="BG111" s="349"/>
      <c r="BH111" s="350"/>
      <c r="BI111" s="351"/>
      <c r="BJ111" s="352"/>
      <c r="BK111" s="337"/>
      <c r="BL111" s="352"/>
      <c r="BM111" s="337"/>
      <c r="BN111" s="353"/>
      <c r="BO111" s="354"/>
      <c r="BP111" s="355"/>
      <c r="BQ111" s="356">
        <v>340187.83</v>
      </c>
      <c r="BR111" s="355"/>
      <c r="BS111" s="356"/>
      <c r="BT111" s="357"/>
    </row>
    <row r="112" spans="1:72" s="313" customFormat="1" ht="25.5" customHeight="1" outlineLevel="2">
      <c r="A112" s="287">
        <v>102</v>
      </c>
      <c r="B112" s="933"/>
      <c r="C112" s="840"/>
      <c r="D112" s="841" t="s">
        <v>274</v>
      </c>
      <c r="E112" s="839"/>
      <c r="F112" s="821" t="s">
        <v>7</v>
      </c>
      <c r="G112" s="314">
        <v>4</v>
      </c>
      <c r="H112" s="739" t="s">
        <v>70</v>
      </c>
      <c r="I112" s="739">
        <v>244</v>
      </c>
      <c r="J112" s="740">
        <v>226</v>
      </c>
      <c r="K112" s="533" t="s">
        <v>288</v>
      </c>
      <c r="L112" s="1031">
        <v>5000</v>
      </c>
      <c r="M112" s="318"/>
      <c r="N112" s="318"/>
      <c r="O112" s="1052">
        <f t="shared" si="101"/>
        <v>5000</v>
      </c>
      <c r="P112" s="562"/>
      <c r="Q112" s="336"/>
      <c r="R112" s="562"/>
      <c r="S112" s="336"/>
      <c r="T112" s="562"/>
      <c r="U112" s="466"/>
      <c r="V112" s="320"/>
      <c r="W112" s="320"/>
      <c r="X112" s="320"/>
      <c r="Z112" s="336">
        <f t="shared" si="105"/>
        <v>0</v>
      </c>
      <c r="AA112" s="337">
        <f t="shared" si="105"/>
        <v>0</v>
      </c>
      <c r="AB112" s="338">
        <f t="shared" si="92"/>
        <v>0</v>
      </c>
      <c r="AC112" s="336">
        <f t="shared" si="106"/>
        <v>0</v>
      </c>
      <c r="AD112" s="337">
        <f t="shared" si="106"/>
        <v>0</v>
      </c>
      <c r="AE112" s="338">
        <f t="shared" si="93"/>
        <v>0</v>
      </c>
      <c r="AF112" s="336">
        <f t="shared" si="107"/>
        <v>0</v>
      </c>
      <c r="AG112" s="337">
        <f t="shared" si="107"/>
        <v>0</v>
      </c>
      <c r="AH112" s="338">
        <f t="shared" si="94"/>
        <v>0</v>
      </c>
      <c r="AI112" s="336">
        <f t="shared" si="108"/>
        <v>5000</v>
      </c>
      <c r="AJ112" s="337">
        <f t="shared" si="108"/>
        <v>0</v>
      </c>
      <c r="AK112" s="338">
        <f t="shared" si="95"/>
        <v>5000</v>
      </c>
      <c r="AL112" s="342"/>
      <c r="AM112" s="336">
        <f t="shared" si="109"/>
        <v>0</v>
      </c>
      <c r="AN112" s="339">
        <f t="shared" si="109"/>
        <v>0</v>
      </c>
      <c r="AO112" s="340">
        <f t="shared" si="96"/>
        <v>0</v>
      </c>
      <c r="AP112" s="336">
        <f t="shared" si="110"/>
        <v>0</v>
      </c>
      <c r="AQ112" s="339">
        <f t="shared" si="110"/>
        <v>0</v>
      </c>
      <c r="AR112" s="340">
        <f t="shared" si="97"/>
        <v>0</v>
      </c>
      <c r="AS112" s="341">
        <f t="shared" si="112"/>
        <v>5000</v>
      </c>
      <c r="AT112" s="339">
        <f t="shared" si="112"/>
        <v>0</v>
      </c>
      <c r="AU112" s="340">
        <f t="shared" si="98"/>
        <v>5000</v>
      </c>
      <c r="AV112" s="589">
        <f t="shared" si="99"/>
        <v>0</v>
      </c>
      <c r="AW112" s="343"/>
      <c r="AX112" s="1098"/>
      <c r="AY112" s="345"/>
      <c r="AZ112" s="1098"/>
      <c r="BA112" s="345"/>
      <c r="BB112" s="1120"/>
      <c r="BC112" s="347"/>
      <c r="BD112" s="348"/>
      <c r="BE112" s="349"/>
      <c r="BF112" s="348"/>
      <c r="BG112" s="349"/>
      <c r="BH112" s="350"/>
      <c r="BI112" s="351"/>
      <c r="BJ112" s="352"/>
      <c r="BK112" s="337"/>
      <c r="BL112" s="352"/>
      <c r="BM112" s="337"/>
      <c r="BN112" s="353"/>
      <c r="BO112" s="354"/>
      <c r="BP112" s="355"/>
      <c r="BQ112" s="356">
        <v>5000</v>
      </c>
      <c r="BR112" s="355"/>
      <c r="BS112" s="356"/>
      <c r="BT112" s="357"/>
    </row>
    <row r="113" spans="1:72" s="430" customFormat="1" ht="25.5" customHeight="1" outlineLevel="2">
      <c r="A113" s="287">
        <v>103</v>
      </c>
      <c r="B113" s="933"/>
      <c r="C113" s="743"/>
      <c r="D113" s="856" t="s">
        <v>274</v>
      </c>
      <c r="E113" s="857"/>
      <c r="F113" s="827" t="s">
        <v>7</v>
      </c>
      <c r="G113" s="431">
        <v>4</v>
      </c>
      <c r="H113" s="474" t="s">
        <v>70</v>
      </c>
      <c r="I113" s="743">
        <v>244</v>
      </c>
      <c r="J113" s="744">
        <v>226</v>
      </c>
      <c r="K113" s="536" t="s">
        <v>284</v>
      </c>
      <c r="L113" s="1030"/>
      <c r="M113" s="434"/>
      <c r="N113" s="434"/>
      <c r="O113" s="1064">
        <f t="shared" si="101"/>
        <v>0</v>
      </c>
      <c r="P113" s="563"/>
      <c r="Q113" s="437"/>
      <c r="R113" s="563"/>
      <c r="S113" s="437"/>
      <c r="T113" s="563"/>
      <c r="U113" s="467"/>
      <c r="V113" s="436"/>
      <c r="W113" s="436"/>
      <c r="X113" s="436"/>
      <c r="Z113" s="437">
        <f t="shared" si="105"/>
        <v>0</v>
      </c>
      <c r="AA113" s="438">
        <f t="shared" si="105"/>
        <v>0</v>
      </c>
      <c r="AB113" s="439">
        <f t="shared" si="92"/>
        <v>0</v>
      </c>
      <c r="AC113" s="437">
        <f t="shared" si="106"/>
        <v>0</v>
      </c>
      <c r="AD113" s="438">
        <f t="shared" si="106"/>
        <v>0</v>
      </c>
      <c r="AE113" s="439">
        <f t="shared" si="93"/>
        <v>0</v>
      </c>
      <c r="AF113" s="437">
        <f t="shared" si="107"/>
        <v>0</v>
      </c>
      <c r="AG113" s="438">
        <f t="shared" si="107"/>
        <v>0</v>
      </c>
      <c r="AH113" s="439">
        <f t="shared" si="94"/>
        <v>0</v>
      </c>
      <c r="AI113" s="437">
        <f t="shared" si="108"/>
        <v>0</v>
      </c>
      <c r="AJ113" s="438">
        <f t="shared" si="108"/>
        <v>0</v>
      </c>
      <c r="AK113" s="439">
        <f t="shared" si="95"/>
        <v>0</v>
      </c>
      <c r="AL113" s="440"/>
      <c r="AM113" s="437">
        <f t="shared" si="109"/>
        <v>0</v>
      </c>
      <c r="AN113" s="441">
        <f t="shared" si="109"/>
        <v>0</v>
      </c>
      <c r="AO113" s="442">
        <f t="shared" si="96"/>
        <v>0</v>
      </c>
      <c r="AP113" s="437">
        <f t="shared" si="110"/>
        <v>0</v>
      </c>
      <c r="AQ113" s="441">
        <f t="shared" si="110"/>
        <v>0</v>
      </c>
      <c r="AR113" s="442">
        <f t="shared" si="97"/>
        <v>0</v>
      </c>
      <c r="AS113" s="443">
        <f t="shared" si="112"/>
        <v>0</v>
      </c>
      <c r="AT113" s="441">
        <f t="shared" si="112"/>
        <v>0</v>
      </c>
      <c r="AU113" s="442">
        <f t="shared" si="98"/>
        <v>0</v>
      </c>
      <c r="AV113" s="601">
        <f t="shared" si="99"/>
        <v>0</v>
      </c>
      <c r="AW113" s="444"/>
      <c r="AX113" s="1111"/>
      <c r="AY113" s="446"/>
      <c r="AZ113" s="1111"/>
      <c r="BA113" s="446"/>
      <c r="BB113" s="1129"/>
      <c r="BC113" s="448"/>
      <c r="BD113" s="449"/>
      <c r="BE113" s="450"/>
      <c r="BF113" s="449"/>
      <c r="BG113" s="450"/>
      <c r="BH113" s="451"/>
      <c r="BI113" s="452"/>
      <c r="BJ113" s="453"/>
      <c r="BK113" s="438"/>
      <c r="BL113" s="453"/>
      <c r="BM113" s="438"/>
      <c r="BN113" s="454"/>
      <c r="BO113" s="455"/>
      <c r="BP113" s="456"/>
      <c r="BQ113" s="457"/>
      <c r="BR113" s="456"/>
      <c r="BS113" s="457"/>
      <c r="BT113" s="458"/>
    </row>
    <row r="114" spans="1:72" s="468" customFormat="1" ht="72.75" customHeight="1" outlineLevel="1">
      <c r="A114" s="287">
        <v>104</v>
      </c>
      <c r="B114" s="933"/>
      <c r="C114" s="850" t="s">
        <v>378</v>
      </c>
      <c r="D114" s="854" t="s">
        <v>277</v>
      </c>
      <c r="E114" s="858"/>
      <c r="F114" s="828" t="s">
        <v>7</v>
      </c>
      <c r="G114" s="469">
        <v>4</v>
      </c>
      <c r="H114" s="745" t="s">
        <v>70</v>
      </c>
      <c r="I114" s="745">
        <v>244</v>
      </c>
      <c r="J114" s="746">
        <v>226</v>
      </c>
      <c r="K114" s="537" t="s">
        <v>282</v>
      </c>
      <c r="L114" s="1032">
        <v>93059.77</v>
      </c>
      <c r="M114" s="422"/>
      <c r="N114" s="422"/>
      <c r="O114" s="1065">
        <f t="shared" si="101"/>
        <v>93059.77</v>
      </c>
      <c r="P114" s="564"/>
      <c r="Q114" s="472"/>
      <c r="R114" s="564"/>
      <c r="S114" s="472"/>
      <c r="T114" s="564"/>
      <c r="U114" s="393"/>
      <c r="V114" s="394"/>
      <c r="W114" s="394"/>
      <c r="X114" s="394"/>
      <c r="Y114" s="392"/>
      <c r="Z114" s="395">
        <f t="shared" si="105"/>
        <v>0</v>
      </c>
      <c r="AA114" s="396">
        <f t="shared" si="105"/>
        <v>0</v>
      </c>
      <c r="AB114" s="397">
        <f t="shared" si="92"/>
        <v>0</v>
      </c>
      <c r="AC114" s="395">
        <f t="shared" si="106"/>
        <v>0</v>
      </c>
      <c r="AD114" s="396">
        <f t="shared" si="106"/>
        <v>0</v>
      </c>
      <c r="AE114" s="397">
        <f t="shared" si="93"/>
        <v>0</v>
      </c>
      <c r="AF114" s="395">
        <f t="shared" si="107"/>
        <v>0</v>
      </c>
      <c r="AG114" s="396">
        <f t="shared" si="107"/>
        <v>0</v>
      </c>
      <c r="AH114" s="397">
        <f t="shared" si="94"/>
        <v>0</v>
      </c>
      <c r="AI114" s="395">
        <f t="shared" si="108"/>
        <v>93059.77</v>
      </c>
      <c r="AJ114" s="396">
        <f t="shared" si="108"/>
        <v>0</v>
      </c>
      <c r="AK114" s="397">
        <f t="shared" si="95"/>
        <v>93059.77</v>
      </c>
      <c r="AL114" s="398"/>
      <c r="AM114" s="472">
        <f t="shared" si="109"/>
        <v>0</v>
      </c>
      <c r="AN114" s="422">
        <f t="shared" si="109"/>
        <v>0</v>
      </c>
      <c r="AO114" s="473">
        <f t="shared" si="96"/>
        <v>0</v>
      </c>
      <c r="AP114" s="472">
        <f t="shared" si="110"/>
        <v>0</v>
      </c>
      <c r="AQ114" s="422">
        <f t="shared" si="110"/>
        <v>0</v>
      </c>
      <c r="AR114" s="473">
        <f t="shared" si="97"/>
        <v>0</v>
      </c>
      <c r="AS114" s="472">
        <f t="shared" si="112"/>
        <v>93059.77</v>
      </c>
      <c r="AT114" s="422">
        <f t="shared" si="112"/>
        <v>0</v>
      </c>
      <c r="AU114" s="473">
        <f t="shared" si="98"/>
        <v>93059.77</v>
      </c>
      <c r="AV114" s="602">
        <f t="shared" si="99"/>
        <v>0</v>
      </c>
      <c r="AW114" s="472">
        <f t="shared" ref="AW114:BT114" si="114">SUM(AW115:AW118)</f>
        <v>0</v>
      </c>
      <c r="AX114" s="1110">
        <f t="shared" si="114"/>
        <v>0</v>
      </c>
      <c r="AY114" s="422">
        <f t="shared" si="114"/>
        <v>0</v>
      </c>
      <c r="AZ114" s="1110">
        <f t="shared" si="114"/>
        <v>0</v>
      </c>
      <c r="BA114" s="422">
        <f t="shared" si="114"/>
        <v>0</v>
      </c>
      <c r="BB114" s="1128">
        <f t="shared" si="114"/>
        <v>0</v>
      </c>
      <c r="BC114" s="472">
        <f t="shared" si="114"/>
        <v>0</v>
      </c>
      <c r="BD114" s="422">
        <f t="shared" si="114"/>
        <v>0</v>
      </c>
      <c r="BE114" s="422">
        <f t="shared" si="114"/>
        <v>0</v>
      </c>
      <c r="BF114" s="422">
        <f t="shared" si="114"/>
        <v>0</v>
      </c>
      <c r="BG114" s="422">
        <f t="shared" si="114"/>
        <v>0</v>
      </c>
      <c r="BH114" s="423">
        <f t="shared" si="114"/>
        <v>0</v>
      </c>
      <c r="BI114" s="472">
        <f t="shared" si="114"/>
        <v>0</v>
      </c>
      <c r="BJ114" s="422">
        <f t="shared" si="114"/>
        <v>0</v>
      </c>
      <c r="BK114" s="422">
        <f t="shared" si="114"/>
        <v>0</v>
      </c>
      <c r="BL114" s="422">
        <f t="shared" si="114"/>
        <v>0</v>
      </c>
      <c r="BM114" s="422">
        <f t="shared" si="114"/>
        <v>0</v>
      </c>
      <c r="BN114" s="423">
        <f t="shared" si="114"/>
        <v>0</v>
      </c>
      <c r="BO114" s="472">
        <f t="shared" si="114"/>
        <v>0</v>
      </c>
      <c r="BP114" s="422">
        <f t="shared" si="114"/>
        <v>0</v>
      </c>
      <c r="BQ114" s="422">
        <f t="shared" si="114"/>
        <v>0</v>
      </c>
      <c r="BR114" s="422">
        <f t="shared" si="114"/>
        <v>0</v>
      </c>
      <c r="BS114" s="422">
        <f t="shared" si="114"/>
        <v>93059.77</v>
      </c>
      <c r="BT114" s="473">
        <f t="shared" si="114"/>
        <v>0</v>
      </c>
    </row>
    <row r="115" spans="1:72" s="399" customFormat="1" ht="25.5" customHeight="1" outlineLevel="2">
      <c r="A115" s="287">
        <v>105</v>
      </c>
      <c r="B115" s="933"/>
      <c r="C115" s="859"/>
      <c r="D115" s="841" t="s">
        <v>277</v>
      </c>
      <c r="E115" s="860"/>
      <c r="F115" s="829" t="s">
        <v>7</v>
      </c>
      <c r="G115" s="400">
        <v>4</v>
      </c>
      <c r="H115" s="747" t="s">
        <v>70</v>
      </c>
      <c r="I115" s="747">
        <v>244</v>
      </c>
      <c r="J115" s="748">
        <v>226</v>
      </c>
      <c r="K115" s="538" t="s">
        <v>298</v>
      </c>
      <c r="L115" s="1031">
        <v>5666.67</v>
      </c>
      <c r="M115" s="403"/>
      <c r="N115" s="403"/>
      <c r="O115" s="1063">
        <f t="shared" si="101"/>
        <v>5666.67</v>
      </c>
      <c r="P115" s="566"/>
      <c r="Q115" s="406"/>
      <c r="R115" s="566"/>
      <c r="S115" s="406"/>
      <c r="T115" s="566"/>
      <c r="U115" s="404"/>
      <c r="V115" s="405"/>
      <c r="W115" s="405"/>
      <c r="X115" s="405"/>
      <c r="Z115" s="406">
        <f t="shared" si="105"/>
        <v>0</v>
      </c>
      <c r="AA115" s="407">
        <f t="shared" si="105"/>
        <v>0</v>
      </c>
      <c r="AB115" s="408">
        <f t="shared" si="92"/>
        <v>0</v>
      </c>
      <c r="AC115" s="406">
        <f t="shared" si="106"/>
        <v>0</v>
      </c>
      <c r="AD115" s="407">
        <f t="shared" si="106"/>
        <v>0</v>
      </c>
      <c r="AE115" s="408">
        <f t="shared" si="93"/>
        <v>0</v>
      </c>
      <c r="AF115" s="406">
        <f t="shared" si="107"/>
        <v>0</v>
      </c>
      <c r="AG115" s="407">
        <f t="shared" si="107"/>
        <v>0</v>
      </c>
      <c r="AH115" s="408">
        <f t="shared" si="94"/>
        <v>0</v>
      </c>
      <c r="AI115" s="406">
        <f t="shared" si="108"/>
        <v>5666.67</v>
      </c>
      <c r="AJ115" s="407">
        <f t="shared" si="108"/>
        <v>0</v>
      </c>
      <c r="AK115" s="408">
        <f t="shared" si="95"/>
        <v>5666.67</v>
      </c>
      <c r="AL115" s="409"/>
      <c r="AM115" s="406">
        <f t="shared" si="109"/>
        <v>0</v>
      </c>
      <c r="AN115" s="410">
        <f t="shared" si="109"/>
        <v>0</v>
      </c>
      <c r="AO115" s="411">
        <f t="shared" si="96"/>
        <v>0</v>
      </c>
      <c r="AP115" s="406">
        <f t="shared" si="110"/>
        <v>0</v>
      </c>
      <c r="AQ115" s="410">
        <f t="shared" si="110"/>
        <v>0</v>
      </c>
      <c r="AR115" s="411">
        <f t="shared" si="97"/>
        <v>0</v>
      </c>
      <c r="AS115" s="412">
        <f t="shared" si="112"/>
        <v>5666.67</v>
      </c>
      <c r="AT115" s="410">
        <f t="shared" si="112"/>
        <v>0</v>
      </c>
      <c r="AU115" s="411">
        <f t="shared" si="98"/>
        <v>5666.67</v>
      </c>
      <c r="AV115" s="603">
        <f t="shared" si="99"/>
        <v>0</v>
      </c>
      <c r="AW115" s="413"/>
      <c r="AX115" s="1098"/>
      <c r="AY115" s="415"/>
      <c r="AZ115" s="1098"/>
      <c r="BA115" s="415"/>
      <c r="BB115" s="1120"/>
      <c r="BC115" s="417"/>
      <c r="BD115" s="418"/>
      <c r="BE115" s="419"/>
      <c r="BF115" s="418"/>
      <c r="BG115" s="419"/>
      <c r="BH115" s="420"/>
      <c r="BI115" s="421"/>
      <c r="BJ115" s="422"/>
      <c r="BK115" s="407"/>
      <c r="BL115" s="422"/>
      <c r="BM115" s="407"/>
      <c r="BN115" s="423"/>
      <c r="BO115" s="424"/>
      <c r="BP115" s="425"/>
      <c r="BQ115" s="426"/>
      <c r="BR115" s="425"/>
      <c r="BS115" s="426">
        <v>5666.67</v>
      </c>
      <c r="BT115" s="427"/>
    </row>
    <row r="116" spans="1:72" s="399" customFormat="1" ht="25.5" customHeight="1" outlineLevel="2">
      <c r="A116" s="287">
        <v>106</v>
      </c>
      <c r="B116" s="933"/>
      <c r="C116" s="859"/>
      <c r="D116" s="841" t="s">
        <v>277</v>
      </c>
      <c r="E116" s="860"/>
      <c r="F116" s="829" t="s">
        <v>7</v>
      </c>
      <c r="G116" s="400">
        <v>4</v>
      </c>
      <c r="H116" s="747" t="s">
        <v>70</v>
      </c>
      <c r="I116" s="747">
        <v>244</v>
      </c>
      <c r="J116" s="748">
        <v>226</v>
      </c>
      <c r="K116" s="538" t="s">
        <v>299</v>
      </c>
      <c r="L116" s="1031">
        <v>28059.9</v>
      </c>
      <c r="M116" s="403"/>
      <c r="N116" s="403"/>
      <c r="O116" s="1063">
        <f t="shared" si="101"/>
        <v>28059.9</v>
      </c>
      <c r="P116" s="566"/>
      <c r="Q116" s="406"/>
      <c r="R116" s="566"/>
      <c r="S116" s="406"/>
      <c r="T116" s="566"/>
      <c r="U116" s="404"/>
      <c r="V116" s="405"/>
      <c r="W116" s="405"/>
      <c r="X116" s="405"/>
      <c r="Z116" s="406">
        <f t="shared" si="105"/>
        <v>0</v>
      </c>
      <c r="AA116" s="407">
        <f t="shared" si="105"/>
        <v>0</v>
      </c>
      <c r="AB116" s="408">
        <f t="shared" si="92"/>
        <v>0</v>
      </c>
      <c r="AC116" s="406">
        <f t="shared" si="106"/>
        <v>0</v>
      </c>
      <c r="AD116" s="407">
        <f t="shared" si="106"/>
        <v>0</v>
      </c>
      <c r="AE116" s="408">
        <f t="shared" si="93"/>
        <v>0</v>
      </c>
      <c r="AF116" s="406">
        <f t="shared" si="107"/>
        <v>0</v>
      </c>
      <c r="AG116" s="407">
        <f t="shared" si="107"/>
        <v>0</v>
      </c>
      <c r="AH116" s="408">
        <f t="shared" si="94"/>
        <v>0</v>
      </c>
      <c r="AI116" s="406">
        <f t="shared" si="108"/>
        <v>28059.9</v>
      </c>
      <c r="AJ116" s="407">
        <f t="shared" si="108"/>
        <v>0</v>
      </c>
      <c r="AK116" s="408">
        <f t="shared" si="95"/>
        <v>28059.9</v>
      </c>
      <c r="AL116" s="409"/>
      <c r="AM116" s="406">
        <f t="shared" si="109"/>
        <v>0</v>
      </c>
      <c r="AN116" s="410">
        <f t="shared" si="109"/>
        <v>0</v>
      </c>
      <c r="AO116" s="411">
        <f t="shared" si="96"/>
        <v>0</v>
      </c>
      <c r="AP116" s="406">
        <f t="shared" si="110"/>
        <v>0</v>
      </c>
      <c r="AQ116" s="410">
        <f t="shared" si="110"/>
        <v>0</v>
      </c>
      <c r="AR116" s="411">
        <f t="shared" si="97"/>
        <v>0</v>
      </c>
      <c r="AS116" s="412">
        <f t="shared" si="112"/>
        <v>28059.9</v>
      </c>
      <c r="AT116" s="410">
        <f t="shared" si="112"/>
        <v>0</v>
      </c>
      <c r="AU116" s="411">
        <f t="shared" si="98"/>
        <v>28059.9</v>
      </c>
      <c r="AV116" s="603">
        <f t="shared" si="99"/>
        <v>0</v>
      </c>
      <c r="AW116" s="413"/>
      <c r="AX116" s="1098"/>
      <c r="AY116" s="415"/>
      <c r="AZ116" s="1098"/>
      <c r="BA116" s="415"/>
      <c r="BB116" s="1120"/>
      <c r="BC116" s="417"/>
      <c r="BD116" s="418"/>
      <c r="BE116" s="419"/>
      <c r="BF116" s="418"/>
      <c r="BG116" s="419"/>
      <c r="BH116" s="420"/>
      <c r="BI116" s="421"/>
      <c r="BJ116" s="422"/>
      <c r="BK116" s="407"/>
      <c r="BL116" s="422"/>
      <c r="BM116" s="407"/>
      <c r="BN116" s="423"/>
      <c r="BO116" s="424"/>
      <c r="BP116" s="425"/>
      <c r="BQ116" s="426"/>
      <c r="BR116" s="425"/>
      <c r="BS116" s="426">
        <v>28059.9</v>
      </c>
      <c r="BT116" s="427"/>
    </row>
    <row r="117" spans="1:72" s="399" customFormat="1" ht="25.5" customHeight="1" outlineLevel="2">
      <c r="A117" s="287">
        <v>107</v>
      </c>
      <c r="B117" s="933"/>
      <c r="C117" s="859"/>
      <c r="D117" s="841" t="s">
        <v>277</v>
      </c>
      <c r="E117" s="860"/>
      <c r="F117" s="829" t="s">
        <v>7</v>
      </c>
      <c r="G117" s="400">
        <v>4</v>
      </c>
      <c r="H117" s="747" t="s">
        <v>70</v>
      </c>
      <c r="I117" s="747">
        <v>244</v>
      </c>
      <c r="J117" s="748">
        <v>226</v>
      </c>
      <c r="K117" s="538" t="s">
        <v>300</v>
      </c>
      <c r="L117" s="1031">
        <v>59333.2</v>
      </c>
      <c r="M117" s="403"/>
      <c r="N117" s="403"/>
      <c r="O117" s="1063">
        <f t="shared" si="101"/>
        <v>59333.2</v>
      </c>
      <c r="P117" s="566"/>
      <c r="Q117" s="406"/>
      <c r="R117" s="566"/>
      <c r="S117" s="406"/>
      <c r="T117" s="566"/>
      <c r="U117" s="404"/>
      <c r="V117" s="405"/>
      <c r="W117" s="405"/>
      <c r="X117" s="405"/>
      <c r="Z117" s="406">
        <f t="shared" si="105"/>
        <v>0</v>
      </c>
      <c r="AA117" s="407">
        <f t="shared" si="105"/>
        <v>0</v>
      </c>
      <c r="AB117" s="408">
        <f t="shared" si="92"/>
        <v>0</v>
      </c>
      <c r="AC117" s="406">
        <f t="shared" si="106"/>
        <v>0</v>
      </c>
      <c r="AD117" s="407">
        <f t="shared" si="106"/>
        <v>0</v>
      </c>
      <c r="AE117" s="408">
        <f t="shared" si="93"/>
        <v>0</v>
      </c>
      <c r="AF117" s="406">
        <f t="shared" si="107"/>
        <v>0</v>
      </c>
      <c r="AG117" s="407">
        <f t="shared" si="107"/>
        <v>0</v>
      </c>
      <c r="AH117" s="408">
        <f t="shared" si="94"/>
        <v>0</v>
      </c>
      <c r="AI117" s="406">
        <f t="shared" si="108"/>
        <v>59333.2</v>
      </c>
      <c r="AJ117" s="407">
        <f t="shared" si="108"/>
        <v>0</v>
      </c>
      <c r="AK117" s="408">
        <f t="shared" si="95"/>
        <v>59333.2</v>
      </c>
      <c r="AL117" s="409"/>
      <c r="AM117" s="406">
        <f t="shared" si="109"/>
        <v>0</v>
      </c>
      <c r="AN117" s="410">
        <f t="shared" si="109"/>
        <v>0</v>
      </c>
      <c r="AO117" s="411">
        <f t="shared" si="96"/>
        <v>0</v>
      </c>
      <c r="AP117" s="406">
        <f t="shared" si="110"/>
        <v>0</v>
      </c>
      <c r="AQ117" s="410">
        <f t="shared" si="110"/>
        <v>0</v>
      </c>
      <c r="AR117" s="411">
        <f t="shared" si="97"/>
        <v>0</v>
      </c>
      <c r="AS117" s="412">
        <f t="shared" si="112"/>
        <v>59333.2</v>
      </c>
      <c r="AT117" s="410">
        <f t="shared" si="112"/>
        <v>0</v>
      </c>
      <c r="AU117" s="411">
        <f t="shared" si="98"/>
        <v>59333.2</v>
      </c>
      <c r="AV117" s="603">
        <f t="shared" si="99"/>
        <v>0</v>
      </c>
      <c r="AW117" s="413"/>
      <c r="AX117" s="1098"/>
      <c r="AY117" s="415"/>
      <c r="AZ117" s="1098"/>
      <c r="BA117" s="415"/>
      <c r="BB117" s="1120"/>
      <c r="BC117" s="417"/>
      <c r="BD117" s="418"/>
      <c r="BE117" s="419"/>
      <c r="BF117" s="418"/>
      <c r="BG117" s="419"/>
      <c r="BH117" s="420"/>
      <c r="BI117" s="421"/>
      <c r="BJ117" s="422"/>
      <c r="BK117" s="407"/>
      <c r="BL117" s="422"/>
      <c r="BM117" s="407"/>
      <c r="BN117" s="423"/>
      <c r="BO117" s="424"/>
      <c r="BP117" s="425"/>
      <c r="BQ117" s="426"/>
      <c r="BR117" s="425"/>
      <c r="BS117" s="426">
        <v>59333.2</v>
      </c>
      <c r="BT117" s="427"/>
    </row>
    <row r="118" spans="1:72" s="430" customFormat="1" ht="25.5" customHeight="1" outlineLevel="2">
      <c r="A118" s="287">
        <v>108</v>
      </c>
      <c r="B118" s="933"/>
      <c r="C118" s="743"/>
      <c r="D118" s="856" t="s">
        <v>277</v>
      </c>
      <c r="E118" s="857"/>
      <c r="F118" s="827" t="s">
        <v>7</v>
      </c>
      <c r="G118" s="431">
        <v>4</v>
      </c>
      <c r="H118" s="474" t="s">
        <v>70</v>
      </c>
      <c r="I118" s="743">
        <v>244</v>
      </c>
      <c r="J118" s="744">
        <v>226</v>
      </c>
      <c r="K118" s="536" t="s">
        <v>284</v>
      </c>
      <c r="L118" s="1030"/>
      <c r="M118" s="434"/>
      <c r="N118" s="434"/>
      <c r="O118" s="1064">
        <f t="shared" si="101"/>
        <v>0</v>
      </c>
      <c r="P118" s="567"/>
      <c r="Q118" s="437"/>
      <c r="R118" s="567"/>
      <c r="S118" s="437"/>
      <c r="T118" s="567"/>
      <c r="U118" s="435"/>
      <c r="V118" s="436"/>
      <c r="W118" s="436"/>
      <c r="X118" s="436"/>
      <c r="Z118" s="437">
        <f t="shared" si="105"/>
        <v>0</v>
      </c>
      <c r="AA118" s="438">
        <f t="shared" si="105"/>
        <v>0</v>
      </c>
      <c r="AB118" s="439">
        <f t="shared" si="92"/>
        <v>0</v>
      </c>
      <c r="AC118" s="437">
        <f t="shared" si="106"/>
        <v>0</v>
      </c>
      <c r="AD118" s="438">
        <f t="shared" si="106"/>
        <v>0</v>
      </c>
      <c r="AE118" s="439">
        <f t="shared" si="93"/>
        <v>0</v>
      </c>
      <c r="AF118" s="437">
        <f t="shared" si="107"/>
        <v>0</v>
      </c>
      <c r="AG118" s="438">
        <f t="shared" si="107"/>
        <v>0</v>
      </c>
      <c r="AH118" s="439">
        <f t="shared" si="94"/>
        <v>0</v>
      </c>
      <c r="AI118" s="437">
        <f t="shared" si="108"/>
        <v>0</v>
      </c>
      <c r="AJ118" s="438">
        <f t="shared" si="108"/>
        <v>0</v>
      </c>
      <c r="AK118" s="439">
        <f t="shared" si="95"/>
        <v>0</v>
      </c>
      <c r="AL118" s="440"/>
      <c r="AM118" s="437">
        <f t="shared" si="109"/>
        <v>0</v>
      </c>
      <c r="AN118" s="441">
        <f t="shared" si="109"/>
        <v>0</v>
      </c>
      <c r="AO118" s="442">
        <f t="shared" si="96"/>
        <v>0</v>
      </c>
      <c r="AP118" s="437">
        <f t="shared" si="110"/>
        <v>0</v>
      </c>
      <c r="AQ118" s="441">
        <f t="shared" si="110"/>
        <v>0</v>
      </c>
      <c r="AR118" s="442">
        <f t="shared" si="97"/>
        <v>0</v>
      </c>
      <c r="AS118" s="443">
        <f t="shared" si="112"/>
        <v>0</v>
      </c>
      <c r="AT118" s="441">
        <f t="shared" si="112"/>
        <v>0</v>
      </c>
      <c r="AU118" s="442">
        <f t="shared" si="98"/>
        <v>0</v>
      </c>
      <c r="AV118" s="601">
        <f t="shared" si="99"/>
        <v>0</v>
      </c>
      <c r="AW118" s="444"/>
      <c r="AX118" s="1111"/>
      <c r="AY118" s="446"/>
      <c r="AZ118" s="1111"/>
      <c r="BA118" s="446"/>
      <c r="BB118" s="1129"/>
      <c r="BC118" s="448"/>
      <c r="BD118" s="449"/>
      <c r="BE118" s="450"/>
      <c r="BF118" s="449"/>
      <c r="BG118" s="450"/>
      <c r="BH118" s="451"/>
      <c r="BI118" s="452"/>
      <c r="BJ118" s="453"/>
      <c r="BK118" s="438"/>
      <c r="BL118" s="453"/>
      <c r="BM118" s="438"/>
      <c r="BN118" s="454"/>
      <c r="BO118" s="455"/>
      <c r="BP118" s="456"/>
      <c r="BQ118" s="457"/>
      <c r="BR118" s="456"/>
      <c r="BS118" s="457"/>
      <c r="BT118" s="458"/>
    </row>
    <row r="119" spans="1:72" s="965" customFormat="1" ht="51" customHeight="1">
      <c r="A119" s="287">
        <v>109</v>
      </c>
      <c r="B119" s="952"/>
      <c r="C119" s="953" t="s">
        <v>377</v>
      </c>
      <c r="D119" s="954"/>
      <c r="E119" s="955" t="s">
        <v>201</v>
      </c>
      <c r="F119" s="956" t="s">
        <v>7</v>
      </c>
      <c r="G119" s="957">
        <v>4</v>
      </c>
      <c r="H119" s="957" t="s">
        <v>266</v>
      </c>
      <c r="I119" s="957">
        <v>244</v>
      </c>
      <c r="J119" s="958">
        <v>346</v>
      </c>
      <c r="K119" s="959" t="s">
        <v>306</v>
      </c>
      <c r="L119" s="1027">
        <v>359298.91</v>
      </c>
      <c r="M119" s="961"/>
      <c r="N119" s="961"/>
      <c r="O119" s="1061">
        <f t="shared" si="101"/>
        <v>359298.91</v>
      </c>
      <c r="P119" s="962"/>
      <c r="Q119" s="960">
        <f>Q134</f>
        <v>379130.88</v>
      </c>
      <c r="R119" s="962">
        <f>R134</f>
        <v>0</v>
      </c>
      <c r="S119" s="960">
        <f>S134</f>
        <v>485710.59</v>
      </c>
      <c r="T119" s="962"/>
      <c r="U119" s="963"/>
      <c r="V119" s="964"/>
      <c r="W119" s="964"/>
      <c r="X119" s="964"/>
      <c r="Z119" s="960">
        <f t="shared" si="105"/>
        <v>65488.35</v>
      </c>
      <c r="AA119" s="961">
        <f t="shared" si="105"/>
        <v>65488.35</v>
      </c>
      <c r="AB119" s="966">
        <f t="shared" si="92"/>
        <v>0</v>
      </c>
      <c r="AC119" s="960">
        <f t="shared" si="106"/>
        <v>115302.52</v>
      </c>
      <c r="AD119" s="961">
        <f t="shared" si="106"/>
        <v>0</v>
      </c>
      <c r="AE119" s="966">
        <f t="shared" si="93"/>
        <v>115302.52</v>
      </c>
      <c r="AF119" s="960">
        <f t="shared" si="107"/>
        <v>27459.5</v>
      </c>
      <c r="AG119" s="961">
        <f t="shared" si="107"/>
        <v>0</v>
      </c>
      <c r="AH119" s="966">
        <f t="shared" si="94"/>
        <v>27459.5</v>
      </c>
      <c r="AI119" s="960">
        <f t="shared" si="108"/>
        <v>132954.44</v>
      </c>
      <c r="AJ119" s="961">
        <f t="shared" si="108"/>
        <v>0</v>
      </c>
      <c r="AK119" s="966">
        <f t="shared" si="95"/>
        <v>132954.44</v>
      </c>
      <c r="AL119" s="967"/>
      <c r="AM119" s="960">
        <f t="shared" si="109"/>
        <v>180790.87</v>
      </c>
      <c r="AN119" s="961">
        <f t="shared" si="109"/>
        <v>65488.35</v>
      </c>
      <c r="AO119" s="966">
        <f t="shared" si="96"/>
        <v>115302.52</v>
      </c>
      <c r="AP119" s="960">
        <f t="shared" si="110"/>
        <v>208250.37</v>
      </c>
      <c r="AQ119" s="961">
        <f t="shared" si="110"/>
        <v>65488.35</v>
      </c>
      <c r="AR119" s="966">
        <f t="shared" si="97"/>
        <v>142762.01999999999</v>
      </c>
      <c r="AS119" s="960">
        <f t="shared" si="112"/>
        <v>341204.81</v>
      </c>
      <c r="AT119" s="961">
        <f t="shared" si="112"/>
        <v>65488.35</v>
      </c>
      <c r="AU119" s="966">
        <f t="shared" si="98"/>
        <v>275716.46000000002</v>
      </c>
      <c r="AV119" s="968">
        <f t="shared" si="99"/>
        <v>18094.099999999999</v>
      </c>
      <c r="AW119" s="960">
        <f t="shared" ref="AW119:BT119" si="115">SUM(AW134,AW120,AW150,AW155,AW158,AW161)</f>
        <v>0</v>
      </c>
      <c r="AX119" s="1109">
        <f t="shared" si="115"/>
        <v>0</v>
      </c>
      <c r="AY119" s="961">
        <f t="shared" si="115"/>
        <v>16998.990000000002</v>
      </c>
      <c r="AZ119" s="1109">
        <f t="shared" si="115"/>
        <v>16998.990000000002</v>
      </c>
      <c r="BA119" s="961">
        <f t="shared" si="115"/>
        <v>48489.36</v>
      </c>
      <c r="BB119" s="1127">
        <f t="shared" si="115"/>
        <v>48489.36</v>
      </c>
      <c r="BC119" s="960">
        <f t="shared" si="115"/>
        <v>56563.519999999997</v>
      </c>
      <c r="BD119" s="961">
        <f t="shared" si="115"/>
        <v>0</v>
      </c>
      <c r="BE119" s="961">
        <f t="shared" si="115"/>
        <v>47165</v>
      </c>
      <c r="BF119" s="961">
        <f t="shared" si="115"/>
        <v>0</v>
      </c>
      <c r="BG119" s="961">
        <f t="shared" si="115"/>
        <v>11574</v>
      </c>
      <c r="BH119" s="969">
        <f t="shared" si="115"/>
        <v>0</v>
      </c>
      <c r="BI119" s="960">
        <f t="shared" si="115"/>
        <v>0</v>
      </c>
      <c r="BJ119" s="961">
        <f t="shared" si="115"/>
        <v>0</v>
      </c>
      <c r="BK119" s="961">
        <f t="shared" si="115"/>
        <v>10000</v>
      </c>
      <c r="BL119" s="961">
        <f t="shared" si="115"/>
        <v>0</v>
      </c>
      <c r="BM119" s="961">
        <f t="shared" si="115"/>
        <v>17459.5</v>
      </c>
      <c r="BN119" s="969">
        <f t="shared" si="115"/>
        <v>0</v>
      </c>
      <c r="BO119" s="960">
        <f t="shared" si="115"/>
        <v>20000</v>
      </c>
      <c r="BP119" s="961">
        <f t="shared" si="115"/>
        <v>0</v>
      </c>
      <c r="BQ119" s="961">
        <f t="shared" si="115"/>
        <v>78871.14</v>
      </c>
      <c r="BR119" s="961">
        <f t="shared" si="115"/>
        <v>0</v>
      </c>
      <c r="BS119" s="961">
        <f t="shared" si="115"/>
        <v>34083.300000000003</v>
      </c>
      <c r="BT119" s="966">
        <f t="shared" si="115"/>
        <v>0</v>
      </c>
    </row>
    <row r="120" spans="1:72" s="459" customFormat="1" ht="97.5" outlineLevel="1">
      <c r="A120" s="287">
        <v>110</v>
      </c>
      <c r="B120" s="933"/>
      <c r="C120" s="850" t="s">
        <v>378</v>
      </c>
      <c r="D120" s="854" t="s">
        <v>273</v>
      </c>
      <c r="E120" s="855"/>
      <c r="F120" s="923" t="s">
        <v>7</v>
      </c>
      <c r="G120" s="462">
        <v>4</v>
      </c>
      <c r="H120" s="741" t="s">
        <v>70</v>
      </c>
      <c r="I120" s="741">
        <v>244</v>
      </c>
      <c r="J120" s="742">
        <v>346</v>
      </c>
      <c r="K120" s="535" t="s">
        <v>492</v>
      </c>
      <c r="L120" s="1028">
        <f>SUM(L121:L133)</f>
        <v>64879.15</v>
      </c>
      <c r="M120" s="352"/>
      <c r="N120" s="352"/>
      <c r="O120" s="1062">
        <f t="shared" si="101"/>
        <v>64879.15</v>
      </c>
      <c r="P120" s="924"/>
      <c r="Q120" s="464"/>
      <c r="R120" s="924"/>
      <c r="S120" s="464"/>
      <c r="T120" s="924"/>
      <c r="U120" s="925"/>
      <c r="V120" s="926"/>
      <c r="W120" s="926"/>
      <c r="X120" s="1067" t="s">
        <v>645</v>
      </c>
      <c r="Y120" s="927"/>
      <c r="Z120" s="928">
        <f t="shared" si="105"/>
        <v>64879.15</v>
      </c>
      <c r="AA120" s="929">
        <f t="shared" si="105"/>
        <v>64879.15</v>
      </c>
      <c r="AB120" s="930">
        <f t="shared" si="92"/>
        <v>0</v>
      </c>
      <c r="AC120" s="928">
        <f t="shared" si="106"/>
        <v>0</v>
      </c>
      <c r="AD120" s="929">
        <f t="shared" si="106"/>
        <v>0</v>
      </c>
      <c r="AE120" s="930">
        <f t="shared" si="93"/>
        <v>0</v>
      </c>
      <c r="AF120" s="928">
        <f t="shared" si="107"/>
        <v>0</v>
      </c>
      <c r="AG120" s="929">
        <f t="shared" si="107"/>
        <v>0</v>
      </c>
      <c r="AH120" s="930">
        <f t="shared" si="94"/>
        <v>0</v>
      </c>
      <c r="AI120" s="928">
        <f t="shared" si="108"/>
        <v>0</v>
      </c>
      <c r="AJ120" s="929">
        <f t="shared" si="108"/>
        <v>0</v>
      </c>
      <c r="AK120" s="930">
        <f t="shared" si="95"/>
        <v>0</v>
      </c>
      <c r="AL120" s="931"/>
      <c r="AM120" s="464">
        <f t="shared" si="109"/>
        <v>64879.15</v>
      </c>
      <c r="AN120" s="352">
        <f t="shared" si="109"/>
        <v>64879.15</v>
      </c>
      <c r="AO120" s="465">
        <f t="shared" si="96"/>
        <v>0</v>
      </c>
      <c r="AP120" s="464">
        <f t="shared" si="110"/>
        <v>64879.15</v>
      </c>
      <c r="AQ120" s="352">
        <f t="shared" si="110"/>
        <v>64879.15</v>
      </c>
      <c r="AR120" s="465">
        <f t="shared" si="97"/>
        <v>0</v>
      </c>
      <c r="AS120" s="464">
        <f t="shared" si="112"/>
        <v>64879.15</v>
      </c>
      <c r="AT120" s="352">
        <f t="shared" si="112"/>
        <v>64879.15</v>
      </c>
      <c r="AU120" s="465">
        <f t="shared" si="98"/>
        <v>0</v>
      </c>
      <c r="AV120" s="600">
        <f t="shared" si="99"/>
        <v>0</v>
      </c>
      <c r="AW120" s="464">
        <f t="shared" ref="AW120:BT120" si="116">SUM(AW121:AW133)</f>
        <v>0</v>
      </c>
      <c r="AX120" s="1110">
        <f t="shared" si="116"/>
        <v>0</v>
      </c>
      <c r="AY120" s="352">
        <f t="shared" si="116"/>
        <v>16998.990000000002</v>
      </c>
      <c r="AZ120" s="1110">
        <f t="shared" si="116"/>
        <v>16998.990000000002</v>
      </c>
      <c r="BA120" s="352">
        <f t="shared" si="116"/>
        <v>47880.160000000003</v>
      </c>
      <c r="BB120" s="1128">
        <f t="shared" si="116"/>
        <v>47880.160000000003</v>
      </c>
      <c r="BC120" s="464">
        <f t="shared" si="116"/>
        <v>0</v>
      </c>
      <c r="BD120" s="352">
        <f t="shared" si="116"/>
        <v>0</v>
      </c>
      <c r="BE120" s="352">
        <f t="shared" si="116"/>
        <v>0</v>
      </c>
      <c r="BF120" s="352">
        <f t="shared" si="116"/>
        <v>0</v>
      </c>
      <c r="BG120" s="352">
        <f t="shared" si="116"/>
        <v>0</v>
      </c>
      <c r="BH120" s="353">
        <f t="shared" si="116"/>
        <v>0</v>
      </c>
      <c r="BI120" s="464">
        <f t="shared" si="116"/>
        <v>0</v>
      </c>
      <c r="BJ120" s="352">
        <f t="shared" si="116"/>
        <v>0</v>
      </c>
      <c r="BK120" s="352">
        <f t="shared" si="116"/>
        <v>0</v>
      </c>
      <c r="BL120" s="352">
        <f t="shared" si="116"/>
        <v>0</v>
      </c>
      <c r="BM120" s="352">
        <f t="shared" si="116"/>
        <v>0</v>
      </c>
      <c r="BN120" s="353">
        <f t="shared" si="116"/>
        <v>0</v>
      </c>
      <c r="BO120" s="464">
        <f t="shared" si="116"/>
        <v>0</v>
      </c>
      <c r="BP120" s="352">
        <f t="shared" si="116"/>
        <v>0</v>
      </c>
      <c r="BQ120" s="352">
        <f t="shared" si="116"/>
        <v>0</v>
      </c>
      <c r="BR120" s="352">
        <f t="shared" si="116"/>
        <v>0</v>
      </c>
      <c r="BS120" s="352">
        <f t="shared" si="116"/>
        <v>0</v>
      </c>
      <c r="BT120" s="465">
        <f t="shared" si="116"/>
        <v>0</v>
      </c>
    </row>
    <row r="121" spans="1:72" s="313" customFormat="1" ht="25.5" customHeight="1" outlineLevel="2">
      <c r="A121" s="287">
        <v>111</v>
      </c>
      <c r="B121" s="933"/>
      <c r="C121" s="840"/>
      <c r="D121" s="841" t="s">
        <v>273</v>
      </c>
      <c r="E121" s="839"/>
      <c r="F121" s="821" t="s">
        <v>7</v>
      </c>
      <c r="G121" s="314">
        <v>4</v>
      </c>
      <c r="H121" s="739" t="s">
        <v>70</v>
      </c>
      <c r="I121" s="739">
        <v>244</v>
      </c>
      <c r="J121" s="740">
        <v>346</v>
      </c>
      <c r="K121" s="533" t="s">
        <v>643</v>
      </c>
      <c r="L121" s="1025">
        <v>19125.16</v>
      </c>
      <c r="M121" s="318"/>
      <c r="N121" s="318"/>
      <c r="O121" s="1052">
        <f t="shared" si="101"/>
        <v>19125.16</v>
      </c>
      <c r="P121" s="562"/>
      <c r="Q121" s="336"/>
      <c r="R121" s="562"/>
      <c r="S121" s="336"/>
      <c r="T121" s="562"/>
      <c r="U121" s="466"/>
      <c r="V121" s="597" t="s">
        <v>644</v>
      </c>
      <c r="W121" s="597" t="s">
        <v>655</v>
      </c>
      <c r="X121" s="597" t="s">
        <v>773</v>
      </c>
      <c r="Z121" s="336">
        <f t="shared" si="105"/>
        <v>19125.16</v>
      </c>
      <c r="AA121" s="337">
        <f t="shared" si="105"/>
        <v>19125.16</v>
      </c>
      <c r="AB121" s="338">
        <f t="shared" si="92"/>
        <v>0</v>
      </c>
      <c r="AC121" s="336">
        <f t="shared" si="106"/>
        <v>0</v>
      </c>
      <c r="AD121" s="337">
        <f t="shared" si="106"/>
        <v>0</v>
      </c>
      <c r="AE121" s="338">
        <f t="shared" si="93"/>
        <v>0</v>
      </c>
      <c r="AF121" s="336">
        <f t="shared" si="107"/>
        <v>0</v>
      </c>
      <c r="AG121" s="337">
        <f t="shared" si="107"/>
        <v>0</v>
      </c>
      <c r="AH121" s="338">
        <f t="shared" si="94"/>
        <v>0</v>
      </c>
      <c r="AI121" s="336">
        <f t="shared" si="108"/>
        <v>0</v>
      </c>
      <c r="AJ121" s="337">
        <f t="shared" si="108"/>
        <v>0</v>
      </c>
      <c r="AK121" s="338">
        <f t="shared" si="95"/>
        <v>0</v>
      </c>
      <c r="AL121" s="342"/>
      <c r="AM121" s="336">
        <f t="shared" si="109"/>
        <v>19125.16</v>
      </c>
      <c r="AN121" s="339">
        <f t="shared" si="109"/>
        <v>19125.16</v>
      </c>
      <c r="AO121" s="340">
        <f t="shared" si="96"/>
        <v>0</v>
      </c>
      <c r="AP121" s="336">
        <f t="shared" si="110"/>
        <v>19125.16</v>
      </c>
      <c r="AQ121" s="339">
        <f t="shared" si="110"/>
        <v>19125.16</v>
      </c>
      <c r="AR121" s="340">
        <f t="shared" si="97"/>
        <v>0</v>
      </c>
      <c r="AS121" s="341">
        <f t="shared" si="112"/>
        <v>19125.16</v>
      </c>
      <c r="AT121" s="339">
        <f t="shared" si="112"/>
        <v>19125.16</v>
      </c>
      <c r="AU121" s="340">
        <f t="shared" si="98"/>
        <v>0</v>
      </c>
      <c r="AV121" s="589">
        <f t="shared" si="99"/>
        <v>0</v>
      </c>
      <c r="AW121" s="343"/>
      <c r="AX121" s="1098"/>
      <c r="AY121" s="345"/>
      <c r="AZ121" s="1098"/>
      <c r="BA121" s="345">
        <v>19125.16</v>
      </c>
      <c r="BB121" s="1120">
        <v>19125.16</v>
      </c>
      <c r="BC121" s="347"/>
      <c r="BD121" s="348"/>
      <c r="BE121" s="349"/>
      <c r="BF121" s="348"/>
      <c r="BG121" s="349"/>
      <c r="BH121" s="350"/>
      <c r="BI121" s="351"/>
      <c r="BJ121" s="352"/>
      <c r="BK121" s="337"/>
      <c r="BL121" s="352"/>
      <c r="BM121" s="337"/>
      <c r="BN121" s="353"/>
      <c r="BO121" s="354"/>
      <c r="BP121" s="355"/>
      <c r="BQ121" s="356"/>
      <c r="BR121" s="355"/>
      <c r="BS121" s="356"/>
      <c r="BT121" s="357"/>
    </row>
    <row r="122" spans="1:72" s="313" customFormat="1" ht="25.5" customHeight="1" outlineLevel="2">
      <c r="A122" s="287">
        <v>112</v>
      </c>
      <c r="B122" s="933"/>
      <c r="C122" s="840"/>
      <c r="D122" s="841" t="s">
        <v>273</v>
      </c>
      <c r="E122" s="839"/>
      <c r="F122" s="821" t="s">
        <v>7</v>
      </c>
      <c r="G122" s="314">
        <v>4</v>
      </c>
      <c r="H122" s="739" t="s">
        <v>70</v>
      </c>
      <c r="I122" s="739">
        <v>244</v>
      </c>
      <c r="J122" s="740">
        <v>346</v>
      </c>
      <c r="K122" s="533" t="s">
        <v>486</v>
      </c>
      <c r="L122" s="1025">
        <v>275</v>
      </c>
      <c r="M122" s="318"/>
      <c r="N122" s="318"/>
      <c r="O122" s="1052">
        <f>L122+N122</f>
        <v>275</v>
      </c>
      <c r="P122" s="562"/>
      <c r="Q122" s="336"/>
      <c r="R122" s="562"/>
      <c r="S122" s="336"/>
      <c r="T122" s="562"/>
      <c r="U122" s="466"/>
      <c r="V122" s="597" t="s">
        <v>483</v>
      </c>
      <c r="W122" s="597" t="s">
        <v>484</v>
      </c>
      <c r="X122" s="320" t="s">
        <v>557</v>
      </c>
      <c r="Z122" s="336">
        <f>AW122+AY122+BA122</f>
        <v>275</v>
      </c>
      <c r="AA122" s="337">
        <f>AX122+AZ122+BB122</f>
        <v>275</v>
      </c>
      <c r="AB122" s="338">
        <f>Z122-AA122</f>
        <v>0</v>
      </c>
      <c r="AC122" s="336">
        <f>BC122+BE122+BG122</f>
        <v>0</v>
      </c>
      <c r="AD122" s="337">
        <f>BD122+BF122+BH122</f>
        <v>0</v>
      </c>
      <c r="AE122" s="338">
        <f>AC122-AD122</f>
        <v>0</v>
      </c>
      <c r="AF122" s="336">
        <f>BI122+BK122+BM122</f>
        <v>0</v>
      </c>
      <c r="AG122" s="337">
        <f>BJ122+BL122+BN122</f>
        <v>0</v>
      </c>
      <c r="AH122" s="338">
        <f>AF122-AG122</f>
        <v>0</v>
      </c>
      <c r="AI122" s="336">
        <f>BO122+BQ122+BS122</f>
        <v>0</v>
      </c>
      <c r="AJ122" s="337">
        <f>BP122+BR122+BT122</f>
        <v>0</v>
      </c>
      <c r="AK122" s="338">
        <f>AI122-AJ122</f>
        <v>0</v>
      </c>
      <c r="AL122" s="342"/>
      <c r="AM122" s="336">
        <f>Z122+AC122</f>
        <v>275</v>
      </c>
      <c r="AN122" s="339">
        <f>AA122+AD122</f>
        <v>275</v>
      </c>
      <c r="AO122" s="340">
        <f>AM122-AN122</f>
        <v>0</v>
      </c>
      <c r="AP122" s="336">
        <f>Z122+AC122+AF122</f>
        <v>275</v>
      </c>
      <c r="AQ122" s="339">
        <f>AA122+AD122+AG122</f>
        <v>275</v>
      </c>
      <c r="AR122" s="340">
        <f>AP122-AQ122</f>
        <v>0</v>
      </c>
      <c r="AS122" s="341">
        <f>Z122+AC122+AF122+AI122</f>
        <v>275</v>
      </c>
      <c r="AT122" s="339">
        <f>AA122+AD122+AG122+AJ122</f>
        <v>275</v>
      </c>
      <c r="AU122" s="340">
        <f>AS122-AT122</f>
        <v>0</v>
      </c>
      <c r="AV122" s="589">
        <f>L122-AS122</f>
        <v>0</v>
      </c>
      <c r="AW122" s="343"/>
      <c r="AX122" s="1098"/>
      <c r="AY122" s="345">
        <v>275</v>
      </c>
      <c r="AZ122" s="1098">
        <v>275</v>
      </c>
      <c r="BA122" s="345"/>
      <c r="BB122" s="1120"/>
      <c r="BC122" s="347"/>
      <c r="BD122" s="348"/>
      <c r="BE122" s="349"/>
      <c r="BF122" s="348"/>
      <c r="BG122" s="349"/>
      <c r="BH122" s="350"/>
      <c r="BI122" s="351"/>
      <c r="BJ122" s="352"/>
      <c r="BK122" s="337"/>
      <c r="BL122" s="352"/>
      <c r="BM122" s="337"/>
      <c r="BN122" s="353"/>
      <c r="BO122" s="354"/>
      <c r="BP122" s="355"/>
      <c r="BQ122" s="356"/>
      <c r="BR122" s="355"/>
      <c r="BS122" s="356"/>
      <c r="BT122" s="357"/>
    </row>
    <row r="123" spans="1:72" s="313" customFormat="1" ht="25.5" customHeight="1" outlineLevel="2">
      <c r="A123" s="287">
        <v>113</v>
      </c>
      <c r="B123" s="933"/>
      <c r="C123" s="840"/>
      <c r="D123" s="841" t="s">
        <v>273</v>
      </c>
      <c r="E123" s="839"/>
      <c r="F123" s="821" t="s">
        <v>7</v>
      </c>
      <c r="G123" s="314">
        <v>4</v>
      </c>
      <c r="H123" s="739" t="s">
        <v>70</v>
      </c>
      <c r="I123" s="739">
        <v>244</v>
      </c>
      <c r="J123" s="740">
        <v>346</v>
      </c>
      <c r="K123" s="533" t="s">
        <v>487</v>
      </c>
      <c r="L123" s="1025">
        <v>2874</v>
      </c>
      <c r="M123" s="318"/>
      <c r="N123" s="318"/>
      <c r="O123" s="1052">
        <f t="shared" ref="O123:O130" si="117">L123+N123</f>
        <v>2874</v>
      </c>
      <c r="P123" s="562"/>
      <c r="Q123" s="336"/>
      <c r="R123" s="562"/>
      <c r="S123" s="336"/>
      <c r="T123" s="562"/>
      <c r="U123" s="466"/>
      <c r="V123" s="597" t="s">
        <v>483</v>
      </c>
      <c r="W123" s="597" t="s">
        <v>485</v>
      </c>
      <c r="X123" s="320" t="s">
        <v>557</v>
      </c>
      <c r="Z123" s="336">
        <f t="shared" ref="Z123:AA130" si="118">AW123+AY123+BA123</f>
        <v>2874</v>
      </c>
      <c r="AA123" s="337">
        <f t="shared" si="118"/>
        <v>2874</v>
      </c>
      <c r="AB123" s="338">
        <f t="shared" ref="AB123:AB130" si="119">Z123-AA123</f>
        <v>0</v>
      </c>
      <c r="AC123" s="336">
        <f t="shared" ref="AC123:AD130" si="120">BC123+BE123+BG123</f>
        <v>0</v>
      </c>
      <c r="AD123" s="337">
        <f t="shared" si="120"/>
        <v>0</v>
      </c>
      <c r="AE123" s="338">
        <f t="shared" ref="AE123:AE130" si="121">AC123-AD123</f>
        <v>0</v>
      </c>
      <c r="AF123" s="336">
        <f t="shared" ref="AF123:AG130" si="122">BI123+BK123+BM123</f>
        <v>0</v>
      </c>
      <c r="AG123" s="337">
        <f t="shared" si="122"/>
        <v>0</v>
      </c>
      <c r="AH123" s="338">
        <f t="shared" ref="AH123:AH130" si="123">AF123-AG123</f>
        <v>0</v>
      </c>
      <c r="AI123" s="336">
        <f t="shared" ref="AI123:AJ130" si="124">BO123+BQ123+BS123</f>
        <v>0</v>
      </c>
      <c r="AJ123" s="337">
        <f t="shared" si="124"/>
        <v>0</v>
      </c>
      <c r="AK123" s="338">
        <f t="shared" ref="AK123:AK130" si="125">AI123-AJ123</f>
        <v>0</v>
      </c>
      <c r="AL123" s="342"/>
      <c r="AM123" s="336">
        <f t="shared" ref="AM123:AN130" si="126">Z123+AC123</f>
        <v>2874</v>
      </c>
      <c r="AN123" s="339">
        <f t="shared" si="126"/>
        <v>2874</v>
      </c>
      <c r="AO123" s="340">
        <f t="shared" ref="AO123:AO130" si="127">AM123-AN123</f>
        <v>0</v>
      </c>
      <c r="AP123" s="336">
        <f t="shared" ref="AP123:AQ130" si="128">Z123+AC123+AF123</f>
        <v>2874</v>
      </c>
      <c r="AQ123" s="339">
        <f t="shared" si="128"/>
        <v>2874</v>
      </c>
      <c r="AR123" s="340">
        <f t="shared" ref="AR123:AR130" si="129">AP123-AQ123</f>
        <v>0</v>
      </c>
      <c r="AS123" s="341">
        <f t="shared" ref="AS123:AT130" si="130">Z123+AC123+AF123+AI123</f>
        <v>2874</v>
      </c>
      <c r="AT123" s="339">
        <f t="shared" si="130"/>
        <v>2874</v>
      </c>
      <c r="AU123" s="340">
        <f t="shared" ref="AU123:AU130" si="131">AS123-AT123</f>
        <v>0</v>
      </c>
      <c r="AV123" s="589">
        <f t="shared" ref="AV123:AV130" si="132">L123-AS123</f>
        <v>0</v>
      </c>
      <c r="AW123" s="343"/>
      <c r="AX123" s="1098"/>
      <c r="AY123" s="345">
        <v>2874</v>
      </c>
      <c r="AZ123" s="1098">
        <v>2874</v>
      </c>
      <c r="BA123" s="345"/>
      <c r="BB123" s="1120"/>
      <c r="BC123" s="347"/>
      <c r="BD123" s="348"/>
      <c r="BE123" s="349"/>
      <c r="BF123" s="348"/>
      <c r="BG123" s="349"/>
      <c r="BH123" s="350"/>
      <c r="BI123" s="351"/>
      <c r="BJ123" s="352"/>
      <c r="BK123" s="337"/>
      <c r="BL123" s="352"/>
      <c r="BM123" s="337"/>
      <c r="BN123" s="353"/>
      <c r="BO123" s="354"/>
      <c r="BP123" s="355"/>
      <c r="BQ123" s="356"/>
      <c r="BR123" s="355"/>
      <c r="BS123" s="356"/>
      <c r="BT123" s="357"/>
    </row>
    <row r="124" spans="1:72" s="313" customFormat="1" ht="51" outlineLevel="2">
      <c r="A124" s="287">
        <v>114</v>
      </c>
      <c r="B124" s="933"/>
      <c r="C124" s="840"/>
      <c r="D124" s="841" t="s">
        <v>273</v>
      </c>
      <c r="E124" s="839"/>
      <c r="F124" s="821" t="s">
        <v>7</v>
      </c>
      <c r="G124" s="314">
        <v>4</v>
      </c>
      <c r="H124" s="739" t="s">
        <v>70</v>
      </c>
      <c r="I124" s="739">
        <v>244</v>
      </c>
      <c r="J124" s="740">
        <v>346</v>
      </c>
      <c r="K124" s="533" t="s">
        <v>497</v>
      </c>
      <c r="L124" s="1025">
        <v>3475</v>
      </c>
      <c r="M124" s="318"/>
      <c r="N124" s="318"/>
      <c r="O124" s="1052">
        <f t="shared" si="117"/>
        <v>3475</v>
      </c>
      <c r="P124" s="562"/>
      <c r="Q124" s="336"/>
      <c r="R124" s="562"/>
      <c r="S124" s="336"/>
      <c r="T124" s="562"/>
      <c r="U124" s="466"/>
      <c r="V124" s="597" t="s">
        <v>495</v>
      </c>
      <c r="W124" s="597" t="s">
        <v>496</v>
      </c>
      <c r="X124" s="320" t="s">
        <v>557</v>
      </c>
      <c r="Z124" s="336">
        <f t="shared" si="118"/>
        <v>3475</v>
      </c>
      <c r="AA124" s="337">
        <f t="shared" si="118"/>
        <v>3475</v>
      </c>
      <c r="AB124" s="338">
        <f t="shared" si="119"/>
        <v>0</v>
      </c>
      <c r="AC124" s="336">
        <f t="shared" si="120"/>
        <v>0</v>
      </c>
      <c r="AD124" s="337">
        <f t="shared" si="120"/>
        <v>0</v>
      </c>
      <c r="AE124" s="338">
        <f t="shared" si="121"/>
        <v>0</v>
      </c>
      <c r="AF124" s="336">
        <f t="shared" si="122"/>
        <v>0</v>
      </c>
      <c r="AG124" s="337">
        <f t="shared" si="122"/>
        <v>0</v>
      </c>
      <c r="AH124" s="338">
        <f t="shared" si="123"/>
        <v>0</v>
      </c>
      <c r="AI124" s="336">
        <f t="shared" si="124"/>
        <v>0</v>
      </c>
      <c r="AJ124" s="337">
        <f t="shared" si="124"/>
        <v>0</v>
      </c>
      <c r="AK124" s="338">
        <f t="shared" si="125"/>
        <v>0</v>
      </c>
      <c r="AL124" s="342"/>
      <c r="AM124" s="336">
        <f t="shared" si="126"/>
        <v>3475</v>
      </c>
      <c r="AN124" s="339">
        <f t="shared" si="126"/>
        <v>3475</v>
      </c>
      <c r="AO124" s="340">
        <f t="shared" si="127"/>
        <v>0</v>
      </c>
      <c r="AP124" s="336">
        <f t="shared" si="128"/>
        <v>3475</v>
      </c>
      <c r="AQ124" s="339">
        <f t="shared" si="128"/>
        <v>3475</v>
      </c>
      <c r="AR124" s="340">
        <f t="shared" si="129"/>
        <v>0</v>
      </c>
      <c r="AS124" s="341">
        <f t="shared" si="130"/>
        <v>3475</v>
      </c>
      <c r="AT124" s="339">
        <f t="shared" si="130"/>
        <v>3475</v>
      </c>
      <c r="AU124" s="340">
        <f t="shared" si="131"/>
        <v>0</v>
      </c>
      <c r="AV124" s="589">
        <f t="shared" si="132"/>
        <v>0</v>
      </c>
      <c r="AW124" s="343"/>
      <c r="AX124" s="1098"/>
      <c r="AY124" s="345">
        <v>3475</v>
      </c>
      <c r="AZ124" s="1098">
        <v>3475</v>
      </c>
      <c r="BA124" s="345"/>
      <c r="BB124" s="1120"/>
      <c r="BC124" s="347"/>
      <c r="BD124" s="348"/>
      <c r="BE124" s="349"/>
      <c r="BF124" s="348"/>
      <c r="BG124" s="349"/>
      <c r="BH124" s="350"/>
      <c r="BI124" s="351"/>
      <c r="BJ124" s="352"/>
      <c r="BK124" s="337"/>
      <c r="BL124" s="352"/>
      <c r="BM124" s="337"/>
      <c r="BN124" s="353"/>
      <c r="BO124" s="354"/>
      <c r="BP124" s="355"/>
      <c r="BQ124" s="356"/>
      <c r="BR124" s="355"/>
      <c r="BS124" s="356"/>
      <c r="BT124" s="357"/>
    </row>
    <row r="125" spans="1:72" s="313" customFormat="1" ht="89.25" outlineLevel="2">
      <c r="A125" s="287">
        <v>115</v>
      </c>
      <c r="B125" s="933"/>
      <c r="C125" s="840"/>
      <c r="D125" s="841" t="s">
        <v>273</v>
      </c>
      <c r="E125" s="839"/>
      <c r="F125" s="821" t="s">
        <v>7</v>
      </c>
      <c r="G125" s="314">
        <v>4</v>
      </c>
      <c r="H125" s="739" t="s">
        <v>70</v>
      </c>
      <c r="I125" s="739">
        <v>244</v>
      </c>
      <c r="J125" s="740">
        <v>346</v>
      </c>
      <c r="K125" s="533" t="s">
        <v>618</v>
      </c>
      <c r="L125" s="1025">
        <f>5425+40</f>
        <v>5465</v>
      </c>
      <c r="M125" s="318"/>
      <c r="N125" s="318"/>
      <c r="O125" s="1052">
        <f t="shared" si="117"/>
        <v>5465</v>
      </c>
      <c r="P125" s="562"/>
      <c r="Q125" s="336"/>
      <c r="R125" s="562"/>
      <c r="S125" s="336"/>
      <c r="T125" s="562"/>
      <c r="U125" s="466"/>
      <c r="V125" s="597" t="s">
        <v>555</v>
      </c>
      <c r="W125" s="597" t="s">
        <v>556</v>
      </c>
      <c r="X125" s="320" t="s">
        <v>557</v>
      </c>
      <c r="Z125" s="336">
        <f t="shared" si="118"/>
        <v>5465</v>
      </c>
      <c r="AA125" s="337">
        <f t="shared" si="118"/>
        <v>5465</v>
      </c>
      <c r="AB125" s="338">
        <f t="shared" si="119"/>
        <v>0</v>
      </c>
      <c r="AC125" s="336">
        <f t="shared" si="120"/>
        <v>0</v>
      </c>
      <c r="AD125" s="337">
        <f t="shared" si="120"/>
        <v>0</v>
      </c>
      <c r="AE125" s="338">
        <f t="shared" si="121"/>
        <v>0</v>
      </c>
      <c r="AF125" s="336">
        <f t="shared" si="122"/>
        <v>0</v>
      </c>
      <c r="AG125" s="337">
        <f t="shared" si="122"/>
        <v>0</v>
      </c>
      <c r="AH125" s="338">
        <f t="shared" si="123"/>
        <v>0</v>
      </c>
      <c r="AI125" s="336">
        <f t="shared" si="124"/>
        <v>0</v>
      </c>
      <c r="AJ125" s="337">
        <f t="shared" si="124"/>
        <v>0</v>
      </c>
      <c r="AK125" s="338">
        <f t="shared" si="125"/>
        <v>0</v>
      </c>
      <c r="AL125" s="342"/>
      <c r="AM125" s="336">
        <f t="shared" si="126"/>
        <v>5465</v>
      </c>
      <c r="AN125" s="339">
        <f t="shared" si="126"/>
        <v>5465</v>
      </c>
      <c r="AO125" s="340">
        <f t="shared" si="127"/>
        <v>0</v>
      </c>
      <c r="AP125" s="336">
        <f t="shared" si="128"/>
        <v>5465</v>
      </c>
      <c r="AQ125" s="339">
        <f t="shared" si="128"/>
        <v>5465</v>
      </c>
      <c r="AR125" s="340">
        <f t="shared" si="129"/>
        <v>0</v>
      </c>
      <c r="AS125" s="341">
        <f t="shared" si="130"/>
        <v>5465</v>
      </c>
      <c r="AT125" s="339">
        <f t="shared" si="130"/>
        <v>5465</v>
      </c>
      <c r="AU125" s="340">
        <f t="shared" si="131"/>
        <v>0</v>
      </c>
      <c r="AV125" s="589">
        <f t="shared" si="132"/>
        <v>0</v>
      </c>
      <c r="AW125" s="343"/>
      <c r="AX125" s="1098"/>
      <c r="AY125" s="345">
        <v>5465</v>
      </c>
      <c r="AZ125" s="1098">
        <v>5465</v>
      </c>
      <c r="BA125" s="345"/>
      <c r="BB125" s="1120"/>
      <c r="BC125" s="347"/>
      <c r="BD125" s="348"/>
      <c r="BE125" s="349"/>
      <c r="BF125" s="348"/>
      <c r="BG125" s="349"/>
      <c r="BH125" s="350"/>
      <c r="BI125" s="351"/>
      <c r="BJ125" s="352"/>
      <c r="BK125" s="337"/>
      <c r="BL125" s="352"/>
      <c r="BM125" s="337"/>
      <c r="BN125" s="353"/>
      <c r="BO125" s="354"/>
      <c r="BP125" s="355"/>
      <c r="BQ125" s="356"/>
      <c r="BR125" s="355"/>
      <c r="BS125" s="356"/>
      <c r="BT125" s="357"/>
    </row>
    <row r="126" spans="1:72" s="313" customFormat="1" ht="76.5" outlineLevel="2">
      <c r="A126" s="287">
        <v>116</v>
      </c>
      <c r="B126" s="933"/>
      <c r="C126" s="840"/>
      <c r="D126" s="841" t="s">
        <v>273</v>
      </c>
      <c r="E126" s="839"/>
      <c r="F126" s="821" t="s">
        <v>7</v>
      </c>
      <c r="G126" s="314">
        <v>4</v>
      </c>
      <c r="H126" s="739" t="s">
        <v>70</v>
      </c>
      <c r="I126" s="739">
        <v>244</v>
      </c>
      <c r="J126" s="740">
        <v>346</v>
      </c>
      <c r="K126" s="533" t="s">
        <v>560</v>
      </c>
      <c r="L126" s="1025">
        <v>4713.99</v>
      </c>
      <c r="M126" s="318"/>
      <c r="N126" s="318"/>
      <c r="O126" s="1052">
        <f t="shared" si="117"/>
        <v>4713.99</v>
      </c>
      <c r="P126" s="562"/>
      <c r="Q126" s="336"/>
      <c r="R126" s="562"/>
      <c r="S126" s="336"/>
      <c r="T126" s="562"/>
      <c r="U126" s="466"/>
      <c r="V126" s="597" t="s">
        <v>558</v>
      </c>
      <c r="W126" s="597" t="s">
        <v>559</v>
      </c>
      <c r="X126" s="388" t="s">
        <v>561</v>
      </c>
      <c r="Z126" s="336">
        <f t="shared" si="118"/>
        <v>4713.99</v>
      </c>
      <c r="AA126" s="337">
        <f t="shared" si="118"/>
        <v>4713.99</v>
      </c>
      <c r="AB126" s="338">
        <f t="shared" si="119"/>
        <v>0</v>
      </c>
      <c r="AC126" s="336">
        <f t="shared" si="120"/>
        <v>0</v>
      </c>
      <c r="AD126" s="337">
        <f t="shared" si="120"/>
        <v>0</v>
      </c>
      <c r="AE126" s="338">
        <f t="shared" si="121"/>
        <v>0</v>
      </c>
      <c r="AF126" s="336">
        <f t="shared" si="122"/>
        <v>0</v>
      </c>
      <c r="AG126" s="337">
        <f t="shared" si="122"/>
        <v>0</v>
      </c>
      <c r="AH126" s="338">
        <f t="shared" si="123"/>
        <v>0</v>
      </c>
      <c r="AI126" s="336">
        <f t="shared" si="124"/>
        <v>0</v>
      </c>
      <c r="AJ126" s="337">
        <f t="shared" si="124"/>
        <v>0</v>
      </c>
      <c r="AK126" s="338">
        <f t="shared" si="125"/>
        <v>0</v>
      </c>
      <c r="AL126" s="342"/>
      <c r="AM126" s="336">
        <f t="shared" si="126"/>
        <v>4713.99</v>
      </c>
      <c r="AN126" s="339">
        <f t="shared" si="126"/>
        <v>4713.99</v>
      </c>
      <c r="AO126" s="340">
        <f t="shared" si="127"/>
        <v>0</v>
      </c>
      <c r="AP126" s="336">
        <f t="shared" si="128"/>
        <v>4713.99</v>
      </c>
      <c r="AQ126" s="339">
        <f t="shared" si="128"/>
        <v>4713.99</v>
      </c>
      <c r="AR126" s="340">
        <f t="shared" si="129"/>
        <v>0</v>
      </c>
      <c r="AS126" s="341">
        <f t="shared" si="130"/>
        <v>4713.99</v>
      </c>
      <c r="AT126" s="339">
        <f t="shared" si="130"/>
        <v>4713.99</v>
      </c>
      <c r="AU126" s="340">
        <f t="shared" si="131"/>
        <v>0</v>
      </c>
      <c r="AV126" s="589">
        <f t="shared" si="132"/>
        <v>0</v>
      </c>
      <c r="AW126" s="343"/>
      <c r="AX126" s="1098"/>
      <c r="AY126" s="345">
        <v>4713.99</v>
      </c>
      <c r="AZ126" s="1098">
        <v>4713.99</v>
      </c>
      <c r="BA126" s="345"/>
      <c r="BB126" s="1120"/>
      <c r="BC126" s="347"/>
      <c r="BD126" s="348"/>
      <c r="BE126" s="349"/>
      <c r="BF126" s="348"/>
      <c r="BG126" s="349"/>
      <c r="BH126" s="350"/>
      <c r="BI126" s="351"/>
      <c r="BJ126" s="352"/>
      <c r="BK126" s="337"/>
      <c r="BL126" s="352"/>
      <c r="BM126" s="337"/>
      <c r="BN126" s="353"/>
      <c r="BO126" s="354"/>
      <c r="BP126" s="355"/>
      <c r="BQ126" s="356"/>
      <c r="BR126" s="355"/>
      <c r="BS126" s="356"/>
      <c r="BT126" s="357"/>
    </row>
    <row r="127" spans="1:72" s="313" customFormat="1" ht="25.5" outlineLevel="2">
      <c r="A127" s="287">
        <v>117</v>
      </c>
      <c r="B127" s="933"/>
      <c r="C127" s="840"/>
      <c r="D127" s="841" t="s">
        <v>273</v>
      </c>
      <c r="E127" s="839"/>
      <c r="F127" s="821" t="s">
        <v>7</v>
      </c>
      <c r="G127" s="314">
        <v>4</v>
      </c>
      <c r="H127" s="739" t="s">
        <v>70</v>
      </c>
      <c r="I127" s="739">
        <v>244</v>
      </c>
      <c r="J127" s="740">
        <v>346</v>
      </c>
      <c r="K127" s="533" t="s">
        <v>562</v>
      </c>
      <c r="L127" s="1025">
        <v>196</v>
      </c>
      <c r="M127" s="318"/>
      <c r="N127" s="318"/>
      <c r="O127" s="1052">
        <f t="shared" si="117"/>
        <v>196</v>
      </c>
      <c r="P127" s="562"/>
      <c r="Q127" s="336"/>
      <c r="R127" s="562"/>
      <c r="S127" s="336"/>
      <c r="T127" s="562"/>
      <c r="U127" s="466"/>
      <c r="V127" s="597" t="s">
        <v>483</v>
      </c>
      <c r="W127" s="597" t="s">
        <v>563</v>
      </c>
      <c r="X127" s="320" t="s">
        <v>557</v>
      </c>
      <c r="Z127" s="336">
        <f t="shared" si="118"/>
        <v>196</v>
      </c>
      <c r="AA127" s="337">
        <f t="shared" si="118"/>
        <v>196</v>
      </c>
      <c r="AB127" s="338">
        <f t="shared" si="119"/>
        <v>0</v>
      </c>
      <c r="AC127" s="336">
        <f t="shared" si="120"/>
        <v>0</v>
      </c>
      <c r="AD127" s="337">
        <f t="shared" si="120"/>
        <v>0</v>
      </c>
      <c r="AE127" s="338">
        <f t="shared" si="121"/>
        <v>0</v>
      </c>
      <c r="AF127" s="336">
        <f t="shared" si="122"/>
        <v>0</v>
      </c>
      <c r="AG127" s="337">
        <f t="shared" si="122"/>
        <v>0</v>
      </c>
      <c r="AH127" s="338">
        <f t="shared" si="123"/>
        <v>0</v>
      </c>
      <c r="AI127" s="336">
        <f t="shared" si="124"/>
        <v>0</v>
      </c>
      <c r="AJ127" s="337">
        <f t="shared" si="124"/>
        <v>0</v>
      </c>
      <c r="AK127" s="338">
        <f t="shared" si="125"/>
        <v>0</v>
      </c>
      <c r="AL127" s="342"/>
      <c r="AM127" s="336">
        <f t="shared" si="126"/>
        <v>196</v>
      </c>
      <c r="AN127" s="339">
        <f t="shared" si="126"/>
        <v>196</v>
      </c>
      <c r="AO127" s="340">
        <f t="shared" si="127"/>
        <v>0</v>
      </c>
      <c r="AP127" s="336">
        <f t="shared" si="128"/>
        <v>196</v>
      </c>
      <c r="AQ127" s="339">
        <f t="shared" si="128"/>
        <v>196</v>
      </c>
      <c r="AR127" s="340">
        <f t="shared" si="129"/>
        <v>0</v>
      </c>
      <c r="AS127" s="341">
        <f t="shared" si="130"/>
        <v>196</v>
      </c>
      <c r="AT127" s="339">
        <f t="shared" si="130"/>
        <v>196</v>
      </c>
      <c r="AU127" s="340">
        <f t="shared" si="131"/>
        <v>0</v>
      </c>
      <c r="AV127" s="589">
        <f t="shared" si="132"/>
        <v>0</v>
      </c>
      <c r="AW127" s="343"/>
      <c r="AX127" s="1098"/>
      <c r="AY127" s="345">
        <v>196</v>
      </c>
      <c r="AZ127" s="1098">
        <v>196</v>
      </c>
      <c r="BA127" s="345"/>
      <c r="BB127" s="1120"/>
      <c r="BC127" s="347"/>
      <c r="BD127" s="348"/>
      <c r="BE127" s="349"/>
      <c r="BF127" s="348"/>
      <c r="BG127" s="349"/>
      <c r="BH127" s="350"/>
      <c r="BI127" s="351"/>
      <c r="BJ127" s="352"/>
      <c r="BK127" s="337"/>
      <c r="BL127" s="352"/>
      <c r="BM127" s="337"/>
      <c r="BN127" s="353"/>
      <c r="BO127" s="354"/>
      <c r="BP127" s="355"/>
      <c r="BQ127" s="356"/>
      <c r="BR127" s="355"/>
      <c r="BS127" s="356"/>
      <c r="BT127" s="357"/>
    </row>
    <row r="128" spans="1:72" s="313" customFormat="1" ht="25.5" outlineLevel="2">
      <c r="A128" s="287">
        <v>118</v>
      </c>
      <c r="B128" s="933"/>
      <c r="C128" s="840"/>
      <c r="D128" s="841" t="s">
        <v>273</v>
      </c>
      <c r="E128" s="839"/>
      <c r="F128" s="821" t="s">
        <v>7</v>
      </c>
      <c r="G128" s="314">
        <v>4</v>
      </c>
      <c r="H128" s="739" t="s">
        <v>70</v>
      </c>
      <c r="I128" s="739">
        <v>244</v>
      </c>
      <c r="J128" s="740">
        <v>346</v>
      </c>
      <c r="K128" s="533" t="s">
        <v>564</v>
      </c>
      <c r="L128" s="1025">
        <v>598</v>
      </c>
      <c r="M128" s="318"/>
      <c r="N128" s="318"/>
      <c r="O128" s="1052">
        <f t="shared" si="117"/>
        <v>598</v>
      </c>
      <c r="P128" s="562"/>
      <c r="Q128" s="336"/>
      <c r="R128" s="562"/>
      <c r="S128" s="336"/>
      <c r="T128" s="562"/>
      <c r="U128" s="466"/>
      <c r="V128" s="597" t="s">
        <v>483</v>
      </c>
      <c r="W128" s="597" t="s">
        <v>566</v>
      </c>
      <c r="X128" s="320" t="s">
        <v>557</v>
      </c>
      <c r="Z128" s="336">
        <f t="shared" si="118"/>
        <v>598</v>
      </c>
      <c r="AA128" s="337">
        <f t="shared" si="118"/>
        <v>598</v>
      </c>
      <c r="AB128" s="338">
        <f t="shared" si="119"/>
        <v>0</v>
      </c>
      <c r="AC128" s="336">
        <f t="shared" si="120"/>
        <v>0</v>
      </c>
      <c r="AD128" s="337">
        <f t="shared" si="120"/>
        <v>0</v>
      </c>
      <c r="AE128" s="338">
        <f t="shared" si="121"/>
        <v>0</v>
      </c>
      <c r="AF128" s="336">
        <f t="shared" si="122"/>
        <v>0</v>
      </c>
      <c r="AG128" s="337">
        <f t="shared" si="122"/>
        <v>0</v>
      </c>
      <c r="AH128" s="338">
        <f t="shared" si="123"/>
        <v>0</v>
      </c>
      <c r="AI128" s="336">
        <f t="shared" si="124"/>
        <v>0</v>
      </c>
      <c r="AJ128" s="337">
        <f t="shared" si="124"/>
        <v>0</v>
      </c>
      <c r="AK128" s="338">
        <f t="shared" si="125"/>
        <v>0</v>
      </c>
      <c r="AL128" s="342"/>
      <c r="AM128" s="336">
        <f t="shared" si="126"/>
        <v>598</v>
      </c>
      <c r="AN128" s="339">
        <f t="shared" si="126"/>
        <v>598</v>
      </c>
      <c r="AO128" s="340">
        <f t="shared" si="127"/>
        <v>0</v>
      </c>
      <c r="AP128" s="336">
        <f t="shared" si="128"/>
        <v>598</v>
      </c>
      <c r="AQ128" s="339">
        <f t="shared" si="128"/>
        <v>598</v>
      </c>
      <c r="AR128" s="340">
        <f t="shared" si="129"/>
        <v>0</v>
      </c>
      <c r="AS128" s="341">
        <f t="shared" si="130"/>
        <v>598</v>
      </c>
      <c r="AT128" s="339">
        <f t="shared" si="130"/>
        <v>598</v>
      </c>
      <c r="AU128" s="340">
        <f t="shared" si="131"/>
        <v>0</v>
      </c>
      <c r="AV128" s="589">
        <f t="shared" si="132"/>
        <v>0</v>
      </c>
      <c r="AW128" s="343"/>
      <c r="AX128" s="1098"/>
      <c r="AY128" s="345"/>
      <c r="AZ128" s="1098"/>
      <c r="BA128" s="345">
        <v>598</v>
      </c>
      <c r="BB128" s="1120">
        <v>598</v>
      </c>
      <c r="BC128" s="347"/>
      <c r="BD128" s="348"/>
      <c r="BE128" s="349"/>
      <c r="BF128" s="348"/>
      <c r="BG128" s="349"/>
      <c r="BH128" s="350"/>
      <c r="BI128" s="351"/>
      <c r="BJ128" s="352"/>
      <c r="BK128" s="337"/>
      <c r="BL128" s="352"/>
      <c r="BM128" s="337"/>
      <c r="BN128" s="353"/>
      <c r="BO128" s="354"/>
      <c r="BP128" s="355"/>
      <c r="BQ128" s="356"/>
      <c r="BR128" s="355"/>
      <c r="BS128" s="356"/>
      <c r="BT128" s="357"/>
    </row>
    <row r="129" spans="1:72" s="313" customFormat="1" ht="51" outlineLevel="2">
      <c r="A129" s="287">
        <v>119</v>
      </c>
      <c r="B129" s="933"/>
      <c r="C129" s="840"/>
      <c r="D129" s="841" t="s">
        <v>273</v>
      </c>
      <c r="E129" s="839"/>
      <c r="F129" s="821" t="s">
        <v>7</v>
      </c>
      <c r="G129" s="314">
        <v>4</v>
      </c>
      <c r="H129" s="739" t="s">
        <v>70</v>
      </c>
      <c r="I129" s="739">
        <v>244</v>
      </c>
      <c r="J129" s="740">
        <v>346</v>
      </c>
      <c r="K129" s="533" t="s">
        <v>569</v>
      </c>
      <c r="L129" s="1025">
        <v>3995</v>
      </c>
      <c r="M129" s="318"/>
      <c r="N129" s="318"/>
      <c r="O129" s="1052">
        <f t="shared" si="117"/>
        <v>3995</v>
      </c>
      <c r="P129" s="562"/>
      <c r="Q129" s="336"/>
      <c r="R129" s="562"/>
      <c r="S129" s="336"/>
      <c r="T129" s="562"/>
      <c r="U129" s="466"/>
      <c r="V129" s="597" t="s">
        <v>570</v>
      </c>
      <c r="W129" s="597" t="s">
        <v>571</v>
      </c>
      <c r="X129" s="388" t="s">
        <v>572</v>
      </c>
      <c r="Z129" s="336">
        <f t="shared" si="118"/>
        <v>3995</v>
      </c>
      <c r="AA129" s="337">
        <f t="shared" si="118"/>
        <v>3995</v>
      </c>
      <c r="AB129" s="338">
        <f t="shared" si="119"/>
        <v>0</v>
      </c>
      <c r="AC129" s="336">
        <f t="shared" si="120"/>
        <v>0</v>
      </c>
      <c r="AD129" s="337">
        <f t="shared" si="120"/>
        <v>0</v>
      </c>
      <c r="AE129" s="338">
        <f t="shared" si="121"/>
        <v>0</v>
      </c>
      <c r="AF129" s="336">
        <f t="shared" si="122"/>
        <v>0</v>
      </c>
      <c r="AG129" s="337">
        <f t="shared" si="122"/>
        <v>0</v>
      </c>
      <c r="AH129" s="338">
        <f t="shared" si="123"/>
        <v>0</v>
      </c>
      <c r="AI129" s="336">
        <f t="shared" si="124"/>
        <v>0</v>
      </c>
      <c r="AJ129" s="337">
        <f t="shared" si="124"/>
        <v>0</v>
      </c>
      <c r="AK129" s="338">
        <f t="shared" si="125"/>
        <v>0</v>
      </c>
      <c r="AL129" s="342"/>
      <c r="AM129" s="336">
        <f t="shared" si="126"/>
        <v>3995</v>
      </c>
      <c r="AN129" s="339">
        <f t="shared" si="126"/>
        <v>3995</v>
      </c>
      <c r="AO129" s="340">
        <f t="shared" si="127"/>
        <v>0</v>
      </c>
      <c r="AP129" s="336">
        <f t="shared" si="128"/>
        <v>3995</v>
      </c>
      <c r="AQ129" s="339">
        <f t="shared" si="128"/>
        <v>3995</v>
      </c>
      <c r="AR129" s="340">
        <f t="shared" si="129"/>
        <v>0</v>
      </c>
      <c r="AS129" s="341">
        <f t="shared" si="130"/>
        <v>3995</v>
      </c>
      <c r="AT129" s="339">
        <f t="shared" si="130"/>
        <v>3995</v>
      </c>
      <c r="AU129" s="340">
        <f t="shared" si="131"/>
        <v>0</v>
      </c>
      <c r="AV129" s="589">
        <f t="shared" si="132"/>
        <v>0</v>
      </c>
      <c r="AW129" s="343"/>
      <c r="AX129" s="1098"/>
      <c r="AY129" s="345"/>
      <c r="AZ129" s="1098"/>
      <c r="BA129" s="345">
        <v>3995</v>
      </c>
      <c r="BB129" s="1120">
        <v>3995</v>
      </c>
      <c r="BC129" s="347"/>
      <c r="BD129" s="348"/>
      <c r="BE129" s="349"/>
      <c r="BF129" s="348"/>
      <c r="BG129" s="349"/>
      <c r="BH129" s="350"/>
      <c r="BI129" s="351"/>
      <c r="BJ129" s="352"/>
      <c r="BK129" s="337"/>
      <c r="BL129" s="352"/>
      <c r="BM129" s="337"/>
      <c r="BN129" s="353"/>
      <c r="BO129" s="354"/>
      <c r="BP129" s="355"/>
      <c r="BQ129" s="356"/>
      <c r="BR129" s="355"/>
      <c r="BS129" s="356"/>
      <c r="BT129" s="357"/>
    </row>
    <row r="130" spans="1:72" s="313" customFormat="1" ht="63.75" outlineLevel="2">
      <c r="A130" s="287">
        <v>120</v>
      </c>
      <c r="B130" s="933"/>
      <c r="C130" s="840"/>
      <c r="D130" s="841" t="s">
        <v>273</v>
      </c>
      <c r="E130" s="839"/>
      <c r="F130" s="821" t="s">
        <v>7</v>
      </c>
      <c r="G130" s="314">
        <v>4</v>
      </c>
      <c r="H130" s="739" t="s">
        <v>70</v>
      </c>
      <c r="I130" s="739">
        <v>244</v>
      </c>
      <c r="J130" s="740">
        <v>346</v>
      </c>
      <c r="K130" s="533" t="s">
        <v>583</v>
      </c>
      <c r="L130" s="1025">
        <v>3977</v>
      </c>
      <c r="M130" s="318"/>
      <c r="N130" s="318"/>
      <c r="O130" s="1052">
        <f t="shared" si="117"/>
        <v>3977</v>
      </c>
      <c r="P130" s="562"/>
      <c r="Q130" s="336"/>
      <c r="R130" s="562"/>
      <c r="S130" s="336"/>
      <c r="T130" s="562"/>
      <c r="U130" s="466"/>
      <c r="V130" s="597" t="s">
        <v>582</v>
      </c>
      <c r="W130" s="597" t="s">
        <v>581</v>
      </c>
      <c r="X130" s="320" t="s">
        <v>557</v>
      </c>
      <c r="Z130" s="336">
        <f t="shared" si="118"/>
        <v>3977</v>
      </c>
      <c r="AA130" s="337">
        <f t="shared" si="118"/>
        <v>3977</v>
      </c>
      <c r="AB130" s="338">
        <f t="shared" si="119"/>
        <v>0</v>
      </c>
      <c r="AC130" s="336">
        <f t="shared" si="120"/>
        <v>0</v>
      </c>
      <c r="AD130" s="337">
        <f t="shared" si="120"/>
        <v>0</v>
      </c>
      <c r="AE130" s="338">
        <f t="shared" si="121"/>
        <v>0</v>
      </c>
      <c r="AF130" s="336">
        <f t="shared" si="122"/>
        <v>0</v>
      </c>
      <c r="AG130" s="337">
        <f t="shared" si="122"/>
        <v>0</v>
      </c>
      <c r="AH130" s="338">
        <f t="shared" si="123"/>
        <v>0</v>
      </c>
      <c r="AI130" s="336">
        <f t="shared" si="124"/>
        <v>0</v>
      </c>
      <c r="AJ130" s="337">
        <f t="shared" si="124"/>
        <v>0</v>
      </c>
      <c r="AK130" s="338">
        <f t="shared" si="125"/>
        <v>0</v>
      </c>
      <c r="AL130" s="342"/>
      <c r="AM130" s="336">
        <f t="shared" si="126"/>
        <v>3977</v>
      </c>
      <c r="AN130" s="339">
        <f t="shared" si="126"/>
        <v>3977</v>
      </c>
      <c r="AO130" s="340">
        <f t="shared" si="127"/>
        <v>0</v>
      </c>
      <c r="AP130" s="336">
        <f t="shared" si="128"/>
        <v>3977</v>
      </c>
      <c r="AQ130" s="339">
        <f t="shared" si="128"/>
        <v>3977</v>
      </c>
      <c r="AR130" s="340">
        <f t="shared" si="129"/>
        <v>0</v>
      </c>
      <c r="AS130" s="341">
        <f t="shared" si="130"/>
        <v>3977</v>
      </c>
      <c r="AT130" s="339">
        <f t="shared" si="130"/>
        <v>3977</v>
      </c>
      <c r="AU130" s="340">
        <f t="shared" si="131"/>
        <v>0</v>
      </c>
      <c r="AV130" s="589">
        <f t="shared" si="132"/>
        <v>0</v>
      </c>
      <c r="AW130" s="343"/>
      <c r="AX130" s="1098"/>
      <c r="AY130" s="345"/>
      <c r="AZ130" s="1098"/>
      <c r="BA130" s="345">
        <v>3977</v>
      </c>
      <c r="BB130" s="1120">
        <v>3977</v>
      </c>
      <c r="BC130" s="347"/>
      <c r="BD130" s="348"/>
      <c r="BE130" s="349"/>
      <c r="BF130" s="348"/>
      <c r="BG130" s="349"/>
      <c r="BH130" s="350"/>
      <c r="BI130" s="351"/>
      <c r="BJ130" s="352"/>
      <c r="BK130" s="337"/>
      <c r="BL130" s="352"/>
      <c r="BM130" s="337"/>
      <c r="BN130" s="353"/>
      <c r="BO130" s="354"/>
      <c r="BP130" s="355"/>
      <c r="BQ130" s="356"/>
      <c r="BR130" s="355"/>
      <c r="BS130" s="356"/>
      <c r="BT130" s="357"/>
    </row>
    <row r="131" spans="1:72" s="313" customFormat="1" ht="25.5" customHeight="1" outlineLevel="2">
      <c r="A131" s="287">
        <v>121</v>
      </c>
      <c r="B131" s="933"/>
      <c r="C131" s="840"/>
      <c r="D131" s="841" t="s">
        <v>273</v>
      </c>
      <c r="E131" s="839"/>
      <c r="F131" s="821" t="s">
        <v>7</v>
      </c>
      <c r="G131" s="314">
        <v>4</v>
      </c>
      <c r="H131" s="739" t="s">
        <v>70</v>
      </c>
      <c r="I131" s="739">
        <v>244</v>
      </c>
      <c r="J131" s="740">
        <v>346</v>
      </c>
      <c r="K131" s="533" t="s">
        <v>779</v>
      </c>
      <c r="L131" s="1025">
        <v>1174</v>
      </c>
      <c r="M131" s="318"/>
      <c r="N131" s="318"/>
      <c r="O131" s="1052">
        <f>L131+N131</f>
        <v>1174</v>
      </c>
      <c r="P131" s="562"/>
      <c r="Q131" s="336"/>
      <c r="R131" s="562"/>
      <c r="S131" s="336"/>
      <c r="T131" s="562"/>
      <c r="U131" s="466"/>
      <c r="V131" s="597" t="s">
        <v>483</v>
      </c>
      <c r="W131" s="597" t="s">
        <v>617</v>
      </c>
      <c r="X131" s="320" t="s">
        <v>557</v>
      </c>
      <c r="Z131" s="336">
        <f>AW131+AY131+BA131</f>
        <v>1174</v>
      </c>
      <c r="AA131" s="337">
        <f>AX131+AZ131+BB131</f>
        <v>1174</v>
      </c>
      <c r="AB131" s="338">
        <f>Z131-AA131</f>
        <v>0</v>
      </c>
      <c r="AC131" s="336">
        <f>BC131+BE131+BG131</f>
        <v>0</v>
      </c>
      <c r="AD131" s="337">
        <f>BD131+BF131+BH131</f>
        <v>0</v>
      </c>
      <c r="AE131" s="338">
        <f>AC131-AD131</f>
        <v>0</v>
      </c>
      <c r="AF131" s="336">
        <f>BI131+BK131+BM131</f>
        <v>0</v>
      </c>
      <c r="AG131" s="337">
        <f>BJ131+BL131+BN131</f>
        <v>0</v>
      </c>
      <c r="AH131" s="338">
        <f>AF131-AG131</f>
        <v>0</v>
      </c>
      <c r="AI131" s="336">
        <f>BO131+BQ131+BS131</f>
        <v>0</v>
      </c>
      <c r="AJ131" s="337">
        <f>BP131+BR131+BT131</f>
        <v>0</v>
      </c>
      <c r="AK131" s="338">
        <f>AI131-AJ131</f>
        <v>0</v>
      </c>
      <c r="AL131" s="342"/>
      <c r="AM131" s="336">
        <f>Z131+AC131</f>
        <v>1174</v>
      </c>
      <c r="AN131" s="339">
        <f>AA131+AD131</f>
        <v>1174</v>
      </c>
      <c r="AO131" s="340">
        <f>AM131-AN131</f>
        <v>0</v>
      </c>
      <c r="AP131" s="336">
        <f>Z131+AC131+AF131</f>
        <v>1174</v>
      </c>
      <c r="AQ131" s="339">
        <f>AA131+AD131+AG131</f>
        <v>1174</v>
      </c>
      <c r="AR131" s="340">
        <f>AP131-AQ131</f>
        <v>0</v>
      </c>
      <c r="AS131" s="341">
        <f>Z131+AC131+AF131+AI131</f>
        <v>1174</v>
      </c>
      <c r="AT131" s="339">
        <f>AA131+AD131+AG131+AJ131</f>
        <v>1174</v>
      </c>
      <c r="AU131" s="340">
        <f>AS131-AT131</f>
        <v>0</v>
      </c>
      <c r="AV131" s="589">
        <f>L131-AS131</f>
        <v>0</v>
      </c>
      <c r="AW131" s="343"/>
      <c r="AX131" s="1098"/>
      <c r="AY131" s="345"/>
      <c r="AZ131" s="1098"/>
      <c r="BA131" s="345">
        <v>1174</v>
      </c>
      <c r="BB131" s="1120">
        <v>1174</v>
      </c>
      <c r="BC131" s="347"/>
      <c r="BD131" s="348"/>
      <c r="BE131" s="349"/>
      <c r="BF131" s="348"/>
      <c r="BG131" s="349"/>
      <c r="BH131" s="350"/>
      <c r="BI131" s="351"/>
      <c r="BJ131" s="352"/>
      <c r="BK131" s="337"/>
      <c r="BL131" s="352"/>
      <c r="BM131" s="337"/>
      <c r="BN131" s="353"/>
      <c r="BO131" s="354"/>
      <c r="BP131" s="355"/>
      <c r="BQ131" s="356"/>
      <c r="BR131" s="355"/>
      <c r="BS131" s="356"/>
      <c r="BT131" s="357"/>
    </row>
    <row r="132" spans="1:72" s="313" customFormat="1" ht="25.5" outlineLevel="2">
      <c r="A132" s="287">
        <v>122</v>
      </c>
      <c r="B132" s="933"/>
      <c r="C132" s="840"/>
      <c r="D132" s="841" t="s">
        <v>273</v>
      </c>
      <c r="E132" s="839"/>
      <c r="F132" s="821" t="s">
        <v>7</v>
      </c>
      <c r="G132" s="314">
        <v>4</v>
      </c>
      <c r="H132" s="739" t="s">
        <v>70</v>
      </c>
      <c r="I132" s="739">
        <v>244</v>
      </c>
      <c r="J132" s="740">
        <v>346</v>
      </c>
      <c r="K132" s="533" t="s">
        <v>615</v>
      </c>
      <c r="L132" s="1025">
        <v>19011</v>
      </c>
      <c r="M132" s="318"/>
      <c r="N132" s="318"/>
      <c r="O132" s="1052">
        <f t="shared" ref="O132" si="133">L132+N132</f>
        <v>19011</v>
      </c>
      <c r="P132" s="562"/>
      <c r="Q132" s="336"/>
      <c r="R132" s="562"/>
      <c r="S132" s="336"/>
      <c r="T132" s="562"/>
      <c r="U132" s="466"/>
      <c r="V132" s="597" t="s">
        <v>616</v>
      </c>
      <c r="W132" s="597" t="s">
        <v>656</v>
      </c>
      <c r="X132" s="597" t="s">
        <v>657</v>
      </c>
      <c r="Z132" s="336">
        <f t="shared" ref="Z132:AA132" si="134">AW132+AY132+BA132</f>
        <v>19011</v>
      </c>
      <c r="AA132" s="337">
        <f t="shared" si="134"/>
        <v>19011</v>
      </c>
      <c r="AB132" s="338">
        <f t="shared" ref="AB132" si="135">Z132-AA132</f>
        <v>0</v>
      </c>
      <c r="AC132" s="336">
        <f t="shared" ref="AC132:AD132" si="136">BC132+BE132+BG132</f>
        <v>0</v>
      </c>
      <c r="AD132" s="337">
        <f t="shared" si="136"/>
        <v>0</v>
      </c>
      <c r="AE132" s="338">
        <f t="shared" ref="AE132" si="137">AC132-AD132</f>
        <v>0</v>
      </c>
      <c r="AF132" s="336">
        <f t="shared" ref="AF132:AG132" si="138">BI132+BK132+BM132</f>
        <v>0</v>
      </c>
      <c r="AG132" s="337">
        <f t="shared" si="138"/>
        <v>0</v>
      </c>
      <c r="AH132" s="338">
        <f t="shared" ref="AH132" si="139">AF132-AG132</f>
        <v>0</v>
      </c>
      <c r="AI132" s="336">
        <f t="shared" ref="AI132:AJ132" si="140">BO132+BQ132+BS132</f>
        <v>0</v>
      </c>
      <c r="AJ132" s="337">
        <f t="shared" si="140"/>
        <v>0</v>
      </c>
      <c r="AK132" s="338">
        <f t="shared" ref="AK132" si="141">AI132-AJ132</f>
        <v>0</v>
      </c>
      <c r="AL132" s="342"/>
      <c r="AM132" s="336">
        <f t="shared" ref="AM132:AN132" si="142">Z132+AC132</f>
        <v>19011</v>
      </c>
      <c r="AN132" s="339">
        <f t="shared" si="142"/>
        <v>19011</v>
      </c>
      <c r="AO132" s="340">
        <f t="shared" ref="AO132" si="143">AM132-AN132</f>
        <v>0</v>
      </c>
      <c r="AP132" s="336">
        <f t="shared" ref="AP132:AQ132" si="144">Z132+AC132+AF132</f>
        <v>19011</v>
      </c>
      <c r="AQ132" s="339">
        <f t="shared" si="144"/>
        <v>19011</v>
      </c>
      <c r="AR132" s="340">
        <f t="shared" ref="AR132" si="145">AP132-AQ132</f>
        <v>0</v>
      </c>
      <c r="AS132" s="341">
        <f t="shared" ref="AS132:AT132" si="146">Z132+AC132+AF132+AI132</f>
        <v>19011</v>
      </c>
      <c r="AT132" s="339">
        <f t="shared" si="146"/>
        <v>19011</v>
      </c>
      <c r="AU132" s="340">
        <f t="shared" ref="AU132" si="147">AS132-AT132</f>
        <v>0</v>
      </c>
      <c r="AV132" s="589">
        <f t="shared" ref="AV132" si="148">L132-AS132</f>
        <v>0</v>
      </c>
      <c r="AW132" s="343"/>
      <c r="AX132" s="1098"/>
      <c r="AY132" s="345"/>
      <c r="AZ132" s="1098"/>
      <c r="BA132" s="345">
        <v>19011</v>
      </c>
      <c r="BB132" s="1120">
        <v>19011</v>
      </c>
      <c r="BC132" s="347"/>
      <c r="BD132" s="348"/>
      <c r="BE132" s="349"/>
      <c r="BF132" s="348"/>
      <c r="BG132" s="349"/>
      <c r="BH132" s="350"/>
      <c r="BI132" s="351"/>
      <c r="BJ132" s="352"/>
      <c r="BK132" s="337"/>
      <c r="BL132" s="352"/>
      <c r="BM132" s="337"/>
      <c r="BN132" s="353"/>
      <c r="BO132" s="354"/>
      <c r="BP132" s="355"/>
      <c r="BQ132" s="356"/>
      <c r="BR132" s="355"/>
      <c r="BS132" s="356"/>
      <c r="BT132" s="357"/>
    </row>
    <row r="133" spans="1:72" s="430" customFormat="1" ht="25.5" customHeight="1" outlineLevel="2">
      <c r="A133" s="287">
        <v>123</v>
      </c>
      <c r="B133" s="933"/>
      <c r="C133" s="743"/>
      <c r="D133" s="856" t="s">
        <v>273</v>
      </c>
      <c r="E133" s="857"/>
      <c r="F133" s="827" t="s">
        <v>7</v>
      </c>
      <c r="G133" s="431">
        <v>4</v>
      </c>
      <c r="H133" s="474" t="s">
        <v>70</v>
      </c>
      <c r="I133" s="743">
        <v>244</v>
      </c>
      <c r="J133" s="744">
        <v>346</v>
      </c>
      <c r="K133" s="536" t="s">
        <v>284</v>
      </c>
      <c r="L133" s="1030"/>
      <c r="M133" s="434"/>
      <c r="N133" s="434"/>
      <c r="O133" s="1064">
        <f t="shared" si="101"/>
        <v>0</v>
      </c>
      <c r="P133" s="563"/>
      <c r="Q133" s="437"/>
      <c r="R133" s="563"/>
      <c r="S133" s="437"/>
      <c r="T133" s="563"/>
      <c r="U133" s="467"/>
      <c r="V133" s="436"/>
      <c r="W133" s="436"/>
      <c r="X133" s="436"/>
      <c r="Z133" s="437">
        <f t="shared" si="105"/>
        <v>0</v>
      </c>
      <c r="AA133" s="438">
        <f t="shared" si="105"/>
        <v>0</v>
      </c>
      <c r="AB133" s="439">
        <f t="shared" si="92"/>
        <v>0</v>
      </c>
      <c r="AC133" s="437">
        <f t="shared" si="106"/>
        <v>0</v>
      </c>
      <c r="AD133" s="438">
        <f t="shared" si="106"/>
        <v>0</v>
      </c>
      <c r="AE133" s="439">
        <f t="shared" si="93"/>
        <v>0</v>
      </c>
      <c r="AF133" s="437">
        <f t="shared" si="107"/>
        <v>0</v>
      </c>
      <c r="AG133" s="438">
        <f t="shared" si="107"/>
        <v>0</v>
      </c>
      <c r="AH133" s="439">
        <f t="shared" si="94"/>
        <v>0</v>
      </c>
      <c r="AI133" s="437">
        <f t="shared" si="108"/>
        <v>0</v>
      </c>
      <c r="AJ133" s="438">
        <f t="shared" si="108"/>
        <v>0</v>
      </c>
      <c r="AK133" s="439">
        <f t="shared" si="95"/>
        <v>0</v>
      </c>
      <c r="AL133" s="440"/>
      <c r="AM133" s="437">
        <f t="shared" si="109"/>
        <v>0</v>
      </c>
      <c r="AN133" s="441">
        <f t="shared" si="109"/>
        <v>0</v>
      </c>
      <c r="AO133" s="442">
        <f t="shared" si="96"/>
        <v>0</v>
      </c>
      <c r="AP133" s="437">
        <f t="shared" si="110"/>
        <v>0</v>
      </c>
      <c r="AQ133" s="441">
        <f t="shared" si="110"/>
        <v>0</v>
      </c>
      <c r="AR133" s="442">
        <f t="shared" si="97"/>
        <v>0</v>
      </c>
      <c r="AS133" s="443">
        <f t="shared" si="112"/>
        <v>0</v>
      </c>
      <c r="AT133" s="441">
        <f t="shared" si="112"/>
        <v>0</v>
      </c>
      <c r="AU133" s="442">
        <f t="shared" si="98"/>
        <v>0</v>
      </c>
      <c r="AV133" s="601">
        <f t="shared" si="99"/>
        <v>0</v>
      </c>
      <c r="AW133" s="444"/>
      <c r="AX133" s="1111"/>
      <c r="AY133" s="446"/>
      <c r="AZ133" s="1111"/>
      <c r="BA133" s="446"/>
      <c r="BB133" s="1129"/>
      <c r="BC133" s="448"/>
      <c r="BD133" s="449"/>
      <c r="BE133" s="450"/>
      <c r="BF133" s="449"/>
      <c r="BG133" s="450"/>
      <c r="BH133" s="451"/>
      <c r="BI133" s="452"/>
      <c r="BJ133" s="453"/>
      <c r="BK133" s="438"/>
      <c r="BL133" s="453"/>
      <c r="BM133" s="438"/>
      <c r="BN133" s="454"/>
      <c r="BO133" s="455"/>
      <c r="BP133" s="456"/>
      <c r="BQ133" s="457"/>
      <c r="BR133" s="456"/>
      <c r="BS133" s="457"/>
      <c r="BT133" s="458"/>
    </row>
    <row r="134" spans="1:72" s="921" customFormat="1" ht="54" customHeight="1" outlineLevel="1">
      <c r="A134" s="287">
        <v>124</v>
      </c>
      <c r="B134" s="933"/>
      <c r="C134" s="850" t="s">
        <v>378</v>
      </c>
      <c r="D134" s="854" t="s">
        <v>807</v>
      </c>
      <c r="E134" s="902"/>
      <c r="F134" s="903" t="s">
        <v>7</v>
      </c>
      <c r="G134" s="904">
        <v>4</v>
      </c>
      <c r="H134" s="905" t="s">
        <v>70</v>
      </c>
      <c r="I134" s="905">
        <v>244</v>
      </c>
      <c r="J134" s="906">
        <v>346</v>
      </c>
      <c r="K134" s="907" t="s">
        <v>687</v>
      </c>
      <c r="L134" s="1033">
        <v>134005.82</v>
      </c>
      <c r="M134" s="909"/>
      <c r="N134" s="909"/>
      <c r="O134" s="1066">
        <f>L134+N134</f>
        <v>134005.82</v>
      </c>
      <c r="P134" s="910"/>
      <c r="Q134" s="908">
        <f>Q135</f>
        <v>379130.88</v>
      </c>
      <c r="R134" s="910"/>
      <c r="S134" s="908">
        <f>S135</f>
        <v>485710.59</v>
      </c>
      <c r="T134" s="910"/>
      <c r="U134" s="911"/>
      <c r="V134" s="912"/>
      <c r="W134" s="912"/>
      <c r="X134" s="912"/>
      <c r="Y134" s="913"/>
      <c r="Z134" s="914">
        <f t="shared" si="105"/>
        <v>609.20000000000005</v>
      </c>
      <c r="AA134" s="915">
        <f t="shared" si="105"/>
        <v>609.20000000000005</v>
      </c>
      <c r="AB134" s="916">
        <f>Z134-AA134</f>
        <v>0</v>
      </c>
      <c r="AC134" s="914">
        <f t="shared" si="106"/>
        <v>103728.52</v>
      </c>
      <c r="AD134" s="915">
        <f t="shared" si="106"/>
        <v>0</v>
      </c>
      <c r="AE134" s="916">
        <f>AC134-AD134</f>
        <v>103728.52</v>
      </c>
      <c r="AF134" s="914">
        <f t="shared" si="107"/>
        <v>0</v>
      </c>
      <c r="AG134" s="915">
        <f t="shared" si="107"/>
        <v>0</v>
      </c>
      <c r="AH134" s="916">
        <f>AF134-AG134</f>
        <v>0</v>
      </c>
      <c r="AI134" s="914">
        <f t="shared" si="108"/>
        <v>0</v>
      </c>
      <c r="AJ134" s="915">
        <f t="shared" si="108"/>
        <v>0</v>
      </c>
      <c r="AK134" s="916">
        <f>AI134-AJ134</f>
        <v>0</v>
      </c>
      <c r="AL134" s="917"/>
      <c r="AM134" s="908">
        <f t="shared" si="109"/>
        <v>104337.72</v>
      </c>
      <c r="AN134" s="909">
        <f t="shared" si="109"/>
        <v>609.20000000000005</v>
      </c>
      <c r="AO134" s="918">
        <f>AM134-AN134</f>
        <v>103728.52</v>
      </c>
      <c r="AP134" s="908">
        <f t="shared" si="110"/>
        <v>104337.72</v>
      </c>
      <c r="AQ134" s="909">
        <f t="shared" si="110"/>
        <v>609.20000000000005</v>
      </c>
      <c r="AR134" s="918">
        <f>AP134-AQ134</f>
        <v>103728.52</v>
      </c>
      <c r="AS134" s="908">
        <f t="shared" si="112"/>
        <v>104337.72</v>
      </c>
      <c r="AT134" s="909">
        <f t="shared" si="112"/>
        <v>609.20000000000005</v>
      </c>
      <c r="AU134" s="918">
        <f>AS134-AT134</f>
        <v>103728.52</v>
      </c>
      <c r="AV134" s="919">
        <f>L134-AS134</f>
        <v>29668.1</v>
      </c>
      <c r="AW134" s="908">
        <f t="shared" ref="AW134:BT134" si="149">SUM(AW135:AW149)</f>
        <v>0</v>
      </c>
      <c r="AX134" s="1110">
        <f t="shared" si="149"/>
        <v>0</v>
      </c>
      <c r="AY134" s="909">
        <f t="shared" si="149"/>
        <v>0</v>
      </c>
      <c r="AZ134" s="1110">
        <f t="shared" si="149"/>
        <v>0</v>
      </c>
      <c r="BA134" s="909">
        <f t="shared" si="149"/>
        <v>609.20000000000005</v>
      </c>
      <c r="BB134" s="1128">
        <f t="shared" si="149"/>
        <v>609.20000000000005</v>
      </c>
      <c r="BC134" s="908">
        <f t="shared" si="149"/>
        <v>56563.519999999997</v>
      </c>
      <c r="BD134" s="909">
        <f t="shared" si="149"/>
        <v>0</v>
      </c>
      <c r="BE134" s="909">
        <f t="shared" si="149"/>
        <v>47165</v>
      </c>
      <c r="BF134" s="909">
        <f t="shared" si="149"/>
        <v>0</v>
      </c>
      <c r="BG134" s="909">
        <f t="shared" si="149"/>
        <v>0</v>
      </c>
      <c r="BH134" s="920">
        <f t="shared" si="149"/>
        <v>0</v>
      </c>
      <c r="BI134" s="908">
        <f t="shared" si="149"/>
        <v>0</v>
      </c>
      <c r="BJ134" s="909">
        <f t="shared" si="149"/>
        <v>0</v>
      </c>
      <c r="BK134" s="909">
        <f t="shared" si="149"/>
        <v>0</v>
      </c>
      <c r="BL134" s="909">
        <f t="shared" si="149"/>
        <v>0</v>
      </c>
      <c r="BM134" s="909">
        <f t="shared" si="149"/>
        <v>0</v>
      </c>
      <c r="BN134" s="920">
        <f t="shared" si="149"/>
        <v>0</v>
      </c>
      <c r="BO134" s="908">
        <f t="shared" si="149"/>
        <v>0</v>
      </c>
      <c r="BP134" s="909">
        <f t="shared" si="149"/>
        <v>0</v>
      </c>
      <c r="BQ134" s="909">
        <f t="shared" si="149"/>
        <v>0</v>
      </c>
      <c r="BR134" s="909">
        <f t="shared" si="149"/>
        <v>0</v>
      </c>
      <c r="BS134" s="909">
        <f t="shared" si="149"/>
        <v>0</v>
      </c>
      <c r="BT134" s="918">
        <f t="shared" si="149"/>
        <v>0</v>
      </c>
    </row>
    <row r="135" spans="1:72" s="313" customFormat="1" ht="25.5" customHeight="1" outlineLevel="2">
      <c r="A135" s="287">
        <v>125</v>
      </c>
      <c r="B135" s="933"/>
      <c r="C135" s="840"/>
      <c r="D135" s="854" t="s">
        <v>807</v>
      </c>
      <c r="E135" s="839"/>
      <c r="F135" s="821" t="s">
        <v>7</v>
      </c>
      <c r="G135" s="314">
        <v>4</v>
      </c>
      <c r="H135" s="739" t="s">
        <v>70</v>
      </c>
      <c r="I135" s="739">
        <v>244</v>
      </c>
      <c r="J135" s="740">
        <v>346</v>
      </c>
      <c r="K135" s="1005" t="s">
        <v>747</v>
      </c>
      <c r="L135" s="1031">
        <f>134005.82-SUM(L136:L149)</f>
        <v>29668.1</v>
      </c>
      <c r="M135" s="318"/>
      <c r="N135" s="318"/>
      <c r="O135" s="1055">
        <f>L135+N135</f>
        <v>29668.1</v>
      </c>
      <c r="P135" s="562"/>
      <c r="Q135" s="336">
        <v>379130.88</v>
      </c>
      <c r="R135" s="562">
        <v>0</v>
      </c>
      <c r="S135" s="336">
        <v>485710.59</v>
      </c>
      <c r="T135" s="562"/>
      <c r="U135" s="466"/>
      <c r="V135" s="320"/>
      <c r="W135" s="320"/>
      <c r="X135" s="320"/>
      <c r="Z135" s="336">
        <f t="shared" si="105"/>
        <v>0</v>
      </c>
      <c r="AA135" s="337">
        <f t="shared" si="105"/>
        <v>0</v>
      </c>
      <c r="AB135" s="338">
        <f>Z135-AA135</f>
        <v>0</v>
      </c>
      <c r="AC135" s="336">
        <f t="shared" si="106"/>
        <v>0</v>
      </c>
      <c r="AD135" s="337">
        <f t="shared" si="106"/>
        <v>0</v>
      </c>
      <c r="AE135" s="338">
        <f>AC135-AD135</f>
        <v>0</v>
      </c>
      <c r="AF135" s="336">
        <f t="shared" si="107"/>
        <v>0</v>
      </c>
      <c r="AG135" s="337">
        <f t="shared" si="107"/>
        <v>0</v>
      </c>
      <c r="AH135" s="338">
        <f>AF135-AG135</f>
        <v>0</v>
      </c>
      <c r="AI135" s="336">
        <f t="shared" si="108"/>
        <v>0</v>
      </c>
      <c r="AJ135" s="337">
        <f t="shared" si="108"/>
        <v>0</v>
      </c>
      <c r="AK135" s="338">
        <f>AI135-AJ135</f>
        <v>0</v>
      </c>
      <c r="AL135" s="342"/>
      <c r="AM135" s="336">
        <f t="shared" si="109"/>
        <v>0</v>
      </c>
      <c r="AN135" s="339">
        <f t="shared" si="109"/>
        <v>0</v>
      </c>
      <c r="AO135" s="340">
        <f>AM135-AN135</f>
        <v>0</v>
      </c>
      <c r="AP135" s="336">
        <f t="shared" si="110"/>
        <v>0</v>
      </c>
      <c r="AQ135" s="339">
        <f t="shared" si="110"/>
        <v>0</v>
      </c>
      <c r="AR135" s="340">
        <f>AP135-AQ135</f>
        <v>0</v>
      </c>
      <c r="AS135" s="341">
        <f t="shared" si="112"/>
        <v>0</v>
      </c>
      <c r="AT135" s="339">
        <f t="shared" si="112"/>
        <v>0</v>
      </c>
      <c r="AU135" s="340">
        <f>AS135-AT135</f>
        <v>0</v>
      </c>
      <c r="AV135" s="589">
        <f>L135-AS135</f>
        <v>29668.1</v>
      </c>
      <c r="AW135" s="343"/>
      <c r="AX135" s="1098"/>
      <c r="AY135" s="345"/>
      <c r="AZ135" s="1098"/>
      <c r="BA135" s="345"/>
      <c r="BB135" s="1120"/>
      <c r="BC135" s="347"/>
      <c r="BD135" s="348"/>
      <c r="BE135" s="349"/>
      <c r="BF135" s="348"/>
      <c r="BG135" s="349"/>
      <c r="BH135" s="350"/>
      <c r="BI135" s="351"/>
      <c r="BJ135" s="352"/>
      <c r="BK135" s="337"/>
      <c r="BL135" s="352"/>
      <c r="BM135" s="337"/>
      <c r="BN135" s="353"/>
      <c r="BO135" s="354"/>
      <c r="BP135" s="355"/>
      <c r="BQ135" s="356"/>
      <c r="BR135" s="355"/>
      <c r="BS135" s="356"/>
      <c r="BT135" s="357"/>
    </row>
    <row r="136" spans="1:72" s="313" customFormat="1" ht="25.5" outlineLevel="2">
      <c r="A136" s="287">
        <v>126</v>
      </c>
      <c r="B136" s="933"/>
      <c r="C136" s="840"/>
      <c r="D136" s="854" t="s">
        <v>807</v>
      </c>
      <c r="E136" s="839"/>
      <c r="F136" s="821" t="s">
        <v>7</v>
      </c>
      <c r="G136" s="314">
        <v>4</v>
      </c>
      <c r="H136" s="739" t="s">
        <v>70</v>
      </c>
      <c r="I136" s="739">
        <v>244</v>
      </c>
      <c r="J136" s="740">
        <v>346</v>
      </c>
      <c r="K136" s="533" t="s">
        <v>726</v>
      </c>
      <c r="L136" s="1025">
        <v>609.20000000000005</v>
      </c>
      <c r="M136" s="318"/>
      <c r="N136" s="318"/>
      <c r="O136" s="1052">
        <f t="shared" ref="O136:O146" si="150">L136+N136</f>
        <v>609.20000000000005</v>
      </c>
      <c r="P136" s="562"/>
      <c r="Q136" s="336"/>
      <c r="R136" s="562"/>
      <c r="S136" s="336"/>
      <c r="T136" s="562"/>
      <c r="U136" s="466"/>
      <c r="V136" s="597" t="s">
        <v>483</v>
      </c>
      <c r="W136" s="597" t="s">
        <v>614</v>
      </c>
      <c r="X136" s="320" t="s">
        <v>557</v>
      </c>
      <c r="Z136" s="336">
        <f t="shared" si="105"/>
        <v>609.20000000000005</v>
      </c>
      <c r="AA136" s="337">
        <f t="shared" si="105"/>
        <v>609.20000000000005</v>
      </c>
      <c r="AB136" s="338">
        <f t="shared" ref="AB136:AB145" si="151">Z136-AA136</f>
        <v>0</v>
      </c>
      <c r="AC136" s="336">
        <f t="shared" si="106"/>
        <v>0</v>
      </c>
      <c r="AD136" s="337">
        <f t="shared" si="106"/>
        <v>0</v>
      </c>
      <c r="AE136" s="338">
        <f t="shared" ref="AE136:AE145" si="152">AC136-AD136</f>
        <v>0</v>
      </c>
      <c r="AF136" s="336">
        <f t="shared" si="107"/>
        <v>0</v>
      </c>
      <c r="AG136" s="337">
        <f t="shared" si="107"/>
        <v>0</v>
      </c>
      <c r="AH136" s="338">
        <f t="shared" ref="AH136:AH145" si="153">AF136-AG136</f>
        <v>0</v>
      </c>
      <c r="AI136" s="336">
        <f t="shared" si="108"/>
        <v>0</v>
      </c>
      <c r="AJ136" s="337">
        <f t="shared" si="108"/>
        <v>0</v>
      </c>
      <c r="AK136" s="338">
        <f t="shared" ref="AK136:AK145" si="154">AI136-AJ136</f>
        <v>0</v>
      </c>
      <c r="AL136" s="342"/>
      <c r="AM136" s="336">
        <f t="shared" si="109"/>
        <v>609.20000000000005</v>
      </c>
      <c r="AN136" s="339">
        <f t="shared" si="109"/>
        <v>609.20000000000005</v>
      </c>
      <c r="AO136" s="340">
        <f t="shared" ref="AO136:AO145" si="155">AM136-AN136</f>
        <v>0</v>
      </c>
      <c r="AP136" s="336">
        <f t="shared" si="110"/>
        <v>609.20000000000005</v>
      </c>
      <c r="AQ136" s="339">
        <f t="shared" si="110"/>
        <v>609.20000000000005</v>
      </c>
      <c r="AR136" s="340">
        <f t="shared" ref="AR136:AR145" si="156">AP136-AQ136</f>
        <v>0</v>
      </c>
      <c r="AS136" s="341">
        <f t="shared" si="112"/>
        <v>609.20000000000005</v>
      </c>
      <c r="AT136" s="339">
        <f t="shared" si="112"/>
        <v>609.20000000000005</v>
      </c>
      <c r="AU136" s="340">
        <f t="shared" ref="AU136:AU145" si="157">AS136-AT136</f>
        <v>0</v>
      </c>
      <c r="AV136" s="589">
        <f t="shared" ref="AV136:AV146" si="158">L136-AS136</f>
        <v>0</v>
      </c>
      <c r="AW136" s="343"/>
      <c r="AX136" s="1098"/>
      <c r="AY136" s="345"/>
      <c r="AZ136" s="1098"/>
      <c r="BA136" s="345">
        <v>609.20000000000005</v>
      </c>
      <c r="BB136" s="1120">
        <v>609.20000000000005</v>
      </c>
      <c r="BC136" s="347"/>
      <c r="BD136" s="348"/>
      <c r="BE136" s="349"/>
      <c r="BF136" s="348"/>
      <c r="BG136" s="349"/>
      <c r="BH136" s="350"/>
      <c r="BI136" s="351"/>
      <c r="BJ136" s="352"/>
      <c r="BK136" s="337"/>
      <c r="BL136" s="352"/>
      <c r="BM136" s="337"/>
      <c r="BN136" s="353"/>
      <c r="BO136" s="354"/>
      <c r="BP136" s="355"/>
      <c r="BQ136" s="356"/>
      <c r="BR136" s="355"/>
      <c r="BS136" s="356"/>
      <c r="BT136" s="357"/>
    </row>
    <row r="137" spans="1:72" s="313" customFormat="1" ht="25.5" outlineLevel="2">
      <c r="A137" s="287">
        <v>127</v>
      </c>
      <c r="B137" s="933"/>
      <c r="C137" s="840"/>
      <c r="D137" s="854" t="s">
        <v>807</v>
      </c>
      <c r="E137" s="839"/>
      <c r="F137" s="821" t="s">
        <v>7</v>
      </c>
      <c r="G137" s="314">
        <v>4</v>
      </c>
      <c r="H137" s="739" t="s">
        <v>70</v>
      </c>
      <c r="I137" s="739">
        <v>244</v>
      </c>
      <c r="J137" s="740">
        <v>346</v>
      </c>
      <c r="K137" s="533" t="s">
        <v>727</v>
      </c>
      <c r="L137" s="1025">
        <v>1705</v>
      </c>
      <c r="M137" s="318"/>
      <c r="N137" s="318"/>
      <c r="O137" s="1052">
        <f t="shared" si="150"/>
        <v>1705</v>
      </c>
      <c r="P137" s="562"/>
      <c r="Q137" s="336"/>
      <c r="R137" s="562"/>
      <c r="S137" s="336"/>
      <c r="T137" s="562"/>
      <c r="U137" s="466"/>
      <c r="V137" s="597" t="s">
        <v>728</v>
      </c>
      <c r="W137" s="320" t="s">
        <v>481</v>
      </c>
      <c r="X137" s="320" t="s">
        <v>557</v>
      </c>
      <c r="Z137" s="336">
        <f t="shared" si="105"/>
        <v>0</v>
      </c>
      <c r="AA137" s="337">
        <f t="shared" si="105"/>
        <v>0</v>
      </c>
      <c r="AB137" s="338">
        <f t="shared" si="151"/>
        <v>0</v>
      </c>
      <c r="AC137" s="336">
        <f t="shared" si="106"/>
        <v>1705</v>
      </c>
      <c r="AD137" s="337">
        <f t="shared" si="106"/>
        <v>0</v>
      </c>
      <c r="AE137" s="338">
        <f t="shared" si="152"/>
        <v>1705</v>
      </c>
      <c r="AF137" s="336">
        <f t="shared" si="107"/>
        <v>0</v>
      </c>
      <c r="AG137" s="337">
        <f t="shared" si="107"/>
        <v>0</v>
      </c>
      <c r="AH137" s="338">
        <f t="shared" si="153"/>
        <v>0</v>
      </c>
      <c r="AI137" s="336">
        <f t="shared" si="108"/>
        <v>0</v>
      </c>
      <c r="AJ137" s="337">
        <f t="shared" si="108"/>
        <v>0</v>
      </c>
      <c r="AK137" s="338">
        <f t="shared" si="154"/>
        <v>0</v>
      </c>
      <c r="AL137" s="342"/>
      <c r="AM137" s="336">
        <f t="shared" si="109"/>
        <v>1705</v>
      </c>
      <c r="AN137" s="339">
        <f t="shared" si="109"/>
        <v>0</v>
      </c>
      <c r="AO137" s="340">
        <f t="shared" si="155"/>
        <v>1705</v>
      </c>
      <c r="AP137" s="336">
        <f t="shared" si="110"/>
        <v>1705</v>
      </c>
      <c r="AQ137" s="339">
        <f t="shared" si="110"/>
        <v>0</v>
      </c>
      <c r="AR137" s="340">
        <f t="shared" si="156"/>
        <v>1705</v>
      </c>
      <c r="AS137" s="341">
        <f t="shared" si="112"/>
        <v>1705</v>
      </c>
      <c r="AT137" s="339">
        <f t="shared" si="112"/>
        <v>0</v>
      </c>
      <c r="AU137" s="340">
        <f t="shared" si="157"/>
        <v>1705</v>
      </c>
      <c r="AV137" s="589">
        <f t="shared" si="158"/>
        <v>0</v>
      </c>
      <c r="AW137" s="343"/>
      <c r="AX137" s="1098"/>
      <c r="AY137" s="345"/>
      <c r="AZ137" s="1098"/>
      <c r="BA137" s="345"/>
      <c r="BB137" s="1120"/>
      <c r="BC137" s="1134">
        <v>1705</v>
      </c>
      <c r="BD137" s="348"/>
      <c r="BE137" s="349"/>
      <c r="BF137" s="348"/>
      <c r="BG137" s="349"/>
      <c r="BH137" s="350"/>
      <c r="BI137" s="351"/>
      <c r="BJ137" s="352"/>
      <c r="BK137" s="337"/>
      <c r="BL137" s="352"/>
      <c r="BM137" s="337"/>
      <c r="BN137" s="353"/>
      <c r="BO137" s="354"/>
      <c r="BP137" s="355"/>
      <c r="BQ137" s="356"/>
      <c r="BR137" s="355"/>
      <c r="BS137" s="356"/>
      <c r="BT137" s="357"/>
    </row>
    <row r="138" spans="1:72" s="313" customFormat="1" ht="89.25" outlineLevel="2">
      <c r="A138" s="287">
        <v>128</v>
      </c>
      <c r="B138" s="933"/>
      <c r="C138" s="840"/>
      <c r="D138" s="854" t="s">
        <v>807</v>
      </c>
      <c r="E138" s="839"/>
      <c r="F138" s="821" t="s">
        <v>7</v>
      </c>
      <c r="G138" s="314">
        <v>4</v>
      </c>
      <c r="H138" s="739" t="s">
        <v>70</v>
      </c>
      <c r="I138" s="739">
        <v>244</v>
      </c>
      <c r="J138" s="740">
        <v>346</v>
      </c>
      <c r="K138" s="533" t="s">
        <v>729</v>
      </c>
      <c r="L138" s="1025">
        <v>13942.02</v>
      </c>
      <c r="M138" s="318"/>
      <c r="N138" s="318"/>
      <c r="O138" s="1052">
        <f t="shared" si="150"/>
        <v>13942.02</v>
      </c>
      <c r="P138" s="562"/>
      <c r="Q138" s="336"/>
      <c r="R138" s="562"/>
      <c r="S138" s="336"/>
      <c r="T138" s="562"/>
      <c r="U138" s="466"/>
      <c r="V138" s="597" t="s">
        <v>730</v>
      </c>
      <c r="W138" s="597" t="s">
        <v>736</v>
      </c>
      <c r="X138" s="1094" t="s">
        <v>737</v>
      </c>
      <c r="Z138" s="336">
        <f t="shared" si="105"/>
        <v>0</v>
      </c>
      <c r="AA138" s="337">
        <f t="shared" si="105"/>
        <v>0</v>
      </c>
      <c r="AB138" s="338">
        <f t="shared" si="151"/>
        <v>0</v>
      </c>
      <c r="AC138" s="336">
        <f t="shared" si="106"/>
        <v>13942.02</v>
      </c>
      <c r="AD138" s="337">
        <f t="shared" si="106"/>
        <v>0</v>
      </c>
      <c r="AE138" s="338">
        <f t="shared" si="152"/>
        <v>13942.02</v>
      </c>
      <c r="AF138" s="336">
        <f t="shared" si="107"/>
        <v>0</v>
      </c>
      <c r="AG138" s="337">
        <f t="shared" si="107"/>
        <v>0</v>
      </c>
      <c r="AH138" s="338">
        <f t="shared" si="153"/>
        <v>0</v>
      </c>
      <c r="AI138" s="336">
        <f t="shared" si="108"/>
        <v>0</v>
      </c>
      <c r="AJ138" s="337">
        <f t="shared" si="108"/>
        <v>0</v>
      </c>
      <c r="AK138" s="338">
        <f t="shared" si="154"/>
        <v>0</v>
      </c>
      <c r="AL138" s="342"/>
      <c r="AM138" s="336">
        <f t="shared" si="109"/>
        <v>13942.02</v>
      </c>
      <c r="AN138" s="339">
        <f t="shared" si="109"/>
        <v>0</v>
      </c>
      <c r="AO138" s="340">
        <f t="shared" si="155"/>
        <v>13942.02</v>
      </c>
      <c r="AP138" s="336">
        <f t="shared" si="110"/>
        <v>13942.02</v>
      </c>
      <c r="AQ138" s="339">
        <f t="shared" si="110"/>
        <v>0</v>
      </c>
      <c r="AR138" s="340">
        <f t="shared" si="156"/>
        <v>13942.02</v>
      </c>
      <c r="AS138" s="341">
        <f t="shared" si="112"/>
        <v>13942.02</v>
      </c>
      <c r="AT138" s="339">
        <f t="shared" si="112"/>
        <v>0</v>
      </c>
      <c r="AU138" s="340">
        <f t="shared" si="157"/>
        <v>13942.02</v>
      </c>
      <c r="AV138" s="589">
        <f t="shared" si="158"/>
        <v>0</v>
      </c>
      <c r="AW138" s="343"/>
      <c r="AX138" s="1098"/>
      <c r="AY138" s="345"/>
      <c r="AZ138" s="1098"/>
      <c r="BA138" s="345"/>
      <c r="BB138" s="1120"/>
      <c r="BC138" s="1134">
        <v>13942.02</v>
      </c>
      <c r="BD138" s="348"/>
      <c r="BE138" s="349"/>
      <c r="BF138" s="348"/>
      <c r="BG138" s="349"/>
      <c r="BH138" s="350"/>
      <c r="BI138" s="351"/>
      <c r="BJ138" s="352"/>
      <c r="BK138" s="337"/>
      <c r="BL138" s="352"/>
      <c r="BM138" s="337"/>
      <c r="BN138" s="353"/>
      <c r="BO138" s="354"/>
      <c r="BP138" s="355"/>
      <c r="BQ138" s="356"/>
      <c r="BR138" s="355"/>
      <c r="BS138" s="356"/>
      <c r="BT138" s="357"/>
    </row>
    <row r="139" spans="1:72" s="313" customFormat="1" ht="38.25" outlineLevel="2">
      <c r="A139" s="287">
        <v>129</v>
      </c>
      <c r="B139" s="933"/>
      <c r="C139" s="840"/>
      <c r="D139" s="854" t="s">
        <v>807</v>
      </c>
      <c r="E139" s="839"/>
      <c r="F139" s="821" t="s">
        <v>7</v>
      </c>
      <c r="G139" s="314">
        <v>4</v>
      </c>
      <c r="H139" s="739" t="s">
        <v>70</v>
      </c>
      <c r="I139" s="739">
        <v>244</v>
      </c>
      <c r="J139" s="740">
        <v>346</v>
      </c>
      <c r="K139" s="533" t="s">
        <v>731</v>
      </c>
      <c r="L139" s="1025">
        <v>20760</v>
      </c>
      <c r="M139" s="318"/>
      <c r="N139" s="318"/>
      <c r="O139" s="1052">
        <f t="shared" si="150"/>
        <v>20760</v>
      </c>
      <c r="P139" s="562"/>
      <c r="Q139" s="336"/>
      <c r="R139" s="562"/>
      <c r="S139" s="336"/>
      <c r="T139" s="562"/>
      <c r="U139" s="466"/>
      <c r="V139" s="597" t="s">
        <v>555</v>
      </c>
      <c r="W139" s="597" t="s">
        <v>734</v>
      </c>
      <c r="X139" s="811" t="s">
        <v>735</v>
      </c>
      <c r="Z139" s="336">
        <f t="shared" si="105"/>
        <v>0</v>
      </c>
      <c r="AA139" s="337">
        <f t="shared" si="105"/>
        <v>0</v>
      </c>
      <c r="AB139" s="338">
        <f t="shared" si="151"/>
        <v>0</v>
      </c>
      <c r="AC139" s="336">
        <f t="shared" si="106"/>
        <v>20760</v>
      </c>
      <c r="AD139" s="337">
        <f t="shared" si="106"/>
        <v>0</v>
      </c>
      <c r="AE139" s="338">
        <f t="shared" si="152"/>
        <v>20760</v>
      </c>
      <c r="AF139" s="336">
        <f t="shared" si="107"/>
        <v>0</v>
      </c>
      <c r="AG139" s="337">
        <f t="shared" si="107"/>
        <v>0</v>
      </c>
      <c r="AH139" s="338">
        <f t="shared" si="153"/>
        <v>0</v>
      </c>
      <c r="AI139" s="336">
        <f t="shared" si="108"/>
        <v>0</v>
      </c>
      <c r="AJ139" s="337">
        <f t="shared" si="108"/>
        <v>0</v>
      </c>
      <c r="AK139" s="338">
        <f t="shared" si="154"/>
        <v>0</v>
      </c>
      <c r="AL139" s="342"/>
      <c r="AM139" s="336">
        <f t="shared" si="109"/>
        <v>20760</v>
      </c>
      <c r="AN139" s="339">
        <f t="shared" si="109"/>
        <v>0</v>
      </c>
      <c r="AO139" s="340">
        <f t="shared" si="155"/>
        <v>20760</v>
      </c>
      <c r="AP139" s="336">
        <f t="shared" si="110"/>
        <v>20760</v>
      </c>
      <c r="AQ139" s="339">
        <f t="shared" si="110"/>
        <v>0</v>
      </c>
      <c r="AR139" s="340">
        <f t="shared" si="156"/>
        <v>20760</v>
      </c>
      <c r="AS139" s="341">
        <f t="shared" si="112"/>
        <v>20760</v>
      </c>
      <c r="AT139" s="339">
        <f t="shared" si="112"/>
        <v>0</v>
      </c>
      <c r="AU139" s="340">
        <f t="shared" si="157"/>
        <v>20760</v>
      </c>
      <c r="AV139" s="589">
        <f t="shared" si="158"/>
        <v>0</v>
      </c>
      <c r="AW139" s="343"/>
      <c r="AX139" s="1098"/>
      <c r="AY139" s="345"/>
      <c r="AZ139" s="1098"/>
      <c r="BA139" s="345"/>
      <c r="BB139" s="1120"/>
      <c r="BC139" s="1134">
        <v>20760</v>
      </c>
      <c r="BD139" s="348"/>
      <c r="BE139" s="349"/>
      <c r="BF139" s="348"/>
      <c r="BG139" s="349"/>
      <c r="BH139" s="350"/>
      <c r="BI139" s="351"/>
      <c r="BJ139" s="352"/>
      <c r="BK139" s="337"/>
      <c r="BL139" s="352"/>
      <c r="BM139" s="337"/>
      <c r="BN139" s="353"/>
      <c r="BO139" s="354"/>
      <c r="BP139" s="355"/>
      <c r="BQ139" s="356"/>
      <c r="BR139" s="355"/>
      <c r="BS139" s="356"/>
      <c r="BT139" s="357"/>
    </row>
    <row r="140" spans="1:72" s="313" customFormat="1" ht="38.25" outlineLevel="2">
      <c r="A140" s="287">
        <v>130</v>
      </c>
      <c r="B140" s="933"/>
      <c r="C140" s="840"/>
      <c r="D140" s="854" t="s">
        <v>807</v>
      </c>
      <c r="E140" s="839"/>
      <c r="F140" s="821" t="s">
        <v>7</v>
      </c>
      <c r="G140" s="314">
        <v>4</v>
      </c>
      <c r="H140" s="739" t="s">
        <v>70</v>
      </c>
      <c r="I140" s="739">
        <v>244</v>
      </c>
      <c r="J140" s="740">
        <v>346</v>
      </c>
      <c r="K140" s="533" t="s">
        <v>732</v>
      </c>
      <c r="L140" s="1025">
        <v>2694</v>
      </c>
      <c r="M140" s="318"/>
      <c r="N140" s="318"/>
      <c r="O140" s="1052">
        <f t="shared" si="150"/>
        <v>2694</v>
      </c>
      <c r="P140" s="562"/>
      <c r="Q140" s="336"/>
      <c r="R140" s="562"/>
      <c r="S140" s="336"/>
      <c r="T140" s="562"/>
      <c r="U140" s="466"/>
      <c r="V140" s="597" t="s">
        <v>706</v>
      </c>
      <c r="W140" s="597" t="s">
        <v>733</v>
      </c>
      <c r="X140" s="811" t="s">
        <v>557</v>
      </c>
      <c r="Z140" s="336">
        <f t="shared" si="105"/>
        <v>0</v>
      </c>
      <c r="AA140" s="337">
        <f t="shared" si="105"/>
        <v>0</v>
      </c>
      <c r="AB140" s="338">
        <f t="shared" si="151"/>
        <v>0</v>
      </c>
      <c r="AC140" s="336">
        <f t="shared" si="106"/>
        <v>2694</v>
      </c>
      <c r="AD140" s="337">
        <f t="shared" si="106"/>
        <v>0</v>
      </c>
      <c r="AE140" s="338">
        <f t="shared" si="152"/>
        <v>2694</v>
      </c>
      <c r="AF140" s="336">
        <f t="shared" si="107"/>
        <v>0</v>
      </c>
      <c r="AG140" s="337">
        <f t="shared" si="107"/>
        <v>0</v>
      </c>
      <c r="AH140" s="338">
        <f t="shared" si="153"/>
        <v>0</v>
      </c>
      <c r="AI140" s="336">
        <f t="shared" si="108"/>
        <v>0</v>
      </c>
      <c r="AJ140" s="337">
        <f t="shared" si="108"/>
        <v>0</v>
      </c>
      <c r="AK140" s="338">
        <f t="shared" si="154"/>
        <v>0</v>
      </c>
      <c r="AL140" s="342"/>
      <c r="AM140" s="336">
        <f t="shared" si="109"/>
        <v>2694</v>
      </c>
      <c r="AN140" s="339">
        <f t="shared" si="109"/>
        <v>0</v>
      </c>
      <c r="AO140" s="340">
        <f t="shared" si="155"/>
        <v>2694</v>
      </c>
      <c r="AP140" s="336">
        <f t="shared" si="110"/>
        <v>2694</v>
      </c>
      <c r="AQ140" s="339">
        <f t="shared" si="110"/>
        <v>0</v>
      </c>
      <c r="AR140" s="340">
        <f t="shared" si="156"/>
        <v>2694</v>
      </c>
      <c r="AS140" s="341">
        <f t="shared" si="112"/>
        <v>2694</v>
      </c>
      <c r="AT140" s="339">
        <f t="shared" si="112"/>
        <v>0</v>
      </c>
      <c r="AU140" s="340">
        <f t="shared" si="157"/>
        <v>2694</v>
      </c>
      <c r="AV140" s="589">
        <f t="shared" si="158"/>
        <v>0</v>
      </c>
      <c r="AW140" s="343"/>
      <c r="AX140" s="1098"/>
      <c r="AY140" s="345"/>
      <c r="AZ140" s="1098"/>
      <c r="BA140" s="345"/>
      <c r="BB140" s="1120"/>
      <c r="BC140" s="1134">
        <v>2694</v>
      </c>
      <c r="BD140" s="348"/>
      <c r="BE140" s="349"/>
      <c r="BF140" s="348"/>
      <c r="BG140" s="349"/>
      <c r="BH140" s="350"/>
      <c r="BI140" s="351"/>
      <c r="BJ140" s="352"/>
      <c r="BK140" s="337"/>
      <c r="BL140" s="352"/>
      <c r="BM140" s="337"/>
      <c r="BN140" s="353"/>
      <c r="BO140" s="354"/>
      <c r="BP140" s="355"/>
      <c r="BQ140" s="356"/>
      <c r="BR140" s="355"/>
      <c r="BS140" s="356"/>
      <c r="BT140" s="357"/>
    </row>
    <row r="141" spans="1:72" s="313" customFormat="1" ht="51" outlineLevel="2">
      <c r="A141" s="287">
        <v>131</v>
      </c>
      <c r="B141" s="933"/>
      <c r="C141" s="840"/>
      <c r="D141" s="854" t="s">
        <v>807</v>
      </c>
      <c r="E141" s="839"/>
      <c r="F141" s="821" t="s">
        <v>7</v>
      </c>
      <c r="G141" s="314">
        <v>4</v>
      </c>
      <c r="H141" s="739" t="s">
        <v>70</v>
      </c>
      <c r="I141" s="739">
        <v>244</v>
      </c>
      <c r="J141" s="740">
        <v>346</v>
      </c>
      <c r="K141" s="533" t="s">
        <v>743</v>
      </c>
      <c r="L141" s="1025">
        <v>8389</v>
      </c>
      <c r="M141" s="318"/>
      <c r="N141" s="318"/>
      <c r="O141" s="1052">
        <f t="shared" si="150"/>
        <v>8389</v>
      </c>
      <c r="P141" s="562"/>
      <c r="Q141" s="336"/>
      <c r="R141" s="562"/>
      <c r="S141" s="336"/>
      <c r="T141" s="562"/>
      <c r="U141" s="466"/>
      <c r="V141" s="597" t="s">
        <v>495</v>
      </c>
      <c r="W141" s="320" t="s">
        <v>481</v>
      </c>
      <c r="X141" s="1094" t="s">
        <v>744</v>
      </c>
      <c r="Z141" s="336">
        <f t="shared" si="105"/>
        <v>0</v>
      </c>
      <c r="AA141" s="337">
        <f t="shared" si="105"/>
        <v>0</v>
      </c>
      <c r="AB141" s="338">
        <f t="shared" si="151"/>
        <v>0</v>
      </c>
      <c r="AC141" s="336">
        <f t="shared" si="106"/>
        <v>8389</v>
      </c>
      <c r="AD141" s="337">
        <f t="shared" si="106"/>
        <v>0</v>
      </c>
      <c r="AE141" s="338">
        <f t="shared" si="152"/>
        <v>8389</v>
      </c>
      <c r="AF141" s="336">
        <f t="shared" si="107"/>
        <v>0</v>
      </c>
      <c r="AG141" s="337">
        <f t="shared" si="107"/>
        <v>0</v>
      </c>
      <c r="AH141" s="338">
        <f t="shared" si="153"/>
        <v>0</v>
      </c>
      <c r="AI141" s="336">
        <f t="shared" si="108"/>
        <v>0</v>
      </c>
      <c r="AJ141" s="337">
        <f t="shared" si="108"/>
        <v>0</v>
      </c>
      <c r="AK141" s="338">
        <f t="shared" si="154"/>
        <v>0</v>
      </c>
      <c r="AL141" s="342"/>
      <c r="AM141" s="336">
        <f t="shared" si="109"/>
        <v>8389</v>
      </c>
      <c r="AN141" s="339">
        <f t="shared" si="109"/>
        <v>0</v>
      </c>
      <c r="AO141" s="340">
        <f t="shared" si="155"/>
        <v>8389</v>
      </c>
      <c r="AP141" s="336">
        <f t="shared" si="110"/>
        <v>8389</v>
      </c>
      <c r="AQ141" s="339">
        <f t="shared" si="110"/>
        <v>0</v>
      </c>
      <c r="AR141" s="340">
        <f t="shared" si="156"/>
        <v>8389</v>
      </c>
      <c r="AS141" s="341">
        <f t="shared" si="112"/>
        <v>8389</v>
      </c>
      <c r="AT141" s="339">
        <f t="shared" si="112"/>
        <v>0</v>
      </c>
      <c r="AU141" s="340">
        <f t="shared" si="157"/>
        <v>8389</v>
      </c>
      <c r="AV141" s="589">
        <f t="shared" si="158"/>
        <v>0</v>
      </c>
      <c r="AW141" s="343"/>
      <c r="AX141" s="1098"/>
      <c r="AY141" s="345"/>
      <c r="AZ141" s="1098"/>
      <c r="BA141" s="345"/>
      <c r="BB141" s="1120"/>
      <c r="BC141" s="1134">
        <v>8389</v>
      </c>
      <c r="BD141" s="348"/>
      <c r="BE141" s="349"/>
      <c r="BF141" s="348"/>
      <c r="BG141" s="349"/>
      <c r="BH141" s="350"/>
      <c r="BI141" s="351"/>
      <c r="BJ141" s="352"/>
      <c r="BK141" s="337"/>
      <c r="BL141" s="352"/>
      <c r="BM141" s="337"/>
      <c r="BN141" s="353"/>
      <c r="BO141" s="354"/>
      <c r="BP141" s="355"/>
      <c r="BQ141" s="356"/>
      <c r="BR141" s="355"/>
      <c r="BS141" s="356"/>
      <c r="BT141" s="357"/>
    </row>
    <row r="142" spans="1:72" s="313" customFormat="1" ht="25.5" outlineLevel="2">
      <c r="A142" s="287">
        <v>132</v>
      </c>
      <c r="B142" s="933"/>
      <c r="C142" s="840"/>
      <c r="D142" s="854" t="s">
        <v>807</v>
      </c>
      <c r="E142" s="839"/>
      <c r="F142" s="821" t="s">
        <v>7</v>
      </c>
      <c r="G142" s="314">
        <v>4</v>
      </c>
      <c r="H142" s="739" t="s">
        <v>70</v>
      </c>
      <c r="I142" s="739">
        <v>244</v>
      </c>
      <c r="J142" s="740">
        <v>346</v>
      </c>
      <c r="K142" s="533" t="s">
        <v>745</v>
      </c>
      <c r="L142" s="1025">
        <v>8483.5</v>
      </c>
      <c r="M142" s="318"/>
      <c r="N142" s="318"/>
      <c r="O142" s="1052">
        <f t="shared" si="150"/>
        <v>8483.5</v>
      </c>
      <c r="P142" s="562"/>
      <c r="Q142" s="336"/>
      <c r="R142" s="562"/>
      <c r="S142" s="336"/>
      <c r="T142" s="562"/>
      <c r="U142" s="466"/>
      <c r="V142" s="597" t="s">
        <v>582</v>
      </c>
      <c r="W142" s="811" t="s">
        <v>481</v>
      </c>
      <c r="X142" s="320" t="s">
        <v>746</v>
      </c>
      <c r="Z142" s="336">
        <f t="shared" si="105"/>
        <v>0</v>
      </c>
      <c r="AA142" s="337">
        <f t="shared" si="105"/>
        <v>0</v>
      </c>
      <c r="AB142" s="338">
        <f t="shared" si="151"/>
        <v>0</v>
      </c>
      <c r="AC142" s="336">
        <f t="shared" si="106"/>
        <v>8483.5</v>
      </c>
      <c r="AD142" s="337">
        <f t="shared" si="106"/>
        <v>0</v>
      </c>
      <c r="AE142" s="338">
        <f t="shared" si="152"/>
        <v>8483.5</v>
      </c>
      <c r="AF142" s="336">
        <f t="shared" si="107"/>
        <v>0</v>
      </c>
      <c r="AG142" s="337">
        <f t="shared" si="107"/>
        <v>0</v>
      </c>
      <c r="AH142" s="338">
        <f t="shared" si="153"/>
        <v>0</v>
      </c>
      <c r="AI142" s="336">
        <f t="shared" si="108"/>
        <v>0</v>
      </c>
      <c r="AJ142" s="337">
        <f t="shared" si="108"/>
        <v>0</v>
      </c>
      <c r="AK142" s="338">
        <f t="shared" si="154"/>
        <v>0</v>
      </c>
      <c r="AL142" s="342"/>
      <c r="AM142" s="336">
        <f t="shared" si="109"/>
        <v>8483.5</v>
      </c>
      <c r="AN142" s="339">
        <f t="shared" si="109"/>
        <v>0</v>
      </c>
      <c r="AO142" s="340">
        <f t="shared" si="155"/>
        <v>8483.5</v>
      </c>
      <c r="AP142" s="336">
        <f t="shared" si="110"/>
        <v>8483.5</v>
      </c>
      <c r="AQ142" s="339">
        <f t="shared" si="110"/>
        <v>0</v>
      </c>
      <c r="AR142" s="340">
        <f t="shared" si="156"/>
        <v>8483.5</v>
      </c>
      <c r="AS142" s="341">
        <f t="shared" si="112"/>
        <v>8483.5</v>
      </c>
      <c r="AT142" s="339">
        <f t="shared" si="112"/>
        <v>0</v>
      </c>
      <c r="AU142" s="340">
        <f t="shared" si="157"/>
        <v>8483.5</v>
      </c>
      <c r="AV142" s="589">
        <f t="shared" si="158"/>
        <v>0</v>
      </c>
      <c r="AW142" s="343"/>
      <c r="AX142" s="1098"/>
      <c r="AY142" s="345"/>
      <c r="AZ142" s="1098"/>
      <c r="BA142" s="345"/>
      <c r="BB142" s="1120"/>
      <c r="BC142" s="1134">
        <v>8483.5</v>
      </c>
      <c r="BD142" s="348"/>
      <c r="BE142" s="349"/>
      <c r="BF142" s="348"/>
      <c r="BG142" s="349"/>
      <c r="BH142" s="350"/>
      <c r="BI142" s="351"/>
      <c r="BJ142" s="352"/>
      <c r="BK142" s="337"/>
      <c r="BL142" s="352"/>
      <c r="BM142" s="337"/>
      <c r="BN142" s="353"/>
      <c r="BO142" s="354"/>
      <c r="BP142" s="355"/>
      <c r="BQ142" s="356"/>
      <c r="BR142" s="355"/>
      <c r="BS142" s="356"/>
      <c r="BT142" s="357"/>
    </row>
    <row r="143" spans="1:72" s="313" customFormat="1" ht="38.25" outlineLevel="2">
      <c r="A143" s="287">
        <v>133</v>
      </c>
      <c r="B143" s="933"/>
      <c r="C143" s="840"/>
      <c r="D143" s="854" t="s">
        <v>807</v>
      </c>
      <c r="E143" s="839"/>
      <c r="F143" s="821" t="s">
        <v>7</v>
      </c>
      <c r="G143" s="314">
        <v>4</v>
      </c>
      <c r="H143" s="739" t="s">
        <v>70</v>
      </c>
      <c r="I143" s="739">
        <v>244</v>
      </c>
      <c r="J143" s="740">
        <v>346</v>
      </c>
      <c r="K143" s="533" t="s">
        <v>761</v>
      </c>
      <c r="L143" s="1025">
        <v>590</v>
      </c>
      <c r="M143" s="318"/>
      <c r="N143" s="318"/>
      <c r="O143" s="1052">
        <f t="shared" si="150"/>
        <v>590</v>
      </c>
      <c r="P143" s="562"/>
      <c r="Q143" s="336"/>
      <c r="R143" s="562"/>
      <c r="S143" s="336"/>
      <c r="T143" s="562"/>
      <c r="U143" s="466"/>
      <c r="V143" s="597" t="s">
        <v>706</v>
      </c>
      <c r="W143" s="597" t="s">
        <v>762</v>
      </c>
      <c r="X143" s="811" t="s">
        <v>557</v>
      </c>
      <c r="Z143" s="336">
        <f t="shared" si="105"/>
        <v>0</v>
      </c>
      <c r="AA143" s="337">
        <f t="shared" si="105"/>
        <v>0</v>
      </c>
      <c r="AB143" s="338">
        <f t="shared" si="151"/>
        <v>0</v>
      </c>
      <c r="AC143" s="336">
        <f t="shared" si="106"/>
        <v>590</v>
      </c>
      <c r="AD143" s="337">
        <f t="shared" si="106"/>
        <v>0</v>
      </c>
      <c r="AE143" s="338">
        <f t="shared" si="152"/>
        <v>590</v>
      </c>
      <c r="AF143" s="336">
        <f t="shared" si="107"/>
        <v>0</v>
      </c>
      <c r="AG143" s="337">
        <f t="shared" si="107"/>
        <v>0</v>
      </c>
      <c r="AH143" s="338">
        <f t="shared" si="153"/>
        <v>0</v>
      </c>
      <c r="AI143" s="336">
        <f t="shared" si="108"/>
        <v>0</v>
      </c>
      <c r="AJ143" s="337">
        <f t="shared" si="108"/>
        <v>0</v>
      </c>
      <c r="AK143" s="338">
        <f t="shared" si="154"/>
        <v>0</v>
      </c>
      <c r="AL143" s="342"/>
      <c r="AM143" s="336">
        <f t="shared" si="109"/>
        <v>590</v>
      </c>
      <c r="AN143" s="339">
        <f t="shared" si="109"/>
        <v>0</v>
      </c>
      <c r="AO143" s="340">
        <f t="shared" si="155"/>
        <v>590</v>
      </c>
      <c r="AP143" s="336">
        <f t="shared" si="110"/>
        <v>590</v>
      </c>
      <c r="AQ143" s="339">
        <f t="shared" si="110"/>
        <v>0</v>
      </c>
      <c r="AR143" s="340">
        <f t="shared" si="156"/>
        <v>590</v>
      </c>
      <c r="AS143" s="341">
        <f t="shared" si="112"/>
        <v>590</v>
      </c>
      <c r="AT143" s="339">
        <f t="shared" si="112"/>
        <v>0</v>
      </c>
      <c r="AU143" s="340">
        <f t="shared" si="157"/>
        <v>590</v>
      </c>
      <c r="AV143" s="589">
        <f t="shared" si="158"/>
        <v>0</v>
      </c>
      <c r="AW143" s="343"/>
      <c r="AX143" s="1098"/>
      <c r="AY143" s="345"/>
      <c r="AZ143" s="1098"/>
      <c r="BA143" s="345"/>
      <c r="BB143" s="1120"/>
      <c r="BC143" s="1134">
        <v>590</v>
      </c>
      <c r="BD143" s="348"/>
      <c r="BE143" s="349"/>
      <c r="BF143" s="348"/>
      <c r="BG143" s="349"/>
      <c r="BH143" s="350"/>
      <c r="BI143" s="351"/>
      <c r="BJ143" s="352"/>
      <c r="BK143" s="337"/>
      <c r="BL143" s="352"/>
      <c r="BM143" s="337"/>
      <c r="BN143" s="353"/>
      <c r="BO143" s="354"/>
      <c r="BP143" s="355"/>
      <c r="BQ143" s="356"/>
      <c r="BR143" s="355"/>
      <c r="BS143" s="356"/>
      <c r="BT143" s="357"/>
    </row>
    <row r="144" spans="1:72" s="313" customFormat="1" ht="25.5" outlineLevel="2">
      <c r="A144" s="287">
        <v>134</v>
      </c>
      <c r="B144" s="933"/>
      <c r="C144" s="840"/>
      <c r="D144" s="854" t="s">
        <v>807</v>
      </c>
      <c r="E144" s="839"/>
      <c r="F144" s="821" t="s">
        <v>7</v>
      </c>
      <c r="G144" s="314">
        <v>4</v>
      </c>
      <c r="H144" s="739" t="s">
        <v>70</v>
      </c>
      <c r="I144" s="739">
        <v>244</v>
      </c>
      <c r="J144" s="740">
        <v>346</v>
      </c>
      <c r="K144" s="533" t="s">
        <v>778</v>
      </c>
      <c r="L144" s="1025">
        <v>32572</v>
      </c>
      <c r="M144" s="318"/>
      <c r="N144" s="318"/>
      <c r="O144" s="1052">
        <f t="shared" si="150"/>
        <v>32572</v>
      </c>
      <c r="P144" s="562"/>
      <c r="Q144" s="336"/>
      <c r="R144" s="562"/>
      <c r="S144" s="336"/>
      <c r="T144" s="562"/>
      <c r="U144" s="466"/>
      <c r="V144" s="597" t="s">
        <v>616</v>
      </c>
      <c r="W144" s="597" t="s">
        <v>803</v>
      </c>
      <c r="X144" s="597" t="s">
        <v>804</v>
      </c>
      <c r="Z144" s="336">
        <f t="shared" si="105"/>
        <v>0</v>
      </c>
      <c r="AA144" s="337">
        <f t="shared" si="105"/>
        <v>0</v>
      </c>
      <c r="AB144" s="338">
        <f t="shared" si="151"/>
        <v>0</v>
      </c>
      <c r="AC144" s="336">
        <f t="shared" si="106"/>
        <v>32572</v>
      </c>
      <c r="AD144" s="337">
        <f t="shared" si="106"/>
        <v>0</v>
      </c>
      <c r="AE144" s="338">
        <f t="shared" si="152"/>
        <v>32572</v>
      </c>
      <c r="AF144" s="336">
        <f t="shared" si="107"/>
        <v>0</v>
      </c>
      <c r="AG144" s="337">
        <f t="shared" si="107"/>
        <v>0</v>
      </c>
      <c r="AH144" s="338">
        <f t="shared" si="153"/>
        <v>0</v>
      </c>
      <c r="AI144" s="336">
        <f t="shared" si="108"/>
        <v>0</v>
      </c>
      <c r="AJ144" s="337">
        <f t="shared" si="108"/>
        <v>0</v>
      </c>
      <c r="AK144" s="338">
        <f t="shared" si="154"/>
        <v>0</v>
      </c>
      <c r="AL144" s="342"/>
      <c r="AM144" s="336">
        <f t="shared" si="109"/>
        <v>32572</v>
      </c>
      <c r="AN144" s="339">
        <f t="shared" si="109"/>
        <v>0</v>
      </c>
      <c r="AO144" s="340">
        <f t="shared" si="155"/>
        <v>32572</v>
      </c>
      <c r="AP144" s="336">
        <f t="shared" si="110"/>
        <v>32572</v>
      </c>
      <c r="AQ144" s="339">
        <f t="shared" si="110"/>
        <v>0</v>
      </c>
      <c r="AR144" s="340">
        <f t="shared" si="156"/>
        <v>32572</v>
      </c>
      <c r="AS144" s="341">
        <f t="shared" si="112"/>
        <v>32572</v>
      </c>
      <c r="AT144" s="339">
        <f t="shared" si="112"/>
        <v>0</v>
      </c>
      <c r="AU144" s="340">
        <f t="shared" si="157"/>
        <v>32572</v>
      </c>
      <c r="AV144" s="589">
        <f t="shared" si="158"/>
        <v>0</v>
      </c>
      <c r="AW144" s="343"/>
      <c r="AX144" s="1098"/>
      <c r="AY144" s="345"/>
      <c r="AZ144" s="1098"/>
      <c r="BA144" s="345"/>
      <c r="BB144" s="1120"/>
      <c r="BC144" s="1134"/>
      <c r="BD144" s="348"/>
      <c r="BE144" s="1135">
        <v>32572</v>
      </c>
      <c r="BF144" s="348"/>
      <c r="BG144" s="349"/>
      <c r="BH144" s="350"/>
      <c r="BI144" s="351"/>
      <c r="BJ144" s="352"/>
      <c r="BK144" s="337"/>
      <c r="BL144" s="352"/>
      <c r="BM144" s="337"/>
      <c r="BN144" s="353"/>
      <c r="BO144" s="354"/>
      <c r="BP144" s="355"/>
      <c r="BQ144" s="356"/>
      <c r="BR144" s="355"/>
      <c r="BS144" s="356"/>
      <c r="BT144" s="357"/>
    </row>
    <row r="145" spans="1:72" s="313" customFormat="1" ht="25.5" outlineLevel="2">
      <c r="A145" s="287">
        <v>135</v>
      </c>
      <c r="B145" s="933"/>
      <c r="C145" s="840"/>
      <c r="D145" s="854" t="s">
        <v>807</v>
      </c>
      <c r="E145" s="839"/>
      <c r="F145" s="821" t="s">
        <v>7</v>
      </c>
      <c r="G145" s="314">
        <v>4</v>
      </c>
      <c r="H145" s="739" t="s">
        <v>70</v>
      </c>
      <c r="I145" s="739">
        <v>244</v>
      </c>
      <c r="J145" s="740">
        <v>346</v>
      </c>
      <c r="K145" s="533" t="s">
        <v>643</v>
      </c>
      <c r="L145" s="1025">
        <v>7865</v>
      </c>
      <c r="M145" s="318"/>
      <c r="N145" s="318"/>
      <c r="O145" s="1052">
        <f t="shared" si="150"/>
        <v>7865</v>
      </c>
      <c r="P145" s="562"/>
      <c r="Q145" s="336"/>
      <c r="R145" s="562"/>
      <c r="S145" s="336"/>
      <c r="T145" s="562"/>
      <c r="U145" s="466"/>
      <c r="V145" s="597" t="s">
        <v>644</v>
      </c>
      <c r="W145" s="597" t="s">
        <v>805</v>
      </c>
      <c r="X145" s="597" t="s">
        <v>806</v>
      </c>
      <c r="Z145" s="336">
        <f t="shared" si="105"/>
        <v>0</v>
      </c>
      <c r="AA145" s="337">
        <f t="shared" si="105"/>
        <v>0</v>
      </c>
      <c r="AB145" s="338">
        <f t="shared" si="151"/>
        <v>0</v>
      </c>
      <c r="AC145" s="336">
        <f t="shared" si="106"/>
        <v>7865</v>
      </c>
      <c r="AD145" s="337">
        <f t="shared" si="106"/>
        <v>0</v>
      </c>
      <c r="AE145" s="338">
        <f t="shared" si="152"/>
        <v>7865</v>
      </c>
      <c r="AF145" s="336">
        <f t="shared" si="107"/>
        <v>0</v>
      </c>
      <c r="AG145" s="337">
        <f t="shared" si="107"/>
        <v>0</v>
      </c>
      <c r="AH145" s="338">
        <f t="shared" si="153"/>
        <v>0</v>
      </c>
      <c r="AI145" s="336">
        <f t="shared" si="108"/>
        <v>0</v>
      </c>
      <c r="AJ145" s="337">
        <f t="shared" si="108"/>
        <v>0</v>
      </c>
      <c r="AK145" s="338">
        <f t="shared" si="154"/>
        <v>0</v>
      </c>
      <c r="AL145" s="342"/>
      <c r="AM145" s="336">
        <f t="shared" si="109"/>
        <v>7865</v>
      </c>
      <c r="AN145" s="339">
        <f t="shared" si="109"/>
        <v>0</v>
      </c>
      <c r="AO145" s="340">
        <f t="shared" si="155"/>
        <v>7865</v>
      </c>
      <c r="AP145" s="336">
        <f t="shared" si="110"/>
        <v>7865</v>
      </c>
      <c r="AQ145" s="339">
        <f t="shared" si="110"/>
        <v>0</v>
      </c>
      <c r="AR145" s="340">
        <f t="shared" si="156"/>
        <v>7865</v>
      </c>
      <c r="AS145" s="341">
        <f t="shared" si="112"/>
        <v>7865</v>
      </c>
      <c r="AT145" s="339">
        <f t="shared" si="112"/>
        <v>0</v>
      </c>
      <c r="AU145" s="340">
        <f t="shared" si="157"/>
        <v>7865</v>
      </c>
      <c r="AV145" s="589">
        <f t="shared" si="158"/>
        <v>0</v>
      </c>
      <c r="AW145" s="343"/>
      <c r="AX145" s="1098"/>
      <c r="AY145" s="345"/>
      <c r="AZ145" s="1098"/>
      <c r="BA145" s="345"/>
      <c r="BB145" s="1120"/>
      <c r="BC145" s="1134"/>
      <c r="BD145" s="348"/>
      <c r="BE145" s="1135">
        <v>7865</v>
      </c>
      <c r="BF145" s="348"/>
      <c r="BG145" s="349"/>
      <c r="BH145" s="350"/>
      <c r="BI145" s="351"/>
      <c r="BJ145" s="352"/>
      <c r="BK145" s="337"/>
      <c r="BL145" s="352"/>
      <c r="BM145" s="337"/>
      <c r="BN145" s="353"/>
      <c r="BO145" s="354"/>
      <c r="BP145" s="355"/>
      <c r="BQ145" s="356"/>
      <c r="BR145" s="355"/>
      <c r="BS145" s="356"/>
      <c r="BT145" s="357"/>
    </row>
    <row r="146" spans="1:72" s="313" customFormat="1" ht="51">
      <c r="A146" s="287">
        <v>136</v>
      </c>
      <c r="B146" s="933"/>
      <c r="C146" s="840"/>
      <c r="D146" s="854" t="s">
        <v>807</v>
      </c>
      <c r="E146" s="839"/>
      <c r="F146" s="821" t="s">
        <v>7</v>
      </c>
      <c r="G146" s="314">
        <v>4</v>
      </c>
      <c r="H146" s="739" t="s">
        <v>70</v>
      </c>
      <c r="I146" s="739">
        <v>244</v>
      </c>
      <c r="J146" s="740">
        <v>346</v>
      </c>
      <c r="K146" s="533" t="s">
        <v>811</v>
      </c>
      <c r="L146" s="1025">
        <v>3830</v>
      </c>
      <c r="M146" s="318"/>
      <c r="N146" s="318"/>
      <c r="O146" s="1052">
        <f t="shared" si="150"/>
        <v>3830</v>
      </c>
      <c r="P146" s="570"/>
      <c r="Q146" s="336"/>
      <c r="R146" s="559"/>
      <c r="S146" s="336"/>
      <c r="T146" s="329"/>
      <c r="U146" s="335"/>
      <c r="V146" s="597" t="s">
        <v>570</v>
      </c>
      <c r="W146" s="597" t="s">
        <v>812</v>
      </c>
      <c r="X146" s="320"/>
      <c r="Z146" s="336">
        <f>AW146+AY146+BA146</f>
        <v>0</v>
      </c>
      <c r="AA146" s="337">
        <f>AX146+AZ146+BB146</f>
        <v>0</v>
      </c>
      <c r="AB146" s="338">
        <f>Z146-AA146</f>
        <v>0</v>
      </c>
      <c r="AC146" s="336">
        <f>BC146+BE146+BG146</f>
        <v>3830</v>
      </c>
      <c r="AD146" s="337">
        <f>BD146+BF146+BH146</f>
        <v>0</v>
      </c>
      <c r="AE146" s="338">
        <f>AC146-AD146</f>
        <v>3830</v>
      </c>
      <c r="AF146" s="336">
        <f>BI146+BK146+BM146</f>
        <v>0</v>
      </c>
      <c r="AG146" s="337">
        <f>BJ146+BL146+BN146</f>
        <v>0</v>
      </c>
      <c r="AH146" s="338">
        <f>AF146-AG146</f>
        <v>0</v>
      </c>
      <c r="AI146" s="336">
        <f>BO146+BQ146+BS146</f>
        <v>0</v>
      </c>
      <c r="AJ146" s="337">
        <f>BP146+BR146+BT146</f>
        <v>0</v>
      </c>
      <c r="AK146" s="338">
        <f>AI146-AJ146</f>
        <v>0</v>
      </c>
      <c r="AL146" s="342"/>
      <c r="AM146" s="336">
        <f>Z146+AC146</f>
        <v>3830</v>
      </c>
      <c r="AN146" s="339">
        <f>AA146+AD146</f>
        <v>0</v>
      </c>
      <c r="AO146" s="340">
        <f>AM146-AN146</f>
        <v>3830</v>
      </c>
      <c r="AP146" s="336">
        <f>Z146+AC146+AF146</f>
        <v>3830</v>
      </c>
      <c r="AQ146" s="339">
        <f>AA146+AD146+AG146</f>
        <v>0</v>
      </c>
      <c r="AR146" s="340">
        <f>AP146-AQ146</f>
        <v>3830</v>
      </c>
      <c r="AS146" s="341">
        <f>Z146+AC146+AF146+AI146</f>
        <v>3830</v>
      </c>
      <c r="AT146" s="339">
        <f>AA146+AD146+AG146+AJ146</f>
        <v>0</v>
      </c>
      <c r="AU146" s="340">
        <f>AS146-AT146</f>
        <v>3830</v>
      </c>
      <c r="AV146" s="1155">
        <f t="shared" si="158"/>
        <v>0</v>
      </c>
      <c r="AW146" s="343"/>
      <c r="AX146" s="1098"/>
      <c r="AY146" s="345"/>
      <c r="AZ146" s="1098"/>
      <c r="BA146" s="345"/>
      <c r="BB146" s="1120"/>
      <c r="BC146" s="347"/>
      <c r="BD146" s="348"/>
      <c r="BE146" s="1135">
        <v>3830</v>
      </c>
      <c r="BF146" s="348"/>
      <c r="BG146" s="349"/>
      <c r="BH146" s="350"/>
      <c r="BI146" s="351"/>
      <c r="BJ146" s="352"/>
      <c r="BK146" s="337"/>
      <c r="BL146" s="352"/>
      <c r="BM146" s="337"/>
      <c r="BN146" s="353"/>
      <c r="BO146" s="354"/>
      <c r="BP146" s="355"/>
      <c r="BQ146" s="356"/>
      <c r="BR146" s="355"/>
      <c r="BS146" s="356"/>
      <c r="BT146" s="357"/>
    </row>
    <row r="147" spans="1:72" s="313" customFormat="1" ht="25.5" outlineLevel="2">
      <c r="A147" s="287">
        <v>137</v>
      </c>
      <c r="B147" s="933"/>
      <c r="C147" s="840"/>
      <c r="D147" s="854" t="s">
        <v>807</v>
      </c>
      <c r="E147" s="839"/>
      <c r="F147" s="821" t="s">
        <v>7</v>
      </c>
      <c r="G147" s="314">
        <v>4</v>
      </c>
      <c r="H147" s="739" t="s">
        <v>70</v>
      </c>
      <c r="I147" s="739">
        <v>244</v>
      </c>
      <c r="J147" s="740">
        <v>346</v>
      </c>
      <c r="K147" s="533" t="s">
        <v>823</v>
      </c>
      <c r="L147" s="1025">
        <v>2100</v>
      </c>
      <c r="M147" s="318"/>
      <c r="N147" s="318"/>
      <c r="O147" s="1052">
        <f t="shared" ref="O147" si="159">L147+N147</f>
        <v>2100</v>
      </c>
      <c r="P147" s="562"/>
      <c r="Q147" s="336"/>
      <c r="R147" s="562"/>
      <c r="S147" s="336"/>
      <c r="T147" s="562"/>
      <c r="U147" s="466"/>
      <c r="V147" s="597" t="s">
        <v>483</v>
      </c>
      <c r="W147" s="597" t="s">
        <v>824</v>
      </c>
      <c r="X147" s="320"/>
      <c r="Z147" s="336">
        <f t="shared" ref="Z147" si="160">AW147+AY147+BA147</f>
        <v>0</v>
      </c>
      <c r="AA147" s="337">
        <f t="shared" ref="AA147" si="161">AX147+AZ147+BB147</f>
        <v>0</v>
      </c>
      <c r="AB147" s="338">
        <f t="shared" ref="AB147" si="162">Z147-AA147</f>
        <v>0</v>
      </c>
      <c r="AC147" s="336">
        <f t="shared" ref="AC147" si="163">BC147+BE147+BG147</f>
        <v>2100</v>
      </c>
      <c r="AD147" s="337">
        <f t="shared" ref="AD147" si="164">BD147+BF147+BH147</f>
        <v>0</v>
      </c>
      <c r="AE147" s="338">
        <f t="shared" ref="AE147" si="165">AC147-AD147</f>
        <v>2100</v>
      </c>
      <c r="AF147" s="336">
        <f t="shared" ref="AF147" si="166">BI147+BK147+BM147</f>
        <v>0</v>
      </c>
      <c r="AG147" s="337">
        <f t="shared" ref="AG147" si="167">BJ147+BL147+BN147</f>
        <v>0</v>
      </c>
      <c r="AH147" s="338">
        <f t="shared" ref="AH147" si="168">AF147-AG147</f>
        <v>0</v>
      </c>
      <c r="AI147" s="336">
        <f t="shared" ref="AI147" si="169">BO147+BQ147+BS147</f>
        <v>0</v>
      </c>
      <c r="AJ147" s="337">
        <f t="shared" ref="AJ147" si="170">BP147+BR147+BT147</f>
        <v>0</v>
      </c>
      <c r="AK147" s="338">
        <f t="shared" ref="AK147" si="171">AI147-AJ147</f>
        <v>0</v>
      </c>
      <c r="AL147" s="342"/>
      <c r="AM147" s="336">
        <f t="shared" ref="AM147" si="172">Z147+AC147</f>
        <v>2100</v>
      </c>
      <c r="AN147" s="339">
        <f t="shared" ref="AN147" si="173">AA147+AD147</f>
        <v>0</v>
      </c>
      <c r="AO147" s="340">
        <f t="shared" ref="AO147" si="174">AM147-AN147</f>
        <v>2100</v>
      </c>
      <c r="AP147" s="336">
        <f t="shared" ref="AP147" si="175">Z147+AC147+AF147</f>
        <v>2100</v>
      </c>
      <c r="AQ147" s="339">
        <f t="shared" ref="AQ147" si="176">AA147+AD147+AG147</f>
        <v>0</v>
      </c>
      <c r="AR147" s="340">
        <f t="shared" ref="AR147" si="177">AP147-AQ147</f>
        <v>2100</v>
      </c>
      <c r="AS147" s="341">
        <f t="shared" ref="AS147" si="178">Z147+AC147+AF147+AI147</f>
        <v>2100</v>
      </c>
      <c r="AT147" s="339">
        <f t="shared" ref="AT147" si="179">AA147+AD147+AG147+AJ147</f>
        <v>0</v>
      </c>
      <c r="AU147" s="340">
        <f t="shared" ref="AU147" si="180">AS147-AT147</f>
        <v>2100</v>
      </c>
      <c r="AV147" s="589">
        <f t="shared" ref="AV147" si="181">L147-AS147</f>
        <v>0</v>
      </c>
      <c r="AW147" s="343"/>
      <c r="AX147" s="1098"/>
      <c r="AY147" s="345"/>
      <c r="AZ147" s="1098"/>
      <c r="BA147" s="345"/>
      <c r="BB147" s="1120"/>
      <c r="BC147" s="347"/>
      <c r="BD147" s="348"/>
      <c r="BE147" s="1135">
        <v>2100</v>
      </c>
      <c r="BF147" s="348"/>
      <c r="BG147" s="349"/>
      <c r="BH147" s="350"/>
      <c r="BI147" s="351"/>
      <c r="BJ147" s="352"/>
      <c r="BK147" s="337"/>
      <c r="BL147" s="352"/>
      <c r="BM147" s="337"/>
      <c r="BN147" s="353"/>
      <c r="BO147" s="354"/>
      <c r="BP147" s="355"/>
      <c r="BQ147" s="356"/>
      <c r="BR147" s="355"/>
      <c r="BS147" s="356"/>
      <c r="BT147" s="357"/>
    </row>
    <row r="148" spans="1:72" s="313" customFormat="1" ht="63.75" outlineLevel="2">
      <c r="A148" s="287">
        <v>138</v>
      </c>
      <c r="B148" s="933"/>
      <c r="C148" s="840"/>
      <c r="D148" s="854" t="s">
        <v>807</v>
      </c>
      <c r="E148" s="839"/>
      <c r="F148" s="821" t="s">
        <v>7</v>
      </c>
      <c r="G148" s="314">
        <v>4</v>
      </c>
      <c r="H148" s="739" t="s">
        <v>70</v>
      </c>
      <c r="I148" s="739">
        <v>244</v>
      </c>
      <c r="J148" s="740">
        <v>346</v>
      </c>
      <c r="K148" s="533" t="s">
        <v>825</v>
      </c>
      <c r="L148" s="1025">
        <v>798</v>
      </c>
      <c r="M148" s="318"/>
      <c r="N148" s="318"/>
      <c r="O148" s="1052">
        <f t="shared" ref="O148" si="182">L148+N148</f>
        <v>798</v>
      </c>
      <c r="P148" s="562"/>
      <c r="Q148" s="336"/>
      <c r="R148" s="562"/>
      <c r="S148" s="336"/>
      <c r="T148" s="562"/>
      <c r="U148" s="466"/>
      <c r="V148" s="597" t="s">
        <v>502</v>
      </c>
      <c r="W148" s="597" t="s">
        <v>826</v>
      </c>
      <c r="X148" s="320"/>
      <c r="Z148" s="336">
        <f t="shared" ref="Z148" si="183">AW148+AY148+BA148</f>
        <v>0</v>
      </c>
      <c r="AA148" s="337">
        <f t="shared" ref="AA148" si="184">AX148+AZ148+BB148</f>
        <v>0</v>
      </c>
      <c r="AB148" s="338">
        <f t="shared" ref="AB148" si="185">Z148-AA148</f>
        <v>0</v>
      </c>
      <c r="AC148" s="336">
        <f t="shared" ref="AC148" si="186">BC148+BE148+BG148</f>
        <v>798</v>
      </c>
      <c r="AD148" s="337">
        <f t="shared" ref="AD148" si="187">BD148+BF148+BH148</f>
        <v>0</v>
      </c>
      <c r="AE148" s="338">
        <f t="shared" ref="AE148" si="188">AC148-AD148</f>
        <v>798</v>
      </c>
      <c r="AF148" s="336">
        <f t="shared" ref="AF148" si="189">BI148+BK148+BM148</f>
        <v>0</v>
      </c>
      <c r="AG148" s="337">
        <f t="shared" ref="AG148" si="190">BJ148+BL148+BN148</f>
        <v>0</v>
      </c>
      <c r="AH148" s="338">
        <f t="shared" ref="AH148" si="191">AF148-AG148</f>
        <v>0</v>
      </c>
      <c r="AI148" s="336">
        <f t="shared" ref="AI148" si="192">BO148+BQ148+BS148</f>
        <v>0</v>
      </c>
      <c r="AJ148" s="337">
        <f t="shared" ref="AJ148" si="193">BP148+BR148+BT148</f>
        <v>0</v>
      </c>
      <c r="AK148" s="338">
        <f t="shared" ref="AK148" si="194">AI148-AJ148</f>
        <v>0</v>
      </c>
      <c r="AL148" s="342"/>
      <c r="AM148" s="336">
        <f t="shared" ref="AM148" si="195">Z148+AC148</f>
        <v>798</v>
      </c>
      <c r="AN148" s="339">
        <f t="shared" ref="AN148" si="196">AA148+AD148</f>
        <v>0</v>
      </c>
      <c r="AO148" s="340">
        <f t="shared" ref="AO148" si="197">AM148-AN148</f>
        <v>798</v>
      </c>
      <c r="AP148" s="336">
        <f t="shared" ref="AP148" si="198">Z148+AC148+AF148</f>
        <v>798</v>
      </c>
      <c r="AQ148" s="339">
        <f t="shared" ref="AQ148" si="199">AA148+AD148+AG148</f>
        <v>0</v>
      </c>
      <c r="AR148" s="340">
        <f t="shared" ref="AR148" si="200">AP148-AQ148</f>
        <v>798</v>
      </c>
      <c r="AS148" s="341">
        <f t="shared" ref="AS148" si="201">Z148+AC148+AF148+AI148</f>
        <v>798</v>
      </c>
      <c r="AT148" s="339">
        <f t="shared" ref="AT148" si="202">AA148+AD148+AG148+AJ148</f>
        <v>0</v>
      </c>
      <c r="AU148" s="340">
        <f t="shared" ref="AU148" si="203">AS148-AT148</f>
        <v>798</v>
      </c>
      <c r="AV148" s="589">
        <f t="shared" ref="AV148" si="204">L148-AS148</f>
        <v>0</v>
      </c>
      <c r="AW148" s="343"/>
      <c r="AX148" s="1098"/>
      <c r="AY148" s="345"/>
      <c r="AZ148" s="1098"/>
      <c r="BA148" s="345"/>
      <c r="BB148" s="1120"/>
      <c r="BC148" s="347"/>
      <c r="BD148" s="348"/>
      <c r="BE148" s="1135">
        <v>798</v>
      </c>
      <c r="BF148" s="348"/>
      <c r="BG148" s="349"/>
      <c r="BH148" s="350"/>
      <c r="BI148" s="351"/>
      <c r="BJ148" s="352"/>
      <c r="BK148" s="337"/>
      <c r="BL148" s="352"/>
      <c r="BM148" s="337"/>
      <c r="BN148" s="353"/>
      <c r="BO148" s="354"/>
      <c r="BP148" s="355"/>
      <c r="BQ148" s="356"/>
      <c r="BR148" s="355"/>
      <c r="BS148" s="356"/>
      <c r="BT148" s="357"/>
    </row>
    <row r="149" spans="1:72" s="430" customFormat="1" ht="25.5" customHeight="1" outlineLevel="2">
      <c r="A149" s="287">
        <v>139</v>
      </c>
      <c r="B149" s="933"/>
      <c r="C149" s="743"/>
      <c r="D149" s="856" t="s">
        <v>807</v>
      </c>
      <c r="E149" s="857"/>
      <c r="F149" s="827" t="s">
        <v>7</v>
      </c>
      <c r="G149" s="431">
        <v>4</v>
      </c>
      <c r="H149" s="474" t="s">
        <v>70</v>
      </c>
      <c r="I149" s="743">
        <v>244</v>
      </c>
      <c r="J149" s="744">
        <v>346</v>
      </c>
      <c r="K149" s="536" t="s">
        <v>284</v>
      </c>
      <c r="L149" s="1030">
        <v>0</v>
      </c>
      <c r="M149" s="434"/>
      <c r="N149" s="434"/>
      <c r="O149" s="1064">
        <f>L149+N149</f>
        <v>0</v>
      </c>
      <c r="P149" s="563"/>
      <c r="Q149" s="437"/>
      <c r="R149" s="563"/>
      <c r="S149" s="437"/>
      <c r="T149" s="563"/>
      <c r="U149" s="467"/>
      <c r="V149" s="436"/>
      <c r="W149" s="436"/>
      <c r="X149" s="436"/>
      <c r="Z149" s="437">
        <f t="shared" si="105"/>
        <v>0</v>
      </c>
      <c r="AA149" s="438">
        <f t="shared" si="105"/>
        <v>0</v>
      </c>
      <c r="AB149" s="439">
        <f>Z149-AA149</f>
        <v>0</v>
      </c>
      <c r="AC149" s="437">
        <f t="shared" si="106"/>
        <v>0</v>
      </c>
      <c r="AD149" s="438">
        <f t="shared" si="106"/>
        <v>0</v>
      </c>
      <c r="AE149" s="439">
        <f>AC149-AD149</f>
        <v>0</v>
      </c>
      <c r="AF149" s="437">
        <f t="shared" si="107"/>
        <v>0</v>
      </c>
      <c r="AG149" s="438">
        <f t="shared" si="107"/>
        <v>0</v>
      </c>
      <c r="AH149" s="439">
        <f>AF149-AG149</f>
        <v>0</v>
      </c>
      <c r="AI149" s="437">
        <f t="shared" si="108"/>
        <v>0</v>
      </c>
      <c r="AJ149" s="438">
        <f t="shared" si="108"/>
        <v>0</v>
      </c>
      <c r="AK149" s="439">
        <f>AI149-AJ149</f>
        <v>0</v>
      </c>
      <c r="AL149" s="440"/>
      <c r="AM149" s="437">
        <f t="shared" si="109"/>
        <v>0</v>
      </c>
      <c r="AN149" s="441">
        <f t="shared" si="109"/>
        <v>0</v>
      </c>
      <c r="AO149" s="442">
        <f>AM149-AN149</f>
        <v>0</v>
      </c>
      <c r="AP149" s="437">
        <f t="shared" si="110"/>
        <v>0</v>
      </c>
      <c r="AQ149" s="441">
        <f t="shared" si="110"/>
        <v>0</v>
      </c>
      <c r="AR149" s="442">
        <f>AP149-AQ149</f>
        <v>0</v>
      </c>
      <c r="AS149" s="443">
        <f t="shared" si="112"/>
        <v>0</v>
      </c>
      <c r="AT149" s="441">
        <f t="shared" si="112"/>
        <v>0</v>
      </c>
      <c r="AU149" s="442">
        <f>AS149-AT149</f>
        <v>0</v>
      </c>
      <c r="AV149" s="601">
        <f>L149-AS149</f>
        <v>0</v>
      </c>
      <c r="AW149" s="444"/>
      <c r="AX149" s="1111"/>
      <c r="AY149" s="446"/>
      <c r="AZ149" s="1111"/>
      <c r="BA149" s="446"/>
      <c r="BB149" s="1129"/>
      <c r="BC149" s="448"/>
      <c r="BD149" s="449"/>
      <c r="BE149" s="450"/>
      <c r="BF149" s="449"/>
      <c r="BG149" s="450"/>
      <c r="BH149" s="451"/>
      <c r="BI149" s="452"/>
      <c r="BJ149" s="453"/>
      <c r="BK149" s="438"/>
      <c r="BL149" s="453"/>
      <c r="BM149" s="438"/>
      <c r="BN149" s="454"/>
      <c r="BO149" s="455"/>
      <c r="BP149" s="456"/>
      <c r="BQ149" s="457"/>
      <c r="BR149" s="456"/>
      <c r="BS149" s="457"/>
      <c r="BT149" s="458"/>
    </row>
    <row r="150" spans="1:72" s="459" customFormat="1" ht="66.75" customHeight="1" outlineLevel="1">
      <c r="A150" s="287">
        <v>140</v>
      </c>
      <c r="B150" s="933"/>
      <c r="C150" s="850" t="s">
        <v>378</v>
      </c>
      <c r="D150" s="854" t="s">
        <v>272</v>
      </c>
      <c r="E150" s="855"/>
      <c r="F150" s="826" t="s">
        <v>7</v>
      </c>
      <c r="G150" s="462">
        <v>4</v>
      </c>
      <c r="H150" s="741" t="s">
        <v>70</v>
      </c>
      <c r="I150" s="741">
        <v>244</v>
      </c>
      <c r="J150" s="742">
        <v>346</v>
      </c>
      <c r="K150" s="535" t="s">
        <v>278</v>
      </c>
      <c r="L150" s="1028">
        <v>27459.5</v>
      </c>
      <c r="M150" s="352"/>
      <c r="N150" s="352"/>
      <c r="O150" s="1062">
        <f t="shared" si="101"/>
        <v>27459.5</v>
      </c>
      <c r="P150" s="561"/>
      <c r="Q150" s="464"/>
      <c r="R150" s="561"/>
      <c r="S150" s="464"/>
      <c r="T150" s="561"/>
      <c r="U150" s="393"/>
      <c r="V150" s="394"/>
      <c r="W150" s="394"/>
      <c r="X150" s="394"/>
      <c r="Y150" s="392"/>
      <c r="Z150" s="395">
        <f t="shared" si="105"/>
        <v>0</v>
      </c>
      <c r="AA150" s="396">
        <f t="shared" si="105"/>
        <v>0</v>
      </c>
      <c r="AB150" s="397">
        <f t="shared" si="92"/>
        <v>0</v>
      </c>
      <c r="AC150" s="395">
        <f t="shared" si="106"/>
        <v>11574</v>
      </c>
      <c r="AD150" s="396">
        <f t="shared" si="106"/>
        <v>0</v>
      </c>
      <c r="AE150" s="397">
        <f t="shared" si="93"/>
        <v>11574</v>
      </c>
      <c r="AF150" s="395">
        <f t="shared" si="107"/>
        <v>27459.5</v>
      </c>
      <c r="AG150" s="396">
        <f t="shared" si="107"/>
        <v>0</v>
      </c>
      <c r="AH150" s="397">
        <f t="shared" si="94"/>
        <v>27459.5</v>
      </c>
      <c r="AI150" s="395">
        <f t="shared" si="108"/>
        <v>0</v>
      </c>
      <c r="AJ150" s="396">
        <f t="shared" si="108"/>
        <v>0</v>
      </c>
      <c r="AK150" s="397">
        <f t="shared" si="95"/>
        <v>0</v>
      </c>
      <c r="AL150" s="398"/>
      <c r="AM150" s="464">
        <f t="shared" si="109"/>
        <v>11574</v>
      </c>
      <c r="AN150" s="352">
        <f t="shared" si="109"/>
        <v>0</v>
      </c>
      <c r="AO150" s="465">
        <f t="shared" si="96"/>
        <v>11574</v>
      </c>
      <c r="AP150" s="464">
        <f t="shared" si="110"/>
        <v>39033.5</v>
      </c>
      <c r="AQ150" s="352">
        <f t="shared" si="110"/>
        <v>0</v>
      </c>
      <c r="AR150" s="465">
        <f t="shared" si="97"/>
        <v>39033.5</v>
      </c>
      <c r="AS150" s="464">
        <f t="shared" si="112"/>
        <v>39033.5</v>
      </c>
      <c r="AT150" s="352">
        <f t="shared" si="112"/>
        <v>0</v>
      </c>
      <c r="AU150" s="465">
        <f t="shared" si="98"/>
        <v>39033.5</v>
      </c>
      <c r="AV150" s="600">
        <f t="shared" si="99"/>
        <v>-11574</v>
      </c>
      <c r="AW150" s="464">
        <f t="shared" ref="AW150:BT150" si="205">SUM(AW151:AW154)</f>
        <v>0</v>
      </c>
      <c r="AX150" s="1110">
        <f t="shared" si="205"/>
        <v>0</v>
      </c>
      <c r="AY150" s="352">
        <f t="shared" si="205"/>
        <v>0</v>
      </c>
      <c r="AZ150" s="1110">
        <f t="shared" si="205"/>
        <v>0</v>
      </c>
      <c r="BA150" s="352">
        <f t="shared" si="205"/>
        <v>0</v>
      </c>
      <c r="BB150" s="1128">
        <f t="shared" si="205"/>
        <v>0</v>
      </c>
      <c r="BC150" s="464">
        <f t="shared" si="205"/>
        <v>0</v>
      </c>
      <c r="BD150" s="352">
        <f t="shared" si="205"/>
        <v>0</v>
      </c>
      <c r="BE150" s="352">
        <f t="shared" si="205"/>
        <v>0</v>
      </c>
      <c r="BF150" s="352">
        <f t="shared" si="205"/>
        <v>0</v>
      </c>
      <c r="BG150" s="352">
        <f t="shared" si="205"/>
        <v>11574</v>
      </c>
      <c r="BH150" s="353">
        <f t="shared" si="205"/>
        <v>0</v>
      </c>
      <c r="BI150" s="464">
        <f t="shared" si="205"/>
        <v>0</v>
      </c>
      <c r="BJ150" s="352">
        <f t="shared" si="205"/>
        <v>0</v>
      </c>
      <c r="BK150" s="352">
        <f t="shared" si="205"/>
        <v>10000</v>
      </c>
      <c r="BL150" s="352">
        <f t="shared" si="205"/>
        <v>0</v>
      </c>
      <c r="BM150" s="352">
        <f t="shared" si="205"/>
        <v>17459.5</v>
      </c>
      <c r="BN150" s="353">
        <f t="shared" si="205"/>
        <v>0</v>
      </c>
      <c r="BO150" s="464">
        <f t="shared" si="205"/>
        <v>0</v>
      </c>
      <c r="BP150" s="352">
        <f t="shared" si="205"/>
        <v>0</v>
      </c>
      <c r="BQ150" s="352">
        <f t="shared" si="205"/>
        <v>0</v>
      </c>
      <c r="BR150" s="352">
        <f t="shared" si="205"/>
        <v>0</v>
      </c>
      <c r="BS150" s="352">
        <f t="shared" si="205"/>
        <v>0</v>
      </c>
      <c r="BT150" s="465">
        <f t="shared" si="205"/>
        <v>0</v>
      </c>
    </row>
    <row r="151" spans="1:72" s="313" customFormat="1" ht="25.5" customHeight="1" outlineLevel="2">
      <c r="A151" s="287">
        <v>141</v>
      </c>
      <c r="B151" s="933"/>
      <c r="C151" s="840"/>
      <c r="D151" s="841" t="s">
        <v>272</v>
      </c>
      <c r="E151" s="839"/>
      <c r="F151" s="821" t="s">
        <v>7</v>
      </c>
      <c r="G151" s="314">
        <v>4</v>
      </c>
      <c r="H151" s="739" t="s">
        <v>70</v>
      </c>
      <c r="I151" s="739">
        <v>244</v>
      </c>
      <c r="J151" s="740">
        <v>346</v>
      </c>
      <c r="K151" s="1005" t="s">
        <v>833</v>
      </c>
      <c r="L151" s="1031">
        <f>27459.5-SUM(L152:L154)</f>
        <v>15885.5</v>
      </c>
      <c r="M151" s="318"/>
      <c r="N151" s="318"/>
      <c r="O151" s="1055">
        <f t="shared" si="101"/>
        <v>15885.5</v>
      </c>
      <c r="P151" s="562"/>
      <c r="Q151" s="336"/>
      <c r="R151" s="562"/>
      <c r="S151" s="336"/>
      <c r="T151" s="562"/>
      <c r="U151" s="466"/>
      <c r="V151" s="320"/>
      <c r="W151" s="320"/>
      <c r="X151" s="320"/>
      <c r="Z151" s="336">
        <f t="shared" si="105"/>
        <v>0</v>
      </c>
      <c r="AA151" s="337">
        <f t="shared" si="105"/>
        <v>0</v>
      </c>
      <c r="AB151" s="338">
        <f t="shared" si="92"/>
        <v>0</v>
      </c>
      <c r="AC151" s="336">
        <f t="shared" si="106"/>
        <v>0</v>
      </c>
      <c r="AD151" s="337">
        <f t="shared" si="106"/>
        <v>0</v>
      </c>
      <c r="AE151" s="338">
        <f t="shared" si="93"/>
        <v>0</v>
      </c>
      <c r="AF151" s="336">
        <f t="shared" si="107"/>
        <v>27459.5</v>
      </c>
      <c r="AG151" s="337">
        <f t="shared" si="107"/>
        <v>0</v>
      </c>
      <c r="AH151" s="338">
        <f t="shared" si="94"/>
        <v>27459.5</v>
      </c>
      <c r="AI151" s="336">
        <f t="shared" si="108"/>
        <v>0</v>
      </c>
      <c r="AJ151" s="337">
        <f t="shared" si="108"/>
        <v>0</v>
      </c>
      <c r="AK151" s="338">
        <f t="shared" si="95"/>
        <v>0</v>
      </c>
      <c r="AL151" s="342"/>
      <c r="AM151" s="336">
        <f t="shared" si="109"/>
        <v>0</v>
      </c>
      <c r="AN151" s="339">
        <f t="shared" si="109"/>
        <v>0</v>
      </c>
      <c r="AO151" s="340">
        <f t="shared" si="96"/>
        <v>0</v>
      </c>
      <c r="AP151" s="336">
        <f t="shared" si="110"/>
        <v>27459.5</v>
      </c>
      <c r="AQ151" s="339">
        <f t="shared" si="110"/>
        <v>0</v>
      </c>
      <c r="AR151" s="340">
        <f t="shared" si="97"/>
        <v>27459.5</v>
      </c>
      <c r="AS151" s="341">
        <f t="shared" si="112"/>
        <v>27459.5</v>
      </c>
      <c r="AT151" s="339">
        <f t="shared" si="112"/>
        <v>0</v>
      </c>
      <c r="AU151" s="340">
        <f t="shared" si="98"/>
        <v>27459.5</v>
      </c>
      <c r="AV151" s="589">
        <f t="shared" si="99"/>
        <v>-11574</v>
      </c>
      <c r="AW151" s="343"/>
      <c r="AX151" s="1098"/>
      <c r="AY151" s="345"/>
      <c r="AZ151" s="1098"/>
      <c r="BA151" s="345"/>
      <c r="BB151" s="1120"/>
      <c r="BC151" s="347"/>
      <c r="BD151" s="348"/>
      <c r="BE151" s="349"/>
      <c r="BF151" s="348"/>
      <c r="BG151" s="349"/>
      <c r="BH151" s="350"/>
      <c r="BI151" s="351"/>
      <c r="BJ151" s="352"/>
      <c r="BK151" s="337">
        <v>10000</v>
      </c>
      <c r="BL151" s="352"/>
      <c r="BM151" s="337">
        <v>17459.5</v>
      </c>
      <c r="BN151" s="353"/>
      <c r="BO151" s="354"/>
      <c r="BP151" s="355"/>
      <c r="BQ151" s="356"/>
      <c r="BR151" s="355"/>
      <c r="BS151" s="356"/>
      <c r="BT151" s="357"/>
    </row>
    <row r="152" spans="1:72" s="313" customFormat="1" ht="25.5" customHeight="1" outlineLevel="2">
      <c r="A152" s="287">
        <v>142</v>
      </c>
      <c r="B152" s="933"/>
      <c r="C152" s="840"/>
      <c r="D152" s="841" t="s">
        <v>272</v>
      </c>
      <c r="E152" s="839"/>
      <c r="F152" s="821" t="s">
        <v>7</v>
      </c>
      <c r="G152" s="314">
        <v>4</v>
      </c>
      <c r="H152" s="739" t="s">
        <v>70</v>
      </c>
      <c r="I152" s="739">
        <v>244</v>
      </c>
      <c r="J152" s="740">
        <v>346</v>
      </c>
      <c r="K152" s="533" t="s">
        <v>834</v>
      </c>
      <c r="L152" s="1025">
        <v>9320</v>
      </c>
      <c r="M152" s="318"/>
      <c r="N152" s="318"/>
      <c r="O152" s="1052">
        <f t="shared" ref="O152" si="206">L152+N152</f>
        <v>9320</v>
      </c>
      <c r="P152" s="562"/>
      <c r="Q152" s="336"/>
      <c r="R152" s="562"/>
      <c r="S152" s="336"/>
      <c r="T152" s="562"/>
      <c r="U152" s="466"/>
      <c r="V152" s="597" t="s">
        <v>555</v>
      </c>
      <c r="W152" s="597" t="s">
        <v>854</v>
      </c>
      <c r="X152" s="597" t="s">
        <v>855</v>
      </c>
      <c r="Z152" s="336">
        <f t="shared" ref="Z152" si="207">AW152+AY152+BA152</f>
        <v>0</v>
      </c>
      <c r="AA152" s="337">
        <f t="shared" ref="AA152" si="208">AX152+AZ152+BB152</f>
        <v>0</v>
      </c>
      <c r="AB152" s="338">
        <f t="shared" ref="AB152" si="209">Z152-AA152</f>
        <v>0</v>
      </c>
      <c r="AC152" s="336">
        <f t="shared" ref="AC152" si="210">BC152+BE152+BG152</f>
        <v>9320</v>
      </c>
      <c r="AD152" s="337">
        <f t="shared" ref="AD152" si="211">BD152+BF152+BH152</f>
        <v>0</v>
      </c>
      <c r="AE152" s="338">
        <f t="shared" ref="AE152" si="212">AC152-AD152</f>
        <v>9320</v>
      </c>
      <c r="AF152" s="336">
        <f t="shared" ref="AF152" si="213">BI152+BK152+BM152</f>
        <v>0</v>
      </c>
      <c r="AG152" s="337">
        <f t="shared" ref="AG152" si="214">BJ152+BL152+BN152</f>
        <v>0</v>
      </c>
      <c r="AH152" s="338">
        <f t="shared" ref="AH152" si="215">AF152-AG152</f>
        <v>0</v>
      </c>
      <c r="AI152" s="336">
        <f t="shared" ref="AI152" si="216">BO152+BQ152+BS152</f>
        <v>0</v>
      </c>
      <c r="AJ152" s="337">
        <f t="shared" ref="AJ152" si="217">BP152+BR152+BT152</f>
        <v>0</v>
      </c>
      <c r="AK152" s="338">
        <f t="shared" ref="AK152" si="218">AI152-AJ152</f>
        <v>0</v>
      </c>
      <c r="AL152" s="342"/>
      <c r="AM152" s="336">
        <f t="shared" ref="AM152" si="219">Z152+AC152</f>
        <v>9320</v>
      </c>
      <c r="AN152" s="339">
        <f t="shared" ref="AN152" si="220">AA152+AD152</f>
        <v>0</v>
      </c>
      <c r="AO152" s="340">
        <f t="shared" ref="AO152" si="221">AM152-AN152</f>
        <v>9320</v>
      </c>
      <c r="AP152" s="336">
        <f t="shared" ref="AP152" si="222">Z152+AC152+AF152</f>
        <v>9320</v>
      </c>
      <c r="AQ152" s="339">
        <f t="shared" ref="AQ152" si="223">AA152+AD152+AG152</f>
        <v>0</v>
      </c>
      <c r="AR152" s="340">
        <f t="shared" ref="AR152" si="224">AP152-AQ152</f>
        <v>9320</v>
      </c>
      <c r="AS152" s="341">
        <f t="shared" ref="AS152" si="225">Z152+AC152+AF152+AI152</f>
        <v>9320</v>
      </c>
      <c r="AT152" s="339">
        <f t="shared" ref="AT152" si="226">AA152+AD152+AG152+AJ152</f>
        <v>0</v>
      </c>
      <c r="AU152" s="340">
        <f t="shared" ref="AU152" si="227">AS152-AT152</f>
        <v>9320</v>
      </c>
      <c r="AV152" s="589">
        <f t="shared" ref="AV152" si="228">L152-AS152</f>
        <v>0</v>
      </c>
      <c r="AW152" s="343"/>
      <c r="AX152" s="1098"/>
      <c r="AY152" s="345"/>
      <c r="AZ152" s="1098"/>
      <c r="BA152" s="345"/>
      <c r="BB152" s="1120"/>
      <c r="BC152" s="347"/>
      <c r="BD152" s="348"/>
      <c r="BE152" s="349"/>
      <c r="BF152" s="348"/>
      <c r="BG152" s="1135">
        <v>9320</v>
      </c>
      <c r="BH152" s="350"/>
      <c r="BI152" s="351"/>
      <c r="BJ152" s="352"/>
      <c r="BK152" s="337"/>
      <c r="BL152" s="352"/>
      <c r="BM152" s="337"/>
      <c r="BN152" s="353"/>
      <c r="BO152" s="354"/>
      <c r="BP152" s="355"/>
      <c r="BQ152" s="356"/>
      <c r="BR152" s="355"/>
      <c r="BS152" s="356"/>
      <c r="BT152" s="357"/>
    </row>
    <row r="153" spans="1:72" s="313" customFormat="1" ht="25.5" customHeight="1" outlineLevel="2">
      <c r="A153" s="1192">
        <v>142.1</v>
      </c>
      <c r="B153" s="933"/>
      <c r="C153" s="840"/>
      <c r="D153" s="841" t="s">
        <v>272</v>
      </c>
      <c r="E153" s="839"/>
      <c r="F153" s="821" t="s">
        <v>7</v>
      </c>
      <c r="G153" s="314">
        <v>4</v>
      </c>
      <c r="H153" s="739" t="s">
        <v>70</v>
      </c>
      <c r="I153" s="739">
        <v>244</v>
      </c>
      <c r="J153" s="740">
        <v>346</v>
      </c>
      <c r="K153" s="533" t="s">
        <v>823</v>
      </c>
      <c r="L153" s="1025">
        <v>2254</v>
      </c>
      <c r="M153" s="318"/>
      <c r="N153" s="318"/>
      <c r="O153" s="1052">
        <f t="shared" ref="O153" si="229">L153+N153</f>
        <v>2254</v>
      </c>
      <c r="P153" s="562"/>
      <c r="Q153" s="336"/>
      <c r="R153" s="562"/>
      <c r="S153" s="336"/>
      <c r="T153" s="562"/>
      <c r="U153" s="466"/>
      <c r="V153" s="597" t="s">
        <v>483</v>
      </c>
      <c r="W153" s="597" t="s">
        <v>869</v>
      </c>
      <c r="X153" s="320"/>
      <c r="Z153" s="336">
        <f t="shared" ref="Z153" si="230">AW153+AY153+BA153</f>
        <v>0</v>
      </c>
      <c r="AA153" s="337">
        <f t="shared" ref="AA153" si="231">AX153+AZ153+BB153</f>
        <v>0</v>
      </c>
      <c r="AB153" s="338">
        <f t="shared" ref="AB153" si="232">Z153-AA153</f>
        <v>0</v>
      </c>
      <c r="AC153" s="336">
        <f t="shared" ref="AC153" si="233">BC153+BE153+BG153</f>
        <v>2254</v>
      </c>
      <c r="AD153" s="337">
        <f t="shared" ref="AD153" si="234">BD153+BF153+BH153</f>
        <v>0</v>
      </c>
      <c r="AE153" s="338">
        <f t="shared" ref="AE153" si="235">AC153-AD153</f>
        <v>2254</v>
      </c>
      <c r="AF153" s="336">
        <f t="shared" ref="AF153" si="236">BI153+BK153+BM153</f>
        <v>0</v>
      </c>
      <c r="AG153" s="337">
        <f t="shared" ref="AG153" si="237">BJ153+BL153+BN153</f>
        <v>0</v>
      </c>
      <c r="AH153" s="338">
        <f t="shared" ref="AH153" si="238">AF153-AG153</f>
        <v>0</v>
      </c>
      <c r="AI153" s="336">
        <f t="shared" ref="AI153" si="239">BO153+BQ153+BS153</f>
        <v>0</v>
      </c>
      <c r="AJ153" s="337">
        <f t="shared" ref="AJ153" si="240">BP153+BR153+BT153</f>
        <v>0</v>
      </c>
      <c r="AK153" s="338">
        <f t="shared" ref="AK153" si="241">AI153-AJ153</f>
        <v>0</v>
      </c>
      <c r="AL153" s="342"/>
      <c r="AM153" s="336">
        <f t="shared" ref="AM153" si="242">Z153+AC153</f>
        <v>2254</v>
      </c>
      <c r="AN153" s="339">
        <f t="shared" ref="AN153" si="243">AA153+AD153</f>
        <v>0</v>
      </c>
      <c r="AO153" s="340">
        <f t="shared" ref="AO153" si="244">AM153-AN153</f>
        <v>2254</v>
      </c>
      <c r="AP153" s="336">
        <f t="shared" ref="AP153" si="245">Z153+AC153+AF153</f>
        <v>2254</v>
      </c>
      <c r="AQ153" s="339">
        <f t="shared" ref="AQ153" si="246">AA153+AD153+AG153</f>
        <v>0</v>
      </c>
      <c r="AR153" s="340">
        <f t="shared" ref="AR153" si="247">AP153-AQ153</f>
        <v>2254</v>
      </c>
      <c r="AS153" s="341">
        <f t="shared" ref="AS153" si="248">Z153+AC153+AF153+AI153</f>
        <v>2254</v>
      </c>
      <c r="AT153" s="339">
        <f t="shared" ref="AT153" si="249">AA153+AD153+AG153+AJ153</f>
        <v>0</v>
      </c>
      <c r="AU153" s="340">
        <f t="shared" ref="AU153" si="250">AS153-AT153</f>
        <v>2254</v>
      </c>
      <c r="AV153" s="589">
        <f t="shared" ref="AV153" si="251">L153-AS153</f>
        <v>0</v>
      </c>
      <c r="AW153" s="343"/>
      <c r="AX153" s="1098"/>
      <c r="AY153" s="345"/>
      <c r="AZ153" s="1098"/>
      <c r="BA153" s="345"/>
      <c r="BB153" s="1120"/>
      <c r="BC153" s="347"/>
      <c r="BD153" s="348"/>
      <c r="BE153" s="349"/>
      <c r="BF153" s="348"/>
      <c r="BG153" s="1135">
        <v>2254</v>
      </c>
      <c r="BH153" s="350"/>
      <c r="BI153" s="351"/>
      <c r="BJ153" s="352"/>
      <c r="BK153" s="337"/>
      <c r="BL153" s="352"/>
      <c r="BM153" s="337"/>
      <c r="BN153" s="353"/>
      <c r="BO153" s="354"/>
      <c r="BP153" s="355"/>
      <c r="BQ153" s="356"/>
      <c r="BR153" s="355"/>
      <c r="BS153" s="356"/>
      <c r="BT153" s="357"/>
    </row>
    <row r="154" spans="1:72" s="430" customFormat="1" ht="25.5" customHeight="1" outlineLevel="2">
      <c r="A154" s="287">
        <v>143</v>
      </c>
      <c r="B154" s="933"/>
      <c r="C154" s="743"/>
      <c r="D154" s="856" t="s">
        <v>272</v>
      </c>
      <c r="E154" s="857"/>
      <c r="F154" s="827" t="s">
        <v>7</v>
      </c>
      <c r="G154" s="431">
        <v>4</v>
      </c>
      <c r="H154" s="474" t="s">
        <v>70</v>
      </c>
      <c r="I154" s="743">
        <v>244</v>
      </c>
      <c r="J154" s="744">
        <v>346</v>
      </c>
      <c r="K154" s="536" t="s">
        <v>284</v>
      </c>
      <c r="L154" s="1030">
        <v>0</v>
      </c>
      <c r="M154" s="434"/>
      <c r="N154" s="434"/>
      <c r="O154" s="1064">
        <f t="shared" si="101"/>
        <v>0</v>
      </c>
      <c r="P154" s="563"/>
      <c r="Q154" s="437"/>
      <c r="R154" s="563"/>
      <c r="S154" s="437"/>
      <c r="T154" s="563"/>
      <c r="U154" s="467"/>
      <c r="V154" s="436"/>
      <c r="W154" s="436"/>
      <c r="X154" s="436"/>
      <c r="Z154" s="437">
        <f t="shared" si="105"/>
        <v>0</v>
      </c>
      <c r="AA154" s="438">
        <f t="shared" si="105"/>
        <v>0</v>
      </c>
      <c r="AB154" s="439">
        <f t="shared" si="92"/>
        <v>0</v>
      </c>
      <c r="AC154" s="437">
        <f t="shared" si="106"/>
        <v>0</v>
      </c>
      <c r="AD154" s="438">
        <f t="shared" si="106"/>
        <v>0</v>
      </c>
      <c r="AE154" s="439">
        <f t="shared" si="93"/>
        <v>0</v>
      </c>
      <c r="AF154" s="437">
        <f t="shared" si="107"/>
        <v>0</v>
      </c>
      <c r="AG154" s="438">
        <f t="shared" si="107"/>
        <v>0</v>
      </c>
      <c r="AH154" s="439">
        <f t="shared" si="94"/>
        <v>0</v>
      </c>
      <c r="AI154" s="437">
        <f t="shared" si="108"/>
        <v>0</v>
      </c>
      <c r="AJ154" s="438">
        <f t="shared" si="108"/>
        <v>0</v>
      </c>
      <c r="AK154" s="439">
        <f t="shared" si="95"/>
        <v>0</v>
      </c>
      <c r="AL154" s="440"/>
      <c r="AM154" s="437">
        <f t="shared" si="109"/>
        <v>0</v>
      </c>
      <c r="AN154" s="441">
        <f t="shared" si="109"/>
        <v>0</v>
      </c>
      <c r="AO154" s="442">
        <f t="shared" si="96"/>
        <v>0</v>
      </c>
      <c r="AP154" s="437">
        <f t="shared" si="110"/>
        <v>0</v>
      </c>
      <c r="AQ154" s="441">
        <f t="shared" si="110"/>
        <v>0</v>
      </c>
      <c r="AR154" s="442">
        <f t="shared" si="97"/>
        <v>0</v>
      </c>
      <c r="AS154" s="443">
        <f t="shared" si="112"/>
        <v>0</v>
      </c>
      <c r="AT154" s="441">
        <f t="shared" si="112"/>
        <v>0</v>
      </c>
      <c r="AU154" s="442">
        <f t="shared" si="98"/>
        <v>0</v>
      </c>
      <c r="AV154" s="601">
        <f t="shared" si="99"/>
        <v>0</v>
      </c>
      <c r="AW154" s="444"/>
      <c r="AX154" s="1111"/>
      <c r="AY154" s="446"/>
      <c r="AZ154" s="1111"/>
      <c r="BA154" s="446"/>
      <c r="BB154" s="1129"/>
      <c r="BC154" s="448"/>
      <c r="BD154" s="449"/>
      <c r="BE154" s="450"/>
      <c r="BF154" s="449"/>
      <c r="BG154" s="450"/>
      <c r="BH154" s="451"/>
      <c r="BI154" s="452"/>
      <c r="BJ154" s="453"/>
      <c r="BK154" s="438"/>
      <c r="BL154" s="453"/>
      <c r="BM154" s="438"/>
      <c r="BN154" s="454"/>
      <c r="BO154" s="455"/>
      <c r="BP154" s="456"/>
      <c r="BQ154" s="457"/>
      <c r="BR154" s="456"/>
      <c r="BS154" s="457"/>
      <c r="BT154" s="458"/>
    </row>
    <row r="155" spans="1:72" s="468" customFormat="1" ht="66.75" customHeight="1" outlineLevel="1">
      <c r="A155" s="287">
        <v>144</v>
      </c>
      <c r="B155" s="933"/>
      <c r="C155" s="850" t="s">
        <v>378</v>
      </c>
      <c r="D155" s="854" t="s">
        <v>276</v>
      </c>
      <c r="E155" s="858"/>
      <c r="F155" s="828" t="s">
        <v>7</v>
      </c>
      <c r="G155" s="469">
        <v>4</v>
      </c>
      <c r="H155" s="745" t="s">
        <v>70</v>
      </c>
      <c r="I155" s="745">
        <v>244</v>
      </c>
      <c r="J155" s="746">
        <v>346</v>
      </c>
      <c r="K155" s="537" t="s">
        <v>488</v>
      </c>
      <c r="L155" s="1032">
        <v>40774.18</v>
      </c>
      <c r="M155" s="422"/>
      <c r="N155" s="422"/>
      <c r="O155" s="1065">
        <f t="shared" si="101"/>
        <v>40774.18</v>
      </c>
      <c r="P155" s="564"/>
      <c r="Q155" s="472"/>
      <c r="R155" s="564"/>
      <c r="S155" s="472"/>
      <c r="T155" s="564"/>
      <c r="U155" s="393"/>
      <c r="V155" s="394"/>
      <c r="W155" s="394"/>
      <c r="X155" s="394"/>
      <c r="Y155" s="392"/>
      <c r="Z155" s="395">
        <f t="shared" si="105"/>
        <v>0</v>
      </c>
      <c r="AA155" s="396">
        <f t="shared" si="105"/>
        <v>0</v>
      </c>
      <c r="AB155" s="397">
        <f t="shared" si="92"/>
        <v>0</v>
      </c>
      <c r="AC155" s="395">
        <f t="shared" si="106"/>
        <v>0</v>
      </c>
      <c r="AD155" s="396">
        <f t="shared" si="106"/>
        <v>0</v>
      </c>
      <c r="AE155" s="397">
        <f t="shared" si="93"/>
        <v>0</v>
      </c>
      <c r="AF155" s="395">
        <f t="shared" si="107"/>
        <v>0</v>
      </c>
      <c r="AG155" s="396">
        <f t="shared" si="107"/>
        <v>0</v>
      </c>
      <c r="AH155" s="397">
        <f t="shared" si="94"/>
        <v>0</v>
      </c>
      <c r="AI155" s="395">
        <f t="shared" si="108"/>
        <v>40774.18</v>
      </c>
      <c r="AJ155" s="396">
        <f t="shared" si="108"/>
        <v>0</v>
      </c>
      <c r="AK155" s="397">
        <f t="shared" si="95"/>
        <v>40774.18</v>
      </c>
      <c r="AL155" s="398"/>
      <c r="AM155" s="472">
        <f t="shared" si="109"/>
        <v>0</v>
      </c>
      <c r="AN155" s="422">
        <f t="shared" si="109"/>
        <v>0</v>
      </c>
      <c r="AO155" s="473">
        <f t="shared" si="96"/>
        <v>0</v>
      </c>
      <c r="AP155" s="472">
        <f t="shared" si="110"/>
        <v>0</v>
      </c>
      <c r="AQ155" s="422">
        <f t="shared" si="110"/>
        <v>0</v>
      </c>
      <c r="AR155" s="473">
        <f t="shared" si="97"/>
        <v>0</v>
      </c>
      <c r="AS155" s="472">
        <f t="shared" si="112"/>
        <v>40774.18</v>
      </c>
      <c r="AT155" s="422">
        <f t="shared" si="112"/>
        <v>0</v>
      </c>
      <c r="AU155" s="473">
        <f t="shared" si="98"/>
        <v>40774.18</v>
      </c>
      <c r="AV155" s="602">
        <f t="shared" si="99"/>
        <v>0</v>
      </c>
      <c r="AW155" s="472">
        <f t="shared" ref="AW155:BT155" si="252">SUM(AW156:AW157)</f>
        <v>0</v>
      </c>
      <c r="AX155" s="1110">
        <f t="shared" si="252"/>
        <v>0</v>
      </c>
      <c r="AY155" s="422">
        <f t="shared" si="252"/>
        <v>0</v>
      </c>
      <c r="AZ155" s="1110">
        <f t="shared" si="252"/>
        <v>0</v>
      </c>
      <c r="BA155" s="422">
        <f t="shared" si="252"/>
        <v>0</v>
      </c>
      <c r="BB155" s="1128">
        <f t="shared" si="252"/>
        <v>0</v>
      </c>
      <c r="BC155" s="472">
        <f t="shared" si="252"/>
        <v>0</v>
      </c>
      <c r="BD155" s="422">
        <f t="shared" si="252"/>
        <v>0</v>
      </c>
      <c r="BE155" s="422">
        <f t="shared" si="252"/>
        <v>0</v>
      </c>
      <c r="BF155" s="422">
        <f t="shared" si="252"/>
        <v>0</v>
      </c>
      <c r="BG155" s="422">
        <f t="shared" si="252"/>
        <v>0</v>
      </c>
      <c r="BH155" s="423">
        <f t="shared" si="252"/>
        <v>0</v>
      </c>
      <c r="BI155" s="472">
        <f t="shared" si="252"/>
        <v>0</v>
      </c>
      <c r="BJ155" s="422">
        <f t="shared" si="252"/>
        <v>0</v>
      </c>
      <c r="BK155" s="422">
        <f t="shared" si="252"/>
        <v>0</v>
      </c>
      <c r="BL155" s="422">
        <f t="shared" si="252"/>
        <v>0</v>
      </c>
      <c r="BM155" s="422">
        <f t="shared" si="252"/>
        <v>0</v>
      </c>
      <c r="BN155" s="423">
        <f t="shared" si="252"/>
        <v>0</v>
      </c>
      <c r="BO155" s="472">
        <f t="shared" si="252"/>
        <v>20000</v>
      </c>
      <c r="BP155" s="422">
        <f t="shared" si="252"/>
        <v>0</v>
      </c>
      <c r="BQ155" s="422">
        <f t="shared" si="252"/>
        <v>20774.18</v>
      </c>
      <c r="BR155" s="422">
        <f t="shared" si="252"/>
        <v>0</v>
      </c>
      <c r="BS155" s="422">
        <f t="shared" si="252"/>
        <v>0</v>
      </c>
      <c r="BT155" s="473">
        <f t="shared" si="252"/>
        <v>0</v>
      </c>
    </row>
    <row r="156" spans="1:72" s="399" customFormat="1" ht="25.5" customHeight="1" outlineLevel="2">
      <c r="A156" s="287">
        <v>145</v>
      </c>
      <c r="B156" s="933"/>
      <c r="C156" s="859"/>
      <c r="D156" s="841" t="s">
        <v>276</v>
      </c>
      <c r="E156" s="860"/>
      <c r="F156" s="829" t="s">
        <v>7</v>
      </c>
      <c r="G156" s="400">
        <v>4</v>
      </c>
      <c r="H156" s="747" t="s">
        <v>70</v>
      </c>
      <c r="I156" s="747">
        <v>244</v>
      </c>
      <c r="J156" s="748">
        <v>346</v>
      </c>
      <c r="K156" s="538" t="s">
        <v>301</v>
      </c>
      <c r="L156" s="1031">
        <v>40774.18</v>
      </c>
      <c r="M156" s="403"/>
      <c r="N156" s="403"/>
      <c r="O156" s="1063">
        <f t="shared" si="101"/>
        <v>40774.18</v>
      </c>
      <c r="P156" s="565"/>
      <c r="Q156" s="406"/>
      <c r="R156" s="565"/>
      <c r="S156" s="406"/>
      <c r="T156" s="565"/>
      <c r="U156" s="428"/>
      <c r="V156" s="405"/>
      <c r="W156" s="405"/>
      <c r="X156" s="405"/>
      <c r="Z156" s="406">
        <f t="shared" si="105"/>
        <v>0</v>
      </c>
      <c r="AA156" s="407">
        <f t="shared" si="105"/>
        <v>0</v>
      </c>
      <c r="AB156" s="408">
        <f t="shared" si="92"/>
        <v>0</v>
      </c>
      <c r="AC156" s="406">
        <f t="shared" si="106"/>
        <v>0</v>
      </c>
      <c r="AD156" s="407">
        <f t="shared" si="106"/>
        <v>0</v>
      </c>
      <c r="AE156" s="408">
        <f t="shared" si="93"/>
        <v>0</v>
      </c>
      <c r="AF156" s="406">
        <f t="shared" si="107"/>
        <v>0</v>
      </c>
      <c r="AG156" s="407">
        <f t="shared" si="107"/>
        <v>0</v>
      </c>
      <c r="AH156" s="408">
        <f t="shared" si="94"/>
        <v>0</v>
      </c>
      <c r="AI156" s="406">
        <f t="shared" si="108"/>
        <v>40774.18</v>
      </c>
      <c r="AJ156" s="407">
        <f t="shared" si="108"/>
        <v>0</v>
      </c>
      <c r="AK156" s="408">
        <f t="shared" si="95"/>
        <v>40774.18</v>
      </c>
      <c r="AL156" s="409"/>
      <c r="AM156" s="406">
        <f t="shared" si="109"/>
        <v>0</v>
      </c>
      <c r="AN156" s="410">
        <f t="shared" si="109"/>
        <v>0</v>
      </c>
      <c r="AO156" s="411">
        <f t="shared" si="96"/>
        <v>0</v>
      </c>
      <c r="AP156" s="406">
        <f t="shared" si="110"/>
        <v>0</v>
      </c>
      <c r="AQ156" s="410">
        <f t="shared" si="110"/>
        <v>0</v>
      </c>
      <c r="AR156" s="411">
        <f t="shared" si="97"/>
        <v>0</v>
      </c>
      <c r="AS156" s="412">
        <f t="shared" si="112"/>
        <v>40774.18</v>
      </c>
      <c r="AT156" s="410">
        <f t="shared" si="112"/>
        <v>0</v>
      </c>
      <c r="AU156" s="411">
        <f t="shared" si="98"/>
        <v>40774.18</v>
      </c>
      <c r="AV156" s="603">
        <f t="shared" si="99"/>
        <v>0</v>
      </c>
      <c r="AW156" s="413"/>
      <c r="AX156" s="1098"/>
      <c r="AY156" s="415"/>
      <c r="AZ156" s="1098"/>
      <c r="BA156" s="415"/>
      <c r="BB156" s="1120"/>
      <c r="BC156" s="417"/>
      <c r="BD156" s="418"/>
      <c r="BE156" s="419"/>
      <c r="BF156" s="418"/>
      <c r="BG156" s="419"/>
      <c r="BH156" s="420"/>
      <c r="BI156" s="421"/>
      <c r="BJ156" s="422"/>
      <c r="BK156" s="407"/>
      <c r="BL156" s="422"/>
      <c r="BM156" s="407"/>
      <c r="BN156" s="423"/>
      <c r="BO156" s="424">
        <v>20000</v>
      </c>
      <c r="BP156" s="425"/>
      <c r="BQ156" s="426">
        <v>20774.18</v>
      </c>
      <c r="BR156" s="425"/>
      <c r="BS156" s="426"/>
      <c r="BT156" s="427"/>
    </row>
    <row r="157" spans="1:72" s="430" customFormat="1" ht="25.5" customHeight="1" outlineLevel="2">
      <c r="A157" s="287">
        <v>146</v>
      </c>
      <c r="B157" s="933"/>
      <c r="C157" s="743"/>
      <c r="D157" s="856" t="s">
        <v>276</v>
      </c>
      <c r="E157" s="857"/>
      <c r="F157" s="827" t="s">
        <v>7</v>
      </c>
      <c r="G157" s="431">
        <v>4</v>
      </c>
      <c r="H157" s="474" t="s">
        <v>70</v>
      </c>
      <c r="I157" s="743">
        <v>244</v>
      </c>
      <c r="J157" s="744">
        <v>346</v>
      </c>
      <c r="K157" s="536" t="s">
        <v>284</v>
      </c>
      <c r="L157" s="1030"/>
      <c r="M157" s="434"/>
      <c r="N157" s="434"/>
      <c r="O157" s="1064">
        <f t="shared" si="101"/>
        <v>0</v>
      </c>
      <c r="P157" s="563"/>
      <c r="Q157" s="437"/>
      <c r="R157" s="563"/>
      <c r="S157" s="437"/>
      <c r="T157" s="563"/>
      <c r="U157" s="467"/>
      <c r="V157" s="436"/>
      <c r="W157" s="436"/>
      <c r="X157" s="436"/>
      <c r="Z157" s="437">
        <f t="shared" si="105"/>
        <v>0</v>
      </c>
      <c r="AA157" s="438">
        <f t="shared" si="105"/>
        <v>0</v>
      </c>
      <c r="AB157" s="439">
        <f t="shared" si="92"/>
        <v>0</v>
      </c>
      <c r="AC157" s="437">
        <f t="shared" si="106"/>
        <v>0</v>
      </c>
      <c r="AD157" s="438">
        <f t="shared" si="106"/>
        <v>0</v>
      </c>
      <c r="AE157" s="439">
        <f t="shared" si="93"/>
        <v>0</v>
      </c>
      <c r="AF157" s="437">
        <f t="shared" si="107"/>
        <v>0</v>
      </c>
      <c r="AG157" s="438">
        <f t="shared" si="107"/>
        <v>0</v>
      </c>
      <c r="AH157" s="439">
        <f t="shared" si="94"/>
        <v>0</v>
      </c>
      <c r="AI157" s="437">
        <f t="shared" si="108"/>
        <v>0</v>
      </c>
      <c r="AJ157" s="438">
        <f t="shared" si="108"/>
        <v>0</v>
      </c>
      <c r="AK157" s="439">
        <f t="shared" si="95"/>
        <v>0</v>
      </c>
      <c r="AL157" s="440"/>
      <c r="AM157" s="437">
        <f t="shared" si="109"/>
        <v>0</v>
      </c>
      <c r="AN157" s="441">
        <f t="shared" si="109"/>
        <v>0</v>
      </c>
      <c r="AO157" s="442">
        <f t="shared" si="96"/>
        <v>0</v>
      </c>
      <c r="AP157" s="437">
        <f t="shared" si="110"/>
        <v>0</v>
      </c>
      <c r="AQ157" s="441">
        <f t="shared" si="110"/>
        <v>0</v>
      </c>
      <c r="AR157" s="442">
        <f t="shared" si="97"/>
        <v>0</v>
      </c>
      <c r="AS157" s="443">
        <f t="shared" si="112"/>
        <v>0</v>
      </c>
      <c r="AT157" s="441">
        <f t="shared" si="112"/>
        <v>0</v>
      </c>
      <c r="AU157" s="442">
        <f t="shared" si="98"/>
        <v>0</v>
      </c>
      <c r="AV157" s="601">
        <f t="shared" si="99"/>
        <v>0</v>
      </c>
      <c r="AW157" s="444"/>
      <c r="AX157" s="1111"/>
      <c r="AY157" s="446"/>
      <c r="AZ157" s="1111"/>
      <c r="BA157" s="446"/>
      <c r="BB157" s="1129"/>
      <c r="BC157" s="448"/>
      <c r="BD157" s="449"/>
      <c r="BE157" s="450"/>
      <c r="BF157" s="449"/>
      <c r="BG157" s="450"/>
      <c r="BH157" s="451"/>
      <c r="BI157" s="452"/>
      <c r="BJ157" s="453"/>
      <c r="BK157" s="438"/>
      <c r="BL157" s="453"/>
      <c r="BM157" s="438"/>
      <c r="BN157" s="454"/>
      <c r="BO157" s="455"/>
      <c r="BP157" s="456"/>
      <c r="BQ157" s="457"/>
      <c r="BR157" s="456"/>
      <c r="BS157" s="457"/>
      <c r="BT157" s="458"/>
    </row>
    <row r="158" spans="1:72" s="459" customFormat="1" ht="66.75" customHeight="1" outlineLevel="1">
      <c r="A158" s="287">
        <v>147</v>
      </c>
      <c r="B158" s="933"/>
      <c r="C158" s="850" t="s">
        <v>378</v>
      </c>
      <c r="D158" s="854" t="s">
        <v>274</v>
      </c>
      <c r="E158" s="855"/>
      <c r="F158" s="826" t="s">
        <v>7</v>
      </c>
      <c r="G158" s="462">
        <v>4</v>
      </c>
      <c r="H158" s="741" t="s">
        <v>70</v>
      </c>
      <c r="I158" s="741">
        <v>244</v>
      </c>
      <c r="J158" s="742">
        <v>346</v>
      </c>
      <c r="K158" s="535" t="s">
        <v>283</v>
      </c>
      <c r="L158" s="1028">
        <v>58096.959999999999</v>
      </c>
      <c r="M158" s="352"/>
      <c r="N158" s="352"/>
      <c r="O158" s="1062">
        <f t="shared" si="101"/>
        <v>58096.959999999999</v>
      </c>
      <c r="P158" s="561"/>
      <c r="Q158" s="464"/>
      <c r="R158" s="561"/>
      <c r="S158" s="464"/>
      <c r="T158" s="561"/>
      <c r="U158" s="393"/>
      <c r="V158" s="394"/>
      <c r="W158" s="394"/>
      <c r="X158" s="394"/>
      <c r="Y158" s="392"/>
      <c r="Z158" s="395">
        <f t="shared" ref="Z158:AA175" si="253">AW158+AY158+BA158</f>
        <v>0</v>
      </c>
      <c r="AA158" s="396">
        <f t="shared" si="253"/>
        <v>0</v>
      </c>
      <c r="AB158" s="397">
        <f t="shared" si="92"/>
        <v>0</v>
      </c>
      <c r="AC158" s="395">
        <f t="shared" ref="AC158:AD175" si="254">BC158+BE158+BG158</f>
        <v>0</v>
      </c>
      <c r="AD158" s="396">
        <f t="shared" si="254"/>
        <v>0</v>
      </c>
      <c r="AE158" s="397">
        <f t="shared" si="93"/>
        <v>0</v>
      </c>
      <c r="AF158" s="395">
        <f t="shared" ref="AF158:AG175" si="255">BI158+BK158+BM158</f>
        <v>0</v>
      </c>
      <c r="AG158" s="396">
        <f t="shared" si="255"/>
        <v>0</v>
      </c>
      <c r="AH158" s="397">
        <f t="shared" si="94"/>
        <v>0</v>
      </c>
      <c r="AI158" s="395">
        <f t="shared" ref="AI158:AJ175" si="256">BO158+BQ158+BS158</f>
        <v>58096.959999999999</v>
      </c>
      <c r="AJ158" s="396">
        <f t="shared" si="256"/>
        <v>0</v>
      </c>
      <c r="AK158" s="397">
        <f t="shared" si="95"/>
        <v>58096.959999999999</v>
      </c>
      <c r="AL158" s="398"/>
      <c r="AM158" s="464">
        <f t="shared" ref="AM158:AN175" si="257">Z158+AC158</f>
        <v>0</v>
      </c>
      <c r="AN158" s="352">
        <f t="shared" si="257"/>
        <v>0</v>
      </c>
      <c r="AO158" s="465">
        <f t="shared" si="96"/>
        <v>0</v>
      </c>
      <c r="AP158" s="464">
        <f t="shared" ref="AP158:AQ175" si="258">Z158+AC158+AF158</f>
        <v>0</v>
      </c>
      <c r="AQ158" s="352">
        <f t="shared" si="258"/>
        <v>0</v>
      </c>
      <c r="AR158" s="465">
        <f t="shared" si="97"/>
        <v>0</v>
      </c>
      <c r="AS158" s="464">
        <f t="shared" si="112"/>
        <v>58096.959999999999</v>
      </c>
      <c r="AT158" s="352">
        <f t="shared" si="112"/>
        <v>0</v>
      </c>
      <c r="AU158" s="465">
        <f t="shared" si="98"/>
        <v>58096.959999999999</v>
      </c>
      <c r="AV158" s="600">
        <f t="shared" si="99"/>
        <v>0</v>
      </c>
      <c r="AW158" s="464">
        <f t="shared" ref="AW158:BT158" si="259">SUM(AW159:AW160)</f>
        <v>0</v>
      </c>
      <c r="AX158" s="1110">
        <f t="shared" si="259"/>
        <v>0</v>
      </c>
      <c r="AY158" s="352">
        <f t="shared" si="259"/>
        <v>0</v>
      </c>
      <c r="AZ158" s="1110">
        <f t="shared" si="259"/>
        <v>0</v>
      </c>
      <c r="BA158" s="352">
        <f t="shared" si="259"/>
        <v>0</v>
      </c>
      <c r="BB158" s="1128">
        <f t="shared" si="259"/>
        <v>0</v>
      </c>
      <c r="BC158" s="464">
        <f t="shared" si="259"/>
        <v>0</v>
      </c>
      <c r="BD158" s="352">
        <f t="shared" si="259"/>
        <v>0</v>
      </c>
      <c r="BE158" s="352">
        <f t="shared" si="259"/>
        <v>0</v>
      </c>
      <c r="BF158" s="352">
        <f t="shared" si="259"/>
        <v>0</v>
      </c>
      <c r="BG158" s="352">
        <f t="shared" si="259"/>
        <v>0</v>
      </c>
      <c r="BH158" s="353">
        <f t="shared" si="259"/>
        <v>0</v>
      </c>
      <c r="BI158" s="464">
        <f t="shared" si="259"/>
        <v>0</v>
      </c>
      <c r="BJ158" s="352">
        <f t="shared" si="259"/>
        <v>0</v>
      </c>
      <c r="BK158" s="352">
        <f t="shared" si="259"/>
        <v>0</v>
      </c>
      <c r="BL158" s="352">
        <f t="shared" si="259"/>
        <v>0</v>
      </c>
      <c r="BM158" s="352">
        <f t="shared" si="259"/>
        <v>0</v>
      </c>
      <c r="BN158" s="353">
        <f t="shared" si="259"/>
        <v>0</v>
      </c>
      <c r="BO158" s="464">
        <f t="shared" si="259"/>
        <v>0</v>
      </c>
      <c r="BP158" s="352">
        <f t="shared" si="259"/>
        <v>0</v>
      </c>
      <c r="BQ158" s="352">
        <f t="shared" si="259"/>
        <v>58096.959999999999</v>
      </c>
      <c r="BR158" s="352">
        <f t="shared" si="259"/>
        <v>0</v>
      </c>
      <c r="BS158" s="352">
        <f t="shared" si="259"/>
        <v>0</v>
      </c>
      <c r="BT158" s="465">
        <f t="shared" si="259"/>
        <v>0</v>
      </c>
    </row>
    <row r="159" spans="1:72" s="313" customFormat="1" ht="25.5" customHeight="1" outlineLevel="2">
      <c r="A159" s="287">
        <v>148</v>
      </c>
      <c r="B159" s="933"/>
      <c r="C159" s="840"/>
      <c r="D159" s="841" t="s">
        <v>274</v>
      </c>
      <c r="E159" s="839"/>
      <c r="F159" s="821" t="s">
        <v>7</v>
      </c>
      <c r="G159" s="314">
        <v>4</v>
      </c>
      <c r="H159" s="739" t="s">
        <v>70</v>
      </c>
      <c r="I159" s="739">
        <v>244</v>
      </c>
      <c r="J159" s="740">
        <v>346</v>
      </c>
      <c r="K159" s="533" t="s">
        <v>301</v>
      </c>
      <c r="L159" s="1031">
        <v>58096.959999999999</v>
      </c>
      <c r="M159" s="318"/>
      <c r="N159" s="318"/>
      <c r="O159" s="1052">
        <f t="shared" si="101"/>
        <v>58096.959999999999</v>
      </c>
      <c r="P159" s="562"/>
      <c r="Q159" s="336"/>
      <c r="R159" s="562"/>
      <c r="S159" s="336"/>
      <c r="T159" s="562"/>
      <c r="U159" s="466"/>
      <c r="V159" s="320"/>
      <c r="W159" s="320"/>
      <c r="X159" s="320"/>
      <c r="Z159" s="336">
        <f t="shared" si="253"/>
        <v>0</v>
      </c>
      <c r="AA159" s="337">
        <f t="shared" si="253"/>
        <v>0</v>
      </c>
      <c r="AB159" s="338">
        <f t="shared" si="92"/>
        <v>0</v>
      </c>
      <c r="AC159" s="336">
        <f t="shared" si="254"/>
        <v>0</v>
      </c>
      <c r="AD159" s="337">
        <f t="shared" si="254"/>
        <v>0</v>
      </c>
      <c r="AE159" s="338">
        <f t="shared" si="93"/>
        <v>0</v>
      </c>
      <c r="AF159" s="336">
        <f t="shared" si="255"/>
        <v>0</v>
      </c>
      <c r="AG159" s="337">
        <f t="shared" si="255"/>
        <v>0</v>
      </c>
      <c r="AH159" s="338">
        <f t="shared" si="94"/>
        <v>0</v>
      </c>
      <c r="AI159" s="336">
        <f t="shared" si="256"/>
        <v>58096.959999999999</v>
      </c>
      <c r="AJ159" s="337">
        <f t="shared" si="256"/>
        <v>0</v>
      </c>
      <c r="AK159" s="338">
        <f t="shared" si="95"/>
        <v>58096.959999999999</v>
      </c>
      <c r="AL159" s="342"/>
      <c r="AM159" s="336">
        <f t="shared" si="257"/>
        <v>0</v>
      </c>
      <c r="AN159" s="339">
        <f t="shared" si="257"/>
        <v>0</v>
      </c>
      <c r="AO159" s="340">
        <f t="shared" si="96"/>
        <v>0</v>
      </c>
      <c r="AP159" s="336">
        <f t="shared" si="258"/>
        <v>0</v>
      </c>
      <c r="AQ159" s="339">
        <f t="shared" si="258"/>
        <v>0</v>
      </c>
      <c r="AR159" s="340">
        <f t="shared" si="97"/>
        <v>0</v>
      </c>
      <c r="AS159" s="341">
        <f t="shared" si="112"/>
        <v>58096.959999999999</v>
      </c>
      <c r="AT159" s="339">
        <f t="shared" si="112"/>
        <v>0</v>
      </c>
      <c r="AU159" s="340">
        <f t="shared" si="98"/>
        <v>58096.959999999999</v>
      </c>
      <c r="AV159" s="589">
        <f t="shared" si="99"/>
        <v>0</v>
      </c>
      <c r="AW159" s="343"/>
      <c r="AX159" s="1098"/>
      <c r="AY159" s="345"/>
      <c r="AZ159" s="1098"/>
      <c r="BA159" s="345"/>
      <c r="BB159" s="1120"/>
      <c r="BC159" s="347"/>
      <c r="BD159" s="348"/>
      <c r="BE159" s="349"/>
      <c r="BF159" s="348"/>
      <c r="BG159" s="349"/>
      <c r="BH159" s="350"/>
      <c r="BI159" s="351"/>
      <c r="BJ159" s="352"/>
      <c r="BK159" s="337"/>
      <c r="BL159" s="352"/>
      <c r="BM159" s="337"/>
      <c r="BN159" s="353"/>
      <c r="BO159" s="354"/>
      <c r="BP159" s="355"/>
      <c r="BQ159" s="356">
        <v>58096.959999999999</v>
      </c>
      <c r="BR159" s="355"/>
      <c r="BS159" s="356"/>
      <c r="BT159" s="357"/>
    </row>
    <row r="160" spans="1:72" s="430" customFormat="1" ht="25.5" customHeight="1" outlineLevel="2">
      <c r="A160" s="287">
        <v>149</v>
      </c>
      <c r="B160" s="933"/>
      <c r="C160" s="743"/>
      <c r="D160" s="856" t="s">
        <v>274</v>
      </c>
      <c r="E160" s="857"/>
      <c r="F160" s="827" t="s">
        <v>7</v>
      </c>
      <c r="G160" s="431">
        <v>4</v>
      </c>
      <c r="H160" s="474" t="s">
        <v>70</v>
      </c>
      <c r="I160" s="743">
        <v>244</v>
      </c>
      <c r="J160" s="744">
        <v>346</v>
      </c>
      <c r="K160" s="536" t="s">
        <v>284</v>
      </c>
      <c r="L160" s="1030"/>
      <c r="M160" s="434"/>
      <c r="N160" s="434"/>
      <c r="O160" s="1064">
        <f t="shared" si="101"/>
        <v>0</v>
      </c>
      <c r="P160" s="563"/>
      <c r="Q160" s="437"/>
      <c r="R160" s="563"/>
      <c r="S160" s="437"/>
      <c r="T160" s="563"/>
      <c r="U160" s="467"/>
      <c r="V160" s="436"/>
      <c r="W160" s="436"/>
      <c r="X160" s="436"/>
      <c r="Z160" s="437">
        <f t="shared" si="253"/>
        <v>0</v>
      </c>
      <c r="AA160" s="438">
        <f t="shared" si="253"/>
        <v>0</v>
      </c>
      <c r="AB160" s="439">
        <f t="shared" si="92"/>
        <v>0</v>
      </c>
      <c r="AC160" s="437">
        <f t="shared" si="254"/>
        <v>0</v>
      </c>
      <c r="AD160" s="438">
        <f t="shared" si="254"/>
        <v>0</v>
      </c>
      <c r="AE160" s="439">
        <f t="shared" si="93"/>
        <v>0</v>
      </c>
      <c r="AF160" s="437">
        <f t="shared" si="255"/>
        <v>0</v>
      </c>
      <c r="AG160" s="438">
        <f t="shared" si="255"/>
        <v>0</v>
      </c>
      <c r="AH160" s="439">
        <f t="shared" si="94"/>
        <v>0</v>
      </c>
      <c r="AI160" s="437">
        <f t="shared" si="256"/>
        <v>0</v>
      </c>
      <c r="AJ160" s="438">
        <f t="shared" si="256"/>
        <v>0</v>
      </c>
      <c r="AK160" s="439">
        <f t="shared" si="95"/>
        <v>0</v>
      </c>
      <c r="AL160" s="440"/>
      <c r="AM160" s="437">
        <f t="shared" si="257"/>
        <v>0</v>
      </c>
      <c r="AN160" s="441">
        <f t="shared" si="257"/>
        <v>0</v>
      </c>
      <c r="AO160" s="442">
        <f t="shared" si="96"/>
        <v>0</v>
      </c>
      <c r="AP160" s="437">
        <f t="shared" si="258"/>
        <v>0</v>
      </c>
      <c r="AQ160" s="441">
        <f t="shared" si="258"/>
        <v>0</v>
      </c>
      <c r="AR160" s="442">
        <f t="shared" si="97"/>
        <v>0</v>
      </c>
      <c r="AS160" s="443">
        <f t="shared" si="112"/>
        <v>0</v>
      </c>
      <c r="AT160" s="441">
        <f t="shared" si="112"/>
        <v>0</v>
      </c>
      <c r="AU160" s="442">
        <f t="shared" si="98"/>
        <v>0</v>
      </c>
      <c r="AV160" s="601">
        <f t="shared" si="99"/>
        <v>0</v>
      </c>
      <c r="AW160" s="444"/>
      <c r="AX160" s="1111"/>
      <c r="AY160" s="446"/>
      <c r="AZ160" s="1111"/>
      <c r="BA160" s="446"/>
      <c r="BB160" s="1129"/>
      <c r="BC160" s="448"/>
      <c r="BD160" s="449"/>
      <c r="BE160" s="450"/>
      <c r="BF160" s="449"/>
      <c r="BG160" s="450"/>
      <c r="BH160" s="451"/>
      <c r="BI160" s="452"/>
      <c r="BJ160" s="453"/>
      <c r="BK160" s="438"/>
      <c r="BL160" s="453"/>
      <c r="BM160" s="438"/>
      <c r="BN160" s="454"/>
      <c r="BO160" s="455"/>
      <c r="BP160" s="456"/>
      <c r="BQ160" s="457"/>
      <c r="BR160" s="456"/>
      <c r="BS160" s="457"/>
      <c r="BT160" s="458"/>
    </row>
    <row r="161" spans="1:72" s="468" customFormat="1" ht="72.75" customHeight="1" outlineLevel="1">
      <c r="A161" s="287">
        <v>150</v>
      </c>
      <c r="B161" s="933"/>
      <c r="C161" s="850" t="s">
        <v>378</v>
      </c>
      <c r="D161" s="854" t="s">
        <v>277</v>
      </c>
      <c r="E161" s="858"/>
      <c r="F161" s="828" t="s">
        <v>7</v>
      </c>
      <c r="G161" s="469">
        <v>4</v>
      </c>
      <c r="H161" s="745" t="s">
        <v>70</v>
      </c>
      <c r="I161" s="745">
        <v>244</v>
      </c>
      <c r="J161" s="746">
        <v>346</v>
      </c>
      <c r="K161" s="537" t="s">
        <v>282</v>
      </c>
      <c r="L161" s="1032">
        <v>34083.300000000003</v>
      </c>
      <c r="M161" s="422"/>
      <c r="N161" s="422"/>
      <c r="O161" s="1065">
        <f t="shared" si="101"/>
        <v>34083.300000000003</v>
      </c>
      <c r="P161" s="564"/>
      <c r="Q161" s="472"/>
      <c r="R161" s="564"/>
      <c r="S161" s="472"/>
      <c r="T161" s="564"/>
      <c r="U161" s="393"/>
      <c r="V161" s="394"/>
      <c r="W161" s="394"/>
      <c r="X161" s="394"/>
      <c r="Y161" s="392"/>
      <c r="Z161" s="395">
        <f t="shared" si="253"/>
        <v>0</v>
      </c>
      <c r="AA161" s="396">
        <f t="shared" si="253"/>
        <v>0</v>
      </c>
      <c r="AB161" s="397">
        <f t="shared" si="92"/>
        <v>0</v>
      </c>
      <c r="AC161" s="395">
        <f t="shared" si="254"/>
        <v>0</v>
      </c>
      <c r="AD161" s="396">
        <f t="shared" si="254"/>
        <v>0</v>
      </c>
      <c r="AE161" s="397">
        <f t="shared" si="93"/>
        <v>0</v>
      </c>
      <c r="AF161" s="395">
        <f t="shared" si="255"/>
        <v>0</v>
      </c>
      <c r="AG161" s="396">
        <f t="shared" si="255"/>
        <v>0</v>
      </c>
      <c r="AH161" s="397">
        <f t="shared" si="94"/>
        <v>0</v>
      </c>
      <c r="AI161" s="395">
        <f t="shared" si="256"/>
        <v>34083.300000000003</v>
      </c>
      <c r="AJ161" s="396">
        <f t="shared" si="256"/>
        <v>0</v>
      </c>
      <c r="AK161" s="397">
        <f t="shared" si="95"/>
        <v>34083.300000000003</v>
      </c>
      <c r="AL161" s="398"/>
      <c r="AM161" s="472">
        <f t="shared" si="257"/>
        <v>0</v>
      </c>
      <c r="AN161" s="422">
        <f t="shared" si="257"/>
        <v>0</v>
      </c>
      <c r="AO161" s="473">
        <f t="shared" si="96"/>
        <v>0</v>
      </c>
      <c r="AP161" s="472">
        <f t="shared" si="258"/>
        <v>0</v>
      </c>
      <c r="AQ161" s="422">
        <f t="shared" si="258"/>
        <v>0</v>
      </c>
      <c r="AR161" s="473">
        <f t="shared" si="97"/>
        <v>0</v>
      </c>
      <c r="AS161" s="472">
        <f t="shared" si="112"/>
        <v>34083.300000000003</v>
      </c>
      <c r="AT161" s="422">
        <f t="shared" si="112"/>
        <v>0</v>
      </c>
      <c r="AU161" s="473">
        <f t="shared" si="98"/>
        <v>34083.300000000003</v>
      </c>
      <c r="AV161" s="602">
        <f t="shared" si="99"/>
        <v>0</v>
      </c>
      <c r="AW161" s="472">
        <f t="shared" ref="AW161:BT161" si="260">SUM(AW162:AW163)</f>
        <v>0</v>
      </c>
      <c r="AX161" s="1110">
        <f t="shared" si="260"/>
        <v>0</v>
      </c>
      <c r="AY161" s="422">
        <f t="shared" si="260"/>
        <v>0</v>
      </c>
      <c r="AZ161" s="1110">
        <f t="shared" si="260"/>
        <v>0</v>
      </c>
      <c r="BA161" s="422">
        <f t="shared" si="260"/>
        <v>0</v>
      </c>
      <c r="BB161" s="1128">
        <f t="shared" si="260"/>
        <v>0</v>
      </c>
      <c r="BC161" s="472">
        <f t="shared" si="260"/>
        <v>0</v>
      </c>
      <c r="BD161" s="422">
        <f t="shared" si="260"/>
        <v>0</v>
      </c>
      <c r="BE161" s="422">
        <f t="shared" si="260"/>
        <v>0</v>
      </c>
      <c r="BF161" s="422">
        <f t="shared" si="260"/>
        <v>0</v>
      </c>
      <c r="BG161" s="422">
        <f t="shared" si="260"/>
        <v>0</v>
      </c>
      <c r="BH161" s="423">
        <f t="shared" si="260"/>
        <v>0</v>
      </c>
      <c r="BI161" s="472">
        <f t="shared" si="260"/>
        <v>0</v>
      </c>
      <c r="BJ161" s="422">
        <f t="shared" si="260"/>
        <v>0</v>
      </c>
      <c r="BK161" s="422">
        <f t="shared" si="260"/>
        <v>0</v>
      </c>
      <c r="BL161" s="422">
        <f t="shared" si="260"/>
        <v>0</v>
      </c>
      <c r="BM161" s="422">
        <f t="shared" si="260"/>
        <v>0</v>
      </c>
      <c r="BN161" s="423">
        <f t="shared" si="260"/>
        <v>0</v>
      </c>
      <c r="BO161" s="472">
        <f t="shared" si="260"/>
        <v>0</v>
      </c>
      <c r="BP161" s="422">
        <f t="shared" si="260"/>
        <v>0</v>
      </c>
      <c r="BQ161" s="422">
        <f t="shared" si="260"/>
        <v>0</v>
      </c>
      <c r="BR161" s="422">
        <f t="shared" si="260"/>
        <v>0</v>
      </c>
      <c r="BS161" s="422">
        <f t="shared" si="260"/>
        <v>34083.300000000003</v>
      </c>
      <c r="BT161" s="473">
        <f t="shared" si="260"/>
        <v>0</v>
      </c>
    </row>
    <row r="162" spans="1:72" s="399" customFormat="1" ht="25.5" customHeight="1" outlineLevel="2">
      <c r="A162" s="287">
        <v>151</v>
      </c>
      <c r="B162" s="933"/>
      <c r="C162" s="859"/>
      <c r="D162" s="841" t="s">
        <v>277</v>
      </c>
      <c r="E162" s="860"/>
      <c r="F162" s="829" t="s">
        <v>7</v>
      </c>
      <c r="G162" s="400">
        <v>4</v>
      </c>
      <c r="H162" s="747" t="s">
        <v>70</v>
      </c>
      <c r="I162" s="747">
        <v>244</v>
      </c>
      <c r="J162" s="748">
        <v>346</v>
      </c>
      <c r="K162" s="538" t="s">
        <v>301</v>
      </c>
      <c r="L162" s="1031">
        <v>34083.300000000003</v>
      </c>
      <c r="M162" s="403"/>
      <c r="N162" s="403"/>
      <c r="O162" s="1063">
        <f t="shared" si="101"/>
        <v>34083.300000000003</v>
      </c>
      <c r="P162" s="566"/>
      <c r="Q162" s="406"/>
      <c r="R162" s="566"/>
      <c r="S162" s="406"/>
      <c r="T162" s="566"/>
      <c r="U162" s="404"/>
      <c r="V162" s="405"/>
      <c r="W162" s="405"/>
      <c r="X162" s="405"/>
      <c r="Z162" s="406">
        <f t="shared" si="253"/>
        <v>0</v>
      </c>
      <c r="AA162" s="407">
        <f t="shared" si="253"/>
        <v>0</v>
      </c>
      <c r="AB162" s="408">
        <f t="shared" si="92"/>
        <v>0</v>
      </c>
      <c r="AC162" s="406">
        <f t="shared" si="254"/>
        <v>0</v>
      </c>
      <c r="AD162" s="407">
        <f t="shared" si="254"/>
        <v>0</v>
      </c>
      <c r="AE162" s="408">
        <f t="shared" si="93"/>
        <v>0</v>
      </c>
      <c r="AF162" s="406">
        <f t="shared" si="255"/>
        <v>0</v>
      </c>
      <c r="AG162" s="407">
        <f t="shared" si="255"/>
        <v>0</v>
      </c>
      <c r="AH162" s="408">
        <f t="shared" si="94"/>
        <v>0</v>
      </c>
      <c r="AI162" s="406">
        <f t="shared" si="256"/>
        <v>34083.300000000003</v>
      </c>
      <c r="AJ162" s="407">
        <f t="shared" si="256"/>
        <v>0</v>
      </c>
      <c r="AK162" s="408">
        <f t="shared" si="95"/>
        <v>34083.300000000003</v>
      </c>
      <c r="AL162" s="409"/>
      <c r="AM162" s="406">
        <f t="shared" si="257"/>
        <v>0</v>
      </c>
      <c r="AN162" s="410">
        <f t="shared" si="257"/>
        <v>0</v>
      </c>
      <c r="AO162" s="411">
        <f t="shared" si="96"/>
        <v>0</v>
      </c>
      <c r="AP162" s="406">
        <f t="shared" si="258"/>
        <v>0</v>
      </c>
      <c r="AQ162" s="410">
        <f t="shared" si="258"/>
        <v>0</v>
      </c>
      <c r="AR162" s="411">
        <f t="shared" si="97"/>
        <v>0</v>
      </c>
      <c r="AS162" s="412">
        <f t="shared" si="112"/>
        <v>34083.300000000003</v>
      </c>
      <c r="AT162" s="410">
        <f t="shared" si="112"/>
        <v>0</v>
      </c>
      <c r="AU162" s="411">
        <f t="shared" si="98"/>
        <v>34083.300000000003</v>
      </c>
      <c r="AV162" s="603">
        <f t="shared" si="99"/>
        <v>0</v>
      </c>
      <c r="AW162" s="413"/>
      <c r="AX162" s="1098"/>
      <c r="AY162" s="415"/>
      <c r="AZ162" s="1098"/>
      <c r="BA162" s="415"/>
      <c r="BB162" s="1120"/>
      <c r="BC162" s="417"/>
      <c r="BD162" s="418"/>
      <c r="BE162" s="419"/>
      <c r="BF162" s="418"/>
      <c r="BG162" s="419"/>
      <c r="BH162" s="420"/>
      <c r="BI162" s="421"/>
      <c r="BJ162" s="422"/>
      <c r="BK162" s="407"/>
      <c r="BL162" s="422"/>
      <c r="BM162" s="407"/>
      <c r="BN162" s="423"/>
      <c r="BO162" s="424"/>
      <c r="BP162" s="425"/>
      <c r="BQ162" s="426"/>
      <c r="BR162" s="425"/>
      <c r="BS162" s="426">
        <v>34083.300000000003</v>
      </c>
      <c r="BT162" s="427"/>
    </row>
    <row r="163" spans="1:72" s="430" customFormat="1" ht="25.5" customHeight="1" outlineLevel="2">
      <c r="A163" s="287">
        <v>152</v>
      </c>
      <c r="B163" s="933"/>
      <c r="C163" s="743"/>
      <c r="D163" s="856" t="s">
        <v>277</v>
      </c>
      <c r="E163" s="857"/>
      <c r="F163" s="827" t="s">
        <v>7</v>
      </c>
      <c r="G163" s="431">
        <v>4</v>
      </c>
      <c r="H163" s="474" t="s">
        <v>70</v>
      </c>
      <c r="I163" s="743">
        <v>244</v>
      </c>
      <c r="J163" s="744">
        <v>346</v>
      </c>
      <c r="K163" s="536" t="s">
        <v>284</v>
      </c>
      <c r="L163" s="1030"/>
      <c r="M163" s="434"/>
      <c r="N163" s="434"/>
      <c r="O163" s="1064">
        <f t="shared" si="101"/>
        <v>0</v>
      </c>
      <c r="P163" s="567"/>
      <c r="Q163" s="437"/>
      <c r="R163" s="567"/>
      <c r="S163" s="437"/>
      <c r="T163" s="567"/>
      <c r="U163" s="435"/>
      <c r="V163" s="436"/>
      <c r="W163" s="436"/>
      <c r="X163" s="436"/>
      <c r="Z163" s="437">
        <f t="shared" si="253"/>
        <v>0</v>
      </c>
      <c r="AA163" s="438">
        <f t="shared" si="253"/>
        <v>0</v>
      </c>
      <c r="AB163" s="439">
        <f t="shared" si="92"/>
        <v>0</v>
      </c>
      <c r="AC163" s="437">
        <f t="shared" si="254"/>
        <v>0</v>
      </c>
      <c r="AD163" s="438">
        <f t="shared" si="254"/>
        <v>0</v>
      </c>
      <c r="AE163" s="439">
        <f t="shared" si="93"/>
        <v>0</v>
      </c>
      <c r="AF163" s="437">
        <f t="shared" si="255"/>
        <v>0</v>
      </c>
      <c r="AG163" s="438">
        <f t="shared" si="255"/>
        <v>0</v>
      </c>
      <c r="AH163" s="439">
        <f t="shared" si="94"/>
        <v>0</v>
      </c>
      <c r="AI163" s="437">
        <f t="shared" si="256"/>
        <v>0</v>
      </c>
      <c r="AJ163" s="438">
        <f t="shared" si="256"/>
        <v>0</v>
      </c>
      <c r="AK163" s="439">
        <f t="shared" si="95"/>
        <v>0</v>
      </c>
      <c r="AL163" s="440"/>
      <c r="AM163" s="437">
        <f t="shared" si="257"/>
        <v>0</v>
      </c>
      <c r="AN163" s="441">
        <f t="shared" si="257"/>
        <v>0</v>
      </c>
      <c r="AO163" s="442">
        <f t="shared" si="96"/>
        <v>0</v>
      </c>
      <c r="AP163" s="437">
        <f t="shared" si="258"/>
        <v>0</v>
      </c>
      <c r="AQ163" s="441">
        <f t="shared" si="258"/>
        <v>0</v>
      </c>
      <c r="AR163" s="442">
        <f t="shared" si="97"/>
        <v>0</v>
      </c>
      <c r="AS163" s="443">
        <f t="shared" si="112"/>
        <v>0</v>
      </c>
      <c r="AT163" s="441">
        <f t="shared" si="112"/>
        <v>0</v>
      </c>
      <c r="AU163" s="442">
        <f t="shared" si="98"/>
        <v>0</v>
      </c>
      <c r="AV163" s="601">
        <f t="shared" si="99"/>
        <v>0</v>
      </c>
      <c r="AW163" s="444"/>
      <c r="AX163" s="1111"/>
      <c r="AY163" s="446"/>
      <c r="AZ163" s="1111"/>
      <c r="BA163" s="446"/>
      <c r="BB163" s="1129"/>
      <c r="BC163" s="448"/>
      <c r="BD163" s="449"/>
      <c r="BE163" s="450"/>
      <c r="BF163" s="449"/>
      <c r="BG163" s="450"/>
      <c r="BH163" s="451"/>
      <c r="BI163" s="452"/>
      <c r="BJ163" s="453"/>
      <c r="BK163" s="438"/>
      <c r="BL163" s="453"/>
      <c r="BM163" s="438"/>
      <c r="BN163" s="454"/>
      <c r="BO163" s="455"/>
      <c r="BP163" s="456"/>
      <c r="BQ163" s="457"/>
      <c r="BR163" s="456"/>
      <c r="BS163" s="457"/>
      <c r="BT163" s="458"/>
    </row>
    <row r="164" spans="1:72" s="358" customFormat="1" ht="31.5" customHeight="1">
      <c r="A164" s="287">
        <v>153</v>
      </c>
      <c r="B164" s="933"/>
      <c r="C164" s="850" t="s">
        <v>377</v>
      </c>
      <c r="D164" s="838"/>
      <c r="E164" s="836" t="s">
        <v>201</v>
      </c>
      <c r="F164" s="820" t="s">
        <v>7</v>
      </c>
      <c r="G164" s="360">
        <v>4</v>
      </c>
      <c r="H164" s="360" t="s">
        <v>71</v>
      </c>
      <c r="I164" s="360">
        <v>244</v>
      </c>
      <c r="J164" s="361">
        <v>346</v>
      </c>
      <c r="K164" s="532" t="s">
        <v>16</v>
      </c>
      <c r="L164" s="1023">
        <f>SUM(L165:L167)</f>
        <v>65398.55</v>
      </c>
      <c r="M164" s="363"/>
      <c r="N164" s="1023">
        <f>SUM(N165:N167)</f>
        <v>0</v>
      </c>
      <c r="O164" s="1051">
        <f t="shared" si="101"/>
        <v>65398.55</v>
      </c>
      <c r="P164" s="557"/>
      <c r="Q164" s="367">
        <f>Q167</f>
        <v>0</v>
      </c>
      <c r="R164" s="557">
        <f t="shared" ref="R164:S164" si="261">R167</f>
        <v>0</v>
      </c>
      <c r="S164" s="367">
        <f t="shared" si="261"/>
        <v>0</v>
      </c>
      <c r="T164" s="557"/>
      <c r="U164" s="365"/>
      <c r="V164" s="366"/>
      <c r="W164" s="366"/>
      <c r="X164" s="366"/>
      <c r="Z164" s="367">
        <f t="shared" si="253"/>
        <v>32690</v>
      </c>
      <c r="AA164" s="363">
        <f t="shared" si="253"/>
        <v>32690</v>
      </c>
      <c r="AB164" s="280">
        <f t="shared" si="92"/>
        <v>0</v>
      </c>
      <c r="AC164" s="367">
        <f t="shared" si="254"/>
        <v>32708.26</v>
      </c>
      <c r="AD164" s="363">
        <f t="shared" si="254"/>
        <v>12962.5</v>
      </c>
      <c r="AE164" s="280">
        <f t="shared" si="93"/>
        <v>19745.759999999998</v>
      </c>
      <c r="AF164" s="367">
        <f t="shared" si="255"/>
        <v>0</v>
      </c>
      <c r="AG164" s="363">
        <f t="shared" si="255"/>
        <v>0</v>
      </c>
      <c r="AH164" s="280">
        <f t="shared" si="94"/>
        <v>0</v>
      </c>
      <c r="AI164" s="367">
        <f t="shared" si="256"/>
        <v>0</v>
      </c>
      <c r="AJ164" s="363">
        <f t="shared" si="256"/>
        <v>0</v>
      </c>
      <c r="AK164" s="280">
        <f t="shared" si="95"/>
        <v>0</v>
      </c>
      <c r="AL164" s="368"/>
      <c r="AM164" s="367">
        <f t="shared" si="257"/>
        <v>65398.26</v>
      </c>
      <c r="AN164" s="363">
        <f t="shared" si="257"/>
        <v>45652.5</v>
      </c>
      <c r="AO164" s="280">
        <f t="shared" si="96"/>
        <v>19745.759999999998</v>
      </c>
      <c r="AP164" s="367">
        <f t="shared" si="258"/>
        <v>65398.26</v>
      </c>
      <c r="AQ164" s="363">
        <f t="shared" si="258"/>
        <v>45652.5</v>
      </c>
      <c r="AR164" s="280">
        <f t="shared" si="97"/>
        <v>19745.759999999998</v>
      </c>
      <c r="AS164" s="367">
        <f t="shared" si="112"/>
        <v>65398.26</v>
      </c>
      <c r="AT164" s="363">
        <f t="shared" si="112"/>
        <v>45652.5</v>
      </c>
      <c r="AU164" s="280">
        <f t="shared" si="98"/>
        <v>19745.759999999998</v>
      </c>
      <c r="AV164" s="588">
        <f t="shared" si="99"/>
        <v>0.28999999999999998</v>
      </c>
      <c r="AW164" s="367">
        <f>SUM(AW165:AW167)</f>
        <v>1050</v>
      </c>
      <c r="AX164" s="1097">
        <f t="shared" ref="AX164:BS164" si="262">SUM(AX165:AX167)</f>
        <v>1050</v>
      </c>
      <c r="AY164" s="363">
        <f t="shared" si="262"/>
        <v>31640</v>
      </c>
      <c r="AZ164" s="1097">
        <f t="shared" si="262"/>
        <v>31640</v>
      </c>
      <c r="BA164" s="363">
        <f t="shared" si="262"/>
        <v>0</v>
      </c>
      <c r="BB164" s="1119">
        <f t="shared" si="262"/>
        <v>0</v>
      </c>
      <c r="BC164" s="367">
        <f t="shared" si="262"/>
        <v>12962.5</v>
      </c>
      <c r="BD164" s="363">
        <f t="shared" si="262"/>
        <v>12962.5</v>
      </c>
      <c r="BE164" s="363">
        <f t="shared" si="262"/>
        <v>0</v>
      </c>
      <c r="BF164" s="363">
        <f t="shared" si="262"/>
        <v>0</v>
      </c>
      <c r="BG164" s="363">
        <f t="shared" si="262"/>
        <v>19745.759999999998</v>
      </c>
      <c r="BH164" s="369">
        <f t="shared" si="262"/>
        <v>0</v>
      </c>
      <c r="BI164" s="367">
        <f t="shared" si="262"/>
        <v>0</v>
      </c>
      <c r="BJ164" s="363">
        <f t="shared" si="262"/>
        <v>0</v>
      </c>
      <c r="BK164" s="363">
        <f t="shared" si="262"/>
        <v>0</v>
      </c>
      <c r="BL164" s="363">
        <f t="shared" si="262"/>
        <v>0</v>
      </c>
      <c r="BM164" s="363">
        <f t="shared" si="262"/>
        <v>0</v>
      </c>
      <c r="BN164" s="369">
        <f t="shared" si="262"/>
        <v>0</v>
      </c>
      <c r="BO164" s="367">
        <f t="shared" si="262"/>
        <v>0</v>
      </c>
      <c r="BP164" s="363">
        <f t="shared" si="262"/>
        <v>0</v>
      </c>
      <c r="BQ164" s="363">
        <f t="shared" si="262"/>
        <v>0</v>
      </c>
      <c r="BR164" s="363">
        <f t="shared" si="262"/>
        <v>0</v>
      </c>
      <c r="BS164" s="363">
        <f t="shared" si="262"/>
        <v>0</v>
      </c>
      <c r="BT164" s="280">
        <f t="shared" ref="BT164" si="263">SUM(BT167:BT167)</f>
        <v>0</v>
      </c>
    </row>
    <row r="165" spans="1:72" s="313" customFormat="1" ht="108" customHeight="1" outlineLevel="1">
      <c r="A165" s="287">
        <v>154</v>
      </c>
      <c r="B165" s="1176" t="s">
        <v>816</v>
      </c>
      <c r="C165" s="840"/>
      <c r="D165" s="841"/>
      <c r="E165" s="839"/>
      <c r="F165" s="821" t="s">
        <v>7</v>
      </c>
      <c r="G165" s="314">
        <v>4</v>
      </c>
      <c r="H165" s="739" t="s">
        <v>71</v>
      </c>
      <c r="I165" s="739">
        <v>244</v>
      </c>
      <c r="J165" s="740">
        <v>346</v>
      </c>
      <c r="K165" s="533" t="s">
        <v>312</v>
      </c>
      <c r="L165" s="1025">
        <f>65398.55-1050</f>
        <v>64348.55</v>
      </c>
      <c r="M165" s="318"/>
      <c r="N165" s="1069"/>
      <c r="O165" s="1052">
        <f t="shared" si="101"/>
        <v>64348.55</v>
      </c>
      <c r="P165" s="559"/>
      <c r="Q165" s="341">
        <v>0</v>
      </c>
      <c r="R165" s="559"/>
      <c r="S165" s="341">
        <v>0</v>
      </c>
      <c r="T165" s="559"/>
      <c r="U165" s="335"/>
      <c r="V165" s="597" t="s">
        <v>456</v>
      </c>
      <c r="W165" s="597" t="s">
        <v>858</v>
      </c>
      <c r="X165" s="597" t="s">
        <v>860</v>
      </c>
      <c r="Z165" s="336">
        <f t="shared" si="253"/>
        <v>31640</v>
      </c>
      <c r="AA165" s="337">
        <f t="shared" si="253"/>
        <v>31640</v>
      </c>
      <c r="AB165" s="338">
        <f t="shared" si="92"/>
        <v>0</v>
      </c>
      <c r="AC165" s="336">
        <f t="shared" si="254"/>
        <v>32708.26</v>
      </c>
      <c r="AD165" s="337">
        <f t="shared" si="254"/>
        <v>12962.5</v>
      </c>
      <c r="AE165" s="338">
        <f t="shared" si="93"/>
        <v>19745.759999999998</v>
      </c>
      <c r="AF165" s="336">
        <f t="shared" si="255"/>
        <v>0</v>
      </c>
      <c r="AG165" s="337">
        <f t="shared" si="255"/>
        <v>0</v>
      </c>
      <c r="AH165" s="338">
        <f t="shared" si="94"/>
        <v>0</v>
      </c>
      <c r="AI165" s="336">
        <f t="shared" si="256"/>
        <v>0</v>
      </c>
      <c r="AJ165" s="337">
        <f t="shared" si="256"/>
        <v>0</v>
      </c>
      <c r="AK165" s="338">
        <f t="shared" si="95"/>
        <v>0</v>
      </c>
      <c r="AL165" s="342"/>
      <c r="AM165" s="336">
        <f t="shared" si="257"/>
        <v>64348.26</v>
      </c>
      <c r="AN165" s="339">
        <f t="shared" si="257"/>
        <v>44602.5</v>
      </c>
      <c r="AO165" s="340">
        <f t="shared" si="96"/>
        <v>19745.759999999998</v>
      </c>
      <c r="AP165" s="336">
        <f t="shared" si="258"/>
        <v>64348.26</v>
      </c>
      <c r="AQ165" s="339">
        <f t="shared" si="258"/>
        <v>44602.5</v>
      </c>
      <c r="AR165" s="340">
        <f t="shared" si="97"/>
        <v>19745.759999999998</v>
      </c>
      <c r="AS165" s="341">
        <f t="shared" si="112"/>
        <v>64348.26</v>
      </c>
      <c r="AT165" s="339">
        <f t="shared" si="112"/>
        <v>44602.5</v>
      </c>
      <c r="AU165" s="340">
        <f t="shared" si="98"/>
        <v>19745.759999999998</v>
      </c>
      <c r="AV165" s="803">
        <f t="shared" si="99"/>
        <v>0.28999999999999998</v>
      </c>
      <c r="AW165" s="343"/>
      <c r="AX165" s="1098"/>
      <c r="AY165" s="345">
        <v>31640</v>
      </c>
      <c r="AZ165" s="1098">
        <v>31640</v>
      </c>
      <c r="BA165" s="345"/>
      <c r="BB165" s="1120"/>
      <c r="BC165" s="1134">
        <f>12962.5</f>
        <v>12962.5</v>
      </c>
      <c r="BD165" s="1140">
        <v>12962.5</v>
      </c>
      <c r="BE165" s="419"/>
      <c r="BF165" s="348"/>
      <c r="BG165" s="1135">
        <v>19745.759999999998</v>
      </c>
      <c r="BH165" s="350"/>
      <c r="BI165" s="351"/>
      <c r="BJ165" s="352"/>
      <c r="BK165" s="337"/>
      <c r="BL165" s="352"/>
      <c r="BM165" s="337"/>
      <c r="BN165" s="353"/>
      <c r="BO165" s="354"/>
      <c r="BP165" s="355"/>
      <c r="BQ165" s="356"/>
      <c r="BR165" s="355"/>
      <c r="BS165" s="356"/>
      <c r="BT165" s="357"/>
    </row>
    <row r="166" spans="1:72" s="1087" customFormat="1" ht="38.25" outlineLevel="1">
      <c r="A166" s="287">
        <v>155</v>
      </c>
      <c r="B166" s="1177" t="s">
        <v>716</v>
      </c>
      <c r="C166" s="1071"/>
      <c r="D166" s="1072"/>
      <c r="E166" s="1073"/>
      <c r="F166" s="1074" t="s">
        <v>7</v>
      </c>
      <c r="G166" s="1075">
        <v>4</v>
      </c>
      <c r="H166" s="1076" t="s">
        <v>71</v>
      </c>
      <c r="I166" s="1076">
        <v>244</v>
      </c>
      <c r="J166" s="1077">
        <v>346</v>
      </c>
      <c r="K166" s="1078" t="s">
        <v>715</v>
      </c>
      <c r="L166" s="1079">
        <v>0</v>
      </c>
      <c r="M166" s="1080"/>
      <c r="N166" s="1081"/>
      <c r="O166" s="1082">
        <f t="shared" si="101"/>
        <v>0</v>
      </c>
      <c r="P166" s="1083"/>
      <c r="Q166" s="1084">
        <v>0</v>
      </c>
      <c r="R166" s="1083"/>
      <c r="S166" s="1084">
        <v>0</v>
      </c>
      <c r="T166" s="1083"/>
      <c r="U166" s="1085"/>
      <c r="V166" s="1086" t="s">
        <v>718</v>
      </c>
      <c r="W166" s="1086"/>
      <c r="X166" s="1086"/>
      <c r="Z166" s="1088">
        <f t="shared" si="253"/>
        <v>0</v>
      </c>
      <c r="AA166" s="1089">
        <f t="shared" si="253"/>
        <v>0</v>
      </c>
      <c r="AB166" s="1090">
        <f t="shared" si="92"/>
        <v>0</v>
      </c>
      <c r="AC166" s="1088">
        <f t="shared" si="254"/>
        <v>0</v>
      </c>
      <c r="AD166" s="1089">
        <f t="shared" si="254"/>
        <v>0</v>
      </c>
      <c r="AE166" s="1090">
        <f t="shared" si="93"/>
        <v>0</v>
      </c>
      <c r="AF166" s="1088">
        <f t="shared" si="255"/>
        <v>0</v>
      </c>
      <c r="AG166" s="1089">
        <f t="shared" si="255"/>
        <v>0</v>
      </c>
      <c r="AH166" s="1090">
        <f t="shared" si="94"/>
        <v>0</v>
      </c>
      <c r="AI166" s="1088">
        <f t="shared" si="256"/>
        <v>0</v>
      </c>
      <c r="AJ166" s="1089">
        <f t="shared" si="256"/>
        <v>0</v>
      </c>
      <c r="AK166" s="1090">
        <f t="shared" si="95"/>
        <v>0</v>
      </c>
      <c r="AL166" s="1091"/>
      <c r="AM166" s="1088">
        <f t="shared" si="257"/>
        <v>0</v>
      </c>
      <c r="AN166" s="1089">
        <f t="shared" si="257"/>
        <v>0</v>
      </c>
      <c r="AO166" s="1090">
        <f t="shared" si="96"/>
        <v>0</v>
      </c>
      <c r="AP166" s="1088">
        <f t="shared" si="258"/>
        <v>0</v>
      </c>
      <c r="AQ166" s="1089">
        <f t="shared" si="258"/>
        <v>0</v>
      </c>
      <c r="AR166" s="1090">
        <f t="shared" si="97"/>
        <v>0</v>
      </c>
      <c r="AS166" s="1084">
        <f t="shared" si="112"/>
        <v>0</v>
      </c>
      <c r="AT166" s="1089">
        <f t="shared" si="112"/>
        <v>0</v>
      </c>
      <c r="AU166" s="1090">
        <f t="shared" si="98"/>
        <v>0</v>
      </c>
      <c r="AV166" s="1092">
        <f t="shared" si="99"/>
        <v>0</v>
      </c>
      <c r="AW166" s="1088"/>
      <c r="AX166" s="1112"/>
      <c r="AY166" s="1089"/>
      <c r="AZ166" s="1112"/>
      <c r="BA166" s="1089"/>
      <c r="BB166" s="1130"/>
      <c r="BC166" s="1088"/>
      <c r="BD166" s="1089"/>
      <c r="BE166" s="1089"/>
      <c r="BF166" s="1089"/>
      <c r="BG166" s="1089"/>
      <c r="BH166" s="1093"/>
      <c r="BI166" s="1088"/>
      <c r="BJ166" s="1089"/>
      <c r="BK166" s="1089"/>
      <c r="BL166" s="1089"/>
      <c r="BM166" s="1089"/>
      <c r="BN166" s="1093"/>
      <c r="BO166" s="1088"/>
      <c r="BP166" s="1089"/>
      <c r="BQ166" s="1089"/>
      <c r="BR166" s="1089"/>
      <c r="BS166" s="1089"/>
      <c r="BT166" s="1090"/>
    </row>
    <row r="167" spans="1:72" s="313" customFormat="1" ht="25.5" outlineLevel="1">
      <c r="A167" s="287">
        <v>156</v>
      </c>
      <c r="B167" s="1148"/>
      <c r="C167" s="840"/>
      <c r="D167" s="841"/>
      <c r="E167" s="839"/>
      <c r="F167" s="821" t="s">
        <v>7</v>
      </c>
      <c r="G167" s="314">
        <v>4</v>
      </c>
      <c r="H167" s="739" t="s">
        <v>71</v>
      </c>
      <c r="I167" s="739">
        <v>244</v>
      </c>
      <c r="J167" s="740">
        <v>346</v>
      </c>
      <c r="K167" s="533" t="s">
        <v>667</v>
      </c>
      <c r="L167" s="1025">
        <v>1050</v>
      </c>
      <c r="M167" s="318"/>
      <c r="N167" s="1069"/>
      <c r="O167" s="1052">
        <f t="shared" si="101"/>
        <v>1050</v>
      </c>
      <c r="P167" s="559"/>
      <c r="Q167" s="341">
        <v>0</v>
      </c>
      <c r="R167" s="559"/>
      <c r="S167" s="341">
        <v>0</v>
      </c>
      <c r="T167" s="559"/>
      <c r="U167" s="335"/>
      <c r="V167" s="597" t="s">
        <v>665</v>
      </c>
      <c r="W167" s="597" t="s">
        <v>666</v>
      </c>
      <c r="X167" s="597"/>
      <c r="Z167" s="336">
        <f t="shared" si="253"/>
        <v>1050</v>
      </c>
      <c r="AA167" s="337">
        <f t="shared" si="253"/>
        <v>1050</v>
      </c>
      <c r="AB167" s="338">
        <f t="shared" si="92"/>
        <v>0</v>
      </c>
      <c r="AC167" s="336">
        <f t="shared" si="254"/>
        <v>0</v>
      </c>
      <c r="AD167" s="337">
        <f t="shared" si="254"/>
        <v>0</v>
      </c>
      <c r="AE167" s="338">
        <f t="shared" si="93"/>
        <v>0</v>
      </c>
      <c r="AF167" s="336">
        <f t="shared" si="255"/>
        <v>0</v>
      </c>
      <c r="AG167" s="337">
        <f t="shared" si="255"/>
        <v>0</v>
      </c>
      <c r="AH167" s="338">
        <f t="shared" si="94"/>
        <v>0</v>
      </c>
      <c r="AI167" s="336">
        <f t="shared" si="256"/>
        <v>0</v>
      </c>
      <c r="AJ167" s="337">
        <f t="shared" si="256"/>
        <v>0</v>
      </c>
      <c r="AK167" s="338">
        <f t="shared" si="95"/>
        <v>0</v>
      </c>
      <c r="AL167" s="342"/>
      <c r="AM167" s="336">
        <f t="shared" si="257"/>
        <v>1050</v>
      </c>
      <c r="AN167" s="339">
        <f t="shared" si="257"/>
        <v>1050</v>
      </c>
      <c r="AO167" s="340">
        <f t="shared" si="96"/>
        <v>0</v>
      </c>
      <c r="AP167" s="336">
        <f t="shared" si="258"/>
        <v>1050</v>
      </c>
      <c r="AQ167" s="339">
        <f t="shared" si="258"/>
        <v>1050</v>
      </c>
      <c r="AR167" s="340">
        <f t="shared" si="97"/>
        <v>0</v>
      </c>
      <c r="AS167" s="341">
        <f t="shared" si="112"/>
        <v>1050</v>
      </c>
      <c r="AT167" s="339">
        <f t="shared" si="112"/>
        <v>1050</v>
      </c>
      <c r="AU167" s="340">
        <f t="shared" si="98"/>
        <v>0</v>
      </c>
      <c r="AV167" s="589">
        <f t="shared" si="99"/>
        <v>0</v>
      </c>
      <c r="AW167" s="343">
        <v>1050</v>
      </c>
      <c r="AX167" s="1098">
        <v>1050</v>
      </c>
      <c r="AY167" s="345"/>
      <c r="AZ167" s="1098"/>
      <c r="BA167" s="345"/>
      <c r="BB167" s="1120"/>
      <c r="BC167" s="347"/>
      <c r="BD167" s="348"/>
      <c r="BE167" s="349"/>
      <c r="BF167" s="348"/>
      <c r="BG167" s="349"/>
      <c r="BH167" s="350"/>
      <c r="BI167" s="351"/>
      <c r="BJ167" s="352"/>
      <c r="BK167" s="337"/>
      <c r="BL167" s="352"/>
      <c r="BM167" s="337"/>
      <c r="BN167" s="353"/>
      <c r="BO167" s="354"/>
      <c r="BP167" s="355"/>
      <c r="BQ167" s="356"/>
      <c r="BR167" s="355"/>
      <c r="BS167" s="356"/>
      <c r="BT167" s="357"/>
    </row>
    <row r="168" spans="1:72" s="358" customFormat="1" ht="31.5">
      <c r="A168" s="287">
        <v>157</v>
      </c>
      <c r="B168" s="933"/>
      <c r="C168" s="837"/>
      <c r="D168" s="838"/>
      <c r="E168" s="836" t="s">
        <v>201</v>
      </c>
      <c r="F168" s="820" t="s">
        <v>7</v>
      </c>
      <c r="G168" s="360">
        <v>4</v>
      </c>
      <c r="H168" s="360" t="s">
        <v>71</v>
      </c>
      <c r="I168" s="360">
        <v>244</v>
      </c>
      <c r="J168" s="489">
        <v>345</v>
      </c>
      <c r="K168" s="532" t="s">
        <v>311</v>
      </c>
      <c r="L168" s="1023">
        <v>12502</v>
      </c>
      <c r="M168" s="363"/>
      <c r="N168" s="363"/>
      <c r="O168" s="1051">
        <f t="shared" si="101"/>
        <v>12502</v>
      </c>
      <c r="P168" s="557"/>
      <c r="Q168" s="367">
        <v>0</v>
      </c>
      <c r="R168" s="557"/>
      <c r="S168" s="367">
        <v>0</v>
      </c>
      <c r="T168" s="557"/>
      <c r="U168" s="365"/>
      <c r="V168" s="320"/>
      <c r="W168" s="320"/>
      <c r="X168" s="320"/>
      <c r="Z168" s="367">
        <f t="shared" si="253"/>
        <v>0</v>
      </c>
      <c r="AA168" s="363">
        <f t="shared" si="253"/>
        <v>0</v>
      </c>
      <c r="AB168" s="280">
        <f t="shared" si="92"/>
        <v>0</v>
      </c>
      <c r="AC168" s="367">
        <f t="shared" si="254"/>
        <v>0</v>
      </c>
      <c r="AD168" s="363">
        <f t="shared" si="254"/>
        <v>0</v>
      </c>
      <c r="AE168" s="280">
        <f t="shared" si="93"/>
        <v>0</v>
      </c>
      <c r="AF168" s="367">
        <f t="shared" si="255"/>
        <v>0</v>
      </c>
      <c r="AG168" s="363">
        <f t="shared" si="255"/>
        <v>0</v>
      </c>
      <c r="AH168" s="280">
        <f t="shared" si="94"/>
        <v>0</v>
      </c>
      <c r="AI168" s="367">
        <f t="shared" si="256"/>
        <v>12502</v>
      </c>
      <c r="AJ168" s="363">
        <f t="shared" si="256"/>
        <v>0</v>
      </c>
      <c r="AK168" s="280">
        <f t="shared" si="95"/>
        <v>12502</v>
      </c>
      <c r="AL168" s="368"/>
      <c r="AM168" s="367">
        <f t="shared" si="257"/>
        <v>0</v>
      </c>
      <c r="AN168" s="363">
        <f t="shared" si="257"/>
        <v>0</v>
      </c>
      <c r="AO168" s="280">
        <f t="shared" si="96"/>
        <v>0</v>
      </c>
      <c r="AP168" s="367">
        <f t="shared" si="258"/>
        <v>0</v>
      </c>
      <c r="AQ168" s="363">
        <f t="shared" si="258"/>
        <v>0</v>
      </c>
      <c r="AR168" s="280">
        <f t="shared" si="97"/>
        <v>0</v>
      </c>
      <c r="AS168" s="367">
        <f t="shared" si="112"/>
        <v>12502</v>
      </c>
      <c r="AT168" s="363">
        <f t="shared" si="112"/>
        <v>0</v>
      </c>
      <c r="AU168" s="280">
        <f t="shared" si="98"/>
        <v>12502</v>
      </c>
      <c r="AV168" s="588">
        <f t="shared" si="99"/>
        <v>0</v>
      </c>
      <c r="AW168" s="367"/>
      <c r="AX168" s="1097"/>
      <c r="AY168" s="363"/>
      <c r="AZ168" s="1097"/>
      <c r="BA168" s="363"/>
      <c r="BB168" s="1119"/>
      <c r="BC168" s="367"/>
      <c r="BD168" s="363"/>
      <c r="BE168" s="363"/>
      <c r="BF168" s="363"/>
      <c r="BG168" s="363"/>
      <c r="BH168" s="369"/>
      <c r="BI168" s="367"/>
      <c r="BJ168" s="363"/>
      <c r="BK168" s="363"/>
      <c r="BL168" s="363"/>
      <c r="BM168" s="363"/>
      <c r="BN168" s="369"/>
      <c r="BO168" s="367"/>
      <c r="BP168" s="363"/>
      <c r="BQ168" s="363">
        <v>12502</v>
      </c>
      <c r="BR168" s="363"/>
      <c r="BS168" s="363"/>
      <c r="BT168" s="280"/>
    </row>
    <row r="169" spans="1:72" s="358" customFormat="1" ht="31.5">
      <c r="A169" s="287">
        <v>158</v>
      </c>
      <c r="B169" s="933"/>
      <c r="C169" s="837"/>
      <c r="D169" s="853" t="s">
        <v>216</v>
      </c>
      <c r="E169" s="836" t="s">
        <v>201</v>
      </c>
      <c r="F169" s="820" t="s">
        <v>7</v>
      </c>
      <c r="G169" s="360">
        <v>4</v>
      </c>
      <c r="H169" s="360" t="s">
        <v>71</v>
      </c>
      <c r="I169" s="360">
        <v>851</v>
      </c>
      <c r="J169" s="361">
        <v>291</v>
      </c>
      <c r="K169" s="532" t="s">
        <v>28</v>
      </c>
      <c r="L169" s="1023">
        <f>119325-19888</f>
        <v>99437</v>
      </c>
      <c r="M169" s="363"/>
      <c r="N169" s="363"/>
      <c r="O169" s="1051">
        <f t="shared" ref="O169:O176" si="264">L169+N169</f>
        <v>99437</v>
      </c>
      <c r="P169" s="557"/>
      <c r="Q169" s="367">
        <v>0</v>
      </c>
      <c r="R169" s="557"/>
      <c r="S169" s="367">
        <v>0</v>
      </c>
      <c r="T169" s="557"/>
      <c r="U169" s="365"/>
      <c r="V169" s="366"/>
      <c r="W169" s="366"/>
      <c r="X169" s="366"/>
      <c r="Z169" s="367">
        <f t="shared" si="253"/>
        <v>99437</v>
      </c>
      <c r="AA169" s="363">
        <f t="shared" si="253"/>
        <v>99437</v>
      </c>
      <c r="AB169" s="280">
        <f t="shared" si="92"/>
        <v>0</v>
      </c>
      <c r="AC169" s="367">
        <f t="shared" si="254"/>
        <v>0</v>
      </c>
      <c r="AD169" s="363">
        <f t="shared" si="254"/>
        <v>0</v>
      </c>
      <c r="AE169" s="280">
        <f t="shared" si="93"/>
        <v>0</v>
      </c>
      <c r="AF169" s="367">
        <f t="shared" si="255"/>
        <v>0</v>
      </c>
      <c r="AG169" s="363">
        <f t="shared" si="255"/>
        <v>0</v>
      </c>
      <c r="AH169" s="280">
        <f t="shared" si="94"/>
        <v>0</v>
      </c>
      <c r="AI169" s="367">
        <f t="shared" si="256"/>
        <v>0</v>
      </c>
      <c r="AJ169" s="363">
        <f t="shared" si="256"/>
        <v>0</v>
      </c>
      <c r="AK169" s="280">
        <f t="shared" si="95"/>
        <v>0</v>
      </c>
      <c r="AL169" s="368"/>
      <c r="AM169" s="367">
        <f t="shared" si="257"/>
        <v>99437</v>
      </c>
      <c r="AN169" s="363">
        <f t="shared" si="257"/>
        <v>99437</v>
      </c>
      <c r="AO169" s="280">
        <f t="shared" si="96"/>
        <v>0</v>
      </c>
      <c r="AP169" s="367">
        <f t="shared" si="258"/>
        <v>99437</v>
      </c>
      <c r="AQ169" s="363">
        <f t="shared" si="258"/>
        <v>99437</v>
      </c>
      <c r="AR169" s="280">
        <f t="shared" si="97"/>
        <v>0</v>
      </c>
      <c r="AS169" s="367">
        <f t="shared" si="112"/>
        <v>99437</v>
      </c>
      <c r="AT169" s="363">
        <f t="shared" si="112"/>
        <v>99437</v>
      </c>
      <c r="AU169" s="280">
        <f t="shared" si="98"/>
        <v>0</v>
      </c>
      <c r="AV169" s="588">
        <f t="shared" si="99"/>
        <v>0</v>
      </c>
      <c r="AW169" s="367"/>
      <c r="AX169" s="1097"/>
      <c r="AY169" s="363"/>
      <c r="AZ169" s="1097"/>
      <c r="BA169" s="363">
        <v>99437</v>
      </c>
      <c r="BB169" s="1119">
        <v>99437</v>
      </c>
      <c r="BC169" s="367"/>
      <c r="BD169" s="363"/>
      <c r="BE169" s="363"/>
      <c r="BF169" s="363"/>
      <c r="BG169" s="363"/>
      <c r="BH169" s="369"/>
      <c r="BI169" s="367"/>
      <c r="BJ169" s="363"/>
      <c r="BK169" s="363"/>
      <c r="BL169" s="363"/>
      <c r="BM169" s="363"/>
      <c r="BN169" s="369"/>
      <c r="BO169" s="367"/>
      <c r="BP169" s="363"/>
      <c r="BQ169" s="363"/>
      <c r="BR169" s="363"/>
      <c r="BS169" s="363"/>
      <c r="BT169" s="280"/>
    </row>
    <row r="170" spans="1:72" s="358" customFormat="1" ht="31.5">
      <c r="A170" s="287">
        <v>159</v>
      </c>
      <c r="B170" s="933"/>
      <c r="C170" s="837"/>
      <c r="D170" s="838"/>
      <c r="E170" s="836" t="s">
        <v>201</v>
      </c>
      <c r="F170" s="820" t="s">
        <v>7</v>
      </c>
      <c r="G170" s="360">
        <v>4</v>
      </c>
      <c r="H170" s="360" t="s">
        <v>71</v>
      </c>
      <c r="I170" s="360">
        <v>853</v>
      </c>
      <c r="J170" s="361">
        <v>297</v>
      </c>
      <c r="K170" s="532" t="s">
        <v>38</v>
      </c>
      <c r="L170" s="1042">
        <v>47779.58</v>
      </c>
      <c r="M170" s="363"/>
      <c r="N170" s="363"/>
      <c r="O170" s="1051">
        <f t="shared" si="264"/>
        <v>47779.58</v>
      </c>
      <c r="P170" s="557">
        <f>62938.83-L170-L250</f>
        <v>7733.24</v>
      </c>
      <c r="Q170" s="585">
        <v>26356.95</v>
      </c>
      <c r="R170" s="585"/>
      <c r="S170" s="585">
        <v>26256.63</v>
      </c>
      <c r="T170" s="557"/>
      <c r="U170" s="365"/>
      <c r="V170" s="366"/>
      <c r="W170" s="366"/>
      <c r="X170" s="366"/>
      <c r="Z170" s="367">
        <f t="shared" si="253"/>
        <v>0</v>
      </c>
      <c r="AA170" s="363">
        <f t="shared" si="253"/>
        <v>0</v>
      </c>
      <c r="AB170" s="280">
        <f t="shared" si="92"/>
        <v>0</v>
      </c>
      <c r="AC170" s="367">
        <f t="shared" si="254"/>
        <v>0</v>
      </c>
      <c r="AD170" s="363">
        <f t="shared" si="254"/>
        <v>0</v>
      </c>
      <c r="AE170" s="280">
        <f t="shared" si="93"/>
        <v>0</v>
      </c>
      <c r="AF170" s="367">
        <f t="shared" si="255"/>
        <v>0</v>
      </c>
      <c r="AG170" s="363">
        <f t="shared" si="255"/>
        <v>0</v>
      </c>
      <c r="AH170" s="280">
        <f t="shared" si="94"/>
        <v>0</v>
      </c>
      <c r="AI170" s="367">
        <f t="shared" si="256"/>
        <v>47779.58</v>
      </c>
      <c r="AJ170" s="363">
        <f t="shared" si="256"/>
        <v>0</v>
      </c>
      <c r="AK170" s="280">
        <f t="shared" si="95"/>
        <v>47779.58</v>
      </c>
      <c r="AL170" s="368"/>
      <c r="AM170" s="367">
        <f t="shared" si="257"/>
        <v>0</v>
      </c>
      <c r="AN170" s="363">
        <f t="shared" si="257"/>
        <v>0</v>
      </c>
      <c r="AO170" s="280">
        <f t="shared" si="96"/>
        <v>0</v>
      </c>
      <c r="AP170" s="367">
        <f t="shared" si="258"/>
        <v>0</v>
      </c>
      <c r="AQ170" s="363">
        <f t="shared" si="258"/>
        <v>0</v>
      </c>
      <c r="AR170" s="280">
        <f t="shared" si="97"/>
        <v>0</v>
      </c>
      <c r="AS170" s="367">
        <f t="shared" si="112"/>
        <v>47779.58</v>
      </c>
      <c r="AT170" s="363">
        <f t="shared" si="112"/>
        <v>0</v>
      </c>
      <c r="AU170" s="280">
        <f t="shared" si="98"/>
        <v>47779.58</v>
      </c>
      <c r="AV170" s="588">
        <f t="shared" si="99"/>
        <v>0</v>
      </c>
      <c r="AW170" s="367"/>
      <c r="AX170" s="1097"/>
      <c r="AY170" s="363"/>
      <c r="AZ170" s="1097"/>
      <c r="BA170" s="363"/>
      <c r="BB170" s="1119"/>
      <c r="BC170" s="367"/>
      <c r="BD170" s="363"/>
      <c r="BE170" s="363"/>
      <c r="BF170" s="363"/>
      <c r="BG170" s="363"/>
      <c r="BH170" s="369"/>
      <c r="BI170" s="367"/>
      <c r="BJ170" s="363"/>
      <c r="BK170" s="363"/>
      <c r="BL170" s="363"/>
      <c r="BM170" s="363"/>
      <c r="BN170" s="369"/>
      <c r="BO170" s="367"/>
      <c r="BP170" s="363"/>
      <c r="BQ170" s="363"/>
      <c r="BR170" s="363"/>
      <c r="BS170" s="363">
        <v>47779.58</v>
      </c>
      <c r="BT170" s="280"/>
    </row>
    <row r="171" spans="1:72" s="358" customFormat="1" ht="63">
      <c r="A171" s="287">
        <v>160</v>
      </c>
      <c r="B171" s="933"/>
      <c r="C171" s="837" t="s">
        <v>377</v>
      </c>
      <c r="D171" s="838"/>
      <c r="E171" s="836" t="s">
        <v>201</v>
      </c>
      <c r="F171" s="830" t="s">
        <v>30</v>
      </c>
      <c r="G171" s="360">
        <v>4</v>
      </c>
      <c r="H171" s="506" t="s">
        <v>47</v>
      </c>
      <c r="I171" s="360">
        <v>244</v>
      </c>
      <c r="J171" s="361">
        <v>310</v>
      </c>
      <c r="K171" s="362" t="s">
        <v>790</v>
      </c>
      <c r="L171" s="1023">
        <f>L172</f>
        <v>306800</v>
      </c>
      <c r="M171" s="363"/>
      <c r="N171" s="363">
        <f>N172</f>
        <v>34100</v>
      </c>
      <c r="O171" s="1051">
        <f t="shared" si="264"/>
        <v>340900</v>
      </c>
      <c r="P171" s="557"/>
      <c r="Q171" s="367">
        <v>0</v>
      </c>
      <c r="R171" s="557"/>
      <c r="S171" s="367">
        <v>0</v>
      </c>
      <c r="T171" s="557"/>
      <c r="U171" s="365"/>
      <c r="V171" s="366"/>
      <c r="W171" s="366"/>
      <c r="X171" s="366"/>
      <c r="Z171" s="367">
        <f t="shared" si="253"/>
        <v>0</v>
      </c>
      <c r="AA171" s="363">
        <f t="shared" si="253"/>
        <v>0</v>
      </c>
      <c r="AB171" s="280">
        <f t="shared" si="92"/>
        <v>0</v>
      </c>
      <c r="AC171" s="367">
        <f t="shared" si="254"/>
        <v>306800</v>
      </c>
      <c r="AD171" s="363">
        <f t="shared" si="254"/>
        <v>0</v>
      </c>
      <c r="AE171" s="280">
        <f t="shared" si="93"/>
        <v>306800</v>
      </c>
      <c r="AF171" s="367">
        <f t="shared" si="255"/>
        <v>0</v>
      </c>
      <c r="AG171" s="363">
        <f t="shared" si="255"/>
        <v>0</v>
      </c>
      <c r="AH171" s="280">
        <f t="shared" si="94"/>
        <v>0</v>
      </c>
      <c r="AI171" s="367">
        <f t="shared" si="256"/>
        <v>0</v>
      </c>
      <c r="AJ171" s="363">
        <f t="shared" si="256"/>
        <v>0</v>
      </c>
      <c r="AK171" s="280">
        <f t="shared" si="95"/>
        <v>0</v>
      </c>
      <c r="AL171" s="368"/>
      <c r="AM171" s="367">
        <f t="shared" si="257"/>
        <v>306800</v>
      </c>
      <c r="AN171" s="363">
        <f t="shared" si="257"/>
        <v>0</v>
      </c>
      <c r="AO171" s="280">
        <f t="shared" si="96"/>
        <v>306800</v>
      </c>
      <c r="AP171" s="367">
        <f t="shared" si="258"/>
        <v>306800</v>
      </c>
      <c r="AQ171" s="363">
        <f t="shared" si="258"/>
        <v>0</v>
      </c>
      <c r="AR171" s="280">
        <f t="shared" si="97"/>
        <v>306800</v>
      </c>
      <c r="AS171" s="367">
        <f t="shared" si="112"/>
        <v>306800</v>
      </c>
      <c r="AT171" s="363">
        <f t="shared" si="112"/>
        <v>0</v>
      </c>
      <c r="AU171" s="280">
        <f t="shared" si="98"/>
        <v>306800</v>
      </c>
      <c r="AV171" s="588">
        <f t="shared" si="99"/>
        <v>0</v>
      </c>
      <c r="AW171" s="367">
        <f t="shared" ref="AW171:BT171" si="265">SUM(AW172:AW172)</f>
        <v>0</v>
      </c>
      <c r="AX171" s="1097">
        <f t="shared" si="265"/>
        <v>0</v>
      </c>
      <c r="AY171" s="363">
        <f t="shared" si="265"/>
        <v>0</v>
      </c>
      <c r="AZ171" s="1097">
        <f t="shared" si="265"/>
        <v>0</v>
      </c>
      <c r="BA171" s="363">
        <f t="shared" si="265"/>
        <v>0</v>
      </c>
      <c r="BB171" s="1119">
        <f t="shared" si="265"/>
        <v>0</v>
      </c>
      <c r="BC171" s="367">
        <f t="shared" si="265"/>
        <v>0</v>
      </c>
      <c r="BD171" s="363">
        <f t="shared" si="265"/>
        <v>0</v>
      </c>
      <c r="BE171" s="363">
        <f t="shared" si="265"/>
        <v>0</v>
      </c>
      <c r="BF171" s="363">
        <f t="shared" si="265"/>
        <v>0</v>
      </c>
      <c r="BG171" s="363">
        <f t="shared" si="265"/>
        <v>306800</v>
      </c>
      <c r="BH171" s="369">
        <f t="shared" si="265"/>
        <v>0</v>
      </c>
      <c r="BI171" s="367">
        <f t="shared" si="265"/>
        <v>0</v>
      </c>
      <c r="BJ171" s="363">
        <f t="shared" si="265"/>
        <v>0</v>
      </c>
      <c r="BK171" s="363">
        <f t="shared" si="265"/>
        <v>0</v>
      </c>
      <c r="BL171" s="363">
        <f t="shared" si="265"/>
        <v>0</v>
      </c>
      <c r="BM171" s="363">
        <f t="shared" si="265"/>
        <v>0</v>
      </c>
      <c r="BN171" s="369">
        <f t="shared" si="265"/>
        <v>0</v>
      </c>
      <c r="BO171" s="367">
        <f t="shared" si="265"/>
        <v>0</v>
      </c>
      <c r="BP171" s="363">
        <f t="shared" si="265"/>
        <v>0</v>
      </c>
      <c r="BQ171" s="363">
        <f t="shared" si="265"/>
        <v>0</v>
      </c>
      <c r="BR171" s="363">
        <f t="shared" si="265"/>
        <v>0</v>
      </c>
      <c r="BS171" s="363">
        <f t="shared" si="265"/>
        <v>0</v>
      </c>
      <c r="BT171" s="280">
        <f t="shared" si="265"/>
        <v>0</v>
      </c>
    </row>
    <row r="172" spans="1:72" s="313" customFormat="1" ht="25.5" outlineLevel="1">
      <c r="A172" s="287">
        <v>161</v>
      </c>
      <c r="B172" s="940">
        <v>340900</v>
      </c>
      <c r="C172" s="840"/>
      <c r="D172" s="841"/>
      <c r="E172" s="839"/>
      <c r="F172" s="821" t="s">
        <v>30</v>
      </c>
      <c r="G172" s="314">
        <v>4</v>
      </c>
      <c r="H172" s="739" t="s">
        <v>47</v>
      </c>
      <c r="I172" s="739">
        <v>244</v>
      </c>
      <c r="J172" s="740">
        <v>310</v>
      </c>
      <c r="K172" s="317" t="s">
        <v>303</v>
      </c>
      <c r="L172" s="1029">
        <v>306800</v>
      </c>
      <c r="M172" s="403"/>
      <c r="N172" s="403">
        <v>34100</v>
      </c>
      <c r="O172" s="1063">
        <f t="shared" si="264"/>
        <v>340900</v>
      </c>
      <c r="P172" s="566"/>
      <c r="Q172" s="406">
        <v>0</v>
      </c>
      <c r="R172" s="566"/>
      <c r="S172" s="406">
        <v>0</v>
      </c>
      <c r="T172" s="566"/>
      <c r="U172" s="335"/>
      <c r="V172" s="320"/>
      <c r="W172" s="320"/>
      <c r="X172" s="320"/>
      <c r="Z172" s="336">
        <f t="shared" si="253"/>
        <v>0</v>
      </c>
      <c r="AA172" s="337">
        <f t="shared" si="253"/>
        <v>0</v>
      </c>
      <c r="AB172" s="338">
        <f t="shared" si="92"/>
        <v>0</v>
      </c>
      <c r="AC172" s="336">
        <f t="shared" si="254"/>
        <v>306800</v>
      </c>
      <c r="AD172" s="337">
        <f t="shared" si="254"/>
        <v>0</v>
      </c>
      <c r="AE172" s="338">
        <f t="shared" si="93"/>
        <v>306800</v>
      </c>
      <c r="AF172" s="336">
        <f t="shared" si="255"/>
        <v>0</v>
      </c>
      <c r="AG172" s="337">
        <f t="shared" si="255"/>
        <v>0</v>
      </c>
      <c r="AH172" s="338">
        <f t="shared" si="94"/>
        <v>0</v>
      </c>
      <c r="AI172" s="336">
        <f t="shared" si="256"/>
        <v>0</v>
      </c>
      <c r="AJ172" s="337">
        <f t="shared" si="256"/>
        <v>0</v>
      </c>
      <c r="AK172" s="338">
        <f t="shared" si="95"/>
        <v>0</v>
      </c>
      <c r="AL172" s="342"/>
      <c r="AM172" s="336">
        <f t="shared" si="257"/>
        <v>306800</v>
      </c>
      <c r="AN172" s="339">
        <f t="shared" si="257"/>
        <v>0</v>
      </c>
      <c r="AO172" s="340">
        <f t="shared" si="96"/>
        <v>306800</v>
      </c>
      <c r="AP172" s="336">
        <f t="shared" si="258"/>
        <v>306800</v>
      </c>
      <c r="AQ172" s="339">
        <f t="shared" si="258"/>
        <v>0</v>
      </c>
      <c r="AR172" s="340">
        <f t="shared" si="97"/>
        <v>306800</v>
      </c>
      <c r="AS172" s="341">
        <f t="shared" si="112"/>
        <v>306800</v>
      </c>
      <c r="AT172" s="339">
        <f t="shared" si="112"/>
        <v>0</v>
      </c>
      <c r="AU172" s="340">
        <f t="shared" si="98"/>
        <v>306800</v>
      </c>
      <c r="AV172" s="589">
        <f t="shared" si="99"/>
        <v>0</v>
      </c>
      <c r="AW172" s="343"/>
      <c r="AX172" s="1098"/>
      <c r="AY172" s="345"/>
      <c r="AZ172" s="1098"/>
      <c r="BA172" s="345"/>
      <c r="BB172" s="1120"/>
      <c r="BC172" s="347"/>
      <c r="BD172" s="348"/>
      <c r="BE172" s="349"/>
      <c r="BF172" s="348"/>
      <c r="BG172" s="349">
        <v>306800</v>
      </c>
      <c r="BH172" s="350"/>
      <c r="BI172" s="351"/>
      <c r="BJ172" s="352"/>
      <c r="BK172" s="337"/>
      <c r="BL172" s="352"/>
      <c r="BM172" s="337"/>
      <c r="BN172" s="353"/>
      <c r="BO172" s="354"/>
      <c r="BP172" s="355"/>
      <c r="BQ172" s="356"/>
      <c r="BR172" s="355"/>
      <c r="BS172" s="356"/>
      <c r="BT172" s="357"/>
    </row>
    <row r="173" spans="1:72" s="358" customFormat="1" ht="63">
      <c r="A173" s="287">
        <v>162</v>
      </c>
      <c r="B173" s="933"/>
      <c r="C173" s="837" t="s">
        <v>377</v>
      </c>
      <c r="D173" s="838"/>
      <c r="E173" s="836" t="s">
        <v>201</v>
      </c>
      <c r="F173" s="830" t="s">
        <v>31</v>
      </c>
      <c r="G173" s="360">
        <v>4</v>
      </c>
      <c r="H173" s="506" t="s">
        <v>47</v>
      </c>
      <c r="I173" s="360">
        <v>244</v>
      </c>
      <c r="J173" s="361">
        <v>310</v>
      </c>
      <c r="K173" s="362" t="s">
        <v>790</v>
      </c>
      <c r="L173" s="1023">
        <f>L174</f>
        <v>715900</v>
      </c>
      <c r="M173" s="363"/>
      <c r="N173" s="363">
        <f>N174</f>
        <v>79500</v>
      </c>
      <c r="O173" s="1051">
        <f t="shared" si="264"/>
        <v>795400</v>
      </c>
      <c r="P173" s="557"/>
      <c r="Q173" s="367">
        <v>0</v>
      </c>
      <c r="R173" s="557"/>
      <c r="S173" s="367">
        <v>0</v>
      </c>
      <c r="T173" s="557"/>
      <c r="U173" s="365"/>
      <c r="V173" s="366"/>
      <c r="W173" s="366"/>
      <c r="X173" s="366"/>
      <c r="Z173" s="367">
        <f t="shared" si="253"/>
        <v>0</v>
      </c>
      <c r="AA173" s="363">
        <f t="shared" si="253"/>
        <v>0</v>
      </c>
      <c r="AB173" s="280">
        <f t="shared" si="92"/>
        <v>0</v>
      </c>
      <c r="AC173" s="367">
        <f t="shared" si="254"/>
        <v>715900</v>
      </c>
      <c r="AD173" s="363">
        <f t="shared" si="254"/>
        <v>0</v>
      </c>
      <c r="AE173" s="280">
        <f t="shared" si="93"/>
        <v>715900</v>
      </c>
      <c r="AF173" s="367">
        <f t="shared" si="255"/>
        <v>0</v>
      </c>
      <c r="AG173" s="363">
        <f t="shared" si="255"/>
        <v>0</v>
      </c>
      <c r="AH173" s="280">
        <f t="shared" si="94"/>
        <v>0</v>
      </c>
      <c r="AI173" s="367">
        <f t="shared" si="256"/>
        <v>0</v>
      </c>
      <c r="AJ173" s="363">
        <f t="shared" si="256"/>
        <v>0</v>
      </c>
      <c r="AK173" s="280">
        <f t="shared" si="95"/>
        <v>0</v>
      </c>
      <c r="AL173" s="368"/>
      <c r="AM173" s="367">
        <f t="shared" si="257"/>
        <v>715900</v>
      </c>
      <c r="AN173" s="363">
        <f t="shared" si="257"/>
        <v>0</v>
      </c>
      <c r="AO173" s="280">
        <f t="shared" si="96"/>
        <v>715900</v>
      </c>
      <c r="AP173" s="367">
        <f t="shared" si="258"/>
        <v>715900</v>
      </c>
      <c r="AQ173" s="363">
        <f t="shared" si="258"/>
        <v>0</v>
      </c>
      <c r="AR173" s="280">
        <f t="shared" si="97"/>
        <v>715900</v>
      </c>
      <c r="AS173" s="367">
        <f t="shared" si="112"/>
        <v>715900</v>
      </c>
      <c r="AT173" s="363">
        <f t="shared" si="112"/>
        <v>0</v>
      </c>
      <c r="AU173" s="280">
        <f t="shared" si="98"/>
        <v>715900</v>
      </c>
      <c r="AV173" s="588">
        <f t="shared" si="99"/>
        <v>0</v>
      </c>
      <c r="AW173" s="367">
        <f t="shared" ref="AW173:BT173" si="266">SUM(AW174:AW174)</f>
        <v>0</v>
      </c>
      <c r="AX173" s="1097">
        <f t="shared" si="266"/>
        <v>0</v>
      </c>
      <c r="AY173" s="363">
        <f t="shared" si="266"/>
        <v>0</v>
      </c>
      <c r="AZ173" s="1097">
        <f t="shared" si="266"/>
        <v>0</v>
      </c>
      <c r="BA173" s="363">
        <f t="shared" si="266"/>
        <v>0</v>
      </c>
      <c r="BB173" s="1119">
        <f t="shared" si="266"/>
        <v>0</v>
      </c>
      <c r="BC173" s="367">
        <f t="shared" si="266"/>
        <v>0</v>
      </c>
      <c r="BD173" s="363">
        <f t="shared" si="266"/>
        <v>0</v>
      </c>
      <c r="BE173" s="363">
        <f t="shared" si="266"/>
        <v>0</v>
      </c>
      <c r="BF173" s="363">
        <f t="shared" si="266"/>
        <v>0</v>
      </c>
      <c r="BG173" s="363">
        <f t="shared" si="266"/>
        <v>715900</v>
      </c>
      <c r="BH173" s="369">
        <f t="shared" si="266"/>
        <v>0</v>
      </c>
      <c r="BI173" s="367">
        <f t="shared" si="266"/>
        <v>0</v>
      </c>
      <c r="BJ173" s="363">
        <f t="shared" si="266"/>
        <v>0</v>
      </c>
      <c r="BK173" s="363">
        <f t="shared" si="266"/>
        <v>0</v>
      </c>
      <c r="BL173" s="363">
        <f t="shared" si="266"/>
        <v>0</v>
      </c>
      <c r="BM173" s="363">
        <f t="shared" si="266"/>
        <v>0</v>
      </c>
      <c r="BN173" s="369">
        <f t="shared" si="266"/>
        <v>0</v>
      </c>
      <c r="BO173" s="367">
        <f t="shared" si="266"/>
        <v>0</v>
      </c>
      <c r="BP173" s="363">
        <f t="shared" si="266"/>
        <v>0</v>
      </c>
      <c r="BQ173" s="363">
        <f t="shared" si="266"/>
        <v>0</v>
      </c>
      <c r="BR173" s="363">
        <f t="shared" si="266"/>
        <v>0</v>
      </c>
      <c r="BS173" s="363">
        <f t="shared" si="266"/>
        <v>0</v>
      </c>
      <c r="BT173" s="280">
        <f t="shared" si="266"/>
        <v>0</v>
      </c>
    </row>
    <row r="174" spans="1:72" s="313" customFormat="1" ht="25.5" outlineLevel="1">
      <c r="A174" s="287">
        <v>163</v>
      </c>
      <c r="B174" s="940">
        <v>795400</v>
      </c>
      <c r="C174" s="840"/>
      <c r="D174" s="841"/>
      <c r="E174" s="839"/>
      <c r="F174" s="821" t="s">
        <v>31</v>
      </c>
      <c r="G174" s="314">
        <v>4</v>
      </c>
      <c r="H174" s="739" t="s">
        <v>47</v>
      </c>
      <c r="I174" s="739">
        <v>244</v>
      </c>
      <c r="J174" s="740">
        <v>310</v>
      </c>
      <c r="K174" s="317" t="s">
        <v>303</v>
      </c>
      <c r="L174" s="1029">
        <v>715900</v>
      </c>
      <c r="M174" s="403"/>
      <c r="N174" s="403">
        <v>79500</v>
      </c>
      <c r="O174" s="1063">
        <f t="shared" si="264"/>
        <v>795400</v>
      </c>
      <c r="P174" s="566"/>
      <c r="Q174" s="406">
        <v>0</v>
      </c>
      <c r="R174" s="566"/>
      <c r="S174" s="406">
        <v>0</v>
      </c>
      <c r="T174" s="566"/>
      <c r="U174" s="335"/>
      <c r="V174" s="320"/>
      <c r="W174" s="320"/>
      <c r="X174" s="320"/>
      <c r="Z174" s="336">
        <f t="shared" si="253"/>
        <v>0</v>
      </c>
      <c r="AA174" s="337">
        <f t="shared" si="253"/>
        <v>0</v>
      </c>
      <c r="AB174" s="338">
        <f t="shared" si="92"/>
        <v>0</v>
      </c>
      <c r="AC174" s="336">
        <f t="shared" si="254"/>
        <v>715900</v>
      </c>
      <c r="AD174" s="337">
        <f t="shared" si="254"/>
        <v>0</v>
      </c>
      <c r="AE174" s="338">
        <f t="shared" si="93"/>
        <v>715900</v>
      </c>
      <c r="AF174" s="336">
        <f t="shared" si="255"/>
        <v>0</v>
      </c>
      <c r="AG174" s="337">
        <f t="shared" si="255"/>
        <v>0</v>
      </c>
      <c r="AH174" s="338">
        <f t="shared" si="94"/>
        <v>0</v>
      </c>
      <c r="AI174" s="336">
        <f t="shared" si="256"/>
        <v>0</v>
      </c>
      <c r="AJ174" s="337">
        <f t="shared" si="256"/>
        <v>0</v>
      </c>
      <c r="AK174" s="338">
        <f t="shared" si="95"/>
        <v>0</v>
      </c>
      <c r="AL174" s="342"/>
      <c r="AM174" s="336">
        <f t="shared" si="257"/>
        <v>715900</v>
      </c>
      <c r="AN174" s="339">
        <f t="shared" si="257"/>
        <v>0</v>
      </c>
      <c r="AO174" s="340">
        <f t="shared" si="96"/>
        <v>715900</v>
      </c>
      <c r="AP174" s="336">
        <f t="shared" si="258"/>
        <v>715900</v>
      </c>
      <c r="AQ174" s="339">
        <f t="shared" si="258"/>
        <v>0</v>
      </c>
      <c r="AR174" s="340">
        <f t="shared" si="97"/>
        <v>715900</v>
      </c>
      <c r="AS174" s="341">
        <f t="shared" ref="AS174:AT176" si="267">Z174+AC174+AF174+AI174</f>
        <v>715900</v>
      </c>
      <c r="AT174" s="339">
        <f t="shared" si="267"/>
        <v>0</v>
      </c>
      <c r="AU174" s="340">
        <f t="shared" si="98"/>
        <v>715900</v>
      </c>
      <c r="AV174" s="589">
        <f t="shared" si="99"/>
        <v>0</v>
      </c>
      <c r="AW174" s="343"/>
      <c r="AX174" s="1098"/>
      <c r="AY174" s="345"/>
      <c r="AZ174" s="1098"/>
      <c r="BA174" s="345"/>
      <c r="BB174" s="1120"/>
      <c r="BC174" s="347"/>
      <c r="BD174" s="348"/>
      <c r="BE174" s="349"/>
      <c r="BF174" s="348"/>
      <c r="BG174" s="349">
        <v>715900</v>
      </c>
      <c r="BH174" s="350"/>
      <c r="BI174" s="351"/>
      <c r="BJ174" s="352"/>
      <c r="BK174" s="337"/>
      <c r="BL174" s="352"/>
      <c r="BM174" s="337"/>
      <c r="BN174" s="353"/>
      <c r="BO174" s="354"/>
      <c r="BP174" s="355"/>
      <c r="BQ174" s="356"/>
      <c r="BR174" s="355"/>
      <c r="BS174" s="356"/>
      <c r="BT174" s="357"/>
    </row>
    <row r="175" spans="1:72" s="358" customFormat="1" ht="63">
      <c r="A175" s="287">
        <v>164</v>
      </c>
      <c r="B175" s="933"/>
      <c r="C175" s="837" t="s">
        <v>377</v>
      </c>
      <c r="D175" s="838"/>
      <c r="E175" s="836" t="s">
        <v>201</v>
      </c>
      <c r="F175" s="830" t="s">
        <v>7</v>
      </c>
      <c r="G175" s="360">
        <v>4</v>
      </c>
      <c r="H175" s="506" t="s">
        <v>47</v>
      </c>
      <c r="I175" s="360">
        <v>244</v>
      </c>
      <c r="J175" s="361">
        <v>310</v>
      </c>
      <c r="K175" s="362" t="s">
        <v>790</v>
      </c>
      <c r="L175" s="1023">
        <f>L176</f>
        <v>53826.32</v>
      </c>
      <c r="M175" s="363"/>
      <c r="N175" s="363">
        <f>N176</f>
        <v>5978.94</v>
      </c>
      <c r="O175" s="1051">
        <f t="shared" si="264"/>
        <v>59805.26</v>
      </c>
      <c r="P175" s="557"/>
      <c r="Q175" s="367">
        <v>0</v>
      </c>
      <c r="R175" s="557"/>
      <c r="S175" s="367">
        <v>0</v>
      </c>
      <c r="T175" s="557"/>
      <c r="U175" s="365"/>
      <c r="V175" s="366"/>
      <c r="W175" s="366"/>
      <c r="X175" s="366"/>
      <c r="Z175" s="367">
        <f t="shared" si="253"/>
        <v>0</v>
      </c>
      <c r="AA175" s="363">
        <f t="shared" si="253"/>
        <v>0</v>
      </c>
      <c r="AB175" s="280">
        <f t="shared" si="92"/>
        <v>0</v>
      </c>
      <c r="AC175" s="367">
        <f t="shared" si="254"/>
        <v>53826.32</v>
      </c>
      <c r="AD175" s="363">
        <f t="shared" si="254"/>
        <v>0</v>
      </c>
      <c r="AE175" s="280">
        <f t="shared" si="93"/>
        <v>53826.32</v>
      </c>
      <c r="AF175" s="367">
        <f t="shared" si="255"/>
        <v>0</v>
      </c>
      <c r="AG175" s="363">
        <f t="shared" si="255"/>
        <v>0</v>
      </c>
      <c r="AH175" s="280">
        <f t="shared" si="94"/>
        <v>0</v>
      </c>
      <c r="AI175" s="367">
        <f t="shared" si="256"/>
        <v>0</v>
      </c>
      <c r="AJ175" s="363">
        <f t="shared" si="256"/>
        <v>0</v>
      </c>
      <c r="AK175" s="280">
        <f t="shared" si="95"/>
        <v>0</v>
      </c>
      <c r="AL175" s="368"/>
      <c r="AM175" s="367">
        <f t="shared" si="257"/>
        <v>53826.32</v>
      </c>
      <c r="AN175" s="363">
        <f t="shared" si="257"/>
        <v>0</v>
      </c>
      <c r="AO175" s="280">
        <f t="shared" si="96"/>
        <v>53826.32</v>
      </c>
      <c r="AP175" s="367">
        <f t="shared" si="258"/>
        <v>53826.32</v>
      </c>
      <c r="AQ175" s="363">
        <f t="shared" si="258"/>
        <v>0</v>
      </c>
      <c r="AR175" s="280">
        <f t="shared" si="97"/>
        <v>53826.32</v>
      </c>
      <c r="AS175" s="367">
        <f t="shared" si="267"/>
        <v>53826.32</v>
      </c>
      <c r="AT175" s="363">
        <f t="shared" si="267"/>
        <v>0</v>
      </c>
      <c r="AU175" s="280">
        <f t="shared" si="98"/>
        <v>53826.32</v>
      </c>
      <c r="AV175" s="588">
        <f t="shared" si="99"/>
        <v>0</v>
      </c>
      <c r="AW175" s="367">
        <f t="shared" ref="AW175:BT175" si="268">SUM(AW176:AW176)</f>
        <v>0</v>
      </c>
      <c r="AX175" s="1097">
        <f t="shared" si="268"/>
        <v>0</v>
      </c>
      <c r="AY175" s="363">
        <f t="shared" si="268"/>
        <v>0</v>
      </c>
      <c r="AZ175" s="1097">
        <f t="shared" si="268"/>
        <v>0</v>
      </c>
      <c r="BA175" s="363">
        <f t="shared" si="268"/>
        <v>0</v>
      </c>
      <c r="BB175" s="1119">
        <f t="shared" si="268"/>
        <v>0</v>
      </c>
      <c r="BC175" s="367">
        <f t="shared" si="268"/>
        <v>0</v>
      </c>
      <c r="BD175" s="363">
        <f t="shared" si="268"/>
        <v>0</v>
      </c>
      <c r="BE175" s="363">
        <f t="shared" si="268"/>
        <v>0</v>
      </c>
      <c r="BF175" s="363">
        <f t="shared" si="268"/>
        <v>0</v>
      </c>
      <c r="BG175" s="363">
        <f t="shared" si="268"/>
        <v>53826.32</v>
      </c>
      <c r="BH175" s="369">
        <f t="shared" si="268"/>
        <v>0</v>
      </c>
      <c r="BI175" s="367">
        <f t="shared" si="268"/>
        <v>0</v>
      </c>
      <c r="BJ175" s="363">
        <f t="shared" si="268"/>
        <v>0</v>
      </c>
      <c r="BK175" s="363">
        <f t="shared" si="268"/>
        <v>0</v>
      </c>
      <c r="BL175" s="363">
        <f t="shared" si="268"/>
        <v>0</v>
      </c>
      <c r="BM175" s="363">
        <f t="shared" si="268"/>
        <v>0</v>
      </c>
      <c r="BN175" s="369">
        <f t="shared" si="268"/>
        <v>0</v>
      </c>
      <c r="BO175" s="367">
        <f t="shared" si="268"/>
        <v>0</v>
      </c>
      <c r="BP175" s="363">
        <f t="shared" si="268"/>
        <v>0</v>
      </c>
      <c r="BQ175" s="363">
        <f t="shared" si="268"/>
        <v>0</v>
      </c>
      <c r="BR175" s="363">
        <f t="shared" si="268"/>
        <v>0</v>
      </c>
      <c r="BS175" s="363">
        <f t="shared" si="268"/>
        <v>0</v>
      </c>
      <c r="BT175" s="280">
        <f t="shared" si="268"/>
        <v>0</v>
      </c>
    </row>
    <row r="176" spans="1:72" s="313" customFormat="1" ht="25.5" outlineLevel="1">
      <c r="A176" s="287">
        <v>165</v>
      </c>
      <c r="B176" s="940">
        <v>59805.26</v>
      </c>
      <c r="C176" s="840"/>
      <c r="D176" s="841"/>
      <c r="E176" s="839"/>
      <c r="F176" s="821" t="s">
        <v>7</v>
      </c>
      <c r="G176" s="314">
        <v>4</v>
      </c>
      <c r="H176" s="739" t="s">
        <v>47</v>
      </c>
      <c r="I176" s="739">
        <v>244</v>
      </c>
      <c r="J176" s="740">
        <v>310</v>
      </c>
      <c r="K176" s="317" t="s">
        <v>303</v>
      </c>
      <c r="L176" s="1029">
        <v>53826.32</v>
      </c>
      <c r="M176" s="403"/>
      <c r="N176" s="403">
        <v>5978.94</v>
      </c>
      <c r="O176" s="1063">
        <f t="shared" si="264"/>
        <v>59805.26</v>
      </c>
      <c r="P176" s="566"/>
      <c r="Q176" s="406">
        <v>0</v>
      </c>
      <c r="R176" s="566"/>
      <c r="S176" s="406">
        <v>0</v>
      </c>
      <c r="T176" s="566"/>
      <c r="U176" s="335"/>
      <c r="V176" s="320"/>
      <c r="W176" s="320"/>
      <c r="X176" s="320"/>
      <c r="Z176" s="336">
        <f t="shared" ref="Z176:AA176" si="269">AW176+AY176+BA176</f>
        <v>0</v>
      </c>
      <c r="AA176" s="337">
        <f t="shared" si="269"/>
        <v>0</v>
      </c>
      <c r="AB176" s="338">
        <f t="shared" si="92"/>
        <v>0</v>
      </c>
      <c r="AC176" s="336">
        <f t="shared" ref="AC176:AD176" si="270">BC176+BE176+BG176</f>
        <v>53826.32</v>
      </c>
      <c r="AD176" s="337">
        <f t="shared" si="270"/>
        <v>0</v>
      </c>
      <c r="AE176" s="338">
        <f t="shared" si="93"/>
        <v>53826.32</v>
      </c>
      <c r="AF176" s="336">
        <f t="shared" ref="AF176:AG176" si="271">BI176+BK176+BM176</f>
        <v>0</v>
      </c>
      <c r="AG176" s="337">
        <f t="shared" si="271"/>
        <v>0</v>
      </c>
      <c r="AH176" s="338">
        <f t="shared" si="94"/>
        <v>0</v>
      </c>
      <c r="AI176" s="336">
        <f t="shared" ref="AI176:AJ176" si="272">BO176+BQ176+BS176</f>
        <v>0</v>
      </c>
      <c r="AJ176" s="337">
        <f t="shared" si="272"/>
        <v>0</v>
      </c>
      <c r="AK176" s="338">
        <f t="shared" si="95"/>
        <v>0</v>
      </c>
      <c r="AL176" s="342"/>
      <c r="AM176" s="336">
        <f t="shared" ref="AM176:AN176" si="273">Z176+AC176</f>
        <v>53826.32</v>
      </c>
      <c r="AN176" s="339">
        <f t="shared" si="273"/>
        <v>0</v>
      </c>
      <c r="AO176" s="340">
        <f t="shared" si="96"/>
        <v>53826.32</v>
      </c>
      <c r="AP176" s="336">
        <f t="shared" ref="AP176:AQ176" si="274">Z176+AC176+AF176</f>
        <v>53826.32</v>
      </c>
      <c r="AQ176" s="339">
        <f t="shared" si="274"/>
        <v>0</v>
      </c>
      <c r="AR176" s="340">
        <f t="shared" si="97"/>
        <v>53826.32</v>
      </c>
      <c r="AS176" s="341">
        <f t="shared" si="267"/>
        <v>53826.32</v>
      </c>
      <c r="AT176" s="339">
        <f t="shared" si="267"/>
        <v>0</v>
      </c>
      <c r="AU176" s="340">
        <f t="shared" si="98"/>
        <v>53826.32</v>
      </c>
      <c r="AV176" s="589">
        <f t="shared" si="99"/>
        <v>0</v>
      </c>
      <c r="AW176" s="343"/>
      <c r="AX176" s="1098"/>
      <c r="AY176" s="345"/>
      <c r="AZ176" s="1098"/>
      <c r="BA176" s="345"/>
      <c r="BB176" s="1120"/>
      <c r="BC176" s="347"/>
      <c r="BD176" s="348"/>
      <c r="BE176" s="349"/>
      <c r="BF176" s="348"/>
      <c r="BG176" s="349">
        <v>53826.32</v>
      </c>
      <c r="BH176" s="350"/>
      <c r="BI176" s="351"/>
      <c r="BJ176" s="352"/>
      <c r="BK176" s="337"/>
      <c r="BL176" s="352"/>
      <c r="BM176" s="337"/>
      <c r="BN176" s="353"/>
      <c r="BO176" s="354"/>
      <c r="BP176" s="355"/>
      <c r="BQ176" s="356"/>
      <c r="BR176" s="355"/>
      <c r="BS176" s="356"/>
      <c r="BT176" s="357"/>
    </row>
    <row r="177" spans="1:72" s="86" customFormat="1" ht="15.75" customHeight="1" thickBot="1">
      <c r="A177" s="287">
        <v>166</v>
      </c>
      <c r="B177" s="933"/>
      <c r="C177" s="861"/>
      <c r="D177" s="862"/>
      <c r="E177" s="287" t="s">
        <v>201</v>
      </c>
      <c r="F177" s="521" t="s">
        <v>17</v>
      </c>
      <c r="G177" s="521"/>
      <c r="H177" s="521"/>
      <c r="I177" s="521"/>
      <c r="J177" s="521"/>
      <c r="K177" s="1175" t="s">
        <v>17</v>
      </c>
      <c r="L177" s="1034">
        <f t="shared" ref="L177:U177" si="275">SUM(L12,L13,L14,L15,L16,L17,L23,L27,L28,L33,L34,L35,L38,L39,L45,L48,L51,L53,L57,L59,L64,L67,L69,L81,L119,L164,L168,L169,L170,L171,L173,L175)</f>
        <v>50522159.640000001</v>
      </c>
      <c r="M177" s="550">
        <f t="shared" si="275"/>
        <v>0</v>
      </c>
      <c r="N177" s="550">
        <f t="shared" si="275"/>
        <v>10578024.35</v>
      </c>
      <c r="O177" s="550">
        <f t="shared" si="275"/>
        <v>61100183.990000002</v>
      </c>
      <c r="P177" s="568">
        <f t="shared" si="275"/>
        <v>18757813.84</v>
      </c>
      <c r="Q177" s="549">
        <f t="shared" si="275"/>
        <v>42206072.039999999</v>
      </c>
      <c r="R177" s="568">
        <f t="shared" si="275"/>
        <v>0</v>
      </c>
      <c r="S177" s="549">
        <f t="shared" si="275"/>
        <v>41798874.439999998</v>
      </c>
      <c r="T177" s="568">
        <f t="shared" si="275"/>
        <v>0</v>
      </c>
      <c r="U177" s="334">
        <f t="shared" si="275"/>
        <v>0</v>
      </c>
      <c r="V177" s="305"/>
      <c r="W177" s="305"/>
      <c r="X177" s="305"/>
      <c r="Z177" s="264" t="e">
        <f>SUM(Z12,Z13,Z14,Z15,Z16,Z17,#REF!,Z28,Z33,Z34,Z35,#REF!,Z38,Z39,Z45,Z48,Z51,Z53,Z57,Z59,Z67,Z69,Z81,Z119,Z164,Z168,Z169,Z170,Z171,Z173,Z175)</f>
        <v>#REF!</v>
      </c>
      <c r="AA177" s="13" t="e">
        <f>SUM(AA12,AA13,AA14,AA15,AA16,AA17,#REF!,AA28,AA33,AA34,AA35,#REF!,AA38,AA39,AA45,AA48,AA51,AA53,AA57,AA59,AA67,AA69,AA81,AA119,AA164,AA168,AA169,AA170,AA171,AA173,AA175)</f>
        <v>#REF!</v>
      </c>
      <c r="AB177" s="258" t="e">
        <f>SUM(AB12,AB13,AB14,AB15,AB16,AB17,#REF!,AB28,AB33,AB34,AB35,#REF!,AB38,AB39,AB45,AB48,AB51,AB53,AB57,AB59,AB67,AB69,AB81,AB119,AB164,AB168,AB169,AB170,AB171,AB173,AB175)</f>
        <v>#REF!</v>
      </c>
      <c r="AC177" s="264" t="e">
        <f>SUM(AC12,AC13,AC14,AC15,AC16,AC17,#REF!,AC28,AC33,AC34,AC35,#REF!,AC38,AC39,AC45,AC48,AC51,AC53,AC57,AC59,AC67,AC69,AC81,AC119,AC164,AC168,AC169,AC170,AC171,AC173,AC175)</f>
        <v>#REF!</v>
      </c>
      <c r="AD177" s="13" t="e">
        <f>SUM(AD12,AD13,AD14,AD15,AD16,AD17,#REF!,AD28,AD33,AD34,AD35,#REF!,AD38,AD39,AD45,AD48,AD51,AD53,AD57,AD59,AD67,AD69,AD81,AD119,AD164,AD168,AD169,AD170,AD171,AD173,AD175)</f>
        <v>#REF!</v>
      </c>
      <c r="AE177" s="258" t="e">
        <f>SUM(AE12,AE13,AE14,AE15,AE16,AE17,#REF!,AE28,AE33,AE34,AE35,#REF!,AE38,AE39,AE45,AE48,AE51,AE53,AE57,AE59,AE67,AE69,AE81,AE119,AE164,AE168,AE169,AE170,AE171,AE173,AE175)</f>
        <v>#REF!</v>
      </c>
      <c r="AF177" s="264" t="e">
        <f>SUM(AF12,AF13,AF14,AF15,AF16,AF17,#REF!,AF28,AF33,AF34,AF35,#REF!,AF38,AF39,AF45,AF48,AF51,AF53,AF57,AF59,AF67,AF69,AF81,AF119,AF164,AF168,AF169,AF170,AF171,AF173,AF175)</f>
        <v>#REF!</v>
      </c>
      <c r="AG177" s="13" t="e">
        <f>SUM(AG12,AG13,AG14,AG15,AG16,AG17,#REF!,AG28,AG33,AG34,AG35,#REF!,AG38,AG39,AG45,AG48,AG51,AG53,AG57,AG59,AG67,AG69,AG81,AG119,AG164,AG168,AG169,AG170,AG171,AG173,AG175)</f>
        <v>#REF!</v>
      </c>
      <c r="AH177" s="258" t="e">
        <f>SUM(AH12,AH13,AH14,AH15,AH16,AH17,#REF!,AH28,AH33,AH34,AH35,#REF!,AH38,AH39,AH45,AH48,AH51,AH53,AH57,AH59,AH67,AH69,AH81,AH119,AH164,AH168,AH169,AH170,AH171,AH173,AH175)</f>
        <v>#REF!</v>
      </c>
      <c r="AI177" s="264" t="e">
        <f>SUM(AI12,AI13,AI14,AI15,AI16,AI17,#REF!,AI28,AI33,AI34,AI35,#REF!,AI38,AI39,AI45,AI48,AI51,AI53,AI57,AI59,AI67,AI69,AI81,AI119,AI164,AI168,AI169,AI170,AI171,AI173,AI175)</f>
        <v>#REF!</v>
      </c>
      <c r="AJ177" s="13" t="e">
        <f>SUM(AJ12,AJ13,AJ14,AJ15,AJ16,AJ17,#REF!,AJ28,AJ33,AJ34,AJ35,#REF!,AJ38,AJ39,AJ45,AJ48,AJ51,AJ53,AJ57,AJ59,AJ67,AJ69,AJ81,AJ119,AJ164,AJ168,AJ169,AJ170,AJ171,AJ173,AJ175)</f>
        <v>#REF!</v>
      </c>
      <c r="AK177" s="258" t="e">
        <f>SUM(AK12,AK13,AK14,AK15,AK16,AK17,#REF!,AK28,AK33,AK34,AK35,#REF!,AK38,AK39,AK45,AK48,AK51,AK53,AK57,AK59,AK67,AK69,AK81,AK119,AK164,AK168,AK169,AK170,AK171,AK173,AK175)</f>
        <v>#REF!</v>
      </c>
      <c r="AL177" s="278">
        <f t="shared" ref="AL177:BS177" si="276">SUM(AL12,AL13,AL14,AL15,AL16,AL17,AL23,AL27,AL28,AL33,AL34,AL35,AL38,AL39,AL45,AL48,AL51,AL53,AL57,AL59,AL64,AL67,AL69,AL81,AL119,AL164,AL168,AL169,AL170,AL171,AL173,AL175)</f>
        <v>0</v>
      </c>
      <c r="AM177" s="264">
        <f t="shared" si="276"/>
        <v>36434872.390000001</v>
      </c>
      <c r="AN177" s="13">
        <f t="shared" si="276"/>
        <v>13028119.15</v>
      </c>
      <c r="AO177" s="258">
        <f t="shared" si="276"/>
        <v>23406753.239999998</v>
      </c>
      <c r="AP177" s="264">
        <f t="shared" si="276"/>
        <v>44297296.890000001</v>
      </c>
      <c r="AQ177" s="13">
        <f t="shared" si="276"/>
        <v>13139119.15</v>
      </c>
      <c r="AR177" s="258">
        <f t="shared" si="276"/>
        <v>31158177.739999998</v>
      </c>
      <c r="AS177" s="549">
        <f t="shared" si="276"/>
        <v>50502773.369999997</v>
      </c>
      <c r="AT177" s="549">
        <f t="shared" si="276"/>
        <v>13227937.15</v>
      </c>
      <c r="AU177" s="258">
        <f t="shared" si="276"/>
        <v>37274836.219999999</v>
      </c>
      <c r="AV177" s="604">
        <f t="shared" si="276"/>
        <v>19386.27</v>
      </c>
      <c r="AW177" s="278">
        <f t="shared" si="276"/>
        <v>1395880.41</v>
      </c>
      <c r="AX177" s="1113">
        <f t="shared" si="276"/>
        <v>961918.91</v>
      </c>
      <c r="AY177" s="278">
        <f t="shared" si="276"/>
        <v>4367216.66</v>
      </c>
      <c r="AZ177" s="1113">
        <f t="shared" si="276"/>
        <v>5357606.6500000004</v>
      </c>
      <c r="BA177" s="278">
        <f t="shared" si="276"/>
        <v>7911080.1699999999</v>
      </c>
      <c r="BB177" s="1113">
        <f t="shared" si="276"/>
        <v>6574231.0899999999</v>
      </c>
      <c r="BC177" s="278">
        <f t="shared" si="276"/>
        <v>4920632.9800000004</v>
      </c>
      <c r="BD177" s="278">
        <f t="shared" si="276"/>
        <v>55162.5</v>
      </c>
      <c r="BE177" s="278">
        <f t="shared" si="276"/>
        <v>4541293.37</v>
      </c>
      <c r="BF177" s="278">
        <f t="shared" si="276"/>
        <v>42200</v>
      </c>
      <c r="BG177" s="278">
        <f t="shared" si="276"/>
        <v>13298768.800000001</v>
      </c>
      <c r="BH177" s="278">
        <f t="shared" si="276"/>
        <v>37000</v>
      </c>
      <c r="BI177" s="278">
        <f t="shared" si="276"/>
        <v>4574614.4800000004</v>
      </c>
      <c r="BJ177" s="278">
        <f t="shared" si="276"/>
        <v>37000</v>
      </c>
      <c r="BK177" s="278">
        <f t="shared" si="276"/>
        <v>1891511.9</v>
      </c>
      <c r="BL177" s="278">
        <f t="shared" si="276"/>
        <v>37000</v>
      </c>
      <c r="BM177" s="278">
        <f t="shared" si="276"/>
        <v>1396298.12</v>
      </c>
      <c r="BN177" s="278">
        <f t="shared" si="276"/>
        <v>37000</v>
      </c>
      <c r="BO177" s="278">
        <f t="shared" si="276"/>
        <v>465853.55</v>
      </c>
      <c r="BP177" s="278">
        <f t="shared" si="276"/>
        <v>37000</v>
      </c>
      <c r="BQ177" s="278">
        <f t="shared" si="276"/>
        <v>853013.41</v>
      </c>
      <c r="BR177" s="278">
        <f t="shared" si="276"/>
        <v>51818</v>
      </c>
      <c r="BS177" s="278">
        <f t="shared" si="276"/>
        <v>4886609.5199999996</v>
      </c>
      <c r="BT177" s="278"/>
    </row>
    <row r="178" spans="1:72" s="32" customFormat="1" ht="15.75" customHeight="1">
      <c r="A178" s="287">
        <v>167</v>
      </c>
      <c r="B178" s="943"/>
      <c r="C178" s="55"/>
      <c r="D178" s="944"/>
      <c r="E178" s="942"/>
      <c r="F178" s="209"/>
      <c r="G178" s="209"/>
      <c r="H178" s="209"/>
      <c r="I178" s="209"/>
      <c r="J178" s="209"/>
      <c r="K178" s="209" t="s">
        <v>204</v>
      </c>
      <c r="L178" s="1035">
        <v>50522159.640000001</v>
      </c>
      <c r="M178" s="917"/>
      <c r="N178" s="917"/>
      <c r="O178" s="998">
        <v>50522159.640000001</v>
      </c>
      <c r="P178" s="945"/>
      <c r="Q178" s="996">
        <v>42206072.039999999</v>
      </c>
      <c r="R178" s="945"/>
      <c r="S178" s="996">
        <v>41798874.439999998</v>
      </c>
      <c r="T178" s="945"/>
      <c r="U178" s="946"/>
      <c r="V178" s="14"/>
      <c r="W178" s="14"/>
      <c r="X178" s="14"/>
      <c r="Z178" s="947">
        <f>AW178+AY178+BA178</f>
        <v>12910420.439999999</v>
      </c>
      <c r="AA178" s="917">
        <f>AX178+AZ178+BB178</f>
        <v>0</v>
      </c>
      <c r="AB178" s="948">
        <f t="shared" si="92"/>
        <v>12910420.439999999</v>
      </c>
      <c r="AC178" s="947">
        <f>BC178+BE178+BG178</f>
        <v>22170227.27</v>
      </c>
      <c r="AD178" s="917">
        <f>BD178+BF178+BH178</f>
        <v>0</v>
      </c>
      <c r="AE178" s="948">
        <f t="shared" si="93"/>
        <v>22170227.27</v>
      </c>
      <c r="AF178" s="947">
        <f>BI178+BK178+BM178</f>
        <v>9451200.7699999996</v>
      </c>
      <c r="AG178" s="917">
        <f>BJ178+BL178+BN178</f>
        <v>0</v>
      </c>
      <c r="AH178" s="948">
        <f t="shared" si="94"/>
        <v>9451200.7699999996</v>
      </c>
      <c r="AI178" s="947">
        <f>BO178+BQ178+BS178</f>
        <v>6043144.4100000001</v>
      </c>
      <c r="AJ178" s="917">
        <f>BP178+BR178+BT178</f>
        <v>0</v>
      </c>
      <c r="AK178" s="948">
        <f t="shared" si="95"/>
        <v>6043144.4100000001</v>
      </c>
      <c r="AL178" s="917"/>
      <c r="AM178" s="947">
        <f>Z178+AC178</f>
        <v>35080647.710000001</v>
      </c>
      <c r="AN178" s="917">
        <f>AA178+AD178</f>
        <v>0</v>
      </c>
      <c r="AO178" s="948">
        <f t="shared" si="96"/>
        <v>35080647.710000001</v>
      </c>
      <c r="AP178" s="947">
        <f>Z178+AC178+AF178</f>
        <v>44531848.479999997</v>
      </c>
      <c r="AQ178" s="917">
        <f>AA178+AD178+AG178</f>
        <v>0</v>
      </c>
      <c r="AR178" s="948">
        <f t="shared" si="97"/>
        <v>44531848.479999997</v>
      </c>
      <c r="AS178" s="947">
        <f>Z178+AC178+AF178+AI178</f>
        <v>50574992.890000001</v>
      </c>
      <c r="AT178" s="917">
        <f t="shared" ref="AT178:AU178" si="277">AA178+AD178+AG178+AJ178</f>
        <v>0</v>
      </c>
      <c r="AU178" s="948">
        <f t="shared" si="277"/>
        <v>50574992.890000001</v>
      </c>
      <c r="AV178" s="278"/>
      <c r="AW178" s="277">
        <v>1498437</v>
      </c>
      <c r="AX178" s="1114"/>
      <c r="AY178" s="277">
        <v>4852718.38</v>
      </c>
      <c r="AZ178" s="1114"/>
      <c r="BA178" s="277">
        <v>6559265.0599999996</v>
      </c>
      <c r="BB178" s="1114"/>
      <c r="BC178" s="277">
        <v>5725270.2599999998</v>
      </c>
      <c r="BD178" s="277"/>
      <c r="BE178" s="277">
        <v>4459231.41</v>
      </c>
      <c r="BF178" s="277"/>
      <c r="BG178" s="277">
        <v>11985725.6</v>
      </c>
      <c r="BH178" s="277"/>
      <c r="BI178" s="277">
        <v>4519128.5199999996</v>
      </c>
      <c r="BJ178" s="277"/>
      <c r="BK178" s="277">
        <v>2646468.16</v>
      </c>
      <c r="BL178" s="277"/>
      <c r="BM178" s="277">
        <v>2285604.09</v>
      </c>
      <c r="BN178" s="277"/>
      <c r="BO178" s="277">
        <v>1514774.59</v>
      </c>
      <c r="BP178" s="277"/>
      <c r="BQ178" s="277">
        <v>1923859.03</v>
      </c>
      <c r="BR178" s="277"/>
      <c r="BS178" s="277">
        <v>2604510.79</v>
      </c>
      <c r="BT178" s="917"/>
    </row>
    <row r="179" spans="1:72" s="31" customFormat="1" ht="15.75" customHeight="1" thickBot="1">
      <c r="A179" s="287">
        <v>168</v>
      </c>
      <c r="B179" s="933"/>
      <c r="C179" s="845"/>
      <c r="D179" s="849"/>
      <c r="E179" s="287"/>
      <c r="F179" s="209"/>
      <c r="G179" s="209"/>
      <c r="H179" s="209"/>
      <c r="I179" s="209"/>
      <c r="J179" s="209"/>
      <c r="K179" s="209" t="s">
        <v>368</v>
      </c>
      <c r="L179" s="1036">
        <f>L178-L177</f>
        <v>0</v>
      </c>
      <c r="M179" s="211"/>
      <c r="N179" s="211"/>
      <c r="O179" s="970">
        <f>O178-O177</f>
        <v>-10578024.35</v>
      </c>
      <c r="P179" s="330"/>
      <c r="Q179" s="277">
        <f>Q178-Q177</f>
        <v>0</v>
      </c>
      <c r="R179" s="330"/>
      <c r="S179" s="277">
        <f>S178-S177</f>
        <v>0</v>
      </c>
      <c r="T179" s="330"/>
      <c r="U179" s="334"/>
      <c r="V179" s="611" t="s">
        <v>385</v>
      </c>
      <c r="W179" s="7"/>
      <c r="X179" s="613">
        <f>Z179+AC179+AF179+AI179</f>
        <v>50522159.640000001</v>
      </c>
      <c r="Z179" s="612">
        <v>13660420.439999999</v>
      </c>
      <c r="AA179" s="264"/>
      <c r="AB179" s="264"/>
      <c r="AC179" s="612">
        <v>22920227.27</v>
      </c>
      <c r="AD179" s="264"/>
      <c r="AE179" s="264"/>
      <c r="AF179" s="612">
        <v>7951200.7699999996</v>
      </c>
      <c r="AG179" s="264"/>
      <c r="AH179" s="264"/>
      <c r="AI179" s="612">
        <v>5990311.1600000001</v>
      </c>
      <c r="AJ179" s="264"/>
      <c r="AK179" s="264"/>
      <c r="AL179" s="211"/>
      <c r="AM179" s="265"/>
      <c r="AN179" s="211"/>
      <c r="AO179" s="259"/>
      <c r="AP179" s="265"/>
      <c r="AQ179" s="211"/>
      <c r="AR179" s="259"/>
      <c r="AS179" s="265"/>
      <c r="AT179" s="211"/>
      <c r="AU179" s="259"/>
      <c r="AV179" s="604"/>
      <c r="AW179" s="951">
        <f>AW178-AW177</f>
        <v>102556.59</v>
      </c>
      <c r="AX179" s="1115">
        <f t="shared" ref="AX179:BS179" si="278">AX178-AX177</f>
        <v>-961918.91</v>
      </c>
      <c r="AY179" s="951">
        <f t="shared" si="278"/>
        <v>485501.72</v>
      </c>
      <c r="AZ179" s="1115">
        <f t="shared" si="278"/>
        <v>-5357606.6500000004</v>
      </c>
      <c r="BA179" s="951">
        <f t="shared" si="278"/>
        <v>-1351815.11</v>
      </c>
      <c r="BB179" s="1115">
        <f t="shared" si="278"/>
        <v>-6574231.0899999999</v>
      </c>
      <c r="BC179" s="951">
        <f t="shared" si="278"/>
        <v>804637.28</v>
      </c>
      <c r="BD179" s="951">
        <f t="shared" si="278"/>
        <v>-55162.5</v>
      </c>
      <c r="BE179" s="951">
        <f t="shared" si="278"/>
        <v>-82061.960000000006</v>
      </c>
      <c r="BF179" s="951">
        <f t="shared" si="278"/>
        <v>-42200</v>
      </c>
      <c r="BG179" s="951">
        <f t="shared" si="278"/>
        <v>-1313043.2</v>
      </c>
      <c r="BH179" s="951">
        <f t="shared" si="278"/>
        <v>-37000</v>
      </c>
      <c r="BI179" s="951">
        <f t="shared" si="278"/>
        <v>-55485.96</v>
      </c>
      <c r="BJ179" s="951">
        <f t="shared" si="278"/>
        <v>-37000</v>
      </c>
      <c r="BK179" s="951">
        <f t="shared" si="278"/>
        <v>754956.26</v>
      </c>
      <c r="BL179" s="951">
        <f t="shared" si="278"/>
        <v>-37000</v>
      </c>
      <c r="BM179" s="951">
        <f t="shared" si="278"/>
        <v>889305.97</v>
      </c>
      <c r="BN179" s="951">
        <f t="shared" si="278"/>
        <v>-37000</v>
      </c>
      <c r="BO179" s="951">
        <f t="shared" si="278"/>
        <v>1048921.04</v>
      </c>
      <c r="BP179" s="951">
        <f t="shared" si="278"/>
        <v>-37000</v>
      </c>
      <c r="BQ179" s="951">
        <f t="shared" si="278"/>
        <v>1070845.6200000001</v>
      </c>
      <c r="BR179" s="951">
        <f t="shared" si="278"/>
        <v>-51818</v>
      </c>
      <c r="BS179" s="951">
        <f t="shared" si="278"/>
        <v>-2282098.73</v>
      </c>
      <c r="BT179" s="211"/>
    </row>
    <row r="180" spans="1:72" s="31" customFormat="1" ht="15.75" customHeight="1">
      <c r="A180" s="287">
        <v>169</v>
      </c>
      <c r="B180" s="933"/>
      <c r="C180" s="845"/>
      <c r="D180" s="849"/>
      <c r="E180" s="287" t="s">
        <v>201</v>
      </c>
      <c r="F180" s="209"/>
      <c r="G180" s="209"/>
      <c r="H180" s="209"/>
      <c r="I180" s="209"/>
      <c r="J180" s="209"/>
      <c r="K180" s="209"/>
      <c r="L180" s="1036"/>
      <c r="M180" s="211"/>
      <c r="N180" s="211"/>
      <c r="O180" s="211"/>
      <c r="P180" s="330"/>
      <c r="Q180" s="211"/>
      <c r="R180" s="330"/>
      <c r="S180" s="211"/>
      <c r="T180" s="330"/>
      <c r="U180" s="334"/>
      <c r="V180" s="611"/>
      <c r="W180" s="7"/>
      <c r="X180" s="613"/>
      <c r="Z180" s="730"/>
      <c r="AA180" s="278"/>
      <c r="AB180" s="278"/>
      <c r="AC180" s="730"/>
      <c r="AD180" s="278"/>
      <c r="AE180" s="278"/>
      <c r="AF180" s="730"/>
      <c r="AG180" s="278"/>
      <c r="AH180" s="278"/>
      <c r="AI180" s="730"/>
      <c r="AJ180" s="278"/>
      <c r="AK180" s="278"/>
      <c r="AL180" s="211"/>
      <c r="AM180" s="265"/>
      <c r="AN180" s="211"/>
      <c r="AO180" s="259"/>
      <c r="AP180" s="265"/>
      <c r="AQ180" s="211"/>
      <c r="AR180" s="259"/>
      <c r="AS180" s="265"/>
      <c r="AT180" s="211"/>
      <c r="AU180" s="259"/>
      <c r="AV180" s="604"/>
      <c r="AW180" s="211"/>
      <c r="AX180" s="1116"/>
      <c r="AY180" s="211"/>
      <c r="AZ180" s="1116"/>
      <c r="BA180" s="211"/>
      <c r="BB180" s="1116"/>
      <c r="BC180" s="211"/>
      <c r="BD180" s="211"/>
      <c r="BE180" s="211"/>
      <c r="BF180" s="211"/>
      <c r="BG180" s="211"/>
      <c r="BH180" s="211"/>
      <c r="BI180" s="211"/>
      <c r="BJ180" s="211"/>
      <c r="BK180" s="211"/>
      <c r="BL180" s="211"/>
      <c r="BM180" s="211"/>
      <c r="BN180" s="211"/>
      <c r="BO180" s="211"/>
      <c r="BP180" s="211"/>
      <c r="BQ180" s="211"/>
      <c r="BR180" s="211"/>
      <c r="BS180" s="211"/>
      <c r="BT180" s="211"/>
    </row>
    <row r="181" spans="1:72" s="31" customFormat="1" ht="23.25" customHeight="1" thickBot="1">
      <c r="A181" s="287">
        <v>170</v>
      </c>
      <c r="B181" s="933"/>
      <c r="C181" s="845"/>
      <c r="D181" s="849"/>
      <c r="E181" s="287" t="s">
        <v>201</v>
      </c>
      <c r="F181" s="372" t="s">
        <v>218</v>
      </c>
      <c r="G181" s="309"/>
      <c r="H181" s="309"/>
      <c r="I181" s="309"/>
      <c r="J181" s="309"/>
      <c r="K181" s="309"/>
      <c r="L181" s="1037"/>
      <c r="M181" s="216"/>
      <c r="N181" s="216"/>
      <c r="O181" s="216"/>
      <c r="P181" s="331"/>
      <c r="Q181" s="216"/>
      <c r="R181" s="331"/>
      <c r="S181" s="216"/>
      <c r="T181" s="331"/>
      <c r="U181" s="334"/>
      <c r="V181" s="614"/>
      <c r="W181" s="7"/>
      <c r="X181" s="7" t="e">
        <f>Z181+AC181+AF181+AI181</f>
        <v>#REF!</v>
      </c>
      <c r="Y181" s="215"/>
      <c r="Z181" s="267" t="e">
        <f>Z179-Z177</f>
        <v>#REF!</v>
      </c>
      <c r="AA181" s="216"/>
      <c r="AB181" s="260"/>
      <c r="AC181" s="267" t="e">
        <f>AC179-AC177</f>
        <v>#REF!</v>
      </c>
      <c r="AD181" s="216"/>
      <c r="AE181" s="260"/>
      <c r="AF181" s="267" t="e">
        <f>AF179-AF177</f>
        <v>#REF!</v>
      </c>
      <c r="AG181" s="216"/>
      <c r="AH181" s="260"/>
      <c r="AI181" s="267" t="e">
        <f>AI179-AI177</f>
        <v>#REF!</v>
      </c>
      <c r="AJ181" s="216"/>
      <c r="AK181" s="260"/>
      <c r="AL181" s="216"/>
      <c r="AM181" s="266"/>
      <c r="AN181" s="216"/>
      <c r="AO181" s="260"/>
      <c r="AP181" s="266"/>
      <c r="AQ181" s="216"/>
      <c r="AR181" s="260"/>
      <c r="AS181" s="266">
        <v>0</v>
      </c>
      <c r="AT181" s="216"/>
      <c r="AU181" s="260"/>
      <c r="AV181" s="606">
        <f t="shared" si="99"/>
        <v>0</v>
      </c>
      <c r="AW181" s="216"/>
      <c r="AX181" s="1117"/>
      <c r="AY181" s="216"/>
      <c r="AZ181" s="1117"/>
      <c r="BA181" s="216"/>
      <c r="BB181" s="1117"/>
      <c r="BC181" s="216"/>
      <c r="BD181" s="216"/>
      <c r="BE181" s="216"/>
      <c r="BF181" s="216"/>
      <c r="BG181" s="216"/>
      <c r="BH181" s="216"/>
      <c r="BI181" s="216"/>
      <c r="BJ181" s="216"/>
      <c r="BK181" s="216"/>
      <c r="BL181" s="216"/>
      <c r="BM181" s="216"/>
      <c r="BN181" s="216"/>
      <c r="BO181" s="216"/>
      <c r="BP181" s="216"/>
      <c r="BQ181" s="216"/>
      <c r="BR181" s="216"/>
      <c r="BS181" s="216"/>
      <c r="BT181" s="216"/>
    </row>
    <row r="182" spans="1:72" s="358" customFormat="1" ht="31.5" customHeight="1">
      <c r="A182" s="287">
        <v>171</v>
      </c>
      <c r="B182" s="933"/>
      <c r="C182" s="850" t="s">
        <v>377</v>
      </c>
      <c r="D182" s="838"/>
      <c r="E182" s="836" t="s">
        <v>201</v>
      </c>
      <c r="F182" s="820" t="s">
        <v>415</v>
      </c>
      <c r="G182" s="360">
        <v>5</v>
      </c>
      <c r="H182" s="360" t="s">
        <v>72</v>
      </c>
      <c r="I182" s="360">
        <v>244</v>
      </c>
      <c r="J182" s="361">
        <v>226</v>
      </c>
      <c r="K182" s="532" t="s">
        <v>15</v>
      </c>
      <c r="L182" s="1038">
        <v>52833.25</v>
      </c>
      <c r="M182" s="552"/>
      <c r="N182" s="552"/>
      <c r="O182" s="1056">
        <f t="shared" ref="O182:O183" si="279">L182+N182</f>
        <v>52833.25</v>
      </c>
      <c r="P182" s="569"/>
      <c r="Q182" s="551">
        <v>0</v>
      </c>
      <c r="R182" s="573"/>
      <c r="S182" s="553">
        <v>0</v>
      </c>
      <c r="T182" s="573"/>
      <c r="U182" s="365"/>
      <c r="V182" s="366"/>
      <c r="W182" s="366"/>
      <c r="X182" s="366"/>
      <c r="Z182" s="367">
        <f t="shared" ref="Z182:AA186" si="280">AW182+AY182+BA182</f>
        <v>0</v>
      </c>
      <c r="AA182" s="363">
        <f t="shared" si="280"/>
        <v>0</v>
      </c>
      <c r="AB182" s="280">
        <f t="shared" ref="AB182:AB186" si="281">Z182-AA182</f>
        <v>0</v>
      </c>
      <c r="AC182" s="367">
        <f t="shared" ref="AC182:AD186" si="282">BC182+BE182+BG182</f>
        <v>40526.31</v>
      </c>
      <c r="AD182" s="363">
        <f t="shared" si="282"/>
        <v>0</v>
      </c>
      <c r="AE182" s="280">
        <f t="shared" ref="AE182:AE186" si="283">AC182-AD182</f>
        <v>40526.31</v>
      </c>
      <c r="AF182" s="367">
        <f t="shared" ref="AF182:AG186" si="284">BI182+BK182+BM182</f>
        <v>0</v>
      </c>
      <c r="AG182" s="363">
        <f t="shared" si="284"/>
        <v>0</v>
      </c>
      <c r="AH182" s="280">
        <f t="shared" ref="AH182:AH186" si="285">AF182-AG182</f>
        <v>0</v>
      </c>
      <c r="AI182" s="367">
        <f t="shared" ref="AI182:AJ186" si="286">BO182+BQ182+BS182</f>
        <v>0</v>
      </c>
      <c r="AJ182" s="363">
        <f t="shared" si="286"/>
        <v>0</v>
      </c>
      <c r="AK182" s="280">
        <f t="shared" ref="AK182:AK186" si="287">AI182-AJ182</f>
        <v>0</v>
      </c>
      <c r="AL182" s="368"/>
      <c r="AM182" s="367">
        <f t="shared" ref="AM182:AN186" si="288">Z182+AC182</f>
        <v>40526.31</v>
      </c>
      <c r="AN182" s="363">
        <f t="shared" si="288"/>
        <v>0</v>
      </c>
      <c r="AO182" s="280">
        <f t="shared" ref="AO182:AO186" si="289">AM182-AN182</f>
        <v>40526.31</v>
      </c>
      <c r="AP182" s="367">
        <f t="shared" ref="AP182:AQ186" si="290">Z182+AC182+AF182</f>
        <v>40526.31</v>
      </c>
      <c r="AQ182" s="363">
        <f t="shared" si="290"/>
        <v>0</v>
      </c>
      <c r="AR182" s="280">
        <f t="shared" ref="AR182:AR186" si="291">AP182-AQ182</f>
        <v>40526.31</v>
      </c>
      <c r="AS182" s="367">
        <f t="shared" ref="AS182:AU186" si="292">Z182+AC182+AF182+AI182</f>
        <v>40526.31</v>
      </c>
      <c r="AT182" s="363">
        <f t="shared" si="292"/>
        <v>0</v>
      </c>
      <c r="AU182" s="280">
        <f t="shared" ref="AU182:AU186" si="293">AS182-AT182</f>
        <v>40526.31</v>
      </c>
      <c r="AV182" s="588">
        <f t="shared" si="99"/>
        <v>12306.94</v>
      </c>
      <c r="AW182" s="367">
        <f t="shared" ref="AW182:BT182" si="294">SUM(AW183:AW183)</f>
        <v>0</v>
      </c>
      <c r="AX182" s="1097">
        <f t="shared" si="294"/>
        <v>0</v>
      </c>
      <c r="AY182" s="363">
        <f t="shared" si="294"/>
        <v>0</v>
      </c>
      <c r="AZ182" s="1097">
        <f t="shared" si="294"/>
        <v>0</v>
      </c>
      <c r="BA182" s="363">
        <f t="shared" si="294"/>
        <v>0</v>
      </c>
      <c r="BB182" s="1119">
        <f t="shared" si="294"/>
        <v>0</v>
      </c>
      <c r="BC182" s="367">
        <f t="shared" si="294"/>
        <v>0</v>
      </c>
      <c r="BD182" s="363">
        <f t="shared" si="294"/>
        <v>0</v>
      </c>
      <c r="BE182" s="363">
        <f t="shared" si="294"/>
        <v>0</v>
      </c>
      <c r="BF182" s="363">
        <f t="shared" si="294"/>
        <v>0</v>
      </c>
      <c r="BG182" s="363">
        <f t="shared" si="294"/>
        <v>40526.31</v>
      </c>
      <c r="BH182" s="369">
        <f t="shared" si="294"/>
        <v>0</v>
      </c>
      <c r="BI182" s="367">
        <f t="shared" si="294"/>
        <v>0</v>
      </c>
      <c r="BJ182" s="363">
        <f t="shared" si="294"/>
        <v>0</v>
      </c>
      <c r="BK182" s="363">
        <f t="shared" si="294"/>
        <v>0</v>
      </c>
      <c r="BL182" s="363">
        <f t="shared" si="294"/>
        <v>0</v>
      </c>
      <c r="BM182" s="363">
        <f t="shared" si="294"/>
        <v>0</v>
      </c>
      <c r="BN182" s="369">
        <f t="shared" si="294"/>
        <v>0</v>
      </c>
      <c r="BO182" s="367">
        <f t="shared" si="294"/>
        <v>0</v>
      </c>
      <c r="BP182" s="363">
        <f t="shared" si="294"/>
        <v>0</v>
      </c>
      <c r="BQ182" s="363">
        <f t="shared" si="294"/>
        <v>0</v>
      </c>
      <c r="BR182" s="363">
        <f t="shared" si="294"/>
        <v>0</v>
      </c>
      <c r="BS182" s="363">
        <f t="shared" si="294"/>
        <v>0</v>
      </c>
      <c r="BT182" s="280">
        <f t="shared" si="294"/>
        <v>0</v>
      </c>
    </row>
    <row r="183" spans="1:72" s="313" customFormat="1" ht="158.25" customHeight="1" outlineLevel="1">
      <c r="A183" s="287">
        <v>172</v>
      </c>
      <c r="B183" s="933"/>
      <c r="C183" s="840"/>
      <c r="D183" s="841"/>
      <c r="E183" s="839"/>
      <c r="F183" s="821" t="s">
        <v>415</v>
      </c>
      <c r="G183" s="314">
        <v>5</v>
      </c>
      <c r="H183" s="739" t="s">
        <v>72</v>
      </c>
      <c r="I183" s="739">
        <v>244</v>
      </c>
      <c r="J183" s="740">
        <v>226</v>
      </c>
      <c r="K183" s="533" t="s">
        <v>367</v>
      </c>
      <c r="L183" s="1025">
        <v>52833.25</v>
      </c>
      <c r="M183" s="318"/>
      <c r="N183" s="318"/>
      <c r="O183" s="1052">
        <f t="shared" si="279"/>
        <v>52833.25</v>
      </c>
      <c r="P183" s="570"/>
      <c r="Q183" s="336">
        <v>0</v>
      </c>
      <c r="R183" s="559"/>
      <c r="S183" s="541">
        <v>0</v>
      </c>
      <c r="T183" s="559"/>
      <c r="U183" s="335"/>
      <c r="V183" s="597" t="s">
        <v>670</v>
      </c>
      <c r="W183" s="597" t="s">
        <v>839</v>
      </c>
      <c r="X183" s="597" t="s">
        <v>669</v>
      </c>
      <c r="Z183" s="336">
        <f>AW183+AY183+BA183</f>
        <v>0</v>
      </c>
      <c r="AA183" s="337">
        <f>AX183+AZ183+BB183</f>
        <v>0</v>
      </c>
      <c r="AB183" s="338">
        <f>Z183-AA183</f>
        <v>0</v>
      </c>
      <c r="AC183" s="336">
        <f>BC183+BE183+BG183</f>
        <v>40526.31</v>
      </c>
      <c r="AD183" s="337">
        <f>BD183+BF183+BH183</f>
        <v>0</v>
      </c>
      <c r="AE183" s="338">
        <f>AC183-AD183</f>
        <v>40526.31</v>
      </c>
      <c r="AF183" s="336">
        <f>BI183+BK183+BM183</f>
        <v>0</v>
      </c>
      <c r="AG183" s="337">
        <f>BJ183+BL183+BN183</f>
        <v>0</v>
      </c>
      <c r="AH183" s="338">
        <f>AF183-AG183</f>
        <v>0</v>
      </c>
      <c r="AI183" s="336">
        <f>BO183+BQ183+BS183</f>
        <v>0</v>
      </c>
      <c r="AJ183" s="337">
        <f>BP183+BR183+BT183</f>
        <v>0</v>
      </c>
      <c r="AK183" s="338">
        <f>AI183-AJ183</f>
        <v>0</v>
      </c>
      <c r="AL183" s="342"/>
      <c r="AM183" s="336">
        <f>Z183+AC183</f>
        <v>40526.31</v>
      </c>
      <c r="AN183" s="339">
        <f>AA183+AD183</f>
        <v>0</v>
      </c>
      <c r="AO183" s="340">
        <f>AM183-AN183</f>
        <v>40526.31</v>
      </c>
      <c r="AP183" s="336">
        <f>Z183+AC183+AF183</f>
        <v>40526.31</v>
      </c>
      <c r="AQ183" s="339">
        <f>AA183+AD183+AG183</f>
        <v>0</v>
      </c>
      <c r="AR183" s="340">
        <f>AP183-AQ183</f>
        <v>40526.31</v>
      </c>
      <c r="AS183" s="341">
        <f>Z183+AC183+AF183+AI183</f>
        <v>40526.31</v>
      </c>
      <c r="AT183" s="339">
        <f>AA183+AD183+AG183+AJ183</f>
        <v>0</v>
      </c>
      <c r="AU183" s="340">
        <f>AS183-AT183</f>
        <v>40526.31</v>
      </c>
      <c r="AV183" s="589">
        <f t="shared" si="99"/>
        <v>12306.94</v>
      </c>
      <c r="AW183" s="343"/>
      <c r="AX183" s="1098"/>
      <c r="AY183" s="345"/>
      <c r="AZ183" s="1098"/>
      <c r="BA183" s="345"/>
      <c r="BB183" s="1120"/>
      <c r="BC183" s="347"/>
      <c r="BD183" s="348"/>
      <c r="BE183" s="349"/>
      <c r="BF183" s="348"/>
      <c r="BG183" s="1135">
        <v>40526.31</v>
      </c>
      <c r="BH183" s="350"/>
      <c r="BI183" s="351"/>
      <c r="BJ183" s="352"/>
      <c r="BK183" s="337"/>
      <c r="BL183" s="352"/>
      <c r="BM183" s="337"/>
      <c r="BN183" s="353"/>
      <c r="BO183" s="354"/>
      <c r="BP183" s="355"/>
      <c r="BQ183" s="356"/>
      <c r="BR183" s="355"/>
      <c r="BS183" s="356"/>
      <c r="BT183" s="357"/>
    </row>
    <row r="184" spans="1:72" s="31" customFormat="1">
      <c r="A184" s="287">
        <v>173</v>
      </c>
      <c r="B184" s="933"/>
      <c r="C184" s="845"/>
      <c r="D184" s="849"/>
      <c r="E184" s="287" t="s">
        <v>201</v>
      </c>
      <c r="F184" s="521"/>
      <c r="G184" s="521"/>
      <c r="H184" s="521"/>
      <c r="I184" s="521"/>
      <c r="J184" s="521"/>
      <c r="K184" s="1175" t="s">
        <v>17</v>
      </c>
      <c r="L184" s="1039">
        <f>SUM(L182)</f>
        <v>52833.25</v>
      </c>
      <c r="M184" s="13">
        <f>SUM(M182)</f>
        <v>0</v>
      </c>
      <c r="N184" s="13">
        <f>SUM(N182)</f>
        <v>0</v>
      </c>
      <c r="O184" s="13">
        <f t="shared" ref="O184:S184" si="295">SUM(O182)</f>
        <v>52833.25</v>
      </c>
      <c r="P184" s="13">
        <f t="shared" si="295"/>
        <v>0</v>
      </c>
      <c r="Q184" s="13">
        <f t="shared" si="295"/>
        <v>0</v>
      </c>
      <c r="R184" s="13">
        <f t="shared" si="295"/>
        <v>0</v>
      </c>
      <c r="S184" s="13">
        <f t="shared" si="295"/>
        <v>0</v>
      </c>
      <c r="T184" s="559">
        <f>SUM(T182)</f>
        <v>0</v>
      </c>
      <c r="U184" s="334"/>
      <c r="V184" s="7"/>
      <c r="W184" s="7"/>
      <c r="X184" s="7"/>
      <c r="Z184" s="264">
        <f t="shared" ref="Z184:AK184" si="296">SUM(Z182)</f>
        <v>0</v>
      </c>
      <c r="AA184" s="254">
        <f t="shared" si="296"/>
        <v>0</v>
      </c>
      <c r="AB184" s="270">
        <f t="shared" si="296"/>
        <v>0</v>
      </c>
      <c r="AC184" s="264">
        <f t="shared" si="296"/>
        <v>40526.31</v>
      </c>
      <c r="AD184" s="254">
        <f t="shared" si="296"/>
        <v>0</v>
      </c>
      <c r="AE184" s="270">
        <f t="shared" si="296"/>
        <v>40526.31</v>
      </c>
      <c r="AF184" s="264">
        <f t="shared" si="296"/>
        <v>0</v>
      </c>
      <c r="AG184" s="254">
        <f t="shared" si="296"/>
        <v>0</v>
      </c>
      <c r="AH184" s="270">
        <f t="shared" si="296"/>
        <v>0</v>
      </c>
      <c r="AI184" s="264">
        <f t="shared" si="296"/>
        <v>0</v>
      </c>
      <c r="AJ184" s="254">
        <f t="shared" si="296"/>
        <v>0</v>
      </c>
      <c r="AK184" s="270">
        <f t="shared" si="296"/>
        <v>0</v>
      </c>
      <c r="AL184" s="278"/>
      <c r="AM184" s="264">
        <f t="shared" si="288"/>
        <v>40526.31</v>
      </c>
      <c r="AN184" s="248">
        <f t="shared" si="288"/>
        <v>0</v>
      </c>
      <c r="AO184" s="281">
        <f t="shared" si="289"/>
        <v>40526.31</v>
      </c>
      <c r="AP184" s="264">
        <f t="shared" si="290"/>
        <v>40526.31</v>
      </c>
      <c r="AQ184" s="248">
        <f t="shared" si="290"/>
        <v>0</v>
      </c>
      <c r="AR184" s="281">
        <f t="shared" si="291"/>
        <v>40526.31</v>
      </c>
      <c r="AS184" s="263">
        <f t="shared" si="292"/>
        <v>40526.31</v>
      </c>
      <c r="AT184" s="248">
        <f t="shared" si="292"/>
        <v>0</v>
      </c>
      <c r="AU184" s="281">
        <f t="shared" si="292"/>
        <v>40526.31</v>
      </c>
      <c r="AV184" s="604">
        <f t="shared" si="99"/>
        <v>12306.94</v>
      </c>
      <c r="AW184" s="278"/>
      <c r="AX184" s="1113"/>
      <c r="AY184" s="278"/>
      <c r="AZ184" s="1113"/>
      <c r="BA184" s="278"/>
      <c r="BB184" s="1113"/>
      <c r="BC184" s="278"/>
      <c r="BD184" s="278"/>
      <c r="BE184" s="278"/>
      <c r="BF184" s="278"/>
      <c r="BG184" s="278"/>
      <c r="BH184" s="278"/>
      <c r="BI184" s="278"/>
      <c r="BJ184" s="278"/>
      <c r="BK184" s="278"/>
      <c r="BL184" s="278"/>
      <c r="BM184" s="278"/>
      <c r="BN184" s="278"/>
      <c r="BO184" s="278"/>
      <c r="BP184" s="278"/>
      <c r="BQ184" s="278"/>
      <c r="BR184" s="278"/>
      <c r="BS184" s="278"/>
      <c r="BT184" s="278"/>
    </row>
    <row r="185" spans="1:72" s="31" customFormat="1" ht="16.5" customHeight="1" thickBot="1">
      <c r="A185" s="287">
        <v>174</v>
      </c>
      <c r="B185" s="933"/>
      <c r="C185" s="845"/>
      <c r="D185" s="849"/>
      <c r="E185" s="287" t="s">
        <v>201</v>
      </c>
      <c r="F185" s="521"/>
      <c r="G185" s="521"/>
      <c r="H185" s="521"/>
      <c r="I185" s="521"/>
      <c r="J185" s="521"/>
      <c r="K185" s="1175" t="s">
        <v>21</v>
      </c>
      <c r="L185" s="1040">
        <f t="shared" ref="L185:S185" si="297">L177+L184</f>
        <v>50574992.890000001</v>
      </c>
      <c r="M185" s="546">
        <f t="shared" si="297"/>
        <v>0</v>
      </c>
      <c r="N185" s="546">
        <f t="shared" si="297"/>
        <v>10578024.35</v>
      </c>
      <c r="O185" s="546">
        <f t="shared" si="297"/>
        <v>61153017.240000002</v>
      </c>
      <c r="P185" s="572">
        <f t="shared" si="297"/>
        <v>18757813.84</v>
      </c>
      <c r="Q185" s="545">
        <f t="shared" si="297"/>
        <v>42206072.039999999</v>
      </c>
      <c r="R185" s="545">
        <f t="shared" si="297"/>
        <v>0</v>
      </c>
      <c r="S185" s="545">
        <f t="shared" si="297"/>
        <v>41798874.439999998</v>
      </c>
      <c r="T185" s="568">
        <f>T177+T184</f>
        <v>0</v>
      </c>
      <c r="U185" s="334"/>
      <c r="V185" s="7"/>
      <c r="W185" s="7"/>
      <c r="X185" s="7"/>
      <c r="Z185" s="263" t="e">
        <f t="shared" ref="Z185:AK185" si="298">Z177+Z184</f>
        <v>#REF!</v>
      </c>
      <c r="AA185" s="253" t="e">
        <f t="shared" si="298"/>
        <v>#REF!</v>
      </c>
      <c r="AB185" s="269" t="e">
        <f t="shared" si="298"/>
        <v>#REF!</v>
      </c>
      <c r="AC185" s="263" t="e">
        <f t="shared" si="298"/>
        <v>#REF!</v>
      </c>
      <c r="AD185" s="253" t="e">
        <f t="shared" si="298"/>
        <v>#REF!</v>
      </c>
      <c r="AE185" s="269" t="e">
        <f t="shared" si="298"/>
        <v>#REF!</v>
      </c>
      <c r="AF185" s="263" t="e">
        <f t="shared" si="298"/>
        <v>#REF!</v>
      </c>
      <c r="AG185" s="253" t="e">
        <f t="shared" si="298"/>
        <v>#REF!</v>
      </c>
      <c r="AH185" s="269" t="e">
        <f t="shared" si="298"/>
        <v>#REF!</v>
      </c>
      <c r="AI185" s="263" t="e">
        <f t="shared" si="298"/>
        <v>#REF!</v>
      </c>
      <c r="AJ185" s="253" t="e">
        <f t="shared" si="298"/>
        <v>#REF!</v>
      </c>
      <c r="AK185" s="269" t="e">
        <f t="shared" si="298"/>
        <v>#REF!</v>
      </c>
      <c r="AL185" s="210"/>
      <c r="AM185" s="263" t="e">
        <f t="shared" si="288"/>
        <v>#REF!</v>
      </c>
      <c r="AN185" s="247" t="e">
        <f t="shared" si="288"/>
        <v>#REF!</v>
      </c>
      <c r="AO185" s="280" t="e">
        <f t="shared" si="289"/>
        <v>#REF!</v>
      </c>
      <c r="AP185" s="263" t="e">
        <f t="shared" si="290"/>
        <v>#REF!</v>
      </c>
      <c r="AQ185" s="247" t="e">
        <f t="shared" si="290"/>
        <v>#REF!</v>
      </c>
      <c r="AR185" s="280" t="e">
        <f t="shared" si="291"/>
        <v>#REF!</v>
      </c>
      <c r="AS185" s="263">
        <f t="shared" ref="AS185:AV185" si="299">AS177+AS184</f>
        <v>50543299.68</v>
      </c>
      <c r="AT185" s="247">
        <f t="shared" si="299"/>
        <v>13227937.15</v>
      </c>
      <c r="AU185" s="280">
        <f t="shared" si="299"/>
        <v>37315362.530000001</v>
      </c>
      <c r="AV185" s="607">
        <f t="shared" si="299"/>
        <v>31693.21</v>
      </c>
      <c r="AW185" s="210"/>
      <c r="AX185" s="1113"/>
      <c r="AY185" s="210"/>
      <c r="AZ185" s="1113"/>
      <c r="BA185" s="210"/>
      <c r="BB185" s="1113"/>
      <c r="BC185" s="210"/>
      <c r="BD185" s="210"/>
      <c r="BE185" s="210"/>
      <c r="BF185" s="210"/>
      <c r="BG185" s="210"/>
      <c r="BH185" s="210"/>
      <c r="BI185" s="210"/>
      <c r="BJ185" s="210"/>
      <c r="BK185" s="210"/>
      <c r="BL185" s="210"/>
      <c r="BM185" s="210"/>
      <c r="BN185" s="210"/>
      <c r="BO185" s="210"/>
      <c r="BP185" s="210"/>
      <c r="BQ185" s="210"/>
      <c r="BR185" s="210"/>
      <c r="BS185" s="210"/>
      <c r="BT185" s="210"/>
    </row>
    <row r="186" spans="1:72" s="31" customFormat="1" ht="16.5" customHeight="1">
      <c r="A186" s="287">
        <v>175</v>
      </c>
      <c r="B186" s="933"/>
      <c r="C186" s="845"/>
      <c r="D186" s="849"/>
      <c r="E186" s="287"/>
      <c r="F186" s="310"/>
      <c r="G186" s="310"/>
      <c r="H186" s="310"/>
      <c r="I186" s="310"/>
      <c r="J186" s="310"/>
      <c r="K186" s="209" t="s">
        <v>204</v>
      </c>
      <c r="L186" s="1036">
        <v>50574992.890000001</v>
      </c>
      <c r="M186" s="210"/>
      <c r="N186" s="210"/>
      <c r="O186" s="210"/>
      <c r="P186" s="330"/>
      <c r="Q186" s="277">
        <v>42206072.039999999</v>
      </c>
      <c r="R186" s="808">
        <v>0</v>
      </c>
      <c r="S186" s="277">
        <v>41798874.439999998</v>
      </c>
      <c r="T186" s="330"/>
      <c r="U186" s="334"/>
      <c r="V186" s="7"/>
      <c r="W186" s="7"/>
      <c r="X186" s="7"/>
      <c r="Z186" s="267">
        <f t="shared" si="280"/>
        <v>0</v>
      </c>
      <c r="AA186" s="256">
        <f t="shared" si="280"/>
        <v>0</v>
      </c>
      <c r="AB186" s="272">
        <f t="shared" si="281"/>
        <v>0</v>
      </c>
      <c r="AC186" s="267">
        <f t="shared" si="282"/>
        <v>0</v>
      </c>
      <c r="AD186" s="256">
        <f t="shared" si="282"/>
        <v>0</v>
      </c>
      <c r="AE186" s="272">
        <f t="shared" si="283"/>
        <v>0</v>
      </c>
      <c r="AF186" s="267">
        <f t="shared" si="284"/>
        <v>0</v>
      </c>
      <c r="AG186" s="256">
        <f t="shared" si="284"/>
        <v>0</v>
      </c>
      <c r="AH186" s="272">
        <f t="shared" si="285"/>
        <v>0</v>
      </c>
      <c r="AI186" s="267">
        <f t="shared" si="286"/>
        <v>0</v>
      </c>
      <c r="AJ186" s="256">
        <f t="shared" si="286"/>
        <v>0</v>
      </c>
      <c r="AK186" s="272">
        <f t="shared" si="287"/>
        <v>0</v>
      </c>
      <c r="AL186" s="210"/>
      <c r="AM186" s="267">
        <f t="shared" si="288"/>
        <v>0</v>
      </c>
      <c r="AN186" s="250">
        <f t="shared" si="288"/>
        <v>0</v>
      </c>
      <c r="AO186" s="283">
        <f t="shared" si="289"/>
        <v>0</v>
      </c>
      <c r="AP186" s="267">
        <f t="shared" si="290"/>
        <v>0</v>
      </c>
      <c r="AQ186" s="250">
        <f t="shared" si="290"/>
        <v>0</v>
      </c>
      <c r="AR186" s="283">
        <f t="shared" si="291"/>
        <v>0</v>
      </c>
      <c r="AS186" s="267">
        <f t="shared" si="292"/>
        <v>0</v>
      </c>
      <c r="AT186" s="250">
        <f t="shared" si="292"/>
        <v>0</v>
      </c>
      <c r="AU186" s="283">
        <f t="shared" si="293"/>
        <v>0</v>
      </c>
      <c r="AV186" s="607"/>
      <c r="AW186" s="210"/>
      <c r="AX186" s="1113"/>
      <c r="AY186" s="210"/>
      <c r="AZ186" s="1113"/>
      <c r="BA186" s="210"/>
      <c r="BB186" s="1113"/>
      <c r="BC186" s="210"/>
      <c r="BD186" s="210"/>
      <c r="BE186" s="210"/>
      <c r="BF186" s="210"/>
      <c r="BG186" s="210"/>
      <c r="BH186" s="210"/>
      <c r="BI186" s="210"/>
      <c r="BJ186" s="210"/>
      <c r="BK186" s="210"/>
      <c r="BL186" s="210"/>
      <c r="BM186" s="210"/>
      <c r="BN186" s="210"/>
      <c r="BO186" s="210"/>
      <c r="BP186" s="210"/>
      <c r="BQ186" s="210"/>
      <c r="BR186" s="210"/>
      <c r="BS186" s="210"/>
      <c r="BT186" s="210"/>
    </row>
    <row r="187" spans="1:72" s="31" customFormat="1" ht="16.5" customHeight="1">
      <c r="A187" s="287">
        <v>176</v>
      </c>
      <c r="B187" s="933"/>
      <c r="C187" s="845"/>
      <c r="D187" s="849"/>
      <c r="E187" s="287"/>
      <c r="F187" s="310"/>
      <c r="G187" s="310"/>
      <c r="H187" s="310"/>
      <c r="I187" s="310"/>
      <c r="J187" s="310"/>
      <c r="K187" s="209" t="s">
        <v>368</v>
      </c>
      <c r="L187" s="1036">
        <f>L186-L185</f>
        <v>0</v>
      </c>
      <c r="M187" s="277"/>
      <c r="N187" s="277"/>
      <c r="O187" s="277"/>
      <c r="P187" s="277">
        <f t="shared" ref="P187:R187" si="300">P186-P185</f>
        <v>-18757813.84</v>
      </c>
      <c r="Q187" s="277">
        <f t="shared" si="300"/>
        <v>0</v>
      </c>
      <c r="R187" s="277">
        <f t="shared" si="300"/>
        <v>0</v>
      </c>
      <c r="S187" s="277">
        <f>S186-S185</f>
        <v>0</v>
      </c>
      <c r="T187" s="330"/>
      <c r="U187" s="334"/>
      <c r="V187" s="7"/>
      <c r="W187" s="7"/>
      <c r="X187" s="7"/>
      <c r="Z187" s="267"/>
      <c r="AA187" s="256"/>
      <c r="AB187" s="272"/>
      <c r="AC187" s="267"/>
      <c r="AD187" s="256"/>
      <c r="AE187" s="272"/>
      <c r="AF187" s="267"/>
      <c r="AG187" s="256"/>
      <c r="AH187" s="272"/>
      <c r="AI187" s="267"/>
      <c r="AJ187" s="256"/>
      <c r="AK187" s="272"/>
      <c r="AL187" s="210"/>
      <c r="AM187" s="267"/>
      <c r="AN187" s="250"/>
      <c r="AO187" s="283"/>
      <c r="AP187" s="267"/>
      <c r="AQ187" s="250"/>
      <c r="AR187" s="283"/>
      <c r="AS187" s="267"/>
      <c r="AT187" s="250"/>
      <c r="AU187" s="283"/>
      <c r="AV187" s="607"/>
      <c r="AW187" s="210"/>
      <c r="AX187" s="1113"/>
      <c r="AY187" s="210"/>
      <c r="AZ187" s="1113"/>
      <c r="BA187" s="210"/>
      <c r="BB187" s="1113"/>
      <c r="BC187" s="210"/>
      <c r="BD187" s="210"/>
      <c r="BE187" s="210"/>
      <c r="BF187" s="210"/>
      <c r="BG187" s="210"/>
      <c r="BH187" s="210"/>
      <c r="BI187" s="210"/>
      <c r="BJ187" s="210"/>
      <c r="BK187" s="210"/>
      <c r="BL187" s="210"/>
      <c r="BM187" s="210"/>
      <c r="BN187" s="210"/>
      <c r="BO187" s="210"/>
      <c r="BP187" s="210"/>
      <c r="BQ187" s="210"/>
      <c r="BR187" s="210"/>
      <c r="BS187" s="210"/>
      <c r="BT187" s="210"/>
    </row>
    <row r="188" spans="1:72" s="31" customFormat="1" ht="16.5" customHeight="1">
      <c r="A188" s="287">
        <v>177</v>
      </c>
      <c r="B188" s="933"/>
      <c r="C188" s="845"/>
      <c r="D188" s="849"/>
      <c r="E188" s="287" t="s">
        <v>201</v>
      </c>
      <c r="F188" s="310"/>
      <c r="G188" s="310"/>
      <c r="H188" s="310"/>
      <c r="I188" s="310"/>
      <c r="J188" s="310"/>
      <c r="K188" s="209"/>
      <c r="L188" s="1036"/>
      <c r="M188" s="277"/>
      <c r="N188" s="277"/>
      <c r="O188" s="277"/>
      <c r="P188" s="277"/>
      <c r="Q188" s="277"/>
      <c r="R188" s="277"/>
      <c r="S188" s="277"/>
      <c r="T188" s="330"/>
      <c r="U188" s="334"/>
      <c r="V188" s="7"/>
      <c r="W188" s="7"/>
      <c r="X188" s="7"/>
      <c r="Z188" s="267"/>
      <c r="AA188" s="256"/>
      <c r="AB188" s="272"/>
      <c r="AC188" s="267"/>
      <c r="AD188" s="256"/>
      <c r="AE188" s="272"/>
      <c r="AF188" s="267"/>
      <c r="AG188" s="256"/>
      <c r="AH188" s="272"/>
      <c r="AI188" s="267"/>
      <c r="AJ188" s="256"/>
      <c r="AK188" s="272"/>
      <c r="AL188" s="210"/>
      <c r="AM188" s="267"/>
      <c r="AN188" s="250"/>
      <c r="AO188" s="283"/>
      <c r="AP188" s="267"/>
      <c r="AQ188" s="250"/>
      <c r="AR188" s="283"/>
      <c r="AS188" s="267"/>
      <c r="AT188" s="250"/>
      <c r="AU188" s="283"/>
      <c r="AV188" s="607"/>
      <c r="AW188" s="210"/>
      <c r="AX188" s="1113"/>
      <c r="AY188" s="210"/>
      <c r="AZ188" s="1113"/>
      <c r="BA188" s="210"/>
      <c r="BB188" s="1113"/>
      <c r="BC188" s="210"/>
      <c r="BD188" s="210"/>
      <c r="BE188" s="210"/>
      <c r="BF188" s="210"/>
      <c r="BG188" s="210"/>
      <c r="BH188" s="210"/>
      <c r="BI188" s="210"/>
      <c r="BJ188" s="210"/>
      <c r="BK188" s="210"/>
      <c r="BL188" s="210"/>
      <c r="BM188" s="210"/>
      <c r="BN188" s="210"/>
      <c r="BO188" s="210"/>
      <c r="BP188" s="210"/>
      <c r="BQ188" s="210"/>
      <c r="BR188" s="210"/>
      <c r="BS188" s="210"/>
      <c r="BT188" s="210"/>
    </row>
    <row r="189" spans="1:72" s="31" customFormat="1" ht="21" thickBot="1">
      <c r="A189" s="287">
        <v>178</v>
      </c>
      <c r="B189" s="933"/>
      <c r="C189" s="845"/>
      <c r="D189" s="849"/>
      <c r="E189" s="287" t="s">
        <v>201</v>
      </c>
      <c r="F189" s="371" t="s">
        <v>217</v>
      </c>
      <c r="G189" s="311"/>
      <c r="H189" s="311"/>
      <c r="I189" s="311"/>
      <c r="J189" s="311"/>
      <c r="K189" s="311"/>
      <c r="L189" s="1037"/>
      <c r="M189" s="216"/>
      <c r="N189" s="216"/>
      <c r="O189" s="216"/>
      <c r="P189" s="331"/>
      <c r="Q189" s="216"/>
      <c r="R189" s="331"/>
      <c r="S189" s="216"/>
      <c r="T189" s="331"/>
      <c r="U189" s="334"/>
      <c r="V189" s="7"/>
      <c r="W189" s="7"/>
      <c r="X189" s="7"/>
      <c r="Z189" s="266"/>
      <c r="AA189" s="255"/>
      <c r="AB189" s="271"/>
      <c r="AC189" s="266"/>
      <c r="AD189" s="255"/>
      <c r="AE189" s="271"/>
      <c r="AF189" s="266"/>
      <c r="AG189" s="255"/>
      <c r="AH189" s="271"/>
      <c r="AI189" s="266"/>
      <c r="AJ189" s="255"/>
      <c r="AK189" s="271"/>
      <c r="AL189" s="216"/>
      <c r="AM189" s="266"/>
      <c r="AN189" s="249"/>
      <c r="AO189" s="282"/>
      <c r="AP189" s="266"/>
      <c r="AQ189" s="249"/>
      <c r="AR189" s="282">
        <f t="shared" ref="AR189:AR310" si="301">AP189-AQ189</f>
        <v>0</v>
      </c>
      <c r="AS189" s="266">
        <f t="shared" ref="AS189:AT211" si="302">Z189+AC189+AF189+AI189</f>
        <v>0</v>
      </c>
      <c r="AT189" s="249">
        <f t="shared" si="302"/>
        <v>0</v>
      </c>
      <c r="AU189" s="282">
        <f t="shared" ref="AU189:AU305" si="303">AS189-AT189</f>
        <v>0</v>
      </c>
      <c r="AV189" s="606">
        <f t="shared" ref="AV189:AV213" si="304">L189-AS189</f>
        <v>0</v>
      </c>
      <c r="AW189" s="216"/>
      <c r="AX189" s="1117"/>
      <c r="AY189" s="216"/>
      <c r="AZ189" s="1117"/>
      <c r="BA189" s="216"/>
      <c r="BB189" s="1117"/>
      <c r="BC189" s="216"/>
      <c r="BD189" s="216"/>
      <c r="BE189" s="216"/>
      <c r="BF189" s="216"/>
      <c r="BG189" s="216"/>
      <c r="BH189" s="216"/>
      <c r="BI189" s="216"/>
      <c r="BJ189" s="216"/>
      <c r="BK189" s="216"/>
      <c r="BL189" s="216"/>
      <c r="BM189" s="216"/>
      <c r="BN189" s="216"/>
      <c r="BO189" s="216"/>
      <c r="BP189" s="216"/>
      <c r="BQ189" s="216"/>
      <c r="BR189" s="216"/>
      <c r="BS189" s="216"/>
      <c r="BT189" s="216"/>
    </row>
    <row r="190" spans="1:72" s="512" customFormat="1" ht="31.5">
      <c r="A190" s="287">
        <v>179</v>
      </c>
      <c r="B190" s="933"/>
      <c r="C190" s="863"/>
      <c r="D190" s="864"/>
      <c r="E190" s="865" t="s">
        <v>201</v>
      </c>
      <c r="F190" s="831" t="s">
        <v>23</v>
      </c>
      <c r="G190" s="514">
        <v>2</v>
      </c>
      <c r="H190" s="514" t="s">
        <v>69</v>
      </c>
      <c r="I190" s="514">
        <v>111</v>
      </c>
      <c r="J190" s="515">
        <v>211</v>
      </c>
      <c r="K190" s="555" t="s">
        <v>8</v>
      </c>
      <c r="L190" s="1041">
        <f>4950667.96+M190</f>
        <v>5063110.87</v>
      </c>
      <c r="M190" s="581">
        <v>112442.91</v>
      </c>
      <c r="N190" s="581"/>
      <c r="O190" s="1050">
        <f t="shared" ref="O190:O307" si="305">L190+N190</f>
        <v>5063110.87</v>
      </c>
      <c r="P190" s="582"/>
      <c r="Q190" s="580">
        <v>4950667.96</v>
      </c>
      <c r="R190" s="583"/>
      <c r="S190" s="584">
        <v>4950667.96</v>
      </c>
      <c r="T190" s="574"/>
      <c r="U190" s="516"/>
      <c r="V190" s="517"/>
      <c r="W190" s="517"/>
      <c r="X190" s="517"/>
      <c r="Z190" s="518">
        <f t="shared" ref="Z190:AA211" si="306">AW190+AY190+BA190</f>
        <v>4950667.96</v>
      </c>
      <c r="AA190" s="251">
        <f t="shared" si="306"/>
        <v>416404.75</v>
      </c>
      <c r="AB190" s="519">
        <f t="shared" ref="AB190:AB305" si="307">Z190-AA190</f>
        <v>4534263.21</v>
      </c>
      <c r="AC190" s="518">
        <f t="shared" ref="AC190:AD211" si="308">BC190+BE190+BG190</f>
        <v>112442.91</v>
      </c>
      <c r="AD190" s="251">
        <f t="shared" si="308"/>
        <v>0</v>
      </c>
      <c r="AE190" s="519">
        <f t="shared" ref="AE190:AE305" si="309">AC190-AD190</f>
        <v>112442.91</v>
      </c>
      <c r="AF190" s="518">
        <f t="shared" ref="AF190:AG211" si="310">BI190+BK190+BM190</f>
        <v>0</v>
      </c>
      <c r="AG190" s="251">
        <f t="shared" si="310"/>
        <v>0</v>
      </c>
      <c r="AH190" s="519">
        <f t="shared" ref="AH190:AH305" si="311">AF190-AG190</f>
        <v>0</v>
      </c>
      <c r="AI190" s="518">
        <f t="shared" ref="AI190:AJ211" si="312">BO190+BQ190+BS190</f>
        <v>0</v>
      </c>
      <c r="AJ190" s="251">
        <f t="shared" si="312"/>
        <v>0</v>
      </c>
      <c r="AK190" s="519">
        <f t="shared" ref="AK190:AK305" si="313">AI190-AJ190</f>
        <v>0</v>
      </c>
      <c r="AL190" s="520"/>
      <c r="AM190" s="518">
        <f t="shared" ref="AM190:AN211" si="314">Z190+AC190</f>
        <v>5063110.87</v>
      </c>
      <c r="AN190" s="251">
        <f t="shared" si="314"/>
        <v>416404.75</v>
      </c>
      <c r="AO190" s="519">
        <f t="shared" ref="AO190:AO310" si="315">AM190-AN190</f>
        <v>4646706.12</v>
      </c>
      <c r="AP190" s="518">
        <f t="shared" ref="AP190:AQ211" si="316">Z190+AC190+AF190</f>
        <v>5063110.87</v>
      </c>
      <c r="AQ190" s="251">
        <f t="shared" si="316"/>
        <v>416404.75</v>
      </c>
      <c r="AR190" s="519">
        <f t="shared" si="301"/>
        <v>4646706.12</v>
      </c>
      <c r="AS190" s="518">
        <f>Z190+AC190+AF190+AI190</f>
        <v>5063110.87</v>
      </c>
      <c r="AT190" s="251">
        <f t="shared" si="302"/>
        <v>416404.75</v>
      </c>
      <c r="AU190" s="519">
        <f t="shared" si="303"/>
        <v>4646706.12</v>
      </c>
      <c r="AV190" s="595">
        <f t="shared" si="304"/>
        <v>0</v>
      </c>
      <c r="AW190" s="518">
        <v>4950667.96</v>
      </c>
      <c r="AX190" s="251"/>
      <c r="AY190" s="251"/>
      <c r="AZ190" s="251">
        <v>239761.62</v>
      </c>
      <c r="BA190" s="251"/>
      <c r="BB190" s="301">
        <v>176643.13</v>
      </c>
      <c r="BC190" s="518"/>
      <c r="BD190" s="251"/>
      <c r="BE190" s="251">
        <v>112442.91</v>
      </c>
      <c r="BF190" s="251"/>
      <c r="BG190" s="251"/>
      <c r="BH190" s="301"/>
      <c r="BI190" s="518"/>
      <c r="BJ190" s="251"/>
      <c r="BK190" s="251"/>
      <c r="BL190" s="251"/>
      <c r="BM190" s="251"/>
      <c r="BN190" s="301"/>
      <c r="BO190" s="518"/>
      <c r="BP190" s="251"/>
      <c r="BQ190" s="251"/>
      <c r="BR190" s="251"/>
      <c r="BS190" s="251"/>
      <c r="BT190" s="519"/>
    </row>
    <row r="191" spans="1:72" s="358" customFormat="1" ht="94.5" customHeight="1">
      <c r="A191" s="287">
        <v>180</v>
      </c>
      <c r="B191" s="933"/>
      <c r="C191" s="850" t="s">
        <v>377</v>
      </c>
      <c r="D191" s="838"/>
      <c r="E191" s="836" t="s">
        <v>201</v>
      </c>
      <c r="F191" s="820" t="s">
        <v>23</v>
      </c>
      <c r="G191" s="360">
        <v>2</v>
      </c>
      <c r="H191" s="360" t="s">
        <v>71</v>
      </c>
      <c r="I191" s="360">
        <v>111</v>
      </c>
      <c r="J191" s="361">
        <v>211</v>
      </c>
      <c r="K191" s="532" t="s">
        <v>324</v>
      </c>
      <c r="L191" s="1023">
        <f>L192</f>
        <v>4000</v>
      </c>
      <c r="M191" s="363"/>
      <c r="N191" s="363"/>
      <c r="O191" s="1051">
        <f t="shared" si="305"/>
        <v>4000</v>
      </c>
      <c r="P191" s="571"/>
      <c r="Q191" s="367">
        <f>Q192</f>
        <v>1000</v>
      </c>
      <c r="R191" s="557"/>
      <c r="S191" s="367">
        <f>S192</f>
        <v>0</v>
      </c>
      <c r="T191" s="557"/>
      <c r="U191" s="365"/>
      <c r="V191" s="366"/>
      <c r="W191" s="366"/>
      <c r="X191" s="366"/>
      <c r="Z191" s="367">
        <f t="shared" si="306"/>
        <v>1000</v>
      </c>
      <c r="AA191" s="363">
        <f t="shared" si="306"/>
        <v>0</v>
      </c>
      <c r="AB191" s="280">
        <f t="shared" si="307"/>
        <v>1000</v>
      </c>
      <c r="AC191" s="367">
        <f t="shared" si="308"/>
        <v>1000</v>
      </c>
      <c r="AD191" s="363">
        <f t="shared" si="308"/>
        <v>0</v>
      </c>
      <c r="AE191" s="280">
        <f t="shared" si="309"/>
        <v>1000</v>
      </c>
      <c r="AF191" s="367">
        <f t="shared" si="310"/>
        <v>1000</v>
      </c>
      <c r="AG191" s="363">
        <f t="shared" si="310"/>
        <v>0</v>
      </c>
      <c r="AH191" s="280">
        <f t="shared" si="311"/>
        <v>1000</v>
      </c>
      <c r="AI191" s="367">
        <f t="shared" si="312"/>
        <v>1000</v>
      </c>
      <c r="AJ191" s="363">
        <f t="shared" si="312"/>
        <v>0</v>
      </c>
      <c r="AK191" s="280">
        <f t="shared" si="313"/>
        <v>1000</v>
      </c>
      <c r="AL191" s="368"/>
      <c r="AM191" s="367">
        <f t="shared" si="314"/>
        <v>2000</v>
      </c>
      <c r="AN191" s="363">
        <f t="shared" si="314"/>
        <v>0</v>
      </c>
      <c r="AO191" s="280">
        <f t="shared" si="315"/>
        <v>2000</v>
      </c>
      <c r="AP191" s="367">
        <f t="shared" si="316"/>
        <v>3000</v>
      </c>
      <c r="AQ191" s="363">
        <f t="shared" si="316"/>
        <v>0</v>
      </c>
      <c r="AR191" s="280">
        <f t="shared" si="301"/>
        <v>3000</v>
      </c>
      <c r="AS191" s="367">
        <f>Z191+AC191+AF191+AI191</f>
        <v>4000</v>
      </c>
      <c r="AT191" s="363">
        <f t="shared" si="302"/>
        <v>0</v>
      </c>
      <c r="AU191" s="280">
        <f t="shared" si="303"/>
        <v>4000</v>
      </c>
      <c r="AV191" s="588">
        <f t="shared" si="304"/>
        <v>0</v>
      </c>
      <c r="AW191" s="367">
        <f>AW192</f>
        <v>1000</v>
      </c>
      <c r="AX191" s="367">
        <f t="shared" ref="AX191:BT193" si="317">AX192</f>
        <v>0</v>
      </c>
      <c r="AY191" s="367">
        <f t="shared" si="317"/>
        <v>0</v>
      </c>
      <c r="AZ191" s="367">
        <f t="shared" si="317"/>
        <v>0</v>
      </c>
      <c r="BA191" s="367">
        <f t="shared" si="317"/>
        <v>0</v>
      </c>
      <c r="BB191" s="367">
        <f t="shared" si="317"/>
        <v>0</v>
      </c>
      <c r="BC191" s="367">
        <f t="shared" si="317"/>
        <v>1000</v>
      </c>
      <c r="BD191" s="367">
        <f t="shared" si="317"/>
        <v>0</v>
      </c>
      <c r="BE191" s="367">
        <f t="shared" si="317"/>
        <v>0</v>
      </c>
      <c r="BF191" s="367">
        <f t="shared" si="317"/>
        <v>0</v>
      </c>
      <c r="BG191" s="367">
        <f t="shared" si="317"/>
        <v>0</v>
      </c>
      <c r="BH191" s="367">
        <f t="shared" si="317"/>
        <v>0</v>
      </c>
      <c r="BI191" s="367">
        <f t="shared" si="317"/>
        <v>1000</v>
      </c>
      <c r="BJ191" s="367">
        <f t="shared" si="317"/>
        <v>0</v>
      </c>
      <c r="BK191" s="367">
        <f t="shared" si="317"/>
        <v>0</v>
      </c>
      <c r="BL191" s="367">
        <f t="shared" si="317"/>
        <v>0</v>
      </c>
      <c r="BM191" s="367">
        <f t="shared" si="317"/>
        <v>0</v>
      </c>
      <c r="BN191" s="367">
        <f t="shared" si="317"/>
        <v>0</v>
      </c>
      <c r="BO191" s="367">
        <f t="shared" si="317"/>
        <v>1000</v>
      </c>
      <c r="BP191" s="367">
        <f t="shared" si="317"/>
        <v>0</v>
      </c>
      <c r="BQ191" s="367">
        <f t="shared" si="317"/>
        <v>0</v>
      </c>
      <c r="BR191" s="367">
        <f t="shared" si="317"/>
        <v>0</v>
      </c>
      <c r="BS191" s="367">
        <f t="shared" si="317"/>
        <v>0</v>
      </c>
      <c r="BT191" s="367">
        <f t="shared" si="317"/>
        <v>0</v>
      </c>
    </row>
    <row r="192" spans="1:72" s="313" customFormat="1" ht="38.25" outlineLevel="1">
      <c r="A192" s="287">
        <v>181</v>
      </c>
      <c r="B192" s="933"/>
      <c r="C192" s="840"/>
      <c r="D192" s="841"/>
      <c r="E192" s="839"/>
      <c r="F192" s="821" t="s">
        <v>23</v>
      </c>
      <c r="G192" s="314">
        <v>2</v>
      </c>
      <c r="H192" s="739" t="s">
        <v>71</v>
      </c>
      <c r="I192" s="739">
        <v>111</v>
      </c>
      <c r="J192" s="740">
        <v>211</v>
      </c>
      <c r="K192" s="533" t="s">
        <v>322</v>
      </c>
      <c r="L192" s="1025">
        <f>1000*4</f>
        <v>4000</v>
      </c>
      <c r="M192" s="318"/>
      <c r="N192" s="318"/>
      <c r="O192" s="1052">
        <f t="shared" si="305"/>
        <v>4000</v>
      </c>
      <c r="P192" s="570"/>
      <c r="Q192" s="341">
        <v>1000</v>
      </c>
      <c r="R192" s="559"/>
      <c r="S192" s="540">
        <v>0</v>
      </c>
      <c r="T192" s="559"/>
      <c r="U192" s="335"/>
      <c r="V192" s="320"/>
      <c r="W192" s="320"/>
      <c r="X192" s="320"/>
      <c r="Z192" s="336">
        <f t="shared" si="306"/>
        <v>1000</v>
      </c>
      <c r="AA192" s="337">
        <f t="shared" si="306"/>
        <v>0</v>
      </c>
      <c r="AB192" s="338">
        <f t="shared" si="307"/>
        <v>1000</v>
      </c>
      <c r="AC192" s="336">
        <f t="shared" si="308"/>
        <v>1000</v>
      </c>
      <c r="AD192" s="337">
        <f t="shared" si="308"/>
        <v>0</v>
      </c>
      <c r="AE192" s="338">
        <f t="shared" si="309"/>
        <v>1000</v>
      </c>
      <c r="AF192" s="336">
        <f t="shared" si="310"/>
        <v>1000</v>
      </c>
      <c r="AG192" s="337">
        <f t="shared" si="310"/>
        <v>0</v>
      </c>
      <c r="AH192" s="338">
        <f t="shared" si="311"/>
        <v>1000</v>
      </c>
      <c r="AI192" s="336">
        <f t="shared" si="312"/>
        <v>1000</v>
      </c>
      <c r="AJ192" s="337">
        <f t="shared" si="312"/>
        <v>0</v>
      </c>
      <c r="AK192" s="338">
        <f t="shared" si="313"/>
        <v>1000</v>
      </c>
      <c r="AL192" s="342"/>
      <c r="AM192" s="336">
        <f t="shared" si="314"/>
        <v>2000</v>
      </c>
      <c r="AN192" s="339">
        <f t="shared" si="314"/>
        <v>0</v>
      </c>
      <c r="AO192" s="340">
        <f t="shared" si="315"/>
        <v>2000</v>
      </c>
      <c r="AP192" s="336">
        <f t="shared" si="316"/>
        <v>3000</v>
      </c>
      <c r="AQ192" s="339">
        <f t="shared" si="316"/>
        <v>0</v>
      </c>
      <c r="AR192" s="340">
        <f t="shared" si="301"/>
        <v>3000</v>
      </c>
      <c r="AS192" s="341">
        <f t="shared" si="302"/>
        <v>4000</v>
      </c>
      <c r="AT192" s="339">
        <f t="shared" si="302"/>
        <v>0</v>
      </c>
      <c r="AU192" s="340">
        <f t="shared" si="303"/>
        <v>4000</v>
      </c>
      <c r="AV192" s="589">
        <f t="shared" si="304"/>
        <v>0</v>
      </c>
      <c r="AW192" s="343">
        <v>1000</v>
      </c>
      <c r="AX192" s="344"/>
      <c r="AY192" s="345"/>
      <c r="AZ192" s="344"/>
      <c r="BA192" s="345"/>
      <c r="BB192" s="346"/>
      <c r="BC192" s="347">
        <v>1000</v>
      </c>
      <c r="BD192" s="348"/>
      <c r="BE192" s="349"/>
      <c r="BF192" s="348"/>
      <c r="BG192" s="349"/>
      <c r="BH192" s="350"/>
      <c r="BI192" s="351">
        <v>1000</v>
      </c>
      <c r="BJ192" s="352"/>
      <c r="BK192" s="337"/>
      <c r="BL192" s="352"/>
      <c r="BM192" s="337"/>
      <c r="BN192" s="353"/>
      <c r="BO192" s="354">
        <v>1000</v>
      </c>
      <c r="BP192" s="355"/>
      <c r="BQ192" s="356"/>
      <c r="BR192" s="355"/>
      <c r="BS192" s="356"/>
      <c r="BT192" s="357"/>
    </row>
    <row r="193" spans="1:72" s="358" customFormat="1" ht="31.5">
      <c r="A193" s="287">
        <v>182</v>
      </c>
      <c r="B193" s="933"/>
      <c r="C193" s="850" t="s">
        <v>377</v>
      </c>
      <c r="D193" s="838"/>
      <c r="E193" s="836" t="s">
        <v>201</v>
      </c>
      <c r="F193" s="820" t="s">
        <v>23</v>
      </c>
      <c r="G193" s="360">
        <v>2</v>
      </c>
      <c r="H193" s="360" t="s">
        <v>71</v>
      </c>
      <c r="I193" s="360">
        <v>112</v>
      </c>
      <c r="J193" s="361">
        <v>212</v>
      </c>
      <c r="K193" s="532" t="s">
        <v>765</v>
      </c>
      <c r="L193" s="1023">
        <f>L194</f>
        <v>13300</v>
      </c>
      <c r="M193" s="363"/>
      <c r="N193" s="363">
        <f>N194</f>
        <v>0</v>
      </c>
      <c r="O193" s="1051">
        <f t="shared" si="305"/>
        <v>13300</v>
      </c>
      <c r="P193" s="571"/>
      <c r="Q193" s="367">
        <f>Q194</f>
        <v>0</v>
      </c>
      <c r="R193" s="557"/>
      <c r="S193" s="367">
        <f>S194</f>
        <v>0</v>
      </c>
      <c r="T193" s="557"/>
      <c r="U193" s="365"/>
      <c r="V193" s="366"/>
      <c r="W193" s="366"/>
      <c r="X193" s="366"/>
      <c r="Z193" s="367">
        <f t="shared" si="306"/>
        <v>0</v>
      </c>
      <c r="AA193" s="363">
        <f t="shared" si="306"/>
        <v>0</v>
      </c>
      <c r="AB193" s="280">
        <f t="shared" si="307"/>
        <v>0</v>
      </c>
      <c r="AC193" s="367">
        <f t="shared" si="308"/>
        <v>16300</v>
      </c>
      <c r="AD193" s="363">
        <f t="shared" si="308"/>
        <v>0</v>
      </c>
      <c r="AE193" s="280">
        <f t="shared" si="309"/>
        <v>16300</v>
      </c>
      <c r="AF193" s="367">
        <f t="shared" si="310"/>
        <v>0</v>
      </c>
      <c r="AG193" s="363">
        <f t="shared" si="310"/>
        <v>0</v>
      </c>
      <c r="AH193" s="280">
        <f t="shared" si="311"/>
        <v>0</v>
      </c>
      <c r="AI193" s="367">
        <f t="shared" si="312"/>
        <v>0</v>
      </c>
      <c r="AJ193" s="363">
        <f t="shared" si="312"/>
        <v>0</v>
      </c>
      <c r="AK193" s="280">
        <f t="shared" si="313"/>
        <v>0</v>
      </c>
      <c r="AL193" s="368"/>
      <c r="AM193" s="367">
        <f t="shared" si="314"/>
        <v>16300</v>
      </c>
      <c r="AN193" s="363">
        <f t="shared" si="314"/>
        <v>0</v>
      </c>
      <c r="AO193" s="280">
        <f t="shared" si="315"/>
        <v>16300</v>
      </c>
      <c r="AP193" s="367">
        <f t="shared" si="316"/>
        <v>16300</v>
      </c>
      <c r="AQ193" s="363">
        <f t="shared" si="316"/>
        <v>0</v>
      </c>
      <c r="AR193" s="280">
        <f t="shared" si="301"/>
        <v>16300</v>
      </c>
      <c r="AS193" s="367">
        <f>Z193+AC193+AF193+AI193</f>
        <v>16300</v>
      </c>
      <c r="AT193" s="363">
        <f t="shared" si="302"/>
        <v>0</v>
      </c>
      <c r="AU193" s="280">
        <f t="shared" si="303"/>
        <v>16300</v>
      </c>
      <c r="AV193" s="588">
        <f t="shared" si="304"/>
        <v>-3000</v>
      </c>
      <c r="AW193" s="367">
        <f>AW194</f>
        <v>0</v>
      </c>
      <c r="AX193" s="367">
        <f t="shared" si="317"/>
        <v>0</v>
      </c>
      <c r="AY193" s="367">
        <f t="shared" si="317"/>
        <v>0</v>
      </c>
      <c r="AZ193" s="367">
        <f t="shared" si="317"/>
        <v>0</v>
      </c>
      <c r="BA193" s="367">
        <f t="shared" si="317"/>
        <v>0</v>
      </c>
      <c r="BB193" s="367">
        <f t="shared" si="317"/>
        <v>0</v>
      </c>
      <c r="BC193" s="367">
        <f t="shared" si="317"/>
        <v>6800</v>
      </c>
      <c r="BD193" s="367">
        <f t="shared" si="317"/>
        <v>0</v>
      </c>
      <c r="BE193" s="367">
        <f t="shared" si="317"/>
        <v>9500</v>
      </c>
      <c r="BF193" s="367">
        <f t="shared" si="317"/>
        <v>0</v>
      </c>
      <c r="BG193" s="367">
        <f t="shared" si="317"/>
        <v>0</v>
      </c>
      <c r="BH193" s="367">
        <f t="shared" si="317"/>
        <v>0</v>
      </c>
      <c r="BI193" s="367">
        <f t="shared" si="317"/>
        <v>0</v>
      </c>
      <c r="BJ193" s="367">
        <f t="shared" si="317"/>
        <v>0</v>
      </c>
      <c r="BK193" s="367">
        <f t="shared" si="317"/>
        <v>0</v>
      </c>
      <c r="BL193" s="367">
        <f t="shared" si="317"/>
        <v>0</v>
      </c>
      <c r="BM193" s="367">
        <f t="shared" si="317"/>
        <v>0</v>
      </c>
      <c r="BN193" s="367">
        <f t="shared" si="317"/>
        <v>0</v>
      </c>
      <c r="BO193" s="367">
        <f t="shared" si="317"/>
        <v>0</v>
      </c>
      <c r="BP193" s="367">
        <f t="shared" si="317"/>
        <v>0</v>
      </c>
      <c r="BQ193" s="367">
        <f t="shared" si="317"/>
        <v>0</v>
      </c>
      <c r="BR193" s="367">
        <f t="shared" si="317"/>
        <v>0</v>
      </c>
      <c r="BS193" s="367">
        <f t="shared" si="317"/>
        <v>0</v>
      </c>
      <c r="BT193" s="367">
        <f t="shared" si="317"/>
        <v>0</v>
      </c>
    </row>
    <row r="194" spans="1:72" s="313" customFormat="1" ht="25.5" outlineLevel="1">
      <c r="A194" s="287">
        <v>183</v>
      </c>
      <c r="B194" s="1148"/>
      <c r="C194" s="840"/>
      <c r="D194" s="841"/>
      <c r="E194" s="839"/>
      <c r="F194" s="821" t="s">
        <v>23</v>
      </c>
      <c r="G194" s="314">
        <v>2</v>
      </c>
      <c r="H194" s="739" t="s">
        <v>71</v>
      </c>
      <c r="I194" s="739">
        <v>112</v>
      </c>
      <c r="J194" s="740">
        <v>212</v>
      </c>
      <c r="K194" s="533" t="s">
        <v>766</v>
      </c>
      <c r="L194" s="318">
        <v>13300</v>
      </c>
      <c r="M194" s="318"/>
      <c r="N194" s="318"/>
      <c r="O194" s="1052">
        <f t="shared" si="305"/>
        <v>13300</v>
      </c>
      <c r="P194" s="570"/>
      <c r="Q194" s="341">
        <v>0</v>
      </c>
      <c r="R194" s="559"/>
      <c r="S194" s="540">
        <v>0</v>
      </c>
      <c r="T194" s="559"/>
      <c r="U194" s="335"/>
      <c r="V194" s="320"/>
      <c r="W194" s="320"/>
      <c r="X194" s="320"/>
      <c r="Z194" s="336">
        <f t="shared" si="306"/>
        <v>0</v>
      </c>
      <c r="AA194" s="337">
        <f t="shared" si="306"/>
        <v>0</v>
      </c>
      <c r="AB194" s="338">
        <f t="shared" si="307"/>
        <v>0</v>
      </c>
      <c r="AC194" s="336">
        <f t="shared" si="308"/>
        <v>16300</v>
      </c>
      <c r="AD194" s="337">
        <f t="shared" si="308"/>
        <v>0</v>
      </c>
      <c r="AE194" s="338">
        <f t="shared" si="309"/>
        <v>16300</v>
      </c>
      <c r="AF194" s="336">
        <f t="shared" si="310"/>
        <v>0</v>
      </c>
      <c r="AG194" s="337">
        <f t="shared" si="310"/>
        <v>0</v>
      </c>
      <c r="AH194" s="338">
        <f t="shared" si="311"/>
        <v>0</v>
      </c>
      <c r="AI194" s="336">
        <f t="shared" si="312"/>
        <v>0</v>
      </c>
      <c r="AJ194" s="337">
        <f t="shared" si="312"/>
        <v>0</v>
      </c>
      <c r="AK194" s="338">
        <f t="shared" si="313"/>
        <v>0</v>
      </c>
      <c r="AL194" s="342"/>
      <c r="AM194" s="336">
        <f t="shared" si="314"/>
        <v>16300</v>
      </c>
      <c r="AN194" s="339">
        <f t="shared" si="314"/>
        <v>0</v>
      </c>
      <c r="AO194" s="340">
        <f t="shared" si="315"/>
        <v>16300</v>
      </c>
      <c r="AP194" s="336">
        <f t="shared" si="316"/>
        <v>16300</v>
      </c>
      <c r="AQ194" s="339">
        <f t="shared" si="316"/>
        <v>0</v>
      </c>
      <c r="AR194" s="340">
        <f t="shared" si="301"/>
        <v>16300</v>
      </c>
      <c r="AS194" s="341">
        <f t="shared" ref="AS194" si="318">Z194+AC194+AF194+AI194</f>
        <v>16300</v>
      </c>
      <c r="AT194" s="339">
        <f t="shared" si="302"/>
        <v>0</v>
      </c>
      <c r="AU194" s="340">
        <f t="shared" si="303"/>
        <v>16300</v>
      </c>
      <c r="AV194" s="589">
        <f t="shared" si="304"/>
        <v>-3000</v>
      </c>
      <c r="AW194" s="343"/>
      <c r="AX194" s="344"/>
      <c r="AY194" s="345"/>
      <c r="AZ194" s="344"/>
      <c r="BA194" s="345"/>
      <c r="BB194" s="346"/>
      <c r="BC194" s="347">
        <v>6800</v>
      </c>
      <c r="BD194" s="348"/>
      <c r="BE194" s="349">
        <f>6500+3000</f>
        <v>9500</v>
      </c>
      <c r="BF194" s="348"/>
      <c r="BG194" s="349"/>
      <c r="BH194" s="350"/>
      <c r="BI194" s="351"/>
      <c r="BJ194" s="352"/>
      <c r="BK194" s="337"/>
      <c r="BL194" s="352"/>
      <c r="BM194" s="337"/>
      <c r="BN194" s="353"/>
      <c r="BO194" s="354"/>
      <c r="BP194" s="355"/>
      <c r="BQ194" s="356"/>
      <c r="BR194" s="355"/>
      <c r="BS194" s="356"/>
      <c r="BT194" s="357"/>
    </row>
    <row r="195" spans="1:72" s="358" customFormat="1" ht="31.5">
      <c r="A195" s="287">
        <v>184</v>
      </c>
      <c r="B195" s="933"/>
      <c r="C195" s="837"/>
      <c r="D195" s="838"/>
      <c r="E195" s="836" t="s">
        <v>201</v>
      </c>
      <c r="F195" s="820" t="s">
        <v>23</v>
      </c>
      <c r="G195" s="360">
        <v>2</v>
      </c>
      <c r="H195" s="360" t="s">
        <v>69</v>
      </c>
      <c r="I195" s="360">
        <v>119</v>
      </c>
      <c r="J195" s="361">
        <v>213</v>
      </c>
      <c r="K195" s="532" t="s">
        <v>10</v>
      </c>
      <c r="L195" s="1042">
        <f>1484134.59+M195</f>
        <v>1488234.59</v>
      </c>
      <c r="M195" s="586">
        <v>4100</v>
      </c>
      <c r="N195" s="586"/>
      <c r="O195" s="1053">
        <f t="shared" si="305"/>
        <v>1488234.59</v>
      </c>
      <c r="P195" s="587"/>
      <c r="Q195" s="367">
        <v>1484134.59</v>
      </c>
      <c r="R195" s="557"/>
      <c r="S195" s="367">
        <v>1484134.59</v>
      </c>
      <c r="T195" s="557"/>
      <c r="U195" s="365"/>
      <c r="V195" s="366"/>
      <c r="W195" s="366"/>
      <c r="X195" s="366"/>
      <c r="Z195" s="367">
        <f>AW195+AY195+BA195</f>
        <v>1484134.59</v>
      </c>
      <c r="AA195" s="363">
        <f>AX195+AZ195+BB195</f>
        <v>110883.95</v>
      </c>
      <c r="AB195" s="280">
        <f>Z195-AA195</f>
        <v>1373250.64</v>
      </c>
      <c r="AC195" s="367">
        <f>BC195+BE195+BG195</f>
        <v>0</v>
      </c>
      <c r="AD195" s="363">
        <f>BD195+BF195+BH195</f>
        <v>0</v>
      </c>
      <c r="AE195" s="280">
        <f>AC195-AD195</f>
        <v>0</v>
      </c>
      <c r="AF195" s="367">
        <f>BI195+BK195+BM195</f>
        <v>0</v>
      </c>
      <c r="AG195" s="363">
        <f>BJ195+BL195+BN195</f>
        <v>0</v>
      </c>
      <c r="AH195" s="280">
        <f>AF195-AG195</f>
        <v>0</v>
      </c>
      <c r="AI195" s="367">
        <f>BO195+BQ195+BS195</f>
        <v>4100</v>
      </c>
      <c r="AJ195" s="363">
        <f>BP195+BR195+BT195</f>
        <v>0</v>
      </c>
      <c r="AK195" s="280">
        <f>AI195-AJ195</f>
        <v>4100</v>
      </c>
      <c r="AL195" s="368"/>
      <c r="AM195" s="367">
        <f>Z195+AC195</f>
        <v>1484134.59</v>
      </c>
      <c r="AN195" s="363">
        <f>AA195+AD195</f>
        <v>110883.95</v>
      </c>
      <c r="AO195" s="280">
        <f>AM195-AN195</f>
        <v>1373250.64</v>
      </c>
      <c r="AP195" s="367">
        <f>Z195+AC195+AF195</f>
        <v>1484134.59</v>
      </c>
      <c r="AQ195" s="363">
        <f>AA195+AD195+AG195</f>
        <v>110883.95</v>
      </c>
      <c r="AR195" s="280">
        <f>AP195-AQ195</f>
        <v>1373250.64</v>
      </c>
      <c r="AS195" s="367">
        <f>Z195+AC195+AF195+AI195</f>
        <v>1488234.59</v>
      </c>
      <c r="AT195" s="363">
        <f>AA195+AD195+AG195+AJ195</f>
        <v>110883.95</v>
      </c>
      <c r="AU195" s="280">
        <f>AS195-AT195</f>
        <v>1377350.64</v>
      </c>
      <c r="AV195" s="588">
        <f t="shared" si="304"/>
        <v>0</v>
      </c>
      <c r="AW195" s="367">
        <v>1484134.59</v>
      </c>
      <c r="AX195" s="363"/>
      <c r="AY195" s="363"/>
      <c r="AZ195" s="363"/>
      <c r="BA195" s="363"/>
      <c r="BB195" s="369">
        <v>110883.95</v>
      </c>
      <c r="BC195" s="367"/>
      <c r="BD195" s="363"/>
      <c r="BE195" s="363"/>
      <c r="BF195" s="363"/>
      <c r="BG195" s="363"/>
      <c r="BH195" s="369"/>
      <c r="BI195" s="367"/>
      <c r="BJ195" s="363"/>
      <c r="BK195" s="363"/>
      <c r="BL195" s="363"/>
      <c r="BM195" s="363"/>
      <c r="BN195" s="369"/>
      <c r="BO195" s="367"/>
      <c r="BP195" s="363"/>
      <c r="BQ195" s="363"/>
      <c r="BR195" s="363"/>
      <c r="BS195" s="363">
        <v>4100</v>
      </c>
      <c r="BT195" s="280"/>
    </row>
    <row r="196" spans="1:72" s="358" customFormat="1" ht="63">
      <c r="A196" s="287">
        <v>185</v>
      </c>
      <c r="B196" s="933"/>
      <c r="C196" s="837"/>
      <c r="D196" s="838"/>
      <c r="E196" s="836" t="s">
        <v>201</v>
      </c>
      <c r="F196" s="820" t="s">
        <v>23</v>
      </c>
      <c r="G196" s="360">
        <v>2</v>
      </c>
      <c r="H196" s="360" t="s">
        <v>71</v>
      </c>
      <c r="I196" s="360">
        <v>111</v>
      </c>
      <c r="J196" s="361">
        <v>266</v>
      </c>
      <c r="K196" s="532" t="s">
        <v>43</v>
      </c>
      <c r="L196" s="1023">
        <v>39600</v>
      </c>
      <c r="M196" s="363"/>
      <c r="N196" s="363"/>
      <c r="O196" s="1051">
        <f t="shared" si="305"/>
        <v>39600</v>
      </c>
      <c r="P196" s="571"/>
      <c r="Q196" s="367">
        <v>39600</v>
      </c>
      <c r="R196" s="557"/>
      <c r="S196" s="367">
        <v>39600</v>
      </c>
      <c r="T196" s="557"/>
      <c r="U196" s="365"/>
      <c r="V196" s="366"/>
      <c r="W196" s="366"/>
      <c r="X196" s="366"/>
      <c r="Z196" s="367">
        <f t="shared" si="306"/>
        <v>39600</v>
      </c>
      <c r="AA196" s="363">
        <f t="shared" si="306"/>
        <v>0</v>
      </c>
      <c r="AB196" s="280">
        <f t="shared" si="307"/>
        <v>39600</v>
      </c>
      <c r="AC196" s="367">
        <f t="shared" si="308"/>
        <v>0</v>
      </c>
      <c r="AD196" s="363">
        <f t="shared" si="308"/>
        <v>0</v>
      </c>
      <c r="AE196" s="280">
        <f t="shared" si="309"/>
        <v>0</v>
      </c>
      <c r="AF196" s="367">
        <f t="shared" si="310"/>
        <v>0</v>
      </c>
      <c r="AG196" s="363">
        <f t="shared" si="310"/>
        <v>0</v>
      </c>
      <c r="AH196" s="280">
        <f t="shared" si="311"/>
        <v>0</v>
      </c>
      <c r="AI196" s="367">
        <f t="shared" si="312"/>
        <v>0</v>
      </c>
      <c r="AJ196" s="363">
        <f t="shared" si="312"/>
        <v>0</v>
      </c>
      <c r="AK196" s="280">
        <f t="shared" si="313"/>
        <v>0</v>
      </c>
      <c r="AL196" s="368"/>
      <c r="AM196" s="367">
        <f t="shared" si="314"/>
        <v>39600</v>
      </c>
      <c r="AN196" s="363">
        <f t="shared" si="314"/>
        <v>0</v>
      </c>
      <c r="AO196" s="280">
        <f t="shared" si="315"/>
        <v>39600</v>
      </c>
      <c r="AP196" s="367">
        <f t="shared" si="316"/>
        <v>39600</v>
      </c>
      <c r="AQ196" s="363">
        <f t="shared" si="316"/>
        <v>0</v>
      </c>
      <c r="AR196" s="280">
        <f t="shared" si="301"/>
        <v>39600</v>
      </c>
      <c r="AS196" s="367">
        <f t="shared" si="302"/>
        <v>39600</v>
      </c>
      <c r="AT196" s="363">
        <f t="shared" si="302"/>
        <v>0</v>
      </c>
      <c r="AU196" s="280">
        <f t="shared" si="303"/>
        <v>39600</v>
      </c>
      <c r="AV196" s="588">
        <f t="shared" si="304"/>
        <v>0</v>
      </c>
      <c r="AW196" s="367">
        <v>39600</v>
      </c>
      <c r="AX196" s="363"/>
      <c r="AY196" s="363"/>
      <c r="AZ196" s="363"/>
      <c r="BA196" s="363"/>
      <c r="BB196" s="369"/>
      <c r="BC196" s="367"/>
      <c r="BD196" s="363"/>
      <c r="BE196" s="363"/>
      <c r="BF196" s="363"/>
      <c r="BG196" s="363"/>
      <c r="BH196" s="369"/>
      <c r="BI196" s="367"/>
      <c r="BJ196" s="363"/>
      <c r="BK196" s="363"/>
      <c r="BL196" s="363"/>
      <c r="BM196" s="363"/>
      <c r="BN196" s="369"/>
      <c r="BO196" s="367"/>
      <c r="BP196" s="363"/>
      <c r="BQ196" s="363"/>
      <c r="BR196" s="363"/>
      <c r="BS196" s="363"/>
      <c r="BT196" s="280"/>
    </row>
    <row r="197" spans="1:72" s="358" customFormat="1" ht="47.25">
      <c r="A197" s="287">
        <v>186</v>
      </c>
      <c r="B197" s="933"/>
      <c r="C197" s="837"/>
      <c r="D197" s="838"/>
      <c r="E197" s="836" t="s">
        <v>201</v>
      </c>
      <c r="F197" s="820" t="s">
        <v>23</v>
      </c>
      <c r="G197" s="360">
        <v>2</v>
      </c>
      <c r="H197" s="360" t="s">
        <v>71</v>
      </c>
      <c r="I197" s="360">
        <v>112</v>
      </c>
      <c r="J197" s="361">
        <v>266</v>
      </c>
      <c r="K197" s="532" t="s">
        <v>220</v>
      </c>
      <c r="L197" s="1023">
        <f>1020+M197</f>
        <v>1920</v>
      </c>
      <c r="M197" s="363">
        <v>900</v>
      </c>
      <c r="N197" s="363"/>
      <c r="O197" s="1051">
        <f t="shared" si="305"/>
        <v>1920</v>
      </c>
      <c r="P197" s="571"/>
      <c r="Q197" s="367">
        <v>425</v>
      </c>
      <c r="R197" s="557"/>
      <c r="S197" s="367">
        <v>0</v>
      </c>
      <c r="T197" s="557"/>
      <c r="U197" s="365"/>
      <c r="V197" s="366"/>
      <c r="W197" s="366"/>
      <c r="X197" s="366"/>
      <c r="Z197" s="367">
        <f t="shared" si="306"/>
        <v>170</v>
      </c>
      <c r="AA197" s="363">
        <f t="shared" si="306"/>
        <v>150</v>
      </c>
      <c r="AB197" s="280">
        <f t="shared" si="307"/>
        <v>20</v>
      </c>
      <c r="AC197" s="367">
        <f t="shared" si="308"/>
        <v>255</v>
      </c>
      <c r="AD197" s="363">
        <f t="shared" si="308"/>
        <v>0</v>
      </c>
      <c r="AE197" s="280">
        <f t="shared" si="309"/>
        <v>255</v>
      </c>
      <c r="AF197" s="367">
        <f t="shared" si="310"/>
        <v>255</v>
      </c>
      <c r="AG197" s="363">
        <f t="shared" si="310"/>
        <v>0</v>
      </c>
      <c r="AH197" s="280">
        <f t="shared" si="311"/>
        <v>255</v>
      </c>
      <c r="AI197" s="367">
        <f t="shared" si="312"/>
        <v>1240</v>
      </c>
      <c r="AJ197" s="363">
        <f t="shared" si="312"/>
        <v>0</v>
      </c>
      <c r="AK197" s="280">
        <f t="shared" si="313"/>
        <v>1240</v>
      </c>
      <c r="AL197" s="368"/>
      <c r="AM197" s="367">
        <f t="shared" si="314"/>
        <v>425</v>
      </c>
      <c r="AN197" s="363">
        <f t="shared" si="314"/>
        <v>150</v>
      </c>
      <c r="AO197" s="280">
        <f t="shared" si="315"/>
        <v>275</v>
      </c>
      <c r="AP197" s="367">
        <f t="shared" si="316"/>
        <v>680</v>
      </c>
      <c r="AQ197" s="363">
        <f t="shared" si="316"/>
        <v>150</v>
      </c>
      <c r="AR197" s="280">
        <f t="shared" si="301"/>
        <v>530</v>
      </c>
      <c r="AS197" s="367">
        <f t="shared" si="302"/>
        <v>1920</v>
      </c>
      <c r="AT197" s="363">
        <f t="shared" si="302"/>
        <v>150</v>
      </c>
      <c r="AU197" s="280">
        <f t="shared" si="303"/>
        <v>1770</v>
      </c>
      <c r="AV197" s="588">
        <f t="shared" si="304"/>
        <v>0</v>
      </c>
      <c r="AW197" s="367"/>
      <c r="AX197" s="363"/>
      <c r="AY197" s="363">
        <v>85</v>
      </c>
      <c r="AZ197" s="363">
        <v>75</v>
      </c>
      <c r="BA197" s="363">
        <v>85</v>
      </c>
      <c r="BB197" s="369">
        <v>75</v>
      </c>
      <c r="BC197" s="367">
        <v>85</v>
      </c>
      <c r="BD197" s="363"/>
      <c r="BE197" s="363">
        <v>85</v>
      </c>
      <c r="BF197" s="363"/>
      <c r="BG197" s="363">
        <v>85</v>
      </c>
      <c r="BH197" s="369"/>
      <c r="BI197" s="367">
        <v>85</v>
      </c>
      <c r="BJ197" s="363"/>
      <c r="BK197" s="363">
        <v>85</v>
      </c>
      <c r="BL197" s="363"/>
      <c r="BM197" s="363">
        <v>85</v>
      </c>
      <c r="BN197" s="369"/>
      <c r="BO197" s="367">
        <v>85</v>
      </c>
      <c r="BP197" s="363"/>
      <c r="BQ197" s="363">
        <v>85</v>
      </c>
      <c r="BR197" s="363"/>
      <c r="BS197" s="363">
        <f>85*2+900</f>
        <v>1070</v>
      </c>
      <c r="BT197" s="280"/>
    </row>
    <row r="198" spans="1:72" s="358" customFormat="1" ht="31.5">
      <c r="A198" s="287">
        <v>187</v>
      </c>
      <c r="B198" s="933"/>
      <c r="C198" s="837"/>
      <c r="D198" s="838"/>
      <c r="E198" s="836" t="s">
        <v>201</v>
      </c>
      <c r="F198" s="820" t="s">
        <v>23</v>
      </c>
      <c r="G198" s="360">
        <v>2</v>
      </c>
      <c r="H198" s="360" t="s">
        <v>71</v>
      </c>
      <c r="I198" s="374">
        <v>112</v>
      </c>
      <c r="J198" s="361">
        <v>214</v>
      </c>
      <c r="K198" s="532" t="s">
        <v>35</v>
      </c>
      <c r="L198" s="1023">
        <v>40000</v>
      </c>
      <c r="M198" s="363"/>
      <c r="N198" s="363"/>
      <c r="O198" s="1051">
        <f t="shared" si="305"/>
        <v>40000</v>
      </c>
      <c r="P198" s="571"/>
      <c r="Q198" s="367">
        <v>100000</v>
      </c>
      <c r="R198" s="557"/>
      <c r="S198" s="367">
        <v>40000</v>
      </c>
      <c r="T198" s="557"/>
      <c r="U198" s="365"/>
      <c r="V198" s="366"/>
      <c r="W198" s="366"/>
      <c r="X198" s="366"/>
      <c r="Z198" s="367">
        <f t="shared" si="306"/>
        <v>0</v>
      </c>
      <c r="AA198" s="363">
        <f t="shared" si="306"/>
        <v>0</v>
      </c>
      <c r="AB198" s="280">
        <f t="shared" si="307"/>
        <v>0</v>
      </c>
      <c r="AC198" s="367">
        <f t="shared" si="308"/>
        <v>0</v>
      </c>
      <c r="AD198" s="363">
        <f t="shared" si="308"/>
        <v>0</v>
      </c>
      <c r="AE198" s="280">
        <f t="shared" si="309"/>
        <v>0</v>
      </c>
      <c r="AF198" s="367">
        <f t="shared" si="310"/>
        <v>40000</v>
      </c>
      <c r="AG198" s="363">
        <f t="shared" si="310"/>
        <v>0</v>
      </c>
      <c r="AH198" s="280">
        <f t="shared" si="311"/>
        <v>40000</v>
      </c>
      <c r="AI198" s="367">
        <f t="shared" si="312"/>
        <v>0</v>
      </c>
      <c r="AJ198" s="363">
        <f t="shared" si="312"/>
        <v>0</v>
      </c>
      <c r="AK198" s="280">
        <f t="shared" si="313"/>
        <v>0</v>
      </c>
      <c r="AL198" s="368"/>
      <c r="AM198" s="367">
        <f t="shared" si="314"/>
        <v>0</v>
      </c>
      <c r="AN198" s="363">
        <f t="shared" si="314"/>
        <v>0</v>
      </c>
      <c r="AO198" s="280">
        <f t="shared" si="315"/>
        <v>0</v>
      </c>
      <c r="AP198" s="367">
        <f t="shared" si="316"/>
        <v>40000</v>
      </c>
      <c r="AQ198" s="363">
        <f t="shared" si="316"/>
        <v>0</v>
      </c>
      <c r="AR198" s="280">
        <f t="shared" si="301"/>
        <v>40000</v>
      </c>
      <c r="AS198" s="367">
        <f t="shared" si="302"/>
        <v>40000</v>
      </c>
      <c r="AT198" s="363">
        <f t="shared" si="302"/>
        <v>0</v>
      </c>
      <c r="AU198" s="280">
        <f t="shared" si="303"/>
        <v>40000</v>
      </c>
      <c r="AV198" s="588">
        <f t="shared" si="304"/>
        <v>0</v>
      </c>
      <c r="AW198" s="367"/>
      <c r="AX198" s="363"/>
      <c r="AY198" s="363"/>
      <c r="AZ198" s="363"/>
      <c r="BA198" s="363"/>
      <c r="BB198" s="369"/>
      <c r="BC198" s="367"/>
      <c r="BD198" s="363"/>
      <c r="BE198" s="363"/>
      <c r="BF198" s="363"/>
      <c r="BG198" s="363"/>
      <c r="BH198" s="369"/>
      <c r="BI198" s="367">
        <v>40000</v>
      </c>
      <c r="BJ198" s="363"/>
      <c r="BK198" s="363"/>
      <c r="BL198" s="363"/>
      <c r="BM198" s="363"/>
      <c r="BN198" s="369"/>
      <c r="BO198" s="367"/>
      <c r="BP198" s="363"/>
      <c r="BQ198" s="363"/>
      <c r="BR198" s="363"/>
      <c r="BS198" s="363"/>
      <c r="BT198" s="280"/>
    </row>
    <row r="199" spans="1:72" s="358" customFormat="1" ht="31.5" customHeight="1">
      <c r="A199" s="287">
        <v>188</v>
      </c>
      <c r="B199" s="933"/>
      <c r="C199" s="850" t="s">
        <v>377</v>
      </c>
      <c r="D199" s="838"/>
      <c r="E199" s="836" t="s">
        <v>201</v>
      </c>
      <c r="F199" s="820" t="s">
        <v>23</v>
      </c>
      <c r="G199" s="360">
        <v>2</v>
      </c>
      <c r="H199" s="360" t="s">
        <v>71</v>
      </c>
      <c r="I199" s="360">
        <v>244</v>
      </c>
      <c r="J199" s="361">
        <v>221</v>
      </c>
      <c r="K199" s="532" t="s">
        <v>11</v>
      </c>
      <c r="L199" s="1023">
        <f>SUM(L200:L203)</f>
        <v>32310.1</v>
      </c>
      <c r="M199" s="363"/>
      <c r="N199" s="363"/>
      <c r="O199" s="1051">
        <f t="shared" si="305"/>
        <v>32310.1</v>
      </c>
      <c r="P199" s="571"/>
      <c r="Q199" s="367">
        <f>SUM(Q200:Q203)</f>
        <v>32310.09</v>
      </c>
      <c r="R199" s="557"/>
      <c r="S199" s="367">
        <f>SUM(S200:S203)</f>
        <v>31052.92</v>
      </c>
      <c r="T199" s="557"/>
      <c r="U199" s="365"/>
      <c r="V199" s="366"/>
      <c r="W199" s="366"/>
      <c r="X199" s="391">
        <v>0.14119999999999999</v>
      </c>
      <c r="Z199" s="367">
        <f t="shared" si="306"/>
        <v>318</v>
      </c>
      <c r="AA199" s="363">
        <f t="shared" si="306"/>
        <v>318</v>
      </c>
      <c r="AB199" s="280">
        <f t="shared" si="307"/>
        <v>0</v>
      </c>
      <c r="AC199" s="367">
        <f t="shared" si="308"/>
        <v>2783.8</v>
      </c>
      <c r="AD199" s="363">
        <f t="shared" si="308"/>
        <v>0</v>
      </c>
      <c r="AE199" s="280">
        <f t="shared" si="309"/>
        <v>2783.8</v>
      </c>
      <c r="AF199" s="367">
        <f t="shared" si="310"/>
        <v>3345.5</v>
      </c>
      <c r="AG199" s="363">
        <f t="shared" si="310"/>
        <v>0</v>
      </c>
      <c r="AH199" s="280">
        <f t="shared" si="311"/>
        <v>3345.5</v>
      </c>
      <c r="AI199" s="367">
        <f t="shared" si="312"/>
        <v>25992.1</v>
      </c>
      <c r="AJ199" s="363">
        <f t="shared" si="312"/>
        <v>0</v>
      </c>
      <c r="AK199" s="280">
        <f t="shared" si="313"/>
        <v>25992.1</v>
      </c>
      <c r="AL199" s="368"/>
      <c r="AM199" s="367">
        <f t="shared" si="314"/>
        <v>3101.8</v>
      </c>
      <c r="AN199" s="363">
        <f t="shared" si="314"/>
        <v>318</v>
      </c>
      <c r="AO199" s="280">
        <f t="shared" si="315"/>
        <v>2783.8</v>
      </c>
      <c r="AP199" s="367">
        <f t="shared" si="316"/>
        <v>6447.3</v>
      </c>
      <c r="AQ199" s="363">
        <f t="shared" si="316"/>
        <v>318</v>
      </c>
      <c r="AR199" s="280">
        <f t="shared" si="301"/>
        <v>6129.3</v>
      </c>
      <c r="AS199" s="367">
        <f t="shared" si="302"/>
        <v>32439.4</v>
      </c>
      <c r="AT199" s="363">
        <f t="shared" si="302"/>
        <v>318</v>
      </c>
      <c r="AU199" s="280">
        <f t="shared" si="303"/>
        <v>32121.4</v>
      </c>
      <c r="AV199" s="588">
        <f t="shared" si="304"/>
        <v>-129.30000000000001</v>
      </c>
      <c r="AW199" s="367">
        <f t="shared" ref="AW199:BT199" si="319">SUM(AW200:AW203)</f>
        <v>0</v>
      </c>
      <c r="AX199" s="363">
        <f t="shared" si="319"/>
        <v>0</v>
      </c>
      <c r="AY199" s="363">
        <f t="shared" si="319"/>
        <v>0</v>
      </c>
      <c r="AZ199" s="363">
        <f t="shared" si="319"/>
        <v>0</v>
      </c>
      <c r="BA199" s="363">
        <f t="shared" si="319"/>
        <v>318</v>
      </c>
      <c r="BB199" s="369">
        <f t="shared" si="319"/>
        <v>318</v>
      </c>
      <c r="BC199" s="367">
        <f t="shared" si="319"/>
        <v>523</v>
      </c>
      <c r="BD199" s="363">
        <f t="shared" si="319"/>
        <v>0</v>
      </c>
      <c r="BE199" s="363">
        <f t="shared" si="319"/>
        <v>1637</v>
      </c>
      <c r="BF199" s="363">
        <f t="shared" si="319"/>
        <v>0</v>
      </c>
      <c r="BG199" s="363">
        <f t="shared" si="319"/>
        <v>623.79999999999995</v>
      </c>
      <c r="BH199" s="369">
        <f t="shared" si="319"/>
        <v>0</v>
      </c>
      <c r="BI199" s="367">
        <f t="shared" si="319"/>
        <v>0</v>
      </c>
      <c r="BJ199" s="363">
        <f t="shared" si="319"/>
        <v>0</v>
      </c>
      <c r="BK199" s="363">
        <f t="shared" si="319"/>
        <v>345.5</v>
      </c>
      <c r="BL199" s="363">
        <f t="shared" si="319"/>
        <v>0</v>
      </c>
      <c r="BM199" s="363">
        <f t="shared" si="319"/>
        <v>3000</v>
      </c>
      <c r="BN199" s="369">
        <f t="shared" si="319"/>
        <v>0</v>
      </c>
      <c r="BO199" s="367">
        <f t="shared" si="319"/>
        <v>3000</v>
      </c>
      <c r="BP199" s="363">
        <f t="shared" si="319"/>
        <v>0</v>
      </c>
      <c r="BQ199" s="363">
        <f t="shared" si="319"/>
        <v>7800</v>
      </c>
      <c r="BR199" s="363">
        <f t="shared" si="319"/>
        <v>0</v>
      </c>
      <c r="BS199" s="363">
        <f t="shared" si="319"/>
        <v>15192.1</v>
      </c>
      <c r="BT199" s="280">
        <f t="shared" si="319"/>
        <v>0</v>
      </c>
    </row>
    <row r="200" spans="1:72" s="313" customFormat="1" ht="178.5" outlineLevel="1">
      <c r="A200" s="287">
        <v>189</v>
      </c>
      <c r="B200" s="933"/>
      <c r="C200" s="840"/>
      <c r="D200" s="841"/>
      <c r="E200" s="839"/>
      <c r="F200" s="821" t="s">
        <v>23</v>
      </c>
      <c r="G200" s="314">
        <v>2</v>
      </c>
      <c r="H200" s="739" t="s">
        <v>71</v>
      </c>
      <c r="I200" s="739">
        <v>244</v>
      </c>
      <c r="J200" s="740">
        <v>221</v>
      </c>
      <c r="K200" s="533" t="s">
        <v>236</v>
      </c>
      <c r="L200" s="1025">
        <v>17910.099999999999</v>
      </c>
      <c r="M200" s="318"/>
      <c r="N200" s="318"/>
      <c r="O200" s="1052">
        <f t="shared" si="305"/>
        <v>17910.099999999999</v>
      </c>
      <c r="P200" s="570"/>
      <c r="Q200" s="336">
        <v>17910.09</v>
      </c>
      <c r="R200" s="559"/>
      <c r="S200" s="541">
        <v>16652.919999999998</v>
      </c>
      <c r="T200" s="559"/>
      <c r="U200" s="335"/>
      <c r="V200" s="596" t="s">
        <v>817</v>
      </c>
      <c r="W200" s="597" t="s">
        <v>862</v>
      </c>
      <c r="X200" s="320"/>
      <c r="Z200" s="336">
        <f t="shared" si="306"/>
        <v>318</v>
      </c>
      <c r="AA200" s="337">
        <f t="shared" si="306"/>
        <v>318</v>
      </c>
      <c r="AB200" s="338">
        <f t="shared" si="307"/>
        <v>0</v>
      </c>
      <c r="AC200" s="336">
        <f t="shared" si="308"/>
        <v>2783.8</v>
      </c>
      <c r="AD200" s="337">
        <f t="shared" si="308"/>
        <v>0</v>
      </c>
      <c r="AE200" s="338">
        <f t="shared" si="309"/>
        <v>2783.8</v>
      </c>
      <c r="AF200" s="336">
        <f t="shared" si="310"/>
        <v>3345.5</v>
      </c>
      <c r="AG200" s="337">
        <f t="shared" si="310"/>
        <v>0</v>
      </c>
      <c r="AH200" s="338">
        <f t="shared" si="311"/>
        <v>3345.5</v>
      </c>
      <c r="AI200" s="336">
        <f t="shared" si="312"/>
        <v>11592.1</v>
      </c>
      <c r="AJ200" s="337">
        <f t="shared" si="312"/>
        <v>0</v>
      </c>
      <c r="AK200" s="338">
        <f t="shared" si="313"/>
        <v>11592.1</v>
      </c>
      <c r="AL200" s="342"/>
      <c r="AM200" s="336">
        <f t="shared" si="314"/>
        <v>3101.8</v>
      </c>
      <c r="AN200" s="339">
        <f t="shared" si="314"/>
        <v>318</v>
      </c>
      <c r="AO200" s="340">
        <f t="shared" si="315"/>
        <v>2783.8</v>
      </c>
      <c r="AP200" s="336">
        <f t="shared" si="316"/>
        <v>6447.3</v>
      </c>
      <c r="AQ200" s="339">
        <f t="shared" si="316"/>
        <v>318</v>
      </c>
      <c r="AR200" s="340">
        <f t="shared" si="301"/>
        <v>6129.3</v>
      </c>
      <c r="AS200" s="341">
        <f t="shared" si="302"/>
        <v>18039.400000000001</v>
      </c>
      <c r="AT200" s="339">
        <f t="shared" si="302"/>
        <v>318</v>
      </c>
      <c r="AU200" s="340">
        <f t="shared" si="303"/>
        <v>17721.400000000001</v>
      </c>
      <c r="AV200" s="589">
        <f t="shared" si="304"/>
        <v>-129.30000000000001</v>
      </c>
      <c r="AW200" s="343"/>
      <c r="AX200" s="344"/>
      <c r="AY200" s="345"/>
      <c r="AZ200" s="344"/>
      <c r="BA200" s="345">
        <v>318</v>
      </c>
      <c r="BB200" s="346">
        <v>318</v>
      </c>
      <c r="BC200" s="1134">
        <f>261.5+261.5</f>
        <v>523</v>
      </c>
      <c r="BD200" s="348"/>
      <c r="BE200" s="1135">
        <f>453+276.5+907.5</f>
        <v>1637</v>
      </c>
      <c r="BF200" s="348"/>
      <c r="BG200" s="1135">
        <f>494.5+129.3</f>
        <v>623.79999999999995</v>
      </c>
      <c r="BH200" s="350"/>
      <c r="BI200" s="351"/>
      <c r="BJ200" s="352"/>
      <c r="BK200" s="337">
        <f>3000-523-453-1184-494.5</f>
        <v>345.5</v>
      </c>
      <c r="BL200" s="352"/>
      <c r="BM200" s="337">
        <v>3000</v>
      </c>
      <c r="BN200" s="353"/>
      <c r="BO200" s="354">
        <v>3000</v>
      </c>
      <c r="BP200" s="355"/>
      <c r="BQ200" s="356">
        <v>3000</v>
      </c>
      <c r="BR200" s="355"/>
      <c r="BS200" s="356">
        <f>3000+2910.1-318</f>
        <v>5592.1</v>
      </c>
      <c r="BT200" s="357"/>
    </row>
    <row r="201" spans="1:72" s="313" customFormat="1" ht="38.25" outlineLevel="1">
      <c r="A201" s="287">
        <v>190</v>
      </c>
      <c r="B201" s="933"/>
      <c r="C201" s="840"/>
      <c r="D201" s="841"/>
      <c r="E201" s="839"/>
      <c r="F201" s="821" t="s">
        <v>23</v>
      </c>
      <c r="G201" s="314">
        <v>2</v>
      </c>
      <c r="H201" s="739" t="s">
        <v>71</v>
      </c>
      <c r="I201" s="739">
        <v>244</v>
      </c>
      <c r="J201" s="740">
        <v>221</v>
      </c>
      <c r="K201" s="533" t="s">
        <v>422</v>
      </c>
      <c r="L201" s="1043">
        <v>0</v>
      </c>
      <c r="M201" s="318"/>
      <c r="N201" s="318"/>
      <c r="O201" s="1052">
        <f t="shared" si="305"/>
        <v>0</v>
      </c>
      <c r="P201" s="570"/>
      <c r="Q201" s="336">
        <v>0</v>
      </c>
      <c r="R201" s="559"/>
      <c r="S201" s="541">
        <v>0</v>
      </c>
      <c r="T201" s="559"/>
      <c r="U201" s="335"/>
      <c r="V201" s="320" t="s">
        <v>231</v>
      </c>
      <c r="W201" s="388" t="s">
        <v>232</v>
      </c>
      <c r="X201" s="388" t="s">
        <v>233</v>
      </c>
      <c r="Z201" s="336">
        <f t="shared" si="306"/>
        <v>0</v>
      </c>
      <c r="AA201" s="337">
        <f t="shared" si="306"/>
        <v>0</v>
      </c>
      <c r="AB201" s="338">
        <f t="shared" si="307"/>
        <v>0</v>
      </c>
      <c r="AC201" s="336">
        <f t="shared" si="308"/>
        <v>0</v>
      </c>
      <c r="AD201" s="337">
        <f t="shared" si="308"/>
        <v>0</v>
      </c>
      <c r="AE201" s="338">
        <f t="shared" si="309"/>
        <v>0</v>
      </c>
      <c r="AF201" s="336">
        <f t="shared" si="310"/>
        <v>0</v>
      </c>
      <c r="AG201" s="337">
        <f t="shared" si="310"/>
        <v>0</v>
      </c>
      <c r="AH201" s="338">
        <f t="shared" si="311"/>
        <v>0</v>
      </c>
      <c r="AI201" s="336">
        <f t="shared" si="312"/>
        <v>0</v>
      </c>
      <c r="AJ201" s="337">
        <f t="shared" si="312"/>
        <v>0</v>
      </c>
      <c r="AK201" s="338">
        <f t="shared" si="313"/>
        <v>0</v>
      </c>
      <c r="AL201" s="342"/>
      <c r="AM201" s="336">
        <f t="shared" si="314"/>
        <v>0</v>
      </c>
      <c r="AN201" s="339">
        <f t="shared" si="314"/>
        <v>0</v>
      </c>
      <c r="AO201" s="340">
        <f t="shared" si="315"/>
        <v>0</v>
      </c>
      <c r="AP201" s="336">
        <f t="shared" si="316"/>
        <v>0</v>
      </c>
      <c r="AQ201" s="339">
        <f t="shared" si="316"/>
        <v>0</v>
      </c>
      <c r="AR201" s="340">
        <f t="shared" si="301"/>
        <v>0</v>
      </c>
      <c r="AS201" s="341">
        <f t="shared" si="302"/>
        <v>0</v>
      </c>
      <c r="AT201" s="339">
        <f t="shared" si="302"/>
        <v>0</v>
      </c>
      <c r="AU201" s="340">
        <f t="shared" si="303"/>
        <v>0</v>
      </c>
      <c r="AV201" s="589">
        <f t="shared" si="304"/>
        <v>0</v>
      </c>
      <c r="AW201" s="343"/>
      <c r="AX201" s="344"/>
      <c r="AY201" s="345"/>
      <c r="AZ201" s="344"/>
      <c r="BA201" s="345"/>
      <c r="BB201" s="346"/>
      <c r="BC201" s="347"/>
      <c r="BD201" s="348"/>
      <c r="BE201" s="349"/>
      <c r="BF201" s="348"/>
      <c r="BG201" s="349"/>
      <c r="BH201" s="350"/>
      <c r="BI201" s="351"/>
      <c r="BJ201" s="352"/>
      <c r="BK201" s="337"/>
      <c r="BL201" s="352"/>
      <c r="BM201" s="337"/>
      <c r="BN201" s="353"/>
      <c r="BO201" s="354"/>
      <c r="BP201" s="355"/>
      <c r="BQ201" s="356"/>
      <c r="BR201" s="355"/>
      <c r="BS201" s="356"/>
      <c r="BT201" s="357"/>
    </row>
    <row r="202" spans="1:72" s="313" customFormat="1" ht="38.25" outlineLevel="1">
      <c r="A202" s="287">
        <v>191</v>
      </c>
      <c r="B202" s="933"/>
      <c r="C202" s="840"/>
      <c r="D202" s="841"/>
      <c r="E202" s="839"/>
      <c r="F202" s="821" t="s">
        <v>23</v>
      </c>
      <c r="G202" s="314">
        <v>2</v>
      </c>
      <c r="H202" s="739" t="s">
        <v>71</v>
      </c>
      <c r="I202" s="739">
        <v>244</v>
      </c>
      <c r="J202" s="740">
        <v>221</v>
      </c>
      <c r="K202" s="533" t="s">
        <v>421</v>
      </c>
      <c r="L202" s="1043">
        <v>0</v>
      </c>
      <c r="M202" s="318"/>
      <c r="N202" s="318"/>
      <c r="O202" s="1052">
        <f t="shared" si="305"/>
        <v>0</v>
      </c>
      <c r="P202" s="570"/>
      <c r="Q202" s="336">
        <v>0</v>
      </c>
      <c r="R202" s="559"/>
      <c r="S202" s="541">
        <v>0</v>
      </c>
      <c r="T202" s="559"/>
      <c r="U202" s="335"/>
      <c r="V202" s="320" t="s">
        <v>231</v>
      </c>
      <c r="W202" s="388" t="s">
        <v>369</v>
      </c>
      <c r="X202" s="388" t="s">
        <v>233</v>
      </c>
      <c r="Z202" s="336">
        <f t="shared" si="306"/>
        <v>0</v>
      </c>
      <c r="AA202" s="337">
        <f t="shared" si="306"/>
        <v>0</v>
      </c>
      <c r="AB202" s="338">
        <f t="shared" si="307"/>
        <v>0</v>
      </c>
      <c r="AC202" s="336">
        <f t="shared" si="308"/>
        <v>0</v>
      </c>
      <c r="AD202" s="337">
        <f t="shared" si="308"/>
        <v>0</v>
      </c>
      <c r="AE202" s="338">
        <f t="shared" si="309"/>
        <v>0</v>
      </c>
      <c r="AF202" s="336">
        <f t="shared" si="310"/>
        <v>0</v>
      </c>
      <c r="AG202" s="337">
        <f t="shared" si="310"/>
        <v>0</v>
      </c>
      <c r="AH202" s="338">
        <f t="shared" si="311"/>
        <v>0</v>
      </c>
      <c r="AI202" s="336">
        <f t="shared" si="312"/>
        <v>0</v>
      </c>
      <c r="AJ202" s="337">
        <f t="shared" si="312"/>
        <v>0</v>
      </c>
      <c r="AK202" s="338">
        <f t="shared" si="313"/>
        <v>0</v>
      </c>
      <c r="AL202" s="342"/>
      <c r="AM202" s="336">
        <f t="shared" si="314"/>
        <v>0</v>
      </c>
      <c r="AN202" s="339">
        <f t="shared" si="314"/>
        <v>0</v>
      </c>
      <c r="AO202" s="340">
        <f t="shared" si="315"/>
        <v>0</v>
      </c>
      <c r="AP202" s="336">
        <f t="shared" si="316"/>
        <v>0</v>
      </c>
      <c r="AQ202" s="339">
        <f t="shared" si="316"/>
        <v>0</v>
      </c>
      <c r="AR202" s="340">
        <f t="shared" si="301"/>
        <v>0</v>
      </c>
      <c r="AS202" s="341">
        <f t="shared" si="302"/>
        <v>0</v>
      </c>
      <c r="AT202" s="339">
        <f t="shared" si="302"/>
        <v>0</v>
      </c>
      <c r="AU202" s="340">
        <f t="shared" si="303"/>
        <v>0</v>
      </c>
      <c r="AV202" s="589">
        <f t="shared" si="304"/>
        <v>0</v>
      </c>
      <c r="AW202" s="343"/>
      <c r="AX202" s="344"/>
      <c r="AY202" s="345"/>
      <c r="AZ202" s="344"/>
      <c r="BA202" s="345"/>
      <c r="BB202" s="346"/>
      <c r="BC202" s="347"/>
      <c r="BD202" s="348"/>
      <c r="BE202" s="349"/>
      <c r="BF202" s="348"/>
      <c r="BG202" s="349"/>
      <c r="BH202" s="350"/>
      <c r="BI202" s="351"/>
      <c r="BJ202" s="352"/>
      <c r="BK202" s="337"/>
      <c r="BL202" s="352"/>
      <c r="BM202" s="337"/>
      <c r="BN202" s="353"/>
      <c r="BO202" s="354"/>
      <c r="BP202" s="355"/>
      <c r="BQ202" s="356"/>
      <c r="BR202" s="355"/>
      <c r="BS202" s="356"/>
      <c r="BT202" s="357"/>
    </row>
    <row r="203" spans="1:72" s="313" customFormat="1" ht="25.5" outlineLevel="1">
      <c r="A203" s="287">
        <v>192</v>
      </c>
      <c r="B203" s="933"/>
      <c r="C203" s="840"/>
      <c r="D203" s="841"/>
      <c r="E203" s="839"/>
      <c r="F203" s="821" t="s">
        <v>23</v>
      </c>
      <c r="G203" s="314">
        <v>2</v>
      </c>
      <c r="H203" s="739" t="s">
        <v>71</v>
      </c>
      <c r="I203" s="739">
        <v>244</v>
      </c>
      <c r="J203" s="740">
        <v>221</v>
      </c>
      <c r="K203" s="533" t="s">
        <v>428</v>
      </c>
      <c r="L203" s="1025">
        <v>14400</v>
      </c>
      <c r="M203" s="318"/>
      <c r="N203" s="318"/>
      <c r="O203" s="1052">
        <f t="shared" si="305"/>
        <v>14400</v>
      </c>
      <c r="P203" s="570"/>
      <c r="Q203" s="336">
        <v>14400</v>
      </c>
      <c r="R203" s="559"/>
      <c r="S203" s="541">
        <v>14400</v>
      </c>
      <c r="T203" s="559"/>
      <c r="U203" s="335"/>
      <c r="V203" s="596" t="s">
        <v>234</v>
      </c>
      <c r="W203" s="597" t="s">
        <v>427</v>
      </c>
      <c r="X203" s="597" t="s">
        <v>381</v>
      </c>
      <c r="Z203" s="336">
        <f t="shared" si="306"/>
        <v>0</v>
      </c>
      <c r="AA203" s="337">
        <f t="shared" si="306"/>
        <v>0</v>
      </c>
      <c r="AB203" s="338">
        <f t="shared" si="307"/>
        <v>0</v>
      </c>
      <c r="AC203" s="336">
        <f t="shared" si="308"/>
        <v>0</v>
      </c>
      <c r="AD203" s="337">
        <f t="shared" si="308"/>
        <v>0</v>
      </c>
      <c r="AE203" s="338">
        <f t="shared" si="309"/>
        <v>0</v>
      </c>
      <c r="AF203" s="336">
        <f t="shared" si="310"/>
        <v>0</v>
      </c>
      <c r="AG203" s="337">
        <f t="shared" si="310"/>
        <v>0</v>
      </c>
      <c r="AH203" s="338">
        <f t="shared" si="311"/>
        <v>0</v>
      </c>
      <c r="AI203" s="336">
        <f t="shared" si="312"/>
        <v>14400</v>
      </c>
      <c r="AJ203" s="337">
        <f t="shared" si="312"/>
        <v>0</v>
      </c>
      <c r="AK203" s="338">
        <f t="shared" si="313"/>
        <v>14400</v>
      </c>
      <c r="AL203" s="342"/>
      <c r="AM203" s="336">
        <f t="shared" si="314"/>
        <v>0</v>
      </c>
      <c r="AN203" s="339">
        <f t="shared" si="314"/>
        <v>0</v>
      </c>
      <c r="AO203" s="340">
        <f t="shared" si="315"/>
        <v>0</v>
      </c>
      <c r="AP203" s="336">
        <f t="shared" si="316"/>
        <v>0</v>
      </c>
      <c r="AQ203" s="339">
        <f t="shared" si="316"/>
        <v>0</v>
      </c>
      <c r="AR203" s="340">
        <f t="shared" si="301"/>
        <v>0</v>
      </c>
      <c r="AS203" s="341">
        <f t="shared" si="302"/>
        <v>14400</v>
      </c>
      <c r="AT203" s="339">
        <f t="shared" si="302"/>
        <v>0</v>
      </c>
      <c r="AU203" s="340">
        <f t="shared" si="303"/>
        <v>14400</v>
      </c>
      <c r="AV203" s="589">
        <f t="shared" si="304"/>
        <v>0</v>
      </c>
      <c r="AW203" s="343"/>
      <c r="AX203" s="344"/>
      <c r="AY203" s="345"/>
      <c r="AZ203" s="344"/>
      <c r="BA203" s="345"/>
      <c r="BB203" s="346"/>
      <c r="BC203" s="347"/>
      <c r="BD203" s="348"/>
      <c r="BE203" s="349"/>
      <c r="BF203" s="348"/>
      <c r="BG203" s="349"/>
      <c r="BH203" s="350"/>
      <c r="BI203" s="351"/>
      <c r="BJ203" s="352"/>
      <c r="BK203" s="337"/>
      <c r="BL203" s="352"/>
      <c r="BM203" s="337"/>
      <c r="BN203" s="353"/>
      <c r="BO203" s="354"/>
      <c r="BP203" s="355"/>
      <c r="BQ203" s="356">
        <v>4800</v>
      </c>
      <c r="BR203" s="355"/>
      <c r="BS203" s="356">
        <f>4800*2</f>
        <v>9600</v>
      </c>
      <c r="BT203" s="357"/>
    </row>
    <row r="204" spans="1:72" s="358" customFormat="1" ht="31.5" customHeight="1">
      <c r="A204" s="287">
        <v>193</v>
      </c>
      <c r="B204" s="933"/>
      <c r="C204" s="850" t="s">
        <v>377</v>
      </c>
      <c r="D204" s="838"/>
      <c r="E204" s="836" t="s">
        <v>201</v>
      </c>
      <c r="F204" s="820" t="s">
        <v>23</v>
      </c>
      <c r="G204" s="360">
        <v>2</v>
      </c>
      <c r="H204" s="360" t="s">
        <v>71</v>
      </c>
      <c r="I204" s="360">
        <v>244</v>
      </c>
      <c r="J204" s="361">
        <v>222</v>
      </c>
      <c r="K204" s="532" t="s">
        <v>12</v>
      </c>
      <c r="L204" s="1023">
        <f>SUM(L205:L206)</f>
        <v>291566.34999999998</v>
      </c>
      <c r="M204" s="363">
        <f>SUM(M205:M206)</f>
        <v>15000</v>
      </c>
      <c r="N204" s="363"/>
      <c r="O204" s="1051">
        <f>L204+N204</f>
        <v>291566.34999999998</v>
      </c>
      <c r="P204" s="571"/>
      <c r="Q204" s="367">
        <f>SUM(Q205:Q206)</f>
        <v>276566.34999999998</v>
      </c>
      <c r="R204" s="557"/>
      <c r="S204" s="367">
        <f>SUM(S205:S206)</f>
        <v>275685.24</v>
      </c>
      <c r="T204" s="557"/>
      <c r="U204" s="365"/>
      <c r="V204" s="366"/>
      <c r="W204" s="366"/>
      <c r="X204" s="366"/>
      <c r="Z204" s="367">
        <f t="shared" si="306"/>
        <v>63600</v>
      </c>
      <c r="AA204" s="363">
        <f t="shared" si="306"/>
        <v>0</v>
      </c>
      <c r="AB204" s="280">
        <f>Z204-AA204</f>
        <v>63600</v>
      </c>
      <c r="AC204" s="367">
        <f t="shared" si="308"/>
        <v>65400</v>
      </c>
      <c r="AD204" s="363">
        <f t="shared" si="308"/>
        <v>0</v>
      </c>
      <c r="AE204" s="280">
        <f>AC204-AD204</f>
        <v>65400</v>
      </c>
      <c r="AF204" s="367">
        <f t="shared" si="310"/>
        <v>3800</v>
      </c>
      <c r="AG204" s="363">
        <f t="shared" si="310"/>
        <v>0</v>
      </c>
      <c r="AH204" s="280">
        <f>AF204-AG204</f>
        <v>3800</v>
      </c>
      <c r="AI204" s="367">
        <f t="shared" si="312"/>
        <v>158766.35</v>
      </c>
      <c r="AJ204" s="363">
        <f t="shared" si="312"/>
        <v>0</v>
      </c>
      <c r="AK204" s="280">
        <f>AI204-AJ204</f>
        <v>158766.35</v>
      </c>
      <c r="AL204" s="368"/>
      <c r="AM204" s="367">
        <f t="shared" si="314"/>
        <v>129000</v>
      </c>
      <c r="AN204" s="363">
        <f t="shared" si="314"/>
        <v>0</v>
      </c>
      <c r="AO204" s="280">
        <f>AM204-AN204</f>
        <v>129000</v>
      </c>
      <c r="AP204" s="367">
        <f t="shared" si="316"/>
        <v>132800</v>
      </c>
      <c r="AQ204" s="363">
        <f t="shared" si="316"/>
        <v>0</v>
      </c>
      <c r="AR204" s="280">
        <f>AP204-AQ204</f>
        <v>132800</v>
      </c>
      <c r="AS204" s="367">
        <f t="shared" si="302"/>
        <v>291566.34999999998</v>
      </c>
      <c r="AT204" s="363">
        <f t="shared" si="302"/>
        <v>0</v>
      </c>
      <c r="AU204" s="280">
        <f>AS204-AT204</f>
        <v>291566.34999999998</v>
      </c>
      <c r="AV204" s="588">
        <f>L204-AS204</f>
        <v>0</v>
      </c>
      <c r="AW204" s="367">
        <f t="shared" ref="AW204:BT204" si="320">SUM(AW205:AW206)</f>
        <v>0</v>
      </c>
      <c r="AX204" s="363">
        <f t="shared" si="320"/>
        <v>0</v>
      </c>
      <c r="AY204" s="363">
        <f t="shared" si="320"/>
        <v>1800</v>
      </c>
      <c r="AZ204" s="363">
        <f t="shared" si="320"/>
        <v>0</v>
      </c>
      <c r="BA204" s="363">
        <f t="shared" si="320"/>
        <v>61800</v>
      </c>
      <c r="BB204" s="369">
        <f t="shared" si="320"/>
        <v>0</v>
      </c>
      <c r="BC204" s="367">
        <f t="shared" si="320"/>
        <v>1800</v>
      </c>
      <c r="BD204" s="363">
        <f t="shared" si="320"/>
        <v>0</v>
      </c>
      <c r="BE204" s="363">
        <f t="shared" si="320"/>
        <v>61800</v>
      </c>
      <c r="BF204" s="363">
        <f t="shared" si="320"/>
        <v>0</v>
      </c>
      <c r="BG204" s="363">
        <f t="shared" si="320"/>
        <v>1800</v>
      </c>
      <c r="BH204" s="369">
        <f t="shared" si="320"/>
        <v>0</v>
      </c>
      <c r="BI204" s="367">
        <f t="shared" si="320"/>
        <v>1800</v>
      </c>
      <c r="BJ204" s="363">
        <f t="shared" si="320"/>
        <v>0</v>
      </c>
      <c r="BK204" s="363">
        <f t="shared" si="320"/>
        <v>1000</v>
      </c>
      <c r="BL204" s="363">
        <f t="shared" si="320"/>
        <v>0</v>
      </c>
      <c r="BM204" s="363">
        <f t="shared" si="320"/>
        <v>1000</v>
      </c>
      <c r="BN204" s="369">
        <f t="shared" si="320"/>
        <v>0</v>
      </c>
      <c r="BO204" s="367">
        <f t="shared" si="320"/>
        <v>61800</v>
      </c>
      <c r="BP204" s="363">
        <f t="shared" si="320"/>
        <v>0</v>
      </c>
      <c r="BQ204" s="363">
        <f t="shared" si="320"/>
        <v>1800</v>
      </c>
      <c r="BR204" s="363">
        <f t="shared" si="320"/>
        <v>0</v>
      </c>
      <c r="BS204" s="363">
        <f t="shared" si="320"/>
        <v>95166.35</v>
      </c>
      <c r="BT204" s="280">
        <f t="shared" si="320"/>
        <v>0</v>
      </c>
    </row>
    <row r="205" spans="1:72" s="313" customFormat="1" ht="25.5" outlineLevel="1">
      <c r="A205" s="287">
        <v>194</v>
      </c>
      <c r="B205" s="933"/>
      <c r="C205" s="840"/>
      <c r="D205" s="841"/>
      <c r="E205" s="839"/>
      <c r="F205" s="821" t="s">
        <v>23</v>
      </c>
      <c r="G205" s="314">
        <v>2</v>
      </c>
      <c r="H205" s="739" t="s">
        <v>71</v>
      </c>
      <c r="I205" s="739">
        <v>244</v>
      </c>
      <c r="J205" s="740">
        <v>222</v>
      </c>
      <c r="K205" s="533" t="s">
        <v>374</v>
      </c>
      <c r="L205" s="1025">
        <f>22645.08+M205</f>
        <v>30145.08</v>
      </c>
      <c r="M205" s="318">
        <v>7500</v>
      </c>
      <c r="N205" s="318"/>
      <c r="O205" s="1052">
        <f>L205+N205</f>
        <v>30145.08</v>
      </c>
      <c r="P205" s="570"/>
      <c r="Q205" s="341">
        <v>22645.08</v>
      </c>
      <c r="R205" s="559"/>
      <c r="S205" s="540">
        <v>21763.97</v>
      </c>
      <c r="T205" s="559"/>
      <c r="U205" s="335"/>
      <c r="V205" s="320" t="s">
        <v>240</v>
      </c>
      <c r="W205" s="388" t="s">
        <v>241</v>
      </c>
      <c r="X205" s="388" t="s">
        <v>242</v>
      </c>
      <c r="Z205" s="336">
        <f t="shared" si="306"/>
        <v>3600</v>
      </c>
      <c r="AA205" s="337">
        <f t="shared" si="306"/>
        <v>0</v>
      </c>
      <c r="AB205" s="338">
        <f>Z205-AA205</f>
        <v>3600</v>
      </c>
      <c r="AC205" s="336">
        <f t="shared" si="308"/>
        <v>5400</v>
      </c>
      <c r="AD205" s="337">
        <f t="shared" si="308"/>
        <v>0</v>
      </c>
      <c r="AE205" s="338">
        <f>AC205-AD205</f>
        <v>5400</v>
      </c>
      <c r="AF205" s="336">
        <f t="shared" si="310"/>
        <v>3800</v>
      </c>
      <c r="AG205" s="337">
        <f t="shared" si="310"/>
        <v>0</v>
      </c>
      <c r="AH205" s="338">
        <f>AF205-AG205</f>
        <v>3800</v>
      </c>
      <c r="AI205" s="336">
        <f t="shared" si="312"/>
        <v>17345.080000000002</v>
      </c>
      <c r="AJ205" s="337">
        <f t="shared" si="312"/>
        <v>0</v>
      </c>
      <c r="AK205" s="338">
        <f>AI205-AJ205</f>
        <v>17345.080000000002</v>
      </c>
      <c r="AL205" s="342"/>
      <c r="AM205" s="336">
        <f t="shared" si="314"/>
        <v>9000</v>
      </c>
      <c r="AN205" s="339">
        <f t="shared" si="314"/>
        <v>0</v>
      </c>
      <c r="AO205" s="340">
        <f>AM205-AN205</f>
        <v>9000</v>
      </c>
      <c r="AP205" s="336">
        <f t="shared" si="316"/>
        <v>12800</v>
      </c>
      <c r="AQ205" s="339">
        <f t="shared" si="316"/>
        <v>0</v>
      </c>
      <c r="AR205" s="340">
        <f>AP205-AQ205</f>
        <v>12800</v>
      </c>
      <c r="AS205" s="341">
        <f t="shared" si="302"/>
        <v>30145.08</v>
      </c>
      <c r="AT205" s="339">
        <f t="shared" si="302"/>
        <v>0</v>
      </c>
      <c r="AU205" s="340">
        <f>AS205-AT205</f>
        <v>30145.08</v>
      </c>
      <c r="AV205" s="589">
        <f>L205-AS205</f>
        <v>0</v>
      </c>
      <c r="AW205" s="343"/>
      <c r="AX205" s="344"/>
      <c r="AY205" s="345">
        <v>1800</v>
      </c>
      <c r="AZ205" s="344"/>
      <c r="BA205" s="345">
        <v>1800</v>
      </c>
      <c r="BB205" s="346"/>
      <c r="BC205" s="347">
        <v>1800</v>
      </c>
      <c r="BD205" s="348"/>
      <c r="BE205" s="349">
        <v>1800</v>
      </c>
      <c r="BF205" s="348"/>
      <c r="BG205" s="349">
        <v>1800</v>
      </c>
      <c r="BH205" s="350"/>
      <c r="BI205" s="351">
        <v>1800</v>
      </c>
      <c r="BJ205" s="352"/>
      <c r="BK205" s="337">
        <v>1000</v>
      </c>
      <c r="BL205" s="352"/>
      <c r="BM205" s="337">
        <v>1000</v>
      </c>
      <c r="BN205" s="353"/>
      <c r="BO205" s="354">
        <v>1800</v>
      </c>
      <c r="BP205" s="355"/>
      <c r="BQ205" s="356">
        <v>1800</v>
      </c>
      <c r="BR205" s="355"/>
      <c r="BS205" s="356">
        <f>1800*2+2645.08+7500</f>
        <v>13745.08</v>
      </c>
      <c r="BT205" s="357"/>
    </row>
    <row r="206" spans="1:72" s="313" customFormat="1" ht="38.25" outlineLevel="1">
      <c r="A206" s="287">
        <v>195</v>
      </c>
      <c r="B206" s="933"/>
      <c r="C206" s="840"/>
      <c r="D206" s="841"/>
      <c r="E206" s="839"/>
      <c r="F206" s="821" t="s">
        <v>23</v>
      </c>
      <c r="G206" s="314">
        <v>2</v>
      </c>
      <c r="H206" s="739" t="s">
        <v>71</v>
      </c>
      <c r="I206" s="739">
        <v>244</v>
      </c>
      <c r="J206" s="740">
        <v>222</v>
      </c>
      <c r="K206" s="533" t="s">
        <v>375</v>
      </c>
      <c r="L206" s="1025">
        <f>253921.27+M206</f>
        <v>261421.27</v>
      </c>
      <c r="M206" s="318">
        <v>7500</v>
      </c>
      <c r="N206" s="318"/>
      <c r="O206" s="1052">
        <f>L206+N206</f>
        <v>261421.27</v>
      </c>
      <c r="P206" s="570"/>
      <c r="Q206" s="341">
        <v>253921.27</v>
      </c>
      <c r="R206" s="559"/>
      <c r="S206" s="540">
        <v>253921.27</v>
      </c>
      <c r="T206" s="559"/>
      <c r="U206" s="335"/>
      <c r="V206" s="811" t="s">
        <v>459</v>
      </c>
      <c r="W206" s="388"/>
      <c r="X206" s="388"/>
      <c r="Z206" s="336">
        <f t="shared" si="306"/>
        <v>60000</v>
      </c>
      <c r="AA206" s="337">
        <f t="shared" si="306"/>
        <v>0</v>
      </c>
      <c r="AB206" s="338">
        <f>Z206-AA206</f>
        <v>60000</v>
      </c>
      <c r="AC206" s="336">
        <f t="shared" si="308"/>
        <v>60000</v>
      </c>
      <c r="AD206" s="337">
        <f t="shared" si="308"/>
        <v>0</v>
      </c>
      <c r="AE206" s="338">
        <f>AC206-AD206</f>
        <v>60000</v>
      </c>
      <c r="AF206" s="336">
        <f t="shared" si="310"/>
        <v>0</v>
      </c>
      <c r="AG206" s="337">
        <f t="shared" si="310"/>
        <v>0</v>
      </c>
      <c r="AH206" s="338">
        <f>AF206-AG206</f>
        <v>0</v>
      </c>
      <c r="AI206" s="336">
        <f t="shared" si="312"/>
        <v>141421.26999999999</v>
      </c>
      <c r="AJ206" s="337">
        <f t="shared" si="312"/>
        <v>0</v>
      </c>
      <c r="AK206" s="338">
        <f>AI206-AJ206</f>
        <v>141421.26999999999</v>
      </c>
      <c r="AL206" s="342"/>
      <c r="AM206" s="336">
        <f t="shared" si="314"/>
        <v>120000</v>
      </c>
      <c r="AN206" s="339">
        <f t="shared" si="314"/>
        <v>0</v>
      </c>
      <c r="AO206" s="340">
        <f>AM206-AN206</f>
        <v>120000</v>
      </c>
      <c r="AP206" s="336">
        <f t="shared" si="316"/>
        <v>120000</v>
      </c>
      <c r="AQ206" s="339">
        <f t="shared" si="316"/>
        <v>0</v>
      </c>
      <c r="AR206" s="340">
        <f>AP206-AQ206</f>
        <v>120000</v>
      </c>
      <c r="AS206" s="341">
        <f t="shared" si="302"/>
        <v>261421.27</v>
      </c>
      <c r="AT206" s="339">
        <f t="shared" si="302"/>
        <v>0</v>
      </c>
      <c r="AU206" s="340">
        <f>AS206-AT206</f>
        <v>261421.27</v>
      </c>
      <c r="AV206" s="589">
        <f>L206-AS206</f>
        <v>0</v>
      </c>
      <c r="AW206" s="343"/>
      <c r="AX206" s="344"/>
      <c r="AY206" s="345"/>
      <c r="AZ206" s="344"/>
      <c r="BA206" s="345">
        <v>60000</v>
      </c>
      <c r="BB206" s="346"/>
      <c r="BC206" s="347"/>
      <c r="BD206" s="348"/>
      <c r="BE206" s="349">
        <v>60000</v>
      </c>
      <c r="BF206" s="348"/>
      <c r="BG206" s="349"/>
      <c r="BH206" s="350"/>
      <c r="BI206" s="351"/>
      <c r="BJ206" s="352"/>
      <c r="BK206" s="337"/>
      <c r="BL206" s="352"/>
      <c r="BM206" s="337"/>
      <c r="BN206" s="353"/>
      <c r="BO206" s="354">
        <v>60000</v>
      </c>
      <c r="BP206" s="355"/>
      <c r="BQ206" s="356"/>
      <c r="BR206" s="355"/>
      <c r="BS206" s="356">
        <f>73921.27+7500</f>
        <v>81421.27</v>
      </c>
      <c r="BT206" s="357"/>
    </row>
    <row r="207" spans="1:72" s="358" customFormat="1" ht="31.5" customHeight="1">
      <c r="A207" s="287">
        <v>196</v>
      </c>
      <c r="B207" s="933"/>
      <c r="C207" s="850" t="s">
        <v>377</v>
      </c>
      <c r="D207" s="838"/>
      <c r="E207" s="836" t="s">
        <v>201</v>
      </c>
      <c r="F207" s="820" t="s">
        <v>23</v>
      </c>
      <c r="G207" s="360">
        <v>2</v>
      </c>
      <c r="H207" s="360" t="s">
        <v>71</v>
      </c>
      <c r="I207" s="360">
        <v>244</v>
      </c>
      <c r="J207" s="361">
        <v>223</v>
      </c>
      <c r="K207" s="532" t="s">
        <v>13</v>
      </c>
      <c r="L207" s="1023">
        <f>L208+L209</f>
        <v>191189.05</v>
      </c>
      <c r="M207" s="363"/>
      <c r="N207" s="363"/>
      <c r="O207" s="1051">
        <f t="shared" si="305"/>
        <v>191189.05</v>
      </c>
      <c r="P207" s="571"/>
      <c r="Q207" s="367">
        <f>Q208+Q209</f>
        <v>68757.649999999994</v>
      </c>
      <c r="R207" s="557"/>
      <c r="S207" s="367">
        <f>S208+S209</f>
        <v>90086.74</v>
      </c>
      <c r="T207" s="557"/>
      <c r="U207" s="365"/>
      <c r="V207" s="366"/>
      <c r="W207" s="366"/>
      <c r="X207" s="366"/>
      <c r="Z207" s="367">
        <f t="shared" si="306"/>
        <v>0</v>
      </c>
      <c r="AA207" s="363">
        <f t="shared" si="306"/>
        <v>0</v>
      </c>
      <c r="AB207" s="280">
        <f t="shared" si="307"/>
        <v>0</v>
      </c>
      <c r="AC207" s="367">
        <f t="shared" si="308"/>
        <v>0</v>
      </c>
      <c r="AD207" s="363">
        <f t="shared" si="308"/>
        <v>0</v>
      </c>
      <c r="AE207" s="280">
        <f t="shared" si="309"/>
        <v>0</v>
      </c>
      <c r="AF207" s="367">
        <f t="shared" si="310"/>
        <v>0</v>
      </c>
      <c r="AG207" s="363">
        <f t="shared" si="310"/>
        <v>0</v>
      </c>
      <c r="AH207" s="280">
        <f t="shared" si="311"/>
        <v>0</v>
      </c>
      <c r="AI207" s="367">
        <f t="shared" si="312"/>
        <v>191189.05</v>
      </c>
      <c r="AJ207" s="363">
        <f t="shared" si="312"/>
        <v>0</v>
      </c>
      <c r="AK207" s="280">
        <f t="shared" si="313"/>
        <v>191189.05</v>
      </c>
      <c r="AL207" s="368"/>
      <c r="AM207" s="367">
        <f t="shared" si="314"/>
        <v>0</v>
      </c>
      <c r="AN207" s="363">
        <f t="shared" si="314"/>
        <v>0</v>
      </c>
      <c r="AO207" s="280">
        <f t="shared" si="315"/>
        <v>0</v>
      </c>
      <c r="AP207" s="367">
        <f t="shared" si="316"/>
        <v>0</v>
      </c>
      <c r="AQ207" s="363">
        <f t="shared" si="316"/>
        <v>0</v>
      </c>
      <c r="AR207" s="280">
        <f t="shared" si="301"/>
        <v>0</v>
      </c>
      <c r="AS207" s="367">
        <f t="shared" si="302"/>
        <v>191189.05</v>
      </c>
      <c r="AT207" s="363">
        <f t="shared" si="302"/>
        <v>0</v>
      </c>
      <c r="AU207" s="280">
        <f t="shared" si="303"/>
        <v>191189.05</v>
      </c>
      <c r="AV207" s="588">
        <f t="shared" si="304"/>
        <v>0</v>
      </c>
      <c r="AW207" s="367">
        <f t="shared" ref="AW207:BT207" si="321">SUM(AW208:AW209)</f>
        <v>0</v>
      </c>
      <c r="AX207" s="363">
        <f t="shared" si="321"/>
        <v>0</v>
      </c>
      <c r="AY207" s="363">
        <f t="shared" si="321"/>
        <v>0</v>
      </c>
      <c r="AZ207" s="363">
        <f t="shared" si="321"/>
        <v>0</v>
      </c>
      <c r="BA207" s="363">
        <f t="shared" si="321"/>
        <v>0</v>
      </c>
      <c r="BB207" s="369">
        <f t="shared" si="321"/>
        <v>0</v>
      </c>
      <c r="BC207" s="367">
        <f t="shared" si="321"/>
        <v>0</v>
      </c>
      <c r="BD207" s="363">
        <f t="shared" si="321"/>
        <v>0</v>
      </c>
      <c r="BE207" s="363">
        <f t="shared" si="321"/>
        <v>0</v>
      </c>
      <c r="BF207" s="363">
        <f t="shared" si="321"/>
        <v>0</v>
      </c>
      <c r="BG207" s="363">
        <f t="shared" si="321"/>
        <v>0</v>
      </c>
      <c r="BH207" s="369">
        <f t="shared" si="321"/>
        <v>0</v>
      </c>
      <c r="BI207" s="367">
        <f t="shared" si="321"/>
        <v>0</v>
      </c>
      <c r="BJ207" s="363">
        <f t="shared" si="321"/>
        <v>0</v>
      </c>
      <c r="BK207" s="363">
        <f t="shared" si="321"/>
        <v>0</v>
      </c>
      <c r="BL207" s="363">
        <f t="shared" si="321"/>
        <v>0</v>
      </c>
      <c r="BM207" s="363">
        <f t="shared" si="321"/>
        <v>0</v>
      </c>
      <c r="BN207" s="369">
        <f t="shared" si="321"/>
        <v>0</v>
      </c>
      <c r="BO207" s="367">
        <f t="shared" si="321"/>
        <v>0</v>
      </c>
      <c r="BP207" s="363">
        <f t="shared" si="321"/>
        <v>0</v>
      </c>
      <c r="BQ207" s="363">
        <f t="shared" si="321"/>
        <v>0</v>
      </c>
      <c r="BR207" s="363">
        <f t="shared" si="321"/>
        <v>0</v>
      </c>
      <c r="BS207" s="363">
        <f t="shared" si="321"/>
        <v>191189.05</v>
      </c>
      <c r="BT207" s="280">
        <f t="shared" si="321"/>
        <v>0</v>
      </c>
    </row>
    <row r="208" spans="1:72" s="313" customFormat="1" ht="25.5" outlineLevel="1">
      <c r="A208" s="287">
        <v>197</v>
      </c>
      <c r="B208" s="933"/>
      <c r="C208" s="840"/>
      <c r="D208" s="841"/>
      <c r="E208" s="839"/>
      <c r="F208" s="821" t="s">
        <v>23</v>
      </c>
      <c r="G208" s="314">
        <v>2</v>
      </c>
      <c r="H208" s="739" t="s">
        <v>71</v>
      </c>
      <c r="I208" s="739">
        <v>244</v>
      </c>
      <c r="J208" s="740">
        <v>223</v>
      </c>
      <c r="K208" s="533" t="s">
        <v>354</v>
      </c>
      <c r="L208" s="1025">
        <v>186664.38</v>
      </c>
      <c r="M208" s="318"/>
      <c r="N208" s="318"/>
      <c r="O208" s="1052">
        <f t="shared" si="305"/>
        <v>186664.38</v>
      </c>
      <c r="P208" s="570"/>
      <c r="Q208" s="336">
        <v>64258.51</v>
      </c>
      <c r="R208" s="559"/>
      <c r="S208" s="541">
        <v>85556.64</v>
      </c>
      <c r="T208" s="559"/>
      <c r="U208" s="335"/>
      <c r="V208" s="596" t="s">
        <v>444</v>
      </c>
      <c r="W208" s="610" t="s">
        <v>443</v>
      </c>
      <c r="X208" s="597" t="s">
        <v>381</v>
      </c>
      <c r="Z208" s="336">
        <f t="shared" si="306"/>
        <v>0</v>
      </c>
      <c r="AA208" s="337">
        <f t="shared" si="306"/>
        <v>0</v>
      </c>
      <c r="AB208" s="338">
        <f t="shared" si="307"/>
        <v>0</v>
      </c>
      <c r="AC208" s="336">
        <f t="shared" si="308"/>
        <v>0</v>
      </c>
      <c r="AD208" s="337">
        <f t="shared" si="308"/>
        <v>0</v>
      </c>
      <c r="AE208" s="338">
        <f t="shared" si="309"/>
        <v>0</v>
      </c>
      <c r="AF208" s="336">
        <f t="shared" si="310"/>
        <v>0</v>
      </c>
      <c r="AG208" s="337">
        <f t="shared" si="310"/>
        <v>0</v>
      </c>
      <c r="AH208" s="338">
        <f t="shared" si="311"/>
        <v>0</v>
      </c>
      <c r="AI208" s="336">
        <f t="shared" si="312"/>
        <v>186664.38</v>
      </c>
      <c r="AJ208" s="337">
        <f t="shared" si="312"/>
        <v>0</v>
      </c>
      <c r="AK208" s="338">
        <f t="shared" si="313"/>
        <v>186664.38</v>
      </c>
      <c r="AL208" s="342"/>
      <c r="AM208" s="336">
        <f t="shared" si="314"/>
        <v>0</v>
      </c>
      <c r="AN208" s="339">
        <f t="shared" si="314"/>
        <v>0</v>
      </c>
      <c r="AO208" s="340">
        <f t="shared" si="315"/>
        <v>0</v>
      </c>
      <c r="AP208" s="336">
        <f t="shared" si="316"/>
        <v>0</v>
      </c>
      <c r="AQ208" s="339">
        <f t="shared" si="316"/>
        <v>0</v>
      </c>
      <c r="AR208" s="340">
        <f t="shared" si="301"/>
        <v>0</v>
      </c>
      <c r="AS208" s="341">
        <f t="shared" si="302"/>
        <v>186664.38</v>
      </c>
      <c r="AT208" s="339">
        <f t="shared" si="302"/>
        <v>0</v>
      </c>
      <c r="AU208" s="340">
        <f t="shared" si="303"/>
        <v>186664.38</v>
      </c>
      <c r="AV208" s="589">
        <f t="shared" si="304"/>
        <v>0</v>
      </c>
      <c r="AW208" s="343"/>
      <c r="AX208" s="344"/>
      <c r="AY208" s="345"/>
      <c r="AZ208" s="344"/>
      <c r="BA208" s="345"/>
      <c r="BB208" s="346"/>
      <c r="BC208" s="347"/>
      <c r="BD208" s="348"/>
      <c r="BE208" s="349"/>
      <c r="BF208" s="348"/>
      <c r="BG208" s="349"/>
      <c r="BH208" s="350"/>
      <c r="BI208" s="351"/>
      <c r="BJ208" s="352"/>
      <c r="BK208" s="337"/>
      <c r="BL208" s="352"/>
      <c r="BM208" s="337"/>
      <c r="BN208" s="353"/>
      <c r="BO208" s="354"/>
      <c r="BP208" s="355"/>
      <c r="BQ208" s="356"/>
      <c r="BR208" s="355"/>
      <c r="BS208" s="356">
        <v>186664.38</v>
      </c>
      <c r="BT208" s="357"/>
    </row>
    <row r="209" spans="1:72" s="313" customFormat="1" ht="25.5" outlineLevel="1">
      <c r="A209" s="287">
        <v>198</v>
      </c>
      <c r="B209" s="933"/>
      <c r="C209" s="840"/>
      <c r="D209" s="841"/>
      <c r="E209" s="839"/>
      <c r="F209" s="821" t="s">
        <v>23</v>
      </c>
      <c r="G209" s="314">
        <v>2</v>
      </c>
      <c r="H209" s="739" t="s">
        <v>71</v>
      </c>
      <c r="I209" s="739">
        <v>244</v>
      </c>
      <c r="J209" s="740">
        <v>223</v>
      </c>
      <c r="K209" s="533" t="s">
        <v>252</v>
      </c>
      <c r="L209" s="1025">
        <v>4524.67</v>
      </c>
      <c r="M209" s="318"/>
      <c r="N209" s="318"/>
      <c r="O209" s="1052">
        <f t="shared" si="305"/>
        <v>4524.67</v>
      </c>
      <c r="P209" s="570"/>
      <c r="Q209" s="336">
        <v>4499.1400000000003</v>
      </c>
      <c r="R209" s="559"/>
      <c r="S209" s="541">
        <v>4530.1000000000004</v>
      </c>
      <c r="T209" s="559"/>
      <c r="U209" s="335"/>
      <c r="V209" s="596" t="s">
        <v>444</v>
      </c>
      <c r="W209" s="610" t="s">
        <v>443</v>
      </c>
      <c r="X209" s="597" t="s">
        <v>381</v>
      </c>
      <c r="Z209" s="336">
        <f t="shared" si="306"/>
        <v>0</v>
      </c>
      <c r="AA209" s="337">
        <f t="shared" si="306"/>
        <v>0</v>
      </c>
      <c r="AB209" s="338">
        <f t="shared" si="307"/>
        <v>0</v>
      </c>
      <c r="AC209" s="336">
        <f t="shared" si="308"/>
        <v>0</v>
      </c>
      <c r="AD209" s="337">
        <f t="shared" si="308"/>
        <v>0</v>
      </c>
      <c r="AE209" s="338">
        <f t="shared" si="309"/>
        <v>0</v>
      </c>
      <c r="AF209" s="336">
        <f t="shared" si="310"/>
        <v>0</v>
      </c>
      <c r="AG209" s="337">
        <f t="shared" si="310"/>
        <v>0</v>
      </c>
      <c r="AH209" s="338">
        <f t="shared" si="311"/>
        <v>0</v>
      </c>
      <c r="AI209" s="336">
        <f t="shared" si="312"/>
        <v>4524.67</v>
      </c>
      <c r="AJ209" s="337">
        <f t="shared" si="312"/>
        <v>0</v>
      </c>
      <c r="AK209" s="338">
        <f t="shared" si="313"/>
        <v>4524.67</v>
      </c>
      <c r="AL209" s="342"/>
      <c r="AM209" s="336">
        <f t="shared" si="314"/>
        <v>0</v>
      </c>
      <c r="AN209" s="339">
        <f t="shared" si="314"/>
        <v>0</v>
      </c>
      <c r="AO209" s="340">
        <f t="shared" si="315"/>
        <v>0</v>
      </c>
      <c r="AP209" s="336">
        <f t="shared" si="316"/>
        <v>0</v>
      </c>
      <c r="AQ209" s="339">
        <f t="shared" si="316"/>
        <v>0</v>
      </c>
      <c r="AR209" s="340">
        <f t="shared" si="301"/>
        <v>0</v>
      </c>
      <c r="AS209" s="341">
        <f t="shared" si="302"/>
        <v>4524.67</v>
      </c>
      <c r="AT209" s="339">
        <f t="shared" si="302"/>
        <v>0</v>
      </c>
      <c r="AU209" s="340">
        <f t="shared" si="303"/>
        <v>4524.67</v>
      </c>
      <c r="AV209" s="589">
        <f t="shared" si="304"/>
        <v>0</v>
      </c>
      <c r="AW209" s="343"/>
      <c r="AX209" s="344"/>
      <c r="AY209" s="345"/>
      <c r="AZ209" s="344"/>
      <c r="BA209" s="345"/>
      <c r="BB209" s="346"/>
      <c r="BC209" s="347"/>
      <c r="BD209" s="348"/>
      <c r="BE209" s="349"/>
      <c r="BF209" s="348"/>
      <c r="BG209" s="349"/>
      <c r="BH209" s="350"/>
      <c r="BI209" s="351"/>
      <c r="BJ209" s="352"/>
      <c r="BK209" s="337"/>
      <c r="BL209" s="352"/>
      <c r="BM209" s="337"/>
      <c r="BN209" s="353"/>
      <c r="BO209" s="354"/>
      <c r="BP209" s="355"/>
      <c r="BQ209" s="356"/>
      <c r="BR209" s="355"/>
      <c r="BS209" s="356">
        <v>4524.67</v>
      </c>
      <c r="BT209" s="357"/>
    </row>
    <row r="210" spans="1:72" s="358" customFormat="1" ht="31.5" customHeight="1">
      <c r="A210" s="287">
        <v>199</v>
      </c>
      <c r="B210" s="933"/>
      <c r="C210" s="850" t="s">
        <v>377</v>
      </c>
      <c r="D210" s="838"/>
      <c r="E210" s="836" t="s">
        <v>201</v>
      </c>
      <c r="F210" s="820" t="s">
        <v>23</v>
      </c>
      <c r="G210" s="360">
        <v>2</v>
      </c>
      <c r="H210" s="360" t="s">
        <v>71</v>
      </c>
      <c r="I210" s="360">
        <v>244</v>
      </c>
      <c r="J210" s="361">
        <v>224</v>
      </c>
      <c r="K210" s="532" t="s">
        <v>151</v>
      </c>
      <c r="L210" s="1023">
        <f>L211</f>
        <v>0</v>
      </c>
      <c r="M210" s="363"/>
      <c r="N210" s="363"/>
      <c r="O210" s="1051">
        <f t="shared" si="305"/>
        <v>0</v>
      </c>
      <c r="P210" s="571"/>
      <c r="Q210" s="367">
        <f>Q211</f>
        <v>0</v>
      </c>
      <c r="R210" s="557"/>
      <c r="S210" s="367">
        <f>S211</f>
        <v>0</v>
      </c>
      <c r="T210" s="557"/>
      <c r="U210" s="365"/>
      <c r="V210" s="366"/>
      <c r="W210" s="366"/>
      <c r="X210" s="366"/>
      <c r="Z210" s="367">
        <f t="shared" si="306"/>
        <v>0</v>
      </c>
      <c r="AA210" s="363">
        <f t="shared" si="306"/>
        <v>0</v>
      </c>
      <c r="AB210" s="280">
        <f t="shared" si="307"/>
        <v>0</v>
      </c>
      <c r="AC210" s="367">
        <f t="shared" si="308"/>
        <v>0</v>
      </c>
      <c r="AD210" s="363">
        <f t="shared" si="308"/>
        <v>0</v>
      </c>
      <c r="AE210" s="280">
        <f t="shared" si="309"/>
        <v>0</v>
      </c>
      <c r="AF210" s="367">
        <f t="shared" si="310"/>
        <v>0</v>
      </c>
      <c r="AG210" s="363">
        <f t="shared" si="310"/>
        <v>0</v>
      </c>
      <c r="AH210" s="280">
        <f t="shared" si="311"/>
        <v>0</v>
      </c>
      <c r="AI210" s="367">
        <f t="shared" si="312"/>
        <v>0</v>
      </c>
      <c r="AJ210" s="363">
        <f t="shared" si="312"/>
        <v>0</v>
      </c>
      <c r="AK210" s="280">
        <f t="shared" si="313"/>
        <v>0</v>
      </c>
      <c r="AL210" s="368"/>
      <c r="AM210" s="367">
        <f t="shared" si="314"/>
        <v>0</v>
      </c>
      <c r="AN210" s="363">
        <f t="shared" si="314"/>
        <v>0</v>
      </c>
      <c r="AO210" s="280">
        <f t="shared" si="315"/>
        <v>0</v>
      </c>
      <c r="AP210" s="367">
        <f t="shared" si="316"/>
        <v>0</v>
      </c>
      <c r="AQ210" s="363">
        <f t="shared" si="316"/>
        <v>0</v>
      </c>
      <c r="AR210" s="280">
        <f t="shared" si="301"/>
        <v>0</v>
      </c>
      <c r="AS210" s="367">
        <f t="shared" si="302"/>
        <v>0</v>
      </c>
      <c r="AT210" s="363">
        <f t="shared" si="302"/>
        <v>0</v>
      </c>
      <c r="AU210" s="280">
        <f t="shared" si="303"/>
        <v>0</v>
      </c>
      <c r="AV210" s="588">
        <f t="shared" si="304"/>
        <v>0</v>
      </c>
      <c r="AW210" s="367">
        <f t="shared" ref="AW210:BT210" si="322">AW211</f>
        <v>0</v>
      </c>
      <c r="AX210" s="363">
        <f t="shared" si="322"/>
        <v>0</v>
      </c>
      <c r="AY210" s="363">
        <f t="shared" si="322"/>
        <v>0</v>
      </c>
      <c r="AZ210" s="363">
        <f t="shared" si="322"/>
        <v>0</v>
      </c>
      <c r="BA210" s="363">
        <f t="shared" si="322"/>
        <v>0</v>
      </c>
      <c r="BB210" s="369">
        <f t="shared" si="322"/>
        <v>0</v>
      </c>
      <c r="BC210" s="367">
        <f t="shared" si="322"/>
        <v>0</v>
      </c>
      <c r="BD210" s="363">
        <f t="shared" si="322"/>
        <v>0</v>
      </c>
      <c r="BE210" s="363">
        <f t="shared" si="322"/>
        <v>0</v>
      </c>
      <c r="BF210" s="363">
        <f t="shared" si="322"/>
        <v>0</v>
      </c>
      <c r="BG210" s="363">
        <f t="shared" si="322"/>
        <v>0</v>
      </c>
      <c r="BH210" s="369">
        <f t="shared" si="322"/>
        <v>0</v>
      </c>
      <c r="BI210" s="367">
        <f t="shared" si="322"/>
        <v>0</v>
      </c>
      <c r="BJ210" s="363">
        <f t="shared" si="322"/>
        <v>0</v>
      </c>
      <c r="BK210" s="363">
        <f t="shared" si="322"/>
        <v>0</v>
      </c>
      <c r="BL210" s="363">
        <f t="shared" si="322"/>
        <v>0</v>
      </c>
      <c r="BM210" s="363">
        <f t="shared" si="322"/>
        <v>0</v>
      </c>
      <c r="BN210" s="369">
        <f t="shared" si="322"/>
        <v>0</v>
      </c>
      <c r="BO210" s="367">
        <f t="shared" si="322"/>
        <v>0</v>
      </c>
      <c r="BP210" s="363">
        <f t="shared" si="322"/>
        <v>0</v>
      </c>
      <c r="BQ210" s="363">
        <f t="shared" si="322"/>
        <v>0</v>
      </c>
      <c r="BR210" s="363">
        <f t="shared" si="322"/>
        <v>0</v>
      </c>
      <c r="BS210" s="363">
        <f t="shared" si="322"/>
        <v>0</v>
      </c>
      <c r="BT210" s="280">
        <f t="shared" si="322"/>
        <v>0</v>
      </c>
    </row>
    <row r="211" spans="1:72" s="313" customFormat="1" ht="38.25" outlineLevel="1">
      <c r="A211" s="287">
        <v>200</v>
      </c>
      <c r="B211" s="933"/>
      <c r="C211" s="840"/>
      <c r="D211" s="841"/>
      <c r="E211" s="839"/>
      <c r="F211" s="821" t="s">
        <v>23</v>
      </c>
      <c r="G211" s="314">
        <v>2</v>
      </c>
      <c r="H211" s="739" t="s">
        <v>71</v>
      </c>
      <c r="I211" s="739">
        <v>244</v>
      </c>
      <c r="J211" s="740">
        <v>224</v>
      </c>
      <c r="K211" s="533" t="s">
        <v>264</v>
      </c>
      <c r="L211" s="1044">
        <v>0</v>
      </c>
      <c r="M211" s="318"/>
      <c r="N211" s="318"/>
      <c r="O211" s="1052">
        <f t="shared" si="305"/>
        <v>0</v>
      </c>
      <c r="P211" s="570"/>
      <c r="Q211" s="336">
        <v>0</v>
      </c>
      <c r="R211" s="559"/>
      <c r="S211" s="541">
        <v>0</v>
      </c>
      <c r="T211" s="559"/>
      <c r="U211" s="335"/>
      <c r="V211" s="320" t="s">
        <v>265</v>
      </c>
      <c r="W211" s="320"/>
      <c r="X211" s="320"/>
      <c r="Z211" s="336">
        <f t="shared" si="306"/>
        <v>0</v>
      </c>
      <c r="AA211" s="337">
        <f t="shared" si="306"/>
        <v>0</v>
      </c>
      <c r="AB211" s="338">
        <f t="shared" si="307"/>
        <v>0</v>
      </c>
      <c r="AC211" s="336">
        <f t="shared" si="308"/>
        <v>0</v>
      </c>
      <c r="AD211" s="337">
        <f t="shared" si="308"/>
        <v>0</v>
      </c>
      <c r="AE211" s="338">
        <f t="shared" si="309"/>
        <v>0</v>
      </c>
      <c r="AF211" s="336">
        <f t="shared" si="310"/>
        <v>0</v>
      </c>
      <c r="AG211" s="337">
        <f t="shared" si="310"/>
        <v>0</v>
      </c>
      <c r="AH211" s="338">
        <f t="shared" si="311"/>
        <v>0</v>
      </c>
      <c r="AI211" s="336">
        <f t="shared" si="312"/>
        <v>0</v>
      </c>
      <c r="AJ211" s="337">
        <f t="shared" si="312"/>
        <v>0</v>
      </c>
      <c r="AK211" s="338">
        <f t="shared" si="313"/>
        <v>0</v>
      </c>
      <c r="AL211" s="342"/>
      <c r="AM211" s="336">
        <f t="shared" si="314"/>
        <v>0</v>
      </c>
      <c r="AN211" s="339">
        <f t="shared" si="314"/>
        <v>0</v>
      </c>
      <c r="AO211" s="340">
        <f t="shared" si="315"/>
        <v>0</v>
      </c>
      <c r="AP211" s="336">
        <f t="shared" si="316"/>
        <v>0</v>
      </c>
      <c r="AQ211" s="339">
        <f t="shared" si="316"/>
        <v>0</v>
      </c>
      <c r="AR211" s="340">
        <f t="shared" si="301"/>
        <v>0</v>
      </c>
      <c r="AS211" s="341">
        <f t="shared" si="302"/>
        <v>0</v>
      </c>
      <c r="AT211" s="339">
        <f t="shared" si="302"/>
        <v>0</v>
      </c>
      <c r="AU211" s="340">
        <f t="shared" si="303"/>
        <v>0</v>
      </c>
      <c r="AV211" s="589">
        <f t="shared" si="304"/>
        <v>0</v>
      </c>
      <c r="AW211" s="343"/>
      <c r="AX211" s="344"/>
      <c r="AY211" s="345"/>
      <c r="AZ211" s="344"/>
      <c r="BA211" s="345"/>
      <c r="BB211" s="346"/>
      <c r="BC211" s="347"/>
      <c r="BD211" s="348"/>
      <c r="BE211" s="349"/>
      <c r="BF211" s="348"/>
      <c r="BG211" s="349"/>
      <c r="BH211" s="350"/>
      <c r="BI211" s="351"/>
      <c r="BJ211" s="352"/>
      <c r="BK211" s="337"/>
      <c r="BL211" s="352"/>
      <c r="BM211" s="337"/>
      <c r="BN211" s="353"/>
      <c r="BO211" s="354"/>
      <c r="BP211" s="355"/>
      <c r="BQ211" s="356"/>
      <c r="BR211" s="355"/>
      <c r="BS211" s="356"/>
      <c r="BT211" s="357"/>
    </row>
    <row r="212" spans="1:72" s="358" customFormat="1" ht="31.5" customHeight="1">
      <c r="A212" s="287">
        <v>201</v>
      </c>
      <c r="B212" s="933"/>
      <c r="C212" s="850" t="s">
        <v>377</v>
      </c>
      <c r="D212" s="853" t="s">
        <v>207</v>
      </c>
      <c r="E212" s="836" t="s">
        <v>201</v>
      </c>
      <c r="F212" s="820" t="s">
        <v>23</v>
      </c>
      <c r="G212" s="360">
        <v>2</v>
      </c>
      <c r="H212" s="360" t="s">
        <v>71</v>
      </c>
      <c r="I212" s="360">
        <v>244</v>
      </c>
      <c r="J212" s="361">
        <v>225</v>
      </c>
      <c r="K212" s="532" t="s">
        <v>149</v>
      </c>
      <c r="L212" s="1023">
        <f>SUM(L213:L217)</f>
        <v>109000</v>
      </c>
      <c r="M212" s="363">
        <f>SUM(M213:M217)</f>
        <v>5000</v>
      </c>
      <c r="N212" s="363">
        <f>SUM(N213:N217)</f>
        <v>0</v>
      </c>
      <c r="O212" s="1051">
        <f t="shared" si="305"/>
        <v>109000</v>
      </c>
      <c r="P212" s="571"/>
      <c r="Q212" s="367">
        <f>SUM(Q213:Q217)</f>
        <v>0</v>
      </c>
      <c r="R212" s="557">
        <f>SUM(R213:R217)</f>
        <v>0</v>
      </c>
      <c r="S212" s="367">
        <f>SUM(S213:S217)</f>
        <v>0</v>
      </c>
      <c r="T212" s="557"/>
      <c r="U212" s="365"/>
      <c r="V212" s="366"/>
      <c r="W212" s="366"/>
      <c r="X212" s="366">
        <f>1-X57</f>
        <v>0.17</v>
      </c>
      <c r="Z212" s="367">
        <f t="shared" ref="Z212:AA233" si="323">AW212+AY212+BA212</f>
        <v>14500</v>
      </c>
      <c r="AA212" s="363">
        <f t="shared" si="323"/>
        <v>700</v>
      </c>
      <c r="AB212" s="280">
        <f t="shared" si="307"/>
        <v>13800</v>
      </c>
      <c r="AC212" s="367">
        <f t="shared" ref="AC212:AD233" si="324">BC212+BE212+BG212</f>
        <v>14500</v>
      </c>
      <c r="AD212" s="363">
        <f t="shared" si="324"/>
        <v>0</v>
      </c>
      <c r="AE212" s="280">
        <f t="shared" si="309"/>
        <v>14500</v>
      </c>
      <c r="AF212" s="367">
        <f t="shared" ref="AF212:AG233" si="325">BI212+BK212+BM212</f>
        <v>30000</v>
      </c>
      <c r="AG212" s="363">
        <f t="shared" si="325"/>
        <v>0</v>
      </c>
      <c r="AH212" s="280">
        <f t="shared" si="311"/>
        <v>30000</v>
      </c>
      <c r="AI212" s="367">
        <f t="shared" ref="AI212:AJ233" si="326">BO212+BQ212+BS212</f>
        <v>30000</v>
      </c>
      <c r="AJ212" s="363">
        <f t="shared" si="326"/>
        <v>0</v>
      </c>
      <c r="AK212" s="280">
        <f t="shared" si="313"/>
        <v>30000</v>
      </c>
      <c r="AL212" s="368"/>
      <c r="AM212" s="367">
        <f t="shared" ref="AM212:AN233" si="327">Z212+AC212</f>
        <v>29000</v>
      </c>
      <c r="AN212" s="363">
        <f t="shared" si="327"/>
        <v>700</v>
      </c>
      <c r="AO212" s="280">
        <f t="shared" si="315"/>
        <v>28300</v>
      </c>
      <c r="AP212" s="367">
        <f t="shared" ref="AP212:AQ233" si="328">Z212+AC212+AF212</f>
        <v>59000</v>
      </c>
      <c r="AQ212" s="363">
        <f t="shared" si="328"/>
        <v>700</v>
      </c>
      <c r="AR212" s="280">
        <f t="shared" si="301"/>
        <v>58300</v>
      </c>
      <c r="AS212" s="367">
        <f t="shared" ref="AS212:AT233" si="329">Z212+AC212+AF212+AI212</f>
        <v>89000</v>
      </c>
      <c r="AT212" s="363">
        <f t="shared" si="329"/>
        <v>700</v>
      </c>
      <c r="AU212" s="280">
        <f t="shared" si="303"/>
        <v>88300</v>
      </c>
      <c r="AV212" s="588">
        <f t="shared" si="304"/>
        <v>20000</v>
      </c>
      <c r="AW212" s="367">
        <f t="shared" ref="AW212:BS212" si="330">SUM(AW213:AW217)</f>
        <v>0</v>
      </c>
      <c r="AX212" s="363">
        <f t="shared" si="330"/>
        <v>0</v>
      </c>
      <c r="AY212" s="363">
        <f t="shared" si="330"/>
        <v>10000</v>
      </c>
      <c r="AZ212" s="363">
        <f t="shared" si="330"/>
        <v>700</v>
      </c>
      <c r="BA212" s="363">
        <f t="shared" si="330"/>
        <v>4500</v>
      </c>
      <c r="BB212" s="369">
        <f t="shared" si="330"/>
        <v>0</v>
      </c>
      <c r="BC212" s="367">
        <f t="shared" si="330"/>
        <v>11350</v>
      </c>
      <c r="BD212" s="363">
        <f t="shared" si="330"/>
        <v>0</v>
      </c>
      <c r="BE212" s="363">
        <f t="shared" si="330"/>
        <v>2300</v>
      </c>
      <c r="BF212" s="363">
        <f t="shared" si="330"/>
        <v>0</v>
      </c>
      <c r="BG212" s="363">
        <f t="shared" si="330"/>
        <v>850</v>
      </c>
      <c r="BH212" s="369">
        <f t="shared" si="330"/>
        <v>0</v>
      </c>
      <c r="BI212" s="367">
        <f t="shared" si="330"/>
        <v>10000</v>
      </c>
      <c r="BJ212" s="363">
        <f t="shared" si="330"/>
        <v>0</v>
      </c>
      <c r="BK212" s="363">
        <f t="shared" si="330"/>
        <v>15000</v>
      </c>
      <c r="BL212" s="363">
        <f t="shared" si="330"/>
        <v>0</v>
      </c>
      <c r="BM212" s="363">
        <f t="shared" si="330"/>
        <v>5000</v>
      </c>
      <c r="BN212" s="369">
        <f t="shared" si="330"/>
        <v>0</v>
      </c>
      <c r="BO212" s="367">
        <f t="shared" si="330"/>
        <v>5000</v>
      </c>
      <c r="BP212" s="363">
        <f t="shared" si="330"/>
        <v>0</v>
      </c>
      <c r="BQ212" s="363">
        <f t="shared" si="330"/>
        <v>15000</v>
      </c>
      <c r="BR212" s="363">
        <f t="shared" si="330"/>
        <v>0</v>
      </c>
      <c r="BS212" s="363">
        <f t="shared" si="330"/>
        <v>10000</v>
      </c>
      <c r="BT212" s="280">
        <f>SUM(BT213:BT219)</f>
        <v>0</v>
      </c>
    </row>
    <row r="213" spans="1:72" s="313" customFormat="1" ht="76.5" outlineLevel="1">
      <c r="A213" s="287">
        <v>202</v>
      </c>
      <c r="B213" s="941"/>
      <c r="C213" s="840"/>
      <c r="D213" s="853" t="s">
        <v>207</v>
      </c>
      <c r="E213" s="839"/>
      <c r="F213" s="821" t="s">
        <v>23</v>
      </c>
      <c r="G213" s="314">
        <v>2</v>
      </c>
      <c r="H213" s="739" t="s">
        <v>71</v>
      </c>
      <c r="I213" s="739">
        <v>244</v>
      </c>
      <c r="J213" s="740">
        <v>225</v>
      </c>
      <c r="K213" s="317" t="s">
        <v>263</v>
      </c>
      <c r="L213" s="1044">
        <f>50000+M213</f>
        <v>55000</v>
      </c>
      <c r="M213" s="318">
        <v>5000</v>
      </c>
      <c r="N213" s="1006"/>
      <c r="O213" s="1052">
        <f t="shared" si="305"/>
        <v>55000</v>
      </c>
      <c r="P213" s="570"/>
      <c r="Q213" s="336">
        <v>0</v>
      </c>
      <c r="R213" s="559"/>
      <c r="S213" s="541">
        <v>0</v>
      </c>
      <c r="T213" s="559"/>
      <c r="U213" s="335"/>
      <c r="V213" s="596" t="s">
        <v>599</v>
      </c>
      <c r="W213" s="596" t="s">
        <v>856</v>
      </c>
      <c r="X213" s="596" t="s">
        <v>857</v>
      </c>
      <c r="Z213" s="336">
        <f t="shared" si="323"/>
        <v>0</v>
      </c>
      <c r="AA213" s="337">
        <f t="shared" si="323"/>
        <v>0</v>
      </c>
      <c r="AB213" s="338">
        <f>Z213-AA213</f>
        <v>0</v>
      </c>
      <c r="AC213" s="336">
        <f t="shared" si="324"/>
        <v>0</v>
      </c>
      <c r="AD213" s="337">
        <f t="shared" si="324"/>
        <v>0</v>
      </c>
      <c r="AE213" s="338">
        <f>AC213-AD213</f>
        <v>0</v>
      </c>
      <c r="AF213" s="336">
        <f t="shared" si="325"/>
        <v>15000</v>
      </c>
      <c r="AG213" s="337">
        <f t="shared" si="325"/>
        <v>0</v>
      </c>
      <c r="AH213" s="338">
        <f>AF213-AG213</f>
        <v>15000</v>
      </c>
      <c r="AI213" s="336">
        <f t="shared" si="326"/>
        <v>20000</v>
      </c>
      <c r="AJ213" s="337">
        <f t="shared" si="326"/>
        <v>0</v>
      </c>
      <c r="AK213" s="338">
        <f>AI213-AJ213</f>
        <v>20000</v>
      </c>
      <c r="AL213" s="342"/>
      <c r="AM213" s="336">
        <f t="shared" si="327"/>
        <v>0</v>
      </c>
      <c r="AN213" s="339">
        <f t="shared" si="327"/>
        <v>0</v>
      </c>
      <c r="AO213" s="340">
        <f>AM213-AN213</f>
        <v>0</v>
      </c>
      <c r="AP213" s="336">
        <f t="shared" si="328"/>
        <v>15000</v>
      </c>
      <c r="AQ213" s="339">
        <f t="shared" si="328"/>
        <v>0</v>
      </c>
      <c r="AR213" s="340">
        <f>AP213-AQ213</f>
        <v>15000</v>
      </c>
      <c r="AS213" s="341">
        <f t="shared" si="329"/>
        <v>35000</v>
      </c>
      <c r="AT213" s="339">
        <f t="shared" si="329"/>
        <v>0</v>
      </c>
      <c r="AU213" s="340">
        <f>AS213-AT213</f>
        <v>35000</v>
      </c>
      <c r="AV213" s="803">
        <f t="shared" si="304"/>
        <v>20000</v>
      </c>
      <c r="AW213" s="343"/>
      <c r="AX213" s="344"/>
      <c r="AY213" s="345"/>
      <c r="AZ213" s="344"/>
      <c r="BA213" s="345"/>
      <c r="BB213" s="346"/>
      <c r="BC213" s="347"/>
      <c r="BD213" s="348"/>
      <c r="BE213" s="349"/>
      <c r="BF213" s="348"/>
      <c r="BG213" s="349"/>
      <c r="BH213" s="350"/>
      <c r="BI213" s="351">
        <v>5000</v>
      </c>
      <c r="BJ213" s="352"/>
      <c r="BK213" s="337">
        <v>5000</v>
      </c>
      <c r="BL213" s="352"/>
      <c r="BM213" s="337">
        <v>5000</v>
      </c>
      <c r="BN213" s="353"/>
      <c r="BO213" s="354">
        <v>5000</v>
      </c>
      <c r="BP213" s="355"/>
      <c r="BQ213" s="356">
        <v>5000</v>
      </c>
      <c r="BR213" s="355"/>
      <c r="BS213" s="356">
        <v>10000</v>
      </c>
      <c r="BT213" s="357"/>
    </row>
    <row r="214" spans="1:72" s="313" customFormat="1" ht="51">
      <c r="A214" s="287">
        <v>203</v>
      </c>
      <c r="B214" s="1145"/>
      <c r="C214" s="840"/>
      <c r="D214" s="853" t="s">
        <v>207</v>
      </c>
      <c r="E214" s="839"/>
      <c r="F214" s="821" t="s">
        <v>23</v>
      </c>
      <c r="G214" s="314">
        <v>2</v>
      </c>
      <c r="H214" s="739" t="s">
        <v>71</v>
      </c>
      <c r="I214" s="739">
        <v>244</v>
      </c>
      <c r="J214" s="740">
        <v>225</v>
      </c>
      <c r="K214" s="533" t="s">
        <v>700</v>
      </c>
      <c r="L214" s="1044">
        <v>4200</v>
      </c>
      <c r="M214" s="318"/>
      <c r="N214" s="1006"/>
      <c r="O214" s="1052">
        <f t="shared" si="305"/>
        <v>4200</v>
      </c>
      <c r="P214" s="329"/>
      <c r="Q214" s="319">
        <v>0</v>
      </c>
      <c r="R214" s="329"/>
      <c r="S214" s="319">
        <v>0</v>
      </c>
      <c r="T214" s="329"/>
      <c r="U214" s="335"/>
      <c r="V214" s="596" t="s">
        <v>254</v>
      </c>
      <c r="W214" s="596" t="s">
        <v>701</v>
      </c>
      <c r="X214" s="596" t="s">
        <v>702</v>
      </c>
      <c r="Z214" s="336">
        <f t="shared" si="323"/>
        <v>0</v>
      </c>
      <c r="AA214" s="337">
        <f t="shared" si="323"/>
        <v>0</v>
      </c>
      <c r="AB214" s="338">
        <f>Z214-AA214</f>
        <v>0</v>
      </c>
      <c r="AC214" s="336">
        <f t="shared" si="324"/>
        <v>4200</v>
      </c>
      <c r="AD214" s="337">
        <f t="shared" si="324"/>
        <v>0</v>
      </c>
      <c r="AE214" s="338">
        <f>AC214-AD214</f>
        <v>4200</v>
      </c>
      <c r="AF214" s="336">
        <f t="shared" si="325"/>
        <v>0</v>
      </c>
      <c r="AG214" s="337">
        <f t="shared" si="325"/>
        <v>0</v>
      </c>
      <c r="AH214" s="338">
        <f>AF214-AG214</f>
        <v>0</v>
      </c>
      <c r="AI214" s="336">
        <f t="shared" si="326"/>
        <v>0</v>
      </c>
      <c r="AJ214" s="337">
        <f t="shared" si="326"/>
        <v>0</v>
      </c>
      <c r="AK214" s="338">
        <f>AI214-AJ214</f>
        <v>0</v>
      </c>
      <c r="AL214" s="342"/>
      <c r="AM214" s="336">
        <f t="shared" si="327"/>
        <v>4200</v>
      </c>
      <c r="AN214" s="339">
        <f t="shared" si="327"/>
        <v>0</v>
      </c>
      <c r="AO214" s="340">
        <f>AM214-AN214</f>
        <v>4200</v>
      </c>
      <c r="AP214" s="336">
        <f t="shared" si="328"/>
        <v>4200</v>
      </c>
      <c r="AQ214" s="339">
        <f t="shared" si="328"/>
        <v>0</v>
      </c>
      <c r="AR214" s="340">
        <f>AP214-AQ214</f>
        <v>4200</v>
      </c>
      <c r="AS214" s="341">
        <f t="shared" si="329"/>
        <v>4200</v>
      </c>
      <c r="AT214" s="339">
        <f t="shared" si="329"/>
        <v>0</v>
      </c>
      <c r="AU214" s="340">
        <f>AS214-AT214</f>
        <v>4200</v>
      </c>
      <c r="AV214" s="589"/>
      <c r="AW214" s="343"/>
      <c r="AX214" s="344"/>
      <c r="AY214" s="345"/>
      <c r="AZ214" s="344"/>
      <c r="BA214" s="345"/>
      <c r="BB214" s="346"/>
      <c r="BC214" s="347">
        <v>4200</v>
      </c>
      <c r="BD214" s="348"/>
      <c r="BE214" s="349"/>
      <c r="BF214" s="348"/>
      <c r="BG214" s="349"/>
      <c r="BH214" s="350"/>
      <c r="BI214" s="351"/>
      <c r="BJ214" s="352"/>
      <c r="BK214" s="337"/>
      <c r="BL214" s="352"/>
      <c r="BM214" s="337"/>
      <c r="BN214" s="353"/>
      <c r="BO214" s="354"/>
      <c r="BP214" s="355"/>
      <c r="BQ214" s="356"/>
      <c r="BR214" s="355"/>
      <c r="BS214" s="356"/>
      <c r="BT214" s="357"/>
    </row>
    <row r="215" spans="1:72" s="313" customFormat="1" ht="102">
      <c r="A215" s="287">
        <v>204</v>
      </c>
      <c r="B215" s="1146"/>
      <c r="C215" s="840"/>
      <c r="D215" s="853" t="s">
        <v>207</v>
      </c>
      <c r="E215" s="839"/>
      <c r="F215" s="821" t="s">
        <v>23</v>
      </c>
      <c r="G215" s="314">
        <v>2</v>
      </c>
      <c r="H215" s="739" t="s">
        <v>71</v>
      </c>
      <c r="I215" s="739">
        <v>244</v>
      </c>
      <c r="J215" s="740">
        <v>225</v>
      </c>
      <c r="K215" s="317" t="s">
        <v>757</v>
      </c>
      <c r="L215" s="1044">
        <v>7800</v>
      </c>
      <c r="M215" s="318"/>
      <c r="N215" s="1006"/>
      <c r="O215" s="1052">
        <f t="shared" si="305"/>
        <v>7800</v>
      </c>
      <c r="P215" s="329"/>
      <c r="Q215" s="319">
        <v>0</v>
      </c>
      <c r="R215" s="329"/>
      <c r="S215" s="319">
        <v>0</v>
      </c>
      <c r="T215" s="329"/>
      <c r="U215" s="335"/>
      <c r="V215" s="596" t="s">
        <v>591</v>
      </c>
      <c r="W215" s="596" t="s">
        <v>693</v>
      </c>
      <c r="X215" s="596" t="s">
        <v>694</v>
      </c>
      <c r="Z215" s="336">
        <f t="shared" si="323"/>
        <v>4500</v>
      </c>
      <c r="AA215" s="337">
        <f t="shared" si="323"/>
        <v>0</v>
      </c>
      <c r="AB215" s="338">
        <f>Z215-AA215</f>
        <v>4500</v>
      </c>
      <c r="AC215" s="336">
        <f t="shared" si="324"/>
        <v>3300</v>
      </c>
      <c r="AD215" s="337">
        <f t="shared" si="324"/>
        <v>0</v>
      </c>
      <c r="AE215" s="338">
        <f>AC215-AD215</f>
        <v>3300</v>
      </c>
      <c r="AF215" s="336">
        <f t="shared" si="325"/>
        <v>0</v>
      </c>
      <c r="AG215" s="337">
        <f t="shared" si="325"/>
        <v>0</v>
      </c>
      <c r="AH215" s="338">
        <f>AF215-AG215</f>
        <v>0</v>
      </c>
      <c r="AI215" s="336">
        <f t="shared" si="326"/>
        <v>0</v>
      </c>
      <c r="AJ215" s="337">
        <f t="shared" si="326"/>
        <v>0</v>
      </c>
      <c r="AK215" s="338">
        <f>AI215-AJ215</f>
        <v>0</v>
      </c>
      <c r="AL215" s="342"/>
      <c r="AM215" s="336">
        <f t="shared" si="327"/>
        <v>7800</v>
      </c>
      <c r="AN215" s="339">
        <f t="shared" si="327"/>
        <v>0</v>
      </c>
      <c r="AO215" s="340">
        <f>AM215-AN215</f>
        <v>7800</v>
      </c>
      <c r="AP215" s="336">
        <f t="shared" si="328"/>
        <v>7800</v>
      </c>
      <c r="AQ215" s="339">
        <f t="shared" si="328"/>
        <v>0</v>
      </c>
      <c r="AR215" s="340">
        <f>AP215-AQ215</f>
        <v>7800</v>
      </c>
      <c r="AS215" s="341">
        <f t="shared" si="329"/>
        <v>7800</v>
      </c>
      <c r="AT215" s="339">
        <f t="shared" si="329"/>
        <v>0</v>
      </c>
      <c r="AU215" s="340">
        <f>AS215-AT215</f>
        <v>7800</v>
      </c>
      <c r="AV215" s="589"/>
      <c r="AW215" s="343"/>
      <c r="AX215" s="344"/>
      <c r="AY215" s="345"/>
      <c r="AZ215" s="344"/>
      <c r="BA215" s="345">
        <v>4500</v>
      </c>
      <c r="BB215" s="346"/>
      <c r="BC215" s="347">
        <v>3300</v>
      </c>
      <c r="BD215" s="348"/>
      <c r="BE215" s="349"/>
      <c r="BF215" s="348"/>
      <c r="BG215" s="349"/>
      <c r="BH215" s="350"/>
      <c r="BI215" s="351"/>
      <c r="BJ215" s="352"/>
      <c r="BK215" s="337"/>
      <c r="BL215" s="352"/>
      <c r="BM215" s="337"/>
      <c r="BN215" s="353"/>
      <c r="BO215" s="354"/>
      <c r="BP215" s="355"/>
      <c r="BQ215" s="356"/>
      <c r="BR215" s="355"/>
      <c r="BS215" s="356"/>
      <c r="BT215" s="357"/>
    </row>
    <row r="216" spans="1:72" s="313" customFormat="1" ht="38.25">
      <c r="A216" s="287">
        <v>205</v>
      </c>
      <c r="B216" s="1146"/>
      <c r="C216" s="840"/>
      <c r="D216" s="853" t="s">
        <v>207</v>
      </c>
      <c r="E216" s="839"/>
      <c r="F216" s="821" t="s">
        <v>23</v>
      </c>
      <c r="G216" s="314">
        <v>2</v>
      </c>
      <c r="H216" s="739" t="s">
        <v>71</v>
      </c>
      <c r="I216" s="739">
        <v>244</v>
      </c>
      <c r="J216" s="740">
        <v>225</v>
      </c>
      <c r="K216" s="317" t="s">
        <v>696</v>
      </c>
      <c r="L216" s="1044">
        <v>2000</v>
      </c>
      <c r="M216" s="318"/>
      <c r="N216" s="1006"/>
      <c r="O216" s="1052">
        <f t="shared" si="305"/>
        <v>2000</v>
      </c>
      <c r="P216" s="329"/>
      <c r="Q216" s="319">
        <v>0</v>
      </c>
      <c r="R216" s="329"/>
      <c r="S216" s="319">
        <v>0</v>
      </c>
      <c r="T216" s="329"/>
      <c r="U216" s="335"/>
      <c r="V216" s="596" t="s">
        <v>698</v>
      </c>
      <c r="W216" s="596" t="s">
        <v>697</v>
      </c>
      <c r="X216" s="320"/>
      <c r="Z216" s="336">
        <f t="shared" si="323"/>
        <v>0</v>
      </c>
      <c r="AA216" s="337">
        <f t="shared" si="323"/>
        <v>0</v>
      </c>
      <c r="AB216" s="338">
        <f>Z216-AA216</f>
        <v>0</v>
      </c>
      <c r="AC216" s="336">
        <f t="shared" si="324"/>
        <v>2000</v>
      </c>
      <c r="AD216" s="337">
        <f t="shared" si="324"/>
        <v>0</v>
      </c>
      <c r="AE216" s="338">
        <f>AC216-AD216</f>
        <v>2000</v>
      </c>
      <c r="AF216" s="336">
        <f t="shared" si="325"/>
        <v>0</v>
      </c>
      <c r="AG216" s="337">
        <f t="shared" si="325"/>
        <v>0</v>
      </c>
      <c r="AH216" s="338">
        <f>AF216-AG216</f>
        <v>0</v>
      </c>
      <c r="AI216" s="336">
        <f t="shared" si="326"/>
        <v>0</v>
      </c>
      <c r="AJ216" s="337">
        <f t="shared" si="326"/>
        <v>0</v>
      </c>
      <c r="AK216" s="338">
        <f>AI216-AJ216</f>
        <v>0</v>
      </c>
      <c r="AL216" s="342"/>
      <c r="AM216" s="336">
        <f t="shared" si="327"/>
        <v>2000</v>
      </c>
      <c r="AN216" s="339">
        <f t="shared" si="327"/>
        <v>0</v>
      </c>
      <c r="AO216" s="340">
        <f>AM216-AN216</f>
        <v>2000</v>
      </c>
      <c r="AP216" s="336">
        <f t="shared" si="328"/>
        <v>2000</v>
      </c>
      <c r="AQ216" s="339">
        <f t="shared" si="328"/>
        <v>0</v>
      </c>
      <c r="AR216" s="340">
        <f>AP216-AQ216</f>
        <v>2000</v>
      </c>
      <c r="AS216" s="341">
        <f t="shared" si="329"/>
        <v>2000</v>
      </c>
      <c r="AT216" s="339">
        <f t="shared" si="329"/>
        <v>0</v>
      </c>
      <c r="AU216" s="340">
        <f>AS216-AT216</f>
        <v>2000</v>
      </c>
      <c r="AV216" s="589"/>
      <c r="AW216" s="343"/>
      <c r="AX216" s="344"/>
      <c r="AY216" s="345"/>
      <c r="AZ216" s="344"/>
      <c r="BA216" s="345"/>
      <c r="BB216" s="346"/>
      <c r="BC216" s="347">
        <v>2000</v>
      </c>
      <c r="BD216" s="348"/>
      <c r="BE216" s="349"/>
      <c r="BF216" s="348"/>
      <c r="BG216" s="349"/>
      <c r="BH216" s="350"/>
      <c r="BI216" s="351"/>
      <c r="BJ216" s="352"/>
      <c r="BK216" s="337"/>
      <c r="BL216" s="352"/>
      <c r="BM216" s="337"/>
      <c r="BN216" s="353"/>
      <c r="BO216" s="354"/>
      <c r="BP216" s="355"/>
      <c r="BQ216" s="356"/>
      <c r="BR216" s="355"/>
      <c r="BS216" s="356"/>
      <c r="BT216" s="357"/>
    </row>
    <row r="217" spans="1:72" s="313" customFormat="1" ht="25.5" outlineLevel="1">
      <c r="A217" s="287">
        <v>206</v>
      </c>
      <c r="B217" s="933"/>
      <c r="C217" s="840"/>
      <c r="D217" s="853" t="s">
        <v>207</v>
      </c>
      <c r="E217" s="839"/>
      <c r="F217" s="821" t="s">
        <v>23</v>
      </c>
      <c r="G217" s="314">
        <v>2</v>
      </c>
      <c r="H217" s="739" t="s">
        <v>71</v>
      </c>
      <c r="I217" s="739">
        <v>244</v>
      </c>
      <c r="J217" s="740">
        <v>225</v>
      </c>
      <c r="K217" s="317" t="s">
        <v>388</v>
      </c>
      <c r="L217" s="1044">
        <v>40000</v>
      </c>
      <c r="M217" s="318"/>
      <c r="N217" s="318"/>
      <c r="O217" s="1052">
        <f t="shared" si="305"/>
        <v>40000</v>
      </c>
      <c r="P217" s="570"/>
      <c r="Q217" s="336">
        <v>0</v>
      </c>
      <c r="R217" s="559"/>
      <c r="S217" s="541">
        <v>0</v>
      </c>
      <c r="T217" s="559"/>
      <c r="U217" s="335"/>
      <c r="V217" s="596" t="s">
        <v>390</v>
      </c>
      <c r="W217" s="596" t="s">
        <v>445</v>
      </c>
      <c r="X217" s="596" t="s">
        <v>446</v>
      </c>
      <c r="Z217" s="336">
        <f t="shared" si="323"/>
        <v>10000</v>
      </c>
      <c r="AA217" s="337">
        <f t="shared" si="323"/>
        <v>700</v>
      </c>
      <c r="AB217" s="338">
        <f>Z217-AA217</f>
        <v>9300</v>
      </c>
      <c r="AC217" s="336">
        <f t="shared" si="324"/>
        <v>5000</v>
      </c>
      <c r="AD217" s="337">
        <f t="shared" si="324"/>
        <v>0</v>
      </c>
      <c r="AE217" s="338">
        <f>AC217-AD217</f>
        <v>5000</v>
      </c>
      <c r="AF217" s="336">
        <f t="shared" si="325"/>
        <v>15000</v>
      </c>
      <c r="AG217" s="337">
        <f t="shared" si="325"/>
        <v>0</v>
      </c>
      <c r="AH217" s="338">
        <f>AF217-AG217</f>
        <v>15000</v>
      </c>
      <c r="AI217" s="336">
        <f t="shared" si="326"/>
        <v>10000</v>
      </c>
      <c r="AJ217" s="337">
        <f t="shared" si="326"/>
        <v>0</v>
      </c>
      <c r="AK217" s="338">
        <f>AI217-AJ217</f>
        <v>10000</v>
      </c>
      <c r="AL217" s="342"/>
      <c r="AM217" s="336">
        <f t="shared" si="327"/>
        <v>15000</v>
      </c>
      <c r="AN217" s="339">
        <f t="shared" si="327"/>
        <v>700</v>
      </c>
      <c r="AO217" s="340">
        <f>AM217-AN217</f>
        <v>14300</v>
      </c>
      <c r="AP217" s="336">
        <f t="shared" si="328"/>
        <v>30000</v>
      </c>
      <c r="AQ217" s="339">
        <f t="shared" si="328"/>
        <v>700</v>
      </c>
      <c r="AR217" s="340">
        <f>AP217-AQ217</f>
        <v>29300</v>
      </c>
      <c r="AS217" s="341">
        <f t="shared" si="329"/>
        <v>40000</v>
      </c>
      <c r="AT217" s="339">
        <f t="shared" si="329"/>
        <v>700</v>
      </c>
      <c r="AU217" s="340">
        <f>AS217-AT217</f>
        <v>39300</v>
      </c>
      <c r="AV217" s="589">
        <f t="shared" ref="AV217:AV310" si="331">L217-AS217</f>
        <v>0</v>
      </c>
      <c r="AW217" s="343"/>
      <c r="AX217" s="344"/>
      <c r="AY217" s="345">
        <v>10000</v>
      </c>
      <c r="AZ217" s="344">
        <v>700</v>
      </c>
      <c r="BA217" s="345"/>
      <c r="BB217" s="346"/>
      <c r="BC217" s="347">
        <v>1850</v>
      </c>
      <c r="BD217" s="348"/>
      <c r="BE217" s="1135">
        <f>650+800+850</f>
        <v>2300</v>
      </c>
      <c r="BF217" s="348"/>
      <c r="BG217" s="349">
        <f>1700-850</f>
        <v>850</v>
      </c>
      <c r="BH217" s="350"/>
      <c r="BI217" s="351">
        <v>5000</v>
      </c>
      <c r="BJ217" s="352"/>
      <c r="BK217" s="337">
        <v>10000</v>
      </c>
      <c r="BL217" s="352"/>
      <c r="BM217" s="337"/>
      <c r="BN217" s="353"/>
      <c r="BO217" s="354"/>
      <c r="BP217" s="355"/>
      <c r="BQ217" s="356">
        <v>10000</v>
      </c>
      <c r="BR217" s="355"/>
      <c r="BS217" s="356"/>
      <c r="BT217" s="357"/>
    </row>
    <row r="218" spans="1:72" s="358" customFormat="1" ht="31.5" customHeight="1">
      <c r="A218" s="287">
        <v>207</v>
      </c>
      <c r="B218" s="933"/>
      <c r="C218" s="850" t="s">
        <v>377</v>
      </c>
      <c r="D218" s="853" t="s">
        <v>207</v>
      </c>
      <c r="E218" s="836" t="s">
        <v>201</v>
      </c>
      <c r="F218" s="820" t="s">
        <v>23</v>
      </c>
      <c r="G218" s="360">
        <v>2</v>
      </c>
      <c r="H218" s="360" t="s">
        <v>71</v>
      </c>
      <c r="I218" s="360">
        <v>244</v>
      </c>
      <c r="J218" s="361">
        <v>225</v>
      </c>
      <c r="K218" s="532" t="s">
        <v>148</v>
      </c>
      <c r="L218" s="1023">
        <f>SUM(L219)</f>
        <v>92466.04</v>
      </c>
      <c r="M218" s="363"/>
      <c r="N218" s="363"/>
      <c r="O218" s="1051">
        <f t="shared" si="305"/>
        <v>92466.04</v>
      </c>
      <c r="P218" s="571"/>
      <c r="Q218" s="367">
        <f t="shared" ref="Q218:S218" si="332">SUM(Q219)</f>
        <v>88868.2</v>
      </c>
      <c r="R218" s="557">
        <f t="shared" si="332"/>
        <v>0</v>
      </c>
      <c r="S218" s="367">
        <f t="shared" si="332"/>
        <v>88868.21</v>
      </c>
      <c r="T218" s="557"/>
      <c r="U218" s="365"/>
      <c r="V218" s="366"/>
      <c r="W218" s="366"/>
      <c r="X218" s="366" t="e">
        <f>1-X60</f>
        <v>#VALUE!</v>
      </c>
      <c r="Z218" s="367">
        <f t="shared" si="323"/>
        <v>0</v>
      </c>
      <c r="AA218" s="363">
        <f t="shared" si="323"/>
        <v>0</v>
      </c>
      <c r="AB218" s="280">
        <f t="shared" ref="AB218" si="333">Z218-AA218</f>
        <v>0</v>
      </c>
      <c r="AC218" s="367">
        <f t="shared" si="324"/>
        <v>0</v>
      </c>
      <c r="AD218" s="363">
        <f t="shared" si="324"/>
        <v>0</v>
      </c>
      <c r="AE218" s="280">
        <f t="shared" ref="AE218" si="334">AC218-AD218</f>
        <v>0</v>
      </c>
      <c r="AF218" s="367">
        <f t="shared" si="325"/>
        <v>0</v>
      </c>
      <c r="AG218" s="363">
        <f t="shared" si="325"/>
        <v>0</v>
      </c>
      <c r="AH218" s="280">
        <f t="shared" ref="AH218" si="335">AF218-AG218</f>
        <v>0</v>
      </c>
      <c r="AI218" s="367">
        <f t="shared" si="326"/>
        <v>92466.04</v>
      </c>
      <c r="AJ218" s="363">
        <f t="shared" si="326"/>
        <v>0</v>
      </c>
      <c r="AK218" s="280">
        <f t="shared" ref="AK218" si="336">AI218-AJ218</f>
        <v>92466.04</v>
      </c>
      <c r="AL218" s="368"/>
      <c r="AM218" s="367">
        <f t="shared" si="327"/>
        <v>0</v>
      </c>
      <c r="AN218" s="363">
        <f t="shared" si="327"/>
        <v>0</v>
      </c>
      <c r="AO218" s="280">
        <f t="shared" ref="AO218" si="337">AM218-AN218</f>
        <v>0</v>
      </c>
      <c r="AP218" s="367">
        <f t="shared" si="328"/>
        <v>0</v>
      </c>
      <c r="AQ218" s="363">
        <f t="shared" si="328"/>
        <v>0</v>
      </c>
      <c r="AR218" s="280">
        <f t="shared" ref="AR218" si="338">AP218-AQ218</f>
        <v>0</v>
      </c>
      <c r="AS218" s="367">
        <f t="shared" si="329"/>
        <v>92466.04</v>
      </c>
      <c r="AT218" s="363">
        <f t="shared" si="329"/>
        <v>0</v>
      </c>
      <c r="AU218" s="280">
        <f t="shared" ref="AU218" si="339">AS218-AT218</f>
        <v>92466.04</v>
      </c>
      <c r="AV218" s="588">
        <f t="shared" si="331"/>
        <v>0</v>
      </c>
      <c r="AW218" s="367">
        <f t="shared" ref="AW218:BS218" si="340">SUM(AW219)</f>
        <v>0</v>
      </c>
      <c r="AX218" s="363">
        <f t="shared" si="340"/>
        <v>0</v>
      </c>
      <c r="AY218" s="363">
        <f t="shared" si="340"/>
        <v>0</v>
      </c>
      <c r="AZ218" s="363">
        <f t="shared" si="340"/>
        <v>0</v>
      </c>
      <c r="BA218" s="363">
        <f t="shared" si="340"/>
        <v>0</v>
      </c>
      <c r="BB218" s="369">
        <f t="shared" si="340"/>
        <v>0</v>
      </c>
      <c r="BC218" s="367">
        <f t="shared" si="340"/>
        <v>0</v>
      </c>
      <c r="BD218" s="363">
        <f t="shared" si="340"/>
        <v>0</v>
      </c>
      <c r="BE218" s="363">
        <f t="shared" si="340"/>
        <v>0</v>
      </c>
      <c r="BF218" s="363">
        <f t="shared" si="340"/>
        <v>0</v>
      </c>
      <c r="BG218" s="363">
        <f t="shared" si="340"/>
        <v>0</v>
      </c>
      <c r="BH218" s="369">
        <f t="shared" si="340"/>
        <v>0</v>
      </c>
      <c r="BI218" s="367">
        <f t="shared" si="340"/>
        <v>0</v>
      </c>
      <c r="BJ218" s="363">
        <f t="shared" si="340"/>
        <v>0</v>
      </c>
      <c r="BK218" s="363">
        <f t="shared" si="340"/>
        <v>0</v>
      </c>
      <c r="BL218" s="363">
        <f t="shared" si="340"/>
        <v>0</v>
      </c>
      <c r="BM218" s="363">
        <f t="shared" si="340"/>
        <v>0</v>
      </c>
      <c r="BN218" s="369">
        <f t="shared" si="340"/>
        <v>0</v>
      </c>
      <c r="BO218" s="367">
        <f t="shared" si="340"/>
        <v>0</v>
      </c>
      <c r="BP218" s="363">
        <f t="shared" si="340"/>
        <v>0</v>
      </c>
      <c r="BQ218" s="363">
        <f t="shared" si="340"/>
        <v>0</v>
      </c>
      <c r="BR218" s="363">
        <f t="shared" si="340"/>
        <v>0</v>
      </c>
      <c r="BS218" s="363">
        <f t="shared" si="340"/>
        <v>92466.04</v>
      </c>
      <c r="BT218" s="280">
        <f t="shared" ref="BT218" si="341">SUM(BT219:BT224)</f>
        <v>0</v>
      </c>
    </row>
    <row r="219" spans="1:72" s="313" customFormat="1" ht="25.5" outlineLevel="1">
      <c r="A219" s="287">
        <v>208</v>
      </c>
      <c r="B219" s="933"/>
      <c r="C219" s="840"/>
      <c r="D219" s="853" t="s">
        <v>207</v>
      </c>
      <c r="E219" s="839"/>
      <c r="F219" s="821" t="s">
        <v>23</v>
      </c>
      <c r="G219" s="314">
        <v>2</v>
      </c>
      <c r="H219" s="739" t="s">
        <v>71</v>
      </c>
      <c r="I219" s="739">
        <v>244</v>
      </c>
      <c r="J219" s="740">
        <v>225</v>
      </c>
      <c r="K219" s="533" t="s">
        <v>209</v>
      </c>
      <c r="L219" s="1025">
        <v>92466.04</v>
      </c>
      <c r="M219" s="318"/>
      <c r="N219" s="318"/>
      <c r="O219" s="1052">
        <f t="shared" si="305"/>
        <v>92466.04</v>
      </c>
      <c r="P219" s="570"/>
      <c r="Q219" s="336">
        <v>88868.2</v>
      </c>
      <c r="R219" s="559"/>
      <c r="S219" s="541">
        <v>88868.21</v>
      </c>
      <c r="T219" s="559"/>
      <c r="U219" s="335"/>
      <c r="V219" s="320" t="s">
        <v>208</v>
      </c>
      <c r="W219" s="388"/>
      <c r="X219" s="388"/>
      <c r="Z219" s="336">
        <f t="shared" si="323"/>
        <v>0</v>
      </c>
      <c r="AA219" s="337">
        <f t="shared" si="323"/>
        <v>0</v>
      </c>
      <c r="AB219" s="338">
        <f t="shared" si="307"/>
        <v>0</v>
      </c>
      <c r="AC219" s="336">
        <f t="shared" si="324"/>
        <v>0</v>
      </c>
      <c r="AD219" s="337">
        <f t="shared" si="324"/>
        <v>0</v>
      </c>
      <c r="AE219" s="338">
        <f t="shared" si="309"/>
        <v>0</v>
      </c>
      <c r="AF219" s="336">
        <f t="shared" si="325"/>
        <v>0</v>
      </c>
      <c r="AG219" s="337">
        <f t="shared" si="325"/>
        <v>0</v>
      </c>
      <c r="AH219" s="338">
        <f t="shared" si="311"/>
        <v>0</v>
      </c>
      <c r="AI219" s="336">
        <f t="shared" si="326"/>
        <v>92466.04</v>
      </c>
      <c r="AJ219" s="337">
        <f t="shared" si="326"/>
        <v>0</v>
      </c>
      <c r="AK219" s="338">
        <f t="shared" si="313"/>
        <v>92466.04</v>
      </c>
      <c r="AL219" s="342"/>
      <c r="AM219" s="336">
        <f t="shared" si="327"/>
        <v>0</v>
      </c>
      <c r="AN219" s="339">
        <f t="shared" si="327"/>
        <v>0</v>
      </c>
      <c r="AO219" s="340">
        <f t="shared" si="315"/>
        <v>0</v>
      </c>
      <c r="AP219" s="336">
        <f t="shared" si="328"/>
        <v>0</v>
      </c>
      <c r="AQ219" s="339">
        <f t="shared" si="328"/>
        <v>0</v>
      </c>
      <c r="AR219" s="340">
        <f t="shared" si="301"/>
        <v>0</v>
      </c>
      <c r="AS219" s="341">
        <f t="shared" si="329"/>
        <v>92466.04</v>
      </c>
      <c r="AT219" s="339">
        <f t="shared" si="329"/>
        <v>0</v>
      </c>
      <c r="AU219" s="340">
        <f t="shared" si="303"/>
        <v>92466.04</v>
      </c>
      <c r="AV219" s="589">
        <f t="shared" si="331"/>
        <v>0</v>
      </c>
      <c r="AW219" s="343"/>
      <c r="AX219" s="344"/>
      <c r="AY219" s="345"/>
      <c r="AZ219" s="344"/>
      <c r="BA219" s="345"/>
      <c r="BB219" s="346"/>
      <c r="BC219" s="347"/>
      <c r="BD219" s="348"/>
      <c r="BE219" s="349"/>
      <c r="BF219" s="348"/>
      <c r="BG219" s="349"/>
      <c r="BH219" s="350"/>
      <c r="BI219" s="351"/>
      <c r="BJ219" s="352"/>
      <c r="BK219" s="337"/>
      <c r="BL219" s="352"/>
      <c r="BM219" s="337"/>
      <c r="BN219" s="353"/>
      <c r="BO219" s="354"/>
      <c r="BP219" s="355"/>
      <c r="BQ219" s="356"/>
      <c r="BR219" s="355"/>
      <c r="BS219" s="356">
        <v>92466.04</v>
      </c>
      <c r="BT219" s="357"/>
    </row>
    <row r="220" spans="1:72" s="358" customFormat="1" ht="47.25">
      <c r="A220" s="287">
        <v>209</v>
      </c>
      <c r="B220" s="933"/>
      <c r="C220" s="850" t="s">
        <v>377</v>
      </c>
      <c r="D220" s="838"/>
      <c r="E220" s="836" t="s">
        <v>201</v>
      </c>
      <c r="F220" s="820" t="s">
        <v>23</v>
      </c>
      <c r="G220" s="360">
        <v>2</v>
      </c>
      <c r="H220" s="360" t="s">
        <v>71</v>
      </c>
      <c r="I220" s="360">
        <v>112</v>
      </c>
      <c r="J220" s="361">
        <v>226</v>
      </c>
      <c r="K220" s="532" t="s">
        <v>769</v>
      </c>
      <c r="L220" s="1023">
        <f>L221</f>
        <v>39692</v>
      </c>
      <c r="M220" s="363"/>
      <c r="N220" s="363">
        <f>N221</f>
        <v>0</v>
      </c>
      <c r="O220" s="1051">
        <f t="shared" si="305"/>
        <v>39692</v>
      </c>
      <c r="P220" s="571"/>
      <c r="Q220" s="367">
        <f>Q221</f>
        <v>0</v>
      </c>
      <c r="R220" s="557"/>
      <c r="S220" s="367">
        <f>S221</f>
        <v>0</v>
      </c>
      <c r="T220" s="557"/>
      <c r="U220" s="365"/>
      <c r="V220" s="366"/>
      <c r="W220" s="366"/>
      <c r="X220" s="366"/>
      <c r="Z220" s="367">
        <f t="shared" si="323"/>
        <v>0</v>
      </c>
      <c r="AA220" s="363">
        <f t="shared" si="323"/>
        <v>0</v>
      </c>
      <c r="AB220" s="280">
        <f t="shared" si="307"/>
        <v>0</v>
      </c>
      <c r="AC220" s="367">
        <f t="shared" si="324"/>
        <v>28296</v>
      </c>
      <c r="AD220" s="363">
        <f t="shared" si="324"/>
        <v>0</v>
      </c>
      <c r="AE220" s="280">
        <f t="shared" si="309"/>
        <v>28296</v>
      </c>
      <c r="AF220" s="367">
        <f t="shared" si="325"/>
        <v>0</v>
      </c>
      <c r="AG220" s="363">
        <f t="shared" si="325"/>
        <v>0</v>
      </c>
      <c r="AH220" s="280">
        <f t="shared" si="311"/>
        <v>0</v>
      </c>
      <c r="AI220" s="367">
        <f t="shared" si="326"/>
        <v>0</v>
      </c>
      <c r="AJ220" s="363">
        <f t="shared" si="326"/>
        <v>0</v>
      </c>
      <c r="AK220" s="280">
        <f t="shared" si="313"/>
        <v>0</v>
      </c>
      <c r="AL220" s="368"/>
      <c r="AM220" s="367">
        <f t="shared" si="327"/>
        <v>28296</v>
      </c>
      <c r="AN220" s="363">
        <f t="shared" si="327"/>
        <v>0</v>
      </c>
      <c r="AO220" s="280">
        <f t="shared" si="315"/>
        <v>28296</v>
      </c>
      <c r="AP220" s="367">
        <f t="shared" si="328"/>
        <v>28296</v>
      </c>
      <c r="AQ220" s="363">
        <f t="shared" si="328"/>
        <v>0</v>
      </c>
      <c r="AR220" s="280">
        <f t="shared" si="301"/>
        <v>28296</v>
      </c>
      <c r="AS220" s="367">
        <f>Z220+AC220+AF220+AI220</f>
        <v>28296</v>
      </c>
      <c r="AT220" s="363">
        <f t="shared" si="329"/>
        <v>0</v>
      </c>
      <c r="AU220" s="280">
        <f t="shared" si="303"/>
        <v>28296</v>
      </c>
      <c r="AV220" s="588">
        <f t="shared" si="331"/>
        <v>11396</v>
      </c>
      <c r="AW220" s="367">
        <f>AW221</f>
        <v>0</v>
      </c>
      <c r="AX220" s="367">
        <f t="shared" ref="AX220:BT220" si="342">AX221</f>
        <v>0</v>
      </c>
      <c r="AY220" s="367">
        <f t="shared" si="342"/>
        <v>0</v>
      </c>
      <c r="AZ220" s="367">
        <f t="shared" si="342"/>
        <v>0</v>
      </c>
      <c r="BA220" s="367">
        <f t="shared" si="342"/>
        <v>0</v>
      </c>
      <c r="BB220" s="367">
        <f t="shared" si="342"/>
        <v>0</v>
      </c>
      <c r="BC220" s="367">
        <f t="shared" si="342"/>
        <v>12000</v>
      </c>
      <c r="BD220" s="367">
        <f t="shared" si="342"/>
        <v>0</v>
      </c>
      <c r="BE220" s="367">
        <f t="shared" si="342"/>
        <v>16296</v>
      </c>
      <c r="BF220" s="367">
        <f t="shared" si="342"/>
        <v>0</v>
      </c>
      <c r="BG220" s="367">
        <f t="shared" si="342"/>
        <v>0</v>
      </c>
      <c r="BH220" s="367">
        <f t="shared" si="342"/>
        <v>0</v>
      </c>
      <c r="BI220" s="367">
        <f t="shared" si="342"/>
        <v>0</v>
      </c>
      <c r="BJ220" s="367">
        <f t="shared" si="342"/>
        <v>0</v>
      </c>
      <c r="BK220" s="367">
        <f t="shared" si="342"/>
        <v>0</v>
      </c>
      <c r="BL220" s="367">
        <f t="shared" si="342"/>
        <v>0</v>
      </c>
      <c r="BM220" s="367">
        <f t="shared" si="342"/>
        <v>0</v>
      </c>
      <c r="BN220" s="367">
        <f t="shared" si="342"/>
        <v>0</v>
      </c>
      <c r="BO220" s="367">
        <f t="shared" si="342"/>
        <v>0</v>
      </c>
      <c r="BP220" s="367">
        <f t="shared" si="342"/>
        <v>0</v>
      </c>
      <c r="BQ220" s="367">
        <f t="shared" si="342"/>
        <v>0</v>
      </c>
      <c r="BR220" s="367">
        <f t="shared" si="342"/>
        <v>0</v>
      </c>
      <c r="BS220" s="367">
        <f t="shared" si="342"/>
        <v>0</v>
      </c>
      <c r="BT220" s="367">
        <f t="shared" si="342"/>
        <v>0</v>
      </c>
    </row>
    <row r="221" spans="1:72" s="313" customFormat="1" ht="25.5" outlineLevel="1">
      <c r="A221" s="287">
        <v>210</v>
      </c>
      <c r="B221" s="1148"/>
      <c r="C221" s="840"/>
      <c r="D221" s="841"/>
      <c r="E221" s="839"/>
      <c r="F221" s="821" t="s">
        <v>23</v>
      </c>
      <c r="G221" s="314">
        <v>2</v>
      </c>
      <c r="H221" s="739" t="s">
        <v>71</v>
      </c>
      <c r="I221" s="739">
        <v>112</v>
      </c>
      <c r="J221" s="740">
        <v>212</v>
      </c>
      <c r="K221" s="533" t="s">
        <v>768</v>
      </c>
      <c r="L221" s="1025">
        <v>39692</v>
      </c>
      <c r="M221" s="318"/>
      <c r="N221" s="318"/>
      <c r="O221" s="1052">
        <f t="shared" si="305"/>
        <v>39692</v>
      </c>
      <c r="P221" s="570"/>
      <c r="Q221" s="341">
        <v>0</v>
      </c>
      <c r="R221" s="559"/>
      <c r="S221" s="540">
        <v>0</v>
      </c>
      <c r="T221" s="559"/>
      <c r="U221" s="335"/>
      <c r="V221" s="320"/>
      <c r="W221" s="320"/>
      <c r="X221" s="320"/>
      <c r="Z221" s="336">
        <f t="shared" si="323"/>
        <v>0</v>
      </c>
      <c r="AA221" s="337">
        <f t="shared" si="323"/>
        <v>0</v>
      </c>
      <c r="AB221" s="338">
        <f t="shared" si="307"/>
        <v>0</v>
      </c>
      <c r="AC221" s="336">
        <f t="shared" si="324"/>
        <v>28296</v>
      </c>
      <c r="AD221" s="337">
        <f t="shared" si="324"/>
        <v>0</v>
      </c>
      <c r="AE221" s="338">
        <f t="shared" si="309"/>
        <v>28296</v>
      </c>
      <c r="AF221" s="336">
        <f t="shared" si="325"/>
        <v>0</v>
      </c>
      <c r="AG221" s="337">
        <f t="shared" si="325"/>
        <v>0</v>
      </c>
      <c r="AH221" s="338">
        <f t="shared" si="311"/>
        <v>0</v>
      </c>
      <c r="AI221" s="336">
        <f t="shared" si="326"/>
        <v>0</v>
      </c>
      <c r="AJ221" s="337">
        <f t="shared" si="326"/>
        <v>0</v>
      </c>
      <c r="AK221" s="338">
        <f t="shared" si="313"/>
        <v>0</v>
      </c>
      <c r="AL221" s="342"/>
      <c r="AM221" s="336">
        <f t="shared" si="327"/>
        <v>28296</v>
      </c>
      <c r="AN221" s="339">
        <f t="shared" si="327"/>
        <v>0</v>
      </c>
      <c r="AO221" s="340">
        <f t="shared" si="315"/>
        <v>28296</v>
      </c>
      <c r="AP221" s="336">
        <f t="shared" si="328"/>
        <v>28296</v>
      </c>
      <c r="AQ221" s="339">
        <f t="shared" si="328"/>
        <v>0</v>
      </c>
      <c r="AR221" s="340">
        <f t="shared" si="301"/>
        <v>28296</v>
      </c>
      <c r="AS221" s="341">
        <f t="shared" ref="AS221" si="343">Z221+AC221+AF221+AI221</f>
        <v>28296</v>
      </c>
      <c r="AT221" s="339">
        <f t="shared" si="329"/>
        <v>0</v>
      </c>
      <c r="AU221" s="340">
        <f t="shared" si="303"/>
        <v>28296</v>
      </c>
      <c r="AV221" s="589">
        <f t="shared" si="331"/>
        <v>11396</v>
      </c>
      <c r="AW221" s="343"/>
      <c r="AX221" s="344"/>
      <c r="AY221" s="345"/>
      <c r="AZ221" s="344"/>
      <c r="BA221" s="345"/>
      <c r="BB221" s="346"/>
      <c r="BC221" s="347">
        <v>12000</v>
      </c>
      <c r="BD221" s="348"/>
      <c r="BE221" s="1135">
        <f>15396+450+450</f>
        <v>16296</v>
      </c>
      <c r="BF221" s="348"/>
      <c r="BG221" s="349"/>
      <c r="BH221" s="350"/>
      <c r="BI221" s="351"/>
      <c r="BJ221" s="352"/>
      <c r="BK221" s="337"/>
      <c r="BL221" s="352"/>
      <c r="BM221" s="337"/>
      <c r="BN221" s="353"/>
      <c r="BO221" s="354"/>
      <c r="BP221" s="355"/>
      <c r="BQ221" s="356"/>
      <c r="BR221" s="355"/>
      <c r="BS221" s="356"/>
      <c r="BT221" s="357"/>
    </row>
    <row r="222" spans="1:72" s="358" customFormat="1" ht="31.5" customHeight="1">
      <c r="A222" s="287">
        <v>211</v>
      </c>
      <c r="B222" s="933"/>
      <c r="C222" s="850" t="s">
        <v>377</v>
      </c>
      <c r="D222" s="853" t="s">
        <v>207</v>
      </c>
      <c r="E222" s="836" t="s">
        <v>201</v>
      </c>
      <c r="F222" s="820" t="s">
        <v>23</v>
      </c>
      <c r="G222" s="360">
        <v>2</v>
      </c>
      <c r="H222" s="360" t="s">
        <v>71</v>
      </c>
      <c r="I222" s="360">
        <v>244</v>
      </c>
      <c r="J222" s="361">
        <v>226</v>
      </c>
      <c r="K222" s="532" t="s">
        <v>150</v>
      </c>
      <c r="L222" s="1023">
        <f>L223</f>
        <v>358197.09</v>
      </c>
      <c r="M222" s="363"/>
      <c r="N222" s="363"/>
      <c r="O222" s="1051">
        <f t="shared" si="305"/>
        <v>358197.09</v>
      </c>
      <c r="P222" s="571"/>
      <c r="Q222" s="367">
        <f>Q223</f>
        <v>450378.96</v>
      </c>
      <c r="R222" s="557"/>
      <c r="S222" s="367">
        <f>S223</f>
        <v>480483.55</v>
      </c>
      <c r="T222" s="557"/>
      <c r="U222" s="365"/>
      <c r="V222" s="366"/>
      <c r="W222" s="366"/>
      <c r="X222" s="391">
        <f>1-X67</f>
        <v>0.54630000000000001</v>
      </c>
      <c r="Z222" s="367">
        <f t="shared" si="323"/>
        <v>450</v>
      </c>
      <c r="AA222" s="363">
        <f t="shared" si="323"/>
        <v>0</v>
      </c>
      <c r="AB222" s="280">
        <f t="shared" si="307"/>
        <v>450</v>
      </c>
      <c r="AC222" s="367">
        <f t="shared" si="324"/>
        <v>0</v>
      </c>
      <c r="AD222" s="363">
        <f t="shared" si="324"/>
        <v>0</v>
      </c>
      <c r="AE222" s="280">
        <f t="shared" si="309"/>
        <v>0</v>
      </c>
      <c r="AF222" s="367">
        <f t="shared" si="325"/>
        <v>84066.29</v>
      </c>
      <c r="AG222" s="363">
        <f t="shared" si="325"/>
        <v>0</v>
      </c>
      <c r="AH222" s="280">
        <f t="shared" si="311"/>
        <v>84066.29</v>
      </c>
      <c r="AI222" s="367">
        <f t="shared" si="326"/>
        <v>273680.8</v>
      </c>
      <c r="AJ222" s="363">
        <f t="shared" si="326"/>
        <v>0</v>
      </c>
      <c r="AK222" s="280">
        <f t="shared" si="313"/>
        <v>273680.8</v>
      </c>
      <c r="AL222" s="368"/>
      <c r="AM222" s="367">
        <f t="shared" si="327"/>
        <v>450</v>
      </c>
      <c r="AN222" s="363">
        <f t="shared" si="327"/>
        <v>0</v>
      </c>
      <c r="AO222" s="280">
        <f t="shared" si="315"/>
        <v>450</v>
      </c>
      <c r="AP222" s="367">
        <f t="shared" si="328"/>
        <v>84516.29</v>
      </c>
      <c r="AQ222" s="363">
        <f t="shared" si="328"/>
        <v>0</v>
      </c>
      <c r="AR222" s="280">
        <f t="shared" si="301"/>
        <v>84516.29</v>
      </c>
      <c r="AS222" s="367">
        <f t="shared" si="329"/>
        <v>358197.09</v>
      </c>
      <c r="AT222" s="363">
        <f t="shared" si="329"/>
        <v>0</v>
      </c>
      <c r="AU222" s="280">
        <f t="shared" si="303"/>
        <v>358197.09</v>
      </c>
      <c r="AV222" s="588">
        <f t="shared" si="331"/>
        <v>0</v>
      </c>
      <c r="AW222" s="367">
        <f>AW223</f>
        <v>0</v>
      </c>
      <c r="AX222" s="363">
        <f t="shared" ref="AX222:BT222" si="344">AX223</f>
        <v>0</v>
      </c>
      <c r="AY222" s="363">
        <f t="shared" si="344"/>
        <v>0</v>
      </c>
      <c r="AZ222" s="363">
        <f t="shared" si="344"/>
        <v>0</v>
      </c>
      <c r="BA222" s="363">
        <f t="shared" si="344"/>
        <v>450</v>
      </c>
      <c r="BB222" s="369">
        <f t="shared" si="344"/>
        <v>0</v>
      </c>
      <c r="BC222" s="367">
        <f t="shared" si="344"/>
        <v>0</v>
      </c>
      <c r="BD222" s="363">
        <f t="shared" si="344"/>
        <v>0</v>
      </c>
      <c r="BE222" s="363">
        <f t="shared" si="344"/>
        <v>0</v>
      </c>
      <c r="BF222" s="363">
        <f t="shared" si="344"/>
        <v>0</v>
      </c>
      <c r="BG222" s="363">
        <f t="shared" si="344"/>
        <v>0</v>
      </c>
      <c r="BH222" s="369">
        <f t="shared" si="344"/>
        <v>0</v>
      </c>
      <c r="BI222" s="367">
        <f t="shared" si="344"/>
        <v>0</v>
      </c>
      <c r="BJ222" s="363">
        <f t="shared" si="344"/>
        <v>0</v>
      </c>
      <c r="BK222" s="363">
        <f t="shared" si="344"/>
        <v>31266.29</v>
      </c>
      <c r="BL222" s="363">
        <f t="shared" si="344"/>
        <v>0</v>
      </c>
      <c r="BM222" s="363">
        <f t="shared" si="344"/>
        <v>52800</v>
      </c>
      <c r="BN222" s="369">
        <f t="shared" si="344"/>
        <v>0</v>
      </c>
      <c r="BO222" s="367">
        <f t="shared" si="344"/>
        <v>0</v>
      </c>
      <c r="BP222" s="363">
        <f t="shared" si="344"/>
        <v>0</v>
      </c>
      <c r="BQ222" s="363">
        <f t="shared" si="344"/>
        <v>0</v>
      </c>
      <c r="BR222" s="363">
        <f t="shared" si="344"/>
        <v>0</v>
      </c>
      <c r="BS222" s="363">
        <f t="shared" si="344"/>
        <v>273680.8</v>
      </c>
      <c r="BT222" s="280">
        <f t="shared" si="344"/>
        <v>0</v>
      </c>
    </row>
    <row r="223" spans="1:72" s="313" customFormat="1" ht="51" outlineLevel="1">
      <c r="A223" s="287">
        <v>212</v>
      </c>
      <c r="B223" s="933"/>
      <c r="C223" s="840"/>
      <c r="D223" s="853" t="s">
        <v>207</v>
      </c>
      <c r="E223" s="839"/>
      <c r="F223" s="821" t="s">
        <v>23</v>
      </c>
      <c r="G223" s="314">
        <v>2</v>
      </c>
      <c r="H223" s="739" t="s">
        <v>71</v>
      </c>
      <c r="I223" s="739">
        <v>244</v>
      </c>
      <c r="J223" s="740">
        <v>226</v>
      </c>
      <c r="K223" s="533" t="s">
        <v>267</v>
      </c>
      <c r="L223" s="1025">
        <f>427623.5-69426.41</f>
        <v>358197.09</v>
      </c>
      <c r="M223" s="318"/>
      <c r="N223" s="318"/>
      <c r="O223" s="1052">
        <f t="shared" si="305"/>
        <v>358197.09</v>
      </c>
      <c r="P223" s="570"/>
      <c r="Q223" s="336">
        <f>522589.64-72210.68</f>
        <v>450378.96</v>
      </c>
      <c r="R223" s="559"/>
      <c r="S223" s="541">
        <f>563177.71-82694.16</f>
        <v>480483.55</v>
      </c>
      <c r="T223" s="559"/>
      <c r="U223" s="335"/>
      <c r="V223" s="596" t="s">
        <v>268</v>
      </c>
      <c r="W223" s="597" t="s">
        <v>465</v>
      </c>
      <c r="X223" s="597" t="s">
        <v>416</v>
      </c>
      <c r="Z223" s="336">
        <f t="shared" si="323"/>
        <v>450</v>
      </c>
      <c r="AA223" s="337">
        <f t="shared" si="323"/>
        <v>0</v>
      </c>
      <c r="AB223" s="338">
        <f t="shared" si="307"/>
        <v>450</v>
      </c>
      <c r="AC223" s="336">
        <f t="shared" si="324"/>
        <v>0</v>
      </c>
      <c r="AD223" s="337">
        <f t="shared" si="324"/>
        <v>0</v>
      </c>
      <c r="AE223" s="338">
        <f t="shared" si="309"/>
        <v>0</v>
      </c>
      <c r="AF223" s="336">
        <f t="shared" si="325"/>
        <v>84066.29</v>
      </c>
      <c r="AG223" s="337">
        <f t="shared" si="325"/>
        <v>0</v>
      </c>
      <c r="AH223" s="338">
        <f t="shared" si="311"/>
        <v>84066.29</v>
      </c>
      <c r="AI223" s="336">
        <f t="shared" si="326"/>
        <v>273680.8</v>
      </c>
      <c r="AJ223" s="337">
        <f t="shared" si="326"/>
        <v>0</v>
      </c>
      <c r="AK223" s="338">
        <f t="shared" si="313"/>
        <v>273680.8</v>
      </c>
      <c r="AL223" s="342"/>
      <c r="AM223" s="336">
        <f t="shared" si="327"/>
        <v>450</v>
      </c>
      <c r="AN223" s="339">
        <f t="shared" si="327"/>
        <v>0</v>
      </c>
      <c r="AO223" s="340">
        <f t="shared" si="315"/>
        <v>450</v>
      </c>
      <c r="AP223" s="336">
        <f t="shared" si="328"/>
        <v>84516.29</v>
      </c>
      <c r="AQ223" s="339">
        <f t="shared" si="328"/>
        <v>0</v>
      </c>
      <c r="AR223" s="340">
        <f t="shared" si="301"/>
        <v>84516.29</v>
      </c>
      <c r="AS223" s="341">
        <f t="shared" si="329"/>
        <v>358197.09</v>
      </c>
      <c r="AT223" s="339">
        <f t="shared" si="329"/>
        <v>0</v>
      </c>
      <c r="AU223" s="340">
        <f t="shared" si="303"/>
        <v>358197.09</v>
      </c>
      <c r="AV223" s="589">
        <f t="shared" si="331"/>
        <v>0</v>
      </c>
      <c r="AW223" s="343"/>
      <c r="AX223" s="344"/>
      <c r="AY223" s="345"/>
      <c r="AZ223" s="344"/>
      <c r="BA223" s="345">
        <v>450</v>
      </c>
      <c r="BB223" s="346"/>
      <c r="BC223" s="347"/>
      <c r="BD223" s="348"/>
      <c r="BE223" s="349"/>
      <c r="BF223" s="348"/>
      <c r="BG223" s="349"/>
      <c r="BH223" s="350"/>
      <c r="BI223" s="351"/>
      <c r="BJ223" s="352"/>
      <c r="BK223" s="351">
        <f>(150*12*27+150*4*8)-22133.71</f>
        <v>31266.29</v>
      </c>
      <c r="BL223" s="352"/>
      <c r="BM223" s="337">
        <f>150*12*26+150*5*8</f>
        <v>52800</v>
      </c>
      <c r="BN223" s="353"/>
      <c r="BO223" s="354"/>
      <c r="BP223" s="355"/>
      <c r="BQ223" s="356"/>
      <c r="BR223" s="355"/>
      <c r="BS223" s="356">
        <v>273680.8</v>
      </c>
      <c r="BT223" s="357"/>
    </row>
    <row r="224" spans="1:72" s="358" customFormat="1" ht="31.5" customHeight="1">
      <c r="A224" s="287">
        <v>213</v>
      </c>
      <c r="B224" s="933"/>
      <c r="C224" s="850" t="s">
        <v>377</v>
      </c>
      <c r="D224" s="838"/>
      <c r="E224" s="836" t="s">
        <v>201</v>
      </c>
      <c r="F224" s="820" t="s">
        <v>23</v>
      </c>
      <c r="G224" s="360">
        <v>2</v>
      </c>
      <c r="H224" s="360" t="s">
        <v>71</v>
      </c>
      <c r="I224" s="360">
        <v>244</v>
      </c>
      <c r="J224" s="361">
        <v>226</v>
      </c>
      <c r="K224" s="532" t="s">
        <v>538</v>
      </c>
      <c r="L224" s="1023">
        <f>SUM(L225:L245)</f>
        <v>2285652.94</v>
      </c>
      <c r="M224" s="363">
        <f>SUM(M225:M245)</f>
        <v>35000</v>
      </c>
      <c r="N224" s="363">
        <f>SUM(N225:N245)</f>
        <v>0</v>
      </c>
      <c r="O224" s="1051">
        <f t="shared" si="305"/>
        <v>2285652.94</v>
      </c>
      <c r="P224" s="571"/>
      <c r="Q224" s="367">
        <f>SUM(Q225:Q245)</f>
        <v>2662888.88</v>
      </c>
      <c r="R224" s="557"/>
      <c r="S224" s="539">
        <f>SUM(S225:S245)</f>
        <v>2675018.4700000002</v>
      </c>
      <c r="T224" s="557"/>
      <c r="U224" s="365"/>
      <c r="V224" s="366"/>
      <c r="W224" s="366"/>
      <c r="X224" s="366"/>
      <c r="Z224" s="367">
        <f t="shared" si="323"/>
        <v>774571.96</v>
      </c>
      <c r="AA224" s="363">
        <f t="shared" si="323"/>
        <v>315471.96000000002</v>
      </c>
      <c r="AB224" s="280">
        <f t="shared" si="307"/>
        <v>459100</v>
      </c>
      <c r="AC224" s="367">
        <f t="shared" si="324"/>
        <v>696390.11</v>
      </c>
      <c r="AD224" s="363">
        <f t="shared" si="324"/>
        <v>8400</v>
      </c>
      <c r="AE224" s="280">
        <f t="shared" si="309"/>
        <v>687990.11</v>
      </c>
      <c r="AF224" s="367">
        <f t="shared" si="325"/>
        <v>170879.91</v>
      </c>
      <c r="AG224" s="363">
        <f t="shared" si="325"/>
        <v>0</v>
      </c>
      <c r="AH224" s="280">
        <f t="shared" si="311"/>
        <v>170879.91</v>
      </c>
      <c r="AI224" s="367">
        <f t="shared" si="326"/>
        <v>491389.2</v>
      </c>
      <c r="AJ224" s="363">
        <f t="shared" si="326"/>
        <v>0</v>
      </c>
      <c r="AK224" s="280">
        <f t="shared" si="313"/>
        <v>491389.2</v>
      </c>
      <c r="AL224" s="368"/>
      <c r="AM224" s="367">
        <f t="shared" si="327"/>
        <v>1470962.07</v>
      </c>
      <c r="AN224" s="363">
        <f t="shared" si="327"/>
        <v>323871.96000000002</v>
      </c>
      <c r="AO224" s="280">
        <f t="shared" si="315"/>
        <v>1147090.1100000001</v>
      </c>
      <c r="AP224" s="367">
        <f t="shared" si="328"/>
        <v>1641841.98</v>
      </c>
      <c r="AQ224" s="363">
        <f t="shared" si="328"/>
        <v>323871.96000000002</v>
      </c>
      <c r="AR224" s="280">
        <f t="shared" si="301"/>
        <v>1317970.02</v>
      </c>
      <c r="AS224" s="367">
        <f t="shared" si="329"/>
        <v>2133231.1800000002</v>
      </c>
      <c r="AT224" s="363">
        <f t="shared" si="329"/>
        <v>323871.96000000002</v>
      </c>
      <c r="AU224" s="280">
        <f t="shared" si="303"/>
        <v>1809359.22</v>
      </c>
      <c r="AV224" s="588">
        <f t="shared" si="331"/>
        <v>152421.76000000001</v>
      </c>
      <c r="AW224" s="367">
        <f t="shared" ref="AW224:BT224" si="345">SUM(AW225:AW245)</f>
        <v>0</v>
      </c>
      <c r="AX224" s="363">
        <f t="shared" si="345"/>
        <v>0</v>
      </c>
      <c r="AY224" s="363">
        <f t="shared" si="345"/>
        <v>17709</v>
      </c>
      <c r="AZ224" s="363">
        <f t="shared" si="345"/>
        <v>266709</v>
      </c>
      <c r="BA224" s="363">
        <f t="shared" si="345"/>
        <v>756862.96</v>
      </c>
      <c r="BB224" s="369">
        <f t="shared" si="345"/>
        <v>48762.96</v>
      </c>
      <c r="BC224" s="367">
        <f t="shared" si="345"/>
        <v>124819.1</v>
      </c>
      <c r="BD224" s="363">
        <f t="shared" si="345"/>
        <v>8400</v>
      </c>
      <c r="BE224" s="363">
        <f t="shared" si="345"/>
        <v>396138</v>
      </c>
      <c r="BF224" s="363">
        <f t="shared" si="345"/>
        <v>0</v>
      </c>
      <c r="BG224" s="363">
        <f t="shared" si="345"/>
        <v>175433.01</v>
      </c>
      <c r="BH224" s="369">
        <f t="shared" si="345"/>
        <v>0</v>
      </c>
      <c r="BI224" s="367">
        <f t="shared" si="345"/>
        <v>113879.91</v>
      </c>
      <c r="BJ224" s="363">
        <f t="shared" si="345"/>
        <v>0</v>
      </c>
      <c r="BK224" s="363">
        <f t="shared" si="345"/>
        <v>46000</v>
      </c>
      <c r="BL224" s="363">
        <f t="shared" si="345"/>
        <v>0</v>
      </c>
      <c r="BM224" s="363">
        <f t="shared" si="345"/>
        <v>11000</v>
      </c>
      <c r="BN224" s="369">
        <f t="shared" si="345"/>
        <v>0</v>
      </c>
      <c r="BO224" s="367">
        <f t="shared" si="345"/>
        <v>11000</v>
      </c>
      <c r="BP224" s="363">
        <f t="shared" si="345"/>
        <v>0</v>
      </c>
      <c r="BQ224" s="363">
        <f t="shared" si="345"/>
        <v>11000</v>
      </c>
      <c r="BR224" s="363">
        <f t="shared" si="345"/>
        <v>0</v>
      </c>
      <c r="BS224" s="363">
        <f t="shared" si="345"/>
        <v>469389.2</v>
      </c>
      <c r="BT224" s="280">
        <f t="shared" si="345"/>
        <v>0</v>
      </c>
    </row>
    <row r="225" spans="1:72" s="615" customFormat="1" ht="38.25" outlineLevel="1">
      <c r="A225" s="287">
        <v>214</v>
      </c>
      <c r="B225" s="933"/>
      <c r="C225" s="866"/>
      <c r="D225" s="841"/>
      <c r="E225" s="867"/>
      <c r="F225" s="832" t="s">
        <v>23</v>
      </c>
      <c r="G225" s="616">
        <v>2</v>
      </c>
      <c r="H225" s="749" t="s">
        <v>71</v>
      </c>
      <c r="I225" s="749">
        <v>244</v>
      </c>
      <c r="J225" s="750">
        <v>226</v>
      </c>
      <c r="K225" s="534" t="s">
        <v>343</v>
      </c>
      <c r="L225" s="1043">
        <v>0</v>
      </c>
      <c r="M225" s="619"/>
      <c r="N225" s="619"/>
      <c r="O225" s="1054">
        <f t="shared" si="305"/>
        <v>0</v>
      </c>
      <c r="P225" s="620"/>
      <c r="Q225" s="509"/>
      <c r="R225" s="560"/>
      <c r="S225" s="542"/>
      <c r="T225" s="560"/>
      <c r="U225" s="621"/>
      <c r="V225" s="388" t="s">
        <v>253</v>
      </c>
      <c r="W225" s="388" t="s">
        <v>330</v>
      </c>
      <c r="X225" s="388" t="s">
        <v>243</v>
      </c>
      <c r="Z225" s="509">
        <f t="shared" si="323"/>
        <v>0</v>
      </c>
      <c r="AA225" s="622">
        <f t="shared" si="323"/>
        <v>0</v>
      </c>
      <c r="AB225" s="623">
        <f t="shared" si="307"/>
        <v>0</v>
      </c>
      <c r="AC225" s="509">
        <f t="shared" si="324"/>
        <v>0</v>
      </c>
      <c r="AD225" s="622">
        <f t="shared" si="324"/>
        <v>0</v>
      </c>
      <c r="AE225" s="623">
        <f t="shared" si="309"/>
        <v>0</v>
      </c>
      <c r="AF225" s="509">
        <f t="shared" si="325"/>
        <v>0</v>
      </c>
      <c r="AG225" s="622">
        <f t="shared" si="325"/>
        <v>0</v>
      </c>
      <c r="AH225" s="623">
        <f t="shared" si="311"/>
        <v>0</v>
      </c>
      <c r="AI225" s="509">
        <f t="shared" si="326"/>
        <v>0</v>
      </c>
      <c r="AJ225" s="622">
        <f t="shared" si="326"/>
        <v>0</v>
      </c>
      <c r="AK225" s="623">
        <f t="shared" si="313"/>
        <v>0</v>
      </c>
      <c r="AL225" s="624"/>
      <c r="AM225" s="509">
        <f t="shared" si="327"/>
        <v>0</v>
      </c>
      <c r="AN225" s="625">
        <f t="shared" si="327"/>
        <v>0</v>
      </c>
      <c r="AO225" s="626">
        <f t="shared" si="315"/>
        <v>0</v>
      </c>
      <c r="AP225" s="509">
        <f t="shared" si="328"/>
        <v>0</v>
      </c>
      <c r="AQ225" s="625">
        <f t="shared" si="328"/>
        <v>0</v>
      </c>
      <c r="AR225" s="626">
        <f t="shared" si="301"/>
        <v>0</v>
      </c>
      <c r="AS225" s="510">
        <f t="shared" si="329"/>
        <v>0</v>
      </c>
      <c r="AT225" s="625">
        <f t="shared" si="329"/>
        <v>0</v>
      </c>
      <c r="AU225" s="626">
        <f t="shared" si="303"/>
        <v>0</v>
      </c>
      <c r="AV225" s="627">
        <f t="shared" si="331"/>
        <v>0</v>
      </c>
      <c r="AW225" s="628"/>
      <c r="AX225" s="629"/>
      <c r="AY225" s="630"/>
      <c r="AZ225" s="629"/>
      <c r="BA225" s="630"/>
      <c r="BB225" s="631"/>
      <c r="BC225" s="632"/>
      <c r="BD225" s="633"/>
      <c r="BE225" s="634"/>
      <c r="BF225" s="633"/>
      <c r="BG225" s="634"/>
      <c r="BH225" s="635"/>
      <c r="BI225" s="636"/>
      <c r="BJ225" s="637"/>
      <c r="BK225" s="622"/>
      <c r="BL225" s="637"/>
      <c r="BM225" s="622"/>
      <c r="BN225" s="638"/>
      <c r="BO225" s="639"/>
      <c r="BP225" s="640"/>
      <c r="BQ225" s="641"/>
      <c r="BR225" s="640"/>
      <c r="BS225" s="641"/>
      <c r="BT225" s="642"/>
    </row>
    <row r="226" spans="1:72" s="615" customFormat="1" ht="25.5" outlineLevel="1">
      <c r="A226" s="287">
        <v>215</v>
      </c>
      <c r="B226" s="933"/>
      <c r="C226" s="866"/>
      <c r="D226" s="841"/>
      <c r="E226" s="867"/>
      <c r="F226" s="832" t="s">
        <v>23</v>
      </c>
      <c r="G226" s="616">
        <v>2</v>
      </c>
      <c r="H226" s="749" t="s">
        <v>71</v>
      </c>
      <c r="I226" s="749">
        <v>244</v>
      </c>
      <c r="J226" s="750">
        <v>226</v>
      </c>
      <c r="K226" s="534" t="s">
        <v>344</v>
      </c>
      <c r="L226" s="1043">
        <v>0</v>
      </c>
      <c r="M226" s="619"/>
      <c r="N226" s="619"/>
      <c r="O226" s="1054">
        <f t="shared" si="305"/>
        <v>0</v>
      </c>
      <c r="P226" s="620"/>
      <c r="Q226" s="509"/>
      <c r="R226" s="560"/>
      <c r="S226" s="542"/>
      <c r="T226" s="560"/>
      <c r="U226" s="621"/>
      <c r="V226" s="388" t="s">
        <v>599</v>
      </c>
      <c r="W226" s="388" t="s">
        <v>333</v>
      </c>
      <c r="X226" s="388" t="s">
        <v>334</v>
      </c>
      <c r="Z226" s="509">
        <f t="shared" si="323"/>
        <v>0</v>
      </c>
      <c r="AA226" s="622">
        <f t="shared" si="323"/>
        <v>0</v>
      </c>
      <c r="AB226" s="623">
        <f t="shared" si="307"/>
        <v>0</v>
      </c>
      <c r="AC226" s="509">
        <f t="shared" si="324"/>
        <v>0</v>
      </c>
      <c r="AD226" s="622">
        <f t="shared" si="324"/>
        <v>0</v>
      </c>
      <c r="AE226" s="623">
        <f t="shared" si="309"/>
        <v>0</v>
      </c>
      <c r="AF226" s="509">
        <f t="shared" si="325"/>
        <v>0</v>
      </c>
      <c r="AG226" s="622">
        <f t="shared" si="325"/>
        <v>0</v>
      </c>
      <c r="AH226" s="623">
        <f t="shared" si="311"/>
        <v>0</v>
      </c>
      <c r="AI226" s="509">
        <f t="shared" si="326"/>
        <v>0</v>
      </c>
      <c r="AJ226" s="622">
        <f t="shared" si="326"/>
        <v>0</v>
      </c>
      <c r="AK226" s="623">
        <f t="shared" si="313"/>
        <v>0</v>
      </c>
      <c r="AL226" s="624"/>
      <c r="AM226" s="509">
        <f t="shared" si="327"/>
        <v>0</v>
      </c>
      <c r="AN226" s="625">
        <f t="shared" si="327"/>
        <v>0</v>
      </c>
      <c r="AO226" s="626">
        <f t="shared" si="315"/>
        <v>0</v>
      </c>
      <c r="AP226" s="509">
        <f t="shared" si="328"/>
        <v>0</v>
      </c>
      <c r="AQ226" s="625">
        <f t="shared" si="328"/>
        <v>0</v>
      </c>
      <c r="AR226" s="626">
        <f t="shared" si="301"/>
        <v>0</v>
      </c>
      <c r="AS226" s="510">
        <f t="shared" si="329"/>
        <v>0</v>
      </c>
      <c r="AT226" s="625">
        <f t="shared" si="329"/>
        <v>0</v>
      </c>
      <c r="AU226" s="626">
        <f t="shared" si="303"/>
        <v>0</v>
      </c>
      <c r="AV226" s="627">
        <f t="shared" si="331"/>
        <v>0</v>
      </c>
      <c r="AW226" s="628"/>
      <c r="AX226" s="629"/>
      <c r="AY226" s="630"/>
      <c r="AZ226" s="629"/>
      <c r="BA226" s="630"/>
      <c r="BB226" s="631"/>
      <c r="BC226" s="632"/>
      <c r="BD226" s="633"/>
      <c r="BE226" s="634"/>
      <c r="BF226" s="633"/>
      <c r="BG226" s="634"/>
      <c r="BH226" s="635"/>
      <c r="BI226" s="636"/>
      <c r="BJ226" s="637"/>
      <c r="BK226" s="622"/>
      <c r="BL226" s="637"/>
      <c r="BM226" s="622"/>
      <c r="BN226" s="638"/>
      <c r="BO226" s="639"/>
      <c r="BP226" s="640"/>
      <c r="BQ226" s="641"/>
      <c r="BR226" s="640"/>
      <c r="BS226" s="641"/>
      <c r="BT226" s="642"/>
    </row>
    <row r="227" spans="1:72" s="313" customFormat="1" ht="79.5" customHeight="1" outlineLevel="1">
      <c r="A227" s="287">
        <v>216</v>
      </c>
      <c r="B227" s="933"/>
      <c r="C227" s="840"/>
      <c r="D227" s="841"/>
      <c r="E227" s="839"/>
      <c r="F227" s="821" t="s">
        <v>23</v>
      </c>
      <c r="G227" s="314">
        <v>2</v>
      </c>
      <c r="H227" s="739" t="s">
        <v>71</v>
      </c>
      <c r="I227" s="739">
        <v>244</v>
      </c>
      <c r="J227" s="740">
        <v>226</v>
      </c>
      <c r="K227" s="533" t="s">
        <v>627</v>
      </c>
      <c r="L227" s="1025">
        <f>156000</f>
        <v>156000</v>
      </c>
      <c r="M227" s="318"/>
      <c r="N227" s="318"/>
      <c r="O227" s="1052">
        <f t="shared" si="305"/>
        <v>156000</v>
      </c>
      <c r="P227" s="570"/>
      <c r="Q227" s="336">
        <f>28489.72+72210.68</f>
        <v>100700.4</v>
      </c>
      <c r="R227" s="559"/>
      <c r="S227" s="541">
        <f>28489.72+82694.16</f>
        <v>111183.88</v>
      </c>
      <c r="T227" s="559"/>
      <c r="U227" s="335"/>
      <c r="V227" s="597" t="s">
        <v>470</v>
      </c>
      <c r="W227" s="597" t="s">
        <v>740</v>
      </c>
      <c r="X227" s="597" t="s">
        <v>739</v>
      </c>
      <c r="Z227" s="336">
        <f t="shared" si="323"/>
        <v>2409</v>
      </c>
      <c r="AA227" s="337">
        <f t="shared" si="323"/>
        <v>2409</v>
      </c>
      <c r="AB227" s="338">
        <f t="shared" si="307"/>
        <v>0</v>
      </c>
      <c r="AC227" s="336">
        <f t="shared" si="324"/>
        <v>22500</v>
      </c>
      <c r="AD227" s="337">
        <f t="shared" si="324"/>
        <v>0</v>
      </c>
      <c r="AE227" s="338">
        <f t="shared" si="309"/>
        <v>22500</v>
      </c>
      <c r="AF227" s="336">
        <f t="shared" si="325"/>
        <v>0</v>
      </c>
      <c r="AG227" s="337">
        <f t="shared" si="325"/>
        <v>0</v>
      </c>
      <c r="AH227" s="338">
        <f t="shared" si="311"/>
        <v>0</v>
      </c>
      <c r="AI227" s="336">
        <f t="shared" si="326"/>
        <v>131091</v>
      </c>
      <c r="AJ227" s="337">
        <f t="shared" si="326"/>
        <v>0</v>
      </c>
      <c r="AK227" s="338">
        <f t="shared" si="313"/>
        <v>131091</v>
      </c>
      <c r="AL227" s="342"/>
      <c r="AM227" s="336">
        <f t="shared" si="327"/>
        <v>24909</v>
      </c>
      <c r="AN227" s="339">
        <f t="shared" si="327"/>
        <v>2409</v>
      </c>
      <c r="AO227" s="340">
        <f t="shared" si="315"/>
        <v>22500</v>
      </c>
      <c r="AP227" s="336">
        <f t="shared" si="328"/>
        <v>24909</v>
      </c>
      <c r="AQ227" s="339">
        <f t="shared" si="328"/>
        <v>2409</v>
      </c>
      <c r="AR227" s="340">
        <f t="shared" si="301"/>
        <v>22500</v>
      </c>
      <c r="AS227" s="341">
        <f t="shared" si="329"/>
        <v>156000</v>
      </c>
      <c r="AT227" s="339">
        <f t="shared" si="329"/>
        <v>2409</v>
      </c>
      <c r="AU227" s="340">
        <f t="shared" si="303"/>
        <v>153591</v>
      </c>
      <c r="AV227" s="589">
        <f t="shared" si="331"/>
        <v>0</v>
      </c>
      <c r="AW227" s="343"/>
      <c r="AX227" s="344"/>
      <c r="AY227" s="345">
        <v>2409</v>
      </c>
      <c r="AZ227" s="344">
        <v>2409</v>
      </c>
      <c r="BA227" s="1133"/>
      <c r="BB227" s="346"/>
      <c r="BC227" s="1134">
        <v>15000</v>
      </c>
      <c r="BD227" s="348"/>
      <c r="BE227" s="349"/>
      <c r="BF227" s="348"/>
      <c r="BG227" s="1135">
        <v>7500</v>
      </c>
      <c r="BH227" s="350"/>
      <c r="BI227" s="351"/>
      <c r="BJ227" s="352"/>
      <c r="BK227" s="337"/>
      <c r="BL227" s="352"/>
      <c r="BM227" s="337"/>
      <c r="BN227" s="353"/>
      <c r="BO227" s="354"/>
      <c r="BP227" s="355"/>
      <c r="BQ227" s="356"/>
      <c r="BR227" s="355"/>
      <c r="BS227" s="356">
        <f>156000-2409-15000-7500</f>
        <v>131091</v>
      </c>
      <c r="BT227" s="357"/>
    </row>
    <row r="228" spans="1:72" s="313" customFormat="1" ht="25.5" outlineLevel="1">
      <c r="A228" s="287">
        <v>217</v>
      </c>
      <c r="B228" s="941"/>
      <c r="C228" s="840"/>
      <c r="D228" s="841"/>
      <c r="E228" s="839"/>
      <c r="F228" s="821" t="s">
        <v>23</v>
      </c>
      <c r="G228" s="314">
        <v>2</v>
      </c>
      <c r="H228" s="739" t="s">
        <v>71</v>
      </c>
      <c r="I228" s="739">
        <v>244</v>
      </c>
      <c r="J228" s="740">
        <v>226</v>
      </c>
      <c r="K228" s="533" t="s">
        <v>346</v>
      </c>
      <c r="L228" s="1025">
        <v>12600</v>
      </c>
      <c r="M228" s="318"/>
      <c r="N228" s="318"/>
      <c r="O228" s="1052">
        <f t="shared" si="305"/>
        <v>12600</v>
      </c>
      <c r="P228" s="570"/>
      <c r="Q228" s="336"/>
      <c r="R228" s="559"/>
      <c r="S228" s="541"/>
      <c r="T228" s="559"/>
      <c r="U228" s="335"/>
      <c r="V228" s="596" t="s">
        <v>471</v>
      </c>
      <c r="W228" s="610" t="s">
        <v>472</v>
      </c>
      <c r="X228" s="388" t="s">
        <v>235</v>
      </c>
      <c r="Z228" s="336">
        <f t="shared" si="323"/>
        <v>12600</v>
      </c>
      <c r="AA228" s="337">
        <f t="shared" si="323"/>
        <v>12600</v>
      </c>
      <c r="AB228" s="338">
        <f t="shared" si="307"/>
        <v>0</v>
      </c>
      <c r="AC228" s="336">
        <f t="shared" si="324"/>
        <v>0</v>
      </c>
      <c r="AD228" s="337">
        <f t="shared" si="324"/>
        <v>0</v>
      </c>
      <c r="AE228" s="338">
        <f t="shared" si="309"/>
        <v>0</v>
      </c>
      <c r="AF228" s="336">
        <f t="shared" si="325"/>
        <v>0</v>
      </c>
      <c r="AG228" s="337">
        <f t="shared" si="325"/>
        <v>0</v>
      </c>
      <c r="AH228" s="338">
        <f t="shared" si="311"/>
        <v>0</v>
      </c>
      <c r="AI228" s="336">
        <f t="shared" si="326"/>
        <v>0</v>
      </c>
      <c r="AJ228" s="337">
        <f t="shared" si="326"/>
        <v>0</v>
      </c>
      <c r="AK228" s="338">
        <f t="shared" si="313"/>
        <v>0</v>
      </c>
      <c r="AL228" s="342"/>
      <c r="AM228" s="336">
        <f t="shared" si="327"/>
        <v>12600</v>
      </c>
      <c r="AN228" s="339">
        <f t="shared" si="327"/>
        <v>12600</v>
      </c>
      <c r="AO228" s="340">
        <f t="shared" si="315"/>
        <v>0</v>
      </c>
      <c r="AP228" s="336">
        <f t="shared" si="328"/>
        <v>12600</v>
      </c>
      <c r="AQ228" s="339">
        <f t="shared" si="328"/>
        <v>12600</v>
      </c>
      <c r="AR228" s="340">
        <f t="shared" si="301"/>
        <v>0</v>
      </c>
      <c r="AS228" s="341">
        <f t="shared" si="329"/>
        <v>12600</v>
      </c>
      <c r="AT228" s="339">
        <f t="shared" si="329"/>
        <v>12600</v>
      </c>
      <c r="AU228" s="340">
        <f t="shared" si="303"/>
        <v>0</v>
      </c>
      <c r="AV228" s="589">
        <f t="shared" si="331"/>
        <v>0</v>
      </c>
      <c r="AW228" s="343"/>
      <c r="AX228" s="344"/>
      <c r="AY228" s="1133">
        <v>12600</v>
      </c>
      <c r="AZ228" s="1152">
        <v>12600</v>
      </c>
      <c r="BA228" s="345"/>
      <c r="BB228" s="346"/>
      <c r="BC228" s="347"/>
      <c r="BD228" s="348"/>
      <c r="BE228" s="349"/>
      <c r="BF228" s="348"/>
      <c r="BG228" s="349"/>
      <c r="BH228" s="350"/>
      <c r="BI228" s="351"/>
      <c r="BJ228" s="352"/>
      <c r="BK228" s="337"/>
      <c r="BL228" s="352"/>
      <c r="BM228" s="337"/>
      <c r="BN228" s="353"/>
      <c r="BO228" s="354"/>
      <c r="BP228" s="355"/>
      <c r="BQ228" s="356"/>
      <c r="BR228" s="355"/>
      <c r="BS228" s="356"/>
      <c r="BT228" s="357"/>
    </row>
    <row r="229" spans="1:72" s="313" customFormat="1" ht="63.75" outlineLevel="1">
      <c r="A229" s="287">
        <v>218</v>
      </c>
      <c r="B229" s="1143"/>
      <c r="C229" s="840"/>
      <c r="D229" s="841"/>
      <c r="E229" s="839"/>
      <c r="F229" s="821" t="s">
        <v>23</v>
      </c>
      <c r="G229" s="314">
        <v>2</v>
      </c>
      <c r="H229" s="739" t="s">
        <v>71</v>
      </c>
      <c r="I229" s="739">
        <v>244</v>
      </c>
      <c r="J229" s="740">
        <v>226</v>
      </c>
      <c r="K229" s="533" t="s">
        <v>719</v>
      </c>
      <c r="L229" s="1025">
        <v>8400</v>
      </c>
      <c r="M229" s="318"/>
      <c r="N229" s="318"/>
      <c r="O229" s="1052">
        <f t="shared" si="305"/>
        <v>8400</v>
      </c>
      <c r="P229" s="570"/>
      <c r="Q229" s="336"/>
      <c r="R229" s="559"/>
      <c r="S229" s="541"/>
      <c r="T229" s="559"/>
      <c r="U229" s="335"/>
      <c r="V229" s="596" t="s">
        <v>471</v>
      </c>
      <c r="W229" s="597" t="s">
        <v>720</v>
      </c>
      <c r="X229" s="597" t="s">
        <v>721</v>
      </c>
      <c r="Z229" s="336">
        <f t="shared" si="323"/>
        <v>0</v>
      </c>
      <c r="AA229" s="337">
        <f t="shared" si="323"/>
        <v>0</v>
      </c>
      <c r="AB229" s="338">
        <f t="shared" si="307"/>
        <v>0</v>
      </c>
      <c r="AC229" s="336">
        <f t="shared" si="324"/>
        <v>8400</v>
      </c>
      <c r="AD229" s="337">
        <f t="shared" si="324"/>
        <v>8400</v>
      </c>
      <c r="AE229" s="338">
        <f t="shared" si="309"/>
        <v>0</v>
      </c>
      <c r="AF229" s="336">
        <f t="shared" si="325"/>
        <v>0</v>
      </c>
      <c r="AG229" s="337">
        <f t="shared" si="325"/>
        <v>0</v>
      </c>
      <c r="AH229" s="338">
        <f t="shared" si="311"/>
        <v>0</v>
      </c>
      <c r="AI229" s="336">
        <f t="shared" si="326"/>
        <v>0</v>
      </c>
      <c r="AJ229" s="337">
        <f t="shared" si="326"/>
        <v>0</v>
      </c>
      <c r="AK229" s="338">
        <f t="shared" si="313"/>
        <v>0</v>
      </c>
      <c r="AL229" s="342"/>
      <c r="AM229" s="336">
        <f t="shared" si="327"/>
        <v>8400</v>
      </c>
      <c r="AN229" s="339">
        <f t="shared" si="327"/>
        <v>8400</v>
      </c>
      <c r="AO229" s="340">
        <f t="shared" si="315"/>
        <v>0</v>
      </c>
      <c r="AP229" s="336">
        <f t="shared" si="328"/>
        <v>8400</v>
      </c>
      <c r="AQ229" s="339">
        <f t="shared" si="328"/>
        <v>8400</v>
      </c>
      <c r="AR229" s="340">
        <f t="shared" si="301"/>
        <v>0</v>
      </c>
      <c r="AS229" s="341">
        <f t="shared" si="329"/>
        <v>8400</v>
      </c>
      <c r="AT229" s="339">
        <f t="shared" si="329"/>
        <v>8400</v>
      </c>
      <c r="AU229" s="340">
        <f t="shared" si="303"/>
        <v>0</v>
      </c>
      <c r="AV229" s="589">
        <f t="shared" si="331"/>
        <v>0</v>
      </c>
      <c r="AW229" s="343"/>
      <c r="AX229" s="344"/>
      <c r="AY229" s="345"/>
      <c r="AZ229" s="344"/>
      <c r="BA229" s="345"/>
      <c r="BB229" s="346"/>
      <c r="BC229" s="1134">
        <v>8400</v>
      </c>
      <c r="BD229" s="1140">
        <v>8400</v>
      </c>
      <c r="BE229" s="349"/>
      <c r="BF229" s="348"/>
      <c r="BG229" s="349"/>
      <c r="BH229" s="350"/>
      <c r="BI229" s="351"/>
      <c r="BJ229" s="352"/>
      <c r="BK229" s="337"/>
      <c r="BL229" s="352"/>
      <c r="BM229" s="337"/>
      <c r="BN229" s="353"/>
      <c r="BO229" s="354"/>
      <c r="BP229" s="355"/>
      <c r="BQ229" s="356"/>
      <c r="BR229" s="355"/>
      <c r="BS229" s="356"/>
      <c r="BT229" s="357"/>
    </row>
    <row r="230" spans="1:72" s="615" customFormat="1" ht="38.25" outlineLevel="1">
      <c r="A230" s="287">
        <v>219</v>
      </c>
      <c r="B230" s="933"/>
      <c r="C230" s="866"/>
      <c r="D230" s="841"/>
      <c r="E230" s="867"/>
      <c r="F230" s="832" t="s">
        <v>23</v>
      </c>
      <c r="G230" s="616">
        <v>2</v>
      </c>
      <c r="H230" s="749" t="s">
        <v>71</v>
      </c>
      <c r="I230" s="749">
        <v>244</v>
      </c>
      <c r="J230" s="750">
        <v>226</v>
      </c>
      <c r="K230" s="534" t="s">
        <v>371</v>
      </c>
      <c r="L230" s="1043">
        <v>0</v>
      </c>
      <c r="M230" s="619"/>
      <c r="N230" s="619"/>
      <c r="O230" s="1054">
        <f t="shared" si="305"/>
        <v>0</v>
      </c>
      <c r="P230" s="620"/>
      <c r="Q230" s="509"/>
      <c r="R230" s="560"/>
      <c r="S230" s="542"/>
      <c r="T230" s="560"/>
      <c r="U230" s="621"/>
      <c r="V230" s="388"/>
      <c r="W230" s="388"/>
      <c r="X230" s="388"/>
      <c r="Z230" s="509">
        <f t="shared" si="323"/>
        <v>0</v>
      </c>
      <c r="AA230" s="622">
        <f t="shared" si="323"/>
        <v>0</v>
      </c>
      <c r="AB230" s="623">
        <f t="shared" si="307"/>
        <v>0</v>
      </c>
      <c r="AC230" s="509">
        <f t="shared" si="324"/>
        <v>0</v>
      </c>
      <c r="AD230" s="622">
        <f t="shared" si="324"/>
        <v>0</v>
      </c>
      <c r="AE230" s="623">
        <f t="shared" si="309"/>
        <v>0</v>
      </c>
      <c r="AF230" s="509">
        <f t="shared" si="325"/>
        <v>0</v>
      </c>
      <c r="AG230" s="622">
        <f t="shared" si="325"/>
        <v>0</v>
      </c>
      <c r="AH230" s="623">
        <f t="shared" si="311"/>
        <v>0</v>
      </c>
      <c r="AI230" s="509">
        <f t="shared" si="326"/>
        <v>0</v>
      </c>
      <c r="AJ230" s="622">
        <f t="shared" si="326"/>
        <v>0</v>
      </c>
      <c r="AK230" s="623">
        <f t="shared" si="313"/>
        <v>0</v>
      </c>
      <c r="AL230" s="624"/>
      <c r="AM230" s="509">
        <f t="shared" si="327"/>
        <v>0</v>
      </c>
      <c r="AN230" s="625">
        <f t="shared" si="327"/>
        <v>0</v>
      </c>
      <c r="AO230" s="626">
        <f t="shared" si="315"/>
        <v>0</v>
      </c>
      <c r="AP230" s="509">
        <f t="shared" si="328"/>
        <v>0</v>
      </c>
      <c r="AQ230" s="625">
        <f t="shared" si="328"/>
        <v>0</v>
      </c>
      <c r="AR230" s="626">
        <f t="shared" si="301"/>
        <v>0</v>
      </c>
      <c r="AS230" s="510">
        <f t="shared" si="329"/>
        <v>0</v>
      </c>
      <c r="AT230" s="625">
        <f t="shared" si="329"/>
        <v>0</v>
      </c>
      <c r="AU230" s="626">
        <f t="shared" si="303"/>
        <v>0</v>
      </c>
      <c r="AV230" s="627">
        <f t="shared" si="331"/>
        <v>0</v>
      </c>
      <c r="AW230" s="628"/>
      <c r="AX230" s="629"/>
      <c r="AY230" s="630"/>
      <c r="AZ230" s="629"/>
      <c r="BA230" s="630"/>
      <c r="BB230" s="631"/>
      <c r="BC230" s="632"/>
      <c r="BD230" s="633"/>
      <c r="BE230" s="634"/>
      <c r="BF230" s="633"/>
      <c r="BG230" s="634"/>
      <c r="BH230" s="635"/>
      <c r="BI230" s="636"/>
      <c r="BJ230" s="637"/>
      <c r="BK230" s="622"/>
      <c r="BL230" s="637"/>
      <c r="BM230" s="622"/>
      <c r="BN230" s="638"/>
      <c r="BO230" s="639"/>
      <c r="BP230" s="640"/>
      <c r="BQ230" s="641"/>
      <c r="BR230" s="640"/>
      <c r="BS230" s="641"/>
      <c r="BT230" s="642"/>
    </row>
    <row r="231" spans="1:72" s="615" customFormat="1" ht="38.25" outlineLevel="1">
      <c r="A231" s="287">
        <v>220</v>
      </c>
      <c r="B231" s="933"/>
      <c r="C231" s="866"/>
      <c r="D231" s="841"/>
      <c r="E231" s="867"/>
      <c r="F231" s="832" t="s">
        <v>23</v>
      </c>
      <c r="G231" s="616">
        <v>2</v>
      </c>
      <c r="H231" s="749" t="s">
        <v>71</v>
      </c>
      <c r="I231" s="749">
        <v>244</v>
      </c>
      <c r="J231" s="750">
        <v>226</v>
      </c>
      <c r="K231" s="534" t="s">
        <v>396</v>
      </c>
      <c r="L231" s="1043">
        <v>0</v>
      </c>
      <c r="M231" s="619"/>
      <c r="N231" s="619"/>
      <c r="O231" s="1054">
        <f t="shared" si="305"/>
        <v>0</v>
      </c>
      <c r="P231" s="620"/>
      <c r="Q231" s="509"/>
      <c r="R231" s="560"/>
      <c r="S231" s="542"/>
      <c r="T231" s="560"/>
      <c r="U231" s="621"/>
      <c r="V231" s="388" t="s">
        <v>331</v>
      </c>
      <c r="W231" s="388" t="s">
        <v>332</v>
      </c>
      <c r="X231" s="388" t="s">
        <v>243</v>
      </c>
      <c r="Z231" s="509">
        <f t="shared" si="323"/>
        <v>0</v>
      </c>
      <c r="AA231" s="622">
        <f t="shared" si="323"/>
        <v>0</v>
      </c>
      <c r="AB231" s="623">
        <f t="shared" si="307"/>
        <v>0</v>
      </c>
      <c r="AC231" s="509">
        <f t="shared" si="324"/>
        <v>0</v>
      </c>
      <c r="AD231" s="622">
        <f t="shared" si="324"/>
        <v>0</v>
      </c>
      <c r="AE231" s="623">
        <f t="shared" si="309"/>
        <v>0</v>
      </c>
      <c r="AF231" s="509">
        <f t="shared" si="325"/>
        <v>0</v>
      </c>
      <c r="AG231" s="622">
        <f t="shared" si="325"/>
        <v>0</v>
      </c>
      <c r="AH231" s="623">
        <f t="shared" si="311"/>
        <v>0</v>
      </c>
      <c r="AI231" s="509">
        <f t="shared" si="326"/>
        <v>0</v>
      </c>
      <c r="AJ231" s="622">
        <f t="shared" si="326"/>
        <v>0</v>
      </c>
      <c r="AK231" s="623">
        <f t="shared" si="313"/>
        <v>0</v>
      </c>
      <c r="AL231" s="624"/>
      <c r="AM231" s="509">
        <f t="shared" si="327"/>
        <v>0</v>
      </c>
      <c r="AN231" s="625">
        <f t="shared" si="327"/>
        <v>0</v>
      </c>
      <c r="AO231" s="626">
        <f t="shared" si="315"/>
        <v>0</v>
      </c>
      <c r="AP231" s="509">
        <f t="shared" si="328"/>
        <v>0</v>
      </c>
      <c r="AQ231" s="625">
        <f t="shared" si="328"/>
        <v>0</v>
      </c>
      <c r="AR231" s="626">
        <f t="shared" si="301"/>
        <v>0</v>
      </c>
      <c r="AS231" s="510">
        <f t="shared" si="329"/>
        <v>0</v>
      </c>
      <c r="AT231" s="625">
        <f t="shared" si="329"/>
        <v>0</v>
      </c>
      <c r="AU231" s="626">
        <f t="shared" si="303"/>
        <v>0</v>
      </c>
      <c r="AV231" s="627">
        <f t="shared" si="331"/>
        <v>0</v>
      </c>
      <c r="AW231" s="628"/>
      <c r="AX231" s="629"/>
      <c r="AY231" s="630"/>
      <c r="AZ231" s="629"/>
      <c r="BA231" s="630"/>
      <c r="BB231" s="631"/>
      <c r="BC231" s="632"/>
      <c r="BD231" s="633"/>
      <c r="BE231" s="634"/>
      <c r="BF231" s="633"/>
      <c r="BG231" s="634"/>
      <c r="BH231" s="635"/>
      <c r="BI231" s="636"/>
      <c r="BJ231" s="637"/>
      <c r="BK231" s="622"/>
      <c r="BL231" s="637"/>
      <c r="BM231" s="622"/>
      <c r="BN231" s="638"/>
      <c r="BO231" s="639"/>
      <c r="BP231" s="640"/>
      <c r="BQ231" s="641"/>
      <c r="BR231" s="640"/>
      <c r="BS231" s="641"/>
      <c r="BT231" s="642"/>
    </row>
    <row r="232" spans="1:72" s="313" customFormat="1" ht="369.75" outlineLevel="1">
      <c r="A232" s="287">
        <v>221</v>
      </c>
      <c r="B232" s="1147" t="s">
        <v>842</v>
      </c>
      <c r="C232" s="840"/>
      <c r="D232" s="841"/>
      <c r="E232" s="839"/>
      <c r="F232" s="821" t="s">
        <v>23</v>
      </c>
      <c r="G232" s="314">
        <v>2</v>
      </c>
      <c r="H232" s="739" t="s">
        <v>71</v>
      </c>
      <c r="I232" s="739">
        <v>244</v>
      </c>
      <c r="J232" s="740">
        <v>226</v>
      </c>
      <c r="K232" s="533" t="s">
        <v>802</v>
      </c>
      <c r="L232" s="1025">
        <f>1303567.18-100000+69426.41-39600-12600-2500-2700-10560-228988.11-8400-99000-19200-25000-24900-36010-5499-21210-1679-4101-38115-1159-201-8170-570-4200-7800-2000-13300-39692-60000</f>
        <v>555839.48</v>
      </c>
      <c r="M232" s="318"/>
      <c r="N232" s="318"/>
      <c r="O232" s="1052">
        <f t="shared" si="305"/>
        <v>555839.48</v>
      </c>
      <c r="P232" s="570"/>
      <c r="Q232" s="336">
        <f>1327835.02-39600</f>
        <v>1288235.02</v>
      </c>
      <c r="R232" s="559"/>
      <c r="S232" s="541">
        <f>1329481.13-39600</f>
        <v>1289881.1299999999</v>
      </c>
      <c r="T232" s="559"/>
      <c r="U232" s="335"/>
      <c r="V232" s="596" t="s">
        <v>338</v>
      </c>
      <c r="W232" s="596" t="s">
        <v>840</v>
      </c>
      <c r="X232" s="596" t="s">
        <v>841</v>
      </c>
      <c r="Z232" s="336">
        <f t="shared" si="323"/>
        <v>46262.96</v>
      </c>
      <c r="AA232" s="337">
        <f t="shared" si="323"/>
        <v>46262.96</v>
      </c>
      <c r="AB232" s="338">
        <f t="shared" si="307"/>
        <v>0</v>
      </c>
      <c r="AC232" s="336">
        <f t="shared" si="324"/>
        <v>254274.85</v>
      </c>
      <c r="AD232" s="337">
        <f t="shared" si="324"/>
        <v>0</v>
      </c>
      <c r="AE232" s="338">
        <f t="shared" si="309"/>
        <v>254274.85</v>
      </c>
      <c r="AF232" s="336">
        <f t="shared" si="325"/>
        <v>102879.91</v>
      </c>
      <c r="AG232" s="337">
        <f t="shared" si="325"/>
        <v>0</v>
      </c>
      <c r="AH232" s="338">
        <f t="shared" si="311"/>
        <v>102879.91</v>
      </c>
      <c r="AI232" s="336">
        <f t="shared" si="326"/>
        <v>0</v>
      </c>
      <c r="AJ232" s="337">
        <f t="shared" si="326"/>
        <v>0</v>
      </c>
      <c r="AK232" s="338">
        <f t="shared" si="313"/>
        <v>0</v>
      </c>
      <c r="AL232" s="342"/>
      <c r="AM232" s="336">
        <f t="shared" si="327"/>
        <v>300537.81</v>
      </c>
      <c r="AN232" s="339">
        <f t="shared" si="327"/>
        <v>46262.96</v>
      </c>
      <c r="AO232" s="340">
        <f t="shared" si="315"/>
        <v>254274.85</v>
      </c>
      <c r="AP232" s="336">
        <f t="shared" si="328"/>
        <v>403417.72</v>
      </c>
      <c r="AQ232" s="339">
        <f t="shared" si="328"/>
        <v>46262.96</v>
      </c>
      <c r="AR232" s="340">
        <f t="shared" si="301"/>
        <v>357154.76</v>
      </c>
      <c r="AS232" s="341">
        <f t="shared" si="329"/>
        <v>403417.72</v>
      </c>
      <c r="AT232" s="339">
        <f t="shared" si="329"/>
        <v>46262.96</v>
      </c>
      <c r="AU232" s="340">
        <f t="shared" si="303"/>
        <v>357154.76</v>
      </c>
      <c r="AV232" s="589">
        <f t="shared" si="331"/>
        <v>152421.76000000001</v>
      </c>
      <c r="AW232" s="343"/>
      <c r="AX232" s="344"/>
      <c r="AY232" s="345"/>
      <c r="AZ232" s="344"/>
      <c r="BA232" s="345">
        <v>46262.96</v>
      </c>
      <c r="BB232" s="346">
        <v>46262.96</v>
      </c>
      <c r="BC232" s="347">
        <v>86404.1</v>
      </c>
      <c r="BD232" s="348"/>
      <c r="BE232" s="1135">
        <f>66275.8+4661.94</f>
        <v>70937.740000000005</v>
      </c>
      <c r="BF232" s="348"/>
      <c r="BG232" s="1135">
        <v>96933.01</v>
      </c>
      <c r="BH232" s="350"/>
      <c r="BI232" s="1136">
        <v>102879.91</v>
      </c>
      <c r="BJ232" s="352"/>
      <c r="BK232" s="337"/>
      <c r="BL232" s="352"/>
      <c r="BM232" s="337"/>
      <c r="BN232" s="353"/>
      <c r="BO232" s="354"/>
      <c r="BP232" s="355"/>
      <c r="BQ232" s="356"/>
      <c r="BR232" s="355"/>
      <c r="BS232" s="356"/>
      <c r="BT232" s="357"/>
    </row>
    <row r="233" spans="1:72" s="313" customFormat="1" ht="38.25" outlineLevel="1">
      <c r="A233" s="287">
        <v>222</v>
      </c>
      <c r="B233" s="1148"/>
      <c r="C233" s="840"/>
      <c r="D233" s="841"/>
      <c r="E233" s="839"/>
      <c r="F233" s="821" t="s">
        <v>23</v>
      </c>
      <c r="G233" s="314">
        <v>2</v>
      </c>
      <c r="H233" s="739" t="s">
        <v>71</v>
      </c>
      <c r="I233" s="739">
        <v>244</v>
      </c>
      <c r="J233" s="740">
        <v>226</v>
      </c>
      <c r="K233" s="533" t="s">
        <v>348</v>
      </c>
      <c r="L233" s="1025">
        <v>76788.2</v>
      </c>
      <c r="M233" s="318"/>
      <c r="N233" s="318"/>
      <c r="O233" s="1052">
        <f t="shared" si="305"/>
        <v>76788.2</v>
      </c>
      <c r="P233" s="570"/>
      <c r="Q233" s="336">
        <v>76788.2</v>
      </c>
      <c r="R233" s="559"/>
      <c r="S233" s="541">
        <v>76788.2</v>
      </c>
      <c r="T233" s="559"/>
      <c r="U233" s="335"/>
      <c r="V233" s="320" t="s">
        <v>338</v>
      </c>
      <c r="W233" s="388"/>
      <c r="X233" s="388"/>
      <c r="Z233" s="336">
        <f t="shared" si="323"/>
        <v>30000</v>
      </c>
      <c r="AA233" s="337">
        <f t="shared" si="323"/>
        <v>0</v>
      </c>
      <c r="AB233" s="338">
        <f t="shared" si="307"/>
        <v>30000</v>
      </c>
      <c r="AC233" s="336">
        <f t="shared" si="324"/>
        <v>20000</v>
      </c>
      <c r="AD233" s="337">
        <f t="shared" si="324"/>
        <v>0</v>
      </c>
      <c r="AE233" s="338">
        <f t="shared" si="309"/>
        <v>20000</v>
      </c>
      <c r="AF233" s="336">
        <f t="shared" si="325"/>
        <v>0</v>
      </c>
      <c r="AG233" s="337">
        <f t="shared" si="325"/>
        <v>0</v>
      </c>
      <c r="AH233" s="338">
        <f t="shared" si="311"/>
        <v>0</v>
      </c>
      <c r="AI233" s="336">
        <f t="shared" si="326"/>
        <v>26788.2</v>
      </c>
      <c r="AJ233" s="337">
        <f t="shared" si="326"/>
        <v>0</v>
      </c>
      <c r="AK233" s="338">
        <f t="shared" si="313"/>
        <v>26788.2</v>
      </c>
      <c r="AL233" s="342"/>
      <c r="AM233" s="336">
        <f t="shared" si="327"/>
        <v>50000</v>
      </c>
      <c r="AN233" s="339">
        <f t="shared" si="327"/>
        <v>0</v>
      </c>
      <c r="AO233" s="340">
        <f t="shared" si="315"/>
        <v>50000</v>
      </c>
      <c r="AP233" s="336">
        <f t="shared" si="328"/>
        <v>50000</v>
      </c>
      <c r="AQ233" s="339">
        <f t="shared" si="328"/>
        <v>0</v>
      </c>
      <c r="AR233" s="340">
        <f t="shared" si="301"/>
        <v>50000</v>
      </c>
      <c r="AS233" s="341">
        <f t="shared" si="329"/>
        <v>76788.2</v>
      </c>
      <c r="AT233" s="339">
        <f t="shared" si="329"/>
        <v>0</v>
      </c>
      <c r="AU233" s="340">
        <f t="shared" si="303"/>
        <v>76788.2</v>
      </c>
      <c r="AV233" s="589">
        <f t="shared" si="331"/>
        <v>0</v>
      </c>
      <c r="AW233" s="343"/>
      <c r="AX233" s="344"/>
      <c r="AY233" s="345"/>
      <c r="AZ233" s="344"/>
      <c r="BA233" s="345">
        <v>30000</v>
      </c>
      <c r="BB233" s="346"/>
      <c r="BC233" s="347"/>
      <c r="BD233" s="348"/>
      <c r="BE233" s="349">
        <v>20000</v>
      </c>
      <c r="BF233" s="348"/>
      <c r="BG233" s="349"/>
      <c r="BH233" s="350"/>
      <c r="BI233" s="351"/>
      <c r="BJ233" s="352"/>
      <c r="BK233" s="337"/>
      <c r="BL233" s="352"/>
      <c r="BM233" s="337"/>
      <c r="BN233" s="353"/>
      <c r="BO233" s="354"/>
      <c r="BP233" s="355"/>
      <c r="BQ233" s="356"/>
      <c r="BR233" s="355"/>
      <c r="BS233" s="356">
        <v>26788.2</v>
      </c>
      <c r="BT233" s="357"/>
    </row>
    <row r="234" spans="1:72" s="313" customFormat="1" ht="63.75" outlineLevel="1">
      <c r="A234" s="287">
        <v>223</v>
      </c>
      <c r="B234" s="1147" t="s">
        <v>827</v>
      </c>
      <c r="C234" s="840"/>
      <c r="D234" s="841"/>
      <c r="E234" s="839"/>
      <c r="F234" s="821" t="s">
        <v>23</v>
      </c>
      <c r="G234" s="314">
        <v>2</v>
      </c>
      <c r="H234" s="739" t="s">
        <v>71</v>
      </c>
      <c r="I234" s="739">
        <v>244</v>
      </c>
      <c r="J234" s="740">
        <v>226</v>
      </c>
      <c r="K234" s="533" t="s">
        <v>828</v>
      </c>
      <c r="L234" s="1031">
        <v>60000</v>
      </c>
      <c r="M234" s="318"/>
      <c r="N234" s="318"/>
      <c r="O234" s="1055">
        <f t="shared" ref="O234" si="346">L234+N234</f>
        <v>60000</v>
      </c>
      <c r="P234" s="570"/>
      <c r="Q234" s="336">
        <v>0</v>
      </c>
      <c r="R234" s="559"/>
      <c r="S234" s="541">
        <v>0</v>
      </c>
      <c r="T234" s="559"/>
      <c r="U234" s="335"/>
      <c r="V234" s="596" t="s">
        <v>829</v>
      </c>
      <c r="W234" s="596" t="s">
        <v>830</v>
      </c>
      <c r="X234" s="596" t="s">
        <v>831</v>
      </c>
      <c r="Z234" s="336">
        <f t="shared" ref="Z234" si="347">AW234+AY234+BA234</f>
        <v>0</v>
      </c>
      <c r="AA234" s="337">
        <f t="shared" ref="AA234" si="348">AX234+AZ234+BB234</f>
        <v>0</v>
      </c>
      <c r="AB234" s="338">
        <f t="shared" ref="AB234" si="349">Z234-AA234</f>
        <v>0</v>
      </c>
      <c r="AC234" s="336">
        <f t="shared" ref="AC234" si="350">BC234+BE234+BG234</f>
        <v>60000</v>
      </c>
      <c r="AD234" s="337">
        <f t="shared" ref="AD234" si="351">BD234+BF234+BH234</f>
        <v>0</v>
      </c>
      <c r="AE234" s="338">
        <f t="shared" ref="AE234" si="352">AC234-AD234</f>
        <v>60000</v>
      </c>
      <c r="AF234" s="336">
        <f t="shared" ref="AF234" si="353">BI234+BK234+BM234</f>
        <v>0</v>
      </c>
      <c r="AG234" s="337">
        <f t="shared" ref="AG234" si="354">BJ234+BL234+BN234</f>
        <v>0</v>
      </c>
      <c r="AH234" s="338">
        <f t="shared" ref="AH234" si="355">AF234-AG234</f>
        <v>0</v>
      </c>
      <c r="AI234" s="336">
        <f t="shared" ref="AI234" si="356">BO234+BQ234+BS234</f>
        <v>0</v>
      </c>
      <c r="AJ234" s="337">
        <f t="shared" ref="AJ234" si="357">BP234+BR234+BT234</f>
        <v>0</v>
      </c>
      <c r="AK234" s="338">
        <f t="shared" ref="AK234" si="358">AI234-AJ234</f>
        <v>0</v>
      </c>
      <c r="AL234" s="342"/>
      <c r="AM234" s="336">
        <f t="shared" ref="AM234" si="359">Z234+AC234</f>
        <v>60000</v>
      </c>
      <c r="AN234" s="339">
        <f t="shared" ref="AN234" si="360">AA234+AD234</f>
        <v>0</v>
      </c>
      <c r="AO234" s="340">
        <f t="shared" ref="AO234" si="361">AM234-AN234</f>
        <v>60000</v>
      </c>
      <c r="AP234" s="336">
        <f t="shared" ref="AP234" si="362">Z234+AC234+AF234</f>
        <v>60000</v>
      </c>
      <c r="AQ234" s="339">
        <f t="shared" ref="AQ234" si="363">AA234+AD234+AG234</f>
        <v>0</v>
      </c>
      <c r="AR234" s="340">
        <f t="shared" ref="AR234" si="364">AP234-AQ234</f>
        <v>60000</v>
      </c>
      <c r="AS234" s="341">
        <f t="shared" ref="AS234" si="365">Z234+AC234+AF234+AI234</f>
        <v>60000</v>
      </c>
      <c r="AT234" s="339">
        <f t="shared" ref="AT234" si="366">AA234+AD234+AG234+AJ234</f>
        <v>0</v>
      </c>
      <c r="AU234" s="340">
        <f t="shared" ref="AU234" si="367">AS234-AT234</f>
        <v>60000</v>
      </c>
      <c r="AV234" s="589">
        <f t="shared" ref="AV234" si="368">L234-AS234</f>
        <v>0</v>
      </c>
      <c r="AW234" s="343"/>
      <c r="AX234" s="344"/>
      <c r="AY234" s="345"/>
      <c r="AZ234" s="344"/>
      <c r="BA234" s="345"/>
      <c r="BB234" s="346"/>
      <c r="BC234" s="347"/>
      <c r="BD234" s="348"/>
      <c r="BE234" s="1135"/>
      <c r="BF234" s="348"/>
      <c r="BG234" s="1135">
        <v>60000</v>
      </c>
      <c r="BH234" s="350"/>
      <c r="BI234" s="351"/>
      <c r="BJ234" s="352"/>
      <c r="BK234" s="337"/>
      <c r="BL234" s="352"/>
      <c r="BM234" s="337"/>
      <c r="BN234" s="353"/>
      <c r="BO234" s="354"/>
      <c r="BP234" s="355"/>
      <c r="BQ234" s="356"/>
      <c r="BR234" s="355"/>
      <c r="BS234" s="356"/>
      <c r="BT234" s="357"/>
    </row>
    <row r="235" spans="1:72" s="313" customFormat="1" ht="38.25" outlineLevel="1">
      <c r="A235" s="287">
        <v>224</v>
      </c>
      <c r="B235" s="1148"/>
      <c r="C235" s="840"/>
      <c r="D235" s="841"/>
      <c r="E235" s="839"/>
      <c r="F235" s="821" t="s">
        <v>23</v>
      </c>
      <c r="G235" s="314">
        <v>2</v>
      </c>
      <c r="H235" s="739" t="s">
        <v>71</v>
      </c>
      <c r="I235" s="739">
        <v>244</v>
      </c>
      <c r="J235" s="740">
        <v>226</v>
      </c>
      <c r="K235" s="533" t="s">
        <v>620</v>
      </c>
      <c r="L235" s="1025">
        <v>99000</v>
      </c>
      <c r="M235" s="318"/>
      <c r="N235" s="318"/>
      <c r="O235" s="1052">
        <f t="shared" si="305"/>
        <v>99000</v>
      </c>
      <c r="P235" s="570"/>
      <c r="Q235" s="336">
        <v>0</v>
      </c>
      <c r="R235" s="559"/>
      <c r="S235" s="541">
        <v>0</v>
      </c>
      <c r="T235" s="559"/>
      <c r="U235" s="335"/>
      <c r="V235" s="596" t="s">
        <v>606</v>
      </c>
      <c r="W235" s="596" t="s">
        <v>607</v>
      </c>
      <c r="X235" s="596" t="s">
        <v>608</v>
      </c>
      <c r="Z235" s="336">
        <f t="shared" ref="Z235:AA253" si="369">AW235+AY235+BA235</f>
        <v>0</v>
      </c>
      <c r="AA235" s="337">
        <f t="shared" si="369"/>
        <v>0</v>
      </c>
      <c r="AB235" s="338">
        <f t="shared" si="307"/>
        <v>0</v>
      </c>
      <c r="AC235" s="336">
        <f t="shared" ref="AC235:AD253" si="370">BC235+BE235+BG235</f>
        <v>22000</v>
      </c>
      <c r="AD235" s="337">
        <f t="shared" si="370"/>
        <v>0</v>
      </c>
      <c r="AE235" s="338">
        <f t="shared" si="309"/>
        <v>22000</v>
      </c>
      <c r="AF235" s="336">
        <f t="shared" ref="AF235:AG253" si="371">BI235+BK235+BM235</f>
        <v>33000</v>
      </c>
      <c r="AG235" s="337">
        <f t="shared" si="371"/>
        <v>0</v>
      </c>
      <c r="AH235" s="338">
        <f t="shared" si="311"/>
        <v>33000</v>
      </c>
      <c r="AI235" s="336">
        <f t="shared" ref="AI235:AJ253" si="372">BO235+BQ235+BS235</f>
        <v>44000</v>
      </c>
      <c r="AJ235" s="337">
        <f t="shared" si="372"/>
        <v>0</v>
      </c>
      <c r="AK235" s="338">
        <f t="shared" si="313"/>
        <v>44000</v>
      </c>
      <c r="AL235" s="342"/>
      <c r="AM235" s="336">
        <f t="shared" ref="AM235:AN253" si="373">Z235+AC235</f>
        <v>22000</v>
      </c>
      <c r="AN235" s="339">
        <f t="shared" si="373"/>
        <v>0</v>
      </c>
      <c r="AO235" s="340">
        <f t="shared" si="315"/>
        <v>22000</v>
      </c>
      <c r="AP235" s="336">
        <f t="shared" ref="AP235:AQ253" si="374">Z235+AC235+AF235</f>
        <v>55000</v>
      </c>
      <c r="AQ235" s="339">
        <f t="shared" si="374"/>
        <v>0</v>
      </c>
      <c r="AR235" s="340">
        <f t="shared" si="301"/>
        <v>55000</v>
      </c>
      <c r="AS235" s="341">
        <f t="shared" ref="AS235:AT253" si="375">Z235+AC235+AF235+AI235</f>
        <v>99000</v>
      </c>
      <c r="AT235" s="339">
        <f t="shared" si="375"/>
        <v>0</v>
      </c>
      <c r="AU235" s="340">
        <f t="shared" si="303"/>
        <v>99000</v>
      </c>
      <c r="AV235" s="589">
        <f t="shared" si="331"/>
        <v>0</v>
      </c>
      <c r="AW235" s="343"/>
      <c r="AX235" s="344"/>
      <c r="AY235" s="345"/>
      <c r="AZ235" s="344"/>
      <c r="BA235" s="345"/>
      <c r="BB235" s="346"/>
      <c r="BC235" s="347"/>
      <c r="BD235" s="348"/>
      <c r="BE235" s="349">
        <v>11000</v>
      </c>
      <c r="BF235" s="348"/>
      <c r="BG235" s="349">
        <v>11000</v>
      </c>
      <c r="BH235" s="350"/>
      <c r="BI235" s="351">
        <v>11000</v>
      </c>
      <c r="BJ235" s="352"/>
      <c r="BK235" s="337">
        <v>11000</v>
      </c>
      <c r="BL235" s="352"/>
      <c r="BM235" s="337">
        <v>11000</v>
      </c>
      <c r="BN235" s="353"/>
      <c r="BO235" s="354">
        <v>11000</v>
      </c>
      <c r="BP235" s="355"/>
      <c r="BQ235" s="356">
        <v>11000</v>
      </c>
      <c r="BR235" s="355"/>
      <c r="BS235" s="356">
        <f>11000*2</f>
        <v>22000</v>
      </c>
      <c r="BT235" s="357"/>
    </row>
    <row r="236" spans="1:72" s="313" customFormat="1" ht="25.5" outlineLevel="1">
      <c r="A236" s="287">
        <v>225</v>
      </c>
      <c r="B236" s="933"/>
      <c r="C236" s="840"/>
      <c r="D236" s="841"/>
      <c r="E236" s="839"/>
      <c r="F236" s="821" t="s">
        <v>23</v>
      </c>
      <c r="G236" s="314">
        <v>2</v>
      </c>
      <c r="H236" s="739" t="s">
        <v>71</v>
      </c>
      <c r="I236" s="739">
        <v>244</v>
      </c>
      <c r="J236" s="740">
        <v>226</v>
      </c>
      <c r="K236" s="533" t="s">
        <v>349</v>
      </c>
      <c r="L236" s="1025">
        <v>622720</v>
      </c>
      <c r="M236" s="318"/>
      <c r="N236" s="318"/>
      <c r="O236" s="1052">
        <f t="shared" si="305"/>
        <v>622720</v>
      </c>
      <c r="P236" s="570"/>
      <c r="Q236" s="336">
        <v>622720</v>
      </c>
      <c r="R236" s="559"/>
      <c r="S236" s="541">
        <v>622720</v>
      </c>
      <c r="T236" s="559"/>
      <c r="U236" s="335"/>
      <c r="V236" s="320" t="s">
        <v>355</v>
      </c>
      <c r="W236" s="388"/>
      <c r="X236" s="388"/>
      <c r="Z236" s="336">
        <f t="shared" si="369"/>
        <v>310000</v>
      </c>
      <c r="AA236" s="337">
        <f t="shared" si="369"/>
        <v>0</v>
      </c>
      <c r="AB236" s="338">
        <f t="shared" si="307"/>
        <v>310000</v>
      </c>
      <c r="AC236" s="336">
        <f t="shared" si="370"/>
        <v>155000</v>
      </c>
      <c r="AD236" s="337">
        <f t="shared" si="370"/>
        <v>0</v>
      </c>
      <c r="AE236" s="338">
        <f t="shared" si="309"/>
        <v>155000</v>
      </c>
      <c r="AF236" s="336">
        <f t="shared" si="371"/>
        <v>0</v>
      </c>
      <c r="AG236" s="337">
        <f t="shared" si="371"/>
        <v>0</v>
      </c>
      <c r="AH236" s="338">
        <f t="shared" si="311"/>
        <v>0</v>
      </c>
      <c r="AI236" s="336">
        <f t="shared" si="372"/>
        <v>157720</v>
      </c>
      <c r="AJ236" s="337">
        <f t="shared" si="372"/>
        <v>0</v>
      </c>
      <c r="AK236" s="338">
        <f t="shared" si="313"/>
        <v>157720</v>
      </c>
      <c r="AL236" s="342"/>
      <c r="AM236" s="336">
        <f t="shared" si="373"/>
        <v>465000</v>
      </c>
      <c r="AN236" s="339">
        <f t="shared" si="373"/>
        <v>0</v>
      </c>
      <c r="AO236" s="340">
        <f t="shared" si="315"/>
        <v>465000</v>
      </c>
      <c r="AP236" s="336">
        <f t="shared" si="374"/>
        <v>465000</v>
      </c>
      <c r="AQ236" s="339">
        <f t="shared" si="374"/>
        <v>0</v>
      </c>
      <c r="AR236" s="340">
        <f t="shared" si="301"/>
        <v>465000</v>
      </c>
      <c r="AS236" s="341">
        <f t="shared" si="375"/>
        <v>622720</v>
      </c>
      <c r="AT236" s="339">
        <f t="shared" si="375"/>
        <v>0</v>
      </c>
      <c r="AU236" s="340">
        <f t="shared" si="303"/>
        <v>622720</v>
      </c>
      <c r="AV236" s="589">
        <f t="shared" si="331"/>
        <v>0</v>
      </c>
      <c r="AW236" s="343"/>
      <c r="AX236" s="344"/>
      <c r="AY236" s="345"/>
      <c r="AZ236" s="344"/>
      <c r="BA236" s="345">
        <v>310000</v>
      </c>
      <c r="BB236" s="346"/>
      <c r="BC236" s="347"/>
      <c r="BD236" s="348"/>
      <c r="BE236" s="349">
        <v>155000</v>
      </c>
      <c r="BF236" s="348"/>
      <c r="BG236" s="349"/>
      <c r="BH236" s="350"/>
      <c r="BI236" s="351"/>
      <c r="BJ236" s="352"/>
      <c r="BK236" s="337"/>
      <c r="BL236" s="352"/>
      <c r="BM236" s="337"/>
      <c r="BN236" s="353"/>
      <c r="BO236" s="354"/>
      <c r="BP236" s="355"/>
      <c r="BQ236" s="356"/>
      <c r="BR236" s="355"/>
      <c r="BS236" s="356">
        <v>157720</v>
      </c>
      <c r="BT236" s="357"/>
    </row>
    <row r="237" spans="1:72" s="313" customFormat="1" ht="38.25" outlineLevel="1">
      <c r="A237" s="287">
        <v>226</v>
      </c>
      <c r="B237" s="933"/>
      <c r="C237" s="840"/>
      <c r="D237" s="841"/>
      <c r="E237" s="839"/>
      <c r="F237" s="821" t="s">
        <v>23</v>
      </c>
      <c r="G237" s="314">
        <v>2</v>
      </c>
      <c r="H237" s="739" t="s">
        <v>71</v>
      </c>
      <c r="I237" s="739">
        <v>244</v>
      </c>
      <c r="J237" s="740">
        <v>226</v>
      </c>
      <c r="K237" s="533" t="s">
        <v>350</v>
      </c>
      <c r="L237" s="1025">
        <f>138200+M237</f>
        <v>173200</v>
      </c>
      <c r="M237" s="318">
        <v>35000</v>
      </c>
      <c r="N237" s="318"/>
      <c r="O237" s="1052">
        <f t="shared" si="305"/>
        <v>173200</v>
      </c>
      <c r="P237" s="570"/>
      <c r="Q237" s="336">
        <v>138200</v>
      </c>
      <c r="R237" s="559"/>
      <c r="S237" s="541">
        <v>138200</v>
      </c>
      <c r="T237" s="559"/>
      <c r="U237" s="335"/>
      <c r="V237" s="320"/>
      <c r="W237" s="388"/>
      <c r="X237" s="388"/>
      <c r="Z237" s="336">
        <f t="shared" si="369"/>
        <v>70000</v>
      </c>
      <c r="AA237" s="337">
        <f t="shared" si="369"/>
        <v>0</v>
      </c>
      <c r="AB237" s="338">
        <f t="shared" si="307"/>
        <v>70000</v>
      </c>
      <c r="AC237" s="336">
        <f t="shared" si="370"/>
        <v>35000</v>
      </c>
      <c r="AD237" s="337">
        <f t="shared" si="370"/>
        <v>0</v>
      </c>
      <c r="AE237" s="338">
        <f t="shared" si="309"/>
        <v>35000</v>
      </c>
      <c r="AF237" s="336">
        <f t="shared" si="371"/>
        <v>35000</v>
      </c>
      <c r="AG237" s="337">
        <f t="shared" si="371"/>
        <v>0</v>
      </c>
      <c r="AH237" s="338">
        <f t="shared" si="311"/>
        <v>35000</v>
      </c>
      <c r="AI237" s="336">
        <f t="shared" si="372"/>
        <v>33200</v>
      </c>
      <c r="AJ237" s="337">
        <f t="shared" si="372"/>
        <v>0</v>
      </c>
      <c r="AK237" s="338">
        <f t="shared" si="313"/>
        <v>33200</v>
      </c>
      <c r="AL237" s="342"/>
      <c r="AM237" s="336">
        <f t="shared" si="373"/>
        <v>105000</v>
      </c>
      <c r="AN237" s="339">
        <f t="shared" si="373"/>
        <v>0</v>
      </c>
      <c r="AO237" s="340">
        <f t="shared" si="315"/>
        <v>105000</v>
      </c>
      <c r="AP237" s="336">
        <f t="shared" si="374"/>
        <v>140000</v>
      </c>
      <c r="AQ237" s="339">
        <f t="shared" si="374"/>
        <v>0</v>
      </c>
      <c r="AR237" s="340">
        <f t="shared" si="301"/>
        <v>140000</v>
      </c>
      <c r="AS237" s="341">
        <f t="shared" si="375"/>
        <v>173200</v>
      </c>
      <c r="AT237" s="339">
        <f t="shared" si="375"/>
        <v>0</v>
      </c>
      <c r="AU237" s="340">
        <f t="shared" si="303"/>
        <v>173200</v>
      </c>
      <c r="AV237" s="589">
        <f t="shared" si="331"/>
        <v>0</v>
      </c>
      <c r="AW237" s="343"/>
      <c r="AX237" s="344"/>
      <c r="AY237" s="345"/>
      <c r="AZ237" s="344"/>
      <c r="BA237" s="345">
        <v>70000</v>
      </c>
      <c r="BB237" s="346"/>
      <c r="BC237" s="347"/>
      <c r="BD237" s="348"/>
      <c r="BE237" s="349">
        <v>35000</v>
      </c>
      <c r="BF237" s="348"/>
      <c r="BG237" s="349"/>
      <c r="BH237" s="350"/>
      <c r="BI237" s="351"/>
      <c r="BJ237" s="352"/>
      <c r="BK237" s="337">
        <v>35000</v>
      </c>
      <c r="BL237" s="352"/>
      <c r="BM237" s="337"/>
      <c r="BN237" s="353"/>
      <c r="BO237" s="354"/>
      <c r="BP237" s="355"/>
      <c r="BQ237" s="356"/>
      <c r="BR237" s="355"/>
      <c r="BS237" s="356">
        <v>33200</v>
      </c>
      <c r="BT237" s="357"/>
    </row>
    <row r="238" spans="1:72" s="313" customFormat="1" ht="76.5">
      <c r="A238" s="287">
        <v>227</v>
      </c>
      <c r="B238" s="941"/>
      <c r="C238" s="840"/>
      <c r="D238" s="841"/>
      <c r="E238" s="839"/>
      <c r="F238" s="821" t="s">
        <v>23</v>
      </c>
      <c r="G238" s="314">
        <v>2</v>
      </c>
      <c r="H238" s="739" t="s">
        <v>71</v>
      </c>
      <c r="I238" s="739">
        <v>244</v>
      </c>
      <c r="J238" s="740">
        <v>226</v>
      </c>
      <c r="K238" s="533" t="s">
        <v>478</v>
      </c>
      <c r="L238" s="1025">
        <v>2500</v>
      </c>
      <c r="M238" s="318"/>
      <c r="N238" s="318"/>
      <c r="O238" s="1052">
        <f t="shared" si="305"/>
        <v>2500</v>
      </c>
      <c r="P238" s="570"/>
      <c r="Q238" s="336">
        <v>0</v>
      </c>
      <c r="R238" s="329"/>
      <c r="S238" s="319">
        <v>0</v>
      </c>
      <c r="T238" s="329"/>
      <c r="U238" s="335"/>
      <c r="V238" s="596" t="s">
        <v>479</v>
      </c>
      <c r="W238" s="596" t="s">
        <v>508</v>
      </c>
      <c r="X238" s="596" t="s">
        <v>509</v>
      </c>
      <c r="Z238" s="336">
        <f t="shared" si="369"/>
        <v>2500</v>
      </c>
      <c r="AA238" s="337">
        <f t="shared" si="369"/>
        <v>2500</v>
      </c>
      <c r="AB238" s="338">
        <f>Z238-AA238</f>
        <v>0</v>
      </c>
      <c r="AC238" s="336">
        <f t="shared" si="370"/>
        <v>0</v>
      </c>
      <c r="AD238" s="337">
        <f t="shared" si="370"/>
        <v>0</v>
      </c>
      <c r="AE238" s="338">
        <f>AC238-AD238</f>
        <v>0</v>
      </c>
      <c r="AF238" s="336">
        <f t="shared" si="371"/>
        <v>0</v>
      </c>
      <c r="AG238" s="337">
        <f t="shared" si="371"/>
        <v>0</v>
      </c>
      <c r="AH238" s="338">
        <f>AF238-AG238</f>
        <v>0</v>
      </c>
      <c r="AI238" s="336">
        <f t="shared" si="372"/>
        <v>0</v>
      </c>
      <c r="AJ238" s="337">
        <f t="shared" si="372"/>
        <v>0</v>
      </c>
      <c r="AK238" s="338">
        <f>AI238-AJ238</f>
        <v>0</v>
      </c>
      <c r="AL238" s="342"/>
      <c r="AM238" s="336">
        <f t="shared" si="373"/>
        <v>2500</v>
      </c>
      <c r="AN238" s="339">
        <f t="shared" si="373"/>
        <v>2500</v>
      </c>
      <c r="AO238" s="340">
        <f>AM238-AN238</f>
        <v>0</v>
      </c>
      <c r="AP238" s="336">
        <f t="shared" si="374"/>
        <v>2500</v>
      </c>
      <c r="AQ238" s="339">
        <f t="shared" si="374"/>
        <v>2500</v>
      </c>
      <c r="AR238" s="340">
        <f>AP238-AQ238</f>
        <v>0</v>
      </c>
      <c r="AS238" s="341">
        <f t="shared" si="375"/>
        <v>2500</v>
      </c>
      <c r="AT238" s="339">
        <f t="shared" si="375"/>
        <v>2500</v>
      </c>
      <c r="AU238" s="340">
        <f>AS238-AT238</f>
        <v>0</v>
      </c>
      <c r="AV238" s="589"/>
      <c r="AW238" s="343"/>
      <c r="AX238" s="344"/>
      <c r="AY238" s="345"/>
      <c r="AZ238" s="344"/>
      <c r="BA238" s="345">
        <v>2500</v>
      </c>
      <c r="BB238" s="346">
        <v>2500</v>
      </c>
      <c r="BC238" s="347"/>
      <c r="BD238" s="348"/>
      <c r="BE238" s="349"/>
      <c r="BF238" s="348"/>
      <c r="BG238" s="349"/>
      <c r="BH238" s="350"/>
      <c r="BI238" s="351"/>
      <c r="BJ238" s="352"/>
      <c r="BK238" s="337"/>
      <c r="BL238" s="352"/>
      <c r="BM238" s="337"/>
      <c r="BN238" s="353"/>
      <c r="BO238" s="354"/>
      <c r="BP238" s="355"/>
      <c r="BQ238" s="356"/>
      <c r="BR238" s="355"/>
      <c r="BS238" s="356"/>
      <c r="BT238" s="357"/>
    </row>
    <row r="239" spans="1:72" s="313" customFormat="1" ht="102">
      <c r="A239" s="287">
        <v>228</v>
      </c>
      <c r="B239" s="941"/>
      <c r="C239" s="840"/>
      <c r="D239" s="841"/>
      <c r="E239" s="839"/>
      <c r="F239" s="821" t="s">
        <v>23</v>
      </c>
      <c r="G239" s="314">
        <v>2</v>
      </c>
      <c r="H239" s="739" t="s">
        <v>71</v>
      </c>
      <c r="I239" s="739">
        <v>244</v>
      </c>
      <c r="J239" s="740">
        <v>226</v>
      </c>
      <c r="K239" s="533" t="s">
        <v>480</v>
      </c>
      <c r="L239" s="1025">
        <v>2700</v>
      </c>
      <c r="M239" s="318"/>
      <c r="N239" s="318"/>
      <c r="O239" s="1052">
        <f t="shared" si="305"/>
        <v>2700</v>
      </c>
      <c r="P239" s="570"/>
      <c r="Q239" s="336">
        <v>0</v>
      </c>
      <c r="R239" s="329"/>
      <c r="S239" s="319">
        <v>0</v>
      </c>
      <c r="T239" s="329"/>
      <c r="U239" s="335"/>
      <c r="V239" s="596" t="s">
        <v>479</v>
      </c>
      <c r="W239" s="596" t="s">
        <v>506</v>
      </c>
      <c r="X239" s="596" t="s">
        <v>507</v>
      </c>
      <c r="Z239" s="336">
        <f t="shared" si="369"/>
        <v>2700</v>
      </c>
      <c r="AA239" s="337">
        <f t="shared" si="369"/>
        <v>2700</v>
      </c>
      <c r="AB239" s="338">
        <f>Z239-AA239</f>
        <v>0</v>
      </c>
      <c r="AC239" s="336">
        <f t="shared" si="370"/>
        <v>0</v>
      </c>
      <c r="AD239" s="337">
        <f t="shared" si="370"/>
        <v>0</v>
      </c>
      <c r="AE239" s="338">
        <f>AC239-AD239</f>
        <v>0</v>
      </c>
      <c r="AF239" s="336">
        <f t="shared" si="371"/>
        <v>0</v>
      </c>
      <c r="AG239" s="337">
        <f t="shared" si="371"/>
        <v>0</v>
      </c>
      <c r="AH239" s="338">
        <f>AF239-AG239</f>
        <v>0</v>
      </c>
      <c r="AI239" s="336">
        <f t="shared" si="372"/>
        <v>0</v>
      </c>
      <c r="AJ239" s="337">
        <f t="shared" si="372"/>
        <v>0</v>
      </c>
      <c r="AK239" s="338">
        <f>AI239-AJ239</f>
        <v>0</v>
      </c>
      <c r="AL239" s="342"/>
      <c r="AM239" s="336">
        <f t="shared" si="373"/>
        <v>2700</v>
      </c>
      <c r="AN239" s="339">
        <f t="shared" si="373"/>
        <v>2700</v>
      </c>
      <c r="AO239" s="340">
        <f>AM239-AN239</f>
        <v>0</v>
      </c>
      <c r="AP239" s="336">
        <f t="shared" si="374"/>
        <v>2700</v>
      </c>
      <c r="AQ239" s="339">
        <f t="shared" si="374"/>
        <v>2700</v>
      </c>
      <c r="AR239" s="340">
        <f>AP239-AQ239</f>
        <v>0</v>
      </c>
      <c r="AS239" s="341">
        <f t="shared" si="375"/>
        <v>2700</v>
      </c>
      <c r="AT239" s="339">
        <f t="shared" si="375"/>
        <v>2700</v>
      </c>
      <c r="AU239" s="340">
        <f>AS239-AT239</f>
        <v>0</v>
      </c>
      <c r="AV239" s="589"/>
      <c r="AW239" s="343"/>
      <c r="AX239" s="344"/>
      <c r="AY239" s="345">
        <v>2700</v>
      </c>
      <c r="AZ239" s="344">
        <v>2700</v>
      </c>
      <c r="BA239" s="345"/>
      <c r="BB239" s="346"/>
      <c r="BC239" s="347"/>
      <c r="BD239" s="348"/>
      <c r="BE239" s="349"/>
      <c r="BF239" s="348"/>
      <c r="BG239" s="349"/>
      <c r="BH239" s="350"/>
      <c r="BI239" s="351"/>
      <c r="BJ239" s="352"/>
      <c r="BK239" s="337"/>
      <c r="BL239" s="352"/>
      <c r="BM239" s="337"/>
      <c r="BN239" s="353"/>
      <c r="BO239" s="354"/>
      <c r="BP239" s="355"/>
      <c r="BQ239" s="356"/>
      <c r="BR239" s="355"/>
      <c r="BS239" s="356"/>
      <c r="BT239" s="357"/>
    </row>
    <row r="240" spans="1:72" s="313" customFormat="1" ht="38.25">
      <c r="A240" s="287">
        <v>229</v>
      </c>
      <c r="B240" s="941"/>
      <c r="C240" s="840"/>
      <c r="D240" s="841"/>
      <c r="E240" s="839"/>
      <c r="F240" s="821" t="s">
        <v>23</v>
      </c>
      <c r="G240" s="314">
        <v>2</v>
      </c>
      <c r="H240" s="739" t="s">
        <v>71</v>
      </c>
      <c r="I240" s="739">
        <v>244</v>
      </c>
      <c r="J240" s="740">
        <v>226</v>
      </c>
      <c r="K240" s="533" t="s">
        <v>548</v>
      </c>
      <c r="L240" s="1025">
        <v>10560</v>
      </c>
      <c r="M240" s="318"/>
      <c r="N240" s="318"/>
      <c r="O240" s="1052">
        <f t="shared" si="305"/>
        <v>10560</v>
      </c>
      <c r="P240" s="570"/>
      <c r="Q240" s="336">
        <v>0</v>
      </c>
      <c r="R240" s="329"/>
      <c r="S240" s="319">
        <v>0</v>
      </c>
      <c r="T240" s="329"/>
      <c r="U240" s="335"/>
      <c r="V240" s="596" t="s">
        <v>490</v>
      </c>
      <c r="W240" s="596" t="s">
        <v>549</v>
      </c>
      <c r="X240" s="596" t="s">
        <v>550</v>
      </c>
      <c r="Z240" s="336">
        <f t="shared" si="369"/>
        <v>0</v>
      </c>
      <c r="AA240" s="337">
        <f t="shared" si="369"/>
        <v>0</v>
      </c>
      <c r="AB240" s="338">
        <f>Z240-AA240</f>
        <v>0</v>
      </c>
      <c r="AC240" s="336">
        <f t="shared" si="370"/>
        <v>10560</v>
      </c>
      <c r="AD240" s="337">
        <f t="shared" si="370"/>
        <v>0</v>
      </c>
      <c r="AE240" s="338">
        <f>AC240-AD240</f>
        <v>10560</v>
      </c>
      <c r="AF240" s="336">
        <f t="shared" si="371"/>
        <v>0</v>
      </c>
      <c r="AG240" s="337">
        <f t="shared" si="371"/>
        <v>0</v>
      </c>
      <c r="AH240" s="338">
        <f>AF240-AG240</f>
        <v>0</v>
      </c>
      <c r="AI240" s="336">
        <f t="shared" si="372"/>
        <v>0</v>
      </c>
      <c r="AJ240" s="337">
        <f t="shared" si="372"/>
        <v>0</v>
      </c>
      <c r="AK240" s="338">
        <f>AI240-AJ240</f>
        <v>0</v>
      </c>
      <c r="AL240" s="342"/>
      <c r="AM240" s="336">
        <f t="shared" si="373"/>
        <v>10560</v>
      </c>
      <c r="AN240" s="339">
        <f t="shared" si="373"/>
        <v>0</v>
      </c>
      <c r="AO240" s="340">
        <f>AM240-AN240</f>
        <v>10560</v>
      </c>
      <c r="AP240" s="336">
        <f t="shared" si="374"/>
        <v>10560</v>
      </c>
      <c r="AQ240" s="339">
        <f t="shared" si="374"/>
        <v>0</v>
      </c>
      <c r="AR240" s="340">
        <f>AP240-AQ240</f>
        <v>10560</v>
      </c>
      <c r="AS240" s="341">
        <f t="shared" si="375"/>
        <v>10560</v>
      </c>
      <c r="AT240" s="339">
        <f t="shared" si="375"/>
        <v>0</v>
      </c>
      <c r="AU240" s="340">
        <f>AS240-AT240</f>
        <v>10560</v>
      </c>
      <c r="AV240" s="589"/>
      <c r="AW240" s="343"/>
      <c r="AX240" s="344"/>
      <c r="AY240" s="345"/>
      <c r="AZ240" s="344"/>
      <c r="BA240" s="345"/>
      <c r="BB240" s="346"/>
      <c r="BC240" s="347">
        <v>10560</v>
      </c>
      <c r="BD240" s="348"/>
      <c r="BE240" s="349"/>
      <c r="BF240" s="348"/>
      <c r="BG240" s="349"/>
      <c r="BH240" s="350"/>
      <c r="BI240" s="351"/>
      <c r="BJ240" s="352"/>
      <c r="BK240" s="337"/>
      <c r="BL240" s="352"/>
      <c r="BM240" s="337"/>
      <c r="BN240" s="353"/>
      <c r="BO240" s="354"/>
      <c r="BP240" s="355"/>
      <c r="BQ240" s="356"/>
      <c r="BR240" s="355"/>
      <c r="BS240" s="356"/>
      <c r="BT240" s="357"/>
    </row>
    <row r="241" spans="1:72" s="313" customFormat="1" ht="51" outlineLevel="1">
      <c r="A241" s="287">
        <v>230</v>
      </c>
      <c r="B241" s="1148"/>
      <c r="C241" s="840"/>
      <c r="D241" s="841"/>
      <c r="E241" s="839"/>
      <c r="F241" s="821" t="s">
        <v>23</v>
      </c>
      <c r="G241" s="314">
        <v>2</v>
      </c>
      <c r="H241" s="739" t="s">
        <v>71</v>
      </c>
      <c r="I241" s="739">
        <v>244</v>
      </c>
      <c r="J241" s="740">
        <v>226</v>
      </c>
      <c r="K241" s="533" t="s">
        <v>630</v>
      </c>
      <c r="L241" s="1025">
        <v>19200</v>
      </c>
      <c r="M241" s="318"/>
      <c r="N241" s="318"/>
      <c r="O241" s="1052">
        <f t="shared" si="305"/>
        <v>19200</v>
      </c>
      <c r="P241" s="570"/>
      <c r="Q241" s="336">
        <v>0</v>
      </c>
      <c r="R241" s="559"/>
      <c r="S241" s="541">
        <v>0</v>
      </c>
      <c r="T241" s="559"/>
      <c r="U241" s="335"/>
      <c r="V241" s="596" t="s">
        <v>628</v>
      </c>
      <c r="W241" s="596" t="s">
        <v>724</v>
      </c>
      <c r="X241" s="596" t="s">
        <v>725</v>
      </c>
      <c r="Z241" s="336">
        <f t="shared" si="369"/>
        <v>19200</v>
      </c>
      <c r="AA241" s="337">
        <f t="shared" si="369"/>
        <v>0</v>
      </c>
      <c r="AB241" s="338">
        <f t="shared" ref="AB241:AB242" si="376">Z241-AA241</f>
        <v>19200</v>
      </c>
      <c r="AC241" s="336">
        <f t="shared" si="370"/>
        <v>0</v>
      </c>
      <c r="AD241" s="337">
        <f t="shared" si="370"/>
        <v>0</v>
      </c>
      <c r="AE241" s="338">
        <f t="shared" ref="AE241:AE242" si="377">AC241-AD241</f>
        <v>0</v>
      </c>
      <c r="AF241" s="336">
        <f t="shared" si="371"/>
        <v>0</v>
      </c>
      <c r="AG241" s="337">
        <f t="shared" si="371"/>
        <v>0</v>
      </c>
      <c r="AH241" s="338">
        <f t="shared" ref="AH241:AH242" si="378">AF241-AG241</f>
        <v>0</v>
      </c>
      <c r="AI241" s="336">
        <f t="shared" si="372"/>
        <v>0</v>
      </c>
      <c r="AJ241" s="337">
        <f t="shared" si="372"/>
        <v>0</v>
      </c>
      <c r="AK241" s="338">
        <f t="shared" ref="AK241:AK242" si="379">AI241-AJ241</f>
        <v>0</v>
      </c>
      <c r="AL241" s="342"/>
      <c r="AM241" s="336">
        <f t="shared" si="373"/>
        <v>19200</v>
      </c>
      <c r="AN241" s="339">
        <f t="shared" si="373"/>
        <v>0</v>
      </c>
      <c r="AO241" s="340">
        <f t="shared" ref="AO241:AO242" si="380">AM241-AN241</f>
        <v>19200</v>
      </c>
      <c r="AP241" s="336">
        <f t="shared" si="374"/>
        <v>19200</v>
      </c>
      <c r="AQ241" s="339">
        <f t="shared" si="374"/>
        <v>0</v>
      </c>
      <c r="AR241" s="340">
        <f t="shared" ref="AR241:AR242" si="381">AP241-AQ241</f>
        <v>19200</v>
      </c>
      <c r="AS241" s="341">
        <f t="shared" si="375"/>
        <v>19200</v>
      </c>
      <c r="AT241" s="339">
        <f t="shared" si="375"/>
        <v>0</v>
      </c>
      <c r="AU241" s="340">
        <f t="shared" ref="AU241:AU242" si="382">AS241-AT241</f>
        <v>19200</v>
      </c>
      <c r="AV241" s="589">
        <f t="shared" ref="AV241:AV242" si="383">L241-AS241</f>
        <v>0</v>
      </c>
      <c r="AW241" s="343"/>
      <c r="AX241" s="344"/>
      <c r="AY241" s="345"/>
      <c r="AZ241" s="344"/>
      <c r="BA241" s="345">
        <v>19200</v>
      </c>
      <c r="BB241" s="346"/>
      <c r="BC241" s="347"/>
      <c r="BD241" s="348"/>
      <c r="BE241" s="349"/>
      <c r="BF241" s="348"/>
      <c r="BG241" s="349"/>
      <c r="BH241" s="350"/>
      <c r="BI241" s="351"/>
      <c r="BJ241" s="352"/>
      <c r="BK241" s="337"/>
      <c r="BL241" s="352"/>
      <c r="BM241" s="337"/>
      <c r="BN241" s="353"/>
      <c r="BO241" s="354"/>
      <c r="BP241" s="355"/>
      <c r="BQ241" s="356"/>
      <c r="BR241" s="355"/>
      <c r="BS241" s="356"/>
      <c r="BT241" s="357"/>
    </row>
    <row r="242" spans="1:72" s="313" customFormat="1" ht="38.25" outlineLevel="1">
      <c r="A242" s="287">
        <v>231</v>
      </c>
      <c r="B242" s="1148"/>
      <c r="C242" s="840"/>
      <c r="D242" s="841"/>
      <c r="E242" s="839"/>
      <c r="F242" s="821" t="s">
        <v>23</v>
      </c>
      <c r="G242" s="314">
        <v>2</v>
      </c>
      <c r="H242" s="739" t="s">
        <v>71</v>
      </c>
      <c r="I242" s="739">
        <v>244</v>
      </c>
      <c r="J242" s="740">
        <v>226</v>
      </c>
      <c r="K242" s="533" t="s">
        <v>631</v>
      </c>
      <c r="L242" s="1025">
        <v>25000</v>
      </c>
      <c r="M242" s="318"/>
      <c r="N242" s="318"/>
      <c r="O242" s="1052">
        <f t="shared" si="305"/>
        <v>25000</v>
      </c>
      <c r="P242" s="570"/>
      <c r="Q242" s="336">
        <v>0</v>
      </c>
      <c r="R242" s="559"/>
      <c r="S242" s="541">
        <v>0</v>
      </c>
      <c r="T242" s="559"/>
      <c r="U242" s="335"/>
      <c r="V242" s="596" t="s">
        <v>637</v>
      </c>
      <c r="W242" s="320" t="s">
        <v>481</v>
      </c>
      <c r="X242" s="320"/>
      <c r="Z242" s="336">
        <f t="shared" si="369"/>
        <v>25000</v>
      </c>
      <c r="AA242" s="337">
        <f t="shared" si="369"/>
        <v>0</v>
      </c>
      <c r="AB242" s="338">
        <f t="shared" si="376"/>
        <v>25000</v>
      </c>
      <c r="AC242" s="336">
        <f t="shared" si="370"/>
        <v>0</v>
      </c>
      <c r="AD242" s="337">
        <f t="shared" si="370"/>
        <v>0</v>
      </c>
      <c r="AE242" s="338">
        <f t="shared" si="377"/>
        <v>0</v>
      </c>
      <c r="AF242" s="336">
        <f t="shared" si="371"/>
        <v>0</v>
      </c>
      <c r="AG242" s="337">
        <f t="shared" si="371"/>
        <v>0</v>
      </c>
      <c r="AH242" s="338">
        <f t="shared" si="378"/>
        <v>0</v>
      </c>
      <c r="AI242" s="336">
        <f t="shared" si="372"/>
        <v>0</v>
      </c>
      <c r="AJ242" s="337">
        <f t="shared" si="372"/>
        <v>0</v>
      </c>
      <c r="AK242" s="338">
        <f t="shared" si="379"/>
        <v>0</v>
      </c>
      <c r="AL242" s="342"/>
      <c r="AM242" s="336">
        <f t="shared" si="373"/>
        <v>25000</v>
      </c>
      <c r="AN242" s="339">
        <f t="shared" si="373"/>
        <v>0</v>
      </c>
      <c r="AO242" s="340">
        <f t="shared" si="380"/>
        <v>25000</v>
      </c>
      <c r="AP242" s="336">
        <f t="shared" si="374"/>
        <v>25000</v>
      </c>
      <c r="AQ242" s="339">
        <f t="shared" si="374"/>
        <v>0</v>
      </c>
      <c r="AR242" s="340">
        <f t="shared" si="381"/>
        <v>25000</v>
      </c>
      <c r="AS242" s="341">
        <f t="shared" si="375"/>
        <v>25000</v>
      </c>
      <c r="AT242" s="339">
        <f t="shared" si="375"/>
        <v>0</v>
      </c>
      <c r="AU242" s="340">
        <f t="shared" si="382"/>
        <v>25000</v>
      </c>
      <c r="AV242" s="589">
        <f t="shared" si="383"/>
        <v>0</v>
      </c>
      <c r="AW242" s="343"/>
      <c r="AX242" s="344"/>
      <c r="AY242" s="345"/>
      <c r="AZ242" s="344"/>
      <c r="BA242" s="345">
        <v>25000</v>
      </c>
      <c r="BB242" s="346"/>
      <c r="BC242" s="347"/>
      <c r="BD242" s="348"/>
      <c r="BE242" s="349"/>
      <c r="BF242" s="348"/>
      <c r="BG242" s="349"/>
      <c r="BH242" s="350"/>
      <c r="BI242" s="351"/>
      <c r="BJ242" s="352"/>
      <c r="BK242" s="337"/>
      <c r="BL242" s="352"/>
      <c r="BM242" s="337"/>
      <c r="BN242" s="353"/>
      <c r="BO242" s="354"/>
      <c r="BP242" s="355"/>
      <c r="BQ242" s="356"/>
      <c r="BR242" s="355"/>
      <c r="BS242" s="356"/>
      <c r="BT242" s="357"/>
    </row>
    <row r="243" spans="1:72" s="313" customFormat="1" ht="63.75" outlineLevel="1">
      <c r="A243" s="287">
        <v>232</v>
      </c>
      <c r="B243" s="1149"/>
      <c r="C243" s="840"/>
      <c r="D243" s="853" t="s">
        <v>207</v>
      </c>
      <c r="E243" s="839"/>
      <c r="F243" s="821" t="s">
        <v>23</v>
      </c>
      <c r="G243" s="314">
        <v>2</v>
      </c>
      <c r="H243" s="739" t="s">
        <v>71</v>
      </c>
      <c r="I243" s="739">
        <v>244</v>
      </c>
      <c r="J243" s="740">
        <v>226</v>
      </c>
      <c r="K243" s="317" t="s">
        <v>664</v>
      </c>
      <c r="L243" s="1025">
        <v>24900</v>
      </c>
      <c r="M243" s="318"/>
      <c r="N243" s="318"/>
      <c r="O243" s="1052">
        <f>L243+N243</f>
        <v>24900</v>
      </c>
      <c r="P243" s="570"/>
      <c r="Q243" s="336">
        <v>0</v>
      </c>
      <c r="R243" s="559"/>
      <c r="S243" s="541">
        <v>0</v>
      </c>
      <c r="T243" s="559"/>
      <c r="U243" s="335"/>
      <c r="V243" s="596" t="s">
        <v>599</v>
      </c>
      <c r="W243" s="596" t="s">
        <v>662</v>
      </c>
      <c r="X243" s="596" t="s">
        <v>663</v>
      </c>
      <c r="Z243" s="336">
        <f>AW243+AY243+BA243</f>
        <v>24900</v>
      </c>
      <c r="AA243" s="337">
        <f>AX243+AZ243+BB243</f>
        <v>249000</v>
      </c>
      <c r="AB243" s="338">
        <f>Z243-AA243</f>
        <v>-224100</v>
      </c>
      <c r="AC243" s="336">
        <f>BC243+BE243+BG243</f>
        <v>0</v>
      </c>
      <c r="AD243" s="337">
        <f>BD243+BF243+BH243</f>
        <v>0</v>
      </c>
      <c r="AE243" s="338">
        <f>AC243-AD243</f>
        <v>0</v>
      </c>
      <c r="AF243" s="336">
        <f>BI243+BK243+BM243</f>
        <v>0</v>
      </c>
      <c r="AG243" s="337">
        <f>BJ243+BL243+BN243</f>
        <v>0</v>
      </c>
      <c r="AH243" s="338">
        <f>AF243-AG243</f>
        <v>0</v>
      </c>
      <c r="AI243" s="336">
        <f>BO243+BQ243+BS243</f>
        <v>0</v>
      </c>
      <c r="AJ243" s="337">
        <f>BP243+BR243+BT243</f>
        <v>0</v>
      </c>
      <c r="AK243" s="338">
        <f>AI243-AJ243</f>
        <v>0</v>
      </c>
      <c r="AL243" s="342"/>
      <c r="AM243" s="336">
        <f>Z243+AC243</f>
        <v>24900</v>
      </c>
      <c r="AN243" s="339">
        <f>AA243+AD243</f>
        <v>249000</v>
      </c>
      <c r="AO243" s="340">
        <f>AM243-AN243</f>
        <v>-224100</v>
      </c>
      <c r="AP243" s="336">
        <f>Z243+AC243+AF243</f>
        <v>24900</v>
      </c>
      <c r="AQ243" s="339">
        <f>AA243+AD243+AG243</f>
        <v>249000</v>
      </c>
      <c r="AR243" s="340">
        <f>AP243-AQ243</f>
        <v>-224100</v>
      </c>
      <c r="AS243" s="341">
        <f>Z243+AC243+AF243+AI243</f>
        <v>24900</v>
      </c>
      <c r="AT243" s="339">
        <f>AA243+AD243+AG243+AJ243</f>
        <v>249000</v>
      </c>
      <c r="AU243" s="340">
        <f>AS243-AT243</f>
        <v>-224100</v>
      </c>
      <c r="AV243" s="589"/>
      <c r="AW243" s="343"/>
      <c r="AX243" s="344"/>
      <c r="AY243" s="345"/>
      <c r="AZ243" s="344">
        <v>249000</v>
      </c>
      <c r="BA243" s="345">
        <v>24900</v>
      </c>
      <c r="BB243" s="346"/>
      <c r="BC243" s="347"/>
      <c r="BD243" s="348"/>
      <c r="BE243" s="349"/>
      <c r="BF243" s="348"/>
      <c r="BG243" s="349"/>
      <c r="BH243" s="350"/>
      <c r="BI243" s="351"/>
      <c r="BJ243" s="352"/>
      <c r="BK243" s="337"/>
      <c r="BL243" s="352"/>
      <c r="BM243" s="337"/>
      <c r="BN243" s="353"/>
      <c r="BO243" s="354"/>
      <c r="BP243" s="355"/>
      <c r="BQ243" s="356"/>
      <c r="BR243" s="355"/>
      <c r="BS243" s="356"/>
      <c r="BT243" s="357"/>
    </row>
    <row r="244" spans="1:72" s="313" customFormat="1" ht="51" outlineLevel="1">
      <c r="A244" s="287">
        <v>233</v>
      </c>
      <c r="B244" s="933"/>
      <c r="C244" s="840"/>
      <c r="D244" s="841"/>
      <c r="E244" s="839"/>
      <c r="F244" s="821" t="s">
        <v>23</v>
      </c>
      <c r="G244" s="314">
        <v>2</v>
      </c>
      <c r="H244" s="739" t="s">
        <v>71</v>
      </c>
      <c r="I244" s="739">
        <v>244</v>
      </c>
      <c r="J244" s="740">
        <v>226</v>
      </c>
      <c r="K244" s="533" t="s">
        <v>754</v>
      </c>
      <c r="L244" s="1025">
        <v>17655.259999999998</v>
      </c>
      <c r="M244" s="318"/>
      <c r="N244" s="318"/>
      <c r="O244" s="1052">
        <f t="shared" si="305"/>
        <v>17655.259999999998</v>
      </c>
      <c r="P244" s="570"/>
      <c r="Q244" s="336">
        <v>17655.259999999998</v>
      </c>
      <c r="R244" s="559"/>
      <c r="S244" s="541">
        <v>17655.259999999998</v>
      </c>
      <c r="T244" s="559"/>
      <c r="U244" s="335"/>
      <c r="V244" s="596" t="s">
        <v>172</v>
      </c>
      <c r="W244" s="596" t="s">
        <v>753</v>
      </c>
      <c r="X244" s="388"/>
      <c r="Z244" s="336">
        <f t="shared" si="369"/>
        <v>9000</v>
      </c>
      <c r="AA244" s="337">
        <f t="shared" si="369"/>
        <v>0</v>
      </c>
      <c r="AB244" s="338">
        <f t="shared" si="307"/>
        <v>9000</v>
      </c>
      <c r="AC244" s="336">
        <f t="shared" si="370"/>
        <v>8655.26</v>
      </c>
      <c r="AD244" s="337">
        <f t="shared" si="370"/>
        <v>0</v>
      </c>
      <c r="AE244" s="338">
        <f t="shared" si="309"/>
        <v>8655.26</v>
      </c>
      <c r="AF244" s="336">
        <f t="shared" si="371"/>
        <v>0</v>
      </c>
      <c r="AG244" s="337">
        <f t="shared" si="371"/>
        <v>0</v>
      </c>
      <c r="AH244" s="338">
        <f t="shared" si="311"/>
        <v>0</v>
      </c>
      <c r="AI244" s="336">
        <f t="shared" si="372"/>
        <v>0</v>
      </c>
      <c r="AJ244" s="337">
        <f t="shared" si="372"/>
        <v>0</v>
      </c>
      <c r="AK244" s="338">
        <f t="shared" si="313"/>
        <v>0</v>
      </c>
      <c r="AL244" s="342"/>
      <c r="AM244" s="336">
        <f t="shared" si="373"/>
        <v>17655.259999999998</v>
      </c>
      <c r="AN244" s="339">
        <f t="shared" si="373"/>
        <v>0</v>
      </c>
      <c r="AO244" s="340">
        <f t="shared" si="315"/>
        <v>17655.259999999998</v>
      </c>
      <c r="AP244" s="336">
        <f t="shared" si="374"/>
        <v>17655.259999999998</v>
      </c>
      <c r="AQ244" s="339">
        <f t="shared" si="374"/>
        <v>0</v>
      </c>
      <c r="AR244" s="340">
        <f t="shared" si="301"/>
        <v>17655.259999999998</v>
      </c>
      <c r="AS244" s="341">
        <f t="shared" si="375"/>
        <v>17655.259999999998</v>
      </c>
      <c r="AT244" s="339">
        <f t="shared" si="375"/>
        <v>0</v>
      </c>
      <c r="AU244" s="340">
        <f t="shared" si="303"/>
        <v>17655.259999999998</v>
      </c>
      <c r="AV244" s="589">
        <f t="shared" si="331"/>
        <v>0</v>
      </c>
      <c r="AW244" s="343"/>
      <c r="AX244" s="344"/>
      <c r="AY244" s="345"/>
      <c r="AZ244" s="344"/>
      <c r="BA244" s="345">
        <v>9000</v>
      </c>
      <c r="BB244" s="346"/>
      <c r="BC244" s="1134">
        <f>4106+349</f>
        <v>4455</v>
      </c>
      <c r="BD244" s="348"/>
      <c r="BE244" s="349">
        <f>4500-299.74</f>
        <v>4200.26</v>
      </c>
      <c r="BF244" s="348"/>
      <c r="BG244" s="349"/>
      <c r="BH244" s="350"/>
      <c r="BI244" s="351"/>
      <c r="BJ244" s="352"/>
      <c r="BK244" s="337"/>
      <c r="BL244" s="352"/>
      <c r="BM244" s="337"/>
      <c r="BN244" s="353"/>
      <c r="BO244" s="354"/>
      <c r="BP244" s="355"/>
      <c r="BQ244" s="356"/>
      <c r="BR244" s="355"/>
      <c r="BS244" s="356"/>
      <c r="BT244" s="357"/>
    </row>
    <row r="245" spans="1:72" s="313" customFormat="1" ht="38.25" outlineLevel="1">
      <c r="A245" s="287">
        <v>234</v>
      </c>
      <c r="B245" s="933"/>
      <c r="C245" s="840"/>
      <c r="D245" s="841"/>
      <c r="E245" s="839"/>
      <c r="F245" s="821" t="s">
        <v>23</v>
      </c>
      <c r="G245" s="314">
        <v>2</v>
      </c>
      <c r="H245" s="739" t="s">
        <v>71</v>
      </c>
      <c r="I245" s="739">
        <v>244</v>
      </c>
      <c r="J245" s="740">
        <v>226</v>
      </c>
      <c r="K245" s="533" t="s">
        <v>373</v>
      </c>
      <c r="L245" s="1025">
        <v>418590</v>
      </c>
      <c r="M245" s="318"/>
      <c r="N245" s="318"/>
      <c r="O245" s="1052">
        <f t="shared" si="305"/>
        <v>418590</v>
      </c>
      <c r="P245" s="570"/>
      <c r="Q245" s="336">
        <v>418590</v>
      </c>
      <c r="R245" s="559"/>
      <c r="S245" s="541">
        <v>418590</v>
      </c>
      <c r="T245" s="559"/>
      <c r="U245" s="335"/>
      <c r="V245" s="320"/>
      <c r="W245" s="388"/>
      <c r="X245" s="388"/>
      <c r="Z245" s="336">
        <f t="shared" si="369"/>
        <v>220000</v>
      </c>
      <c r="AA245" s="337">
        <f t="shared" si="369"/>
        <v>0</v>
      </c>
      <c r="AB245" s="338">
        <f t="shared" si="307"/>
        <v>220000</v>
      </c>
      <c r="AC245" s="336">
        <f t="shared" si="370"/>
        <v>100000</v>
      </c>
      <c r="AD245" s="337">
        <f t="shared" si="370"/>
        <v>0</v>
      </c>
      <c r="AE245" s="338">
        <f t="shared" si="309"/>
        <v>100000</v>
      </c>
      <c r="AF245" s="336">
        <f t="shared" si="371"/>
        <v>0</v>
      </c>
      <c r="AG245" s="337">
        <f t="shared" si="371"/>
        <v>0</v>
      </c>
      <c r="AH245" s="338">
        <f t="shared" si="311"/>
        <v>0</v>
      </c>
      <c r="AI245" s="336">
        <f t="shared" si="372"/>
        <v>98590</v>
      </c>
      <c r="AJ245" s="337">
        <f t="shared" si="372"/>
        <v>0</v>
      </c>
      <c r="AK245" s="338">
        <f t="shared" si="313"/>
        <v>98590</v>
      </c>
      <c r="AL245" s="342"/>
      <c r="AM245" s="336">
        <f t="shared" si="373"/>
        <v>320000</v>
      </c>
      <c r="AN245" s="339">
        <f t="shared" si="373"/>
        <v>0</v>
      </c>
      <c r="AO245" s="340">
        <f t="shared" si="315"/>
        <v>320000</v>
      </c>
      <c r="AP245" s="336">
        <f t="shared" si="374"/>
        <v>320000</v>
      </c>
      <c r="AQ245" s="339">
        <f t="shared" si="374"/>
        <v>0</v>
      </c>
      <c r="AR245" s="340">
        <f t="shared" si="301"/>
        <v>320000</v>
      </c>
      <c r="AS245" s="341">
        <f t="shared" si="375"/>
        <v>418590</v>
      </c>
      <c r="AT245" s="339">
        <f t="shared" si="375"/>
        <v>0</v>
      </c>
      <c r="AU245" s="340">
        <f t="shared" si="303"/>
        <v>418590</v>
      </c>
      <c r="AV245" s="589">
        <f t="shared" si="331"/>
        <v>0</v>
      </c>
      <c r="AW245" s="343"/>
      <c r="AX245" s="344"/>
      <c r="AY245" s="345"/>
      <c r="AZ245" s="344"/>
      <c r="BA245" s="345">
        <v>220000</v>
      </c>
      <c r="BB245" s="346"/>
      <c r="BC245" s="347"/>
      <c r="BD245" s="348"/>
      <c r="BE245" s="349">
        <v>100000</v>
      </c>
      <c r="BF245" s="348"/>
      <c r="BG245" s="349"/>
      <c r="BH245" s="350"/>
      <c r="BI245" s="351"/>
      <c r="BJ245" s="352"/>
      <c r="BK245" s="337"/>
      <c r="BL245" s="352"/>
      <c r="BM245" s="337"/>
      <c r="BN245" s="353"/>
      <c r="BO245" s="354"/>
      <c r="BP245" s="355"/>
      <c r="BQ245" s="356"/>
      <c r="BR245" s="355"/>
      <c r="BS245" s="356">
        <v>98590</v>
      </c>
      <c r="BT245" s="357"/>
    </row>
    <row r="246" spans="1:72" s="358" customFormat="1" ht="31.5">
      <c r="A246" s="287">
        <v>235</v>
      </c>
      <c r="B246" s="941"/>
      <c r="C246" s="837"/>
      <c r="D246" s="853" t="s">
        <v>216</v>
      </c>
      <c r="E246" s="836" t="s">
        <v>201</v>
      </c>
      <c r="F246" s="820" t="s">
        <v>23</v>
      </c>
      <c r="G246" s="360">
        <v>2</v>
      </c>
      <c r="H246" s="360" t="s">
        <v>71</v>
      </c>
      <c r="I246" s="360">
        <v>851</v>
      </c>
      <c r="J246" s="361">
        <v>291</v>
      </c>
      <c r="K246" s="532" t="s">
        <v>28</v>
      </c>
      <c r="L246" s="1023">
        <v>4828.1099999999997</v>
      </c>
      <c r="M246" s="363"/>
      <c r="N246" s="363"/>
      <c r="O246" s="1051">
        <f t="shared" si="305"/>
        <v>4828.1099999999997</v>
      </c>
      <c r="P246" s="557"/>
      <c r="Q246" s="367">
        <v>0</v>
      </c>
      <c r="R246" s="557"/>
      <c r="S246" s="367">
        <v>0</v>
      </c>
      <c r="T246" s="557"/>
      <c r="U246" s="365"/>
      <c r="V246" s="366"/>
      <c r="W246" s="366"/>
      <c r="X246" s="366"/>
      <c r="Z246" s="367">
        <f t="shared" si="369"/>
        <v>99437</v>
      </c>
      <c r="AA246" s="363">
        <f t="shared" si="369"/>
        <v>0</v>
      </c>
      <c r="AB246" s="280">
        <f t="shared" si="307"/>
        <v>99437</v>
      </c>
      <c r="AC246" s="367">
        <f t="shared" si="370"/>
        <v>0</v>
      </c>
      <c r="AD246" s="363">
        <f t="shared" si="370"/>
        <v>0</v>
      </c>
      <c r="AE246" s="280">
        <f t="shared" si="309"/>
        <v>0</v>
      </c>
      <c r="AF246" s="367">
        <f t="shared" si="371"/>
        <v>0</v>
      </c>
      <c r="AG246" s="363">
        <f t="shared" si="371"/>
        <v>0</v>
      </c>
      <c r="AH246" s="280">
        <f t="shared" si="311"/>
        <v>0</v>
      </c>
      <c r="AI246" s="367">
        <f t="shared" si="372"/>
        <v>0</v>
      </c>
      <c r="AJ246" s="363">
        <f t="shared" si="372"/>
        <v>0</v>
      </c>
      <c r="AK246" s="280">
        <f t="shared" si="313"/>
        <v>0</v>
      </c>
      <c r="AL246" s="368"/>
      <c r="AM246" s="367">
        <f t="shared" si="373"/>
        <v>99437</v>
      </c>
      <c r="AN246" s="363">
        <f t="shared" si="373"/>
        <v>0</v>
      </c>
      <c r="AO246" s="280">
        <f t="shared" si="315"/>
        <v>99437</v>
      </c>
      <c r="AP246" s="367">
        <f t="shared" si="374"/>
        <v>99437</v>
      </c>
      <c r="AQ246" s="363">
        <f t="shared" si="374"/>
        <v>0</v>
      </c>
      <c r="AR246" s="280">
        <f t="shared" si="301"/>
        <v>99437</v>
      </c>
      <c r="AS246" s="367">
        <f t="shared" si="375"/>
        <v>99437</v>
      </c>
      <c r="AT246" s="363">
        <f t="shared" si="375"/>
        <v>0</v>
      </c>
      <c r="AU246" s="280">
        <f t="shared" si="303"/>
        <v>99437</v>
      </c>
      <c r="AV246" s="588">
        <f t="shared" si="331"/>
        <v>-94608.89</v>
      </c>
      <c r="AW246" s="367">
        <v>99437</v>
      </c>
      <c r="AX246" s="363"/>
      <c r="AY246" s="363"/>
      <c r="AZ246" s="363"/>
      <c r="BA246" s="363"/>
      <c r="BB246" s="369"/>
      <c r="BC246" s="367"/>
      <c r="BD246" s="363"/>
      <c r="BE246" s="363"/>
      <c r="BF246" s="363"/>
      <c r="BG246" s="363"/>
      <c r="BH246" s="369"/>
      <c r="BI246" s="367"/>
      <c r="BJ246" s="363"/>
      <c r="BK246" s="363"/>
      <c r="BL246" s="363"/>
      <c r="BM246" s="363"/>
      <c r="BN246" s="369"/>
      <c r="BO246" s="367"/>
      <c r="BP246" s="363"/>
      <c r="BQ246" s="363"/>
      <c r="BR246" s="363"/>
      <c r="BS246" s="363"/>
      <c r="BT246" s="280"/>
    </row>
    <row r="247" spans="1:72" s="358" customFormat="1" ht="31.5">
      <c r="A247" s="287">
        <v>236</v>
      </c>
      <c r="B247" s="1150"/>
      <c r="C247" s="850" t="s">
        <v>377</v>
      </c>
      <c r="D247" s="838"/>
      <c r="E247" s="836" t="s">
        <v>201</v>
      </c>
      <c r="F247" s="820" t="s">
        <v>23</v>
      </c>
      <c r="G247" s="360">
        <v>2</v>
      </c>
      <c r="H247" s="360" t="s">
        <v>71</v>
      </c>
      <c r="I247" s="360">
        <v>853</v>
      </c>
      <c r="J247" s="361">
        <v>295</v>
      </c>
      <c r="K247" s="532" t="s">
        <v>795</v>
      </c>
      <c r="L247" s="1023">
        <f>SUM(L248:L249)</f>
        <v>590500.68000000005</v>
      </c>
      <c r="M247" s="363"/>
      <c r="N247" s="363">
        <f>SUM(N248:N249)</f>
        <v>0</v>
      </c>
      <c r="O247" s="1051">
        <f t="shared" si="305"/>
        <v>590500.68000000005</v>
      </c>
      <c r="P247" s="571"/>
      <c r="Q247" s="367">
        <f>SUM(Q248:Q249)</f>
        <v>0</v>
      </c>
      <c r="R247" s="557"/>
      <c r="S247" s="367">
        <f>SUM(S248:S249)</f>
        <v>0</v>
      </c>
      <c r="T247" s="557"/>
      <c r="U247" s="365"/>
      <c r="V247" s="366"/>
      <c r="W247" s="366"/>
      <c r="X247" s="366"/>
      <c r="Z247" s="367">
        <f t="shared" si="369"/>
        <v>0</v>
      </c>
      <c r="AA247" s="363">
        <f t="shared" si="369"/>
        <v>0</v>
      </c>
      <c r="AB247" s="280">
        <f t="shared" si="307"/>
        <v>0</v>
      </c>
      <c r="AC247" s="367">
        <f t="shared" si="370"/>
        <v>15000</v>
      </c>
      <c r="AD247" s="363">
        <f t="shared" si="370"/>
        <v>0</v>
      </c>
      <c r="AE247" s="280">
        <f t="shared" si="309"/>
        <v>15000</v>
      </c>
      <c r="AF247" s="367">
        <f t="shared" si="371"/>
        <v>15000</v>
      </c>
      <c r="AG247" s="363">
        <f t="shared" si="371"/>
        <v>0</v>
      </c>
      <c r="AH247" s="280">
        <f t="shared" si="311"/>
        <v>15000</v>
      </c>
      <c r="AI247" s="367">
        <f t="shared" si="372"/>
        <v>560500.68000000005</v>
      </c>
      <c r="AJ247" s="363">
        <f t="shared" si="372"/>
        <v>0</v>
      </c>
      <c r="AK247" s="280">
        <f t="shared" si="313"/>
        <v>560500.68000000005</v>
      </c>
      <c r="AL247" s="368"/>
      <c r="AM247" s="367">
        <f t="shared" si="373"/>
        <v>15000</v>
      </c>
      <c r="AN247" s="363">
        <f t="shared" si="373"/>
        <v>0</v>
      </c>
      <c r="AO247" s="280">
        <f t="shared" si="315"/>
        <v>15000</v>
      </c>
      <c r="AP247" s="367">
        <f t="shared" si="374"/>
        <v>30000</v>
      </c>
      <c r="AQ247" s="363">
        <f t="shared" si="374"/>
        <v>0</v>
      </c>
      <c r="AR247" s="280">
        <f t="shared" si="301"/>
        <v>30000</v>
      </c>
      <c r="AS247" s="367">
        <f t="shared" si="375"/>
        <v>590500.68000000005</v>
      </c>
      <c r="AT247" s="363">
        <f t="shared" si="375"/>
        <v>0</v>
      </c>
      <c r="AU247" s="280">
        <f t="shared" si="303"/>
        <v>590500.68000000005</v>
      </c>
      <c r="AV247" s="588">
        <f t="shared" si="331"/>
        <v>0</v>
      </c>
      <c r="AW247" s="367">
        <f t="shared" ref="AW247:BT247" si="384">SUM(AW248:AW249)</f>
        <v>0</v>
      </c>
      <c r="AX247" s="363">
        <f t="shared" si="384"/>
        <v>0</v>
      </c>
      <c r="AY247" s="363">
        <f t="shared" si="384"/>
        <v>0</v>
      </c>
      <c r="AZ247" s="363">
        <f t="shared" si="384"/>
        <v>0</v>
      </c>
      <c r="BA247" s="363">
        <f t="shared" si="384"/>
        <v>0</v>
      </c>
      <c r="BB247" s="369">
        <f t="shared" si="384"/>
        <v>0</v>
      </c>
      <c r="BC247" s="367">
        <f t="shared" si="384"/>
        <v>0</v>
      </c>
      <c r="BD247" s="363">
        <f t="shared" si="384"/>
        <v>0</v>
      </c>
      <c r="BE247" s="363">
        <f t="shared" si="384"/>
        <v>10000</v>
      </c>
      <c r="BF247" s="363">
        <f t="shared" si="384"/>
        <v>0</v>
      </c>
      <c r="BG247" s="363">
        <f t="shared" si="384"/>
        <v>5000</v>
      </c>
      <c r="BH247" s="369">
        <f t="shared" si="384"/>
        <v>0</v>
      </c>
      <c r="BI247" s="367">
        <f t="shared" si="384"/>
        <v>0</v>
      </c>
      <c r="BJ247" s="363">
        <f t="shared" si="384"/>
        <v>0</v>
      </c>
      <c r="BK247" s="363">
        <f t="shared" si="384"/>
        <v>0</v>
      </c>
      <c r="BL247" s="363">
        <f t="shared" si="384"/>
        <v>0</v>
      </c>
      <c r="BM247" s="363">
        <f t="shared" si="384"/>
        <v>15000</v>
      </c>
      <c r="BN247" s="369">
        <f t="shared" si="384"/>
        <v>0</v>
      </c>
      <c r="BO247" s="367">
        <f t="shared" si="384"/>
        <v>110000</v>
      </c>
      <c r="BP247" s="363">
        <f t="shared" si="384"/>
        <v>0</v>
      </c>
      <c r="BQ247" s="363">
        <f t="shared" si="384"/>
        <v>200000</v>
      </c>
      <c r="BR247" s="363">
        <f t="shared" si="384"/>
        <v>0</v>
      </c>
      <c r="BS247" s="363">
        <f t="shared" si="384"/>
        <v>250500.68</v>
      </c>
      <c r="BT247" s="280">
        <f t="shared" si="384"/>
        <v>0</v>
      </c>
    </row>
    <row r="248" spans="1:72" s="313" customFormat="1" ht="51" outlineLevel="2">
      <c r="A248" s="287">
        <v>237</v>
      </c>
      <c r="B248" s="941"/>
      <c r="C248" s="840"/>
      <c r="D248" s="841"/>
      <c r="E248" s="839"/>
      <c r="F248" s="821" t="s">
        <v>23</v>
      </c>
      <c r="G248" s="314">
        <v>2</v>
      </c>
      <c r="H248" s="739" t="s">
        <v>71</v>
      </c>
      <c r="I248" s="739">
        <v>853</v>
      </c>
      <c r="J248" s="740">
        <v>295</v>
      </c>
      <c r="K248" s="533" t="s">
        <v>796</v>
      </c>
      <c r="L248" s="1013">
        <v>590500.68000000005</v>
      </c>
      <c r="M248" s="318"/>
      <c r="N248" s="318"/>
      <c r="O248" s="1052">
        <f t="shared" si="305"/>
        <v>590500.68000000005</v>
      </c>
      <c r="P248" s="570"/>
      <c r="Q248" s="336">
        <v>0</v>
      </c>
      <c r="R248" s="559"/>
      <c r="S248" s="541">
        <v>0</v>
      </c>
      <c r="T248" s="559"/>
      <c r="U248" s="335"/>
      <c r="V248" s="596" t="s">
        <v>797</v>
      </c>
      <c r="W248" s="320"/>
      <c r="X248" s="320"/>
      <c r="Z248" s="336">
        <f t="shared" si="369"/>
        <v>0</v>
      </c>
      <c r="AA248" s="337">
        <f t="shared" si="369"/>
        <v>0</v>
      </c>
      <c r="AB248" s="338">
        <f t="shared" si="307"/>
        <v>0</v>
      </c>
      <c r="AC248" s="336">
        <f t="shared" si="370"/>
        <v>15000</v>
      </c>
      <c r="AD248" s="337">
        <f t="shared" si="370"/>
        <v>0</v>
      </c>
      <c r="AE248" s="338">
        <f t="shared" si="309"/>
        <v>15000</v>
      </c>
      <c r="AF248" s="336">
        <f t="shared" si="371"/>
        <v>15000</v>
      </c>
      <c r="AG248" s="337">
        <f t="shared" si="371"/>
        <v>0</v>
      </c>
      <c r="AH248" s="338">
        <f t="shared" si="311"/>
        <v>15000</v>
      </c>
      <c r="AI248" s="336">
        <f t="shared" si="372"/>
        <v>560500.68000000005</v>
      </c>
      <c r="AJ248" s="337">
        <f t="shared" si="372"/>
        <v>0</v>
      </c>
      <c r="AK248" s="338">
        <f t="shared" si="313"/>
        <v>560500.68000000005</v>
      </c>
      <c r="AL248" s="342"/>
      <c r="AM248" s="336">
        <f t="shared" si="373"/>
        <v>15000</v>
      </c>
      <c r="AN248" s="339">
        <f t="shared" si="373"/>
        <v>0</v>
      </c>
      <c r="AO248" s="340">
        <f t="shared" si="315"/>
        <v>15000</v>
      </c>
      <c r="AP248" s="336">
        <f t="shared" si="374"/>
        <v>30000</v>
      </c>
      <c r="AQ248" s="339">
        <f t="shared" si="374"/>
        <v>0</v>
      </c>
      <c r="AR248" s="340">
        <f t="shared" si="301"/>
        <v>30000</v>
      </c>
      <c r="AS248" s="341">
        <f t="shared" si="375"/>
        <v>590500.68000000005</v>
      </c>
      <c r="AT248" s="339">
        <f t="shared" si="375"/>
        <v>0</v>
      </c>
      <c r="AU248" s="340">
        <f t="shared" si="303"/>
        <v>590500.68000000005</v>
      </c>
      <c r="AV248" s="589">
        <f t="shared" si="331"/>
        <v>0</v>
      </c>
      <c r="AW248" s="343"/>
      <c r="AX248" s="344"/>
      <c r="AY248" s="345"/>
      <c r="AZ248" s="344"/>
      <c r="BA248" s="345"/>
      <c r="BB248" s="346"/>
      <c r="BC248" s="1134"/>
      <c r="BD248" s="348"/>
      <c r="BE248" s="349">
        <v>10000</v>
      </c>
      <c r="BF248" s="348"/>
      <c r="BG248" s="349">
        <v>5000</v>
      </c>
      <c r="BH248" s="350"/>
      <c r="BI248" s="351"/>
      <c r="BJ248" s="352"/>
      <c r="BK248" s="351"/>
      <c r="BL248" s="352"/>
      <c r="BM248" s="1137">
        <f>5000+10000</f>
        <v>15000</v>
      </c>
      <c r="BN248" s="920"/>
      <c r="BO248" s="1138">
        <f>10000+100000</f>
        <v>110000</v>
      </c>
      <c r="BP248" s="1142"/>
      <c r="BQ248" s="1139">
        <f>100000+100000</f>
        <v>200000</v>
      </c>
      <c r="BR248" s="1142"/>
      <c r="BS248" s="1139">
        <f>100000+100000+50500.68</f>
        <v>250500.68</v>
      </c>
      <c r="BT248" s="357"/>
    </row>
    <row r="249" spans="1:72" s="615" customFormat="1" ht="25.5" outlineLevel="1">
      <c r="A249" s="287">
        <v>238</v>
      </c>
      <c r="B249" s="941"/>
      <c r="C249" s="866"/>
      <c r="D249" s="867"/>
      <c r="E249" s="867"/>
      <c r="F249" s="832" t="s">
        <v>23</v>
      </c>
      <c r="G249" s="616">
        <v>2</v>
      </c>
      <c r="H249" s="749" t="s">
        <v>71</v>
      </c>
      <c r="I249" s="749">
        <v>853</v>
      </c>
      <c r="J249" s="750">
        <v>295</v>
      </c>
      <c r="K249" s="932" t="s">
        <v>214</v>
      </c>
      <c r="L249" s="1043">
        <v>0</v>
      </c>
      <c r="M249" s="619"/>
      <c r="N249" s="619"/>
      <c r="O249" s="1054">
        <f t="shared" si="305"/>
        <v>0</v>
      </c>
      <c r="P249" s="620"/>
      <c r="Q249" s="509">
        <v>0</v>
      </c>
      <c r="R249" s="560"/>
      <c r="S249" s="542">
        <v>0</v>
      </c>
      <c r="T249" s="560"/>
      <c r="U249" s="621"/>
      <c r="V249" s="320"/>
      <c r="W249" s="320"/>
      <c r="X249" s="320"/>
      <c r="Z249" s="509">
        <f>AW249+AY249+BA249</f>
        <v>0</v>
      </c>
      <c r="AA249" s="622">
        <f>AX249+AZ249+BB249</f>
        <v>0</v>
      </c>
      <c r="AB249" s="623">
        <f>Z249-AA249</f>
        <v>0</v>
      </c>
      <c r="AC249" s="509">
        <f>BC249+BE249+BG249</f>
        <v>0</v>
      </c>
      <c r="AD249" s="622">
        <f>BD249+BF249+BH249</f>
        <v>0</v>
      </c>
      <c r="AE249" s="623">
        <f>AC249-AD249</f>
        <v>0</v>
      </c>
      <c r="AF249" s="509">
        <f>BI249+BK249+BM249</f>
        <v>0</v>
      </c>
      <c r="AG249" s="622">
        <f>BJ249+BL249+BN249</f>
        <v>0</v>
      </c>
      <c r="AH249" s="623">
        <f>AF249-AG249</f>
        <v>0</v>
      </c>
      <c r="AI249" s="509">
        <f>BO249+BQ249+BS249</f>
        <v>0</v>
      </c>
      <c r="AJ249" s="622">
        <f>BP249+BR249+BT249</f>
        <v>0</v>
      </c>
      <c r="AK249" s="623">
        <f>AI249-AJ249</f>
        <v>0</v>
      </c>
      <c r="AL249" s="624"/>
      <c r="AM249" s="509">
        <f>Z249+AC249</f>
        <v>0</v>
      </c>
      <c r="AN249" s="625">
        <f>AA249+AD249</f>
        <v>0</v>
      </c>
      <c r="AO249" s="626">
        <f>AM249-AN249</f>
        <v>0</v>
      </c>
      <c r="AP249" s="509">
        <f>Z249+AC249+AF249</f>
        <v>0</v>
      </c>
      <c r="AQ249" s="625">
        <f>AA249+AD249+AG249</f>
        <v>0</v>
      </c>
      <c r="AR249" s="626">
        <f>AP249-AQ249</f>
        <v>0</v>
      </c>
      <c r="AS249" s="510">
        <f>Z249+AC249+AF249+AI249</f>
        <v>0</v>
      </c>
      <c r="AT249" s="625">
        <f>AA249+AD249+AG249+AJ249</f>
        <v>0</v>
      </c>
      <c r="AU249" s="626">
        <f>AS249-AT249</f>
        <v>0</v>
      </c>
      <c r="AV249" s="627">
        <f t="shared" si="331"/>
        <v>0</v>
      </c>
      <c r="AW249" s="628"/>
      <c r="AX249" s="629"/>
      <c r="AY249" s="630"/>
      <c r="AZ249" s="629"/>
      <c r="BA249" s="630"/>
      <c r="BB249" s="631"/>
      <c r="BC249" s="632"/>
      <c r="BD249" s="633"/>
      <c r="BE249" s="634"/>
      <c r="BF249" s="633"/>
      <c r="BG249" s="634"/>
      <c r="BH249" s="635"/>
      <c r="BI249" s="636"/>
      <c r="BJ249" s="637"/>
      <c r="BK249" s="622"/>
      <c r="BL249" s="637"/>
      <c r="BM249" s="622"/>
      <c r="BN249" s="638"/>
      <c r="BO249" s="639"/>
      <c r="BP249" s="640"/>
      <c r="BQ249" s="641"/>
      <c r="BR249" s="640"/>
      <c r="BS249" s="641"/>
      <c r="BT249" s="642"/>
    </row>
    <row r="250" spans="1:72" s="358" customFormat="1" ht="31.5">
      <c r="A250" s="287">
        <v>239</v>
      </c>
      <c r="B250" s="933"/>
      <c r="C250" s="837"/>
      <c r="D250" s="838"/>
      <c r="E250" s="836" t="s">
        <v>201</v>
      </c>
      <c r="F250" s="820" t="s">
        <v>23</v>
      </c>
      <c r="G250" s="360">
        <v>2</v>
      </c>
      <c r="H250" s="360" t="s">
        <v>71</v>
      </c>
      <c r="I250" s="360">
        <v>853</v>
      </c>
      <c r="J250" s="361">
        <v>297</v>
      </c>
      <c r="K250" s="532" t="s">
        <v>38</v>
      </c>
      <c r="L250" s="1023">
        <v>7426.01</v>
      </c>
      <c r="M250" s="363"/>
      <c r="N250" s="363"/>
      <c r="O250" s="1051">
        <f t="shared" si="305"/>
        <v>7426.01</v>
      </c>
      <c r="P250" s="571"/>
      <c r="Q250" s="367">
        <v>7426.01</v>
      </c>
      <c r="R250" s="557"/>
      <c r="S250" s="539">
        <v>7426.01</v>
      </c>
      <c r="T250" s="557"/>
      <c r="U250" s="365"/>
      <c r="V250" s="366"/>
      <c r="W250" s="366"/>
      <c r="X250" s="366"/>
      <c r="Z250" s="367">
        <f t="shared" si="369"/>
        <v>7426.01</v>
      </c>
      <c r="AA250" s="363">
        <f t="shared" si="369"/>
        <v>62460.71</v>
      </c>
      <c r="AB250" s="280">
        <f t="shared" si="307"/>
        <v>-55034.7</v>
      </c>
      <c r="AC250" s="367">
        <f t="shared" si="370"/>
        <v>16866.439999999999</v>
      </c>
      <c r="AD250" s="363">
        <f t="shared" si="370"/>
        <v>0</v>
      </c>
      <c r="AE250" s="280">
        <f t="shared" si="309"/>
        <v>16866.439999999999</v>
      </c>
      <c r="AF250" s="367">
        <f t="shared" si="371"/>
        <v>0</v>
      </c>
      <c r="AG250" s="363">
        <f t="shared" si="371"/>
        <v>0</v>
      </c>
      <c r="AH250" s="280">
        <f t="shared" si="311"/>
        <v>0</v>
      </c>
      <c r="AI250" s="367">
        <f t="shared" si="372"/>
        <v>0</v>
      </c>
      <c r="AJ250" s="363">
        <f t="shared" si="372"/>
        <v>0</v>
      </c>
      <c r="AK250" s="280">
        <f t="shared" si="313"/>
        <v>0</v>
      </c>
      <c r="AL250" s="368"/>
      <c r="AM250" s="367">
        <f t="shared" si="373"/>
        <v>24292.45</v>
      </c>
      <c r="AN250" s="363">
        <f t="shared" si="373"/>
        <v>62460.71</v>
      </c>
      <c r="AO250" s="280">
        <f t="shared" si="315"/>
        <v>-38168.26</v>
      </c>
      <c r="AP250" s="367">
        <f t="shared" si="374"/>
        <v>24292.45</v>
      </c>
      <c r="AQ250" s="363">
        <f t="shared" si="374"/>
        <v>62460.71</v>
      </c>
      <c r="AR250" s="280">
        <f t="shared" si="301"/>
        <v>-38168.26</v>
      </c>
      <c r="AS250" s="367">
        <f t="shared" si="375"/>
        <v>24292.45</v>
      </c>
      <c r="AT250" s="363">
        <f t="shared" si="375"/>
        <v>62460.71</v>
      </c>
      <c r="AU250" s="280">
        <f t="shared" si="303"/>
        <v>-38168.26</v>
      </c>
      <c r="AV250" s="588">
        <f t="shared" si="331"/>
        <v>-16866.439999999999</v>
      </c>
      <c r="AW250" s="367">
        <f>AW190*0.15%+0.01</f>
        <v>7426.01</v>
      </c>
      <c r="AX250" s="363">
        <f t="shared" ref="AX250:BT250" si="385">AX190*0.15</f>
        <v>0</v>
      </c>
      <c r="AY250" s="363">
        <f t="shared" si="385"/>
        <v>0</v>
      </c>
      <c r="AZ250" s="363">
        <f t="shared" si="385"/>
        <v>35964.239999999998</v>
      </c>
      <c r="BA250" s="363">
        <f t="shared" si="385"/>
        <v>0</v>
      </c>
      <c r="BB250" s="369">
        <f t="shared" si="385"/>
        <v>26496.47</v>
      </c>
      <c r="BC250" s="367">
        <f t="shared" si="385"/>
        <v>0</v>
      </c>
      <c r="BD250" s="363">
        <f t="shared" si="385"/>
        <v>0</v>
      </c>
      <c r="BE250" s="363">
        <f t="shared" si="385"/>
        <v>16866.439999999999</v>
      </c>
      <c r="BF250" s="363">
        <f t="shared" si="385"/>
        <v>0</v>
      </c>
      <c r="BG250" s="363">
        <f t="shared" si="385"/>
        <v>0</v>
      </c>
      <c r="BH250" s="369">
        <f t="shared" si="385"/>
        <v>0</v>
      </c>
      <c r="BI250" s="367">
        <f t="shared" si="385"/>
        <v>0</v>
      </c>
      <c r="BJ250" s="363">
        <f t="shared" si="385"/>
        <v>0</v>
      </c>
      <c r="BK250" s="363">
        <f t="shared" si="385"/>
        <v>0</v>
      </c>
      <c r="BL250" s="363">
        <f t="shared" si="385"/>
        <v>0</v>
      </c>
      <c r="BM250" s="363">
        <f t="shared" si="385"/>
        <v>0</v>
      </c>
      <c r="BN250" s="369">
        <f t="shared" si="385"/>
        <v>0</v>
      </c>
      <c r="BO250" s="367">
        <f t="shared" si="385"/>
        <v>0</v>
      </c>
      <c r="BP250" s="363">
        <f t="shared" si="385"/>
        <v>0</v>
      </c>
      <c r="BQ250" s="363">
        <f t="shared" si="385"/>
        <v>0</v>
      </c>
      <c r="BR250" s="363">
        <f t="shared" si="385"/>
        <v>0</v>
      </c>
      <c r="BS250" s="363">
        <f t="shared" si="385"/>
        <v>0</v>
      </c>
      <c r="BT250" s="280">
        <f t="shared" si="385"/>
        <v>0</v>
      </c>
    </row>
    <row r="251" spans="1:72" s="358" customFormat="1" ht="31.5" customHeight="1">
      <c r="A251" s="287">
        <v>240</v>
      </c>
      <c r="B251" s="1144"/>
      <c r="C251" s="850" t="s">
        <v>377</v>
      </c>
      <c r="D251" s="838"/>
      <c r="E251" s="836" t="s">
        <v>201</v>
      </c>
      <c r="F251" s="820" t="s">
        <v>23</v>
      </c>
      <c r="G251" s="360">
        <v>2</v>
      </c>
      <c r="H251" s="360" t="s">
        <v>71</v>
      </c>
      <c r="I251" s="360">
        <v>244</v>
      </c>
      <c r="J251" s="361">
        <v>310</v>
      </c>
      <c r="K251" s="532" t="s">
        <v>532</v>
      </c>
      <c r="L251" s="1023">
        <f>SUM(L252:L257)</f>
        <v>107978</v>
      </c>
      <c r="M251" s="363"/>
      <c r="N251" s="363">
        <f>SUM(N252:N257)</f>
        <v>0</v>
      </c>
      <c r="O251" s="1051">
        <f t="shared" si="305"/>
        <v>107978</v>
      </c>
      <c r="P251" s="571"/>
      <c r="Q251" s="367">
        <f>SUM(Q252:Q257)</f>
        <v>0</v>
      </c>
      <c r="R251" s="557"/>
      <c r="S251" s="367">
        <f>SUM(S252:S257)</f>
        <v>0</v>
      </c>
      <c r="T251" s="557"/>
      <c r="U251" s="365"/>
      <c r="V251" s="366"/>
      <c r="W251" s="366"/>
      <c r="X251" s="366"/>
      <c r="Z251" s="367">
        <f t="shared" si="369"/>
        <v>41509</v>
      </c>
      <c r="AA251" s="363">
        <f t="shared" si="369"/>
        <v>0</v>
      </c>
      <c r="AB251" s="280">
        <f t="shared" si="307"/>
        <v>41509</v>
      </c>
      <c r="AC251" s="367">
        <f t="shared" si="370"/>
        <v>24960</v>
      </c>
      <c r="AD251" s="363">
        <f t="shared" si="370"/>
        <v>0</v>
      </c>
      <c r="AE251" s="280">
        <f t="shared" si="309"/>
        <v>24960</v>
      </c>
      <c r="AF251" s="367">
        <f t="shared" si="371"/>
        <v>0</v>
      </c>
      <c r="AG251" s="363">
        <f t="shared" si="371"/>
        <v>0</v>
      </c>
      <c r="AH251" s="280">
        <f t="shared" si="311"/>
        <v>0</v>
      </c>
      <c r="AI251" s="367">
        <f t="shared" si="372"/>
        <v>0</v>
      </c>
      <c r="AJ251" s="363">
        <f t="shared" si="372"/>
        <v>0</v>
      </c>
      <c r="AK251" s="280">
        <f t="shared" si="313"/>
        <v>0</v>
      </c>
      <c r="AL251" s="368"/>
      <c r="AM251" s="367">
        <f t="shared" si="373"/>
        <v>66469</v>
      </c>
      <c r="AN251" s="363">
        <f t="shared" si="373"/>
        <v>0</v>
      </c>
      <c r="AO251" s="280">
        <f t="shared" si="315"/>
        <v>66469</v>
      </c>
      <c r="AP251" s="367">
        <f t="shared" si="374"/>
        <v>66469</v>
      </c>
      <c r="AQ251" s="363">
        <f t="shared" si="374"/>
        <v>0</v>
      </c>
      <c r="AR251" s="280">
        <f t="shared" si="301"/>
        <v>66469</v>
      </c>
      <c r="AS251" s="367">
        <f t="shared" si="375"/>
        <v>66469</v>
      </c>
      <c r="AT251" s="363">
        <f t="shared" si="375"/>
        <v>0</v>
      </c>
      <c r="AU251" s="280">
        <f t="shared" si="303"/>
        <v>66469</v>
      </c>
      <c r="AV251" s="588">
        <f t="shared" si="331"/>
        <v>41509</v>
      </c>
      <c r="AW251" s="367">
        <f t="shared" ref="AW251:BT251" si="386">SUM(AW252:AW257)</f>
        <v>0</v>
      </c>
      <c r="AX251" s="363">
        <f t="shared" si="386"/>
        <v>0</v>
      </c>
      <c r="AY251" s="363">
        <f t="shared" si="386"/>
        <v>0</v>
      </c>
      <c r="AZ251" s="363">
        <f t="shared" si="386"/>
        <v>0</v>
      </c>
      <c r="BA251" s="363">
        <f t="shared" si="386"/>
        <v>41509</v>
      </c>
      <c r="BB251" s="369">
        <f t="shared" si="386"/>
        <v>0</v>
      </c>
      <c r="BC251" s="367">
        <f t="shared" si="386"/>
        <v>24960</v>
      </c>
      <c r="BD251" s="363">
        <f t="shared" si="386"/>
        <v>0</v>
      </c>
      <c r="BE251" s="363">
        <f t="shared" si="386"/>
        <v>0</v>
      </c>
      <c r="BF251" s="363">
        <f t="shared" si="386"/>
        <v>0</v>
      </c>
      <c r="BG251" s="363">
        <f t="shared" si="386"/>
        <v>0</v>
      </c>
      <c r="BH251" s="369">
        <f t="shared" si="386"/>
        <v>0</v>
      </c>
      <c r="BI251" s="367">
        <f t="shared" si="386"/>
        <v>0</v>
      </c>
      <c r="BJ251" s="363">
        <f t="shared" si="386"/>
        <v>0</v>
      </c>
      <c r="BK251" s="363">
        <f t="shared" si="386"/>
        <v>0</v>
      </c>
      <c r="BL251" s="363">
        <f t="shared" si="386"/>
        <v>0</v>
      </c>
      <c r="BM251" s="363">
        <f t="shared" si="386"/>
        <v>0</v>
      </c>
      <c r="BN251" s="369">
        <f t="shared" si="386"/>
        <v>0</v>
      </c>
      <c r="BO251" s="367">
        <f t="shared" si="386"/>
        <v>0</v>
      </c>
      <c r="BP251" s="363">
        <f t="shared" si="386"/>
        <v>0</v>
      </c>
      <c r="BQ251" s="363">
        <f t="shared" si="386"/>
        <v>0</v>
      </c>
      <c r="BR251" s="363">
        <f t="shared" si="386"/>
        <v>0</v>
      </c>
      <c r="BS251" s="363">
        <f t="shared" si="386"/>
        <v>0</v>
      </c>
      <c r="BT251" s="280">
        <f t="shared" si="386"/>
        <v>0</v>
      </c>
    </row>
    <row r="252" spans="1:72" s="313" customFormat="1" ht="25.5" outlineLevel="2">
      <c r="A252" s="287">
        <v>241</v>
      </c>
      <c r="B252" s="1144"/>
      <c r="C252" s="840"/>
      <c r="D252" s="841"/>
      <c r="E252" s="839"/>
      <c r="F252" s="821" t="s">
        <v>23</v>
      </c>
      <c r="G252" s="314">
        <v>2</v>
      </c>
      <c r="H252" s="739" t="s">
        <v>71</v>
      </c>
      <c r="I252" s="739">
        <v>244</v>
      </c>
      <c r="J252" s="740">
        <v>310</v>
      </c>
      <c r="K252" s="533" t="s">
        <v>523</v>
      </c>
      <c r="L252" s="1025">
        <v>2190</v>
      </c>
      <c r="M252" s="318"/>
      <c r="N252" s="318"/>
      <c r="O252" s="1052">
        <f t="shared" si="305"/>
        <v>2190</v>
      </c>
      <c r="P252" s="570"/>
      <c r="Q252" s="336">
        <v>0</v>
      </c>
      <c r="R252" s="559"/>
      <c r="S252" s="541">
        <v>0</v>
      </c>
      <c r="T252" s="559"/>
      <c r="U252" s="335"/>
      <c r="V252" s="320"/>
      <c r="W252" s="320"/>
      <c r="X252" s="320"/>
      <c r="Z252" s="336">
        <f t="shared" si="369"/>
        <v>0</v>
      </c>
      <c r="AA252" s="337">
        <f t="shared" si="369"/>
        <v>0</v>
      </c>
      <c r="AB252" s="338">
        <f t="shared" si="307"/>
        <v>0</v>
      </c>
      <c r="AC252" s="336">
        <f t="shared" si="370"/>
        <v>2190</v>
      </c>
      <c r="AD252" s="337">
        <f t="shared" si="370"/>
        <v>0</v>
      </c>
      <c r="AE252" s="338">
        <f t="shared" si="309"/>
        <v>2190</v>
      </c>
      <c r="AF252" s="336">
        <f t="shared" si="371"/>
        <v>0</v>
      </c>
      <c r="AG252" s="337">
        <f t="shared" si="371"/>
        <v>0</v>
      </c>
      <c r="AH252" s="338">
        <f t="shared" si="311"/>
        <v>0</v>
      </c>
      <c r="AI252" s="336">
        <f t="shared" si="372"/>
        <v>0</v>
      </c>
      <c r="AJ252" s="337">
        <f t="shared" si="372"/>
        <v>0</v>
      </c>
      <c r="AK252" s="338">
        <f t="shared" si="313"/>
        <v>0</v>
      </c>
      <c r="AL252" s="342"/>
      <c r="AM252" s="336">
        <f t="shared" si="373"/>
        <v>2190</v>
      </c>
      <c r="AN252" s="339">
        <f t="shared" si="373"/>
        <v>0</v>
      </c>
      <c r="AO252" s="340">
        <f t="shared" si="315"/>
        <v>2190</v>
      </c>
      <c r="AP252" s="336">
        <f t="shared" si="374"/>
        <v>2190</v>
      </c>
      <c r="AQ252" s="339">
        <f t="shared" si="374"/>
        <v>0</v>
      </c>
      <c r="AR252" s="340">
        <f t="shared" si="301"/>
        <v>2190</v>
      </c>
      <c r="AS252" s="341">
        <f t="shared" si="375"/>
        <v>2190</v>
      </c>
      <c r="AT252" s="339">
        <f t="shared" si="375"/>
        <v>0</v>
      </c>
      <c r="AU252" s="340">
        <f t="shared" si="303"/>
        <v>2190</v>
      </c>
      <c r="AV252" s="589">
        <f t="shared" si="331"/>
        <v>0</v>
      </c>
      <c r="AW252" s="343"/>
      <c r="AX252" s="344"/>
      <c r="AY252" s="345"/>
      <c r="AZ252" s="344"/>
      <c r="BA252" s="345"/>
      <c r="BB252" s="346"/>
      <c r="BC252" s="347">
        <v>2190</v>
      </c>
      <c r="BD252" s="348"/>
      <c r="BE252" s="349"/>
      <c r="BF252" s="348"/>
      <c r="BG252" s="349"/>
      <c r="BH252" s="350"/>
      <c r="BI252" s="351"/>
      <c r="BJ252" s="352"/>
      <c r="BK252" s="337"/>
      <c r="BL252" s="352"/>
      <c r="BM252" s="337"/>
      <c r="BN252" s="353"/>
      <c r="BO252" s="354"/>
      <c r="BP252" s="355"/>
      <c r="BQ252" s="356"/>
      <c r="BR252" s="355"/>
      <c r="BS252" s="356"/>
      <c r="BT252" s="357"/>
    </row>
    <row r="253" spans="1:72" s="313" customFormat="1" ht="25.5" outlineLevel="2">
      <c r="A253" s="287">
        <v>242</v>
      </c>
      <c r="B253" s="1144"/>
      <c r="C253" s="840"/>
      <c r="D253" s="841"/>
      <c r="E253" s="839"/>
      <c r="F253" s="821" t="s">
        <v>23</v>
      </c>
      <c r="G253" s="314">
        <v>2</v>
      </c>
      <c r="H253" s="739" t="s">
        <v>71</v>
      </c>
      <c r="I253" s="739">
        <v>244</v>
      </c>
      <c r="J253" s="740">
        <v>310</v>
      </c>
      <c r="K253" s="533" t="s">
        <v>533</v>
      </c>
      <c r="L253" s="1025">
        <v>62600</v>
      </c>
      <c r="M253" s="318"/>
      <c r="N253" s="318"/>
      <c r="O253" s="1052">
        <f t="shared" si="305"/>
        <v>62600</v>
      </c>
      <c r="P253" s="570"/>
      <c r="Q253" s="336">
        <v>0</v>
      </c>
      <c r="R253" s="559"/>
      <c r="S253" s="541">
        <v>0</v>
      </c>
      <c r="T253" s="559"/>
      <c r="U253" s="335"/>
      <c r="V253" s="320"/>
      <c r="W253" s="320"/>
      <c r="X253" s="320"/>
      <c r="Z253" s="336">
        <f t="shared" si="369"/>
        <v>0</v>
      </c>
      <c r="AA253" s="337">
        <f t="shared" si="369"/>
        <v>0</v>
      </c>
      <c r="AB253" s="338">
        <f t="shared" si="307"/>
        <v>0</v>
      </c>
      <c r="AC253" s="336">
        <f t="shared" si="370"/>
        <v>21091</v>
      </c>
      <c r="AD253" s="337">
        <f t="shared" si="370"/>
        <v>0</v>
      </c>
      <c r="AE253" s="338">
        <f t="shared" si="309"/>
        <v>21091</v>
      </c>
      <c r="AF253" s="336">
        <f t="shared" si="371"/>
        <v>0</v>
      </c>
      <c r="AG253" s="337">
        <f t="shared" si="371"/>
        <v>0</v>
      </c>
      <c r="AH253" s="338">
        <f t="shared" si="311"/>
        <v>0</v>
      </c>
      <c r="AI253" s="336">
        <f t="shared" si="372"/>
        <v>0</v>
      </c>
      <c r="AJ253" s="337">
        <f t="shared" si="372"/>
        <v>0</v>
      </c>
      <c r="AK253" s="338">
        <f t="shared" si="313"/>
        <v>0</v>
      </c>
      <c r="AL253" s="342"/>
      <c r="AM253" s="336">
        <f t="shared" si="373"/>
        <v>21091</v>
      </c>
      <c r="AN253" s="339">
        <f t="shared" si="373"/>
        <v>0</v>
      </c>
      <c r="AO253" s="340">
        <f t="shared" si="315"/>
        <v>21091</v>
      </c>
      <c r="AP253" s="336">
        <f t="shared" si="374"/>
        <v>21091</v>
      </c>
      <c r="AQ253" s="339">
        <f t="shared" si="374"/>
        <v>0</v>
      </c>
      <c r="AR253" s="340">
        <f t="shared" si="301"/>
        <v>21091</v>
      </c>
      <c r="AS253" s="341">
        <f t="shared" si="375"/>
        <v>21091</v>
      </c>
      <c r="AT253" s="339">
        <f t="shared" si="375"/>
        <v>0</v>
      </c>
      <c r="AU253" s="340">
        <f t="shared" si="303"/>
        <v>21091</v>
      </c>
      <c r="AV253" s="589">
        <f t="shared" si="331"/>
        <v>41509</v>
      </c>
      <c r="AW253" s="343"/>
      <c r="AX253" s="344"/>
      <c r="AY253" s="345"/>
      <c r="AZ253" s="344"/>
      <c r="BA253" s="345"/>
      <c r="BB253" s="346"/>
      <c r="BC253" s="347">
        <f>62600-36010-5499</f>
        <v>21091</v>
      </c>
      <c r="BD253" s="348"/>
      <c r="BE253" s="349"/>
      <c r="BF253" s="348"/>
      <c r="BG253" s="349"/>
      <c r="BH253" s="350"/>
      <c r="BI253" s="351"/>
      <c r="BJ253" s="352"/>
      <c r="BK253" s="337"/>
      <c r="BL253" s="352"/>
      <c r="BM253" s="337"/>
      <c r="BN253" s="353"/>
      <c r="BO253" s="354"/>
      <c r="BP253" s="355"/>
      <c r="BQ253" s="356"/>
      <c r="BR253" s="355"/>
      <c r="BS253" s="356"/>
      <c r="BT253" s="357"/>
    </row>
    <row r="254" spans="1:72" s="313" customFormat="1" ht="25.5" outlineLevel="2">
      <c r="A254" s="287">
        <v>243</v>
      </c>
      <c r="B254" s="1144"/>
      <c r="C254" s="840"/>
      <c r="D254" s="841"/>
      <c r="E254" s="839"/>
      <c r="F254" s="821" t="s">
        <v>23</v>
      </c>
      <c r="G254" s="314">
        <v>2</v>
      </c>
      <c r="H254" s="739" t="s">
        <v>71</v>
      </c>
      <c r="I254" s="739">
        <v>244</v>
      </c>
      <c r="J254" s="740">
        <v>310</v>
      </c>
      <c r="K254" s="533" t="s">
        <v>633</v>
      </c>
      <c r="L254" s="1025">
        <v>36010</v>
      </c>
      <c r="M254" s="318"/>
      <c r="N254" s="318"/>
      <c r="O254" s="1052">
        <f t="shared" si="305"/>
        <v>36010</v>
      </c>
      <c r="P254" s="570"/>
      <c r="Q254" s="336">
        <v>0</v>
      </c>
      <c r="R254" s="559"/>
      <c r="S254" s="541">
        <v>0</v>
      </c>
      <c r="T254" s="559"/>
      <c r="U254" s="335"/>
      <c r="V254" s="596" t="s">
        <v>637</v>
      </c>
      <c r="W254" s="320" t="s">
        <v>481</v>
      </c>
      <c r="X254" s="320"/>
      <c r="Z254" s="336">
        <f t="shared" ref="Z254:AA256" si="387">AW254+AY254+BA254</f>
        <v>36010</v>
      </c>
      <c r="AA254" s="337">
        <f t="shared" si="387"/>
        <v>0</v>
      </c>
      <c r="AB254" s="338">
        <f t="shared" si="307"/>
        <v>36010</v>
      </c>
      <c r="AC254" s="336">
        <f t="shared" ref="AC254:AD256" si="388">BC254+BE254+BG254</f>
        <v>0</v>
      </c>
      <c r="AD254" s="337">
        <f t="shared" si="388"/>
        <v>0</v>
      </c>
      <c r="AE254" s="338">
        <f t="shared" si="309"/>
        <v>0</v>
      </c>
      <c r="AF254" s="336">
        <f t="shared" ref="AF254:AG256" si="389">BI254+BK254+BM254</f>
        <v>0</v>
      </c>
      <c r="AG254" s="337">
        <f t="shared" si="389"/>
        <v>0</v>
      </c>
      <c r="AH254" s="338">
        <f t="shared" si="311"/>
        <v>0</v>
      </c>
      <c r="AI254" s="336">
        <f t="shared" ref="AI254:AJ256" si="390">BO254+BQ254+BS254</f>
        <v>0</v>
      </c>
      <c r="AJ254" s="337">
        <f t="shared" si="390"/>
        <v>0</v>
      </c>
      <c r="AK254" s="338">
        <f t="shared" si="313"/>
        <v>0</v>
      </c>
      <c r="AL254" s="342"/>
      <c r="AM254" s="336">
        <f t="shared" ref="AM254:AN256" si="391">Z254+AC254</f>
        <v>36010</v>
      </c>
      <c r="AN254" s="339">
        <f t="shared" si="391"/>
        <v>0</v>
      </c>
      <c r="AO254" s="340">
        <f t="shared" si="315"/>
        <v>36010</v>
      </c>
      <c r="AP254" s="336">
        <f t="shared" ref="AP254:AQ256" si="392">Z254+AC254+AF254</f>
        <v>36010</v>
      </c>
      <c r="AQ254" s="339">
        <f t="shared" si="392"/>
        <v>0</v>
      </c>
      <c r="AR254" s="340">
        <f t="shared" si="301"/>
        <v>36010</v>
      </c>
      <c r="AS254" s="341">
        <f t="shared" ref="AS254:AT256" si="393">Z254+AC254+AF254+AI254</f>
        <v>36010</v>
      </c>
      <c r="AT254" s="339">
        <f t="shared" si="393"/>
        <v>0</v>
      </c>
      <c r="AU254" s="340">
        <f t="shared" si="303"/>
        <v>36010</v>
      </c>
      <c r="AV254" s="589">
        <f t="shared" si="331"/>
        <v>0</v>
      </c>
      <c r="AW254" s="343"/>
      <c r="AX254" s="344"/>
      <c r="AY254" s="345"/>
      <c r="AZ254" s="344"/>
      <c r="BA254" s="345">
        <v>36010</v>
      </c>
      <c r="BB254" s="346"/>
      <c r="BC254" s="347"/>
      <c r="BD254" s="348"/>
      <c r="BE254" s="349"/>
      <c r="BF254" s="348"/>
      <c r="BG254" s="349"/>
      <c r="BH254" s="350"/>
      <c r="BI254" s="351"/>
      <c r="BJ254" s="352"/>
      <c r="BK254" s="337"/>
      <c r="BL254" s="352"/>
      <c r="BM254" s="337"/>
      <c r="BN254" s="353"/>
      <c r="BO254" s="354"/>
      <c r="BP254" s="355"/>
      <c r="BQ254" s="356"/>
      <c r="BR254" s="355"/>
      <c r="BS254" s="356"/>
      <c r="BT254" s="357"/>
    </row>
    <row r="255" spans="1:72" s="313" customFormat="1" ht="25.5" outlineLevel="2">
      <c r="A255" s="287">
        <v>244</v>
      </c>
      <c r="B255" s="1144"/>
      <c r="C255" s="840"/>
      <c r="D255" s="841"/>
      <c r="E255" s="839"/>
      <c r="F255" s="821" t="s">
        <v>23</v>
      </c>
      <c r="G255" s="314">
        <v>2</v>
      </c>
      <c r="H255" s="739" t="s">
        <v>71</v>
      </c>
      <c r="I255" s="739">
        <v>244</v>
      </c>
      <c r="J255" s="740">
        <v>310</v>
      </c>
      <c r="K255" s="533" t="s">
        <v>677</v>
      </c>
      <c r="L255" s="1025">
        <v>5499</v>
      </c>
      <c r="M255" s="318"/>
      <c r="N255" s="318"/>
      <c r="O255" s="1052">
        <f t="shared" si="305"/>
        <v>5499</v>
      </c>
      <c r="P255" s="570"/>
      <c r="Q255" s="336">
        <v>0</v>
      </c>
      <c r="R255" s="559"/>
      <c r="S255" s="541">
        <v>0</v>
      </c>
      <c r="T255" s="559"/>
      <c r="U255" s="335"/>
      <c r="V255" s="596" t="s">
        <v>679</v>
      </c>
      <c r="W255" s="320" t="s">
        <v>481</v>
      </c>
      <c r="X255" s="320"/>
      <c r="Z255" s="336">
        <f t="shared" si="387"/>
        <v>5499</v>
      </c>
      <c r="AA255" s="337">
        <f t="shared" si="387"/>
        <v>0</v>
      </c>
      <c r="AB255" s="338">
        <f t="shared" si="307"/>
        <v>5499</v>
      </c>
      <c r="AC255" s="336">
        <f t="shared" si="388"/>
        <v>0</v>
      </c>
      <c r="AD255" s="337">
        <f t="shared" si="388"/>
        <v>0</v>
      </c>
      <c r="AE255" s="338">
        <f t="shared" si="309"/>
        <v>0</v>
      </c>
      <c r="AF255" s="336">
        <f t="shared" si="389"/>
        <v>0</v>
      </c>
      <c r="AG255" s="337">
        <f t="shared" si="389"/>
        <v>0</v>
      </c>
      <c r="AH255" s="338">
        <f t="shared" si="311"/>
        <v>0</v>
      </c>
      <c r="AI255" s="336">
        <f t="shared" si="390"/>
        <v>0</v>
      </c>
      <c r="AJ255" s="337">
        <f t="shared" si="390"/>
        <v>0</v>
      </c>
      <c r="AK255" s="338">
        <f t="shared" si="313"/>
        <v>0</v>
      </c>
      <c r="AL255" s="342"/>
      <c r="AM255" s="336">
        <f t="shared" si="391"/>
        <v>5499</v>
      </c>
      <c r="AN255" s="339">
        <f t="shared" si="391"/>
        <v>0</v>
      </c>
      <c r="AO255" s="340">
        <f t="shared" si="315"/>
        <v>5499</v>
      </c>
      <c r="AP255" s="336">
        <f t="shared" si="392"/>
        <v>5499</v>
      </c>
      <c r="AQ255" s="339">
        <f t="shared" si="392"/>
        <v>0</v>
      </c>
      <c r="AR255" s="340">
        <f t="shared" si="301"/>
        <v>5499</v>
      </c>
      <c r="AS255" s="341">
        <f t="shared" si="393"/>
        <v>5499</v>
      </c>
      <c r="AT255" s="339">
        <f t="shared" si="393"/>
        <v>0</v>
      </c>
      <c r="AU255" s="340">
        <f t="shared" si="303"/>
        <v>5499</v>
      </c>
      <c r="AV255" s="589">
        <f t="shared" si="331"/>
        <v>0</v>
      </c>
      <c r="AW255" s="343"/>
      <c r="AX255" s="344"/>
      <c r="AY255" s="345"/>
      <c r="AZ255" s="344"/>
      <c r="BA255" s="345">
        <v>5499</v>
      </c>
      <c r="BB255" s="346"/>
      <c r="BC255" s="347"/>
      <c r="BD255" s="348"/>
      <c r="BE255" s="349"/>
      <c r="BF255" s="348"/>
      <c r="BG255" s="349"/>
      <c r="BH255" s="350"/>
      <c r="BI255" s="351"/>
      <c r="BJ255" s="352"/>
      <c r="BK255" s="337"/>
      <c r="BL255" s="352"/>
      <c r="BM255" s="337"/>
      <c r="BN255" s="353"/>
      <c r="BO255" s="354"/>
      <c r="BP255" s="355"/>
      <c r="BQ255" s="356"/>
      <c r="BR255" s="355"/>
      <c r="BS255" s="356"/>
      <c r="BT255" s="357"/>
    </row>
    <row r="256" spans="1:72" s="313" customFormat="1" ht="25.5" outlineLevel="2">
      <c r="A256" s="287">
        <v>245</v>
      </c>
      <c r="B256" s="1144"/>
      <c r="C256" s="840"/>
      <c r="D256" s="841"/>
      <c r="E256" s="839"/>
      <c r="F256" s="821" t="s">
        <v>23</v>
      </c>
      <c r="G256" s="314">
        <v>2</v>
      </c>
      <c r="H256" s="739" t="s">
        <v>71</v>
      </c>
      <c r="I256" s="739">
        <v>244</v>
      </c>
      <c r="J256" s="740">
        <v>310</v>
      </c>
      <c r="K256" s="533" t="s">
        <v>748</v>
      </c>
      <c r="L256" s="1025">
        <v>1679</v>
      </c>
      <c r="M256" s="318"/>
      <c r="N256" s="318"/>
      <c r="O256" s="1052">
        <f t="shared" si="305"/>
        <v>1679</v>
      </c>
      <c r="P256" s="570"/>
      <c r="Q256" s="336">
        <v>0</v>
      </c>
      <c r="R256" s="559"/>
      <c r="S256" s="541">
        <v>0</v>
      </c>
      <c r="T256" s="559"/>
      <c r="U256" s="335"/>
      <c r="V256" s="596" t="s">
        <v>679</v>
      </c>
      <c r="W256" s="320" t="s">
        <v>481</v>
      </c>
      <c r="X256" s="320"/>
      <c r="Z256" s="336">
        <f t="shared" si="387"/>
        <v>0</v>
      </c>
      <c r="AA256" s="337">
        <f t="shared" si="387"/>
        <v>0</v>
      </c>
      <c r="AB256" s="338">
        <f t="shared" si="307"/>
        <v>0</v>
      </c>
      <c r="AC256" s="336">
        <f t="shared" si="388"/>
        <v>1679</v>
      </c>
      <c r="AD256" s="337">
        <f t="shared" si="388"/>
        <v>0</v>
      </c>
      <c r="AE256" s="338">
        <f t="shared" si="309"/>
        <v>1679</v>
      </c>
      <c r="AF256" s="336">
        <f t="shared" si="389"/>
        <v>0</v>
      </c>
      <c r="AG256" s="337">
        <f t="shared" si="389"/>
        <v>0</v>
      </c>
      <c r="AH256" s="338">
        <f t="shared" si="311"/>
        <v>0</v>
      </c>
      <c r="AI256" s="336">
        <f t="shared" si="390"/>
        <v>0</v>
      </c>
      <c r="AJ256" s="337">
        <f t="shared" si="390"/>
        <v>0</v>
      </c>
      <c r="AK256" s="338">
        <f t="shared" si="313"/>
        <v>0</v>
      </c>
      <c r="AL256" s="342"/>
      <c r="AM256" s="336">
        <f t="shared" si="391"/>
        <v>1679</v>
      </c>
      <c r="AN256" s="339">
        <f t="shared" si="391"/>
        <v>0</v>
      </c>
      <c r="AO256" s="340">
        <f t="shared" si="315"/>
        <v>1679</v>
      </c>
      <c r="AP256" s="336">
        <f t="shared" si="392"/>
        <v>1679</v>
      </c>
      <c r="AQ256" s="339">
        <f t="shared" si="392"/>
        <v>0</v>
      </c>
      <c r="AR256" s="340">
        <f t="shared" si="301"/>
        <v>1679</v>
      </c>
      <c r="AS256" s="341">
        <f t="shared" si="393"/>
        <v>1679</v>
      </c>
      <c r="AT256" s="339">
        <f t="shared" si="393"/>
        <v>0</v>
      </c>
      <c r="AU256" s="340">
        <f t="shared" si="303"/>
        <v>1679</v>
      </c>
      <c r="AV256" s="589">
        <f t="shared" si="331"/>
        <v>0</v>
      </c>
      <c r="AW256" s="343"/>
      <c r="AX256" s="344"/>
      <c r="AY256" s="345"/>
      <c r="AZ256" s="344"/>
      <c r="BA256" s="345"/>
      <c r="BB256" s="346"/>
      <c r="BC256" s="1134">
        <v>1679</v>
      </c>
      <c r="BD256" s="348"/>
      <c r="BE256" s="349"/>
      <c r="BF256" s="348"/>
      <c r="BG256" s="349"/>
      <c r="BH256" s="350"/>
      <c r="BI256" s="351"/>
      <c r="BJ256" s="352"/>
      <c r="BK256" s="337"/>
      <c r="BL256" s="352"/>
      <c r="BM256" s="337"/>
      <c r="BN256" s="353"/>
      <c r="BO256" s="354"/>
      <c r="BP256" s="355"/>
      <c r="BQ256" s="356"/>
      <c r="BR256" s="355"/>
      <c r="BS256" s="356"/>
      <c r="BT256" s="357"/>
    </row>
    <row r="257" spans="1:72" s="615" customFormat="1" ht="25.5" outlineLevel="1">
      <c r="A257" s="287">
        <v>246</v>
      </c>
      <c r="B257" s="1144"/>
      <c r="C257" s="866"/>
      <c r="D257" s="867"/>
      <c r="E257" s="867"/>
      <c r="F257" s="832" t="s">
        <v>23</v>
      </c>
      <c r="G257" s="616">
        <v>2</v>
      </c>
      <c r="H257" s="749" t="s">
        <v>71</v>
      </c>
      <c r="I257" s="749">
        <v>244</v>
      </c>
      <c r="J257" s="750">
        <v>310</v>
      </c>
      <c r="K257" s="932" t="s">
        <v>214</v>
      </c>
      <c r="L257" s="1043">
        <v>0</v>
      </c>
      <c r="M257" s="619"/>
      <c r="N257" s="619"/>
      <c r="O257" s="1054">
        <f t="shared" si="305"/>
        <v>0</v>
      </c>
      <c r="P257" s="620"/>
      <c r="Q257" s="509">
        <v>0</v>
      </c>
      <c r="R257" s="560"/>
      <c r="S257" s="542">
        <v>0</v>
      </c>
      <c r="T257" s="560"/>
      <c r="U257" s="621"/>
      <c r="V257" s="320"/>
      <c r="W257" s="320"/>
      <c r="X257" s="320"/>
      <c r="Z257" s="509">
        <f>AW257+AY257+BA257</f>
        <v>0</v>
      </c>
      <c r="AA257" s="622">
        <f>AX257+AZ257+BB257</f>
        <v>0</v>
      </c>
      <c r="AB257" s="623">
        <f>Z257-AA257</f>
        <v>0</v>
      </c>
      <c r="AC257" s="509">
        <f>BC257+BE257+BG257</f>
        <v>0</v>
      </c>
      <c r="AD257" s="622">
        <f>BD257+BF257+BH257</f>
        <v>0</v>
      </c>
      <c r="AE257" s="623">
        <f>AC257-AD257</f>
        <v>0</v>
      </c>
      <c r="AF257" s="509">
        <f>BI257+BK257+BM257</f>
        <v>0</v>
      </c>
      <c r="AG257" s="622">
        <f>BJ257+BL257+BN257</f>
        <v>0</v>
      </c>
      <c r="AH257" s="623">
        <f>AF257-AG257</f>
        <v>0</v>
      </c>
      <c r="AI257" s="509">
        <f>BO257+BQ257+BS257</f>
        <v>0</v>
      </c>
      <c r="AJ257" s="622">
        <f>BP257+BR257+BT257</f>
        <v>0</v>
      </c>
      <c r="AK257" s="623">
        <f>AI257-AJ257</f>
        <v>0</v>
      </c>
      <c r="AL257" s="624"/>
      <c r="AM257" s="509">
        <f>Z257+AC257</f>
        <v>0</v>
      </c>
      <c r="AN257" s="625">
        <f>AA257+AD257</f>
        <v>0</v>
      </c>
      <c r="AO257" s="626">
        <f>AM257-AN257</f>
        <v>0</v>
      </c>
      <c r="AP257" s="509">
        <f>Z257+AC257+AF257</f>
        <v>0</v>
      </c>
      <c r="AQ257" s="625">
        <f>AA257+AD257+AG257</f>
        <v>0</v>
      </c>
      <c r="AR257" s="626">
        <f>AP257-AQ257</f>
        <v>0</v>
      </c>
      <c r="AS257" s="510">
        <f>Z257+AC257+AF257+AI257</f>
        <v>0</v>
      </c>
      <c r="AT257" s="625">
        <f>AA257+AD257+AG257+AJ257</f>
        <v>0</v>
      </c>
      <c r="AU257" s="626">
        <f>AS257-AT257</f>
        <v>0</v>
      </c>
      <c r="AV257" s="627">
        <f t="shared" si="331"/>
        <v>0</v>
      </c>
      <c r="AW257" s="628"/>
      <c r="AX257" s="629"/>
      <c r="AY257" s="630"/>
      <c r="AZ257" s="629"/>
      <c r="BA257" s="630"/>
      <c r="BB257" s="631"/>
      <c r="BC257" s="632"/>
      <c r="BD257" s="633"/>
      <c r="BE257" s="634"/>
      <c r="BF257" s="633"/>
      <c r="BG257" s="634"/>
      <c r="BH257" s="635"/>
      <c r="BI257" s="636"/>
      <c r="BJ257" s="637"/>
      <c r="BK257" s="622"/>
      <c r="BL257" s="637"/>
      <c r="BM257" s="622"/>
      <c r="BN257" s="638"/>
      <c r="BO257" s="639"/>
      <c r="BP257" s="640"/>
      <c r="BQ257" s="641"/>
      <c r="BR257" s="640"/>
      <c r="BS257" s="641"/>
      <c r="BT257" s="642"/>
    </row>
    <row r="258" spans="1:72" s="358" customFormat="1" ht="63">
      <c r="A258" s="287">
        <v>247</v>
      </c>
      <c r="B258" s="1150"/>
      <c r="C258" s="850" t="s">
        <v>377</v>
      </c>
      <c r="D258" s="838"/>
      <c r="E258" s="836" t="s">
        <v>201</v>
      </c>
      <c r="F258" s="820" t="s">
        <v>23</v>
      </c>
      <c r="G258" s="360">
        <v>2</v>
      </c>
      <c r="H258" s="360" t="s">
        <v>71</v>
      </c>
      <c r="I258" s="360">
        <v>244</v>
      </c>
      <c r="J258" s="361">
        <v>341</v>
      </c>
      <c r="K258" s="532" t="s">
        <v>801</v>
      </c>
      <c r="L258" s="1023">
        <f>SUM(L259:L260)</f>
        <v>1159</v>
      </c>
      <c r="M258" s="363"/>
      <c r="N258" s="363">
        <f>SUM(N259:N260)</f>
        <v>0</v>
      </c>
      <c r="O258" s="1051">
        <f t="shared" si="305"/>
        <v>1159</v>
      </c>
      <c r="P258" s="571"/>
      <c r="Q258" s="367">
        <f>SUM(Q259:Q260)</f>
        <v>0</v>
      </c>
      <c r="R258" s="557"/>
      <c r="S258" s="367">
        <f>SUM(S259:S260)</f>
        <v>0</v>
      </c>
      <c r="T258" s="557"/>
      <c r="U258" s="365"/>
      <c r="V258" s="366"/>
      <c r="W258" s="366"/>
      <c r="X258" s="366"/>
      <c r="Z258" s="367">
        <f t="shared" ref="Z258:AA259" si="394">AW258+AY258+BA258</f>
        <v>0</v>
      </c>
      <c r="AA258" s="363">
        <f t="shared" si="394"/>
        <v>0</v>
      </c>
      <c r="AB258" s="280">
        <f t="shared" ref="AB258:AB259" si="395">Z258-AA258</f>
        <v>0</v>
      </c>
      <c r="AC258" s="367">
        <f t="shared" ref="AC258:AD259" si="396">BC258+BE258+BG258</f>
        <v>1159</v>
      </c>
      <c r="AD258" s="363">
        <f t="shared" si="396"/>
        <v>0</v>
      </c>
      <c r="AE258" s="280">
        <f t="shared" ref="AE258:AE259" si="397">AC258-AD258</f>
        <v>1159</v>
      </c>
      <c r="AF258" s="367">
        <f t="shared" ref="AF258:AG259" si="398">BI258+BK258+BM258</f>
        <v>0</v>
      </c>
      <c r="AG258" s="363">
        <f t="shared" si="398"/>
        <v>0</v>
      </c>
      <c r="AH258" s="280">
        <f t="shared" ref="AH258:AH259" si="399">AF258-AG258</f>
        <v>0</v>
      </c>
      <c r="AI258" s="367">
        <f t="shared" ref="AI258:AJ259" si="400">BO258+BQ258+BS258</f>
        <v>0</v>
      </c>
      <c r="AJ258" s="363">
        <f t="shared" si="400"/>
        <v>0</v>
      </c>
      <c r="AK258" s="280">
        <f t="shared" ref="AK258:AK259" si="401">AI258-AJ258</f>
        <v>0</v>
      </c>
      <c r="AL258" s="368"/>
      <c r="AM258" s="367">
        <f t="shared" ref="AM258:AN259" si="402">Z258+AC258</f>
        <v>1159</v>
      </c>
      <c r="AN258" s="363">
        <f t="shared" si="402"/>
        <v>0</v>
      </c>
      <c r="AO258" s="280">
        <f t="shared" ref="AO258:AO259" si="403">AM258-AN258</f>
        <v>1159</v>
      </c>
      <c r="AP258" s="367">
        <f t="shared" ref="AP258:AQ259" si="404">Z258+AC258+AF258</f>
        <v>1159</v>
      </c>
      <c r="AQ258" s="363">
        <f t="shared" si="404"/>
        <v>0</v>
      </c>
      <c r="AR258" s="280">
        <f t="shared" ref="AR258:AR259" si="405">AP258-AQ258</f>
        <v>1159</v>
      </c>
      <c r="AS258" s="367">
        <f t="shared" ref="AS258:AT259" si="406">Z258+AC258+AF258+AI258</f>
        <v>1159</v>
      </c>
      <c r="AT258" s="363">
        <f t="shared" si="406"/>
        <v>0</v>
      </c>
      <c r="AU258" s="280">
        <f t="shared" ref="AU258:AU259" si="407">AS258-AT258</f>
        <v>1159</v>
      </c>
      <c r="AV258" s="588">
        <f t="shared" si="331"/>
        <v>0</v>
      </c>
      <c r="AW258" s="367">
        <f t="shared" ref="AW258:BT258" si="408">SUM(AW259:AW260)</f>
        <v>0</v>
      </c>
      <c r="AX258" s="363">
        <f t="shared" si="408"/>
        <v>0</v>
      </c>
      <c r="AY258" s="363">
        <f t="shared" si="408"/>
        <v>0</v>
      </c>
      <c r="AZ258" s="363">
        <f t="shared" si="408"/>
        <v>0</v>
      </c>
      <c r="BA258" s="363">
        <f t="shared" si="408"/>
        <v>0</v>
      </c>
      <c r="BB258" s="369">
        <f t="shared" si="408"/>
        <v>0</v>
      </c>
      <c r="BC258" s="367">
        <f t="shared" si="408"/>
        <v>1159</v>
      </c>
      <c r="BD258" s="363">
        <f t="shared" si="408"/>
        <v>0</v>
      </c>
      <c r="BE258" s="363">
        <f t="shared" si="408"/>
        <v>0</v>
      </c>
      <c r="BF258" s="363">
        <f t="shared" si="408"/>
        <v>0</v>
      </c>
      <c r="BG258" s="363">
        <f t="shared" si="408"/>
        <v>0</v>
      </c>
      <c r="BH258" s="369">
        <f t="shared" si="408"/>
        <v>0</v>
      </c>
      <c r="BI258" s="367">
        <f t="shared" si="408"/>
        <v>0</v>
      </c>
      <c r="BJ258" s="363">
        <f t="shared" si="408"/>
        <v>0</v>
      </c>
      <c r="BK258" s="363">
        <f t="shared" si="408"/>
        <v>0</v>
      </c>
      <c r="BL258" s="363">
        <f t="shared" si="408"/>
        <v>0</v>
      </c>
      <c r="BM258" s="363">
        <f t="shared" si="408"/>
        <v>0</v>
      </c>
      <c r="BN258" s="369">
        <f t="shared" si="408"/>
        <v>0</v>
      </c>
      <c r="BO258" s="367">
        <f t="shared" si="408"/>
        <v>0</v>
      </c>
      <c r="BP258" s="363">
        <f t="shared" si="408"/>
        <v>0</v>
      </c>
      <c r="BQ258" s="363">
        <f t="shared" si="408"/>
        <v>0</v>
      </c>
      <c r="BR258" s="363">
        <f t="shared" si="408"/>
        <v>0</v>
      </c>
      <c r="BS258" s="363">
        <f t="shared" si="408"/>
        <v>0</v>
      </c>
      <c r="BT258" s="280">
        <f t="shared" si="408"/>
        <v>0</v>
      </c>
    </row>
    <row r="259" spans="1:72" s="313" customFormat="1" ht="38.25" outlineLevel="2">
      <c r="A259" s="287">
        <v>248</v>
      </c>
      <c r="B259" s="941"/>
      <c r="C259" s="840"/>
      <c r="D259" s="841"/>
      <c r="E259" s="839"/>
      <c r="F259" s="821" t="s">
        <v>23</v>
      </c>
      <c r="G259" s="314">
        <v>2</v>
      </c>
      <c r="H259" s="739" t="s">
        <v>71</v>
      </c>
      <c r="I259" s="739">
        <v>244</v>
      </c>
      <c r="J259" s="740">
        <v>341</v>
      </c>
      <c r="K259" s="533" t="s">
        <v>541</v>
      </c>
      <c r="L259" s="1013">
        <v>1159</v>
      </c>
      <c r="M259" s="318"/>
      <c r="N259" s="318"/>
      <c r="O259" s="1052">
        <f t="shared" si="305"/>
        <v>1159</v>
      </c>
      <c r="P259" s="570"/>
      <c r="Q259" s="336">
        <v>0</v>
      </c>
      <c r="R259" s="559"/>
      <c r="S259" s="541">
        <v>0</v>
      </c>
      <c r="T259" s="559"/>
      <c r="U259" s="335"/>
      <c r="V259" s="596" t="s">
        <v>640</v>
      </c>
      <c r="W259" s="596" t="s">
        <v>642</v>
      </c>
      <c r="X259" s="320"/>
      <c r="Z259" s="336">
        <f t="shared" si="394"/>
        <v>0</v>
      </c>
      <c r="AA259" s="337">
        <f t="shared" si="394"/>
        <v>0</v>
      </c>
      <c r="AB259" s="338">
        <f t="shared" si="395"/>
        <v>0</v>
      </c>
      <c r="AC259" s="336">
        <f t="shared" si="396"/>
        <v>1159</v>
      </c>
      <c r="AD259" s="337">
        <f t="shared" si="396"/>
        <v>0</v>
      </c>
      <c r="AE259" s="338">
        <f t="shared" si="397"/>
        <v>1159</v>
      </c>
      <c r="AF259" s="336">
        <f t="shared" si="398"/>
        <v>0</v>
      </c>
      <c r="AG259" s="337">
        <f t="shared" si="398"/>
        <v>0</v>
      </c>
      <c r="AH259" s="338">
        <f t="shared" si="399"/>
        <v>0</v>
      </c>
      <c r="AI259" s="336">
        <f t="shared" si="400"/>
        <v>0</v>
      </c>
      <c r="AJ259" s="337">
        <f t="shared" si="400"/>
        <v>0</v>
      </c>
      <c r="AK259" s="338">
        <f t="shared" si="401"/>
        <v>0</v>
      </c>
      <c r="AL259" s="342"/>
      <c r="AM259" s="336">
        <f t="shared" si="402"/>
        <v>1159</v>
      </c>
      <c r="AN259" s="339">
        <f t="shared" si="402"/>
        <v>0</v>
      </c>
      <c r="AO259" s="340">
        <f t="shared" si="403"/>
        <v>1159</v>
      </c>
      <c r="AP259" s="336">
        <f t="shared" si="404"/>
        <v>1159</v>
      </c>
      <c r="AQ259" s="339">
        <f t="shared" si="404"/>
        <v>0</v>
      </c>
      <c r="AR259" s="340">
        <f t="shared" si="405"/>
        <v>1159</v>
      </c>
      <c r="AS259" s="341">
        <f t="shared" si="406"/>
        <v>1159</v>
      </c>
      <c r="AT259" s="339">
        <f t="shared" si="406"/>
        <v>0</v>
      </c>
      <c r="AU259" s="340">
        <f t="shared" si="407"/>
        <v>1159</v>
      </c>
      <c r="AV259" s="589">
        <f t="shared" si="331"/>
        <v>0</v>
      </c>
      <c r="AW259" s="343"/>
      <c r="AX259" s="344"/>
      <c r="AY259" s="345"/>
      <c r="AZ259" s="344"/>
      <c r="BA259" s="345"/>
      <c r="BB259" s="346"/>
      <c r="BC259" s="1134">
        <v>1159</v>
      </c>
      <c r="BD259" s="348"/>
      <c r="BE259" s="349"/>
      <c r="BF259" s="348"/>
      <c r="BG259" s="349"/>
      <c r="BH259" s="350"/>
      <c r="BI259" s="351"/>
      <c r="BJ259" s="352"/>
      <c r="BK259" s="337"/>
      <c r="BL259" s="352"/>
      <c r="BM259" s="337"/>
      <c r="BN259" s="353"/>
      <c r="BO259" s="354"/>
      <c r="BP259" s="355"/>
      <c r="BQ259" s="356"/>
      <c r="BR259" s="355"/>
      <c r="BS259" s="356"/>
      <c r="BT259" s="357"/>
    </row>
    <row r="260" spans="1:72" s="615" customFormat="1" ht="25.5" outlineLevel="1">
      <c r="A260" s="287">
        <v>249</v>
      </c>
      <c r="B260" s="941"/>
      <c r="C260" s="866"/>
      <c r="D260" s="867"/>
      <c r="E260" s="867"/>
      <c r="F260" s="832" t="s">
        <v>23</v>
      </c>
      <c r="G260" s="616">
        <v>2</v>
      </c>
      <c r="H260" s="749" t="s">
        <v>71</v>
      </c>
      <c r="I260" s="749">
        <v>244</v>
      </c>
      <c r="J260" s="750">
        <v>341</v>
      </c>
      <c r="K260" s="932" t="s">
        <v>214</v>
      </c>
      <c r="L260" s="1043">
        <v>0</v>
      </c>
      <c r="M260" s="619"/>
      <c r="N260" s="619"/>
      <c r="O260" s="1054">
        <f t="shared" si="305"/>
        <v>0</v>
      </c>
      <c r="P260" s="620"/>
      <c r="Q260" s="509">
        <v>0</v>
      </c>
      <c r="R260" s="560"/>
      <c r="S260" s="542">
        <v>0</v>
      </c>
      <c r="T260" s="560"/>
      <c r="U260" s="621"/>
      <c r="V260" s="320"/>
      <c r="W260" s="320"/>
      <c r="X260" s="320"/>
      <c r="Z260" s="509">
        <f>AW260+AY260+BA260</f>
        <v>0</v>
      </c>
      <c r="AA260" s="622">
        <f>AX260+AZ260+BB260</f>
        <v>0</v>
      </c>
      <c r="AB260" s="623">
        <f>Z260-AA260</f>
        <v>0</v>
      </c>
      <c r="AC260" s="509">
        <f>BC260+BE260+BG260</f>
        <v>0</v>
      </c>
      <c r="AD260" s="622">
        <f>BD260+BF260+BH260</f>
        <v>0</v>
      </c>
      <c r="AE260" s="623">
        <f>AC260-AD260</f>
        <v>0</v>
      </c>
      <c r="AF260" s="509">
        <f>BI260+BK260+BM260</f>
        <v>0</v>
      </c>
      <c r="AG260" s="622">
        <f>BJ260+BL260+BN260</f>
        <v>0</v>
      </c>
      <c r="AH260" s="623">
        <f>AF260-AG260</f>
        <v>0</v>
      </c>
      <c r="AI260" s="509">
        <f>BO260+BQ260+BS260</f>
        <v>0</v>
      </c>
      <c r="AJ260" s="622">
        <f>BP260+BR260+BT260</f>
        <v>0</v>
      </c>
      <c r="AK260" s="623">
        <f>AI260-AJ260</f>
        <v>0</v>
      </c>
      <c r="AL260" s="624"/>
      <c r="AM260" s="509">
        <f>Z260+AC260</f>
        <v>0</v>
      </c>
      <c r="AN260" s="625">
        <f>AA260+AD260</f>
        <v>0</v>
      </c>
      <c r="AO260" s="626">
        <f>AM260-AN260</f>
        <v>0</v>
      </c>
      <c r="AP260" s="509">
        <f>Z260+AC260+AF260</f>
        <v>0</v>
      </c>
      <c r="AQ260" s="625">
        <f>AA260+AD260+AG260</f>
        <v>0</v>
      </c>
      <c r="AR260" s="626">
        <f>AP260-AQ260</f>
        <v>0</v>
      </c>
      <c r="AS260" s="510">
        <f>Z260+AC260+AF260+AI260</f>
        <v>0</v>
      </c>
      <c r="AT260" s="625">
        <f>AA260+AD260+AG260+AJ260</f>
        <v>0</v>
      </c>
      <c r="AU260" s="626">
        <f>AS260-AT260</f>
        <v>0</v>
      </c>
      <c r="AV260" s="627">
        <f t="shared" si="331"/>
        <v>0</v>
      </c>
      <c r="AW260" s="628"/>
      <c r="AX260" s="629"/>
      <c r="AY260" s="630"/>
      <c r="AZ260" s="629"/>
      <c r="BA260" s="630"/>
      <c r="BB260" s="631"/>
      <c r="BC260" s="632"/>
      <c r="BD260" s="633"/>
      <c r="BE260" s="634"/>
      <c r="BF260" s="633"/>
      <c r="BG260" s="634"/>
      <c r="BH260" s="635"/>
      <c r="BI260" s="636"/>
      <c r="BJ260" s="637"/>
      <c r="BK260" s="622"/>
      <c r="BL260" s="637"/>
      <c r="BM260" s="622"/>
      <c r="BN260" s="638"/>
      <c r="BO260" s="639"/>
      <c r="BP260" s="640"/>
      <c r="BQ260" s="641"/>
      <c r="BR260" s="640"/>
      <c r="BS260" s="641"/>
      <c r="BT260" s="642"/>
    </row>
    <row r="261" spans="1:72" s="358" customFormat="1" ht="31.5" customHeight="1">
      <c r="A261" s="287">
        <v>250</v>
      </c>
      <c r="B261" s="941"/>
      <c r="C261" s="850" t="s">
        <v>377</v>
      </c>
      <c r="D261" s="838"/>
      <c r="E261" s="836" t="s">
        <v>201</v>
      </c>
      <c r="F261" s="820" t="s">
        <v>23</v>
      </c>
      <c r="G261" s="360">
        <v>2</v>
      </c>
      <c r="H261" s="360" t="s">
        <v>71</v>
      </c>
      <c r="I261" s="360">
        <v>244</v>
      </c>
      <c r="J261" s="361">
        <v>342</v>
      </c>
      <c r="K261" s="532" t="s">
        <v>498</v>
      </c>
      <c r="L261" s="1023">
        <f>SUM(L262:L264)</f>
        <v>12350</v>
      </c>
      <c r="M261" s="363"/>
      <c r="N261" s="363">
        <f>SUM(N262:N264)</f>
        <v>0</v>
      </c>
      <c r="O261" s="1051">
        <f t="shared" si="305"/>
        <v>12350</v>
      </c>
      <c r="P261" s="571"/>
      <c r="Q261" s="367">
        <f>SUM(Q262:Q264)</f>
        <v>0</v>
      </c>
      <c r="R261" s="557"/>
      <c r="S261" s="367">
        <f>SUM(S262:S264)</f>
        <v>0</v>
      </c>
      <c r="T261" s="557"/>
      <c r="U261" s="365"/>
      <c r="V261" s="366"/>
      <c r="W261" s="366"/>
      <c r="X261" s="366"/>
      <c r="Z261" s="367">
        <f t="shared" ref="Z261:AA263" si="409">AW261+AY261+BA261</f>
        <v>1325</v>
      </c>
      <c r="AA261" s="363">
        <f t="shared" si="409"/>
        <v>1325</v>
      </c>
      <c r="AB261" s="280">
        <f t="shared" ref="AB261:AB263" si="410">Z261-AA261</f>
        <v>0</v>
      </c>
      <c r="AC261" s="367">
        <f t="shared" ref="AC261:AD263" si="411">BC261+BE261+BG261</f>
        <v>4600</v>
      </c>
      <c r="AD261" s="363">
        <f t="shared" si="411"/>
        <v>0</v>
      </c>
      <c r="AE261" s="280">
        <f t="shared" ref="AE261:AE263" si="412">AC261-AD261</f>
        <v>4600</v>
      </c>
      <c r="AF261" s="367">
        <f t="shared" ref="AF261:AG263" si="413">BI261+BK261+BM261</f>
        <v>3225</v>
      </c>
      <c r="AG261" s="363">
        <f t="shared" si="413"/>
        <v>0</v>
      </c>
      <c r="AH261" s="280">
        <f t="shared" ref="AH261:AH263" si="414">AF261-AG261</f>
        <v>3225</v>
      </c>
      <c r="AI261" s="367">
        <f t="shared" ref="AI261:AJ263" si="415">BO261+BQ261+BS261</f>
        <v>4000</v>
      </c>
      <c r="AJ261" s="363">
        <f t="shared" si="415"/>
        <v>0</v>
      </c>
      <c r="AK261" s="280">
        <f t="shared" ref="AK261:AK263" si="416">AI261-AJ261</f>
        <v>4000</v>
      </c>
      <c r="AL261" s="368"/>
      <c r="AM261" s="367">
        <f t="shared" ref="AM261:AN263" si="417">Z261+AC261</f>
        <v>5925</v>
      </c>
      <c r="AN261" s="363">
        <f t="shared" si="417"/>
        <v>1325</v>
      </c>
      <c r="AO261" s="280">
        <f t="shared" ref="AO261:AO263" si="418">AM261-AN261</f>
        <v>4600</v>
      </c>
      <c r="AP261" s="367">
        <f t="shared" ref="AP261:AQ263" si="419">Z261+AC261+AF261</f>
        <v>9150</v>
      </c>
      <c r="AQ261" s="363">
        <f t="shared" si="419"/>
        <v>1325</v>
      </c>
      <c r="AR261" s="280">
        <f t="shared" ref="AR261:AR263" si="420">AP261-AQ261</f>
        <v>7825</v>
      </c>
      <c r="AS261" s="367">
        <f t="shared" ref="AS261:AT263" si="421">Z261+AC261+AF261+AI261</f>
        <v>13150</v>
      </c>
      <c r="AT261" s="363">
        <f t="shared" si="421"/>
        <v>1325</v>
      </c>
      <c r="AU261" s="280">
        <f t="shared" ref="AU261:AU263" si="422">AS261-AT261</f>
        <v>11825</v>
      </c>
      <c r="AV261" s="588">
        <f t="shared" si="331"/>
        <v>-800</v>
      </c>
      <c r="AW261" s="367">
        <f t="shared" ref="AW261:BT261" si="423">SUM(AW262:AW264)</f>
        <v>0</v>
      </c>
      <c r="AX261" s="363">
        <f t="shared" si="423"/>
        <v>0</v>
      </c>
      <c r="AY261" s="363">
        <f t="shared" si="423"/>
        <v>0</v>
      </c>
      <c r="AZ261" s="363">
        <f t="shared" si="423"/>
        <v>0</v>
      </c>
      <c r="BA261" s="363">
        <f t="shared" si="423"/>
        <v>1325</v>
      </c>
      <c r="BB261" s="369">
        <f t="shared" si="423"/>
        <v>1325</v>
      </c>
      <c r="BC261" s="367">
        <f t="shared" si="423"/>
        <v>1000</v>
      </c>
      <c r="BD261" s="363">
        <f t="shared" si="423"/>
        <v>0</v>
      </c>
      <c r="BE261" s="363">
        <f t="shared" si="423"/>
        <v>2200</v>
      </c>
      <c r="BF261" s="363">
        <f t="shared" si="423"/>
        <v>0</v>
      </c>
      <c r="BG261" s="363">
        <f t="shared" si="423"/>
        <v>1400</v>
      </c>
      <c r="BH261" s="369">
        <f t="shared" si="423"/>
        <v>0</v>
      </c>
      <c r="BI261" s="367">
        <f t="shared" si="423"/>
        <v>3225</v>
      </c>
      <c r="BJ261" s="363">
        <f t="shared" si="423"/>
        <v>0</v>
      </c>
      <c r="BK261" s="363">
        <f t="shared" si="423"/>
        <v>0</v>
      </c>
      <c r="BL261" s="363">
        <f t="shared" si="423"/>
        <v>0</v>
      </c>
      <c r="BM261" s="363">
        <f t="shared" si="423"/>
        <v>0</v>
      </c>
      <c r="BN261" s="369">
        <f t="shared" si="423"/>
        <v>0</v>
      </c>
      <c r="BO261" s="367">
        <f t="shared" si="423"/>
        <v>4000</v>
      </c>
      <c r="BP261" s="363">
        <f t="shared" si="423"/>
        <v>0</v>
      </c>
      <c r="BQ261" s="363">
        <f t="shared" si="423"/>
        <v>0</v>
      </c>
      <c r="BR261" s="363">
        <f t="shared" si="423"/>
        <v>0</v>
      </c>
      <c r="BS261" s="363">
        <f t="shared" si="423"/>
        <v>0</v>
      </c>
      <c r="BT261" s="280">
        <f t="shared" si="423"/>
        <v>0</v>
      </c>
    </row>
    <row r="262" spans="1:72" s="313" customFormat="1" ht="25.5" outlineLevel="2">
      <c r="A262" s="287">
        <v>251</v>
      </c>
      <c r="B262" s="941"/>
      <c r="C262" s="840"/>
      <c r="D262" s="841"/>
      <c r="E262" s="839"/>
      <c r="F262" s="821" t="s">
        <v>23</v>
      </c>
      <c r="G262" s="314">
        <v>2</v>
      </c>
      <c r="H262" s="739" t="s">
        <v>71</v>
      </c>
      <c r="I262" s="739">
        <v>244</v>
      </c>
      <c r="J262" s="740">
        <v>342</v>
      </c>
      <c r="K262" s="533" t="s">
        <v>500</v>
      </c>
      <c r="L262" s="1013">
        <f>12350-1325</f>
        <v>11025</v>
      </c>
      <c r="M262" s="318"/>
      <c r="N262" s="318"/>
      <c r="O262" s="1052">
        <f t="shared" si="305"/>
        <v>11025</v>
      </c>
      <c r="P262" s="570"/>
      <c r="Q262" s="336">
        <v>0</v>
      </c>
      <c r="R262" s="559"/>
      <c r="S262" s="541">
        <v>0</v>
      </c>
      <c r="T262" s="559"/>
      <c r="U262" s="335"/>
      <c r="V262" s="596" t="s">
        <v>638</v>
      </c>
      <c r="W262" s="596" t="s">
        <v>671</v>
      </c>
      <c r="X262" s="596" t="s">
        <v>672</v>
      </c>
      <c r="Z262" s="336">
        <f t="shared" si="409"/>
        <v>0</v>
      </c>
      <c r="AA262" s="337">
        <f t="shared" si="409"/>
        <v>0</v>
      </c>
      <c r="AB262" s="338">
        <f t="shared" si="410"/>
        <v>0</v>
      </c>
      <c r="AC262" s="336">
        <f t="shared" si="411"/>
        <v>4600</v>
      </c>
      <c r="AD262" s="337">
        <f t="shared" si="411"/>
        <v>0</v>
      </c>
      <c r="AE262" s="338">
        <f t="shared" si="412"/>
        <v>4600</v>
      </c>
      <c r="AF262" s="336">
        <f t="shared" si="413"/>
        <v>3225</v>
      </c>
      <c r="AG262" s="337">
        <f t="shared" si="413"/>
        <v>0</v>
      </c>
      <c r="AH262" s="338">
        <f t="shared" si="414"/>
        <v>3225</v>
      </c>
      <c r="AI262" s="336">
        <f t="shared" si="415"/>
        <v>4000</v>
      </c>
      <c r="AJ262" s="337">
        <f t="shared" si="415"/>
        <v>0</v>
      </c>
      <c r="AK262" s="338">
        <f t="shared" si="416"/>
        <v>4000</v>
      </c>
      <c r="AL262" s="342"/>
      <c r="AM262" s="336">
        <f t="shared" si="417"/>
        <v>4600</v>
      </c>
      <c r="AN262" s="339">
        <f t="shared" si="417"/>
        <v>0</v>
      </c>
      <c r="AO262" s="340">
        <f t="shared" si="418"/>
        <v>4600</v>
      </c>
      <c r="AP262" s="336">
        <f t="shared" si="419"/>
        <v>7825</v>
      </c>
      <c r="AQ262" s="339">
        <f t="shared" si="419"/>
        <v>0</v>
      </c>
      <c r="AR262" s="340">
        <f t="shared" si="420"/>
        <v>7825</v>
      </c>
      <c r="AS262" s="341">
        <f t="shared" si="421"/>
        <v>11825</v>
      </c>
      <c r="AT262" s="339">
        <f t="shared" si="421"/>
        <v>0</v>
      </c>
      <c r="AU262" s="340">
        <f t="shared" si="422"/>
        <v>11825</v>
      </c>
      <c r="AV262" s="589">
        <f t="shared" si="331"/>
        <v>-800</v>
      </c>
      <c r="AW262" s="343"/>
      <c r="AX262" s="344"/>
      <c r="AY262" s="345"/>
      <c r="AZ262" s="344"/>
      <c r="BA262" s="345"/>
      <c r="BB262" s="346"/>
      <c r="BC262" s="1134">
        <v>1000</v>
      </c>
      <c r="BD262" s="348"/>
      <c r="BE262" s="1135">
        <f>800+600+800</f>
        <v>2200</v>
      </c>
      <c r="BF262" s="348"/>
      <c r="BG262" s="1135">
        <f>600+800</f>
        <v>1400</v>
      </c>
      <c r="BH262" s="350"/>
      <c r="BI262" s="351">
        <f>6000-1375-800-600</f>
        <v>3225</v>
      </c>
      <c r="BJ262" s="352"/>
      <c r="BK262" s="337"/>
      <c r="BL262" s="352"/>
      <c r="BM262" s="337"/>
      <c r="BN262" s="353"/>
      <c r="BO262" s="354">
        <v>4000</v>
      </c>
      <c r="BP262" s="355"/>
      <c r="BQ262" s="356"/>
      <c r="BR262" s="355"/>
      <c r="BS262" s="356"/>
      <c r="BT262" s="357"/>
    </row>
    <row r="263" spans="1:72" s="313" customFormat="1" ht="38.25" outlineLevel="2">
      <c r="A263" s="287">
        <v>252</v>
      </c>
      <c r="B263" s="941"/>
      <c r="C263" s="840"/>
      <c r="D263" s="841"/>
      <c r="E263" s="839"/>
      <c r="F263" s="821" t="s">
        <v>23</v>
      </c>
      <c r="G263" s="314">
        <v>2</v>
      </c>
      <c r="H263" s="739" t="s">
        <v>71</v>
      </c>
      <c r="I263" s="739">
        <v>244</v>
      </c>
      <c r="J263" s="740">
        <v>342</v>
      </c>
      <c r="K263" s="533" t="s">
        <v>500</v>
      </c>
      <c r="L263" s="1013">
        <v>1325</v>
      </c>
      <c r="M263" s="318"/>
      <c r="N263" s="318"/>
      <c r="O263" s="1052">
        <v>1325</v>
      </c>
      <c r="P263" s="570"/>
      <c r="Q263" s="336">
        <v>0</v>
      </c>
      <c r="R263" s="559"/>
      <c r="S263" s="541">
        <v>0</v>
      </c>
      <c r="T263" s="559"/>
      <c r="U263" s="335"/>
      <c r="V263" s="596" t="s">
        <v>640</v>
      </c>
      <c r="W263" s="596" t="s">
        <v>639</v>
      </c>
      <c r="X263" s="320"/>
      <c r="Z263" s="336">
        <f t="shared" si="409"/>
        <v>1325</v>
      </c>
      <c r="AA263" s="337">
        <f t="shared" si="409"/>
        <v>1325</v>
      </c>
      <c r="AB263" s="338">
        <f t="shared" si="410"/>
        <v>0</v>
      </c>
      <c r="AC263" s="336">
        <f t="shared" si="411"/>
        <v>0</v>
      </c>
      <c r="AD263" s="337">
        <f t="shared" si="411"/>
        <v>0</v>
      </c>
      <c r="AE263" s="338">
        <f t="shared" si="412"/>
        <v>0</v>
      </c>
      <c r="AF263" s="336">
        <f t="shared" si="413"/>
        <v>0</v>
      </c>
      <c r="AG263" s="337">
        <f t="shared" si="413"/>
        <v>0</v>
      </c>
      <c r="AH263" s="338">
        <f t="shared" si="414"/>
        <v>0</v>
      </c>
      <c r="AI263" s="336">
        <f t="shared" si="415"/>
        <v>0</v>
      </c>
      <c r="AJ263" s="337">
        <f t="shared" si="415"/>
        <v>0</v>
      </c>
      <c r="AK263" s="338">
        <f t="shared" si="416"/>
        <v>0</v>
      </c>
      <c r="AL263" s="342"/>
      <c r="AM263" s="336">
        <f t="shared" si="417"/>
        <v>1325</v>
      </c>
      <c r="AN263" s="339">
        <f t="shared" si="417"/>
        <v>1325</v>
      </c>
      <c r="AO263" s="340">
        <f t="shared" si="418"/>
        <v>0</v>
      </c>
      <c r="AP263" s="336">
        <f t="shared" si="419"/>
        <v>1325</v>
      </c>
      <c r="AQ263" s="339">
        <f t="shared" si="419"/>
        <v>1325</v>
      </c>
      <c r="AR263" s="340">
        <f t="shared" si="420"/>
        <v>0</v>
      </c>
      <c r="AS263" s="341">
        <f t="shared" si="421"/>
        <v>1325</v>
      </c>
      <c r="AT263" s="339">
        <f t="shared" si="421"/>
        <v>1325</v>
      </c>
      <c r="AU263" s="340">
        <f t="shared" si="422"/>
        <v>0</v>
      </c>
      <c r="AV263" s="589">
        <f t="shared" si="331"/>
        <v>0</v>
      </c>
      <c r="AW263" s="343"/>
      <c r="AX263" s="344"/>
      <c r="AY263" s="345"/>
      <c r="AZ263" s="344"/>
      <c r="BA263" s="345">
        <v>1325</v>
      </c>
      <c r="BB263" s="346">
        <v>1325</v>
      </c>
      <c r="BC263" s="347"/>
      <c r="BD263" s="348"/>
      <c r="BE263" s="349"/>
      <c r="BF263" s="348"/>
      <c r="BG263" s="349"/>
      <c r="BH263" s="350"/>
      <c r="BI263" s="351"/>
      <c r="BJ263" s="352"/>
      <c r="BK263" s="337"/>
      <c r="BL263" s="352"/>
      <c r="BM263" s="337"/>
      <c r="BN263" s="353"/>
      <c r="BO263" s="354"/>
      <c r="BP263" s="355"/>
      <c r="BQ263" s="356"/>
      <c r="BR263" s="355"/>
      <c r="BS263" s="356"/>
      <c r="BT263" s="357"/>
    </row>
    <row r="264" spans="1:72" s="615" customFormat="1" ht="25.5" outlineLevel="1">
      <c r="A264" s="287">
        <v>253</v>
      </c>
      <c r="B264" s="941"/>
      <c r="C264" s="866"/>
      <c r="D264" s="867"/>
      <c r="E264" s="867"/>
      <c r="F264" s="832" t="s">
        <v>23</v>
      </c>
      <c r="G264" s="616">
        <v>2</v>
      </c>
      <c r="H264" s="749" t="s">
        <v>71</v>
      </c>
      <c r="I264" s="749">
        <v>244</v>
      </c>
      <c r="J264" s="750">
        <v>342</v>
      </c>
      <c r="K264" s="932" t="s">
        <v>214</v>
      </c>
      <c r="L264" s="1043">
        <v>0</v>
      </c>
      <c r="M264" s="619"/>
      <c r="N264" s="619"/>
      <c r="O264" s="1054">
        <f t="shared" si="305"/>
        <v>0</v>
      </c>
      <c r="P264" s="620"/>
      <c r="Q264" s="509">
        <v>0</v>
      </c>
      <c r="R264" s="560"/>
      <c r="S264" s="542">
        <v>0</v>
      </c>
      <c r="T264" s="560"/>
      <c r="U264" s="621"/>
      <c r="V264" s="320"/>
      <c r="W264" s="320"/>
      <c r="X264" s="320"/>
      <c r="Z264" s="509">
        <f>AW264+AY264+BA264</f>
        <v>0</v>
      </c>
      <c r="AA264" s="622">
        <f>AX264+AZ264+BB264</f>
        <v>0</v>
      </c>
      <c r="AB264" s="623">
        <f>Z264-AA264</f>
        <v>0</v>
      </c>
      <c r="AC264" s="509">
        <f>BC264+BE264+BG264</f>
        <v>0</v>
      </c>
      <c r="AD264" s="622">
        <f>BD264+BF264+BH264</f>
        <v>0</v>
      </c>
      <c r="AE264" s="623">
        <f>AC264-AD264</f>
        <v>0</v>
      </c>
      <c r="AF264" s="509">
        <f>BI264+BK264+BM264</f>
        <v>0</v>
      </c>
      <c r="AG264" s="622">
        <f>BJ264+BL264+BN264</f>
        <v>0</v>
      </c>
      <c r="AH264" s="623">
        <f>AF264-AG264</f>
        <v>0</v>
      </c>
      <c r="AI264" s="509">
        <f>BO264+BQ264+BS264</f>
        <v>0</v>
      </c>
      <c r="AJ264" s="622">
        <f>BP264+BR264+BT264</f>
        <v>0</v>
      </c>
      <c r="AK264" s="623">
        <f>AI264-AJ264</f>
        <v>0</v>
      </c>
      <c r="AL264" s="624"/>
      <c r="AM264" s="509">
        <f>Z264+AC264</f>
        <v>0</v>
      </c>
      <c r="AN264" s="625">
        <f>AA264+AD264</f>
        <v>0</v>
      </c>
      <c r="AO264" s="626">
        <f>AM264-AN264</f>
        <v>0</v>
      </c>
      <c r="AP264" s="509">
        <f>Z264+AC264+AF264</f>
        <v>0</v>
      </c>
      <c r="AQ264" s="625">
        <f>AA264+AD264+AG264</f>
        <v>0</v>
      </c>
      <c r="AR264" s="626">
        <f>AP264-AQ264</f>
        <v>0</v>
      </c>
      <c r="AS264" s="510">
        <f>Z264+AC264+AF264+AI264</f>
        <v>0</v>
      </c>
      <c r="AT264" s="625">
        <f>AA264+AD264+AG264+AJ264</f>
        <v>0</v>
      </c>
      <c r="AU264" s="626">
        <f>AS264-AT264</f>
        <v>0</v>
      </c>
      <c r="AV264" s="627">
        <f t="shared" si="331"/>
        <v>0</v>
      </c>
      <c r="AW264" s="628"/>
      <c r="AX264" s="629"/>
      <c r="AY264" s="630"/>
      <c r="AZ264" s="629"/>
      <c r="BA264" s="630"/>
      <c r="BB264" s="631"/>
      <c r="BC264" s="632"/>
      <c r="BD264" s="633"/>
      <c r="BE264" s="634"/>
      <c r="BF264" s="633"/>
      <c r="BG264" s="634"/>
      <c r="BH264" s="635"/>
      <c r="BI264" s="636"/>
      <c r="BJ264" s="637"/>
      <c r="BK264" s="622"/>
      <c r="BL264" s="637"/>
      <c r="BM264" s="622"/>
      <c r="BN264" s="638"/>
      <c r="BO264" s="639"/>
      <c r="BP264" s="640"/>
      <c r="BQ264" s="641"/>
      <c r="BR264" s="640"/>
      <c r="BS264" s="641"/>
      <c r="BT264" s="642"/>
    </row>
    <row r="265" spans="1:72" s="358" customFormat="1" ht="31.5" customHeight="1">
      <c r="A265" s="287">
        <v>254</v>
      </c>
      <c r="B265" s="933"/>
      <c r="C265" s="850" t="s">
        <v>377</v>
      </c>
      <c r="D265" s="838"/>
      <c r="E265" s="836" t="s">
        <v>201</v>
      </c>
      <c r="F265" s="820" t="s">
        <v>23</v>
      </c>
      <c r="G265" s="360">
        <v>2</v>
      </c>
      <c r="H265" s="360" t="s">
        <v>71</v>
      </c>
      <c r="I265" s="360">
        <v>244</v>
      </c>
      <c r="J265" s="361">
        <v>346</v>
      </c>
      <c r="K265" s="532" t="s">
        <v>379</v>
      </c>
      <c r="L265" s="1023">
        <f>SUM(L266:L269)</f>
        <v>86176.639999999999</v>
      </c>
      <c r="M265" s="363"/>
      <c r="N265" s="363"/>
      <c r="O265" s="1051">
        <f t="shared" si="305"/>
        <v>86176.639999999999</v>
      </c>
      <c r="P265" s="571"/>
      <c r="Q265" s="367">
        <f>SUM(Q266:Q269)</f>
        <v>76176.639999999999</v>
      </c>
      <c r="R265" s="557"/>
      <c r="S265" s="367">
        <f>SUM(S266:S269)</f>
        <v>76176.639999999999</v>
      </c>
      <c r="T265" s="557"/>
      <c r="U265" s="365"/>
      <c r="V265" s="366"/>
      <c r="W265" s="366"/>
      <c r="X265" s="366"/>
      <c r="Z265" s="367">
        <f t="shared" ref="Z265:AA305" si="424">AW265+AY265+BA265</f>
        <v>52771.65</v>
      </c>
      <c r="AA265" s="363">
        <f t="shared" si="424"/>
        <v>6575</v>
      </c>
      <c r="AB265" s="280">
        <f t="shared" si="307"/>
        <v>46196.65</v>
      </c>
      <c r="AC265" s="367">
        <f t="shared" ref="AC265:AD305" si="425">BC265+BE265+BG265</f>
        <v>0</v>
      </c>
      <c r="AD265" s="363">
        <f t="shared" si="425"/>
        <v>0</v>
      </c>
      <c r="AE265" s="280">
        <f t="shared" si="309"/>
        <v>0</v>
      </c>
      <c r="AF265" s="367">
        <f t="shared" ref="AF265:AG305" si="426">BI265+BK265+BM265</f>
        <v>0</v>
      </c>
      <c r="AG265" s="363">
        <f t="shared" si="426"/>
        <v>0</v>
      </c>
      <c r="AH265" s="280">
        <f t="shared" si="311"/>
        <v>0</v>
      </c>
      <c r="AI265" s="367">
        <f t="shared" ref="AI265:AJ305" si="427">BO265+BQ265+BS265</f>
        <v>33404.99</v>
      </c>
      <c r="AJ265" s="363">
        <f t="shared" si="427"/>
        <v>0</v>
      </c>
      <c r="AK265" s="280">
        <f t="shared" si="313"/>
        <v>33404.99</v>
      </c>
      <c r="AL265" s="368"/>
      <c r="AM265" s="367">
        <f t="shared" ref="AM265:AN310" si="428">Z265+AC265</f>
        <v>52771.65</v>
      </c>
      <c r="AN265" s="363">
        <f t="shared" si="428"/>
        <v>6575</v>
      </c>
      <c r="AO265" s="280">
        <f t="shared" si="315"/>
        <v>46196.65</v>
      </c>
      <c r="AP265" s="367">
        <f t="shared" ref="AP265:AQ310" si="429">Z265+AC265+AF265</f>
        <v>52771.65</v>
      </c>
      <c r="AQ265" s="363">
        <f t="shared" si="429"/>
        <v>6575</v>
      </c>
      <c r="AR265" s="280">
        <f t="shared" si="301"/>
        <v>46196.65</v>
      </c>
      <c r="AS265" s="367">
        <f t="shared" ref="AS265:AT305" si="430">Z265+AC265+AF265+AI265</f>
        <v>86176.639999999999</v>
      </c>
      <c r="AT265" s="363">
        <f t="shared" si="430"/>
        <v>6575</v>
      </c>
      <c r="AU265" s="280">
        <f t="shared" si="303"/>
        <v>79601.64</v>
      </c>
      <c r="AV265" s="588">
        <f t="shared" si="331"/>
        <v>0</v>
      </c>
      <c r="AW265" s="367">
        <f t="shared" ref="AW265:BT265" si="431">SUM(AW266:AW269)</f>
        <v>0</v>
      </c>
      <c r="AX265" s="363">
        <f t="shared" si="431"/>
        <v>0</v>
      </c>
      <c r="AY265" s="363">
        <f t="shared" si="431"/>
        <v>5775</v>
      </c>
      <c r="AZ265" s="363">
        <f t="shared" si="431"/>
        <v>5775</v>
      </c>
      <c r="BA265" s="363">
        <f t="shared" si="431"/>
        <v>46996.65</v>
      </c>
      <c r="BB265" s="369">
        <f t="shared" si="431"/>
        <v>800</v>
      </c>
      <c r="BC265" s="367">
        <f t="shared" si="431"/>
        <v>0</v>
      </c>
      <c r="BD265" s="363">
        <f t="shared" si="431"/>
        <v>0</v>
      </c>
      <c r="BE265" s="363">
        <f t="shared" si="431"/>
        <v>0</v>
      </c>
      <c r="BF265" s="363">
        <f t="shared" si="431"/>
        <v>0</v>
      </c>
      <c r="BG265" s="363">
        <f t="shared" si="431"/>
        <v>0</v>
      </c>
      <c r="BH265" s="369">
        <f t="shared" si="431"/>
        <v>0</v>
      </c>
      <c r="BI265" s="367">
        <f t="shared" si="431"/>
        <v>0</v>
      </c>
      <c r="BJ265" s="363">
        <f t="shared" si="431"/>
        <v>0</v>
      </c>
      <c r="BK265" s="363">
        <f t="shared" si="431"/>
        <v>0</v>
      </c>
      <c r="BL265" s="363">
        <f t="shared" si="431"/>
        <v>0</v>
      </c>
      <c r="BM265" s="363">
        <f t="shared" si="431"/>
        <v>0</v>
      </c>
      <c r="BN265" s="369">
        <f t="shared" si="431"/>
        <v>0</v>
      </c>
      <c r="BO265" s="367">
        <f t="shared" si="431"/>
        <v>29979.99</v>
      </c>
      <c r="BP265" s="363">
        <f t="shared" si="431"/>
        <v>0</v>
      </c>
      <c r="BQ265" s="363">
        <f t="shared" si="431"/>
        <v>3425</v>
      </c>
      <c r="BR265" s="363">
        <f t="shared" si="431"/>
        <v>0</v>
      </c>
      <c r="BS265" s="363">
        <f t="shared" si="431"/>
        <v>0</v>
      </c>
      <c r="BT265" s="280">
        <f t="shared" si="431"/>
        <v>0</v>
      </c>
    </row>
    <row r="266" spans="1:72" s="313" customFormat="1" ht="25.5" outlineLevel="2">
      <c r="A266" s="287">
        <v>255</v>
      </c>
      <c r="B266" s="933"/>
      <c r="C266" s="840"/>
      <c r="D266" s="841"/>
      <c r="E266" s="839"/>
      <c r="F266" s="821" t="s">
        <v>23</v>
      </c>
      <c r="G266" s="314">
        <v>2</v>
      </c>
      <c r="H266" s="739" t="s">
        <v>71</v>
      </c>
      <c r="I266" s="739">
        <v>244</v>
      </c>
      <c r="J266" s="740">
        <v>346</v>
      </c>
      <c r="K266" s="533" t="s">
        <v>308</v>
      </c>
      <c r="L266" s="1025">
        <v>7359.99</v>
      </c>
      <c r="M266" s="318"/>
      <c r="N266" s="318"/>
      <c r="O266" s="1052">
        <f t="shared" si="305"/>
        <v>7359.99</v>
      </c>
      <c r="P266" s="570"/>
      <c r="Q266" s="336">
        <v>7359.99</v>
      </c>
      <c r="R266" s="559"/>
      <c r="S266" s="541">
        <v>7359.99</v>
      </c>
      <c r="T266" s="559"/>
      <c r="U266" s="335"/>
      <c r="V266" s="320"/>
      <c r="W266" s="320"/>
      <c r="X266" s="320"/>
      <c r="Z266" s="336">
        <f t="shared" si="424"/>
        <v>4906.66</v>
      </c>
      <c r="AA266" s="337">
        <f t="shared" si="424"/>
        <v>0</v>
      </c>
      <c r="AB266" s="338">
        <f t="shared" si="307"/>
        <v>4906.66</v>
      </c>
      <c r="AC266" s="336">
        <f t="shared" si="425"/>
        <v>0</v>
      </c>
      <c r="AD266" s="337">
        <f t="shared" si="425"/>
        <v>0</v>
      </c>
      <c r="AE266" s="338">
        <f t="shared" si="309"/>
        <v>0</v>
      </c>
      <c r="AF266" s="336">
        <f t="shared" si="426"/>
        <v>0</v>
      </c>
      <c r="AG266" s="337">
        <f t="shared" si="426"/>
        <v>0</v>
      </c>
      <c r="AH266" s="338">
        <f t="shared" si="311"/>
        <v>0</v>
      </c>
      <c r="AI266" s="336">
        <f t="shared" si="427"/>
        <v>2453.33</v>
      </c>
      <c r="AJ266" s="337">
        <f t="shared" si="427"/>
        <v>0</v>
      </c>
      <c r="AK266" s="338">
        <f t="shared" si="313"/>
        <v>2453.33</v>
      </c>
      <c r="AL266" s="342"/>
      <c r="AM266" s="336">
        <f t="shared" si="428"/>
        <v>4906.66</v>
      </c>
      <c r="AN266" s="339">
        <f t="shared" si="428"/>
        <v>0</v>
      </c>
      <c r="AO266" s="340">
        <f t="shared" si="315"/>
        <v>4906.66</v>
      </c>
      <c r="AP266" s="336">
        <f t="shared" si="429"/>
        <v>4906.66</v>
      </c>
      <c r="AQ266" s="339">
        <f t="shared" si="429"/>
        <v>0</v>
      </c>
      <c r="AR266" s="340">
        <f t="shared" si="301"/>
        <v>4906.66</v>
      </c>
      <c r="AS266" s="341">
        <f t="shared" si="430"/>
        <v>7359.99</v>
      </c>
      <c r="AT266" s="339">
        <f t="shared" si="430"/>
        <v>0</v>
      </c>
      <c r="AU266" s="340">
        <f t="shared" si="303"/>
        <v>7359.99</v>
      </c>
      <c r="AV266" s="589">
        <f t="shared" si="331"/>
        <v>0</v>
      </c>
      <c r="AW266" s="343"/>
      <c r="AX266" s="344"/>
      <c r="AY266" s="345"/>
      <c r="AZ266" s="344"/>
      <c r="BA266" s="345">
        <f>2453.33*2</f>
        <v>4906.66</v>
      </c>
      <c r="BB266" s="346"/>
      <c r="BC266" s="347"/>
      <c r="BD266" s="348"/>
      <c r="BE266" s="349"/>
      <c r="BF266" s="348"/>
      <c r="BG266" s="349"/>
      <c r="BH266" s="350"/>
      <c r="BI266" s="351"/>
      <c r="BJ266" s="352"/>
      <c r="BK266" s="337"/>
      <c r="BL266" s="352"/>
      <c r="BM266" s="337"/>
      <c r="BN266" s="353"/>
      <c r="BO266" s="354">
        <v>2453.33</v>
      </c>
      <c r="BP266" s="355"/>
      <c r="BQ266" s="356"/>
      <c r="BR266" s="355"/>
      <c r="BS266" s="356"/>
      <c r="BT266" s="357"/>
    </row>
    <row r="267" spans="1:72" s="313" customFormat="1" ht="25.5" outlineLevel="2">
      <c r="A267" s="287">
        <v>256</v>
      </c>
      <c r="B267" s="933"/>
      <c r="C267" s="840"/>
      <c r="D267" s="841"/>
      <c r="E267" s="839"/>
      <c r="F267" s="821" t="s">
        <v>23</v>
      </c>
      <c r="G267" s="314">
        <v>2</v>
      </c>
      <c r="H267" s="739" t="s">
        <v>71</v>
      </c>
      <c r="I267" s="739">
        <v>244</v>
      </c>
      <c r="J267" s="740">
        <v>346</v>
      </c>
      <c r="K267" s="533" t="s">
        <v>309</v>
      </c>
      <c r="L267" s="1025">
        <v>27000</v>
      </c>
      <c r="M267" s="318"/>
      <c r="N267" s="318"/>
      <c r="O267" s="1052">
        <f t="shared" si="305"/>
        <v>27000</v>
      </c>
      <c r="P267" s="570"/>
      <c r="Q267" s="336">
        <v>27000</v>
      </c>
      <c r="R267" s="559"/>
      <c r="S267" s="541">
        <v>27000</v>
      </c>
      <c r="T267" s="559"/>
      <c r="U267" s="335"/>
      <c r="V267" s="320"/>
      <c r="W267" s="320"/>
      <c r="X267" s="320"/>
      <c r="Z267" s="336">
        <f>AW267+AY267+BA267</f>
        <v>16200</v>
      </c>
      <c r="AA267" s="337">
        <f>AX267+AZ267+BB267</f>
        <v>0</v>
      </c>
      <c r="AB267" s="338">
        <f>Z267-AA267</f>
        <v>16200</v>
      </c>
      <c r="AC267" s="336">
        <f>BC267+BE267+BG267</f>
        <v>0</v>
      </c>
      <c r="AD267" s="337">
        <f>BD267+BF267+BH267</f>
        <v>0</v>
      </c>
      <c r="AE267" s="338">
        <f>AC267-AD267</f>
        <v>0</v>
      </c>
      <c r="AF267" s="336">
        <f>BI267+BK267+BM267</f>
        <v>0</v>
      </c>
      <c r="AG267" s="337">
        <f>BJ267+BL267+BN267</f>
        <v>0</v>
      </c>
      <c r="AH267" s="338">
        <f>AF267-AG267</f>
        <v>0</v>
      </c>
      <c r="AI267" s="336">
        <f>BO267+BQ267+BS267</f>
        <v>10800</v>
      </c>
      <c r="AJ267" s="337">
        <f>BP267+BR267+BT267</f>
        <v>0</v>
      </c>
      <c r="AK267" s="338">
        <f>AI267-AJ267</f>
        <v>10800</v>
      </c>
      <c r="AL267" s="342"/>
      <c r="AM267" s="336">
        <f>Z267+AC267</f>
        <v>16200</v>
      </c>
      <c r="AN267" s="339">
        <f>AA267+AD267</f>
        <v>0</v>
      </c>
      <c r="AO267" s="340">
        <f>AM267-AN267</f>
        <v>16200</v>
      </c>
      <c r="AP267" s="336">
        <f>Z267+AC267+AF267</f>
        <v>16200</v>
      </c>
      <c r="AQ267" s="339">
        <f>AA267+AD267+AG267</f>
        <v>0</v>
      </c>
      <c r="AR267" s="340">
        <f>AP267-AQ267</f>
        <v>16200</v>
      </c>
      <c r="AS267" s="341">
        <f>Z267+AC267+AF267+AI267</f>
        <v>27000</v>
      </c>
      <c r="AT267" s="339">
        <f>AA267+AD267+AG267+AJ267</f>
        <v>0</v>
      </c>
      <c r="AU267" s="340">
        <f>AS267-AT267</f>
        <v>27000</v>
      </c>
      <c r="AV267" s="589">
        <f t="shared" si="331"/>
        <v>0</v>
      </c>
      <c r="AW267" s="343"/>
      <c r="AX267" s="344"/>
      <c r="AY267" s="345"/>
      <c r="AZ267" s="344"/>
      <c r="BA267" s="345">
        <f>5400*3</f>
        <v>16200</v>
      </c>
      <c r="BB267" s="346"/>
      <c r="BC267" s="347"/>
      <c r="BD267" s="348"/>
      <c r="BE267" s="349"/>
      <c r="BF267" s="348"/>
      <c r="BG267" s="349"/>
      <c r="BH267" s="350"/>
      <c r="BI267" s="351"/>
      <c r="BJ267" s="352"/>
      <c r="BK267" s="337"/>
      <c r="BL267" s="352"/>
      <c r="BM267" s="337"/>
      <c r="BN267" s="353"/>
      <c r="BO267" s="354">
        <f>5400*2</f>
        <v>10800</v>
      </c>
      <c r="BP267" s="355"/>
      <c r="BQ267" s="356"/>
      <c r="BR267" s="355"/>
      <c r="BS267" s="356"/>
      <c r="BT267" s="357"/>
    </row>
    <row r="268" spans="1:72" s="313" customFormat="1" ht="25.5" outlineLevel="2">
      <c r="A268" s="287">
        <v>257</v>
      </c>
      <c r="B268" s="933"/>
      <c r="C268" s="840"/>
      <c r="D268" s="841"/>
      <c r="E268" s="839"/>
      <c r="F268" s="821" t="s">
        <v>23</v>
      </c>
      <c r="G268" s="314">
        <v>2</v>
      </c>
      <c r="H268" s="739" t="s">
        <v>71</v>
      </c>
      <c r="I268" s="739">
        <v>244</v>
      </c>
      <c r="J268" s="740">
        <v>346</v>
      </c>
      <c r="K268" s="533" t="s">
        <v>310</v>
      </c>
      <c r="L268" s="1025">
        <v>41816.65</v>
      </c>
      <c r="M268" s="318"/>
      <c r="N268" s="318"/>
      <c r="O268" s="1052">
        <f t="shared" si="305"/>
        <v>41816.65</v>
      </c>
      <c r="P268" s="570"/>
      <c r="Q268" s="336">
        <v>41816.65</v>
      </c>
      <c r="R268" s="559"/>
      <c r="S268" s="541">
        <v>41816.65</v>
      </c>
      <c r="T268" s="559"/>
      <c r="U268" s="335"/>
      <c r="V268" s="320"/>
      <c r="W268" s="320"/>
      <c r="X268" s="320"/>
      <c r="Z268" s="336">
        <f t="shared" ref="Z268:AA268" si="432">AW268+AY268+BA268</f>
        <v>25089.99</v>
      </c>
      <c r="AA268" s="337">
        <f t="shared" si="432"/>
        <v>0</v>
      </c>
      <c r="AB268" s="338">
        <f t="shared" ref="AB268" si="433">Z268-AA268</f>
        <v>25089.99</v>
      </c>
      <c r="AC268" s="336">
        <f t="shared" ref="AC268:AD268" si="434">BC268+BE268+BG268</f>
        <v>0</v>
      </c>
      <c r="AD268" s="337">
        <f t="shared" si="434"/>
        <v>0</v>
      </c>
      <c r="AE268" s="338">
        <f t="shared" ref="AE268" si="435">AC268-AD268</f>
        <v>0</v>
      </c>
      <c r="AF268" s="336">
        <f t="shared" ref="AF268:AG268" si="436">BI268+BK268+BM268</f>
        <v>0</v>
      </c>
      <c r="AG268" s="337">
        <f t="shared" si="436"/>
        <v>0</v>
      </c>
      <c r="AH268" s="338">
        <f t="shared" ref="AH268" si="437">AF268-AG268</f>
        <v>0</v>
      </c>
      <c r="AI268" s="336">
        <f t="shared" ref="AI268:AJ268" si="438">BO268+BQ268+BS268</f>
        <v>16726.66</v>
      </c>
      <c r="AJ268" s="337">
        <f t="shared" si="438"/>
        <v>0</v>
      </c>
      <c r="AK268" s="338">
        <f t="shared" ref="AK268" si="439">AI268-AJ268</f>
        <v>16726.66</v>
      </c>
      <c r="AL268" s="342"/>
      <c r="AM268" s="336">
        <f t="shared" ref="AM268:AN268" si="440">Z268+AC268</f>
        <v>25089.99</v>
      </c>
      <c r="AN268" s="339">
        <f t="shared" si="440"/>
        <v>0</v>
      </c>
      <c r="AO268" s="340">
        <f t="shared" ref="AO268" si="441">AM268-AN268</f>
        <v>25089.99</v>
      </c>
      <c r="AP268" s="336">
        <f t="shared" ref="AP268:AQ268" si="442">Z268+AC268+AF268</f>
        <v>25089.99</v>
      </c>
      <c r="AQ268" s="339">
        <f t="shared" si="442"/>
        <v>0</v>
      </c>
      <c r="AR268" s="340">
        <f t="shared" ref="AR268" si="443">AP268-AQ268</f>
        <v>25089.99</v>
      </c>
      <c r="AS268" s="341">
        <f t="shared" ref="AS268:AT268" si="444">Z268+AC268+AF268+AI268</f>
        <v>41816.65</v>
      </c>
      <c r="AT268" s="339">
        <f t="shared" si="444"/>
        <v>0</v>
      </c>
      <c r="AU268" s="340">
        <f t="shared" ref="AU268" si="445">AS268-AT268</f>
        <v>41816.65</v>
      </c>
      <c r="AV268" s="589">
        <f t="shared" si="331"/>
        <v>0</v>
      </c>
      <c r="AW268" s="343"/>
      <c r="AX268" s="344"/>
      <c r="AY268" s="345"/>
      <c r="AZ268" s="344"/>
      <c r="BA268" s="345">
        <f>8363.33*3</f>
        <v>25089.99</v>
      </c>
      <c r="BB268" s="346"/>
      <c r="BC268" s="347"/>
      <c r="BD268" s="348"/>
      <c r="BE268" s="349"/>
      <c r="BF268" s="348"/>
      <c r="BG268" s="349"/>
      <c r="BH268" s="350"/>
      <c r="BI268" s="351"/>
      <c r="BJ268" s="352"/>
      <c r="BK268" s="337"/>
      <c r="BL268" s="352"/>
      <c r="BM268" s="337"/>
      <c r="BN268" s="353"/>
      <c r="BO268" s="354">
        <f>8363.33*2</f>
        <v>16726.66</v>
      </c>
      <c r="BP268" s="355"/>
      <c r="BQ268" s="356"/>
      <c r="BR268" s="355"/>
      <c r="BS268" s="356"/>
      <c r="BT268" s="357"/>
    </row>
    <row r="269" spans="1:72" s="313" customFormat="1" ht="25.5" outlineLevel="1">
      <c r="A269" s="287">
        <v>258</v>
      </c>
      <c r="B269" s="933"/>
      <c r="C269" s="840"/>
      <c r="D269" s="841"/>
      <c r="E269" s="839"/>
      <c r="F269" s="821" t="s">
        <v>23</v>
      </c>
      <c r="G269" s="314">
        <v>2</v>
      </c>
      <c r="H269" s="739" t="s">
        <v>71</v>
      </c>
      <c r="I269" s="739">
        <v>244</v>
      </c>
      <c r="J269" s="740">
        <v>346</v>
      </c>
      <c r="K269" s="317" t="s">
        <v>389</v>
      </c>
      <c r="L269" s="1025">
        <v>10000</v>
      </c>
      <c r="M269" s="318"/>
      <c r="N269" s="318"/>
      <c r="O269" s="1052">
        <f t="shared" si="305"/>
        <v>10000</v>
      </c>
      <c r="P269" s="570"/>
      <c r="Q269" s="336">
        <v>0</v>
      </c>
      <c r="R269" s="559"/>
      <c r="S269" s="541">
        <v>0</v>
      </c>
      <c r="T269" s="559"/>
      <c r="U269" s="335"/>
      <c r="V269" s="596" t="s">
        <v>390</v>
      </c>
      <c r="W269" s="596" t="s">
        <v>445</v>
      </c>
      <c r="X269" s="596" t="s">
        <v>446</v>
      </c>
      <c r="Z269" s="336">
        <f>AW269+AY269+BA269</f>
        <v>6575</v>
      </c>
      <c r="AA269" s="337">
        <f>AX269+AZ269+BB269</f>
        <v>6575</v>
      </c>
      <c r="AB269" s="338">
        <f>Z269-AA269</f>
        <v>0</v>
      </c>
      <c r="AC269" s="336">
        <f>BC269+BE269+BG269</f>
        <v>0</v>
      </c>
      <c r="AD269" s="337">
        <f>BD269+BF269+BH269</f>
        <v>0</v>
      </c>
      <c r="AE269" s="338">
        <f>AC269-AD269</f>
        <v>0</v>
      </c>
      <c r="AF269" s="336">
        <f>BI269+BK269+BM269</f>
        <v>0</v>
      </c>
      <c r="AG269" s="337">
        <f>BJ269+BL269+BN269</f>
        <v>0</v>
      </c>
      <c r="AH269" s="338">
        <f>AF269-AG269</f>
        <v>0</v>
      </c>
      <c r="AI269" s="336">
        <f>BO269+BQ269+BS269</f>
        <v>3425</v>
      </c>
      <c r="AJ269" s="337">
        <f>BP269+BR269+BT269</f>
        <v>0</v>
      </c>
      <c r="AK269" s="338">
        <f>AI269-AJ269</f>
        <v>3425</v>
      </c>
      <c r="AL269" s="342"/>
      <c r="AM269" s="336">
        <f>Z269+AC269</f>
        <v>6575</v>
      </c>
      <c r="AN269" s="339">
        <f>AA269+AD269</f>
        <v>6575</v>
      </c>
      <c r="AO269" s="340">
        <f>AM269-AN269</f>
        <v>0</v>
      </c>
      <c r="AP269" s="336">
        <f>Z269+AC269+AF269</f>
        <v>6575</v>
      </c>
      <c r="AQ269" s="339">
        <f>AA269+AD269+AG269</f>
        <v>6575</v>
      </c>
      <c r="AR269" s="340">
        <f>AP269-AQ269</f>
        <v>0</v>
      </c>
      <c r="AS269" s="341">
        <f>Z269+AC269+AF269+AI269</f>
        <v>10000</v>
      </c>
      <c r="AT269" s="339">
        <f>AA269+AD269+AG269+AJ269</f>
        <v>6575</v>
      </c>
      <c r="AU269" s="340">
        <f>AS269-AT269</f>
        <v>3425</v>
      </c>
      <c r="AV269" s="589">
        <f t="shared" si="331"/>
        <v>0</v>
      </c>
      <c r="AW269" s="343"/>
      <c r="AX269" s="344"/>
      <c r="AY269" s="1133">
        <v>5775</v>
      </c>
      <c r="AZ269" s="1152">
        <v>5775</v>
      </c>
      <c r="BA269" s="1133">
        <v>800</v>
      </c>
      <c r="BB269" s="1153">
        <v>800</v>
      </c>
      <c r="BC269" s="347"/>
      <c r="BD269" s="348"/>
      <c r="BE269" s="349"/>
      <c r="BF269" s="348"/>
      <c r="BG269" s="349"/>
      <c r="BH269" s="350"/>
      <c r="BI269" s="351"/>
      <c r="BJ269" s="352"/>
      <c r="BK269" s="337"/>
      <c r="BL269" s="352"/>
      <c r="BM269" s="337"/>
      <c r="BN269" s="353"/>
      <c r="BO269" s="354"/>
      <c r="BP269" s="355"/>
      <c r="BQ269" s="356">
        <f>5000-1575</f>
        <v>3425</v>
      </c>
      <c r="BR269" s="355"/>
      <c r="BS269" s="356"/>
      <c r="BT269" s="357"/>
    </row>
    <row r="270" spans="1:72" s="358" customFormat="1" ht="31.5">
      <c r="A270" s="287">
        <v>259</v>
      </c>
      <c r="B270" s="936"/>
      <c r="C270" s="837"/>
      <c r="D270" s="838"/>
      <c r="E270" s="836" t="s">
        <v>201</v>
      </c>
      <c r="F270" s="820" t="s">
        <v>23</v>
      </c>
      <c r="G270" s="360">
        <v>2</v>
      </c>
      <c r="H270" s="360" t="s">
        <v>71</v>
      </c>
      <c r="I270" s="360">
        <v>244</v>
      </c>
      <c r="J270" s="361">
        <v>346</v>
      </c>
      <c r="K270" s="532" t="s">
        <v>304</v>
      </c>
      <c r="L270" s="1023">
        <f>SUM(L271:L275)</f>
        <v>80457.509999999995</v>
      </c>
      <c r="M270" s="363"/>
      <c r="N270" s="363">
        <f>SUM(N271:N275)</f>
        <v>0</v>
      </c>
      <c r="O270" s="1051">
        <f t="shared" si="305"/>
        <v>80457.509999999995</v>
      </c>
      <c r="P270" s="571"/>
      <c r="Q270" s="367">
        <f>SUM(Q271:Q275)</f>
        <v>146684.4</v>
      </c>
      <c r="R270" s="557"/>
      <c r="S270" s="539">
        <f>SUM(S271:S275)</f>
        <v>145856.06</v>
      </c>
      <c r="T270" s="557"/>
      <c r="U270" s="365"/>
      <c r="V270" s="320"/>
      <c r="W270" s="320"/>
      <c r="X270" s="320"/>
      <c r="Z270" s="367">
        <f t="shared" si="424"/>
        <v>110</v>
      </c>
      <c r="AA270" s="363">
        <f t="shared" si="424"/>
        <v>110</v>
      </c>
      <c r="AB270" s="280">
        <f t="shared" si="307"/>
        <v>0</v>
      </c>
      <c r="AC270" s="367">
        <f t="shared" si="425"/>
        <v>80347.509999999995</v>
      </c>
      <c r="AD270" s="363">
        <f t="shared" si="425"/>
        <v>0</v>
      </c>
      <c r="AE270" s="280">
        <f t="shared" si="309"/>
        <v>80347.509999999995</v>
      </c>
      <c r="AF270" s="367">
        <f t="shared" si="426"/>
        <v>0</v>
      </c>
      <c r="AG270" s="363">
        <f t="shared" si="426"/>
        <v>0</v>
      </c>
      <c r="AH270" s="280">
        <f t="shared" si="311"/>
        <v>0</v>
      </c>
      <c r="AI270" s="367">
        <f t="shared" si="427"/>
        <v>0</v>
      </c>
      <c r="AJ270" s="363">
        <f t="shared" si="427"/>
        <v>0</v>
      </c>
      <c r="AK270" s="280">
        <f t="shared" si="313"/>
        <v>0</v>
      </c>
      <c r="AL270" s="368"/>
      <c r="AM270" s="367">
        <f t="shared" si="428"/>
        <v>80457.509999999995</v>
      </c>
      <c r="AN270" s="363">
        <f t="shared" si="428"/>
        <v>110</v>
      </c>
      <c r="AO270" s="280">
        <f t="shared" si="315"/>
        <v>80347.509999999995</v>
      </c>
      <c r="AP270" s="367">
        <f t="shared" si="429"/>
        <v>80457.509999999995</v>
      </c>
      <c r="AQ270" s="363">
        <f t="shared" si="429"/>
        <v>110</v>
      </c>
      <c r="AR270" s="280">
        <f t="shared" si="301"/>
        <v>80347.509999999995</v>
      </c>
      <c r="AS270" s="367">
        <f t="shared" si="430"/>
        <v>80457.509999999995</v>
      </c>
      <c r="AT270" s="363">
        <f t="shared" si="430"/>
        <v>110</v>
      </c>
      <c r="AU270" s="280">
        <f t="shared" si="303"/>
        <v>80347.509999999995</v>
      </c>
      <c r="AV270" s="588">
        <f t="shared" si="331"/>
        <v>0</v>
      </c>
      <c r="AW270" s="367">
        <f>SUM(AW271:AW275)</f>
        <v>0</v>
      </c>
      <c r="AX270" s="363">
        <f t="shared" ref="AX270:BS270" si="446">SUM(AX271:AX275)</f>
        <v>0</v>
      </c>
      <c r="AY270" s="363">
        <f t="shared" si="446"/>
        <v>0</v>
      </c>
      <c r="AZ270" s="363">
        <f t="shared" si="446"/>
        <v>0</v>
      </c>
      <c r="BA270" s="363">
        <f t="shared" si="446"/>
        <v>110</v>
      </c>
      <c r="BB270" s="369">
        <f t="shared" si="446"/>
        <v>110</v>
      </c>
      <c r="BC270" s="367">
        <f t="shared" si="446"/>
        <v>0</v>
      </c>
      <c r="BD270" s="363">
        <f t="shared" si="446"/>
        <v>0</v>
      </c>
      <c r="BE270" s="363">
        <f t="shared" si="446"/>
        <v>10000</v>
      </c>
      <c r="BF270" s="363">
        <f t="shared" si="446"/>
        <v>0</v>
      </c>
      <c r="BG270" s="363">
        <f t="shared" si="446"/>
        <v>70347.509999999995</v>
      </c>
      <c r="BH270" s="369">
        <f t="shared" si="446"/>
        <v>0</v>
      </c>
      <c r="BI270" s="367">
        <f t="shared" si="446"/>
        <v>0</v>
      </c>
      <c r="BJ270" s="363">
        <f t="shared" si="446"/>
        <v>0</v>
      </c>
      <c r="BK270" s="363">
        <f t="shared" si="446"/>
        <v>0</v>
      </c>
      <c r="BL270" s="363">
        <f t="shared" si="446"/>
        <v>0</v>
      </c>
      <c r="BM270" s="363">
        <f t="shared" si="446"/>
        <v>0</v>
      </c>
      <c r="BN270" s="369">
        <f t="shared" si="446"/>
        <v>0</v>
      </c>
      <c r="BO270" s="367">
        <f t="shared" si="446"/>
        <v>0</v>
      </c>
      <c r="BP270" s="363">
        <f t="shared" si="446"/>
        <v>0</v>
      </c>
      <c r="BQ270" s="363">
        <f t="shared" si="446"/>
        <v>0</v>
      </c>
      <c r="BR270" s="363">
        <f t="shared" si="446"/>
        <v>0</v>
      </c>
      <c r="BS270" s="363">
        <f t="shared" si="446"/>
        <v>0</v>
      </c>
      <c r="BT270" s="280"/>
    </row>
    <row r="271" spans="1:72" s="313" customFormat="1" ht="25.5" outlineLevel="1">
      <c r="A271" s="287">
        <v>260</v>
      </c>
      <c r="B271" s="936"/>
      <c r="C271" s="840"/>
      <c r="D271" s="841"/>
      <c r="E271" s="839"/>
      <c r="F271" s="821" t="s">
        <v>23</v>
      </c>
      <c r="G271" s="314">
        <v>2</v>
      </c>
      <c r="H271" s="739" t="s">
        <v>71</v>
      </c>
      <c r="I271" s="739">
        <v>244</v>
      </c>
      <c r="J271" s="740">
        <v>346</v>
      </c>
      <c r="K271" s="1007" t="s">
        <v>304</v>
      </c>
      <c r="L271" s="1045">
        <f>80457.51-SUM(L272:L275)</f>
        <v>57855.75</v>
      </c>
      <c r="M271" s="318"/>
      <c r="N271" s="318"/>
      <c r="O271" s="1055">
        <f>L271+N271</f>
        <v>57855.75</v>
      </c>
      <c r="P271" s="329"/>
      <c r="Q271" s="319">
        <v>146684.4</v>
      </c>
      <c r="R271" s="329"/>
      <c r="S271" s="319">
        <v>145856.06</v>
      </c>
      <c r="T271" s="329"/>
      <c r="U271" s="335"/>
      <c r="V271" s="320"/>
      <c r="W271" s="320"/>
      <c r="X271" s="320"/>
      <c r="Z271" s="336">
        <f>AW271+AY271+BA271</f>
        <v>0</v>
      </c>
      <c r="AA271" s="337">
        <f>AX271+AZ271+BB271</f>
        <v>0</v>
      </c>
      <c r="AB271" s="338">
        <f t="shared" si="307"/>
        <v>0</v>
      </c>
      <c r="AC271" s="336">
        <f>BC271+BE271+BG271</f>
        <v>57855.75</v>
      </c>
      <c r="AD271" s="337">
        <f>BD271+BF271+BH271</f>
        <v>0</v>
      </c>
      <c r="AE271" s="338">
        <f t="shared" si="309"/>
        <v>57855.75</v>
      </c>
      <c r="AF271" s="336">
        <f>BI271+BK271+BM271</f>
        <v>0</v>
      </c>
      <c r="AG271" s="337">
        <f>BJ271+BL271+BN271</f>
        <v>0</v>
      </c>
      <c r="AH271" s="338">
        <f t="shared" si="311"/>
        <v>0</v>
      </c>
      <c r="AI271" s="336">
        <f>BO271+BQ271+BS271</f>
        <v>0</v>
      </c>
      <c r="AJ271" s="337">
        <f>BP271+BR271+BT271</f>
        <v>0</v>
      </c>
      <c r="AK271" s="338">
        <f t="shared" si="313"/>
        <v>0</v>
      </c>
      <c r="AL271" s="342"/>
      <c r="AM271" s="336">
        <f>Z271+AC271</f>
        <v>57855.75</v>
      </c>
      <c r="AN271" s="339">
        <f>AA271+AD271</f>
        <v>0</v>
      </c>
      <c r="AO271" s="340">
        <f t="shared" si="315"/>
        <v>57855.75</v>
      </c>
      <c r="AP271" s="336">
        <f>Z271+AC271+AF271</f>
        <v>57855.75</v>
      </c>
      <c r="AQ271" s="339">
        <f>AA271+AD271+AG271</f>
        <v>0</v>
      </c>
      <c r="AR271" s="340">
        <f t="shared" si="301"/>
        <v>57855.75</v>
      </c>
      <c r="AS271" s="341">
        <f>Z271+AC271+AF271+AI271</f>
        <v>57855.75</v>
      </c>
      <c r="AT271" s="339">
        <f>AA271+AD271+AG271+AJ271</f>
        <v>0</v>
      </c>
      <c r="AU271" s="340">
        <f t="shared" si="303"/>
        <v>57855.75</v>
      </c>
      <c r="AV271" s="589">
        <f>L271-AS271</f>
        <v>0</v>
      </c>
      <c r="AW271" s="343"/>
      <c r="AX271" s="344"/>
      <c r="AY271" s="345"/>
      <c r="AZ271" s="344"/>
      <c r="BA271" s="345"/>
      <c r="BB271" s="346"/>
      <c r="BC271" s="347"/>
      <c r="BD271" s="348"/>
      <c r="BE271" s="349"/>
      <c r="BF271" s="348"/>
      <c r="BG271" s="349">
        <f>76449.29-6101.78-12491.76</f>
        <v>57855.75</v>
      </c>
      <c r="BH271" s="350"/>
      <c r="BI271" s="351"/>
      <c r="BJ271" s="352"/>
      <c r="BK271" s="337"/>
      <c r="BL271" s="352"/>
      <c r="BM271" s="337"/>
      <c r="BN271" s="353"/>
      <c r="BO271" s="354"/>
      <c r="BP271" s="355"/>
      <c r="BQ271" s="356"/>
      <c r="BR271" s="355"/>
      <c r="BS271" s="356"/>
      <c r="BT271" s="357"/>
    </row>
    <row r="272" spans="1:72" s="313" customFormat="1" ht="38.25" outlineLevel="1">
      <c r="A272" s="287">
        <v>261</v>
      </c>
      <c r="B272" s="941"/>
      <c r="C272" s="840"/>
      <c r="D272" s="841"/>
      <c r="E272" s="839"/>
      <c r="F272" s="821" t="s">
        <v>23</v>
      </c>
      <c r="G272" s="314">
        <v>2</v>
      </c>
      <c r="H272" s="739" t="s">
        <v>71</v>
      </c>
      <c r="I272" s="739">
        <v>244</v>
      </c>
      <c r="J272" s="740">
        <v>346</v>
      </c>
      <c r="K272" s="533" t="s">
        <v>709</v>
      </c>
      <c r="L272" s="1025">
        <v>110</v>
      </c>
      <c r="M272" s="318"/>
      <c r="N272" s="318"/>
      <c r="O272" s="1052">
        <f>L272+N272</f>
        <v>110</v>
      </c>
      <c r="P272" s="570"/>
      <c r="Q272" s="336">
        <v>0</v>
      </c>
      <c r="R272" s="559"/>
      <c r="S272" s="541">
        <v>0</v>
      </c>
      <c r="T272" s="559"/>
      <c r="U272" s="335"/>
      <c r="V272" s="596" t="s">
        <v>640</v>
      </c>
      <c r="W272" s="596" t="s">
        <v>710</v>
      </c>
      <c r="X272" s="320"/>
      <c r="Z272" s="336">
        <f t="shared" si="424"/>
        <v>110</v>
      </c>
      <c r="AA272" s="337">
        <f t="shared" si="424"/>
        <v>110</v>
      </c>
      <c r="AB272" s="338">
        <f t="shared" si="307"/>
        <v>0</v>
      </c>
      <c r="AC272" s="336">
        <f t="shared" si="425"/>
        <v>0</v>
      </c>
      <c r="AD272" s="337">
        <f t="shared" si="425"/>
        <v>0</v>
      </c>
      <c r="AE272" s="338">
        <f t="shared" si="309"/>
        <v>0</v>
      </c>
      <c r="AF272" s="336">
        <f t="shared" si="426"/>
        <v>0</v>
      </c>
      <c r="AG272" s="337">
        <f t="shared" si="426"/>
        <v>0</v>
      </c>
      <c r="AH272" s="338">
        <f t="shared" si="311"/>
        <v>0</v>
      </c>
      <c r="AI272" s="336">
        <f t="shared" si="427"/>
        <v>0</v>
      </c>
      <c r="AJ272" s="337">
        <f t="shared" si="427"/>
        <v>0</v>
      </c>
      <c r="AK272" s="338">
        <f t="shared" si="313"/>
        <v>0</v>
      </c>
      <c r="AL272" s="342"/>
      <c r="AM272" s="336">
        <f t="shared" si="428"/>
        <v>110</v>
      </c>
      <c r="AN272" s="339">
        <f t="shared" si="428"/>
        <v>110</v>
      </c>
      <c r="AO272" s="340">
        <f t="shared" si="315"/>
        <v>0</v>
      </c>
      <c r="AP272" s="336">
        <f t="shared" si="429"/>
        <v>110</v>
      </c>
      <c r="AQ272" s="339">
        <f t="shared" si="429"/>
        <v>110</v>
      </c>
      <c r="AR272" s="340">
        <f t="shared" si="301"/>
        <v>0</v>
      </c>
      <c r="AS272" s="341">
        <f t="shared" si="430"/>
        <v>110</v>
      </c>
      <c r="AT272" s="339">
        <f t="shared" si="430"/>
        <v>110</v>
      </c>
      <c r="AU272" s="340">
        <f t="shared" si="303"/>
        <v>0</v>
      </c>
      <c r="AV272" s="589">
        <f>L272-AS272</f>
        <v>0</v>
      </c>
      <c r="AW272" s="343"/>
      <c r="AX272" s="344"/>
      <c r="AY272" s="345"/>
      <c r="AZ272" s="344"/>
      <c r="BA272" s="1133">
        <v>110</v>
      </c>
      <c r="BB272" s="1153">
        <v>110</v>
      </c>
      <c r="BC272" s="347"/>
      <c r="BD272" s="348"/>
      <c r="BE272" s="349"/>
      <c r="BF272" s="348"/>
      <c r="BG272" s="349"/>
      <c r="BH272" s="350"/>
      <c r="BI272" s="351"/>
      <c r="BJ272" s="352"/>
      <c r="BK272" s="337"/>
      <c r="BL272" s="352"/>
      <c r="BM272" s="337"/>
      <c r="BN272" s="353"/>
      <c r="BO272" s="354"/>
      <c r="BP272" s="355"/>
      <c r="BQ272" s="356"/>
      <c r="BR272" s="355"/>
      <c r="BS272" s="356"/>
      <c r="BT272" s="357"/>
    </row>
    <row r="273" spans="1:72" s="313" customFormat="1" ht="25.5">
      <c r="A273" s="287">
        <v>262</v>
      </c>
      <c r="B273" s="935"/>
      <c r="C273" s="840"/>
      <c r="D273" s="841"/>
      <c r="E273" s="839"/>
      <c r="F273" s="821" t="s">
        <v>23</v>
      </c>
      <c r="G273" s="314">
        <v>2</v>
      </c>
      <c r="H273" s="739" t="s">
        <v>71</v>
      </c>
      <c r="I273" s="739">
        <v>244</v>
      </c>
      <c r="J273" s="740">
        <v>346</v>
      </c>
      <c r="K273" s="533" t="s">
        <v>722</v>
      </c>
      <c r="L273" s="1025">
        <v>10000</v>
      </c>
      <c r="M273" s="318"/>
      <c r="N273" s="318"/>
      <c r="O273" s="1052">
        <f t="shared" ref="O273" si="447">L273+N273</f>
        <v>10000</v>
      </c>
      <c r="P273" s="570"/>
      <c r="Q273" s="336"/>
      <c r="R273" s="329"/>
      <c r="S273" s="319"/>
      <c r="T273" s="329"/>
      <c r="U273" s="335"/>
      <c r="V273" s="596" t="s">
        <v>723</v>
      </c>
      <c r="W273" s="320" t="s">
        <v>481</v>
      </c>
      <c r="X273" s="320"/>
      <c r="Z273" s="336">
        <f t="shared" si="424"/>
        <v>0</v>
      </c>
      <c r="AA273" s="337">
        <f t="shared" si="424"/>
        <v>0</v>
      </c>
      <c r="AB273" s="338">
        <f t="shared" si="307"/>
        <v>0</v>
      </c>
      <c r="AC273" s="336">
        <f t="shared" si="425"/>
        <v>10000</v>
      </c>
      <c r="AD273" s="337">
        <f t="shared" si="425"/>
        <v>0</v>
      </c>
      <c r="AE273" s="338">
        <f t="shared" si="309"/>
        <v>10000</v>
      </c>
      <c r="AF273" s="336">
        <f t="shared" si="426"/>
        <v>0</v>
      </c>
      <c r="AG273" s="337">
        <f t="shared" si="426"/>
        <v>0</v>
      </c>
      <c r="AH273" s="338">
        <f t="shared" si="311"/>
        <v>0</v>
      </c>
      <c r="AI273" s="336">
        <f t="shared" si="427"/>
        <v>0</v>
      </c>
      <c r="AJ273" s="337">
        <f t="shared" si="427"/>
        <v>0</v>
      </c>
      <c r="AK273" s="338">
        <f t="shared" si="313"/>
        <v>0</v>
      </c>
      <c r="AL273" s="342"/>
      <c r="AM273" s="336">
        <f t="shared" si="428"/>
        <v>10000</v>
      </c>
      <c r="AN273" s="339">
        <f t="shared" si="428"/>
        <v>0</v>
      </c>
      <c r="AO273" s="340">
        <f t="shared" si="315"/>
        <v>10000</v>
      </c>
      <c r="AP273" s="336">
        <f t="shared" si="429"/>
        <v>10000</v>
      </c>
      <c r="AQ273" s="339">
        <f t="shared" si="429"/>
        <v>0</v>
      </c>
      <c r="AR273" s="340">
        <f t="shared" si="301"/>
        <v>10000</v>
      </c>
      <c r="AS273" s="341">
        <f t="shared" si="430"/>
        <v>10000</v>
      </c>
      <c r="AT273" s="339">
        <f t="shared" si="430"/>
        <v>0</v>
      </c>
      <c r="AU273" s="340">
        <f t="shared" si="303"/>
        <v>10000</v>
      </c>
      <c r="AV273" s="589">
        <f t="shared" ref="AV273" si="448">L273-AS273</f>
        <v>0</v>
      </c>
      <c r="AW273" s="343"/>
      <c r="AX273" s="344"/>
      <c r="AY273" s="345"/>
      <c r="AZ273" s="344"/>
      <c r="BA273" s="345"/>
      <c r="BB273" s="346"/>
      <c r="BC273" s="347"/>
      <c r="BD273" s="348"/>
      <c r="BE273" s="349">
        <v>10000</v>
      </c>
      <c r="BF273" s="348"/>
      <c r="BG273" s="349"/>
      <c r="BH273" s="350"/>
      <c r="BI273" s="351"/>
      <c r="BJ273" s="352"/>
      <c r="BK273" s="337"/>
      <c r="BL273" s="352"/>
      <c r="BM273" s="337"/>
      <c r="BN273" s="353"/>
      <c r="BO273" s="354"/>
      <c r="BP273" s="355"/>
      <c r="BQ273" s="356"/>
      <c r="BR273" s="355"/>
      <c r="BS273" s="356"/>
      <c r="BT273" s="357"/>
    </row>
    <row r="274" spans="1:72" s="313" customFormat="1" ht="51">
      <c r="A274" s="287">
        <v>263</v>
      </c>
      <c r="B274" s="935"/>
      <c r="C274" s="840"/>
      <c r="D274" s="841"/>
      <c r="E274" s="839"/>
      <c r="F274" s="821" t="s">
        <v>23</v>
      </c>
      <c r="G274" s="314">
        <v>2</v>
      </c>
      <c r="H274" s="739" t="s">
        <v>71</v>
      </c>
      <c r="I274" s="739">
        <v>244</v>
      </c>
      <c r="J274" s="740">
        <v>346</v>
      </c>
      <c r="K274" s="533" t="s">
        <v>848</v>
      </c>
      <c r="L274" s="1025">
        <v>12491.76</v>
      </c>
      <c r="M274" s="318"/>
      <c r="N274" s="318"/>
      <c r="O274" s="1052">
        <f t="shared" ref="O274" si="449">L274+N274</f>
        <v>12491.76</v>
      </c>
      <c r="P274" s="570"/>
      <c r="Q274" s="336"/>
      <c r="R274" s="329"/>
      <c r="S274" s="319"/>
      <c r="T274" s="329"/>
      <c r="U274" s="335"/>
      <c r="V274" s="596" t="s">
        <v>456</v>
      </c>
      <c r="W274" s="597" t="s">
        <v>859</v>
      </c>
      <c r="X274" s="597" t="s">
        <v>861</v>
      </c>
      <c r="Z274" s="336">
        <f t="shared" ref="Z274" si="450">AW274+AY274+BA274</f>
        <v>0</v>
      </c>
      <c r="AA274" s="337">
        <f t="shared" ref="AA274" si="451">AX274+AZ274+BB274</f>
        <v>0</v>
      </c>
      <c r="AB274" s="338">
        <f t="shared" ref="AB274" si="452">Z274-AA274</f>
        <v>0</v>
      </c>
      <c r="AC274" s="336">
        <f t="shared" ref="AC274" si="453">BC274+BE274+BG274</f>
        <v>12491.76</v>
      </c>
      <c r="AD274" s="337">
        <f t="shared" ref="AD274" si="454">BD274+BF274+BH274</f>
        <v>0</v>
      </c>
      <c r="AE274" s="338">
        <f t="shared" ref="AE274" si="455">AC274-AD274</f>
        <v>12491.76</v>
      </c>
      <c r="AF274" s="336">
        <f t="shared" ref="AF274" si="456">BI274+BK274+BM274</f>
        <v>0</v>
      </c>
      <c r="AG274" s="337">
        <f t="shared" ref="AG274" si="457">BJ274+BL274+BN274</f>
        <v>0</v>
      </c>
      <c r="AH274" s="338">
        <f t="shared" ref="AH274" si="458">AF274-AG274</f>
        <v>0</v>
      </c>
      <c r="AI274" s="336">
        <f t="shared" ref="AI274" si="459">BO274+BQ274+BS274</f>
        <v>0</v>
      </c>
      <c r="AJ274" s="337">
        <f t="shared" ref="AJ274" si="460">BP274+BR274+BT274</f>
        <v>0</v>
      </c>
      <c r="AK274" s="338">
        <f t="shared" ref="AK274" si="461">AI274-AJ274</f>
        <v>0</v>
      </c>
      <c r="AL274" s="342"/>
      <c r="AM274" s="336">
        <f t="shared" ref="AM274" si="462">Z274+AC274</f>
        <v>12491.76</v>
      </c>
      <c r="AN274" s="339">
        <f t="shared" ref="AN274" si="463">AA274+AD274</f>
        <v>0</v>
      </c>
      <c r="AO274" s="340">
        <f t="shared" ref="AO274" si="464">AM274-AN274</f>
        <v>12491.76</v>
      </c>
      <c r="AP274" s="336">
        <f t="shared" ref="AP274" si="465">Z274+AC274+AF274</f>
        <v>12491.76</v>
      </c>
      <c r="AQ274" s="339">
        <f t="shared" ref="AQ274" si="466">AA274+AD274+AG274</f>
        <v>0</v>
      </c>
      <c r="AR274" s="340">
        <f t="shared" ref="AR274" si="467">AP274-AQ274</f>
        <v>12491.76</v>
      </c>
      <c r="AS274" s="341">
        <f t="shared" ref="AS274" si="468">Z274+AC274+AF274+AI274</f>
        <v>12491.76</v>
      </c>
      <c r="AT274" s="339">
        <f t="shared" ref="AT274" si="469">AA274+AD274+AG274+AJ274</f>
        <v>0</v>
      </c>
      <c r="AU274" s="340">
        <f t="shared" ref="AU274" si="470">AS274-AT274</f>
        <v>12491.76</v>
      </c>
      <c r="AV274" s="589">
        <f t="shared" ref="AV274" si="471">L274-AS274</f>
        <v>0</v>
      </c>
      <c r="AW274" s="343"/>
      <c r="AX274" s="344"/>
      <c r="AY274" s="345"/>
      <c r="AZ274" s="344"/>
      <c r="BA274" s="345"/>
      <c r="BB274" s="346"/>
      <c r="BC274" s="347"/>
      <c r="BD274" s="348"/>
      <c r="BE274" s="349"/>
      <c r="BF274" s="348"/>
      <c r="BG274" s="1135">
        <v>12491.76</v>
      </c>
      <c r="BH274" s="350"/>
      <c r="BI274" s="351"/>
      <c r="BJ274" s="352"/>
      <c r="BK274" s="337"/>
      <c r="BL274" s="352"/>
      <c r="BM274" s="337"/>
      <c r="BN274" s="353"/>
      <c r="BO274" s="354"/>
      <c r="BP274" s="355"/>
      <c r="BQ274" s="356"/>
      <c r="BR274" s="355"/>
      <c r="BS274" s="356"/>
      <c r="BT274" s="357"/>
    </row>
    <row r="275" spans="1:72" s="615" customFormat="1" ht="25.5">
      <c r="A275" s="287">
        <v>264</v>
      </c>
      <c r="B275" s="935"/>
      <c r="C275" s="866"/>
      <c r="D275" s="867"/>
      <c r="E275" s="867"/>
      <c r="F275" s="832" t="s">
        <v>23</v>
      </c>
      <c r="G275" s="616">
        <v>2</v>
      </c>
      <c r="H275" s="749" t="s">
        <v>71</v>
      </c>
      <c r="I275" s="749">
        <v>244</v>
      </c>
      <c r="J275" s="750">
        <v>346</v>
      </c>
      <c r="K275" s="932" t="s">
        <v>214</v>
      </c>
      <c r="L275" s="1046">
        <v>0</v>
      </c>
      <c r="M275" s="619"/>
      <c r="N275" s="619"/>
      <c r="O275" s="1054">
        <f>L275+N275</f>
        <v>0</v>
      </c>
      <c r="P275" s="988"/>
      <c r="Q275" s="656">
        <v>0</v>
      </c>
      <c r="R275" s="988"/>
      <c r="S275" s="656">
        <v>0</v>
      </c>
      <c r="T275" s="988"/>
      <c r="U275" s="621"/>
      <c r="V275" s="388"/>
      <c r="W275" s="388"/>
      <c r="X275" s="388"/>
      <c r="Z275" s="509">
        <f>AW275+AY275+BA275</f>
        <v>0</v>
      </c>
      <c r="AA275" s="622">
        <f>AX275+AZ275+BB275</f>
        <v>0</v>
      </c>
      <c r="AB275" s="623">
        <f>Z275-AA275</f>
        <v>0</v>
      </c>
      <c r="AC275" s="509">
        <f>BC275+BE275+BG275</f>
        <v>0</v>
      </c>
      <c r="AD275" s="622">
        <f>BD275+BF275+BH275</f>
        <v>0</v>
      </c>
      <c r="AE275" s="623">
        <f>AC275-AD275</f>
        <v>0</v>
      </c>
      <c r="AF275" s="509">
        <f>BI275+BK275+BM275</f>
        <v>0</v>
      </c>
      <c r="AG275" s="622">
        <f>BJ275+BL275+BN275</f>
        <v>0</v>
      </c>
      <c r="AH275" s="623">
        <f>AF275-AG275</f>
        <v>0</v>
      </c>
      <c r="AI275" s="509">
        <f>BO275+BQ275+BS275</f>
        <v>0</v>
      </c>
      <c r="AJ275" s="622">
        <f>BP275+BR275+BT275</f>
        <v>0</v>
      </c>
      <c r="AK275" s="623">
        <f>AI275-AJ275</f>
        <v>0</v>
      </c>
      <c r="AL275" s="624"/>
      <c r="AM275" s="509">
        <f>Z275+AC275</f>
        <v>0</v>
      </c>
      <c r="AN275" s="625">
        <f>AA275+AD275</f>
        <v>0</v>
      </c>
      <c r="AO275" s="626">
        <f>AM275-AN275</f>
        <v>0</v>
      </c>
      <c r="AP275" s="509">
        <f>Z275+AC275+AF275</f>
        <v>0</v>
      </c>
      <c r="AQ275" s="625">
        <f>AA275+AD275+AG275</f>
        <v>0</v>
      </c>
      <c r="AR275" s="626">
        <f>AP275-AQ275</f>
        <v>0</v>
      </c>
      <c r="AS275" s="510">
        <f>Z275+AC275+AF275+AI275</f>
        <v>0</v>
      </c>
      <c r="AT275" s="625">
        <f>AA275+AD275+AG275+AJ275</f>
        <v>0</v>
      </c>
      <c r="AU275" s="626">
        <f>AS275-AT275</f>
        <v>0</v>
      </c>
      <c r="AV275" s="627">
        <f>L275-AS275</f>
        <v>0</v>
      </c>
      <c r="AW275" s="628"/>
      <c r="AX275" s="629"/>
      <c r="AY275" s="630"/>
      <c r="AZ275" s="629"/>
      <c r="BA275" s="630"/>
      <c r="BB275" s="631"/>
      <c r="BC275" s="632"/>
      <c r="BD275" s="633"/>
      <c r="BE275" s="634"/>
      <c r="BF275" s="633"/>
      <c r="BG275" s="634"/>
      <c r="BH275" s="635"/>
      <c r="BI275" s="636"/>
      <c r="BJ275" s="637"/>
      <c r="BK275" s="622"/>
      <c r="BL275" s="637"/>
      <c r="BM275" s="622"/>
      <c r="BN275" s="638"/>
      <c r="BO275" s="639"/>
      <c r="BP275" s="640"/>
      <c r="BQ275" s="641"/>
      <c r="BR275" s="640"/>
      <c r="BS275" s="641"/>
      <c r="BT275" s="642"/>
    </row>
    <row r="276" spans="1:72" s="358" customFormat="1" ht="47.25">
      <c r="A276" s="287">
        <v>265</v>
      </c>
      <c r="B276" s="933"/>
      <c r="C276" s="837"/>
      <c r="D276" s="838"/>
      <c r="E276" s="836" t="s">
        <v>201</v>
      </c>
      <c r="F276" s="820" t="s">
        <v>23</v>
      </c>
      <c r="G276" s="360">
        <v>2</v>
      </c>
      <c r="H276" s="360" t="s">
        <v>71</v>
      </c>
      <c r="I276" s="360">
        <v>244</v>
      </c>
      <c r="J276" s="361">
        <v>346</v>
      </c>
      <c r="K276" s="532" t="s">
        <v>305</v>
      </c>
      <c r="L276" s="1023">
        <f>SUM(L277:L282)</f>
        <v>100867.29</v>
      </c>
      <c r="M276" s="363">
        <v>20000</v>
      </c>
      <c r="N276" s="363">
        <f>SUM(N277:N282)</f>
        <v>0</v>
      </c>
      <c r="O276" s="1051">
        <f>L276+N276</f>
        <v>100867.29</v>
      </c>
      <c r="P276" s="571"/>
      <c r="Q276" s="367">
        <f t="shared" ref="Q276:S276" si="472">SUM(Q277:Q282)</f>
        <v>80038.95</v>
      </c>
      <c r="R276" s="557">
        <f t="shared" si="472"/>
        <v>0</v>
      </c>
      <c r="S276" s="539">
        <f t="shared" si="472"/>
        <v>80867.289999999994</v>
      </c>
      <c r="T276" s="557"/>
      <c r="U276" s="365"/>
      <c r="V276" s="320"/>
      <c r="W276" s="320"/>
      <c r="X276" s="320"/>
      <c r="Z276" s="367">
        <f t="shared" si="424"/>
        <v>13080</v>
      </c>
      <c r="AA276" s="363">
        <f t="shared" si="424"/>
        <v>13080</v>
      </c>
      <c r="AB276" s="280">
        <f t="shared" si="307"/>
        <v>0</v>
      </c>
      <c r="AC276" s="367">
        <f t="shared" si="425"/>
        <v>54207.29</v>
      </c>
      <c r="AD276" s="363">
        <f t="shared" si="425"/>
        <v>4965</v>
      </c>
      <c r="AE276" s="280">
        <f t="shared" si="309"/>
        <v>49242.29</v>
      </c>
      <c r="AF276" s="367">
        <f t="shared" si="426"/>
        <v>16790</v>
      </c>
      <c r="AG276" s="363">
        <f t="shared" si="426"/>
        <v>0</v>
      </c>
      <c r="AH276" s="280">
        <f t="shared" si="311"/>
        <v>16790</v>
      </c>
      <c r="AI276" s="367">
        <f t="shared" si="427"/>
        <v>16790</v>
      </c>
      <c r="AJ276" s="363">
        <f t="shared" si="427"/>
        <v>0</v>
      </c>
      <c r="AK276" s="280">
        <f t="shared" si="313"/>
        <v>16790</v>
      </c>
      <c r="AL276" s="368"/>
      <c r="AM276" s="367">
        <f t="shared" si="428"/>
        <v>67287.289999999994</v>
      </c>
      <c r="AN276" s="363">
        <f t="shared" si="428"/>
        <v>18045</v>
      </c>
      <c r="AO276" s="280">
        <f t="shared" si="315"/>
        <v>49242.29</v>
      </c>
      <c r="AP276" s="367">
        <f t="shared" si="429"/>
        <v>84077.29</v>
      </c>
      <c r="AQ276" s="363">
        <f t="shared" si="429"/>
        <v>18045</v>
      </c>
      <c r="AR276" s="280">
        <f t="shared" si="301"/>
        <v>66032.289999999994</v>
      </c>
      <c r="AS276" s="367">
        <f t="shared" si="430"/>
        <v>100867.29</v>
      </c>
      <c r="AT276" s="363">
        <f t="shared" si="430"/>
        <v>18045</v>
      </c>
      <c r="AU276" s="280">
        <f t="shared" si="303"/>
        <v>82822.289999999994</v>
      </c>
      <c r="AV276" s="588">
        <f t="shared" si="331"/>
        <v>0</v>
      </c>
      <c r="AW276" s="367">
        <f t="shared" ref="AW276:BS276" si="473">SUM(AW277:AW282)</f>
        <v>0</v>
      </c>
      <c r="AX276" s="363">
        <f t="shared" si="473"/>
        <v>0</v>
      </c>
      <c r="AY276" s="363">
        <f t="shared" si="473"/>
        <v>7860</v>
      </c>
      <c r="AZ276" s="363">
        <f t="shared" si="473"/>
        <v>7860</v>
      </c>
      <c r="BA276" s="363">
        <f t="shared" si="473"/>
        <v>5220</v>
      </c>
      <c r="BB276" s="369">
        <f t="shared" si="473"/>
        <v>5220</v>
      </c>
      <c r="BC276" s="367">
        <f t="shared" si="473"/>
        <v>16240</v>
      </c>
      <c r="BD276" s="363">
        <f t="shared" si="473"/>
        <v>4965</v>
      </c>
      <c r="BE276" s="363">
        <f t="shared" si="473"/>
        <v>8395</v>
      </c>
      <c r="BF276" s="363">
        <f t="shared" si="473"/>
        <v>0</v>
      </c>
      <c r="BG276" s="363">
        <f t="shared" si="473"/>
        <v>29572.29</v>
      </c>
      <c r="BH276" s="369">
        <f t="shared" si="473"/>
        <v>0</v>
      </c>
      <c r="BI276" s="367">
        <f t="shared" si="473"/>
        <v>0</v>
      </c>
      <c r="BJ276" s="363">
        <f t="shared" si="473"/>
        <v>0</v>
      </c>
      <c r="BK276" s="363">
        <f t="shared" si="473"/>
        <v>8395</v>
      </c>
      <c r="BL276" s="363">
        <f t="shared" si="473"/>
        <v>0</v>
      </c>
      <c r="BM276" s="363">
        <f t="shared" si="473"/>
        <v>8395</v>
      </c>
      <c r="BN276" s="369">
        <f t="shared" si="473"/>
        <v>0</v>
      </c>
      <c r="BO276" s="367">
        <f t="shared" si="473"/>
        <v>8395</v>
      </c>
      <c r="BP276" s="363">
        <f t="shared" si="473"/>
        <v>0</v>
      </c>
      <c r="BQ276" s="363">
        <f t="shared" si="473"/>
        <v>8395</v>
      </c>
      <c r="BR276" s="363">
        <f t="shared" si="473"/>
        <v>0</v>
      </c>
      <c r="BS276" s="363">
        <f t="shared" si="473"/>
        <v>0</v>
      </c>
      <c r="BT276" s="280"/>
    </row>
    <row r="277" spans="1:72" s="313" customFormat="1" ht="38.25">
      <c r="A277" s="287">
        <v>266</v>
      </c>
      <c r="B277" s="941"/>
      <c r="C277" s="840"/>
      <c r="D277" s="841"/>
      <c r="E277" s="839"/>
      <c r="F277" s="821" t="s">
        <v>23</v>
      </c>
      <c r="G277" s="314">
        <v>2</v>
      </c>
      <c r="H277" s="739" t="s">
        <v>71</v>
      </c>
      <c r="I277" s="739">
        <v>244</v>
      </c>
      <c r="J277" s="740">
        <v>346</v>
      </c>
      <c r="K277" s="1007" t="s">
        <v>305</v>
      </c>
      <c r="L277" s="1045">
        <f>100867.29-SUM(L278:L282)</f>
        <v>29572.29</v>
      </c>
      <c r="M277" s="318"/>
      <c r="N277" s="318"/>
      <c r="O277" s="1055">
        <f>L277+N277</f>
        <v>29572.29</v>
      </c>
      <c r="P277" s="329"/>
      <c r="Q277" s="319">
        <v>80038.95</v>
      </c>
      <c r="R277" s="329"/>
      <c r="S277" s="319">
        <v>80867.289999999994</v>
      </c>
      <c r="T277" s="329"/>
      <c r="U277" s="335"/>
      <c r="V277" s="320"/>
      <c r="W277" s="320"/>
      <c r="X277" s="320"/>
      <c r="Z277" s="336">
        <f>AW277+AY277+BA277</f>
        <v>0</v>
      </c>
      <c r="AA277" s="337">
        <f>AX277+AZ277+BB277</f>
        <v>0</v>
      </c>
      <c r="AB277" s="338">
        <f t="shared" si="307"/>
        <v>0</v>
      </c>
      <c r="AC277" s="336">
        <f>BC277+BE277+BG277</f>
        <v>29572.29</v>
      </c>
      <c r="AD277" s="337">
        <f>BD277+BF277+BH277</f>
        <v>0</v>
      </c>
      <c r="AE277" s="338">
        <f t="shared" si="309"/>
        <v>29572.29</v>
      </c>
      <c r="AF277" s="336">
        <f>BI277+BK277+BM277</f>
        <v>0</v>
      </c>
      <c r="AG277" s="337">
        <f>BJ277+BL277+BN277</f>
        <v>0</v>
      </c>
      <c r="AH277" s="338">
        <f t="shared" si="311"/>
        <v>0</v>
      </c>
      <c r="AI277" s="336">
        <f>BO277+BQ277+BS277</f>
        <v>0</v>
      </c>
      <c r="AJ277" s="337">
        <f>BP277+BR277+BT277</f>
        <v>0</v>
      </c>
      <c r="AK277" s="338">
        <f t="shared" si="313"/>
        <v>0</v>
      </c>
      <c r="AL277" s="342"/>
      <c r="AM277" s="336">
        <f>Z277+AC277</f>
        <v>29572.29</v>
      </c>
      <c r="AN277" s="339">
        <f>AA277+AD277</f>
        <v>0</v>
      </c>
      <c r="AO277" s="340">
        <f t="shared" si="315"/>
        <v>29572.29</v>
      </c>
      <c r="AP277" s="336">
        <f>Z277+AC277+AF277</f>
        <v>29572.29</v>
      </c>
      <c r="AQ277" s="339">
        <f>AA277+AD277+AG277</f>
        <v>0</v>
      </c>
      <c r="AR277" s="340">
        <f t="shared" si="301"/>
        <v>29572.29</v>
      </c>
      <c r="AS277" s="341">
        <f>Z277+AC277+AF277+AI277</f>
        <v>29572.29</v>
      </c>
      <c r="AT277" s="339">
        <f>AA277+AD277+AG277+AJ277</f>
        <v>0</v>
      </c>
      <c r="AU277" s="340">
        <f t="shared" si="303"/>
        <v>29572.29</v>
      </c>
      <c r="AV277" s="589">
        <f>L277-AS277</f>
        <v>0</v>
      </c>
      <c r="AW277" s="343"/>
      <c r="AX277" s="344"/>
      <c r="AY277" s="345"/>
      <c r="AZ277" s="344"/>
      <c r="BA277" s="345"/>
      <c r="BB277" s="346"/>
      <c r="BC277" s="347"/>
      <c r="BD277" s="348"/>
      <c r="BE277" s="349"/>
      <c r="BF277" s="348"/>
      <c r="BG277" s="349">
        <f>76449.29-46877</f>
        <v>29572.29</v>
      </c>
      <c r="BH277" s="350"/>
      <c r="BI277" s="351"/>
      <c r="BJ277" s="352"/>
      <c r="BK277" s="337"/>
      <c r="BL277" s="352"/>
      <c r="BM277" s="337"/>
      <c r="BN277" s="353"/>
      <c r="BO277" s="354"/>
      <c r="BP277" s="355"/>
      <c r="BQ277" s="356"/>
      <c r="BR277" s="355"/>
      <c r="BS277" s="356"/>
      <c r="BT277" s="357"/>
    </row>
    <row r="278" spans="1:72" s="313" customFormat="1" ht="25.5">
      <c r="A278" s="287">
        <v>267</v>
      </c>
      <c r="B278" s="935"/>
      <c r="C278" s="840"/>
      <c r="D278" s="841"/>
      <c r="E278" s="839"/>
      <c r="F278" s="821" t="s">
        <v>23</v>
      </c>
      <c r="G278" s="314">
        <v>2</v>
      </c>
      <c r="H278" s="739" t="s">
        <v>71</v>
      </c>
      <c r="I278" s="739">
        <v>244</v>
      </c>
      <c r="J278" s="740">
        <v>346</v>
      </c>
      <c r="K278" s="533" t="s">
        <v>464</v>
      </c>
      <c r="L278" s="1025">
        <v>7860</v>
      </c>
      <c r="M278" s="318"/>
      <c r="N278" s="318"/>
      <c r="O278" s="1052">
        <f t="shared" si="305"/>
        <v>7860</v>
      </c>
      <c r="P278" s="570"/>
      <c r="Q278" s="336"/>
      <c r="R278" s="329"/>
      <c r="S278" s="319"/>
      <c r="T278" s="329"/>
      <c r="U278" s="335"/>
      <c r="V278" s="596" t="s">
        <v>463</v>
      </c>
      <c r="W278" s="596" t="s">
        <v>466</v>
      </c>
      <c r="X278" s="596" t="s">
        <v>467</v>
      </c>
      <c r="Z278" s="336">
        <f t="shared" si="424"/>
        <v>7860</v>
      </c>
      <c r="AA278" s="337">
        <f t="shared" si="424"/>
        <v>7860</v>
      </c>
      <c r="AB278" s="338">
        <f t="shared" si="307"/>
        <v>0</v>
      </c>
      <c r="AC278" s="336">
        <f t="shared" si="425"/>
        <v>0</v>
      </c>
      <c r="AD278" s="337">
        <f t="shared" si="425"/>
        <v>0</v>
      </c>
      <c r="AE278" s="338">
        <f t="shared" si="309"/>
        <v>0</v>
      </c>
      <c r="AF278" s="336">
        <f t="shared" si="426"/>
        <v>0</v>
      </c>
      <c r="AG278" s="337">
        <f t="shared" si="426"/>
        <v>0</v>
      </c>
      <c r="AH278" s="338">
        <f t="shared" si="311"/>
        <v>0</v>
      </c>
      <c r="AI278" s="336">
        <f t="shared" si="427"/>
        <v>0</v>
      </c>
      <c r="AJ278" s="337">
        <f t="shared" si="427"/>
        <v>0</v>
      </c>
      <c r="AK278" s="338">
        <f t="shared" si="313"/>
        <v>0</v>
      </c>
      <c r="AL278" s="342"/>
      <c r="AM278" s="336">
        <f t="shared" si="428"/>
        <v>7860</v>
      </c>
      <c r="AN278" s="339">
        <f t="shared" si="428"/>
        <v>7860</v>
      </c>
      <c r="AO278" s="340">
        <f t="shared" si="315"/>
        <v>0</v>
      </c>
      <c r="AP278" s="336">
        <f t="shared" si="429"/>
        <v>7860</v>
      </c>
      <c r="AQ278" s="339">
        <f t="shared" si="429"/>
        <v>7860</v>
      </c>
      <c r="AR278" s="340">
        <f t="shared" si="301"/>
        <v>0</v>
      </c>
      <c r="AS278" s="341">
        <f t="shared" si="430"/>
        <v>7860</v>
      </c>
      <c r="AT278" s="339">
        <f t="shared" si="430"/>
        <v>7860</v>
      </c>
      <c r="AU278" s="340">
        <f t="shared" si="303"/>
        <v>0</v>
      </c>
      <c r="AV278" s="589">
        <f t="shared" si="331"/>
        <v>0</v>
      </c>
      <c r="AW278" s="343"/>
      <c r="AX278" s="344"/>
      <c r="AY278" s="1133">
        <v>7860</v>
      </c>
      <c r="AZ278" s="1152">
        <v>7860</v>
      </c>
      <c r="BA278" s="345"/>
      <c r="BB278" s="346"/>
      <c r="BC278" s="347"/>
      <c r="BD278" s="348"/>
      <c r="BE278" s="349"/>
      <c r="BF278" s="348"/>
      <c r="BG278" s="349"/>
      <c r="BH278" s="350"/>
      <c r="BI278" s="351"/>
      <c r="BJ278" s="352"/>
      <c r="BK278" s="337"/>
      <c r="BL278" s="352"/>
      <c r="BM278" s="337"/>
      <c r="BN278" s="353"/>
      <c r="BO278" s="354"/>
      <c r="BP278" s="355"/>
      <c r="BQ278" s="356"/>
      <c r="BR278" s="355"/>
      <c r="BS278" s="356"/>
      <c r="BT278" s="357"/>
    </row>
    <row r="279" spans="1:72" s="313" customFormat="1" ht="25.5">
      <c r="A279" s="287">
        <v>268</v>
      </c>
      <c r="B279" s="935"/>
      <c r="C279" s="840"/>
      <c r="D279" s="841"/>
      <c r="E279" s="839"/>
      <c r="F279" s="821" t="s">
        <v>23</v>
      </c>
      <c r="G279" s="314">
        <v>2</v>
      </c>
      <c r="H279" s="739" t="s">
        <v>71</v>
      </c>
      <c r="I279" s="739">
        <v>244</v>
      </c>
      <c r="J279" s="740">
        <v>346</v>
      </c>
      <c r="K279" s="533" t="s">
        <v>464</v>
      </c>
      <c r="L279" s="318">
        <v>2880</v>
      </c>
      <c r="M279" s="318"/>
      <c r="N279" s="318"/>
      <c r="O279" s="1052">
        <f t="shared" si="305"/>
        <v>2880</v>
      </c>
      <c r="P279" s="570"/>
      <c r="Q279" s="336"/>
      <c r="R279" s="329"/>
      <c r="S279" s="319"/>
      <c r="T279" s="329"/>
      <c r="U279" s="335"/>
      <c r="V279" s="596" t="s">
        <v>463</v>
      </c>
      <c r="W279" s="596" t="s">
        <v>652</v>
      </c>
      <c r="X279" s="320"/>
      <c r="Z279" s="336">
        <f t="shared" si="424"/>
        <v>2880</v>
      </c>
      <c r="AA279" s="337">
        <f t="shared" si="424"/>
        <v>2880</v>
      </c>
      <c r="AB279" s="338">
        <f t="shared" si="307"/>
        <v>0</v>
      </c>
      <c r="AC279" s="336">
        <f t="shared" si="425"/>
        <v>0</v>
      </c>
      <c r="AD279" s="337">
        <f t="shared" si="425"/>
        <v>0</v>
      </c>
      <c r="AE279" s="338">
        <f t="shared" si="309"/>
        <v>0</v>
      </c>
      <c r="AF279" s="336">
        <f t="shared" si="426"/>
        <v>0</v>
      </c>
      <c r="AG279" s="337">
        <f t="shared" si="426"/>
        <v>0</v>
      </c>
      <c r="AH279" s="338">
        <f t="shared" si="311"/>
        <v>0</v>
      </c>
      <c r="AI279" s="336">
        <f t="shared" si="427"/>
        <v>0</v>
      </c>
      <c r="AJ279" s="337">
        <f t="shared" si="427"/>
        <v>0</v>
      </c>
      <c r="AK279" s="338">
        <f t="shared" si="313"/>
        <v>0</v>
      </c>
      <c r="AL279" s="342"/>
      <c r="AM279" s="336">
        <f t="shared" si="428"/>
        <v>2880</v>
      </c>
      <c r="AN279" s="339">
        <f t="shared" si="428"/>
        <v>2880</v>
      </c>
      <c r="AO279" s="340">
        <f t="shared" si="315"/>
        <v>0</v>
      </c>
      <c r="AP279" s="336">
        <f t="shared" si="429"/>
        <v>2880</v>
      </c>
      <c r="AQ279" s="339">
        <f t="shared" si="429"/>
        <v>2880</v>
      </c>
      <c r="AR279" s="340">
        <f t="shared" si="301"/>
        <v>0</v>
      </c>
      <c r="AS279" s="341">
        <f t="shared" si="430"/>
        <v>2880</v>
      </c>
      <c r="AT279" s="339">
        <f t="shared" si="430"/>
        <v>2880</v>
      </c>
      <c r="AU279" s="340">
        <f t="shared" si="303"/>
        <v>0</v>
      </c>
      <c r="AV279" s="589">
        <f t="shared" si="331"/>
        <v>0</v>
      </c>
      <c r="AW279" s="343"/>
      <c r="AX279" s="344"/>
      <c r="AY279" s="345"/>
      <c r="AZ279" s="344"/>
      <c r="BA279" s="1133">
        <v>2880</v>
      </c>
      <c r="BB279" s="1153">
        <v>2880</v>
      </c>
      <c r="BC279" s="347"/>
      <c r="BD279" s="348"/>
      <c r="BE279" s="349"/>
      <c r="BF279" s="348"/>
      <c r="BG279" s="349"/>
      <c r="BH279" s="350"/>
      <c r="BI279" s="351"/>
      <c r="BJ279" s="352"/>
      <c r="BK279" s="337"/>
      <c r="BL279" s="352"/>
      <c r="BM279" s="337"/>
      <c r="BN279" s="353"/>
      <c r="BO279" s="354"/>
      <c r="BP279" s="355"/>
      <c r="BQ279" s="356"/>
      <c r="BR279" s="355"/>
      <c r="BS279" s="356"/>
      <c r="BT279" s="357"/>
    </row>
    <row r="280" spans="1:72" s="313" customFormat="1" ht="25.5">
      <c r="A280" s="287">
        <v>269</v>
      </c>
      <c r="B280" s="935"/>
      <c r="C280" s="840"/>
      <c r="D280" s="841"/>
      <c r="E280" s="839"/>
      <c r="F280" s="821" t="s">
        <v>23</v>
      </c>
      <c r="G280" s="314">
        <v>2</v>
      </c>
      <c r="H280" s="739" t="s">
        <v>71</v>
      </c>
      <c r="I280" s="739">
        <v>244</v>
      </c>
      <c r="J280" s="740">
        <v>346</v>
      </c>
      <c r="K280" s="533" t="s">
        <v>464</v>
      </c>
      <c r="L280" s="318">
        <v>20160</v>
      </c>
      <c r="M280" s="318"/>
      <c r="N280" s="318"/>
      <c r="O280" s="1052">
        <f t="shared" si="305"/>
        <v>20160</v>
      </c>
      <c r="P280" s="570"/>
      <c r="Q280" s="336"/>
      <c r="R280" s="329"/>
      <c r="S280" s="319"/>
      <c r="T280" s="329"/>
      <c r="U280" s="335"/>
      <c r="V280" s="596" t="s">
        <v>463</v>
      </c>
      <c r="W280" s="320" t="s">
        <v>481</v>
      </c>
      <c r="X280" s="320"/>
      <c r="Z280" s="336">
        <f t="shared" si="424"/>
        <v>0</v>
      </c>
      <c r="AA280" s="337">
        <f t="shared" si="424"/>
        <v>0</v>
      </c>
      <c r="AB280" s="338">
        <f t="shared" si="307"/>
        <v>0</v>
      </c>
      <c r="AC280" s="336">
        <f t="shared" si="425"/>
        <v>8640</v>
      </c>
      <c r="AD280" s="337">
        <f t="shared" si="425"/>
        <v>0</v>
      </c>
      <c r="AE280" s="338">
        <f t="shared" si="309"/>
        <v>8640</v>
      </c>
      <c r="AF280" s="336">
        <f t="shared" si="426"/>
        <v>5760</v>
      </c>
      <c r="AG280" s="337">
        <f t="shared" si="426"/>
        <v>0</v>
      </c>
      <c r="AH280" s="338">
        <f t="shared" si="311"/>
        <v>5760</v>
      </c>
      <c r="AI280" s="336">
        <f t="shared" si="427"/>
        <v>5760</v>
      </c>
      <c r="AJ280" s="337">
        <f t="shared" si="427"/>
        <v>0</v>
      </c>
      <c r="AK280" s="338">
        <f t="shared" si="313"/>
        <v>5760</v>
      </c>
      <c r="AL280" s="342"/>
      <c r="AM280" s="336">
        <f t="shared" si="428"/>
        <v>8640</v>
      </c>
      <c r="AN280" s="339">
        <f t="shared" si="428"/>
        <v>0</v>
      </c>
      <c r="AO280" s="340">
        <f t="shared" si="315"/>
        <v>8640</v>
      </c>
      <c r="AP280" s="336">
        <f t="shared" si="429"/>
        <v>14400</v>
      </c>
      <c r="AQ280" s="339">
        <f t="shared" si="429"/>
        <v>0</v>
      </c>
      <c r="AR280" s="340">
        <f t="shared" si="301"/>
        <v>14400</v>
      </c>
      <c r="AS280" s="341">
        <f t="shared" si="430"/>
        <v>20160</v>
      </c>
      <c r="AT280" s="339">
        <f t="shared" si="430"/>
        <v>0</v>
      </c>
      <c r="AU280" s="340">
        <f t="shared" si="303"/>
        <v>20160</v>
      </c>
      <c r="AV280" s="589">
        <f t="shared" si="331"/>
        <v>0</v>
      </c>
      <c r="AW280" s="343"/>
      <c r="AX280" s="344"/>
      <c r="AY280" s="345"/>
      <c r="AZ280" s="344"/>
      <c r="BA280" s="345"/>
      <c r="BB280" s="346"/>
      <c r="BC280" s="1134">
        <v>5760</v>
      </c>
      <c r="BD280" s="1140"/>
      <c r="BE280" s="1135">
        <v>2880</v>
      </c>
      <c r="BF280" s="1140"/>
      <c r="BG280" s="1135"/>
      <c r="BH280" s="1141"/>
      <c r="BI280" s="1136"/>
      <c r="BJ280" s="909"/>
      <c r="BK280" s="1137">
        <v>2880</v>
      </c>
      <c r="BL280" s="909"/>
      <c r="BM280" s="1137">
        <v>2880</v>
      </c>
      <c r="BN280" s="920"/>
      <c r="BO280" s="1138">
        <v>2880</v>
      </c>
      <c r="BP280" s="1142"/>
      <c r="BQ280" s="1139">
        <v>2880</v>
      </c>
      <c r="BR280" s="1142"/>
      <c r="BS280" s="1139"/>
      <c r="BT280" s="357"/>
    </row>
    <row r="281" spans="1:72" s="313" customFormat="1" ht="25.5">
      <c r="A281" s="287">
        <v>270</v>
      </c>
      <c r="B281" s="935"/>
      <c r="C281" s="840"/>
      <c r="D281" s="841"/>
      <c r="E281" s="839"/>
      <c r="F281" s="821" t="s">
        <v>23</v>
      </c>
      <c r="G281" s="314">
        <v>2</v>
      </c>
      <c r="H281" s="739" t="s">
        <v>71</v>
      </c>
      <c r="I281" s="739">
        <v>244</v>
      </c>
      <c r="J281" s="740">
        <v>346</v>
      </c>
      <c r="K281" s="533" t="s">
        <v>595</v>
      </c>
      <c r="L281" s="318">
        <v>2340</v>
      </c>
      <c r="M281" s="318"/>
      <c r="N281" s="318"/>
      <c r="O281" s="1052">
        <f t="shared" si="305"/>
        <v>2340</v>
      </c>
      <c r="P281" s="570"/>
      <c r="Q281" s="336"/>
      <c r="R281" s="329"/>
      <c r="S281" s="319"/>
      <c r="T281" s="329"/>
      <c r="U281" s="335"/>
      <c r="V281" s="596" t="s">
        <v>598</v>
      </c>
      <c r="W281" s="596" t="s">
        <v>648</v>
      </c>
      <c r="X281" s="596" t="s">
        <v>649</v>
      </c>
      <c r="Z281" s="336">
        <f t="shared" si="424"/>
        <v>2340</v>
      </c>
      <c r="AA281" s="337">
        <f t="shared" si="424"/>
        <v>2340</v>
      </c>
      <c r="AB281" s="338">
        <f t="shared" si="307"/>
        <v>0</v>
      </c>
      <c r="AC281" s="336">
        <f t="shared" si="425"/>
        <v>0</v>
      </c>
      <c r="AD281" s="337">
        <f t="shared" si="425"/>
        <v>0</v>
      </c>
      <c r="AE281" s="338">
        <f t="shared" si="309"/>
        <v>0</v>
      </c>
      <c r="AF281" s="336">
        <f t="shared" si="426"/>
        <v>0</v>
      </c>
      <c r="AG281" s="337">
        <f t="shared" si="426"/>
        <v>0</v>
      </c>
      <c r="AH281" s="338">
        <f t="shared" si="311"/>
        <v>0</v>
      </c>
      <c r="AI281" s="336">
        <f t="shared" si="427"/>
        <v>0</v>
      </c>
      <c r="AJ281" s="337">
        <f t="shared" si="427"/>
        <v>0</v>
      </c>
      <c r="AK281" s="338">
        <f t="shared" si="313"/>
        <v>0</v>
      </c>
      <c r="AL281" s="342"/>
      <c r="AM281" s="336">
        <f t="shared" si="428"/>
        <v>2340</v>
      </c>
      <c r="AN281" s="339">
        <f t="shared" si="428"/>
        <v>2340</v>
      </c>
      <c r="AO281" s="340">
        <f t="shared" si="315"/>
        <v>0</v>
      </c>
      <c r="AP281" s="336">
        <f t="shared" si="429"/>
        <v>2340</v>
      </c>
      <c r="AQ281" s="339">
        <f t="shared" si="429"/>
        <v>2340</v>
      </c>
      <c r="AR281" s="340">
        <f t="shared" si="301"/>
        <v>0</v>
      </c>
      <c r="AS281" s="341">
        <f t="shared" si="430"/>
        <v>2340</v>
      </c>
      <c r="AT281" s="339">
        <f t="shared" si="430"/>
        <v>2340</v>
      </c>
      <c r="AU281" s="340">
        <f t="shared" si="303"/>
        <v>0</v>
      </c>
      <c r="AV281" s="589">
        <f t="shared" si="331"/>
        <v>0</v>
      </c>
      <c r="AW281" s="343"/>
      <c r="AX281" s="344"/>
      <c r="AY281" s="345"/>
      <c r="AZ281" s="344"/>
      <c r="BA281" s="1133">
        <v>2340</v>
      </c>
      <c r="BB281" s="1153">
        <v>2340</v>
      </c>
      <c r="BC281" s="347"/>
      <c r="BD281" s="348"/>
      <c r="BE281" s="349"/>
      <c r="BF281" s="348"/>
      <c r="BG281" s="349"/>
      <c r="BH281" s="350"/>
      <c r="BI281" s="351"/>
      <c r="BJ281" s="352"/>
      <c r="BK281" s="337"/>
      <c r="BL281" s="352"/>
      <c r="BM281" s="337"/>
      <c r="BN281" s="353"/>
      <c r="BO281" s="354"/>
      <c r="BP281" s="355"/>
      <c r="BQ281" s="356"/>
      <c r="BR281" s="355"/>
      <c r="BS281" s="356"/>
      <c r="BT281" s="357"/>
    </row>
    <row r="282" spans="1:72" s="313" customFormat="1" ht="38.25">
      <c r="A282" s="287">
        <v>271</v>
      </c>
      <c r="B282" s="935"/>
      <c r="C282" s="840"/>
      <c r="D282" s="841"/>
      <c r="E282" s="839"/>
      <c r="F282" s="821" t="s">
        <v>23</v>
      </c>
      <c r="G282" s="314">
        <v>2</v>
      </c>
      <c r="H282" s="739" t="s">
        <v>71</v>
      </c>
      <c r="I282" s="739">
        <v>244</v>
      </c>
      <c r="J282" s="740">
        <v>346</v>
      </c>
      <c r="K282" s="533" t="s">
        <v>689</v>
      </c>
      <c r="L282" s="318">
        <v>38055</v>
      </c>
      <c r="M282" s="318"/>
      <c r="N282" s="318"/>
      <c r="O282" s="1052">
        <f t="shared" si="305"/>
        <v>38055</v>
      </c>
      <c r="P282" s="570"/>
      <c r="Q282" s="336"/>
      <c r="R282" s="329"/>
      <c r="S282" s="319"/>
      <c r="T282" s="329"/>
      <c r="U282" s="335"/>
      <c r="V282" s="596" t="s">
        <v>598</v>
      </c>
      <c r="W282" s="596" t="s">
        <v>741</v>
      </c>
      <c r="X282" s="596" t="s">
        <v>742</v>
      </c>
      <c r="Z282" s="336">
        <f t="shared" si="424"/>
        <v>0</v>
      </c>
      <c r="AA282" s="337">
        <f t="shared" si="424"/>
        <v>0</v>
      </c>
      <c r="AB282" s="338">
        <f t="shared" si="307"/>
        <v>0</v>
      </c>
      <c r="AC282" s="336">
        <f t="shared" si="425"/>
        <v>15995</v>
      </c>
      <c r="AD282" s="337">
        <f t="shared" si="425"/>
        <v>4965</v>
      </c>
      <c r="AE282" s="338">
        <f t="shared" si="309"/>
        <v>11030</v>
      </c>
      <c r="AF282" s="336">
        <f t="shared" si="426"/>
        <v>11030</v>
      </c>
      <c r="AG282" s="337">
        <f t="shared" si="426"/>
        <v>0</v>
      </c>
      <c r="AH282" s="338">
        <f t="shared" si="311"/>
        <v>11030</v>
      </c>
      <c r="AI282" s="336">
        <f t="shared" si="427"/>
        <v>11030</v>
      </c>
      <c r="AJ282" s="337">
        <f t="shared" si="427"/>
        <v>0</v>
      </c>
      <c r="AK282" s="338">
        <f t="shared" si="313"/>
        <v>11030</v>
      </c>
      <c r="AL282" s="342"/>
      <c r="AM282" s="336">
        <f t="shared" si="428"/>
        <v>15995</v>
      </c>
      <c r="AN282" s="339">
        <f t="shared" si="428"/>
        <v>4965</v>
      </c>
      <c r="AO282" s="340">
        <f t="shared" si="315"/>
        <v>11030</v>
      </c>
      <c r="AP282" s="336">
        <f t="shared" si="429"/>
        <v>27025</v>
      </c>
      <c r="AQ282" s="339">
        <f t="shared" si="429"/>
        <v>4965</v>
      </c>
      <c r="AR282" s="340">
        <f t="shared" si="301"/>
        <v>22060</v>
      </c>
      <c r="AS282" s="341">
        <f t="shared" si="430"/>
        <v>38055</v>
      </c>
      <c r="AT282" s="339">
        <f t="shared" si="430"/>
        <v>4965</v>
      </c>
      <c r="AU282" s="340">
        <f t="shared" si="303"/>
        <v>33090</v>
      </c>
      <c r="AV282" s="589">
        <f t="shared" si="331"/>
        <v>0</v>
      </c>
      <c r="AW282" s="343"/>
      <c r="AX282" s="344"/>
      <c r="AY282" s="345"/>
      <c r="AZ282" s="344"/>
      <c r="BA282" s="345"/>
      <c r="BB282" s="346"/>
      <c r="BC282" s="1134">
        <f>4965+5515</f>
        <v>10480</v>
      </c>
      <c r="BD282" s="1140">
        <v>4965</v>
      </c>
      <c r="BE282" s="1135">
        <v>5515</v>
      </c>
      <c r="BF282" s="348"/>
      <c r="BG282" s="1135"/>
      <c r="BH282" s="350"/>
      <c r="BI282" s="1136"/>
      <c r="BJ282" s="352"/>
      <c r="BK282" s="1137">
        <v>5515</v>
      </c>
      <c r="BL282" s="352"/>
      <c r="BM282" s="1137">
        <v>5515</v>
      </c>
      <c r="BN282" s="353"/>
      <c r="BO282" s="1138">
        <v>5515</v>
      </c>
      <c r="BP282" s="355"/>
      <c r="BQ282" s="1139">
        <v>5515</v>
      </c>
      <c r="BR282" s="355"/>
      <c r="BS282" s="1139"/>
      <c r="BT282" s="357"/>
    </row>
    <row r="283" spans="1:72" s="358" customFormat="1" ht="31.5" customHeight="1">
      <c r="A283" s="287">
        <v>272</v>
      </c>
      <c r="B283" s="941"/>
      <c r="C283" s="850" t="s">
        <v>377</v>
      </c>
      <c r="D283" s="838"/>
      <c r="E283" s="836" t="s">
        <v>201</v>
      </c>
      <c r="F283" s="820" t="s">
        <v>23</v>
      </c>
      <c r="G283" s="360">
        <v>2</v>
      </c>
      <c r="H283" s="360" t="s">
        <v>71</v>
      </c>
      <c r="I283" s="360">
        <v>244</v>
      </c>
      <c r="J283" s="361">
        <v>346</v>
      </c>
      <c r="K283" s="532" t="s">
        <v>499</v>
      </c>
      <c r="L283" s="1023">
        <f>SUM(L284:L299)</f>
        <v>150687</v>
      </c>
      <c r="M283" s="363"/>
      <c r="N283" s="363">
        <f>SUM(N284:N299)</f>
        <v>0</v>
      </c>
      <c r="O283" s="1051">
        <f t="shared" si="305"/>
        <v>150687</v>
      </c>
      <c r="P283" s="571"/>
      <c r="Q283" s="367">
        <f>SUM(Q284:Q299)</f>
        <v>0</v>
      </c>
      <c r="R283" s="557"/>
      <c r="S283" s="367">
        <f>SUM(S284:S299)</f>
        <v>0</v>
      </c>
      <c r="T283" s="557"/>
      <c r="U283" s="365"/>
      <c r="V283" s="366"/>
      <c r="W283" s="366"/>
      <c r="X283" s="366"/>
      <c r="Z283" s="367">
        <f t="shared" si="424"/>
        <v>57860</v>
      </c>
      <c r="AA283" s="363">
        <f t="shared" si="424"/>
        <v>36650</v>
      </c>
      <c r="AB283" s="280">
        <f t="shared" si="307"/>
        <v>21210</v>
      </c>
      <c r="AC283" s="367">
        <f t="shared" si="425"/>
        <v>55756</v>
      </c>
      <c r="AD283" s="363">
        <f t="shared" si="425"/>
        <v>8740</v>
      </c>
      <c r="AE283" s="280">
        <f t="shared" si="309"/>
        <v>47016</v>
      </c>
      <c r="AF283" s="367">
        <f t="shared" si="426"/>
        <v>36947</v>
      </c>
      <c r="AG283" s="363">
        <f t="shared" si="426"/>
        <v>0</v>
      </c>
      <c r="AH283" s="280">
        <f t="shared" si="311"/>
        <v>36947</v>
      </c>
      <c r="AI283" s="367">
        <f t="shared" si="427"/>
        <v>1000</v>
      </c>
      <c r="AJ283" s="363">
        <f t="shared" si="427"/>
        <v>0</v>
      </c>
      <c r="AK283" s="280">
        <f t="shared" si="313"/>
        <v>1000</v>
      </c>
      <c r="AL283" s="368"/>
      <c r="AM283" s="367">
        <f t="shared" si="428"/>
        <v>113616</v>
      </c>
      <c r="AN283" s="363">
        <f t="shared" si="428"/>
        <v>45390</v>
      </c>
      <c r="AO283" s="280">
        <f t="shared" si="315"/>
        <v>68226</v>
      </c>
      <c r="AP283" s="367">
        <f t="shared" si="429"/>
        <v>150563</v>
      </c>
      <c r="AQ283" s="363">
        <f t="shared" si="429"/>
        <v>45390</v>
      </c>
      <c r="AR283" s="280">
        <f t="shared" si="301"/>
        <v>105173</v>
      </c>
      <c r="AS283" s="367">
        <f t="shared" si="430"/>
        <v>151563</v>
      </c>
      <c r="AT283" s="363">
        <f t="shared" si="430"/>
        <v>45390</v>
      </c>
      <c r="AU283" s="280">
        <f t="shared" si="303"/>
        <v>106173</v>
      </c>
      <c r="AV283" s="588">
        <f t="shared" si="331"/>
        <v>-876</v>
      </c>
      <c r="AW283" s="367">
        <f t="shared" ref="AW283:BT283" si="474">SUM(AW284:AW299)</f>
        <v>0</v>
      </c>
      <c r="AX283" s="363">
        <f t="shared" si="474"/>
        <v>0</v>
      </c>
      <c r="AY283" s="363">
        <f t="shared" si="474"/>
        <v>1201</v>
      </c>
      <c r="AZ283" s="363">
        <f t="shared" si="474"/>
        <v>1201</v>
      </c>
      <c r="BA283" s="363">
        <f t="shared" si="474"/>
        <v>56659</v>
      </c>
      <c r="BB283" s="369">
        <f t="shared" si="474"/>
        <v>35449</v>
      </c>
      <c r="BC283" s="367">
        <f t="shared" si="474"/>
        <v>8740</v>
      </c>
      <c r="BD283" s="363">
        <f t="shared" si="474"/>
        <v>8740</v>
      </c>
      <c r="BE283" s="363">
        <f t="shared" si="474"/>
        <v>44816</v>
      </c>
      <c r="BF283" s="363">
        <f t="shared" si="474"/>
        <v>0</v>
      </c>
      <c r="BG283" s="363">
        <f t="shared" si="474"/>
        <v>2200</v>
      </c>
      <c r="BH283" s="369">
        <f t="shared" si="474"/>
        <v>0</v>
      </c>
      <c r="BI283" s="367">
        <f t="shared" si="474"/>
        <v>0</v>
      </c>
      <c r="BJ283" s="363">
        <f t="shared" si="474"/>
        <v>0</v>
      </c>
      <c r="BK283" s="363">
        <f t="shared" si="474"/>
        <v>36947</v>
      </c>
      <c r="BL283" s="363">
        <f t="shared" si="474"/>
        <v>0</v>
      </c>
      <c r="BM283" s="363">
        <f t="shared" si="474"/>
        <v>0</v>
      </c>
      <c r="BN283" s="369">
        <f t="shared" si="474"/>
        <v>0</v>
      </c>
      <c r="BO283" s="367">
        <f t="shared" si="474"/>
        <v>0</v>
      </c>
      <c r="BP283" s="363">
        <f t="shared" si="474"/>
        <v>0</v>
      </c>
      <c r="BQ283" s="363">
        <f t="shared" si="474"/>
        <v>1000</v>
      </c>
      <c r="BR283" s="363">
        <f t="shared" si="474"/>
        <v>0</v>
      </c>
      <c r="BS283" s="363">
        <f t="shared" si="474"/>
        <v>0</v>
      </c>
      <c r="BT283" s="280">
        <f t="shared" si="474"/>
        <v>0</v>
      </c>
    </row>
    <row r="284" spans="1:72" s="313" customFormat="1" ht="63.75" outlineLevel="2">
      <c r="A284" s="287">
        <v>273</v>
      </c>
      <c r="B284" s="941"/>
      <c r="C284" s="840"/>
      <c r="D284" s="841"/>
      <c r="E284" s="839"/>
      <c r="F284" s="821" t="s">
        <v>23</v>
      </c>
      <c r="G284" s="314">
        <v>2</v>
      </c>
      <c r="H284" s="739" t="s">
        <v>71</v>
      </c>
      <c r="I284" s="739">
        <v>244</v>
      </c>
      <c r="J284" s="740">
        <v>346</v>
      </c>
      <c r="K284" s="533" t="s">
        <v>501</v>
      </c>
      <c r="L284" s="1025">
        <v>9130</v>
      </c>
      <c r="M284" s="318"/>
      <c r="N284" s="318"/>
      <c r="O284" s="1052">
        <f t="shared" si="305"/>
        <v>9130</v>
      </c>
      <c r="P284" s="570"/>
      <c r="Q284" s="336">
        <v>0</v>
      </c>
      <c r="R284" s="559"/>
      <c r="S284" s="541">
        <v>0</v>
      </c>
      <c r="T284" s="559"/>
      <c r="U284" s="335"/>
      <c r="V284" s="596" t="s">
        <v>502</v>
      </c>
      <c r="W284" s="596" t="s">
        <v>551</v>
      </c>
      <c r="X284" s="596"/>
      <c r="Z284" s="336">
        <f t="shared" si="424"/>
        <v>9130</v>
      </c>
      <c r="AA284" s="337">
        <f t="shared" si="424"/>
        <v>9130</v>
      </c>
      <c r="AB284" s="338">
        <f t="shared" si="307"/>
        <v>0</v>
      </c>
      <c r="AC284" s="336">
        <f t="shared" si="425"/>
        <v>0</v>
      </c>
      <c r="AD284" s="337">
        <f t="shared" si="425"/>
        <v>0</v>
      </c>
      <c r="AE284" s="338">
        <f t="shared" si="309"/>
        <v>0</v>
      </c>
      <c r="AF284" s="336">
        <f t="shared" si="426"/>
        <v>0</v>
      </c>
      <c r="AG284" s="337">
        <f t="shared" si="426"/>
        <v>0</v>
      </c>
      <c r="AH284" s="338">
        <f t="shared" si="311"/>
        <v>0</v>
      </c>
      <c r="AI284" s="336">
        <f t="shared" si="427"/>
        <v>0</v>
      </c>
      <c r="AJ284" s="337">
        <f t="shared" si="427"/>
        <v>0</v>
      </c>
      <c r="AK284" s="338">
        <f t="shared" si="313"/>
        <v>0</v>
      </c>
      <c r="AL284" s="342"/>
      <c r="AM284" s="336">
        <f t="shared" si="428"/>
        <v>9130</v>
      </c>
      <c r="AN284" s="339">
        <f t="shared" si="428"/>
        <v>9130</v>
      </c>
      <c r="AO284" s="340">
        <f t="shared" si="315"/>
        <v>0</v>
      </c>
      <c r="AP284" s="336">
        <f t="shared" si="429"/>
        <v>9130</v>
      </c>
      <c r="AQ284" s="339">
        <f t="shared" si="429"/>
        <v>9130</v>
      </c>
      <c r="AR284" s="340">
        <f t="shared" si="301"/>
        <v>0</v>
      </c>
      <c r="AS284" s="341">
        <f t="shared" si="430"/>
        <v>9130</v>
      </c>
      <c r="AT284" s="339">
        <f t="shared" si="430"/>
        <v>9130</v>
      </c>
      <c r="AU284" s="340">
        <f t="shared" si="303"/>
        <v>0</v>
      </c>
      <c r="AV284" s="589">
        <f t="shared" si="331"/>
        <v>0</v>
      </c>
      <c r="AW284" s="343"/>
      <c r="AX284" s="344"/>
      <c r="AY284" s="1133"/>
      <c r="AZ284" s="1152"/>
      <c r="BA284" s="1133">
        <v>9130</v>
      </c>
      <c r="BB284" s="1152">
        <v>9130</v>
      </c>
      <c r="BC284" s="347"/>
      <c r="BD284" s="348"/>
      <c r="BE284" s="349"/>
      <c r="BF284" s="348"/>
      <c r="BG284" s="349"/>
      <c r="BH284" s="350"/>
      <c r="BI284" s="351"/>
      <c r="BJ284" s="352"/>
      <c r="BK284" s="337"/>
      <c r="BL284" s="352"/>
      <c r="BM284" s="337"/>
      <c r="BN284" s="353"/>
      <c r="BO284" s="354"/>
      <c r="BP284" s="355"/>
      <c r="BQ284" s="356"/>
      <c r="BR284" s="355"/>
      <c r="BS284" s="356"/>
      <c r="BT284" s="357"/>
    </row>
    <row r="285" spans="1:72" s="313" customFormat="1" ht="25.5" outlineLevel="2">
      <c r="A285" s="287">
        <v>274</v>
      </c>
      <c r="B285" s="1143" t="s">
        <v>868</v>
      </c>
      <c r="C285" s="840"/>
      <c r="D285" s="841"/>
      <c r="E285" s="839"/>
      <c r="F285" s="821" t="s">
        <v>23</v>
      </c>
      <c r="G285" s="314">
        <v>2</v>
      </c>
      <c r="H285" s="739" t="s">
        <v>71</v>
      </c>
      <c r="I285" s="739">
        <v>244</v>
      </c>
      <c r="J285" s="740">
        <v>346</v>
      </c>
      <c r="K285" s="533" t="s">
        <v>510</v>
      </c>
      <c r="L285" s="1045">
        <f>42300-1109-2200</f>
        <v>38991</v>
      </c>
      <c r="M285" s="318"/>
      <c r="N285" s="318"/>
      <c r="O285" s="1052">
        <f t="shared" si="305"/>
        <v>38991</v>
      </c>
      <c r="P285" s="570"/>
      <c r="Q285" s="336">
        <v>0</v>
      </c>
      <c r="R285" s="559"/>
      <c r="S285" s="541">
        <v>0</v>
      </c>
      <c r="T285" s="559"/>
      <c r="U285" s="335"/>
      <c r="V285" s="596" t="s">
        <v>511</v>
      </c>
      <c r="W285" s="596" t="s">
        <v>601</v>
      </c>
      <c r="X285" s="320" t="s">
        <v>602</v>
      </c>
      <c r="Z285" s="336">
        <f t="shared" si="424"/>
        <v>18244</v>
      </c>
      <c r="AA285" s="337">
        <f t="shared" si="424"/>
        <v>18244</v>
      </c>
      <c r="AB285" s="338">
        <f t="shared" si="307"/>
        <v>0</v>
      </c>
      <c r="AC285" s="336">
        <f t="shared" si="425"/>
        <v>0</v>
      </c>
      <c r="AD285" s="337">
        <f t="shared" si="425"/>
        <v>0</v>
      </c>
      <c r="AE285" s="338">
        <f t="shared" si="309"/>
        <v>0</v>
      </c>
      <c r="AF285" s="336">
        <f t="shared" si="426"/>
        <v>22947</v>
      </c>
      <c r="AG285" s="337">
        <f t="shared" si="426"/>
        <v>0</v>
      </c>
      <c r="AH285" s="338">
        <f t="shared" si="311"/>
        <v>22947</v>
      </c>
      <c r="AI285" s="336">
        <f t="shared" si="427"/>
        <v>0</v>
      </c>
      <c r="AJ285" s="337">
        <f t="shared" si="427"/>
        <v>0</v>
      </c>
      <c r="AK285" s="338">
        <f t="shared" si="313"/>
        <v>0</v>
      </c>
      <c r="AL285" s="342"/>
      <c r="AM285" s="336">
        <f t="shared" si="428"/>
        <v>18244</v>
      </c>
      <c r="AN285" s="339">
        <f t="shared" si="428"/>
        <v>18244</v>
      </c>
      <c r="AO285" s="340">
        <f t="shared" si="315"/>
        <v>0</v>
      </c>
      <c r="AP285" s="336">
        <f t="shared" si="429"/>
        <v>41191</v>
      </c>
      <c r="AQ285" s="339">
        <f t="shared" si="429"/>
        <v>18244</v>
      </c>
      <c r="AR285" s="340">
        <f t="shared" si="301"/>
        <v>22947</v>
      </c>
      <c r="AS285" s="341">
        <f t="shared" si="430"/>
        <v>41191</v>
      </c>
      <c r="AT285" s="339">
        <f t="shared" si="430"/>
        <v>18244</v>
      </c>
      <c r="AU285" s="340">
        <f t="shared" si="303"/>
        <v>22947</v>
      </c>
      <c r="AV285" s="1155">
        <f t="shared" si="331"/>
        <v>-2200</v>
      </c>
      <c r="AW285" s="343"/>
      <c r="AX285" s="344"/>
      <c r="AY285" s="345"/>
      <c r="AZ285" s="344"/>
      <c r="BA285" s="1133">
        <v>18244</v>
      </c>
      <c r="BB285" s="1153">
        <v>18244</v>
      </c>
      <c r="BC285" s="347"/>
      <c r="BD285" s="348"/>
      <c r="BE285" s="349"/>
      <c r="BF285" s="348"/>
      <c r="BG285" s="349"/>
      <c r="BH285" s="350"/>
      <c r="BI285" s="351"/>
      <c r="BJ285" s="352"/>
      <c r="BK285" s="337">
        <f>24056-1109</f>
        <v>22947</v>
      </c>
      <c r="BL285" s="352"/>
      <c r="BM285" s="337"/>
      <c r="BN285" s="353"/>
      <c r="BO285" s="354"/>
      <c r="BP285" s="355"/>
      <c r="BQ285" s="356"/>
      <c r="BR285" s="355"/>
      <c r="BS285" s="356"/>
      <c r="BT285" s="357"/>
    </row>
    <row r="286" spans="1:72" s="313" customFormat="1" ht="25.5" outlineLevel="2">
      <c r="A286" s="287">
        <v>275</v>
      </c>
      <c r="B286" s="941"/>
      <c r="C286" s="840"/>
      <c r="D286" s="841"/>
      <c r="E286" s="839"/>
      <c r="F286" s="821" t="s">
        <v>23</v>
      </c>
      <c r="G286" s="314">
        <v>2</v>
      </c>
      <c r="H286" s="739" t="s">
        <v>71</v>
      </c>
      <c r="I286" s="739">
        <v>244</v>
      </c>
      <c r="J286" s="740">
        <v>346</v>
      </c>
      <c r="K286" s="533" t="s">
        <v>584</v>
      </c>
      <c r="L286" s="1025">
        <v>4290</v>
      </c>
      <c r="M286" s="318"/>
      <c r="N286" s="318"/>
      <c r="O286" s="1052">
        <f t="shared" si="305"/>
        <v>4290</v>
      </c>
      <c r="P286" s="570"/>
      <c r="Q286" s="336">
        <v>0</v>
      </c>
      <c r="R286" s="559"/>
      <c r="S286" s="541">
        <v>0</v>
      </c>
      <c r="T286" s="559"/>
      <c r="U286" s="335"/>
      <c r="V286" s="596" t="s">
        <v>579</v>
      </c>
      <c r="W286" s="596" t="s">
        <v>578</v>
      </c>
      <c r="X286" s="596" t="s">
        <v>580</v>
      </c>
      <c r="Z286" s="336">
        <f t="shared" si="424"/>
        <v>4075</v>
      </c>
      <c r="AA286" s="337">
        <f t="shared" si="424"/>
        <v>4075</v>
      </c>
      <c r="AB286" s="338">
        <f t="shared" si="307"/>
        <v>0</v>
      </c>
      <c r="AC286" s="336">
        <f t="shared" si="425"/>
        <v>0</v>
      </c>
      <c r="AD286" s="337">
        <f t="shared" si="425"/>
        <v>0</v>
      </c>
      <c r="AE286" s="338">
        <f t="shared" si="309"/>
        <v>0</v>
      </c>
      <c r="AF286" s="336">
        <f t="shared" si="426"/>
        <v>0</v>
      </c>
      <c r="AG286" s="337">
        <f t="shared" si="426"/>
        <v>0</v>
      </c>
      <c r="AH286" s="338">
        <f t="shared" si="311"/>
        <v>0</v>
      </c>
      <c r="AI286" s="336">
        <f t="shared" si="427"/>
        <v>0</v>
      </c>
      <c r="AJ286" s="337">
        <f t="shared" si="427"/>
        <v>0</v>
      </c>
      <c r="AK286" s="338">
        <f t="shared" si="313"/>
        <v>0</v>
      </c>
      <c r="AL286" s="342"/>
      <c r="AM286" s="336">
        <f t="shared" si="428"/>
        <v>4075</v>
      </c>
      <c r="AN286" s="339">
        <f t="shared" si="428"/>
        <v>4075</v>
      </c>
      <c r="AO286" s="340">
        <f t="shared" si="315"/>
        <v>0</v>
      </c>
      <c r="AP286" s="336">
        <f t="shared" si="429"/>
        <v>4075</v>
      </c>
      <c r="AQ286" s="339">
        <f t="shared" si="429"/>
        <v>4075</v>
      </c>
      <c r="AR286" s="340">
        <f t="shared" si="301"/>
        <v>0</v>
      </c>
      <c r="AS286" s="341">
        <f t="shared" si="430"/>
        <v>4075</v>
      </c>
      <c r="AT286" s="339">
        <f t="shared" si="430"/>
        <v>4075</v>
      </c>
      <c r="AU286" s="340">
        <f t="shared" si="303"/>
        <v>0</v>
      </c>
      <c r="AV286" s="803">
        <f t="shared" si="331"/>
        <v>215</v>
      </c>
      <c r="AW286" s="343"/>
      <c r="AX286" s="344"/>
      <c r="AY286" s="345"/>
      <c r="AZ286" s="344"/>
      <c r="BA286" s="1133">
        <v>4075</v>
      </c>
      <c r="BB286" s="1153">
        <v>4075</v>
      </c>
      <c r="BC286" s="347"/>
      <c r="BD286" s="348"/>
      <c r="BE286" s="349"/>
      <c r="BF286" s="348"/>
      <c r="BG286" s="349"/>
      <c r="BH286" s="350"/>
      <c r="BI286" s="351"/>
      <c r="BJ286" s="352"/>
      <c r="BK286" s="337"/>
      <c r="BL286" s="352"/>
      <c r="BM286" s="337"/>
      <c r="BN286" s="353"/>
      <c r="BO286" s="354"/>
      <c r="BP286" s="355"/>
      <c r="BQ286" s="356"/>
      <c r="BR286" s="355"/>
      <c r="BS286" s="356"/>
      <c r="BT286" s="357"/>
    </row>
    <row r="287" spans="1:72" s="313" customFormat="1" ht="25.5" outlineLevel="2">
      <c r="A287" s="287">
        <v>276</v>
      </c>
      <c r="B287" s="1143"/>
      <c r="C287" s="840"/>
      <c r="D287" s="841"/>
      <c r="E287" s="839"/>
      <c r="F287" s="821" t="s">
        <v>23</v>
      </c>
      <c r="G287" s="314">
        <v>2</v>
      </c>
      <c r="H287" s="739" t="s">
        <v>71</v>
      </c>
      <c r="I287" s="739">
        <v>244</v>
      </c>
      <c r="J287" s="740">
        <v>346</v>
      </c>
      <c r="K287" s="533" t="s">
        <v>635</v>
      </c>
      <c r="L287" s="1025">
        <v>12000</v>
      </c>
      <c r="M287" s="318"/>
      <c r="N287" s="318"/>
      <c r="O287" s="1052">
        <f t="shared" si="305"/>
        <v>12000</v>
      </c>
      <c r="P287" s="570"/>
      <c r="Q287" s="336">
        <v>0</v>
      </c>
      <c r="R287" s="559"/>
      <c r="S287" s="541">
        <v>0</v>
      </c>
      <c r="T287" s="559"/>
      <c r="U287" s="335"/>
      <c r="V287" s="596" t="s">
        <v>579</v>
      </c>
      <c r="W287" s="596" t="s">
        <v>481</v>
      </c>
      <c r="X287" s="320"/>
      <c r="Z287" s="336">
        <f t="shared" si="424"/>
        <v>0</v>
      </c>
      <c r="AA287" s="337">
        <f t="shared" si="424"/>
        <v>0</v>
      </c>
      <c r="AB287" s="338">
        <f t="shared" si="307"/>
        <v>0</v>
      </c>
      <c r="AC287" s="336">
        <f t="shared" si="425"/>
        <v>0</v>
      </c>
      <c r="AD287" s="337">
        <f t="shared" si="425"/>
        <v>0</v>
      </c>
      <c r="AE287" s="338">
        <f t="shared" si="309"/>
        <v>0</v>
      </c>
      <c r="AF287" s="336">
        <f t="shared" si="426"/>
        <v>12000</v>
      </c>
      <c r="AG287" s="337">
        <f t="shared" si="426"/>
        <v>0</v>
      </c>
      <c r="AH287" s="338">
        <f t="shared" si="311"/>
        <v>12000</v>
      </c>
      <c r="AI287" s="336">
        <f t="shared" si="427"/>
        <v>0</v>
      </c>
      <c r="AJ287" s="337">
        <f t="shared" si="427"/>
        <v>0</v>
      </c>
      <c r="AK287" s="338">
        <f t="shared" si="313"/>
        <v>0</v>
      </c>
      <c r="AL287" s="342"/>
      <c r="AM287" s="336">
        <f t="shared" si="428"/>
        <v>0</v>
      </c>
      <c r="AN287" s="339">
        <f t="shared" si="428"/>
        <v>0</v>
      </c>
      <c r="AO287" s="340">
        <f t="shared" si="315"/>
        <v>0</v>
      </c>
      <c r="AP287" s="336">
        <f t="shared" si="429"/>
        <v>12000</v>
      </c>
      <c r="AQ287" s="339">
        <f t="shared" si="429"/>
        <v>0</v>
      </c>
      <c r="AR287" s="340">
        <f t="shared" si="301"/>
        <v>12000</v>
      </c>
      <c r="AS287" s="341">
        <f t="shared" si="430"/>
        <v>12000</v>
      </c>
      <c r="AT287" s="339">
        <f t="shared" si="430"/>
        <v>0</v>
      </c>
      <c r="AU287" s="340">
        <f t="shared" si="303"/>
        <v>12000</v>
      </c>
      <c r="AV287" s="589">
        <f t="shared" si="331"/>
        <v>0</v>
      </c>
      <c r="AW287" s="343"/>
      <c r="AX287" s="344"/>
      <c r="AY287" s="345"/>
      <c r="AZ287" s="344"/>
      <c r="BA287" s="345"/>
      <c r="BB287" s="346"/>
      <c r="BC287" s="347"/>
      <c r="BD287" s="348"/>
      <c r="BE287" s="349"/>
      <c r="BF287" s="348"/>
      <c r="BG287" s="349"/>
      <c r="BH287" s="350"/>
      <c r="BI287" s="351"/>
      <c r="BJ287" s="352"/>
      <c r="BK287" s="337">
        <v>12000</v>
      </c>
      <c r="BL287" s="352"/>
      <c r="BM287" s="337"/>
      <c r="BN287" s="353"/>
      <c r="BO287" s="354"/>
      <c r="BP287" s="355"/>
      <c r="BQ287" s="356"/>
      <c r="BR287" s="355"/>
      <c r="BS287" s="356"/>
      <c r="BT287" s="357"/>
    </row>
    <row r="288" spans="1:72" s="313" customFormat="1" ht="25.5" outlineLevel="2">
      <c r="A288" s="287">
        <v>277</v>
      </c>
      <c r="B288" s="1143"/>
      <c r="C288" s="840"/>
      <c r="D288" s="841"/>
      <c r="E288" s="839"/>
      <c r="F288" s="821" t="s">
        <v>23</v>
      </c>
      <c r="G288" s="314">
        <v>2</v>
      </c>
      <c r="H288" s="739" t="s">
        <v>71</v>
      </c>
      <c r="I288" s="739">
        <v>244</v>
      </c>
      <c r="J288" s="740">
        <v>346</v>
      </c>
      <c r="K288" s="533" t="s">
        <v>636</v>
      </c>
      <c r="L288" s="1025">
        <v>21210</v>
      </c>
      <c r="M288" s="318"/>
      <c r="N288" s="318"/>
      <c r="O288" s="1052">
        <f t="shared" si="305"/>
        <v>21210</v>
      </c>
      <c r="P288" s="570"/>
      <c r="Q288" s="336">
        <v>0</v>
      </c>
      <c r="R288" s="559"/>
      <c r="S288" s="541">
        <v>0</v>
      </c>
      <c r="T288" s="559"/>
      <c r="U288" s="335"/>
      <c r="V288" s="596" t="s">
        <v>637</v>
      </c>
      <c r="W288" s="320" t="s">
        <v>481</v>
      </c>
      <c r="X288" s="320"/>
      <c r="Z288" s="336">
        <f t="shared" si="424"/>
        <v>21210</v>
      </c>
      <c r="AA288" s="337">
        <f t="shared" si="424"/>
        <v>0</v>
      </c>
      <c r="AB288" s="338">
        <f t="shared" si="307"/>
        <v>21210</v>
      </c>
      <c r="AC288" s="336">
        <f t="shared" si="425"/>
        <v>0</v>
      </c>
      <c r="AD288" s="337">
        <f t="shared" si="425"/>
        <v>0</v>
      </c>
      <c r="AE288" s="338">
        <f t="shared" si="309"/>
        <v>0</v>
      </c>
      <c r="AF288" s="336">
        <f t="shared" si="426"/>
        <v>0</v>
      </c>
      <c r="AG288" s="337">
        <f t="shared" si="426"/>
        <v>0</v>
      </c>
      <c r="AH288" s="338">
        <f t="shared" si="311"/>
        <v>0</v>
      </c>
      <c r="AI288" s="336">
        <f t="shared" si="427"/>
        <v>0</v>
      </c>
      <c r="AJ288" s="337">
        <f t="shared" si="427"/>
        <v>0</v>
      </c>
      <c r="AK288" s="338">
        <f t="shared" si="313"/>
        <v>0</v>
      </c>
      <c r="AL288" s="342"/>
      <c r="AM288" s="336">
        <f t="shared" si="428"/>
        <v>21210</v>
      </c>
      <c r="AN288" s="339">
        <f t="shared" si="428"/>
        <v>0</v>
      </c>
      <c r="AO288" s="340">
        <f t="shared" si="315"/>
        <v>21210</v>
      </c>
      <c r="AP288" s="336">
        <f t="shared" si="429"/>
        <v>21210</v>
      </c>
      <c r="AQ288" s="339">
        <f t="shared" si="429"/>
        <v>0</v>
      </c>
      <c r="AR288" s="340">
        <f t="shared" si="301"/>
        <v>21210</v>
      </c>
      <c r="AS288" s="341">
        <f t="shared" si="430"/>
        <v>21210</v>
      </c>
      <c r="AT288" s="339">
        <f t="shared" si="430"/>
        <v>0</v>
      </c>
      <c r="AU288" s="340">
        <f t="shared" si="303"/>
        <v>21210</v>
      </c>
      <c r="AV288" s="589">
        <f t="shared" si="331"/>
        <v>0</v>
      </c>
      <c r="AW288" s="343"/>
      <c r="AX288" s="344"/>
      <c r="AY288" s="345"/>
      <c r="AZ288" s="344"/>
      <c r="BA288" s="345">
        <v>21210</v>
      </c>
      <c r="BB288" s="346"/>
      <c r="BC288" s="347"/>
      <c r="BD288" s="348"/>
      <c r="BE288" s="349"/>
      <c r="BF288" s="348"/>
      <c r="BG288" s="349"/>
      <c r="BH288" s="350"/>
      <c r="BI288" s="351"/>
      <c r="BJ288" s="352"/>
      <c r="BK288" s="337"/>
      <c r="BL288" s="352"/>
      <c r="BM288" s="337"/>
      <c r="BN288" s="353"/>
      <c r="BO288" s="354"/>
      <c r="BP288" s="355"/>
      <c r="BQ288" s="356"/>
      <c r="BR288" s="355"/>
      <c r="BS288" s="356"/>
      <c r="BT288" s="357"/>
    </row>
    <row r="289" spans="1:72" s="313" customFormat="1" ht="38.25" outlineLevel="2">
      <c r="A289" s="287">
        <v>278</v>
      </c>
      <c r="B289" s="1143"/>
      <c r="C289" s="840"/>
      <c r="D289" s="841"/>
      <c r="E289" s="839"/>
      <c r="F289" s="821" t="s">
        <v>23</v>
      </c>
      <c r="G289" s="314">
        <v>2</v>
      </c>
      <c r="H289" s="739" t="s">
        <v>71</v>
      </c>
      <c r="I289" s="739">
        <v>244</v>
      </c>
      <c r="J289" s="740">
        <v>346</v>
      </c>
      <c r="K289" s="533" t="s">
        <v>519</v>
      </c>
      <c r="L289" s="1025">
        <v>2600</v>
      </c>
      <c r="M289" s="318"/>
      <c r="N289" s="318"/>
      <c r="O289" s="1052">
        <f t="shared" si="305"/>
        <v>2600</v>
      </c>
      <c r="P289" s="570"/>
      <c r="Q289" s="336">
        <v>0</v>
      </c>
      <c r="R289" s="559"/>
      <c r="S289" s="541">
        <v>0</v>
      </c>
      <c r="T289" s="559"/>
      <c r="U289" s="335"/>
      <c r="V289" s="320"/>
      <c r="W289" s="320"/>
      <c r="X289" s="320"/>
      <c r="Z289" s="336">
        <f t="shared" si="424"/>
        <v>0</v>
      </c>
      <c r="AA289" s="337">
        <f t="shared" si="424"/>
        <v>0</v>
      </c>
      <c r="AB289" s="338">
        <f t="shared" si="307"/>
        <v>0</v>
      </c>
      <c r="AC289" s="336">
        <f t="shared" si="425"/>
        <v>2600</v>
      </c>
      <c r="AD289" s="337">
        <f t="shared" si="425"/>
        <v>0</v>
      </c>
      <c r="AE289" s="338">
        <f t="shared" si="309"/>
        <v>2600</v>
      </c>
      <c r="AF289" s="336">
        <f t="shared" si="426"/>
        <v>0</v>
      </c>
      <c r="AG289" s="337">
        <f t="shared" si="426"/>
        <v>0</v>
      </c>
      <c r="AH289" s="338">
        <f t="shared" si="311"/>
        <v>0</v>
      </c>
      <c r="AI289" s="336">
        <f t="shared" si="427"/>
        <v>0</v>
      </c>
      <c r="AJ289" s="337">
        <f t="shared" si="427"/>
        <v>0</v>
      </c>
      <c r="AK289" s="338">
        <f t="shared" si="313"/>
        <v>0</v>
      </c>
      <c r="AL289" s="342"/>
      <c r="AM289" s="336">
        <f t="shared" si="428"/>
        <v>2600</v>
      </c>
      <c r="AN289" s="339">
        <f t="shared" si="428"/>
        <v>0</v>
      </c>
      <c r="AO289" s="340">
        <f t="shared" si="315"/>
        <v>2600</v>
      </c>
      <c r="AP289" s="336">
        <f t="shared" si="429"/>
        <v>2600</v>
      </c>
      <c r="AQ289" s="339">
        <f t="shared" si="429"/>
        <v>0</v>
      </c>
      <c r="AR289" s="340">
        <f t="shared" si="301"/>
        <v>2600</v>
      </c>
      <c r="AS289" s="341">
        <f t="shared" si="430"/>
        <v>2600</v>
      </c>
      <c r="AT289" s="339">
        <f t="shared" si="430"/>
        <v>0</v>
      </c>
      <c r="AU289" s="340">
        <f t="shared" si="303"/>
        <v>2600</v>
      </c>
      <c r="AV289" s="589">
        <f t="shared" si="331"/>
        <v>0</v>
      </c>
      <c r="AW289" s="343"/>
      <c r="AX289" s="344"/>
      <c r="AY289" s="345"/>
      <c r="AZ289" s="344"/>
      <c r="BA289" s="345"/>
      <c r="BB289" s="346"/>
      <c r="BC289" s="347"/>
      <c r="BD289" s="348"/>
      <c r="BE289" s="349">
        <v>2600</v>
      </c>
      <c r="BF289" s="348"/>
      <c r="BG289" s="349"/>
      <c r="BH289" s="350"/>
      <c r="BI289" s="351"/>
      <c r="BJ289" s="352"/>
      <c r="BK289" s="337"/>
      <c r="BL289" s="352"/>
      <c r="BM289" s="337"/>
      <c r="BN289" s="353"/>
      <c r="BO289" s="354"/>
      <c r="BP289" s="355"/>
      <c r="BQ289" s="356"/>
      <c r="BR289" s="355"/>
      <c r="BS289" s="356"/>
      <c r="BT289" s="357"/>
    </row>
    <row r="290" spans="1:72" s="313" customFormat="1" ht="38.25" outlineLevel="2">
      <c r="A290" s="287">
        <v>279</v>
      </c>
      <c r="B290" s="1143"/>
      <c r="C290" s="840"/>
      <c r="D290" s="841"/>
      <c r="E290" s="839"/>
      <c r="F290" s="821" t="s">
        <v>23</v>
      </c>
      <c r="G290" s="314">
        <v>2</v>
      </c>
      <c r="H290" s="739" t="s">
        <v>71</v>
      </c>
      <c r="I290" s="739">
        <v>244</v>
      </c>
      <c r="J290" s="740">
        <v>346</v>
      </c>
      <c r="K290" s="533" t="s">
        <v>521</v>
      </c>
      <c r="L290" s="1025">
        <v>5000</v>
      </c>
      <c r="M290" s="318"/>
      <c r="N290" s="318"/>
      <c r="O290" s="1052">
        <f t="shared" si="305"/>
        <v>5000</v>
      </c>
      <c r="P290" s="570"/>
      <c r="Q290" s="336">
        <v>0</v>
      </c>
      <c r="R290" s="559"/>
      <c r="S290" s="541">
        <v>0</v>
      </c>
      <c r="T290" s="559"/>
      <c r="U290" s="335"/>
      <c r="V290" s="596" t="s">
        <v>567</v>
      </c>
      <c r="W290" s="596" t="s">
        <v>568</v>
      </c>
      <c r="X290" s="320"/>
      <c r="Z290" s="336">
        <f t="shared" si="424"/>
        <v>2000</v>
      </c>
      <c r="AA290" s="337">
        <f t="shared" si="424"/>
        <v>2000</v>
      </c>
      <c r="AB290" s="338">
        <f t="shared" si="307"/>
        <v>0</v>
      </c>
      <c r="AC290" s="336">
        <f t="shared" si="425"/>
        <v>0</v>
      </c>
      <c r="AD290" s="337">
        <f t="shared" si="425"/>
        <v>0</v>
      </c>
      <c r="AE290" s="338">
        <f t="shared" si="309"/>
        <v>0</v>
      </c>
      <c r="AF290" s="336">
        <f t="shared" si="426"/>
        <v>2000</v>
      </c>
      <c r="AG290" s="337">
        <f t="shared" si="426"/>
        <v>0</v>
      </c>
      <c r="AH290" s="338">
        <f t="shared" si="311"/>
        <v>2000</v>
      </c>
      <c r="AI290" s="336">
        <f t="shared" si="427"/>
        <v>1000</v>
      </c>
      <c r="AJ290" s="337">
        <f t="shared" si="427"/>
        <v>0</v>
      </c>
      <c r="AK290" s="338">
        <f t="shared" si="313"/>
        <v>1000</v>
      </c>
      <c r="AL290" s="342"/>
      <c r="AM290" s="336">
        <f t="shared" si="428"/>
        <v>2000</v>
      </c>
      <c r="AN290" s="339">
        <f t="shared" si="428"/>
        <v>2000</v>
      </c>
      <c r="AO290" s="340">
        <f t="shared" si="315"/>
        <v>0</v>
      </c>
      <c r="AP290" s="336">
        <f t="shared" si="429"/>
        <v>4000</v>
      </c>
      <c r="AQ290" s="339">
        <f t="shared" si="429"/>
        <v>2000</v>
      </c>
      <c r="AR290" s="340">
        <f t="shared" si="301"/>
        <v>2000</v>
      </c>
      <c r="AS290" s="341">
        <f t="shared" si="430"/>
        <v>5000</v>
      </c>
      <c r="AT290" s="339">
        <f t="shared" si="430"/>
        <v>2000</v>
      </c>
      <c r="AU290" s="340">
        <f t="shared" si="303"/>
        <v>3000</v>
      </c>
      <c r="AV290" s="589">
        <f t="shared" si="331"/>
        <v>0</v>
      </c>
      <c r="AW290" s="343"/>
      <c r="AX290" s="344"/>
      <c r="AY290" s="345"/>
      <c r="AZ290" s="344"/>
      <c r="BA290" s="1133">
        <v>2000</v>
      </c>
      <c r="BB290" s="1153">
        <v>2000</v>
      </c>
      <c r="BC290" s="347"/>
      <c r="BD290" s="348"/>
      <c r="BE290" s="349"/>
      <c r="BF290" s="348"/>
      <c r="BG290" s="349"/>
      <c r="BH290" s="350"/>
      <c r="BI290" s="351"/>
      <c r="BJ290" s="352"/>
      <c r="BK290" s="337">
        <v>2000</v>
      </c>
      <c r="BL290" s="352"/>
      <c r="BM290" s="337"/>
      <c r="BN290" s="353"/>
      <c r="BO290" s="354"/>
      <c r="BP290" s="355"/>
      <c r="BQ290" s="356">
        <v>1000</v>
      </c>
      <c r="BR290" s="355"/>
      <c r="BS290" s="356"/>
      <c r="BT290" s="357"/>
    </row>
    <row r="291" spans="1:72" s="313" customFormat="1" ht="51" outlineLevel="2">
      <c r="A291" s="287">
        <v>280</v>
      </c>
      <c r="B291" s="1143"/>
      <c r="C291" s="840"/>
      <c r="D291" s="841"/>
      <c r="E291" s="839"/>
      <c r="F291" s="821" t="s">
        <v>23</v>
      </c>
      <c r="G291" s="314">
        <v>2</v>
      </c>
      <c r="H291" s="739" t="s">
        <v>71</v>
      </c>
      <c r="I291" s="739">
        <v>244</v>
      </c>
      <c r="J291" s="740">
        <v>346</v>
      </c>
      <c r="K291" s="533" t="s">
        <v>521</v>
      </c>
      <c r="L291" s="1025">
        <v>2000</v>
      </c>
      <c r="M291" s="318"/>
      <c r="N291" s="318"/>
      <c r="O291" s="1052">
        <f t="shared" si="305"/>
        <v>2000</v>
      </c>
      <c r="P291" s="570"/>
      <c r="Q291" s="336">
        <v>0</v>
      </c>
      <c r="R291" s="559"/>
      <c r="S291" s="541">
        <v>0</v>
      </c>
      <c r="T291" s="559"/>
      <c r="U291" s="335"/>
      <c r="V291" s="596" t="s">
        <v>609</v>
      </c>
      <c r="W291" s="596" t="s">
        <v>610</v>
      </c>
      <c r="X291" s="320"/>
      <c r="Z291" s="336">
        <f t="shared" si="424"/>
        <v>2000</v>
      </c>
      <c r="AA291" s="337">
        <f t="shared" si="424"/>
        <v>2000</v>
      </c>
      <c r="AB291" s="338">
        <f t="shared" si="307"/>
        <v>0</v>
      </c>
      <c r="AC291" s="336">
        <f t="shared" si="425"/>
        <v>0</v>
      </c>
      <c r="AD291" s="337">
        <f t="shared" si="425"/>
        <v>0</v>
      </c>
      <c r="AE291" s="338">
        <f t="shared" si="309"/>
        <v>0</v>
      </c>
      <c r="AF291" s="336">
        <f t="shared" si="426"/>
        <v>0</v>
      </c>
      <c r="AG291" s="337">
        <f t="shared" si="426"/>
        <v>0</v>
      </c>
      <c r="AH291" s="338">
        <f t="shared" si="311"/>
        <v>0</v>
      </c>
      <c r="AI291" s="336">
        <f t="shared" si="427"/>
        <v>0</v>
      </c>
      <c r="AJ291" s="337">
        <f t="shared" si="427"/>
        <v>0</v>
      </c>
      <c r="AK291" s="338">
        <f t="shared" si="313"/>
        <v>0</v>
      </c>
      <c r="AL291" s="342"/>
      <c r="AM291" s="336">
        <f t="shared" si="428"/>
        <v>2000</v>
      </c>
      <c r="AN291" s="339">
        <f t="shared" si="428"/>
        <v>2000</v>
      </c>
      <c r="AO291" s="340">
        <f t="shared" si="315"/>
        <v>0</v>
      </c>
      <c r="AP291" s="336">
        <f t="shared" si="429"/>
        <v>2000</v>
      </c>
      <c r="AQ291" s="339">
        <f t="shared" si="429"/>
        <v>2000</v>
      </c>
      <c r="AR291" s="340">
        <f t="shared" si="301"/>
        <v>0</v>
      </c>
      <c r="AS291" s="341">
        <f t="shared" si="430"/>
        <v>2000</v>
      </c>
      <c r="AT291" s="339">
        <f t="shared" si="430"/>
        <v>2000</v>
      </c>
      <c r="AU291" s="340">
        <f t="shared" si="303"/>
        <v>0</v>
      </c>
      <c r="AV291" s="589">
        <f t="shared" si="331"/>
        <v>0</v>
      </c>
      <c r="AW291" s="343"/>
      <c r="AX291" s="344"/>
      <c r="AY291" s="345"/>
      <c r="AZ291" s="344"/>
      <c r="BA291" s="1133">
        <v>2000</v>
      </c>
      <c r="BB291" s="1153">
        <v>2000</v>
      </c>
      <c r="BC291" s="347"/>
      <c r="BD291" s="348"/>
      <c r="BE291" s="349"/>
      <c r="BF291" s="348"/>
      <c r="BG291" s="349"/>
      <c r="BH291" s="350"/>
      <c r="BI291" s="351"/>
      <c r="BJ291" s="352"/>
      <c r="BK291" s="337"/>
      <c r="BL291" s="352"/>
      <c r="BM291" s="337"/>
      <c r="BN291" s="353"/>
      <c r="BO291" s="354"/>
      <c r="BP291" s="355"/>
      <c r="BQ291" s="356"/>
      <c r="BR291" s="355"/>
      <c r="BS291" s="356"/>
      <c r="BT291" s="357"/>
    </row>
    <row r="292" spans="1:72" s="313" customFormat="1" ht="38.25" outlineLevel="2">
      <c r="A292" s="287">
        <v>281</v>
      </c>
      <c r="B292" s="1143"/>
      <c r="C292" s="840"/>
      <c r="D292" s="841"/>
      <c r="E292" s="839"/>
      <c r="F292" s="821" t="s">
        <v>23</v>
      </c>
      <c r="G292" s="314">
        <v>2</v>
      </c>
      <c r="H292" s="739" t="s">
        <v>71</v>
      </c>
      <c r="I292" s="739">
        <v>244</v>
      </c>
      <c r="J292" s="740">
        <v>346</v>
      </c>
      <c r="K292" s="533" t="s">
        <v>705</v>
      </c>
      <c r="L292" s="1025">
        <f>1000+201</f>
        <v>1201</v>
      </c>
      <c r="M292" s="318"/>
      <c r="N292" s="318"/>
      <c r="O292" s="1052">
        <f>L292+N292</f>
        <v>1201</v>
      </c>
      <c r="P292" s="570"/>
      <c r="Q292" s="336">
        <v>0</v>
      </c>
      <c r="R292" s="559"/>
      <c r="S292" s="541">
        <v>0</v>
      </c>
      <c r="T292" s="559"/>
      <c r="U292" s="335"/>
      <c r="V292" s="596" t="s">
        <v>706</v>
      </c>
      <c r="W292" s="596" t="s">
        <v>707</v>
      </c>
      <c r="X292" s="320"/>
      <c r="Z292" s="336">
        <f t="shared" si="424"/>
        <v>1201</v>
      </c>
      <c r="AA292" s="337">
        <f t="shared" si="424"/>
        <v>1201</v>
      </c>
      <c r="AB292" s="338">
        <f t="shared" si="307"/>
        <v>0</v>
      </c>
      <c r="AC292" s="336">
        <f t="shared" si="425"/>
        <v>0</v>
      </c>
      <c r="AD292" s="337">
        <f t="shared" si="425"/>
        <v>0</v>
      </c>
      <c r="AE292" s="338">
        <f t="shared" si="309"/>
        <v>0</v>
      </c>
      <c r="AF292" s="336">
        <f t="shared" si="426"/>
        <v>0</v>
      </c>
      <c r="AG292" s="337">
        <f t="shared" si="426"/>
        <v>0</v>
      </c>
      <c r="AH292" s="338">
        <f t="shared" si="311"/>
        <v>0</v>
      </c>
      <c r="AI292" s="336">
        <f t="shared" si="427"/>
        <v>0</v>
      </c>
      <c r="AJ292" s="337">
        <f t="shared" si="427"/>
        <v>0</v>
      </c>
      <c r="AK292" s="338">
        <f t="shared" si="313"/>
        <v>0</v>
      </c>
      <c r="AL292" s="342"/>
      <c r="AM292" s="336">
        <f t="shared" si="428"/>
        <v>1201</v>
      </c>
      <c r="AN292" s="339">
        <f t="shared" si="428"/>
        <v>1201</v>
      </c>
      <c r="AO292" s="340">
        <f t="shared" si="315"/>
        <v>0</v>
      </c>
      <c r="AP292" s="336">
        <f t="shared" si="429"/>
        <v>1201</v>
      </c>
      <c r="AQ292" s="339">
        <f t="shared" si="429"/>
        <v>1201</v>
      </c>
      <c r="AR292" s="340">
        <f t="shared" si="301"/>
        <v>0</v>
      </c>
      <c r="AS292" s="341">
        <f t="shared" si="430"/>
        <v>1201</v>
      </c>
      <c r="AT292" s="339">
        <f t="shared" si="430"/>
        <v>1201</v>
      </c>
      <c r="AU292" s="340">
        <f t="shared" si="303"/>
        <v>0</v>
      </c>
      <c r="AV292" s="589">
        <f>L292-AS292</f>
        <v>0</v>
      </c>
      <c r="AW292" s="343"/>
      <c r="AX292" s="344"/>
      <c r="AY292" s="1133">
        <v>1201</v>
      </c>
      <c r="AZ292" s="1152">
        <v>1201</v>
      </c>
      <c r="BA292" s="345"/>
      <c r="BB292" s="346"/>
      <c r="BC292" s="347"/>
      <c r="BD292" s="348"/>
      <c r="BE292" s="349"/>
      <c r="BF292" s="348"/>
      <c r="BG292" s="349"/>
      <c r="BH292" s="350"/>
      <c r="BI292" s="351"/>
      <c r="BJ292" s="352"/>
      <c r="BK292" s="337"/>
      <c r="BL292" s="352"/>
      <c r="BM292" s="337"/>
      <c r="BN292" s="353"/>
      <c r="BO292" s="354"/>
      <c r="BP292" s="355"/>
      <c r="BQ292" s="356"/>
      <c r="BR292" s="355"/>
      <c r="BS292" s="356"/>
      <c r="BT292" s="357"/>
    </row>
    <row r="293" spans="1:72" s="313" customFormat="1" ht="38.25" outlineLevel="2">
      <c r="A293" s="287">
        <v>282</v>
      </c>
      <c r="B293" s="1143"/>
      <c r="C293" s="840"/>
      <c r="D293" s="841"/>
      <c r="E293" s="839"/>
      <c r="F293" s="821" t="s">
        <v>23</v>
      </c>
      <c r="G293" s="314">
        <v>2</v>
      </c>
      <c r="H293" s="739" t="s">
        <v>71</v>
      </c>
      <c r="I293" s="739">
        <v>244</v>
      </c>
      <c r="J293" s="740">
        <v>346</v>
      </c>
      <c r="K293" s="533" t="s">
        <v>673</v>
      </c>
      <c r="L293" s="1025">
        <v>38115</v>
      </c>
      <c r="M293" s="318"/>
      <c r="N293" s="318"/>
      <c r="O293" s="1052">
        <f>L293+N293</f>
        <v>38115</v>
      </c>
      <c r="P293" s="570"/>
      <c r="Q293" s="336">
        <v>0</v>
      </c>
      <c r="R293" s="559"/>
      <c r="S293" s="541">
        <v>0</v>
      </c>
      <c r="T293" s="559"/>
      <c r="U293" s="335"/>
      <c r="V293" s="596" t="s">
        <v>674</v>
      </c>
      <c r="W293" s="596" t="s">
        <v>675</v>
      </c>
      <c r="X293" s="596" t="s">
        <v>676</v>
      </c>
      <c r="Z293" s="336">
        <f t="shared" si="424"/>
        <v>0</v>
      </c>
      <c r="AA293" s="337">
        <f t="shared" si="424"/>
        <v>0</v>
      </c>
      <c r="AB293" s="338">
        <f t="shared" si="307"/>
        <v>0</v>
      </c>
      <c r="AC293" s="336">
        <f t="shared" si="425"/>
        <v>38115</v>
      </c>
      <c r="AD293" s="337">
        <f t="shared" si="425"/>
        <v>0</v>
      </c>
      <c r="AE293" s="338">
        <f t="shared" si="309"/>
        <v>38115</v>
      </c>
      <c r="AF293" s="336">
        <f t="shared" si="426"/>
        <v>0</v>
      </c>
      <c r="AG293" s="337">
        <f t="shared" si="426"/>
        <v>0</v>
      </c>
      <c r="AH293" s="338">
        <f t="shared" si="311"/>
        <v>0</v>
      </c>
      <c r="AI293" s="336">
        <f t="shared" si="427"/>
        <v>0</v>
      </c>
      <c r="AJ293" s="337">
        <f t="shared" si="427"/>
        <v>0</v>
      </c>
      <c r="AK293" s="338">
        <f t="shared" si="313"/>
        <v>0</v>
      </c>
      <c r="AL293" s="342"/>
      <c r="AM293" s="336">
        <f t="shared" si="428"/>
        <v>38115</v>
      </c>
      <c r="AN293" s="339">
        <f t="shared" si="428"/>
        <v>0</v>
      </c>
      <c r="AO293" s="340">
        <f t="shared" si="315"/>
        <v>38115</v>
      </c>
      <c r="AP293" s="336">
        <f t="shared" si="429"/>
        <v>38115</v>
      </c>
      <c r="AQ293" s="339">
        <f t="shared" si="429"/>
        <v>0</v>
      </c>
      <c r="AR293" s="340">
        <f t="shared" si="301"/>
        <v>38115</v>
      </c>
      <c r="AS293" s="341">
        <f t="shared" si="430"/>
        <v>38115</v>
      </c>
      <c r="AT293" s="339">
        <f t="shared" si="430"/>
        <v>0</v>
      </c>
      <c r="AU293" s="340">
        <f t="shared" si="303"/>
        <v>38115</v>
      </c>
      <c r="AV293" s="589">
        <f>L293-AS293</f>
        <v>0</v>
      </c>
      <c r="AW293" s="343"/>
      <c r="AX293" s="344"/>
      <c r="AY293" s="345"/>
      <c r="AZ293" s="344"/>
      <c r="BA293" s="345"/>
      <c r="BB293" s="346"/>
      <c r="BC293" s="1134"/>
      <c r="BD293" s="348"/>
      <c r="BE293" s="349">
        <v>38115</v>
      </c>
      <c r="BF293" s="348"/>
      <c r="BG293" s="349"/>
      <c r="BH293" s="350"/>
      <c r="BI293" s="351"/>
      <c r="BJ293" s="352"/>
      <c r="BK293" s="337"/>
      <c r="BL293" s="352"/>
      <c r="BM293" s="337"/>
      <c r="BN293" s="353"/>
      <c r="BO293" s="354"/>
      <c r="BP293" s="355"/>
      <c r="BQ293" s="356"/>
      <c r="BR293" s="355"/>
      <c r="BS293" s="356"/>
      <c r="BT293" s="357"/>
    </row>
    <row r="294" spans="1:72" s="313" customFormat="1" ht="25.5" outlineLevel="2">
      <c r="A294" s="287">
        <v>283</v>
      </c>
      <c r="B294" s="1143"/>
      <c r="C294" s="840"/>
      <c r="D294" s="841"/>
      <c r="E294" s="839"/>
      <c r="F294" s="821" t="s">
        <v>23</v>
      </c>
      <c r="G294" s="314">
        <v>2</v>
      </c>
      <c r="H294" s="739" t="s">
        <v>71</v>
      </c>
      <c r="I294" s="739">
        <v>244</v>
      </c>
      <c r="J294" s="740">
        <v>346</v>
      </c>
      <c r="K294" s="533" t="s">
        <v>695</v>
      </c>
      <c r="L294" s="1025">
        <v>8170</v>
      </c>
      <c r="M294" s="318"/>
      <c r="N294" s="318"/>
      <c r="O294" s="1052">
        <f t="shared" ref="O294:O296" si="475">L294+N294</f>
        <v>8170</v>
      </c>
      <c r="P294" s="570"/>
      <c r="Q294" s="336">
        <v>0</v>
      </c>
      <c r="R294" s="559"/>
      <c r="S294" s="541">
        <v>0</v>
      </c>
      <c r="T294" s="559"/>
      <c r="U294" s="335"/>
      <c r="V294" s="596" t="s">
        <v>579</v>
      </c>
      <c r="W294" s="596" t="s">
        <v>821</v>
      </c>
      <c r="X294" s="388" t="s">
        <v>822</v>
      </c>
      <c r="Z294" s="336">
        <f t="shared" si="424"/>
        <v>0</v>
      </c>
      <c r="AA294" s="337">
        <f t="shared" si="424"/>
        <v>0</v>
      </c>
      <c r="AB294" s="338">
        <f t="shared" si="307"/>
        <v>0</v>
      </c>
      <c r="AC294" s="336">
        <f t="shared" si="425"/>
        <v>8170</v>
      </c>
      <c r="AD294" s="337">
        <f t="shared" si="425"/>
        <v>8170</v>
      </c>
      <c r="AE294" s="338">
        <f t="shared" si="309"/>
        <v>0</v>
      </c>
      <c r="AF294" s="336">
        <f t="shared" si="426"/>
        <v>0</v>
      </c>
      <c r="AG294" s="337">
        <f t="shared" si="426"/>
        <v>0</v>
      </c>
      <c r="AH294" s="338">
        <f t="shared" si="311"/>
        <v>0</v>
      </c>
      <c r="AI294" s="336">
        <f t="shared" si="427"/>
        <v>0</v>
      </c>
      <c r="AJ294" s="337">
        <f t="shared" si="427"/>
        <v>0</v>
      </c>
      <c r="AK294" s="338">
        <f t="shared" si="313"/>
        <v>0</v>
      </c>
      <c r="AL294" s="342"/>
      <c r="AM294" s="336">
        <f t="shared" si="428"/>
        <v>8170</v>
      </c>
      <c r="AN294" s="339">
        <f t="shared" si="428"/>
        <v>8170</v>
      </c>
      <c r="AO294" s="340">
        <f t="shared" si="315"/>
        <v>0</v>
      </c>
      <c r="AP294" s="336">
        <f t="shared" si="429"/>
        <v>8170</v>
      </c>
      <c r="AQ294" s="339">
        <f t="shared" si="429"/>
        <v>8170</v>
      </c>
      <c r="AR294" s="340">
        <f t="shared" si="301"/>
        <v>0</v>
      </c>
      <c r="AS294" s="341">
        <f t="shared" si="430"/>
        <v>8170</v>
      </c>
      <c r="AT294" s="339">
        <f t="shared" si="430"/>
        <v>8170</v>
      </c>
      <c r="AU294" s="340">
        <f t="shared" si="303"/>
        <v>0</v>
      </c>
      <c r="AV294" s="589">
        <f t="shared" ref="AV294:AV296" si="476">L294-AS294</f>
        <v>0</v>
      </c>
      <c r="AW294" s="343"/>
      <c r="AX294" s="344"/>
      <c r="AY294" s="345"/>
      <c r="AZ294" s="344"/>
      <c r="BA294" s="345"/>
      <c r="BB294" s="346"/>
      <c r="BC294" s="1134">
        <v>8170</v>
      </c>
      <c r="BD294" s="1140">
        <v>8170</v>
      </c>
      <c r="BE294" s="349"/>
      <c r="BF294" s="348"/>
      <c r="BG294" s="349"/>
      <c r="BH294" s="350"/>
      <c r="BI294" s="351"/>
      <c r="BJ294" s="352"/>
      <c r="BK294" s="337"/>
      <c r="BL294" s="352"/>
      <c r="BM294" s="337"/>
      <c r="BN294" s="353"/>
      <c r="BO294" s="354"/>
      <c r="BP294" s="355"/>
      <c r="BQ294" s="356"/>
      <c r="BR294" s="355"/>
      <c r="BS294" s="356"/>
      <c r="BT294" s="357"/>
    </row>
    <row r="295" spans="1:72" s="313" customFormat="1" ht="38.25" outlineLevel="2">
      <c r="A295" s="287">
        <v>284</v>
      </c>
      <c r="B295" s="1143"/>
      <c r="C295" s="840"/>
      <c r="D295" s="841"/>
      <c r="E295" s="839"/>
      <c r="F295" s="821" t="s">
        <v>23</v>
      </c>
      <c r="G295" s="314">
        <v>2</v>
      </c>
      <c r="H295" s="739" t="s">
        <v>71</v>
      </c>
      <c r="I295" s="739">
        <v>244</v>
      </c>
      <c r="J295" s="740">
        <v>346</v>
      </c>
      <c r="K295" s="533" t="s">
        <v>712</v>
      </c>
      <c r="L295" s="1025">
        <v>570</v>
      </c>
      <c r="M295" s="318"/>
      <c r="N295" s="318"/>
      <c r="O295" s="1052">
        <f t="shared" si="475"/>
        <v>570</v>
      </c>
      <c r="P295" s="570"/>
      <c r="Q295" s="336">
        <v>0</v>
      </c>
      <c r="R295" s="559"/>
      <c r="S295" s="541">
        <v>0</v>
      </c>
      <c r="T295" s="559"/>
      <c r="U295" s="335"/>
      <c r="V295" s="596" t="s">
        <v>640</v>
      </c>
      <c r="W295" s="596" t="s">
        <v>713</v>
      </c>
      <c r="X295" s="320"/>
      <c r="Z295" s="336">
        <f t="shared" si="424"/>
        <v>0</v>
      </c>
      <c r="AA295" s="337">
        <f t="shared" si="424"/>
        <v>0</v>
      </c>
      <c r="AB295" s="338">
        <f t="shared" si="307"/>
        <v>0</v>
      </c>
      <c r="AC295" s="336">
        <f t="shared" si="425"/>
        <v>570</v>
      </c>
      <c r="AD295" s="337">
        <f t="shared" si="425"/>
        <v>570</v>
      </c>
      <c r="AE295" s="338">
        <f t="shared" si="309"/>
        <v>0</v>
      </c>
      <c r="AF295" s="336">
        <f t="shared" si="426"/>
        <v>0</v>
      </c>
      <c r="AG295" s="337">
        <f t="shared" si="426"/>
        <v>0</v>
      </c>
      <c r="AH295" s="338">
        <f t="shared" si="311"/>
        <v>0</v>
      </c>
      <c r="AI295" s="336">
        <f t="shared" si="427"/>
        <v>0</v>
      </c>
      <c r="AJ295" s="337">
        <f t="shared" si="427"/>
        <v>0</v>
      </c>
      <c r="AK295" s="338">
        <f t="shared" si="313"/>
        <v>0</v>
      </c>
      <c r="AL295" s="342"/>
      <c r="AM295" s="336">
        <f t="shared" si="428"/>
        <v>570</v>
      </c>
      <c r="AN295" s="339">
        <f t="shared" si="428"/>
        <v>570</v>
      </c>
      <c r="AO295" s="340">
        <f t="shared" si="315"/>
        <v>0</v>
      </c>
      <c r="AP295" s="336">
        <f t="shared" si="429"/>
        <v>570</v>
      </c>
      <c r="AQ295" s="339">
        <f t="shared" si="429"/>
        <v>570</v>
      </c>
      <c r="AR295" s="340">
        <f t="shared" si="301"/>
        <v>0</v>
      </c>
      <c r="AS295" s="341">
        <f t="shared" si="430"/>
        <v>570</v>
      </c>
      <c r="AT295" s="339">
        <f t="shared" si="430"/>
        <v>570</v>
      </c>
      <c r="AU295" s="340">
        <f t="shared" si="303"/>
        <v>0</v>
      </c>
      <c r="AV295" s="589">
        <f t="shared" si="476"/>
        <v>0</v>
      </c>
      <c r="AW295" s="343"/>
      <c r="AX295" s="344"/>
      <c r="AY295" s="345"/>
      <c r="AZ295" s="344"/>
      <c r="BA295" s="345"/>
      <c r="BB295" s="346"/>
      <c r="BC295" s="1134">
        <v>570</v>
      </c>
      <c r="BD295" s="1140">
        <v>570</v>
      </c>
      <c r="BE295" s="349"/>
      <c r="BF295" s="348"/>
      <c r="BG295" s="349"/>
      <c r="BH295" s="350"/>
      <c r="BI295" s="351"/>
      <c r="BJ295" s="352"/>
      <c r="BK295" s="337"/>
      <c r="BL295" s="352"/>
      <c r="BM295" s="337"/>
      <c r="BN295" s="353"/>
      <c r="BO295" s="354"/>
      <c r="BP295" s="355"/>
      <c r="BQ295" s="356"/>
      <c r="BR295" s="355"/>
      <c r="BS295" s="356"/>
      <c r="BT295" s="357"/>
    </row>
    <row r="296" spans="1:72" s="313" customFormat="1" ht="38.25" outlineLevel="2">
      <c r="A296" s="287">
        <v>285</v>
      </c>
      <c r="B296" s="1143"/>
      <c r="C296" s="840"/>
      <c r="D296" s="841"/>
      <c r="E296" s="839"/>
      <c r="F296" s="821" t="s">
        <v>23</v>
      </c>
      <c r="G296" s="314">
        <v>2</v>
      </c>
      <c r="H296" s="739" t="s">
        <v>71</v>
      </c>
      <c r="I296" s="739">
        <v>244</v>
      </c>
      <c r="J296" s="740">
        <v>346</v>
      </c>
      <c r="K296" s="533" t="s">
        <v>749</v>
      </c>
      <c r="L296" s="1025">
        <v>4101</v>
      </c>
      <c r="M296" s="318"/>
      <c r="N296" s="318"/>
      <c r="O296" s="1052">
        <f t="shared" si="475"/>
        <v>4101</v>
      </c>
      <c r="P296" s="570"/>
      <c r="Q296" s="336">
        <v>0</v>
      </c>
      <c r="R296" s="559"/>
      <c r="S296" s="541">
        <v>0</v>
      </c>
      <c r="T296" s="559"/>
      <c r="U296" s="335"/>
      <c r="V296" s="320" t="s">
        <v>706</v>
      </c>
      <c r="W296" s="320" t="s">
        <v>750</v>
      </c>
      <c r="X296" s="320"/>
      <c r="Z296" s="336">
        <f t="shared" si="424"/>
        <v>0</v>
      </c>
      <c r="AA296" s="337">
        <f t="shared" si="424"/>
        <v>0</v>
      </c>
      <c r="AB296" s="338">
        <f t="shared" si="307"/>
        <v>0</v>
      </c>
      <c r="AC296" s="336">
        <f t="shared" si="425"/>
        <v>4101</v>
      </c>
      <c r="AD296" s="337">
        <f t="shared" si="425"/>
        <v>0</v>
      </c>
      <c r="AE296" s="338">
        <f t="shared" si="309"/>
        <v>4101</v>
      </c>
      <c r="AF296" s="336">
        <f t="shared" si="426"/>
        <v>0</v>
      </c>
      <c r="AG296" s="337">
        <f t="shared" si="426"/>
        <v>0</v>
      </c>
      <c r="AH296" s="338">
        <f t="shared" si="311"/>
        <v>0</v>
      </c>
      <c r="AI296" s="336">
        <f t="shared" si="427"/>
        <v>0</v>
      </c>
      <c r="AJ296" s="337">
        <f t="shared" si="427"/>
        <v>0</v>
      </c>
      <c r="AK296" s="338">
        <f t="shared" si="313"/>
        <v>0</v>
      </c>
      <c r="AL296" s="342"/>
      <c r="AM296" s="336">
        <f t="shared" si="428"/>
        <v>4101</v>
      </c>
      <c r="AN296" s="339">
        <f t="shared" si="428"/>
        <v>0</v>
      </c>
      <c r="AO296" s="340">
        <f t="shared" si="315"/>
        <v>4101</v>
      </c>
      <c r="AP296" s="336">
        <f t="shared" si="429"/>
        <v>4101</v>
      </c>
      <c r="AQ296" s="339">
        <f t="shared" si="429"/>
        <v>0</v>
      </c>
      <c r="AR296" s="340">
        <f t="shared" si="301"/>
        <v>4101</v>
      </c>
      <c r="AS296" s="341">
        <f t="shared" si="430"/>
        <v>4101</v>
      </c>
      <c r="AT296" s="339">
        <f t="shared" si="430"/>
        <v>0</v>
      </c>
      <c r="AU296" s="340">
        <f t="shared" si="303"/>
        <v>4101</v>
      </c>
      <c r="AV296" s="589">
        <f t="shared" si="476"/>
        <v>0</v>
      </c>
      <c r="AW296" s="343"/>
      <c r="AX296" s="344"/>
      <c r="AY296" s="345"/>
      <c r="AZ296" s="344"/>
      <c r="BA296" s="345"/>
      <c r="BB296" s="346"/>
      <c r="BC296" s="1134"/>
      <c r="BD296" s="348"/>
      <c r="BE296" s="349">
        <v>4101</v>
      </c>
      <c r="BF296" s="348"/>
      <c r="BG296" s="349"/>
      <c r="BH296" s="350"/>
      <c r="BI296" s="351"/>
      <c r="BJ296" s="352"/>
      <c r="BK296" s="337"/>
      <c r="BL296" s="352"/>
      <c r="BM296" s="337"/>
      <c r="BN296" s="353"/>
      <c r="BO296" s="354"/>
      <c r="BP296" s="355"/>
      <c r="BQ296" s="356"/>
      <c r="BR296" s="355"/>
      <c r="BS296" s="356"/>
      <c r="BT296" s="357"/>
    </row>
    <row r="297" spans="1:72" s="313" customFormat="1" ht="25.5" outlineLevel="2">
      <c r="A297" s="287">
        <v>286</v>
      </c>
      <c r="B297" s="1143" t="s">
        <v>820</v>
      </c>
      <c r="C297" s="840"/>
      <c r="D297" s="841"/>
      <c r="E297" s="839"/>
      <c r="F297" s="821" t="s">
        <v>23</v>
      </c>
      <c r="G297" s="314">
        <v>2</v>
      </c>
      <c r="H297" s="739" t="s">
        <v>71</v>
      </c>
      <c r="I297" s="739">
        <v>244</v>
      </c>
      <c r="J297" s="740">
        <v>346</v>
      </c>
      <c r="K297" s="533" t="s">
        <v>819</v>
      </c>
      <c r="L297" s="1025">
        <v>1109</v>
      </c>
      <c r="M297" s="318"/>
      <c r="N297" s="318"/>
      <c r="O297" s="1052">
        <f t="shared" ref="O297:O298" si="477">L297+N297</f>
        <v>1109</v>
      </c>
      <c r="P297" s="570"/>
      <c r="Q297" s="336">
        <v>0</v>
      </c>
      <c r="R297" s="559"/>
      <c r="S297" s="541">
        <v>0</v>
      </c>
      <c r="T297" s="559"/>
      <c r="U297" s="335"/>
      <c r="V297" s="320" t="s">
        <v>818</v>
      </c>
      <c r="W297" s="320" t="s">
        <v>750</v>
      </c>
      <c r="X297" s="320"/>
      <c r="Z297" s="336">
        <f t="shared" ref="Z297:Z298" si="478">AW297+AY297+BA297</f>
        <v>0</v>
      </c>
      <c r="AA297" s="337">
        <f t="shared" ref="AA297:AA298" si="479">AX297+AZ297+BB297</f>
        <v>0</v>
      </c>
      <c r="AB297" s="338">
        <f t="shared" ref="AB297:AB298" si="480">Z297-AA297</f>
        <v>0</v>
      </c>
      <c r="AC297" s="336">
        <f t="shared" ref="AC297:AC298" si="481">BC297+BE297+BG297</f>
        <v>0</v>
      </c>
      <c r="AD297" s="337">
        <f t="shared" ref="AD297:AD298" si="482">BD297+BF297+BH297</f>
        <v>0</v>
      </c>
      <c r="AE297" s="338">
        <f t="shared" ref="AE297:AE298" si="483">AC297-AD297</f>
        <v>0</v>
      </c>
      <c r="AF297" s="336">
        <f t="shared" ref="AF297:AF298" si="484">BI297+BK297+BM297</f>
        <v>0</v>
      </c>
      <c r="AG297" s="337">
        <f t="shared" ref="AG297:AG298" si="485">BJ297+BL297+BN297</f>
        <v>0</v>
      </c>
      <c r="AH297" s="338">
        <f t="shared" ref="AH297:AH298" si="486">AF297-AG297</f>
        <v>0</v>
      </c>
      <c r="AI297" s="336">
        <f t="shared" ref="AI297:AI298" si="487">BO297+BQ297+BS297</f>
        <v>0</v>
      </c>
      <c r="AJ297" s="337">
        <f t="shared" ref="AJ297:AJ298" si="488">BP297+BR297+BT297</f>
        <v>0</v>
      </c>
      <c r="AK297" s="338">
        <f t="shared" ref="AK297:AK298" si="489">AI297-AJ297</f>
        <v>0</v>
      </c>
      <c r="AL297" s="342"/>
      <c r="AM297" s="336">
        <f t="shared" ref="AM297:AM298" si="490">Z297+AC297</f>
        <v>0</v>
      </c>
      <c r="AN297" s="339">
        <f t="shared" ref="AN297:AN298" si="491">AA297+AD297</f>
        <v>0</v>
      </c>
      <c r="AO297" s="340">
        <f t="shared" ref="AO297:AO298" si="492">AM297-AN297</f>
        <v>0</v>
      </c>
      <c r="AP297" s="336">
        <f t="shared" ref="AP297:AP298" si="493">Z297+AC297+AF297</f>
        <v>0</v>
      </c>
      <c r="AQ297" s="339">
        <f t="shared" ref="AQ297:AQ298" si="494">AA297+AD297+AG297</f>
        <v>0</v>
      </c>
      <c r="AR297" s="340">
        <f t="shared" ref="AR297:AR298" si="495">AP297-AQ297</f>
        <v>0</v>
      </c>
      <c r="AS297" s="341">
        <f t="shared" ref="AS297:AS298" si="496">Z297+AC297+AF297+AI297</f>
        <v>0</v>
      </c>
      <c r="AT297" s="339">
        <f t="shared" ref="AT297:AT298" si="497">AA297+AD297+AG297+AJ297</f>
        <v>0</v>
      </c>
      <c r="AU297" s="340">
        <f t="shared" ref="AU297:AU298" si="498">AS297-AT297</f>
        <v>0</v>
      </c>
      <c r="AV297" s="589">
        <f t="shared" ref="AV297:AV298" si="499">L297-AS297</f>
        <v>1109</v>
      </c>
      <c r="AW297" s="343"/>
      <c r="AX297" s="344"/>
      <c r="AY297" s="345"/>
      <c r="AZ297" s="344"/>
      <c r="BA297" s="345"/>
      <c r="BB297" s="346"/>
      <c r="BC297" s="1134"/>
      <c r="BD297" s="348"/>
      <c r="BE297" s="349"/>
      <c r="BF297" s="348"/>
      <c r="BG297" s="349"/>
      <c r="BH297" s="350"/>
      <c r="BI297" s="351"/>
      <c r="BJ297" s="352"/>
      <c r="BK297" s="337"/>
      <c r="BL297" s="352"/>
      <c r="BM297" s="337"/>
      <c r="BN297" s="353"/>
      <c r="BO297" s="354"/>
      <c r="BP297" s="355"/>
      <c r="BQ297" s="356"/>
      <c r="BR297" s="355"/>
      <c r="BS297" s="356"/>
      <c r="BT297" s="357"/>
    </row>
    <row r="298" spans="1:72" s="313" customFormat="1" ht="38.25" outlineLevel="2">
      <c r="A298" s="287">
        <v>283</v>
      </c>
      <c r="B298" s="1143" t="s">
        <v>867</v>
      </c>
      <c r="C298" s="840"/>
      <c r="D298" s="841"/>
      <c r="E298" s="839"/>
      <c r="F298" s="821" t="s">
        <v>23</v>
      </c>
      <c r="G298" s="314">
        <v>2</v>
      </c>
      <c r="H298" s="739" t="s">
        <v>71</v>
      </c>
      <c r="I298" s="739">
        <v>244</v>
      </c>
      <c r="J298" s="740">
        <v>346</v>
      </c>
      <c r="K298" s="533" t="s">
        <v>864</v>
      </c>
      <c r="L298" s="1025">
        <v>2200</v>
      </c>
      <c r="M298" s="318"/>
      <c r="N298" s="318"/>
      <c r="O298" s="1052">
        <f t="shared" si="477"/>
        <v>2200</v>
      </c>
      <c r="P298" s="570"/>
      <c r="Q298" s="336">
        <v>0</v>
      </c>
      <c r="R298" s="559"/>
      <c r="S298" s="541">
        <v>0</v>
      </c>
      <c r="T298" s="559"/>
      <c r="U298" s="335"/>
      <c r="V298" s="596" t="s">
        <v>865</v>
      </c>
      <c r="W298" s="596" t="s">
        <v>866</v>
      </c>
      <c r="X298" s="388"/>
      <c r="Z298" s="336">
        <f t="shared" si="478"/>
        <v>0</v>
      </c>
      <c r="AA298" s="337">
        <f t="shared" si="479"/>
        <v>0</v>
      </c>
      <c r="AB298" s="338">
        <f t="shared" si="480"/>
        <v>0</v>
      </c>
      <c r="AC298" s="336">
        <f t="shared" si="481"/>
        <v>2200</v>
      </c>
      <c r="AD298" s="337">
        <f t="shared" si="482"/>
        <v>0</v>
      </c>
      <c r="AE298" s="338">
        <f t="shared" si="483"/>
        <v>2200</v>
      </c>
      <c r="AF298" s="336">
        <f t="shared" si="484"/>
        <v>0</v>
      </c>
      <c r="AG298" s="337">
        <f t="shared" si="485"/>
        <v>0</v>
      </c>
      <c r="AH298" s="338">
        <f t="shared" si="486"/>
        <v>0</v>
      </c>
      <c r="AI298" s="336">
        <f t="shared" si="487"/>
        <v>0</v>
      </c>
      <c r="AJ298" s="337">
        <f t="shared" si="488"/>
        <v>0</v>
      </c>
      <c r="AK298" s="338">
        <f t="shared" si="489"/>
        <v>0</v>
      </c>
      <c r="AL298" s="342"/>
      <c r="AM298" s="336">
        <f t="shared" si="490"/>
        <v>2200</v>
      </c>
      <c r="AN298" s="339">
        <f t="shared" si="491"/>
        <v>0</v>
      </c>
      <c r="AO298" s="340">
        <f t="shared" si="492"/>
        <v>2200</v>
      </c>
      <c r="AP298" s="336">
        <f t="shared" si="493"/>
        <v>2200</v>
      </c>
      <c r="AQ298" s="339">
        <f t="shared" si="494"/>
        <v>0</v>
      </c>
      <c r="AR298" s="340">
        <f t="shared" si="495"/>
        <v>2200</v>
      </c>
      <c r="AS298" s="341">
        <f t="shared" si="496"/>
        <v>2200</v>
      </c>
      <c r="AT298" s="339">
        <f t="shared" si="497"/>
        <v>0</v>
      </c>
      <c r="AU298" s="340">
        <f t="shared" si="498"/>
        <v>2200</v>
      </c>
      <c r="AV298" s="589">
        <f t="shared" si="499"/>
        <v>0</v>
      </c>
      <c r="AW298" s="343"/>
      <c r="AX298" s="344"/>
      <c r="AY298" s="345"/>
      <c r="AZ298" s="344"/>
      <c r="BA298" s="345"/>
      <c r="BB298" s="346"/>
      <c r="BC298" s="1134"/>
      <c r="BD298" s="1140"/>
      <c r="BE298" s="349"/>
      <c r="BF298" s="348"/>
      <c r="BG298" s="349">
        <v>2200</v>
      </c>
      <c r="BH298" s="350"/>
      <c r="BI298" s="351"/>
      <c r="BJ298" s="352"/>
      <c r="BK298" s="337"/>
      <c r="BL298" s="352"/>
      <c r="BM298" s="337"/>
      <c r="BN298" s="353"/>
      <c r="BO298" s="354"/>
      <c r="BP298" s="355"/>
      <c r="BQ298" s="356"/>
      <c r="BR298" s="355"/>
      <c r="BS298" s="356"/>
      <c r="BT298" s="357"/>
    </row>
    <row r="299" spans="1:72" s="615" customFormat="1" ht="25.5" outlineLevel="1">
      <c r="A299" s="287">
        <v>287</v>
      </c>
      <c r="B299" s="941"/>
      <c r="C299" s="866"/>
      <c r="D299" s="867"/>
      <c r="E299" s="867"/>
      <c r="F299" s="832" t="s">
        <v>23</v>
      </c>
      <c r="G299" s="616">
        <v>2</v>
      </c>
      <c r="H299" s="749" t="s">
        <v>71</v>
      </c>
      <c r="I299" s="749">
        <v>244</v>
      </c>
      <c r="J299" s="750">
        <v>346</v>
      </c>
      <c r="K299" s="932" t="s">
        <v>214</v>
      </c>
      <c r="L299" s="1043">
        <v>0</v>
      </c>
      <c r="M299" s="619"/>
      <c r="N299" s="619"/>
      <c r="O299" s="1054">
        <f t="shared" si="305"/>
        <v>0</v>
      </c>
      <c r="P299" s="620"/>
      <c r="Q299" s="509">
        <v>0</v>
      </c>
      <c r="R299" s="560"/>
      <c r="S299" s="542">
        <v>0</v>
      </c>
      <c r="T299" s="560"/>
      <c r="U299" s="621"/>
      <c r="V299" s="320"/>
      <c r="W299" s="320"/>
      <c r="X299" s="320"/>
      <c r="Z299" s="509">
        <f t="shared" si="424"/>
        <v>0</v>
      </c>
      <c r="AA299" s="622">
        <f t="shared" si="424"/>
        <v>0</v>
      </c>
      <c r="AB299" s="623">
        <f t="shared" si="307"/>
        <v>0</v>
      </c>
      <c r="AC299" s="509">
        <f t="shared" si="425"/>
        <v>0</v>
      </c>
      <c r="AD299" s="622">
        <f t="shared" si="425"/>
        <v>0</v>
      </c>
      <c r="AE299" s="623">
        <f t="shared" si="309"/>
        <v>0</v>
      </c>
      <c r="AF299" s="509">
        <f t="shared" si="426"/>
        <v>0</v>
      </c>
      <c r="AG299" s="622">
        <f t="shared" si="426"/>
        <v>0</v>
      </c>
      <c r="AH299" s="623">
        <f t="shared" si="311"/>
        <v>0</v>
      </c>
      <c r="AI299" s="509">
        <f t="shared" si="427"/>
        <v>0</v>
      </c>
      <c r="AJ299" s="622">
        <f t="shared" si="427"/>
        <v>0</v>
      </c>
      <c r="AK299" s="623">
        <f t="shared" si="313"/>
        <v>0</v>
      </c>
      <c r="AL299" s="624"/>
      <c r="AM299" s="509">
        <f t="shared" si="428"/>
        <v>0</v>
      </c>
      <c r="AN299" s="625">
        <f t="shared" si="428"/>
        <v>0</v>
      </c>
      <c r="AO299" s="626">
        <f t="shared" si="315"/>
        <v>0</v>
      </c>
      <c r="AP299" s="509">
        <f t="shared" si="429"/>
        <v>0</v>
      </c>
      <c r="AQ299" s="625">
        <f t="shared" si="429"/>
        <v>0</v>
      </c>
      <c r="AR299" s="626">
        <f t="shared" si="301"/>
        <v>0</v>
      </c>
      <c r="AS299" s="510">
        <f t="shared" si="430"/>
        <v>0</v>
      </c>
      <c r="AT299" s="625">
        <f t="shared" si="430"/>
        <v>0</v>
      </c>
      <c r="AU299" s="626">
        <f t="shared" si="303"/>
        <v>0</v>
      </c>
      <c r="AV299" s="627">
        <f t="shared" si="331"/>
        <v>0</v>
      </c>
      <c r="AW299" s="628"/>
      <c r="AX299" s="629"/>
      <c r="AY299" s="630"/>
      <c r="AZ299" s="629"/>
      <c r="BA299" s="630"/>
      <c r="BB299" s="631"/>
      <c r="BC299" s="632"/>
      <c r="BD299" s="633"/>
      <c r="BE299" s="634"/>
      <c r="BF299" s="633"/>
      <c r="BG299" s="634"/>
      <c r="BH299" s="635"/>
      <c r="BI299" s="636"/>
      <c r="BJ299" s="637"/>
      <c r="BK299" s="622"/>
      <c r="BL299" s="637"/>
      <c r="BM299" s="622"/>
      <c r="BN299" s="638"/>
      <c r="BO299" s="639"/>
      <c r="BP299" s="640"/>
      <c r="BQ299" s="641"/>
      <c r="BR299" s="640"/>
      <c r="BS299" s="641"/>
      <c r="BT299" s="642"/>
    </row>
    <row r="300" spans="1:72" s="358" customFormat="1" ht="31.5">
      <c r="A300" s="287">
        <v>288</v>
      </c>
      <c r="B300" s="933"/>
      <c r="C300" s="837"/>
      <c r="D300" s="838"/>
      <c r="E300" s="836" t="s">
        <v>201</v>
      </c>
      <c r="F300" s="820" t="s">
        <v>23</v>
      </c>
      <c r="G300" s="360">
        <v>2</v>
      </c>
      <c r="H300" s="360" t="s">
        <v>71</v>
      </c>
      <c r="I300" s="360">
        <v>244</v>
      </c>
      <c r="J300" s="489">
        <v>345</v>
      </c>
      <c r="K300" s="532" t="s">
        <v>524</v>
      </c>
      <c r="L300" s="1023">
        <f>SUM(L301:L303)</f>
        <v>68700</v>
      </c>
      <c r="M300" s="363"/>
      <c r="N300" s="363">
        <f>SUM(N301:N303)</f>
        <v>0</v>
      </c>
      <c r="O300" s="1051">
        <f t="shared" si="305"/>
        <v>68700</v>
      </c>
      <c r="P300" s="571"/>
      <c r="Q300" s="367">
        <v>12502</v>
      </c>
      <c r="R300" s="557"/>
      <c r="S300" s="539">
        <v>12502</v>
      </c>
      <c r="T300" s="557"/>
      <c r="U300" s="365"/>
      <c r="V300" s="320"/>
      <c r="W300" s="320"/>
      <c r="X300" s="320"/>
      <c r="Z300" s="367">
        <f t="shared" si="424"/>
        <v>11200</v>
      </c>
      <c r="AA300" s="363">
        <f t="shared" si="424"/>
        <v>0</v>
      </c>
      <c r="AB300" s="280">
        <f t="shared" si="307"/>
        <v>11200</v>
      </c>
      <c r="AC300" s="367">
        <f t="shared" si="425"/>
        <v>37500</v>
      </c>
      <c r="AD300" s="363">
        <f t="shared" si="425"/>
        <v>0</v>
      </c>
      <c r="AE300" s="280">
        <f t="shared" si="309"/>
        <v>37500</v>
      </c>
      <c r="AF300" s="367">
        <f t="shared" si="426"/>
        <v>20000</v>
      </c>
      <c r="AG300" s="363">
        <f t="shared" si="426"/>
        <v>0</v>
      </c>
      <c r="AH300" s="280">
        <f t="shared" si="311"/>
        <v>20000</v>
      </c>
      <c r="AI300" s="367">
        <f t="shared" si="427"/>
        <v>0</v>
      </c>
      <c r="AJ300" s="363">
        <f t="shared" si="427"/>
        <v>0</v>
      </c>
      <c r="AK300" s="280">
        <f t="shared" si="313"/>
        <v>0</v>
      </c>
      <c r="AL300" s="368"/>
      <c r="AM300" s="367">
        <f t="shared" si="428"/>
        <v>48700</v>
      </c>
      <c r="AN300" s="363">
        <f t="shared" si="428"/>
        <v>0</v>
      </c>
      <c r="AO300" s="280">
        <f t="shared" si="315"/>
        <v>48700</v>
      </c>
      <c r="AP300" s="367">
        <f t="shared" si="429"/>
        <v>68700</v>
      </c>
      <c r="AQ300" s="363">
        <f t="shared" si="429"/>
        <v>0</v>
      </c>
      <c r="AR300" s="280">
        <f t="shared" si="301"/>
        <v>68700</v>
      </c>
      <c r="AS300" s="367">
        <f t="shared" si="430"/>
        <v>68700</v>
      </c>
      <c r="AT300" s="363">
        <f t="shared" si="430"/>
        <v>0</v>
      </c>
      <c r="AU300" s="280">
        <f t="shared" si="303"/>
        <v>68700</v>
      </c>
      <c r="AV300" s="588">
        <f t="shared" si="331"/>
        <v>0</v>
      </c>
      <c r="AW300" s="367">
        <f>SUM(AW301:AW303)</f>
        <v>0</v>
      </c>
      <c r="AX300" s="363">
        <f t="shared" ref="AX300:BS300" si="500">SUM(AX301:AX303)</f>
        <v>0</v>
      </c>
      <c r="AY300" s="363">
        <f t="shared" si="500"/>
        <v>0</v>
      </c>
      <c r="AZ300" s="363">
        <f t="shared" si="500"/>
        <v>0</v>
      </c>
      <c r="BA300" s="363">
        <f t="shared" si="500"/>
        <v>11200</v>
      </c>
      <c r="BB300" s="369">
        <f t="shared" si="500"/>
        <v>0</v>
      </c>
      <c r="BC300" s="367">
        <f t="shared" si="500"/>
        <v>0</v>
      </c>
      <c r="BD300" s="363">
        <f t="shared" si="500"/>
        <v>0</v>
      </c>
      <c r="BE300" s="363">
        <f t="shared" si="500"/>
        <v>37500</v>
      </c>
      <c r="BF300" s="363">
        <f t="shared" si="500"/>
        <v>0</v>
      </c>
      <c r="BG300" s="363">
        <f t="shared" si="500"/>
        <v>0</v>
      </c>
      <c r="BH300" s="369">
        <f t="shared" si="500"/>
        <v>0</v>
      </c>
      <c r="BI300" s="367">
        <f t="shared" si="500"/>
        <v>0</v>
      </c>
      <c r="BJ300" s="363">
        <f t="shared" si="500"/>
        <v>0</v>
      </c>
      <c r="BK300" s="363">
        <f t="shared" si="500"/>
        <v>20000</v>
      </c>
      <c r="BL300" s="363">
        <f t="shared" si="500"/>
        <v>0</v>
      </c>
      <c r="BM300" s="363">
        <f t="shared" si="500"/>
        <v>0</v>
      </c>
      <c r="BN300" s="369">
        <f t="shared" si="500"/>
        <v>0</v>
      </c>
      <c r="BO300" s="367">
        <f t="shared" si="500"/>
        <v>0</v>
      </c>
      <c r="BP300" s="363">
        <f t="shared" si="500"/>
        <v>0</v>
      </c>
      <c r="BQ300" s="363">
        <f t="shared" si="500"/>
        <v>0</v>
      </c>
      <c r="BR300" s="363">
        <f t="shared" si="500"/>
        <v>0</v>
      </c>
      <c r="BS300" s="363">
        <f t="shared" si="500"/>
        <v>0</v>
      </c>
      <c r="BT300" s="280"/>
    </row>
    <row r="301" spans="1:72" s="313" customFormat="1" ht="38.25">
      <c r="A301" s="287">
        <v>289</v>
      </c>
      <c r="B301" s="941"/>
      <c r="C301" s="840"/>
      <c r="D301" s="841"/>
      <c r="E301" s="839"/>
      <c r="F301" s="821" t="s">
        <v>23</v>
      </c>
      <c r="G301" s="314">
        <v>2</v>
      </c>
      <c r="H301" s="739" t="s">
        <v>71</v>
      </c>
      <c r="I301" s="739">
        <v>244</v>
      </c>
      <c r="J301" s="740">
        <v>345</v>
      </c>
      <c r="K301" s="317" t="s">
        <v>518</v>
      </c>
      <c r="L301" s="1013">
        <v>31200</v>
      </c>
      <c r="M301" s="318"/>
      <c r="N301" s="318"/>
      <c r="O301" s="1052">
        <f t="shared" si="305"/>
        <v>31200</v>
      </c>
      <c r="P301" s="329"/>
      <c r="Q301" s="319">
        <v>0</v>
      </c>
      <c r="R301" s="329"/>
      <c r="S301" s="319">
        <v>0</v>
      </c>
      <c r="T301" s="329"/>
      <c r="U301" s="335"/>
      <c r="V301" s="320"/>
      <c r="W301" s="320"/>
      <c r="X301" s="320"/>
      <c r="Z301" s="336">
        <f t="shared" si="424"/>
        <v>11200</v>
      </c>
      <c r="AA301" s="337">
        <f t="shared" si="424"/>
        <v>0</v>
      </c>
      <c r="AB301" s="338">
        <f t="shared" si="307"/>
        <v>11200</v>
      </c>
      <c r="AC301" s="336">
        <f t="shared" si="425"/>
        <v>10000</v>
      </c>
      <c r="AD301" s="337">
        <f t="shared" si="425"/>
        <v>0</v>
      </c>
      <c r="AE301" s="338">
        <f t="shared" si="309"/>
        <v>10000</v>
      </c>
      <c r="AF301" s="336">
        <f t="shared" si="426"/>
        <v>10000</v>
      </c>
      <c r="AG301" s="337">
        <f t="shared" si="426"/>
        <v>0</v>
      </c>
      <c r="AH301" s="338">
        <f t="shared" si="311"/>
        <v>10000</v>
      </c>
      <c r="AI301" s="336">
        <f t="shared" si="427"/>
        <v>0</v>
      </c>
      <c r="AJ301" s="337">
        <f t="shared" si="427"/>
        <v>0</v>
      </c>
      <c r="AK301" s="338">
        <f t="shared" si="313"/>
        <v>0</v>
      </c>
      <c r="AL301" s="342"/>
      <c r="AM301" s="336">
        <f t="shared" si="428"/>
        <v>21200</v>
      </c>
      <c r="AN301" s="339">
        <f t="shared" si="428"/>
        <v>0</v>
      </c>
      <c r="AO301" s="340">
        <f t="shared" si="315"/>
        <v>21200</v>
      </c>
      <c r="AP301" s="336">
        <f t="shared" si="429"/>
        <v>31200</v>
      </c>
      <c r="AQ301" s="339">
        <f t="shared" si="429"/>
        <v>0</v>
      </c>
      <c r="AR301" s="340">
        <f t="shared" si="301"/>
        <v>31200</v>
      </c>
      <c r="AS301" s="341">
        <f t="shared" si="430"/>
        <v>31200</v>
      </c>
      <c r="AT301" s="339">
        <f t="shared" si="430"/>
        <v>0</v>
      </c>
      <c r="AU301" s="340">
        <f t="shared" si="303"/>
        <v>31200</v>
      </c>
      <c r="AV301" s="589"/>
      <c r="AW301" s="343"/>
      <c r="AX301" s="344"/>
      <c r="AY301" s="345"/>
      <c r="AZ301" s="344"/>
      <c r="BA301" s="345">
        <v>11200</v>
      </c>
      <c r="BB301" s="346"/>
      <c r="BC301" s="347"/>
      <c r="BD301" s="348"/>
      <c r="BE301" s="349">
        <v>10000</v>
      </c>
      <c r="BF301" s="348"/>
      <c r="BG301" s="349"/>
      <c r="BH301" s="350"/>
      <c r="BI301" s="351"/>
      <c r="BJ301" s="352"/>
      <c r="BK301" s="337">
        <v>10000</v>
      </c>
      <c r="BL301" s="352"/>
      <c r="BM301" s="337"/>
      <c r="BN301" s="353"/>
      <c r="BO301" s="354"/>
      <c r="BP301" s="355"/>
      <c r="BQ301" s="356"/>
      <c r="BR301" s="355"/>
      <c r="BS301" s="356"/>
      <c r="BT301" s="357"/>
    </row>
    <row r="302" spans="1:72" s="313" customFormat="1" ht="25.5">
      <c r="A302" s="287">
        <v>290</v>
      </c>
      <c r="B302" s="941"/>
      <c r="C302" s="840"/>
      <c r="D302" s="841"/>
      <c r="E302" s="839"/>
      <c r="F302" s="821" t="s">
        <v>23</v>
      </c>
      <c r="G302" s="314">
        <v>2</v>
      </c>
      <c r="H302" s="739" t="s">
        <v>71</v>
      </c>
      <c r="I302" s="739">
        <v>244</v>
      </c>
      <c r="J302" s="740">
        <v>345</v>
      </c>
      <c r="K302" s="317" t="s">
        <v>520</v>
      </c>
      <c r="L302" s="1013">
        <v>37500</v>
      </c>
      <c r="M302" s="318"/>
      <c r="N302" s="318"/>
      <c r="O302" s="1052">
        <f t="shared" si="305"/>
        <v>37500</v>
      </c>
      <c r="P302" s="329"/>
      <c r="Q302" s="319">
        <v>0</v>
      </c>
      <c r="R302" s="329"/>
      <c r="S302" s="319">
        <v>0</v>
      </c>
      <c r="T302" s="329"/>
      <c r="U302" s="335"/>
      <c r="V302" s="320"/>
      <c r="W302" s="320"/>
      <c r="X302" s="320"/>
      <c r="Z302" s="336">
        <f t="shared" si="424"/>
        <v>0</v>
      </c>
      <c r="AA302" s="337">
        <f t="shared" si="424"/>
        <v>0</v>
      </c>
      <c r="AB302" s="338">
        <f t="shared" si="307"/>
        <v>0</v>
      </c>
      <c r="AC302" s="336">
        <f t="shared" si="425"/>
        <v>27500</v>
      </c>
      <c r="AD302" s="337">
        <f t="shared" si="425"/>
        <v>0</v>
      </c>
      <c r="AE302" s="338">
        <f t="shared" si="309"/>
        <v>27500</v>
      </c>
      <c r="AF302" s="336">
        <f t="shared" si="426"/>
        <v>10000</v>
      </c>
      <c r="AG302" s="337">
        <f t="shared" si="426"/>
        <v>0</v>
      </c>
      <c r="AH302" s="338">
        <f t="shared" si="311"/>
        <v>10000</v>
      </c>
      <c r="AI302" s="336">
        <f t="shared" si="427"/>
        <v>0</v>
      </c>
      <c r="AJ302" s="337">
        <f t="shared" si="427"/>
        <v>0</v>
      </c>
      <c r="AK302" s="338">
        <f t="shared" si="313"/>
        <v>0</v>
      </c>
      <c r="AL302" s="342"/>
      <c r="AM302" s="336">
        <f t="shared" si="428"/>
        <v>27500</v>
      </c>
      <c r="AN302" s="339">
        <f t="shared" si="428"/>
        <v>0</v>
      </c>
      <c r="AO302" s="340">
        <f t="shared" si="315"/>
        <v>27500</v>
      </c>
      <c r="AP302" s="336">
        <f t="shared" si="429"/>
        <v>37500</v>
      </c>
      <c r="AQ302" s="339">
        <f t="shared" si="429"/>
        <v>0</v>
      </c>
      <c r="AR302" s="340">
        <f t="shared" si="301"/>
        <v>37500</v>
      </c>
      <c r="AS302" s="341">
        <f t="shared" si="430"/>
        <v>37500</v>
      </c>
      <c r="AT302" s="339">
        <f t="shared" si="430"/>
        <v>0</v>
      </c>
      <c r="AU302" s="340">
        <f t="shared" si="303"/>
        <v>37500</v>
      </c>
      <c r="AV302" s="589"/>
      <c r="AW302" s="343"/>
      <c r="AX302" s="344"/>
      <c r="AY302" s="345"/>
      <c r="AZ302" s="344"/>
      <c r="BA302" s="345"/>
      <c r="BB302" s="346"/>
      <c r="BC302" s="347"/>
      <c r="BD302" s="348"/>
      <c r="BE302" s="349">
        <v>27500</v>
      </c>
      <c r="BF302" s="348"/>
      <c r="BG302" s="349"/>
      <c r="BH302" s="350"/>
      <c r="BI302" s="351"/>
      <c r="BJ302" s="352"/>
      <c r="BK302" s="337">
        <v>10000</v>
      </c>
      <c r="BL302" s="352"/>
      <c r="BM302" s="337"/>
      <c r="BN302" s="353"/>
      <c r="BO302" s="354"/>
      <c r="BP302" s="355"/>
      <c r="BQ302" s="356"/>
      <c r="BR302" s="355"/>
      <c r="BS302" s="356"/>
      <c r="BT302" s="357"/>
    </row>
    <row r="303" spans="1:72" s="615" customFormat="1" ht="25.5">
      <c r="A303" s="287">
        <v>291</v>
      </c>
      <c r="B303" s="935"/>
      <c r="C303" s="866"/>
      <c r="D303" s="867"/>
      <c r="E303" s="867"/>
      <c r="F303" s="832" t="s">
        <v>23</v>
      </c>
      <c r="G303" s="616">
        <v>2</v>
      </c>
      <c r="H303" s="749" t="s">
        <v>71</v>
      </c>
      <c r="I303" s="749">
        <v>244</v>
      </c>
      <c r="J303" s="750">
        <v>345</v>
      </c>
      <c r="K303" s="932" t="s">
        <v>214</v>
      </c>
      <c r="L303" s="1046">
        <v>0</v>
      </c>
      <c r="M303" s="619"/>
      <c r="N303" s="619"/>
      <c r="O303" s="1054">
        <f t="shared" si="305"/>
        <v>0</v>
      </c>
      <c r="P303" s="988"/>
      <c r="Q303" s="656">
        <v>0</v>
      </c>
      <c r="R303" s="988"/>
      <c r="S303" s="656">
        <v>0</v>
      </c>
      <c r="T303" s="988"/>
      <c r="U303" s="621"/>
      <c r="V303" s="388"/>
      <c r="W303" s="388"/>
      <c r="X303" s="388"/>
      <c r="Z303" s="509">
        <f t="shared" si="424"/>
        <v>0</v>
      </c>
      <c r="AA303" s="622">
        <f t="shared" si="424"/>
        <v>0</v>
      </c>
      <c r="AB303" s="623">
        <f t="shared" si="307"/>
        <v>0</v>
      </c>
      <c r="AC303" s="509">
        <f t="shared" si="425"/>
        <v>0</v>
      </c>
      <c r="AD303" s="622">
        <f t="shared" si="425"/>
        <v>0</v>
      </c>
      <c r="AE303" s="623">
        <f t="shared" si="309"/>
        <v>0</v>
      </c>
      <c r="AF303" s="509">
        <f t="shared" si="426"/>
        <v>0</v>
      </c>
      <c r="AG303" s="622">
        <f t="shared" si="426"/>
        <v>0</v>
      </c>
      <c r="AH303" s="623">
        <f t="shared" si="311"/>
        <v>0</v>
      </c>
      <c r="AI303" s="509">
        <f t="shared" si="427"/>
        <v>0</v>
      </c>
      <c r="AJ303" s="622">
        <f t="shared" si="427"/>
        <v>0</v>
      </c>
      <c r="AK303" s="623">
        <f t="shared" si="313"/>
        <v>0</v>
      </c>
      <c r="AL303" s="624"/>
      <c r="AM303" s="509">
        <f t="shared" si="428"/>
        <v>0</v>
      </c>
      <c r="AN303" s="625">
        <f t="shared" si="428"/>
        <v>0</v>
      </c>
      <c r="AO303" s="626">
        <f t="shared" si="315"/>
        <v>0</v>
      </c>
      <c r="AP303" s="509">
        <f t="shared" si="429"/>
        <v>0</v>
      </c>
      <c r="AQ303" s="625">
        <f t="shared" si="429"/>
        <v>0</v>
      </c>
      <c r="AR303" s="626">
        <f t="shared" si="301"/>
        <v>0</v>
      </c>
      <c r="AS303" s="510">
        <f t="shared" si="430"/>
        <v>0</v>
      </c>
      <c r="AT303" s="625">
        <f t="shared" si="430"/>
        <v>0</v>
      </c>
      <c r="AU303" s="626">
        <f t="shared" si="303"/>
        <v>0</v>
      </c>
      <c r="AV303" s="627"/>
      <c r="AW303" s="628"/>
      <c r="AX303" s="629"/>
      <c r="AY303" s="630"/>
      <c r="AZ303" s="629"/>
      <c r="BA303" s="630"/>
      <c r="BB303" s="631"/>
      <c r="BC303" s="632"/>
      <c r="BD303" s="633"/>
      <c r="BE303" s="634"/>
      <c r="BF303" s="633"/>
      <c r="BG303" s="634"/>
      <c r="BH303" s="635"/>
      <c r="BI303" s="636"/>
      <c r="BJ303" s="637"/>
      <c r="BK303" s="622"/>
      <c r="BL303" s="637"/>
      <c r="BM303" s="622"/>
      <c r="BN303" s="638"/>
      <c r="BO303" s="639"/>
      <c r="BP303" s="640"/>
      <c r="BQ303" s="641"/>
      <c r="BR303" s="640"/>
      <c r="BS303" s="641"/>
      <c r="BT303" s="642"/>
    </row>
    <row r="304" spans="1:72" s="358" customFormat="1" ht="31.5">
      <c r="A304" s="287">
        <v>292</v>
      </c>
      <c r="B304" s="933"/>
      <c r="C304" s="837"/>
      <c r="D304" s="838"/>
      <c r="E304" s="836" t="s">
        <v>201</v>
      </c>
      <c r="F304" s="820" t="s">
        <v>23</v>
      </c>
      <c r="G304" s="360">
        <v>2</v>
      </c>
      <c r="H304" s="360" t="s">
        <v>71</v>
      </c>
      <c r="I304" s="360">
        <v>244</v>
      </c>
      <c r="J304" s="361">
        <v>349</v>
      </c>
      <c r="K304" s="532" t="s">
        <v>525</v>
      </c>
      <c r="L304" s="1023">
        <v>117600</v>
      </c>
      <c r="M304" s="363"/>
      <c r="N304" s="363"/>
      <c r="O304" s="1051">
        <f t="shared" si="305"/>
        <v>117600</v>
      </c>
      <c r="P304" s="571"/>
      <c r="Q304" s="367">
        <v>117600</v>
      </c>
      <c r="R304" s="557"/>
      <c r="S304" s="539">
        <v>117600</v>
      </c>
      <c r="T304" s="557"/>
      <c r="U304" s="365"/>
      <c r="V304" s="320"/>
      <c r="W304" s="320"/>
      <c r="X304" s="320"/>
      <c r="Z304" s="367">
        <f t="shared" si="424"/>
        <v>30000</v>
      </c>
      <c r="AA304" s="363">
        <f t="shared" si="424"/>
        <v>0</v>
      </c>
      <c r="AB304" s="280">
        <f t="shared" si="307"/>
        <v>30000</v>
      </c>
      <c r="AC304" s="367">
        <f t="shared" si="425"/>
        <v>30000</v>
      </c>
      <c r="AD304" s="363">
        <f t="shared" si="425"/>
        <v>0</v>
      </c>
      <c r="AE304" s="280">
        <f t="shared" si="309"/>
        <v>30000</v>
      </c>
      <c r="AF304" s="367">
        <f t="shared" si="426"/>
        <v>0</v>
      </c>
      <c r="AG304" s="363">
        <f t="shared" si="426"/>
        <v>0</v>
      </c>
      <c r="AH304" s="280">
        <f t="shared" si="311"/>
        <v>0</v>
      </c>
      <c r="AI304" s="367">
        <f t="shared" si="427"/>
        <v>57600</v>
      </c>
      <c r="AJ304" s="363">
        <f t="shared" si="427"/>
        <v>0</v>
      </c>
      <c r="AK304" s="280">
        <f t="shared" si="313"/>
        <v>57600</v>
      </c>
      <c r="AL304" s="368"/>
      <c r="AM304" s="367">
        <f t="shared" si="428"/>
        <v>60000</v>
      </c>
      <c r="AN304" s="363">
        <f t="shared" si="428"/>
        <v>0</v>
      </c>
      <c r="AO304" s="280">
        <f t="shared" si="315"/>
        <v>60000</v>
      </c>
      <c r="AP304" s="367">
        <f t="shared" si="429"/>
        <v>60000</v>
      </c>
      <c r="AQ304" s="363">
        <f t="shared" si="429"/>
        <v>0</v>
      </c>
      <c r="AR304" s="280">
        <f t="shared" si="301"/>
        <v>60000</v>
      </c>
      <c r="AS304" s="367">
        <f t="shared" si="430"/>
        <v>117600</v>
      </c>
      <c r="AT304" s="363">
        <f t="shared" si="430"/>
        <v>0</v>
      </c>
      <c r="AU304" s="280">
        <f t="shared" si="303"/>
        <v>117600</v>
      </c>
      <c r="AV304" s="588">
        <f t="shared" si="331"/>
        <v>0</v>
      </c>
      <c r="AW304" s="367"/>
      <c r="AX304" s="363"/>
      <c r="AY304" s="363"/>
      <c r="AZ304" s="363"/>
      <c r="BA304" s="363">
        <v>30000</v>
      </c>
      <c r="BB304" s="369"/>
      <c r="BC304" s="367"/>
      <c r="BD304" s="363"/>
      <c r="BE304" s="363">
        <v>30000</v>
      </c>
      <c r="BF304" s="363"/>
      <c r="BG304" s="363"/>
      <c r="BH304" s="369"/>
      <c r="BI304" s="367"/>
      <c r="BJ304" s="363"/>
      <c r="BK304" s="363"/>
      <c r="BL304" s="363"/>
      <c r="BM304" s="363"/>
      <c r="BN304" s="369"/>
      <c r="BO304" s="367">
        <v>30000</v>
      </c>
      <c r="BP304" s="363"/>
      <c r="BQ304" s="363"/>
      <c r="BR304" s="363"/>
      <c r="BS304" s="363">
        <v>27600</v>
      </c>
      <c r="BT304" s="280"/>
    </row>
    <row r="305" spans="1:72" s="358" customFormat="1" ht="31.5">
      <c r="A305" s="287">
        <v>293</v>
      </c>
      <c r="B305" s="936"/>
      <c r="C305" s="837"/>
      <c r="D305" s="838"/>
      <c r="E305" s="836" t="s">
        <v>201</v>
      </c>
      <c r="F305" s="820" t="s">
        <v>23</v>
      </c>
      <c r="G305" s="360">
        <v>2</v>
      </c>
      <c r="H305" s="360" t="s">
        <v>71</v>
      </c>
      <c r="I305" s="360">
        <v>244</v>
      </c>
      <c r="J305" s="361">
        <v>349</v>
      </c>
      <c r="K305" s="532" t="s">
        <v>526</v>
      </c>
      <c r="L305" s="1023">
        <f>SUM(L306:L308)</f>
        <v>303473.64</v>
      </c>
      <c r="M305" s="363"/>
      <c r="N305" s="363">
        <f>SUM(N306:N308)</f>
        <v>0</v>
      </c>
      <c r="O305" s="1051">
        <f t="shared" si="305"/>
        <v>303473.64</v>
      </c>
      <c r="P305" s="571"/>
      <c r="Q305" s="367">
        <f t="shared" ref="Q305:S305" si="501">SUM(Q306:Q308)</f>
        <v>893974.32</v>
      </c>
      <c r="R305" s="557">
        <f t="shared" si="501"/>
        <v>0</v>
      </c>
      <c r="S305" s="539">
        <f t="shared" si="501"/>
        <v>893974.32</v>
      </c>
      <c r="T305" s="557"/>
      <c r="U305" s="365"/>
      <c r="V305" s="320"/>
      <c r="W305" s="320"/>
      <c r="X305" s="320"/>
      <c r="Z305" s="367">
        <f t="shared" si="424"/>
        <v>0</v>
      </c>
      <c r="AA305" s="363">
        <f t="shared" si="424"/>
        <v>0</v>
      </c>
      <c r="AB305" s="280">
        <f t="shared" si="307"/>
        <v>0</v>
      </c>
      <c r="AC305" s="367">
        <f t="shared" si="425"/>
        <v>20000</v>
      </c>
      <c r="AD305" s="363">
        <f t="shared" si="425"/>
        <v>0</v>
      </c>
      <c r="AE305" s="280">
        <f t="shared" si="309"/>
        <v>20000</v>
      </c>
      <c r="AF305" s="367">
        <f t="shared" si="426"/>
        <v>0</v>
      </c>
      <c r="AG305" s="363">
        <f t="shared" si="426"/>
        <v>0</v>
      </c>
      <c r="AH305" s="280">
        <f t="shared" si="311"/>
        <v>0</v>
      </c>
      <c r="AI305" s="367">
        <f t="shared" si="427"/>
        <v>283473.64</v>
      </c>
      <c r="AJ305" s="363">
        <f t="shared" si="427"/>
        <v>0</v>
      </c>
      <c r="AK305" s="280">
        <f t="shared" si="313"/>
        <v>283473.64</v>
      </c>
      <c r="AL305" s="368"/>
      <c r="AM305" s="367">
        <f t="shared" si="428"/>
        <v>20000</v>
      </c>
      <c r="AN305" s="363">
        <f t="shared" si="428"/>
        <v>0</v>
      </c>
      <c r="AO305" s="280">
        <f t="shared" si="315"/>
        <v>20000</v>
      </c>
      <c r="AP305" s="367">
        <f t="shared" si="429"/>
        <v>20000</v>
      </c>
      <c r="AQ305" s="363">
        <f t="shared" si="429"/>
        <v>0</v>
      </c>
      <c r="AR305" s="280">
        <f t="shared" si="301"/>
        <v>20000</v>
      </c>
      <c r="AS305" s="367">
        <f t="shared" si="430"/>
        <v>303473.64</v>
      </c>
      <c r="AT305" s="363">
        <f t="shared" si="430"/>
        <v>0</v>
      </c>
      <c r="AU305" s="280">
        <f t="shared" si="303"/>
        <v>303473.64</v>
      </c>
      <c r="AV305" s="588">
        <f t="shared" si="331"/>
        <v>0</v>
      </c>
      <c r="AW305" s="367">
        <f t="shared" ref="AW305:BS305" si="502">SUM(AW306:AW308)</f>
        <v>0</v>
      </c>
      <c r="AX305" s="363">
        <f t="shared" si="502"/>
        <v>0</v>
      </c>
      <c r="AY305" s="363">
        <f t="shared" si="502"/>
        <v>0</v>
      </c>
      <c r="AZ305" s="363">
        <f t="shared" si="502"/>
        <v>0</v>
      </c>
      <c r="BA305" s="363">
        <f t="shared" si="502"/>
        <v>0</v>
      </c>
      <c r="BB305" s="369">
        <f t="shared" si="502"/>
        <v>0</v>
      </c>
      <c r="BC305" s="367">
        <f t="shared" si="502"/>
        <v>10000</v>
      </c>
      <c r="BD305" s="363">
        <f t="shared" si="502"/>
        <v>0</v>
      </c>
      <c r="BE305" s="363">
        <f t="shared" si="502"/>
        <v>10000</v>
      </c>
      <c r="BF305" s="363">
        <f t="shared" si="502"/>
        <v>0</v>
      </c>
      <c r="BG305" s="363">
        <f t="shared" si="502"/>
        <v>0</v>
      </c>
      <c r="BH305" s="369">
        <f t="shared" si="502"/>
        <v>0</v>
      </c>
      <c r="BI305" s="367">
        <f t="shared" si="502"/>
        <v>0</v>
      </c>
      <c r="BJ305" s="363">
        <f t="shared" si="502"/>
        <v>0</v>
      </c>
      <c r="BK305" s="363">
        <f t="shared" si="502"/>
        <v>0</v>
      </c>
      <c r="BL305" s="363">
        <f t="shared" si="502"/>
        <v>0</v>
      </c>
      <c r="BM305" s="363">
        <f t="shared" si="502"/>
        <v>0</v>
      </c>
      <c r="BN305" s="369">
        <f t="shared" si="502"/>
        <v>0</v>
      </c>
      <c r="BO305" s="367">
        <f t="shared" si="502"/>
        <v>0</v>
      </c>
      <c r="BP305" s="363">
        <f t="shared" si="502"/>
        <v>0</v>
      </c>
      <c r="BQ305" s="363">
        <f t="shared" si="502"/>
        <v>0</v>
      </c>
      <c r="BR305" s="363">
        <f t="shared" si="502"/>
        <v>0</v>
      </c>
      <c r="BS305" s="363">
        <f t="shared" si="502"/>
        <v>283473.64</v>
      </c>
      <c r="BT305" s="280"/>
    </row>
    <row r="306" spans="1:72" s="313" customFormat="1" ht="25.5">
      <c r="A306" s="287">
        <v>294</v>
      </c>
      <c r="B306" s="935"/>
      <c r="C306" s="840"/>
      <c r="D306" s="841"/>
      <c r="E306" s="839"/>
      <c r="F306" s="821" t="s">
        <v>23</v>
      </c>
      <c r="G306" s="314">
        <v>2</v>
      </c>
      <c r="H306" s="739" t="s">
        <v>71</v>
      </c>
      <c r="I306" s="739">
        <v>244</v>
      </c>
      <c r="J306" s="740">
        <v>349</v>
      </c>
      <c r="K306" s="317" t="s">
        <v>759</v>
      </c>
      <c r="L306" s="1013">
        <f>873974.32-590500.68</f>
        <v>283473.64</v>
      </c>
      <c r="M306" s="318"/>
      <c r="N306" s="318"/>
      <c r="O306" s="1052">
        <f t="shared" si="305"/>
        <v>283473.64</v>
      </c>
      <c r="P306" s="329"/>
      <c r="Q306" s="319">
        <v>893974.32</v>
      </c>
      <c r="R306" s="329"/>
      <c r="S306" s="319">
        <v>893974.32</v>
      </c>
      <c r="T306" s="329"/>
      <c r="U306" s="335"/>
      <c r="V306" s="320"/>
      <c r="W306" s="320"/>
      <c r="X306" s="320"/>
      <c r="Z306" s="336">
        <f>AW306+AY306+BA306</f>
        <v>0</v>
      </c>
      <c r="AA306" s="337">
        <f>AX306+AZ306+BB306</f>
        <v>0</v>
      </c>
      <c r="AB306" s="338">
        <f>Z306-AA306</f>
        <v>0</v>
      </c>
      <c r="AC306" s="336">
        <f>BC306+BE306+BG306</f>
        <v>0</v>
      </c>
      <c r="AD306" s="337">
        <f>BD306+BF306+BH306</f>
        <v>0</v>
      </c>
      <c r="AE306" s="338">
        <f>AC306-AD306</f>
        <v>0</v>
      </c>
      <c r="AF306" s="336">
        <f>BI306+BK306+BM306</f>
        <v>0</v>
      </c>
      <c r="AG306" s="337">
        <f>BJ306+BL306+BN306</f>
        <v>0</v>
      </c>
      <c r="AH306" s="338">
        <f>AF306-AG306</f>
        <v>0</v>
      </c>
      <c r="AI306" s="336">
        <f>BO306+BQ306+BS306</f>
        <v>283473.64</v>
      </c>
      <c r="AJ306" s="337">
        <f>BP306+BR306+BT306</f>
        <v>0</v>
      </c>
      <c r="AK306" s="338">
        <f>AI306-AJ306</f>
        <v>283473.64</v>
      </c>
      <c r="AL306" s="342"/>
      <c r="AM306" s="336">
        <f>Z306+AC306</f>
        <v>0</v>
      </c>
      <c r="AN306" s="339">
        <f>AA306+AD306</f>
        <v>0</v>
      </c>
      <c r="AO306" s="340">
        <f>AM306-AN306</f>
        <v>0</v>
      </c>
      <c r="AP306" s="336">
        <f>Z306+AC306+AF306</f>
        <v>0</v>
      </c>
      <c r="AQ306" s="339">
        <f>AA306+AD306+AG306</f>
        <v>0</v>
      </c>
      <c r="AR306" s="340">
        <f>AP306-AQ306</f>
        <v>0</v>
      </c>
      <c r="AS306" s="341">
        <f>Z306+AC306+AF306+AI306</f>
        <v>283473.64</v>
      </c>
      <c r="AT306" s="339">
        <f>AA306+AD306+AG306+AJ306</f>
        <v>0</v>
      </c>
      <c r="AU306" s="340">
        <f>AS306-AT306</f>
        <v>283473.64</v>
      </c>
      <c r="AV306" s="589"/>
      <c r="AW306" s="343"/>
      <c r="AX306" s="1098"/>
      <c r="AY306" s="345"/>
      <c r="AZ306" s="1098"/>
      <c r="BA306" s="345"/>
      <c r="BB306" s="1120"/>
      <c r="BC306" s="347"/>
      <c r="BD306" s="348"/>
      <c r="BE306" s="349"/>
      <c r="BF306" s="348"/>
      <c r="BG306" s="349"/>
      <c r="BH306" s="350"/>
      <c r="BI306" s="351"/>
      <c r="BJ306" s="352"/>
      <c r="BK306" s="337"/>
      <c r="BL306" s="352"/>
      <c r="BM306" s="337"/>
      <c r="BN306" s="353"/>
      <c r="BO306" s="354"/>
      <c r="BP306" s="355"/>
      <c r="BQ306" s="356"/>
      <c r="BR306" s="355"/>
      <c r="BS306" s="356">
        <f>873974.32-590500.68</f>
        <v>283473.64</v>
      </c>
      <c r="BT306" s="357"/>
    </row>
    <row r="307" spans="1:72" s="313" customFormat="1" ht="38.25">
      <c r="A307" s="287">
        <v>295</v>
      </c>
      <c r="B307" s="935"/>
      <c r="C307" s="840"/>
      <c r="D307" s="841"/>
      <c r="E307" s="839"/>
      <c r="F307" s="821" t="s">
        <v>23</v>
      </c>
      <c r="G307" s="314">
        <v>2</v>
      </c>
      <c r="H307" s="739" t="s">
        <v>71</v>
      </c>
      <c r="I307" s="739">
        <v>244</v>
      </c>
      <c r="J307" s="740">
        <v>349</v>
      </c>
      <c r="K307" s="317" t="s">
        <v>758</v>
      </c>
      <c r="L307" s="1013">
        <v>20000</v>
      </c>
      <c r="M307" s="318"/>
      <c r="N307" s="318"/>
      <c r="O307" s="1052">
        <f t="shared" si="305"/>
        <v>20000</v>
      </c>
      <c r="P307" s="329"/>
      <c r="Q307" s="319">
        <v>0</v>
      </c>
      <c r="R307" s="329"/>
      <c r="S307" s="319">
        <v>0</v>
      </c>
      <c r="T307" s="329"/>
      <c r="U307" s="335"/>
      <c r="V307" s="320"/>
      <c r="W307" s="320"/>
      <c r="X307" s="320"/>
      <c r="Z307" s="336">
        <f>AW307+AY307+BA307</f>
        <v>0</v>
      </c>
      <c r="AA307" s="337">
        <f>AX307+AZ307+BB307</f>
        <v>0</v>
      </c>
      <c r="AB307" s="338">
        <f>Z307-AA307</f>
        <v>0</v>
      </c>
      <c r="AC307" s="336">
        <f>BC307+BE307+BG307</f>
        <v>20000</v>
      </c>
      <c r="AD307" s="337">
        <f>BD307+BF307+BH307</f>
        <v>0</v>
      </c>
      <c r="AE307" s="338">
        <f>AC307-AD307</f>
        <v>20000</v>
      </c>
      <c r="AF307" s="336">
        <f>BI307+BK307+BM307</f>
        <v>0</v>
      </c>
      <c r="AG307" s="337">
        <f>BJ307+BL307+BN307</f>
        <v>0</v>
      </c>
      <c r="AH307" s="338">
        <f>AF307-AG307</f>
        <v>0</v>
      </c>
      <c r="AI307" s="336">
        <f>BO307+BQ307+BS307</f>
        <v>0</v>
      </c>
      <c r="AJ307" s="337">
        <f>BP307+BR307+BT307</f>
        <v>0</v>
      </c>
      <c r="AK307" s="338">
        <f>AI307-AJ307</f>
        <v>0</v>
      </c>
      <c r="AL307" s="342"/>
      <c r="AM307" s="336">
        <f>Z307+AC307</f>
        <v>20000</v>
      </c>
      <c r="AN307" s="339">
        <f>AA307+AD307</f>
        <v>0</v>
      </c>
      <c r="AO307" s="340">
        <f>AM307-AN307</f>
        <v>20000</v>
      </c>
      <c r="AP307" s="336">
        <f>Z307+AC307+AF307</f>
        <v>20000</v>
      </c>
      <c r="AQ307" s="339">
        <f>AA307+AD307+AG307</f>
        <v>0</v>
      </c>
      <c r="AR307" s="340">
        <f>AP307-AQ307</f>
        <v>20000</v>
      </c>
      <c r="AS307" s="341">
        <f>Z307+AC307+AF307+AI307</f>
        <v>20000</v>
      </c>
      <c r="AT307" s="339">
        <f>AA307+AD307+AG307+AJ307</f>
        <v>0</v>
      </c>
      <c r="AU307" s="340">
        <f>AS307-AT307</f>
        <v>20000</v>
      </c>
      <c r="AV307" s="589"/>
      <c r="AW307" s="343"/>
      <c r="AX307" s="1098"/>
      <c r="AY307" s="345"/>
      <c r="AZ307" s="1098"/>
      <c r="BA307" s="345"/>
      <c r="BB307" s="1120"/>
      <c r="BC307" s="1134">
        <v>10000</v>
      </c>
      <c r="BD307" s="1140"/>
      <c r="BE307" s="1135">
        <v>10000</v>
      </c>
      <c r="BF307" s="348"/>
      <c r="BG307" s="349"/>
      <c r="BH307" s="350"/>
      <c r="BI307" s="351"/>
      <c r="BJ307" s="352"/>
      <c r="BK307" s="337"/>
      <c r="BL307" s="352"/>
      <c r="BM307" s="337"/>
      <c r="BN307" s="353"/>
      <c r="BO307" s="354"/>
      <c r="BP307" s="355"/>
      <c r="BQ307" s="356"/>
      <c r="BR307" s="355"/>
      <c r="BS307" s="356"/>
      <c r="BT307" s="357"/>
    </row>
    <row r="308" spans="1:72" s="615" customFormat="1" ht="25.5">
      <c r="A308" s="287">
        <v>296</v>
      </c>
      <c r="B308" s="935"/>
      <c r="C308" s="866"/>
      <c r="D308" s="867"/>
      <c r="E308" s="867"/>
      <c r="F308" s="832" t="s">
        <v>23</v>
      </c>
      <c r="G308" s="616">
        <v>2</v>
      </c>
      <c r="H308" s="749" t="s">
        <v>71</v>
      </c>
      <c r="I308" s="749">
        <v>244</v>
      </c>
      <c r="J308" s="750">
        <v>349</v>
      </c>
      <c r="K308" s="932" t="s">
        <v>214</v>
      </c>
      <c r="L308" s="1046">
        <v>0</v>
      </c>
      <c r="M308" s="619"/>
      <c r="N308" s="619"/>
      <c r="O308" s="1054">
        <f t="shared" ref="O308" si="503">L308+N308</f>
        <v>0</v>
      </c>
      <c r="P308" s="988"/>
      <c r="Q308" s="656">
        <v>0</v>
      </c>
      <c r="R308" s="988"/>
      <c r="S308" s="656">
        <v>0</v>
      </c>
      <c r="T308" s="988"/>
      <c r="U308" s="621"/>
      <c r="V308" s="388"/>
      <c r="W308" s="388"/>
      <c r="X308" s="388"/>
      <c r="Z308" s="509">
        <f t="shared" ref="Z308:AA308" si="504">AW308+AY308+BA308</f>
        <v>0</v>
      </c>
      <c r="AA308" s="622">
        <f t="shared" si="504"/>
        <v>0</v>
      </c>
      <c r="AB308" s="623">
        <f t="shared" ref="AB308" si="505">Z308-AA308</f>
        <v>0</v>
      </c>
      <c r="AC308" s="509">
        <f t="shared" ref="AC308:AD308" si="506">BC308+BE308+BG308</f>
        <v>0</v>
      </c>
      <c r="AD308" s="622">
        <f t="shared" si="506"/>
        <v>0</v>
      </c>
      <c r="AE308" s="623">
        <f t="shared" ref="AE308" si="507">AC308-AD308</f>
        <v>0</v>
      </c>
      <c r="AF308" s="509">
        <f t="shared" ref="AF308:AG308" si="508">BI308+BK308+BM308</f>
        <v>0</v>
      </c>
      <c r="AG308" s="622">
        <f t="shared" si="508"/>
        <v>0</v>
      </c>
      <c r="AH308" s="623">
        <f t="shared" ref="AH308" si="509">AF308-AG308</f>
        <v>0</v>
      </c>
      <c r="AI308" s="509">
        <f t="shared" ref="AI308:AJ308" si="510">BO308+BQ308+BS308</f>
        <v>0</v>
      </c>
      <c r="AJ308" s="622">
        <f t="shared" si="510"/>
        <v>0</v>
      </c>
      <c r="AK308" s="623">
        <f t="shared" ref="AK308" si="511">AI308-AJ308</f>
        <v>0</v>
      </c>
      <c r="AL308" s="624"/>
      <c r="AM308" s="509">
        <f t="shared" ref="AM308:AN308" si="512">Z308+AC308</f>
        <v>0</v>
      </c>
      <c r="AN308" s="625">
        <f t="shared" si="512"/>
        <v>0</v>
      </c>
      <c r="AO308" s="626">
        <f t="shared" si="315"/>
        <v>0</v>
      </c>
      <c r="AP308" s="509">
        <f t="shared" ref="AP308:AQ308" si="513">Z308+AC308+AF308</f>
        <v>0</v>
      </c>
      <c r="AQ308" s="625">
        <f t="shared" si="513"/>
        <v>0</v>
      </c>
      <c r="AR308" s="626">
        <f t="shared" si="301"/>
        <v>0</v>
      </c>
      <c r="AS308" s="510">
        <f t="shared" ref="AS308:AT308" si="514">Z308+AC308+AF308+AI308</f>
        <v>0</v>
      </c>
      <c r="AT308" s="625">
        <f t="shared" si="514"/>
        <v>0</v>
      </c>
      <c r="AU308" s="626">
        <f t="shared" ref="AU308" si="515">AS308-AT308</f>
        <v>0</v>
      </c>
      <c r="AV308" s="627"/>
      <c r="AW308" s="628"/>
      <c r="AX308" s="629"/>
      <c r="AY308" s="630"/>
      <c r="AZ308" s="629"/>
      <c r="BA308" s="630"/>
      <c r="BB308" s="631"/>
      <c r="BC308" s="632"/>
      <c r="BD308" s="633"/>
      <c r="BE308" s="634"/>
      <c r="BF308" s="633"/>
      <c r="BG308" s="634"/>
      <c r="BH308" s="635"/>
      <c r="BI308" s="636"/>
      <c r="BJ308" s="637"/>
      <c r="BK308" s="622"/>
      <c r="BL308" s="637"/>
      <c r="BM308" s="622"/>
      <c r="BN308" s="638"/>
      <c r="BO308" s="639"/>
      <c r="BP308" s="640"/>
      <c r="BQ308" s="641"/>
      <c r="BR308" s="640"/>
      <c r="BS308" s="641"/>
      <c r="BT308" s="642"/>
    </row>
    <row r="309" spans="1:72" s="31" customFormat="1">
      <c r="A309" s="287">
        <v>297</v>
      </c>
      <c r="B309" s="933"/>
      <c r="C309" s="845"/>
      <c r="D309" s="849"/>
      <c r="E309" s="287" t="s">
        <v>201</v>
      </c>
      <c r="F309" s="521"/>
      <c r="G309" s="521"/>
      <c r="H309" s="521"/>
      <c r="I309" s="521"/>
      <c r="J309" s="521"/>
      <c r="K309" s="1175" t="s">
        <v>17</v>
      </c>
      <c r="L309" s="1047">
        <f t="shared" ref="L309:BS309" si="516">SUM(L190,L191,L193,L195,L196,L197,L198,L199,L207,L204,L210,L258,L212,L218,L220,L222,L224,L246,L247,L250,L251,L261,L265,L270,L276,L283,L300,L304,L305)</f>
        <v>11682442.91</v>
      </c>
      <c r="M309" s="13">
        <f t="shared" si="516"/>
        <v>192442.91</v>
      </c>
      <c r="N309" s="13">
        <f t="shared" si="516"/>
        <v>0</v>
      </c>
      <c r="O309" s="13">
        <f t="shared" si="516"/>
        <v>11682442.91</v>
      </c>
      <c r="P309" s="570">
        <f t="shared" si="516"/>
        <v>0</v>
      </c>
      <c r="Q309" s="264">
        <f t="shared" si="516"/>
        <v>11490000</v>
      </c>
      <c r="R309" s="559">
        <f t="shared" si="516"/>
        <v>0</v>
      </c>
      <c r="S309" s="543">
        <f t="shared" si="516"/>
        <v>11490000</v>
      </c>
      <c r="T309" s="559">
        <f t="shared" si="516"/>
        <v>0</v>
      </c>
      <c r="U309" s="334">
        <f t="shared" si="516"/>
        <v>0</v>
      </c>
      <c r="V309" s="7">
        <f t="shared" si="516"/>
        <v>0</v>
      </c>
      <c r="W309" s="7">
        <f t="shared" si="516"/>
        <v>0</v>
      </c>
      <c r="X309" s="7" t="e">
        <f t="shared" si="516"/>
        <v>#VALUE!</v>
      </c>
      <c r="Y309" s="31">
        <f t="shared" si="516"/>
        <v>0</v>
      </c>
      <c r="Z309" s="264">
        <f t="shared" si="516"/>
        <v>7643731.1699999999</v>
      </c>
      <c r="AA309" s="254">
        <f t="shared" si="516"/>
        <v>964129.37</v>
      </c>
      <c r="AB309" s="270">
        <f t="shared" si="516"/>
        <v>6679601.7999999998</v>
      </c>
      <c r="AC309" s="264">
        <f t="shared" si="516"/>
        <v>1277764.06</v>
      </c>
      <c r="AD309" s="254">
        <f t="shared" si="516"/>
        <v>22105</v>
      </c>
      <c r="AE309" s="270">
        <f t="shared" si="516"/>
        <v>1255659.06</v>
      </c>
      <c r="AF309" s="264">
        <f t="shared" si="516"/>
        <v>425308.7</v>
      </c>
      <c r="AG309" s="254">
        <f t="shared" si="516"/>
        <v>0</v>
      </c>
      <c r="AH309" s="270">
        <f t="shared" si="516"/>
        <v>425308.7</v>
      </c>
      <c r="AI309" s="264">
        <f t="shared" si="516"/>
        <v>2226592.85</v>
      </c>
      <c r="AJ309" s="254">
        <f t="shared" si="516"/>
        <v>0</v>
      </c>
      <c r="AK309" s="270">
        <f t="shared" si="516"/>
        <v>2226592.85</v>
      </c>
      <c r="AL309" s="278">
        <f t="shared" si="516"/>
        <v>0</v>
      </c>
      <c r="AM309" s="264">
        <f t="shared" si="516"/>
        <v>8921495.2300000004</v>
      </c>
      <c r="AN309" s="248">
        <f t="shared" si="516"/>
        <v>986234.37</v>
      </c>
      <c r="AO309" s="281">
        <f t="shared" si="516"/>
        <v>7935260.8600000003</v>
      </c>
      <c r="AP309" s="264">
        <f t="shared" si="516"/>
        <v>9346803.9299999997</v>
      </c>
      <c r="AQ309" s="248">
        <f t="shared" si="516"/>
        <v>986234.37</v>
      </c>
      <c r="AR309" s="281">
        <f t="shared" si="516"/>
        <v>8360569.5599999996</v>
      </c>
      <c r="AS309" s="264">
        <f t="shared" si="516"/>
        <v>11573396.779999999</v>
      </c>
      <c r="AT309" s="248">
        <f t="shared" si="516"/>
        <v>986234.37</v>
      </c>
      <c r="AU309" s="281">
        <f t="shared" si="516"/>
        <v>10587162.41</v>
      </c>
      <c r="AV309" s="604">
        <f t="shared" si="516"/>
        <v>109046.13</v>
      </c>
      <c r="AW309" s="278">
        <f t="shared" si="516"/>
        <v>6582265.5599999996</v>
      </c>
      <c r="AX309" s="1113">
        <f t="shared" si="516"/>
        <v>0</v>
      </c>
      <c r="AY309" s="278">
        <f t="shared" si="516"/>
        <v>44430</v>
      </c>
      <c r="AZ309" s="1113">
        <f t="shared" si="516"/>
        <v>558045.86</v>
      </c>
      <c r="BA309" s="278">
        <f t="shared" si="516"/>
        <v>1017035.61</v>
      </c>
      <c r="BB309" s="1113">
        <f t="shared" si="516"/>
        <v>406083.51</v>
      </c>
      <c r="BC309" s="278">
        <f t="shared" si="516"/>
        <v>220476.1</v>
      </c>
      <c r="BD309" s="278">
        <f t="shared" si="516"/>
        <v>22105</v>
      </c>
      <c r="BE309" s="278">
        <f t="shared" si="516"/>
        <v>769976.35</v>
      </c>
      <c r="BF309" s="278">
        <f t="shared" si="516"/>
        <v>0</v>
      </c>
      <c r="BG309" s="278">
        <f t="shared" si="516"/>
        <v>287311.61</v>
      </c>
      <c r="BH309" s="278">
        <f t="shared" si="516"/>
        <v>0</v>
      </c>
      <c r="BI309" s="278">
        <f t="shared" si="516"/>
        <v>169989.91</v>
      </c>
      <c r="BJ309" s="278">
        <f t="shared" si="516"/>
        <v>0</v>
      </c>
      <c r="BK309" s="278">
        <f t="shared" si="516"/>
        <v>159038.79</v>
      </c>
      <c r="BL309" s="278">
        <f t="shared" si="516"/>
        <v>0</v>
      </c>
      <c r="BM309" s="278">
        <f t="shared" si="516"/>
        <v>96280</v>
      </c>
      <c r="BN309" s="278">
        <f t="shared" si="516"/>
        <v>0</v>
      </c>
      <c r="BO309" s="278">
        <f t="shared" si="516"/>
        <v>264259.99</v>
      </c>
      <c r="BP309" s="278">
        <f t="shared" si="516"/>
        <v>0</v>
      </c>
      <c r="BQ309" s="278">
        <f t="shared" si="516"/>
        <v>248505</v>
      </c>
      <c r="BR309" s="278">
        <f t="shared" si="516"/>
        <v>0</v>
      </c>
      <c r="BS309" s="278">
        <f t="shared" si="516"/>
        <v>1713827.86</v>
      </c>
      <c r="BT309" s="278"/>
    </row>
    <row r="310" spans="1:72" s="31" customFormat="1" ht="16.5" customHeight="1" thickBot="1">
      <c r="A310" s="287">
        <v>298</v>
      </c>
      <c r="B310" s="933"/>
      <c r="C310" s="845"/>
      <c r="D310" s="849"/>
      <c r="E310" s="287" t="s">
        <v>201</v>
      </c>
      <c r="F310" s="521"/>
      <c r="G310" s="521"/>
      <c r="H310" s="521"/>
      <c r="I310" s="521"/>
      <c r="J310" s="521"/>
      <c r="K310" s="1175" t="s">
        <v>21</v>
      </c>
      <c r="L310" s="1040">
        <f t="shared" ref="L310:T310" si="517">L185+L309</f>
        <v>62257435.799999997</v>
      </c>
      <c r="M310" s="546">
        <f t="shared" si="517"/>
        <v>192442.91</v>
      </c>
      <c r="N310" s="546">
        <f t="shared" si="517"/>
        <v>10578024.35</v>
      </c>
      <c r="O310" s="546">
        <f t="shared" si="517"/>
        <v>72835460.150000006</v>
      </c>
      <c r="P310" s="572">
        <f t="shared" si="517"/>
        <v>18757813.84</v>
      </c>
      <c r="Q310" s="545">
        <f t="shared" si="517"/>
        <v>53696072.039999999</v>
      </c>
      <c r="R310" s="568">
        <f t="shared" si="517"/>
        <v>0</v>
      </c>
      <c r="S310" s="554">
        <f t="shared" si="517"/>
        <v>53288874.439999998</v>
      </c>
      <c r="T310" s="568">
        <f t="shared" si="517"/>
        <v>0</v>
      </c>
      <c r="U310" s="334"/>
      <c r="V310" s="7"/>
      <c r="W310" s="7"/>
      <c r="X310" s="7"/>
      <c r="Z310" s="263" t="e">
        <f t="shared" ref="Z310:AK310" si="518">Z185+Z309</f>
        <v>#REF!</v>
      </c>
      <c r="AA310" s="253" t="e">
        <f t="shared" si="518"/>
        <v>#REF!</v>
      </c>
      <c r="AB310" s="269" t="e">
        <f t="shared" si="518"/>
        <v>#REF!</v>
      </c>
      <c r="AC310" s="263" t="e">
        <f t="shared" si="518"/>
        <v>#REF!</v>
      </c>
      <c r="AD310" s="253" t="e">
        <f t="shared" si="518"/>
        <v>#REF!</v>
      </c>
      <c r="AE310" s="269" t="e">
        <f t="shared" si="518"/>
        <v>#REF!</v>
      </c>
      <c r="AF310" s="263" t="e">
        <f t="shared" si="518"/>
        <v>#REF!</v>
      </c>
      <c r="AG310" s="253" t="e">
        <f t="shared" si="518"/>
        <v>#REF!</v>
      </c>
      <c r="AH310" s="269" t="e">
        <f t="shared" si="518"/>
        <v>#REF!</v>
      </c>
      <c r="AI310" s="263" t="e">
        <f t="shared" si="518"/>
        <v>#REF!</v>
      </c>
      <c r="AJ310" s="253" t="e">
        <f t="shared" si="518"/>
        <v>#REF!</v>
      </c>
      <c r="AK310" s="269" t="e">
        <f t="shared" si="518"/>
        <v>#REF!</v>
      </c>
      <c r="AL310" s="210"/>
      <c r="AM310" s="263" t="e">
        <f t="shared" si="428"/>
        <v>#REF!</v>
      </c>
      <c r="AN310" s="247" t="e">
        <f t="shared" si="428"/>
        <v>#REF!</v>
      </c>
      <c r="AO310" s="280" t="e">
        <f t="shared" si="315"/>
        <v>#REF!</v>
      </c>
      <c r="AP310" s="263" t="e">
        <f t="shared" si="429"/>
        <v>#REF!</v>
      </c>
      <c r="AQ310" s="247" t="e">
        <f t="shared" si="429"/>
        <v>#REF!</v>
      </c>
      <c r="AR310" s="280" t="e">
        <f t="shared" si="301"/>
        <v>#REF!</v>
      </c>
      <c r="AS310" s="263">
        <f>AS185+AS309</f>
        <v>62116696.460000001</v>
      </c>
      <c r="AT310" s="247">
        <f>AT185+AT309</f>
        <v>14214171.52</v>
      </c>
      <c r="AU310" s="280">
        <f>AU185+AU309</f>
        <v>47902524.939999998</v>
      </c>
      <c r="AV310" s="607">
        <f t="shared" si="331"/>
        <v>140739.34</v>
      </c>
      <c r="AW310" s="210"/>
      <c r="AX310" s="1113"/>
      <c r="AY310" s="210"/>
      <c r="AZ310" s="1113"/>
      <c r="BA310" s="210"/>
      <c r="BB310" s="1113"/>
      <c r="BC310" s="210"/>
      <c r="BD310" s="210"/>
      <c r="BE310" s="210"/>
      <c r="BF310" s="210"/>
      <c r="BG310" s="210"/>
      <c r="BH310" s="210"/>
      <c r="BI310" s="210"/>
      <c r="BJ310" s="210"/>
      <c r="BK310" s="210"/>
      <c r="BL310" s="210"/>
      <c r="BM310" s="210"/>
      <c r="BN310" s="210"/>
      <c r="BO310" s="210"/>
      <c r="BP310" s="210"/>
      <c r="BQ310" s="210"/>
      <c r="BR310" s="210"/>
      <c r="BS310" s="210"/>
      <c r="BT310" s="210"/>
    </row>
    <row r="311" spans="1:72" s="31" customFormat="1">
      <c r="A311" s="287">
        <v>299</v>
      </c>
      <c r="B311" s="933"/>
      <c r="C311" s="845"/>
      <c r="D311" s="849"/>
      <c r="E311" s="287"/>
      <c r="F311" s="2"/>
      <c r="G311" s="2"/>
      <c r="H311" s="2"/>
      <c r="I311" s="2"/>
      <c r="J311" s="2"/>
      <c r="K311" s="209" t="s">
        <v>204</v>
      </c>
      <c r="L311" s="1035">
        <v>11490000</v>
      </c>
      <c r="M311" s="277">
        <v>192442.91</v>
      </c>
      <c r="N311" s="86"/>
      <c r="O311" s="996">
        <v>11490000</v>
      </c>
      <c r="P311" s="997"/>
      <c r="Q311" s="996">
        <v>11490000</v>
      </c>
      <c r="R311" s="997"/>
      <c r="S311" s="996">
        <v>11490000</v>
      </c>
      <c r="T311" s="332"/>
      <c r="U311" s="325"/>
      <c r="Z311" s="86"/>
      <c r="AA311" s="86"/>
      <c r="AB311" s="86"/>
      <c r="AC311" s="86"/>
      <c r="AD311" s="86"/>
      <c r="AE311" s="86"/>
      <c r="AF311" s="86"/>
      <c r="AG311" s="86"/>
      <c r="AH311" s="86"/>
      <c r="AI311" s="86"/>
      <c r="AJ311" s="86"/>
      <c r="AK311" s="86"/>
      <c r="AL311" s="87"/>
      <c r="AM311" s="86"/>
      <c r="AN311" s="86"/>
      <c r="AO311" s="86"/>
      <c r="AP311" s="86"/>
      <c r="AQ311" s="86"/>
      <c r="AR311" s="86"/>
      <c r="AS311" s="86"/>
      <c r="AT311" s="86"/>
      <c r="AU311" s="86"/>
      <c r="AV311" s="607"/>
      <c r="AW311" s="86"/>
      <c r="AX311" s="1118"/>
      <c r="AY311" s="86"/>
      <c r="AZ311" s="1118"/>
      <c r="BA311" s="86"/>
      <c r="BB311" s="1118"/>
      <c r="BC311" s="86"/>
      <c r="BD311" s="86"/>
      <c r="BE311" s="86"/>
      <c r="BF311" s="86"/>
      <c r="BG311" s="86"/>
      <c r="BH311" s="86"/>
      <c r="BI311" s="86"/>
      <c r="BJ311" s="86"/>
      <c r="BK311" s="86"/>
      <c r="BL311" s="86"/>
      <c r="BM311" s="86"/>
      <c r="BN311" s="86"/>
      <c r="BO311" s="86"/>
      <c r="BP311" s="86"/>
      <c r="BQ311" s="86"/>
      <c r="BR311" s="86"/>
      <c r="BS311" s="86"/>
      <c r="BT311" s="86"/>
    </row>
    <row r="312" spans="1:72" s="31" customFormat="1">
      <c r="A312" s="287">
        <v>300</v>
      </c>
      <c r="B312" s="933"/>
      <c r="C312" s="845"/>
      <c r="D312" s="849"/>
      <c r="E312" s="287"/>
      <c r="F312" s="2"/>
      <c r="G312" s="2"/>
      <c r="H312" s="2"/>
      <c r="I312" s="2"/>
      <c r="J312" s="2"/>
      <c r="K312" s="209" t="s">
        <v>368</v>
      </c>
      <c r="L312" s="1036">
        <f>L311-L309</f>
        <v>-192442.91</v>
      </c>
      <c r="M312" s="86"/>
      <c r="N312" s="86"/>
      <c r="O312" s="277">
        <f>O311-O309</f>
        <v>-192442.91</v>
      </c>
      <c r="P312" s="332"/>
      <c r="Q312" s="277">
        <f>Q311-Q309</f>
        <v>0</v>
      </c>
      <c r="R312" s="332"/>
      <c r="S312" s="277">
        <f>S311-S309</f>
        <v>0</v>
      </c>
      <c r="T312" s="332"/>
      <c r="U312" s="325"/>
      <c r="Z312" s="86"/>
      <c r="AA312" s="86"/>
      <c r="AB312" s="86"/>
      <c r="AC312" s="86"/>
      <c r="AD312" s="86"/>
      <c r="AE312" s="86"/>
      <c r="AF312" s="86"/>
      <c r="AG312" s="86"/>
      <c r="AH312" s="86"/>
      <c r="AI312" s="86"/>
      <c r="AJ312" s="86"/>
      <c r="AK312" s="86"/>
      <c r="AL312" s="87"/>
      <c r="AM312" s="86"/>
      <c r="AN312" s="86"/>
      <c r="AO312" s="86"/>
      <c r="AP312" s="86"/>
      <c r="AQ312" s="86"/>
      <c r="AR312" s="86"/>
      <c r="AS312" s="86"/>
      <c r="AT312" s="86"/>
      <c r="AU312" s="86"/>
      <c r="AV312" s="607"/>
      <c r="AW312" s="86"/>
      <c r="AX312" s="1118"/>
      <c r="AY312" s="86"/>
      <c r="AZ312" s="1118"/>
      <c r="BA312" s="86"/>
      <c r="BB312" s="1118"/>
      <c r="BC312" s="86"/>
      <c r="BD312" s="86"/>
      <c r="BE312" s="86"/>
      <c r="BF312" s="86"/>
      <c r="BG312" s="86"/>
      <c r="BH312" s="86"/>
      <c r="BI312" s="86"/>
      <c r="BJ312" s="86"/>
      <c r="BK312" s="86"/>
      <c r="BL312" s="86"/>
      <c r="BM312" s="86"/>
      <c r="BN312" s="86"/>
      <c r="BO312" s="86"/>
      <c r="BP312" s="86"/>
      <c r="BQ312" s="86"/>
      <c r="BR312" s="86"/>
      <c r="BS312" s="86"/>
      <c r="BT312" s="86"/>
    </row>
    <row r="313" spans="1:72">
      <c r="A313" s="287">
        <v>301</v>
      </c>
      <c r="L313" s="1048">
        <f>L309-L311-M309</f>
        <v>0</v>
      </c>
      <c r="O313" s="994">
        <f>O309-O311-M309</f>
        <v>0</v>
      </c>
      <c r="AV313" s="751"/>
    </row>
    <row r="314" spans="1:72">
      <c r="A314" s="287">
        <v>302</v>
      </c>
      <c r="K314" s="1189" t="s">
        <v>852</v>
      </c>
      <c r="L314" s="1186">
        <f>L310-M310</f>
        <v>62064992.890000001</v>
      </c>
      <c r="M314" s="1187"/>
      <c r="N314" s="1187"/>
      <c r="O314" s="1188">
        <f>O310-M310</f>
        <v>72643017.239999995</v>
      </c>
      <c r="AV314" s="751"/>
    </row>
    <row r="315" spans="1:72">
      <c r="A315" s="287">
        <v>303</v>
      </c>
      <c r="K315" s="1189" t="s">
        <v>853</v>
      </c>
      <c r="L315" s="1186">
        <f>L314-L184</f>
        <v>62012159.640000001</v>
      </c>
      <c r="M315" s="1187"/>
      <c r="N315" s="1187"/>
      <c r="O315" s="1188">
        <f>O314-O184</f>
        <v>72590183.989999995</v>
      </c>
      <c r="AV315" s="751"/>
    </row>
    <row r="316" spans="1:72" ht="15">
      <c r="A316" s="287">
        <v>304</v>
      </c>
      <c r="B316" s="936"/>
      <c r="AV316" s="751"/>
    </row>
    <row r="538" spans="1:72" ht="12.75" hidden="1" customHeight="1">
      <c r="A538" s="2"/>
      <c r="B538" s="1096"/>
      <c r="C538" s="2"/>
      <c r="D538" s="2"/>
      <c r="E538" s="2"/>
      <c r="L538" s="1049"/>
      <c r="M538" s="2"/>
      <c r="N538" s="2"/>
      <c r="O538" s="2"/>
      <c r="P538" s="2"/>
      <c r="Q538" s="2"/>
      <c r="R538" s="2"/>
      <c r="S538" s="2"/>
      <c r="T538" s="2"/>
      <c r="U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805"/>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row>
    <row r="554" spans="1:72" ht="12.75" hidden="1" customHeight="1">
      <c r="A554" s="2"/>
      <c r="B554" s="1096"/>
      <c r="C554" s="2"/>
      <c r="D554" s="2"/>
      <c r="E554" s="2"/>
      <c r="L554" s="1049"/>
      <c r="M554" s="2"/>
      <c r="N554" s="2"/>
      <c r="O554" s="2"/>
      <c r="P554" s="2"/>
      <c r="Q554" s="2"/>
      <c r="R554" s="2"/>
      <c r="S554" s="2"/>
      <c r="T554" s="2"/>
      <c r="U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805"/>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row>
  </sheetData>
  <autoFilter ref="A10:BV316"/>
  <mergeCells count="19">
    <mergeCell ref="BE9:BF9"/>
    <mergeCell ref="Z9:AB9"/>
    <mergeCell ref="AC9:AE9"/>
    <mergeCell ref="AF9:AH9"/>
    <mergeCell ref="AI9:AK9"/>
    <mergeCell ref="AM9:AO9"/>
    <mergeCell ref="AP9:AR9"/>
    <mergeCell ref="AS9:AU9"/>
    <mergeCell ref="AW9:AX9"/>
    <mergeCell ref="AY9:AZ9"/>
    <mergeCell ref="BA9:BB9"/>
    <mergeCell ref="BC9:BD9"/>
    <mergeCell ref="BS9:BT9"/>
    <mergeCell ref="BG9:BH9"/>
    <mergeCell ref="BI9:BJ9"/>
    <mergeCell ref="BK9:BL9"/>
    <mergeCell ref="BM9:BN9"/>
    <mergeCell ref="BO9:BP9"/>
    <mergeCell ref="BQ9:BR9"/>
  </mergeCells>
  <conditionalFormatting sqref="AS49:AS50 AS155:AS156 AS161:AS162 AS114:AS117 AS54 AS31 AS44 AS108 AS35 AS38">
    <cfRule type="expression" dxfId="4297" priority="1041">
      <formula>IF(L31=AS31,1,0)</formula>
    </cfRule>
  </conditionalFormatting>
  <conditionalFormatting sqref="AS184">
    <cfRule type="expression" dxfId="4296" priority="1040">
      <formula>IF(L184=AS184,1,0)</formula>
    </cfRule>
  </conditionalFormatting>
  <conditionalFormatting sqref="AS185">
    <cfRule type="expression" dxfId="4295" priority="1039">
      <formula>IF(L185=AS185,1,0)</formula>
    </cfRule>
  </conditionalFormatting>
  <conditionalFormatting sqref="L178">
    <cfRule type="cellIs" dxfId="4294" priority="1038" operator="notEqual">
      <formula>$L$177</formula>
    </cfRule>
  </conditionalFormatting>
  <conditionalFormatting sqref="L186">
    <cfRule type="cellIs" dxfId="4293" priority="1037" operator="notEqual">
      <formula>$L$185</formula>
    </cfRule>
  </conditionalFormatting>
  <conditionalFormatting sqref="L311">
    <cfRule type="cellIs" dxfId="4292" priority="1036" operator="notEqual">
      <formula>$L$309</formula>
    </cfRule>
  </conditionalFormatting>
  <conditionalFormatting sqref="AS4">
    <cfRule type="expression" dxfId="4291" priority="1035">
      <formula>IF(L4=AS4,1,0)</formula>
    </cfRule>
  </conditionalFormatting>
  <conditionalFormatting sqref="AS18:AS22">
    <cfRule type="expression" dxfId="4290" priority="1030">
      <formula>IF(L18=AS18,1,0)</formula>
    </cfRule>
  </conditionalFormatting>
  <conditionalFormatting sqref="AS29">
    <cfRule type="expression" dxfId="4289" priority="1034">
      <formula>IF(L29=AS29,1,0)</formula>
    </cfRule>
  </conditionalFormatting>
  <conditionalFormatting sqref="F4 F49:F50 F54 F35 F38">
    <cfRule type="cellIs" dxfId="4288" priority="1031" operator="equal">
      <formula>"3-001-2214"</formula>
    </cfRule>
    <cfRule type="cellIs" dxfId="4287" priority="1032" operator="equal">
      <formula>"3-001-5204"</formula>
    </cfRule>
    <cfRule type="cellIs" dxfId="4286" priority="1033" operator="equal">
      <formula>"3-001-0002"</formula>
    </cfRule>
  </conditionalFormatting>
  <conditionalFormatting sqref="AS57">
    <cfRule type="expression" dxfId="4285" priority="1006">
      <formula>IF(L57=AS57,1,0)</formula>
    </cfRule>
  </conditionalFormatting>
  <conditionalFormatting sqref="F18:F20 F22">
    <cfRule type="cellIs" dxfId="4284" priority="1027" operator="equal">
      <formula>"3-001-2214"</formula>
    </cfRule>
    <cfRule type="cellIs" dxfId="4283" priority="1028" operator="equal">
      <formula>"3-001-5204"</formula>
    </cfRule>
    <cfRule type="cellIs" dxfId="4282" priority="1029" operator="equal">
      <formula>"3-001-0002"</formula>
    </cfRule>
  </conditionalFormatting>
  <conditionalFormatting sqref="F16:F17">
    <cfRule type="cellIs" dxfId="4281" priority="1015" operator="equal">
      <formula>"3-001-2214"</formula>
    </cfRule>
    <cfRule type="cellIs" dxfId="4280" priority="1016" operator="equal">
      <formula>"3-001-5204"</formula>
    </cfRule>
    <cfRule type="cellIs" dxfId="4279" priority="1017" operator="equal">
      <formula>"3-001-0002"</formula>
    </cfRule>
  </conditionalFormatting>
  <conditionalFormatting sqref="AS3">
    <cfRule type="expression" dxfId="4278" priority="1026">
      <formula>IF(L3=AS3,1,0)</formula>
    </cfRule>
  </conditionalFormatting>
  <conditionalFormatting sqref="F3">
    <cfRule type="cellIs" dxfId="4277" priority="1023" operator="equal">
      <formula>"3-001-2214"</formula>
    </cfRule>
    <cfRule type="cellIs" dxfId="4276" priority="1024" operator="equal">
      <formula>"3-001-5204"</formula>
    </cfRule>
    <cfRule type="cellIs" dxfId="4275" priority="1025" operator="equal">
      <formula>"3-001-0002"</formula>
    </cfRule>
  </conditionalFormatting>
  <conditionalFormatting sqref="AS53">
    <cfRule type="expression" dxfId="4274" priority="1010">
      <formula>IF(L53=AS53,1,0)</formula>
    </cfRule>
  </conditionalFormatting>
  <conditionalFormatting sqref="F53">
    <cfRule type="cellIs" dxfId="4273" priority="1007" operator="equal">
      <formula>"3-001-2214"</formula>
    </cfRule>
    <cfRule type="cellIs" dxfId="4272" priority="1008" operator="equal">
      <formula>"3-001-5204"</formula>
    </cfRule>
    <cfRule type="cellIs" dxfId="4271" priority="1009" operator="equal">
      <formula>"3-001-0002"</formula>
    </cfRule>
  </conditionalFormatting>
  <conditionalFormatting sqref="AS33">
    <cfRule type="expression" dxfId="4270" priority="1002">
      <formula>IF(L33=AS33,1,0)</formula>
    </cfRule>
  </conditionalFormatting>
  <conditionalFormatting sqref="F57">
    <cfRule type="cellIs" dxfId="4269" priority="1003" operator="equal">
      <formula>"3-001-2214"</formula>
    </cfRule>
    <cfRule type="cellIs" dxfId="4268" priority="1004" operator="equal">
      <formula>"3-001-5204"</formula>
    </cfRule>
    <cfRule type="cellIs" dxfId="4267" priority="1005" operator="equal">
      <formula>"3-001-0002"</formula>
    </cfRule>
  </conditionalFormatting>
  <conditionalFormatting sqref="AS12 AS14">
    <cfRule type="expression" dxfId="4266" priority="1022">
      <formula>IF(L12=AS12,1,0)</formula>
    </cfRule>
  </conditionalFormatting>
  <conditionalFormatting sqref="F12 F14">
    <cfRule type="cellIs" dxfId="4265" priority="1019" operator="equal">
      <formula>"3-001-2214"</formula>
    </cfRule>
    <cfRule type="cellIs" dxfId="4264" priority="1020" operator="equal">
      <formula>"3-001-5204"</formula>
    </cfRule>
    <cfRule type="cellIs" dxfId="4263" priority="1021" operator="equal">
      <formula>"3-001-0002"</formula>
    </cfRule>
  </conditionalFormatting>
  <conditionalFormatting sqref="AS16:AS17">
    <cfRule type="expression" dxfId="4262" priority="1018">
      <formula>IF(L16=AS16,1,0)</formula>
    </cfRule>
  </conditionalFormatting>
  <conditionalFormatting sqref="F28">
    <cfRule type="cellIs" dxfId="4261" priority="1011" operator="equal">
      <formula>"3-001-2214"</formula>
    </cfRule>
    <cfRule type="cellIs" dxfId="4260" priority="1012" operator="equal">
      <formula>"3-001-5204"</formula>
    </cfRule>
    <cfRule type="cellIs" dxfId="4259" priority="1013" operator="equal">
      <formula>"3-001-0002"</formula>
    </cfRule>
  </conditionalFormatting>
  <conditionalFormatting sqref="AS28">
    <cfRule type="expression" dxfId="4258" priority="1014">
      <formula>IF(L28=AS28,1,0)</formula>
    </cfRule>
  </conditionalFormatting>
  <conditionalFormatting sqref="F33">
    <cfRule type="cellIs" dxfId="4257" priority="999" operator="equal">
      <formula>"3-001-2214"</formula>
    </cfRule>
    <cfRule type="cellIs" dxfId="4256" priority="1000" operator="equal">
      <formula>"3-001-5204"</formula>
    </cfRule>
    <cfRule type="cellIs" dxfId="4255" priority="1001" operator="equal">
      <formula>"3-001-0002"</formula>
    </cfRule>
  </conditionalFormatting>
  <conditionalFormatting sqref="AS34">
    <cfRule type="expression" dxfId="4254" priority="998">
      <formula>IF(L34=AS34,1,0)</formula>
    </cfRule>
  </conditionalFormatting>
  <conditionalFormatting sqref="F34">
    <cfRule type="cellIs" dxfId="4253" priority="995" operator="equal">
      <formula>"3-001-2214"</formula>
    </cfRule>
    <cfRule type="cellIs" dxfId="4252" priority="996" operator="equal">
      <formula>"3-001-5204"</formula>
    </cfRule>
    <cfRule type="cellIs" dxfId="4251" priority="997" operator="equal">
      <formula>"3-001-0002"</formula>
    </cfRule>
  </conditionalFormatting>
  <conditionalFormatting sqref="AS30">
    <cfRule type="expression" dxfId="4250" priority="994">
      <formula>IF(L30=AS30,1,0)</formula>
    </cfRule>
  </conditionalFormatting>
  <conditionalFormatting sqref="AS32">
    <cfRule type="expression" dxfId="4249" priority="993">
      <formula>IF(L32=AS32,1,0)</formula>
    </cfRule>
  </conditionalFormatting>
  <conditionalFormatting sqref="AS41:AS42">
    <cfRule type="expression" dxfId="4248" priority="992">
      <formula>IF(L41=AS41,1,0)</formula>
    </cfRule>
  </conditionalFormatting>
  <conditionalFormatting sqref="F41:F42 F44">
    <cfRule type="cellIs" dxfId="4247" priority="989" operator="equal">
      <formula>"3-001-2214"</formula>
    </cfRule>
    <cfRule type="cellIs" dxfId="4246" priority="990" operator="equal">
      <formula>"3-001-5204"</formula>
    </cfRule>
    <cfRule type="cellIs" dxfId="4245" priority="991" operator="equal">
      <formula>"3-001-0002"</formula>
    </cfRule>
  </conditionalFormatting>
  <conditionalFormatting sqref="AS40">
    <cfRule type="expression" dxfId="4244" priority="988">
      <formula>IF(L40=AS40,1,0)</formula>
    </cfRule>
  </conditionalFormatting>
  <conditionalFormatting sqref="F40">
    <cfRule type="cellIs" dxfId="4243" priority="985" operator="equal">
      <formula>"3-001-2214"</formula>
    </cfRule>
    <cfRule type="cellIs" dxfId="4242" priority="986" operator="equal">
      <formula>"3-001-5204"</formula>
    </cfRule>
    <cfRule type="cellIs" dxfId="4241" priority="987" operator="equal">
      <formula>"3-001-0002"</formula>
    </cfRule>
  </conditionalFormatting>
  <conditionalFormatting sqref="AS39">
    <cfRule type="expression" dxfId="4240" priority="984">
      <formula>IF(L39=AS39,1,0)</formula>
    </cfRule>
  </conditionalFormatting>
  <conditionalFormatting sqref="F39">
    <cfRule type="cellIs" dxfId="4239" priority="981" operator="equal">
      <formula>"3-001-2214"</formula>
    </cfRule>
    <cfRule type="cellIs" dxfId="4238" priority="982" operator="equal">
      <formula>"3-001-5204"</formula>
    </cfRule>
    <cfRule type="cellIs" dxfId="4237" priority="983" operator="equal">
      <formula>"3-001-0002"</formula>
    </cfRule>
  </conditionalFormatting>
  <conditionalFormatting sqref="AS45">
    <cfRule type="expression" dxfId="4236" priority="980">
      <formula>IF(L45=AS45,1,0)</formula>
    </cfRule>
  </conditionalFormatting>
  <conditionalFormatting sqref="F45">
    <cfRule type="cellIs" dxfId="4235" priority="977" operator="equal">
      <formula>"3-001-2214"</formula>
    </cfRule>
    <cfRule type="cellIs" dxfId="4234" priority="978" operator="equal">
      <formula>"3-001-5204"</formula>
    </cfRule>
    <cfRule type="cellIs" dxfId="4233" priority="979" operator="equal">
      <formula>"3-001-0002"</formula>
    </cfRule>
  </conditionalFormatting>
  <conditionalFormatting sqref="AS48">
    <cfRule type="expression" dxfId="4232" priority="976">
      <formula>IF(L48=AS48,1,0)</formula>
    </cfRule>
  </conditionalFormatting>
  <conditionalFormatting sqref="F48">
    <cfRule type="cellIs" dxfId="4231" priority="973" operator="equal">
      <formula>"3-001-2214"</formula>
    </cfRule>
    <cfRule type="cellIs" dxfId="4230" priority="974" operator="equal">
      <formula>"3-001-5204"</formula>
    </cfRule>
    <cfRule type="cellIs" dxfId="4229" priority="975" operator="equal">
      <formula>"3-001-0002"</formula>
    </cfRule>
  </conditionalFormatting>
  <conditionalFormatting sqref="AS55:AS56">
    <cfRule type="expression" dxfId="4228" priority="972">
      <formula>IF(L55=AS55,1,0)</formula>
    </cfRule>
  </conditionalFormatting>
  <conditionalFormatting sqref="F55:F56">
    <cfRule type="cellIs" dxfId="4227" priority="969" operator="equal">
      <formula>"3-001-2214"</formula>
    </cfRule>
    <cfRule type="cellIs" dxfId="4226" priority="970" operator="equal">
      <formula>"3-001-5204"</formula>
    </cfRule>
    <cfRule type="cellIs" dxfId="4225" priority="971" operator="equal">
      <formula>"3-001-0002"</formula>
    </cfRule>
  </conditionalFormatting>
  <conditionalFormatting sqref="AS62">
    <cfRule type="expression" dxfId="4224" priority="968">
      <formula>IF(L62=AS62,1,0)</formula>
    </cfRule>
  </conditionalFormatting>
  <conditionalFormatting sqref="F62">
    <cfRule type="cellIs" dxfId="4223" priority="965" operator="equal">
      <formula>"3-001-2214"</formula>
    </cfRule>
    <cfRule type="cellIs" dxfId="4222" priority="966" operator="equal">
      <formula>"3-001-5204"</formula>
    </cfRule>
    <cfRule type="cellIs" dxfId="4221" priority="967" operator="equal">
      <formula>"3-001-0002"</formula>
    </cfRule>
  </conditionalFormatting>
  <conditionalFormatting sqref="AS58">
    <cfRule type="expression" dxfId="4220" priority="964">
      <formula>IF(L58=AS58,1,0)</formula>
    </cfRule>
  </conditionalFormatting>
  <conditionalFormatting sqref="F58">
    <cfRule type="cellIs" dxfId="4219" priority="961" operator="equal">
      <formula>"3-001-2214"</formula>
    </cfRule>
    <cfRule type="cellIs" dxfId="4218" priority="962" operator="equal">
      <formula>"3-001-5204"</formula>
    </cfRule>
    <cfRule type="cellIs" dxfId="4217" priority="963" operator="equal">
      <formula>"3-001-0002"</formula>
    </cfRule>
  </conditionalFormatting>
  <conditionalFormatting sqref="AS219">
    <cfRule type="expression" dxfId="4216" priority="960">
      <formula>IF(L219=AS219,1,0)</formula>
    </cfRule>
  </conditionalFormatting>
  <conditionalFormatting sqref="F219">
    <cfRule type="cellIs" dxfId="4215" priority="957" operator="equal">
      <formula>"3-001-2214"</formula>
    </cfRule>
    <cfRule type="cellIs" dxfId="4214" priority="958" operator="equal">
      <formula>"3-001-5204"</formula>
    </cfRule>
    <cfRule type="cellIs" dxfId="4213" priority="959" operator="equal">
      <formula>"3-001-0002"</formula>
    </cfRule>
  </conditionalFormatting>
  <conditionalFormatting sqref="AS51">
    <cfRule type="expression" dxfId="4212" priority="956">
      <formula>IF(L51=AS51,1,0)</formula>
    </cfRule>
  </conditionalFormatting>
  <conditionalFormatting sqref="F51">
    <cfRule type="cellIs" dxfId="4211" priority="953" operator="equal">
      <formula>"3-001-2214"</formula>
    </cfRule>
    <cfRule type="cellIs" dxfId="4210" priority="954" operator="equal">
      <formula>"3-001-5204"</formula>
    </cfRule>
    <cfRule type="cellIs" dxfId="4209" priority="955" operator="equal">
      <formula>"3-001-0002"</formula>
    </cfRule>
  </conditionalFormatting>
  <conditionalFormatting sqref="F67">
    <cfRule type="cellIs" dxfId="4208" priority="941" operator="equal">
      <formula>"3-001-2214"</formula>
    </cfRule>
    <cfRule type="cellIs" dxfId="4207" priority="942" operator="equal">
      <formula>"3-001-5204"</formula>
    </cfRule>
    <cfRule type="cellIs" dxfId="4206" priority="943" operator="equal">
      <formula>"3-001-0002"</formula>
    </cfRule>
  </conditionalFormatting>
  <conditionalFormatting sqref="AS52">
    <cfRule type="expression" dxfId="4205" priority="952">
      <formula>IF(L52=AS52,1,0)</formula>
    </cfRule>
  </conditionalFormatting>
  <conditionalFormatting sqref="F52">
    <cfRule type="cellIs" dxfId="4204" priority="949" operator="equal">
      <formula>"3-001-2214"</formula>
    </cfRule>
    <cfRule type="cellIs" dxfId="4203" priority="950" operator="equal">
      <formula>"3-001-5204"</formula>
    </cfRule>
    <cfRule type="cellIs" dxfId="4202" priority="951" operator="equal">
      <formula>"3-001-0002"</formula>
    </cfRule>
  </conditionalFormatting>
  <conditionalFormatting sqref="AS69">
    <cfRule type="expression" dxfId="4201" priority="948">
      <formula>IF(L69=AS69,1,0)</formula>
    </cfRule>
  </conditionalFormatting>
  <conditionalFormatting sqref="F69">
    <cfRule type="cellIs" dxfId="4200" priority="945" operator="equal">
      <formula>"3-001-2214"</formula>
    </cfRule>
    <cfRule type="cellIs" dxfId="4199" priority="946" operator="equal">
      <formula>"3-001-5204"</formula>
    </cfRule>
    <cfRule type="cellIs" dxfId="4198" priority="947" operator="equal">
      <formula>"3-001-0002"</formula>
    </cfRule>
  </conditionalFormatting>
  <conditionalFormatting sqref="AS67">
    <cfRule type="expression" dxfId="4197" priority="944">
      <formula>IF(L67=AS67,1,0)</formula>
    </cfRule>
  </conditionalFormatting>
  <conditionalFormatting sqref="F68">
    <cfRule type="cellIs" dxfId="4196" priority="937" operator="equal">
      <formula>"3-001-2214"</formula>
    </cfRule>
    <cfRule type="cellIs" dxfId="4195" priority="938" operator="equal">
      <formula>"3-001-5204"</formula>
    </cfRule>
    <cfRule type="cellIs" dxfId="4194" priority="939" operator="equal">
      <formula>"3-001-0002"</formula>
    </cfRule>
  </conditionalFormatting>
  <conditionalFormatting sqref="AS68">
    <cfRule type="expression" dxfId="4193" priority="940">
      <formula>IF(L68=AS68,1,0)</formula>
    </cfRule>
  </conditionalFormatting>
  <conditionalFormatting sqref="F70">
    <cfRule type="cellIs" dxfId="4192" priority="909" operator="equal">
      <formula>"3-001-2214"</formula>
    </cfRule>
    <cfRule type="cellIs" dxfId="4191" priority="910" operator="equal">
      <formula>"3-001-5204"</formula>
    </cfRule>
    <cfRule type="cellIs" dxfId="4190" priority="911" operator="equal">
      <formula>"3-001-0002"</formula>
    </cfRule>
  </conditionalFormatting>
  <conditionalFormatting sqref="F81">
    <cfRule type="cellIs" dxfId="4189" priority="905" operator="equal">
      <formula>"3-001-2214"</formula>
    </cfRule>
    <cfRule type="cellIs" dxfId="4188" priority="906" operator="equal">
      <formula>"3-001-5204"</formula>
    </cfRule>
    <cfRule type="cellIs" dxfId="4187" priority="907" operator="equal">
      <formula>"3-001-0002"</formula>
    </cfRule>
  </conditionalFormatting>
  <conditionalFormatting sqref="AS70">
    <cfRule type="expression" dxfId="4186" priority="912">
      <formula>IF(L70=AS70,1,0)</formula>
    </cfRule>
  </conditionalFormatting>
  <conditionalFormatting sqref="F222">
    <cfRule type="cellIs" dxfId="4185" priority="897" operator="equal">
      <formula>"3-001-2214"</formula>
    </cfRule>
    <cfRule type="cellIs" dxfId="4184" priority="898" operator="equal">
      <formula>"3-001-5204"</formula>
    </cfRule>
    <cfRule type="cellIs" dxfId="4183" priority="899" operator="equal">
      <formula>"3-001-0002"</formula>
    </cfRule>
  </conditionalFormatting>
  <conditionalFormatting sqref="AS81">
    <cfRule type="expression" dxfId="4182" priority="908">
      <formula>IF(L81=AS81,1,0)</formula>
    </cfRule>
  </conditionalFormatting>
  <conditionalFormatting sqref="F223">
    <cfRule type="cellIs" dxfId="4181" priority="901" operator="equal">
      <formula>"3-001-2214"</formula>
    </cfRule>
    <cfRule type="cellIs" dxfId="4180" priority="902" operator="equal">
      <formula>"3-001-5204"</formula>
    </cfRule>
    <cfRule type="cellIs" dxfId="4179" priority="903" operator="equal">
      <formula>"3-001-0002"</formula>
    </cfRule>
  </conditionalFormatting>
  <conditionalFormatting sqref="F79">
    <cfRule type="cellIs" dxfId="4178" priority="925" operator="equal">
      <formula>"3-001-2214"</formula>
    </cfRule>
    <cfRule type="cellIs" dxfId="4177" priority="926" operator="equal">
      <formula>"3-001-5204"</formula>
    </cfRule>
    <cfRule type="cellIs" dxfId="4176" priority="927" operator="equal">
      <formula>"3-001-0002"</formula>
    </cfRule>
  </conditionalFormatting>
  <conditionalFormatting sqref="AS223">
    <cfRule type="expression" dxfId="4175" priority="904">
      <formula>IF(L223=AS223,1,0)</formula>
    </cfRule>
  </conditionalFormatting>
  <conditionalFormatting sqref="AS222">
    <cfRule type="expression" dxfId="4174" priority="900">
      <formula>IF(L222=AS222,1,0)</formula>
    </cfRule>
  </conditionalFormatting>
  <conditionalFormatting sqref="F59">
    <cfRule type="cellIs" dxfId="4173" priority="893" operator="equal">
      <formula>"3-001-2214"</formula>
    </cfRule>
    <cfRule type="cellIs" dxfId="4172" priority="894" operator="equal">
      <formula>"3-001-5204"</formula>
    </cfRule>
    <cfRule type="cellIs" dxfId="4171" priority="895" operator="equal">
      <formula>"3-001-0002"</formula>
    </cfRule>
  </conditionalFormatting>
  <conditionalFormatting sqref="F113">
    <cfRule type="cellIs" dxfId="4170" priority="818" operator="equal">
      <formula>"3-001-2214"</formula>
    </cfRule>
    <cfRule type="cellIs" dxfId="4169" priority="819" operator="equal">
      <formula>"3-001-5204"</formula>
    </cfRule>
    <cfRule type="cellIs" dxfId="4168" priority="820" operator="equal">
      <formula>"3-001-0002"</formula>
    </cfRule>
  </conditionalFormatting>
  <conditionalFormatting sqref="AS59">
    <cfRule type="expression" dxfId="4167" priority="896">
      <formula>IF(L59=AS59,1,0)</formula>
    </cfRule>
  </conditionalFormatting>
  <conditionalFormatting sqref="F114:F117">
    <cfRule type="cellIs" dxfId="4166" priority="834" operator="equal">
      <formula>"3-001-2214"</formula>
    </cfRule>
    <cfRule type="cellIs" dxfId="4165" priority="835" operator="equal">
      <formula>"3-001-5204"</formula>
    </cfRule>
    <cfRule type="cellIs" dxfId="4164" priority="836" operator="equal">
      <formula>"3-001-0002"</formula>
    </cfRule>
  </conditionalFormatting>
  <conditionalFormatting sqref="AS113">
    <cfRule type="expression" dxfId="4163" priority="821">
      <formula>IF(L113=AS113,1,0)</formula>
    </cfRule>
  </conditionalFormatting>
  <conditionalFormatting sqref="AS79">
    <cfRule type="expression" dxfId="4162" priority="928">
      <formula>IF(L79=AS79,1,0)</formula>
    </cfRule>
  </conditionalFormatting>
  <conditionalFormatting sqref="F77">
    <cfRule type="cellIs" dxfId="4161" priority="933" operator="equal">
      <formula>"3-001-2214"</formula>
    </cfRule>
    <cfRule type="cellIs" dxfId="4160" priority="934" operator="equal">
      <formula>"3-001-5204"</formula>
    </cfRule>
    <cfRule type="cellIs" dxfId="4159" priority="935" operator="equal">
      <formula>"3-001-0002"</formula>
    </cfRule>
  </conditionalFormatting>
  <conditionalFormatting sqref="F72">
    <cfRule type="cellIs" dxfId="4158" priority="917" operator="equal">
      <formula>"3-001-2214"</formula>
    </cfRule>
    <cfRule type="cellIs" dxfId="4157" priority="918" operator="equal">
      <formula>"3-001-5204"</formula>
    </cfRule>
    <cfRule type="cellIs" dxfId="4156" priority="919" operator="equal">
      <formula>"3-001-0002"</formula>
    </cfRule>
  </conditionalFormatting>
  <conditionalFormatting sqref="AS77">
    <cfRule type="expression" dxfId="4155" priority="936">
      <formula>IF(L77=AS77,1,0)</formula>
    </cfRule>
  </conditionalFormatting>
  <conditionalFormatting sqref="F75">
    <cfRule type="cellIs" dxfId="4154" priority="929" operator="equal">
      <formula>"3-001-2214"</formula>
    </cfRule>
    <cfRule type="cellIs" dxfId="4153" priority="930" operator="equal">
      <formula>"3-001-5204"</formula>
    </cfRule>
    <cfRule type="cellIs" dxfId="4152" priority="931" operator="equal">
      <formula>"3-001-0002"</formula>
    </cfRule>
  </conditionalFormatting>
  <conditionalFormatting sqref="F110">
    <cfRule type="cellIs" dxfId="4151" priority="837" operator="equal">
      <formula>"3-001-2214"</formula>
    </cfRule>
    <cfRule type="cellIs" dxfId="4150" priority="838" operator="equal">
      <formula>"3-001-5204"</formula>
    </cfRule>
    <cfRule type="cellIs" dxfId="4149" priority="839" operator="equal">
      <formula>"3-001-0002"</formula>
    </cfRule>
  </conditionalFormatting>
  <conditionalFormatting sqref="AS75">
    <cfRule type="expression" dxfId="4148" priority="932">
      <formula>IF(L75=AS75,1,0)</formula>
    </cfRule>
  </conditionalFormatting>
  <conditionalFormatting sqref="AS72">
    <cfRule type="expression" dxfId="4147" priority="920">
      <formula>IF(L72=AS72,1,0)</formula>
    </cfRule>
  </conditionalFormatting>
  <conditionalFormatting sqref="F71">
    <cfRule type="cellIs" dxfId="4146" priority="921" operator="equal">
      <formula>"3-001-2214"</formula>
    </cfRule>
    <cfRule type="cellIs" dxfId="4145" priority="922" operator="equal">
      <formula>"3-001-5204"</formula>
    </cfRule>
    <cfRule type="cellIs" dxfId="4144" priority="923" operator="equal">
      <formula>"3-001-0002"</formula>
    </cfRule>
  </conditionalFormatting>
  <conditionalFormatting sqref="AS71">
    <cfRule type="expression" dxfId="4143" priority="924">
      <formula>IF(L71=AS71,1,0)</formula>
    </cfRule>
  </conditionalFormatting>
  <conditionalFormatting sqref="F74">
    <cfRule type="cellIs" dxfId="4142" priority="913" operator="equal">
      <formula>"3-001-2214"</formula>
    </cfRule>
    <cfRule type="cellIs" dxfId="4141" priority="914" operator="equal">
      <formula>"3-001-5204"</formula>
    </cfRule>
    <cfRule type="cellIs" dxfId="4140" priority="915" operator="equal">
      <formula>"3-001-0002"</formula>
    </cfRule>
  </conditionalFormatting>
  <conditionalFormatting sqref="AS74">
    <cfRule type="expression" dxfId="4139" priority="916">
      <formula>IF(L74=AS74,1,0)</formula>
    </cfRule>
  </conditionalFormatting>
  <conditionalFormatting sqref="AS110">
    <cfRule type="expression" dxfId="4138" priority="840">
      <formula>IF(L110=AS110,1,0)</formula>
    </cfRule>
  </conditionalFormatting>
  <conditionalFormatting sqref="F100">
    <cfRule type="cellIs" dxfId="4137" priority="826" operator="equal">
      <formula>"3-001-2214"</formula>
    </cfRule>
    <cfRule type="cellIs" dxfId="4136" priority="827" operator="equal">
      <formula>"3-001-5204"</formula>
    </cfRule>
    <cfRule type="cellIs" dxfId="4135" priority="828" operator="equal">
      <formula>"3-001-0002"</formula>
    </cfRule>
  </conditionalFormatting>
  <conditionalFormatting sqref="F88">
    <cfRule type="cellIs" dxfId="4134" priority="830" operator="equal">
      <formula>"3-001-2214"</formula>
    </cfRule>
    <cfRule type="cellIs" dxfId="4133" priority="831" operator="equal">
      <formula>"3-001-5204"</formula>
    </cfRule>
    <cfRule type="cellIs" dxfId="4132" priority="832" operator="equal">
      <formula>"3-001-0002"</formula>
    </cfRule>
  </conditionalFormatting>
  <conditionalFormatting sqref="AS88">
    <cfRule type="expression" dxfId="4131" priority="833">
      <formula>IF(L88=AS88,1,0)</formula>
    </cfRule>
  </conditionalFormatting>
  <conditionalFormatting sqref="AS100">
    <cfRule type="expression" dxfId="4130" priority="829">
      <formula>IF(L100=AS100,1,0)</formula>
    </cfRule>
  </conditionalFormatting>
  <conditionalFormatting sqref="F109">
    <cfRule type="cellIs" dxfId="4129" priority="822" operator="equal">
      <formula>"3-001-2214"</formula>
    </cfRule>
    <cfRule type="cellIs" dxfId="4128" priority="823" operator="equal">
      <formula>"3-001-5204"</formula>
    </cfRule>
    <cfRule type="cellIs" dxfId="4127" priority="824" operator="equal">
      <formula>"3-001-0002"</formula>
    </cfRule>
  </conditionalFormatting>
  <conditionalFormatting sqref="AS109">
    <cfRule type="expression" dxfId="4126" priority="825">
      <formula>IF(L109=AS109,1,0)</formula>
    </cfRule>
  </conditionalFormatting>
  <conditionalFormatting sqref="F118">
    <cfRule type="cellIs" dxfId="4125" priority="814" operator="equal">
      <formula>"3-001-2214"</formula>
    </cfRule>
    <cfRule type="cellIs" dxfId="4124" priority="815" operator="equal">
      <formula>"3-001-5204"</formula>
    </cfRule>
    <cfRule type="cellIs" dxfId="4123" priority="816" operator="equal">
      <formula>"3-001-0002"</formula>
    </cfRule>
  </conditionalFormatting>
  <conditionalFormatting sqref="AS118">
    <cfRule type="expression" dxfId="4122" priority="817">
      <formula>IF(L118=AS118,1,0)</formula>
    </cfRule>
  </conditionalFormatting>
  <conditionalFormatting sqref="F119">
    <cfRule type="cellIs" dxfId="4121" priority="810" operator="equal">
      <formula>"3-001-2214"</formula>
    </cfRule>
    <cfRule type="cellIs" dxfId="4120" priority="811" operator="equal">
      <formula>"3-001-5204"</formula>
    </cfRule>
    <cfRule type="cellIs" dxfId="4119" priority="812" operator="equal">
      <formula>"3-001-0002"</formula>
    </cfRule>
  </conditionalFormatting>
  <conditionalFormatting sqref="F98">
    <cfRule type="cellIs" dxfId="4118" priority="885" operator="equal">
      <formula>"3-001-2214"</formula>
    </cfRule>
    <cfRule type="cellIs" dxfId="4117" priority="886" operator="equal">
      <formula>"3-001-5204"</formula>
    </cfRule>
    <cfRule type="cellIs" dxfId="4116" priority="887" operator="equal">
      <formula>"3-001-0002"</formula>
    </cfRule>
  </conditionalFormatting>
  <conditionalFormatting sqref="AS119">
    <cfRule type="expression" dxfId="4115" priority="813">
      <formula>IF(L119=AS119,1,0)</formula>
    </cfRule>
  </conditionalFormatting>
  <conditionalFormatting sqref="F99">
    <cfRule type="cellIs" dxfId="4114" priority="889" operator="equal">
      <formula>"3-001-2214"</formula>
    </cfRule>
    <cfRule type="cellIs" dxfId="4113" priority="890" operator="equal">
      <formula>"3-001-5204"</formula>
    </cfRule>
    <cfRule type="cellIs" dxfId="4112" priority="891" operator="equal">
      <formula>"3-001-0002"</formula>
    </cfRule>
  </conditionalFormatting>
  <conditionalFormatting sqref="AS99">
    <cfRule type="expression" dxfId="4111" priority="892">
      <formula>IF(L99=AS99,1,0)</formula>
    </cfRule>
  </conditionalFormatting>
  <conditionalFormatting sqref="AS98">
    <cfRule type="expression" dxfId="4110" priority="888">
      <formula>IF(L98=AS98,1,0)</formula>
    </cfRule>
  </conditionalFormatting>
  <conditionalFormatting sqref="F82">
    <cfRule type="cellIs" dxfId="4109" priority="881" operator="equal">
      <formula>"3-001-2214"</formula>
    </cfRule>
    <cfRule type="cellIs" dxfId="4108" priority="882" operator="equal">
      <formula>"3-001-5204"</formula>
    </cfRule>
    <cfRule type="cellIs" dxfId="4107" priority="883" operator="equal">
      <formula>"3-001-0002"</formula>
    </cfRule>
  </conditionalFormatting>
  <conditionalFormatting sqref="AS82">
    <cfRule type="expression" dxfId="4106" priority="884">
      <formula>IF(L82=AS82,1,0)</formula>
    </cfRule>
  </conditionalFormatting>
  <conditionalFormatting sqref="F97">
    <cfRule type="cellIs" dxfId="4105" priority="877" operator="equal">
      <formula>"3-001-2214"</formula>
    </cfRule>
    <cfRule type="cellIs" dxfId="4104" priority="878" operator="equal">
      <formula>"3-001-5204"</formula>
    </cfRule>
    <cfRule type="cellIs" dxfId="4103" priority="879" operator="equal">
      <formula>"3-001-0002"</formula>
    </cfRule>
  </conditionalFormatting>
  <conditionalFormatting sqref="AS97">
    <cfRule type="expression" dxfId="4102" priority="880">
      <formula>IF(L97=AS97,1,0)</formula>
    </cfRule>
  </conditionalFormatting>
  <conditionalFormatting sqref="F95">
    <cfRule type="cellIs" dxfId="4101" priority="869" operator="equal">
      <formula>"3-001-2214"</formula>
    </cfRule>
    <cfRule type="cellIs" dxfId="4100" priority="870" operator="equal">
      <formula>"3-001-5204"</formula>
    </cfRule>
    <cfRule type="cellIs" dxfId="4099" priority="871" operator="equal">
      <formula>"3-001-0002"</formula>
    </cfRule>
  </conditionalFormatting>
  <conditionalFormatting sqref="F96">
    <cfRule type="cellIs" dxfId="4098" priority="873" operator="equal">
      <formula>"3-001-2214"</formula>
    </cfRule>
    <cfRule type="cellIs" dxfId="4097" priority="874" operator="equal">
      <formula>"3-001-5204"</formula>
    </cfRule>
    <cfRule type="cellIs" dxfId="4096" priority="875" operator="equal">
      <formula>"3-001-0002"</formula>
    </cfRule>
  </conditionalFormatting>
  <conditionalFormatting sqref="F89">
    <cfRule type="cellIs" dxfId="4095" priority="853" operator="equal">
      <formula>"3-001-2214"</formula>
    </cfRule>
    <cfRule type="cellIs" dxfId="4094" priority="854" operator="equal">
      <formula>"3-001-5204"</formula>
    </cfRule>
    <cfRule type="cellIs" dxfId="4093" priority="855" operator="equal">
      <formula>"3-001-0002"</formula>
    </cfRule>
  </conditionalFormatting>
  <conditionalFormatting sqref="AS96">
    <cfRule type="expression" dxfId="4092" priority="876">
      <formula>IF(L96=AS96,1,0)</formula>
    </cfRule>
  </conditionalFormatting>
  <conditionalFormatting sqref="AS95">
    <cfRule type="expression" dxfId="4091" priority="872">
      <formula>IF(L95=AS95,1,0)</formula>
    </cfRule>
  </conditionalFormatting>
  <conditionalFormatting sqref="F94">
    <cfRule type="cellIs" dxfId="4090" priority="865" operator="equal">
      <formula>"3-001-2214"</formula>
    </cfRule>
    <cfRule type="cellIs" dxfId="4089" priority="866" operator="equal">
      <formula>"3-001-5204"</formula>
    </cfRule>
    <cfRule type="cellIs" dxfId="4088" priority="867" operator="equal">
      <formula>"3-001-0002"</formula>
    </cfRule>
  </conditionalFormatting>
  <conditionalFormatting sqref="F93">
    <cfRule type="cellIs" dxfId="4087" priority="861" operator="equal">
      <formula>"3-001-2214"</formula>
    </cfRule>
    <cfRule type="cellIs" dxfId="4086" priority="862" operator="equal">
      <formula>"3-001-5204"</formula>
    </cfRule>
    <cfRule type="cellIs" dxfId="4085" priority="863" operator="equal">
      <formula>"3-001-0002"</formula>
    </cfRule>
  </conditionalFormatting>
  <conditionalFormatting sqref="AS94">
    <cfRule type="expression" dxfId="4084" priority="868">
      <formula>IF(L94=AS94,1,0)</formula>
    </cfRule>
  </conditionalFormatting>
  <conditionalFormatting sqref="AS93">
    <cfRule type="expression" dxfId="4083" priority="864">
      <formula>IF(L93=AS93,1,0)</formula>
    </cfRule>
  </conditionalFormatting>
  <conditionalFormatting sqref="F90">
    <cfRule type="cellIs" dxfId="4082" priority="857" operator="equal">
      <formula>"3-001-2214"</formula>
    </cfRule>
    <cfRule type="cellIs" dxfId="4081" priority="858" operator="equal">
      <formula>"3-001-5204"</formula>
    </cfRule>
    <cfRule type="cellIs" dxfId="4080" priority="859" operator="equal">
      <formula>"3-001-0002"</formula>
    </cfRule>
  </conditionalFormatting>
  <conditionalFormatting sqref="AS90">
    <cfRule type="expression" dxfId="4079" priority="860">
      <formula>IF(L90=AS90,1,0)</formula>
    </cfRule>
  </conditionalFormatting>
  <conditionalFormatting sqref="AS89">
    <cfRule type="expression" dxfId="4078" priority="856">
      <formula>IF(L89=AS89,1,0)</formula>
    </cfRule>
  </conditionalFormatting>
  <conditionalFormatting sqref="F101:F106 F108">
    <cfRule type="cellIs" dxfId="4077" priority="849" operator="equal">
      <formula>"3-001-2214"</formula>
    </cfRule>
    <cfRule type="cellIs" dxfId="4076" priority="850" operator="equal">
      <formula>"3-001-5204"</formula>
    </cfRule>
    <cfRule type="cellIs" dxfId="4075" priority="851" operator="equal">
      <formula>"3-001-0002"</formula>
    </cfRule>
  </conditionalFormatting>
  <conditionalFormatting sqref="AS101:AS106">
    <cfRule type="expression" dxfId="4074" priority="852">
      <formula>IF(L101=AS101,1,0)</formula>
    </cfRule>
  </conditionalFormatting>
  <conditionalFormatting sqref="F112">
    <cfRule type="cellIs" dxfId="4073" priority="845" operator="equal">
      <formula>"3-001-2214"</formula>
    </cfRule>
    <cfRule type="cellIs" dxfId="4072" priority="846" operator="equal">
      <formula>"3-001-5204"</formula>
    </cfRule>
    <cfRule type="cellIs" dxfId="4071" priority="847" operator="equal">
      <formula>"3-001-0002"</formula>
    </cfRule>
  </conditionalFormatting>
  <conditionalFormatting sqref="AS112">
    <cfRule type="expression" dxfId="4070" priority="848">
      <formula>IF(L112=AS112,1,0)</formula>
    </cfRule>
  </conditionalFormatting>
  <conditionalFormatting sqref="F111">
    <cfRule type="cellIs" dxfId="4069" priority="841" operator="equal">
      <formula>"3-001-2214"</formula>
    </cfRule>
    <cfRule type="cellIs" dxfId="4068" priority="842" operator="equal">
      <formula>"3-001-5204"</formula>
    </cfRule>
    <cfRule type="cellIs" dxfId="4067" priority="843" operator="equal">
      <formula>"3-001-0002"</formula>
    </cfRule>
  </conditionalFormatting>
  <conditionalFormatting sqref="AS111">
    <cfRule type="expression" dxfId="4066" priority="844">
      <formula>IF(L111=AS111,1,0)</formula>
    </cfRule>
  </conditionalFormatting>
  <conditionalFormatting sqref="F150">
    <cfRule type="cellIs" dxfId="4065" priority="802" operator="equal">
      <formula>"3-001-2214"</formula>
    </cfRule>
    <cfRule type="cellIs" dxfId="4064" priority="803" operator="equal">
      <formula>"3-001-5204"</formula>
    </cfRule>
    <cfRule type="cellIs" dxfId="4063" priority="804" operator="equal">
      <formula>"3-001-0002"</formula>
    </cfRule>
  </conditionalFormatting>
  <conditionalFormatting sqref="F151">
    <cfRule type="cellIs" dxfId="4062" priority="806" operator="equal">
      <formula>"3-001-2214"</formula>
    </cfRule>
    <cfRule type="cellIs" dxfId="4061" priority="807" operator="equal">
      <formula>"3-001-5204"</formula>
    </cfRule>
    <cfRule type="cellIs" dxfId="4060" priority="808" operator="equal">
      <formula>"3-001-0002"</formula>
    </cfRule>
  </conditionalFormatting>
  <conditionalFormatting sqref="AS151">
    <cfRule type="expression" dxfId="4059" priority="809">
      <formula>IF(L151=AS151,1,0)</formula>
    </cfRule>
  </conditionalFormatting>
  <conditionalFormatting sqref="AS150">
    <cfRule type="expression" dxfId="4058" priority="805">
      <formula>IF(L150=AS150,1,0)</formula>
    </cfRule>
  </conditionalFormatting>
  <conditionalFormatting sqref="F120">
    <cfRule type="cellIs" dxfId="4057" priority="798" operator="equal">
      <formula>"3-001-2214"</formula>
    </cfRule>
    <cfRule type="cellIs" dxfId="4056" priority="799" operator="equal">
      <formula>"3-001-5204"</formula>
    </cfRule>
    <cfRule type="cellIs" dxfId="4055" priority="800" operator="equal">
      <formula>"3-001-0002"</formula>
    </cfRule>
  </conditionalFormatting>
  <conditionalFormatting sqref="AS120">
    <cfRule type="expression" dxfId="4054" priority="801">
      <formula>IF(L120=AS120,1,0)</formula>
    </cfRule>
  </conditionalFormatting>
  <conditionalFormatting sqref="F149">
    <cfRule type="cellIs" dxfId="4053" priority="794" operator="equal">
      <formula>"3-001-2214"</formula>
    </cfRule>
    <cfRule type="cellIs" dxfId="4052" priority="795" operator="equal">
      <formula>"3-001-5204"</formula>
    </cfRule>
    <cfRule type="cellIs" dxfId="4051" priority="796" operator="equal">
      <formula>"3-001-0002"</formula>
    </cfRule>
  </conditionalFormatting>
  <conditionalFormatting sqref="AS149">
    <cfRule type="expression" dxfId="4050" priority="797">
      <formula>IF(L149=AS149,1,0)</formula>
    </cfRule>
  </conditionalFormatting>
  <conditionalFormatting sqref="F134">
    <cfRule type="cellIs" dxfId="4049" priority="786" operator="equal">
      <formula>"3-001-2214"</formula>
    </cfRule>
    <cfRule type="cellIs" dxfId="4048" priority="787" operator="equal">
      <formula>"3-001-5204"</formula>
    </cfRule>
    <cfRule type="cellIs" dxfId="4047" priority="788" operator="equal">
      <formula>"3-001-0002"</formula>
    </cfRule>
  </conditionalFormatting>
  <conditionalFormatting sqref="F135">
    <cfRule type="cellIs" dxfId="4046" priority="790" operator="equal">
      <formula>"3-001-2214"</formula>
    </cfRule>
    <cfRule type="cellIs" dxfId="4045" priority="791" operator="equal">
      <formula>"3-001-5204"</formula>
    </cfRule>
    <cfRule type="cellIs" dxfId="4044" priority="792" operator="equal">
      <formula>"3-001-0002"</formula>
    </cfRule>
  </conditionalFormatting>
  <conditionalFormatting sqref="AS135">
    <cfRule type="expression" dxfId="4043" priority="793">
      <formula>IF(L135=AS135,1,0)</formula>
    </cfRule>
  </conditionalFormatting>
  <conditionalFormatting sqref="AS134">
    <cfRule type="expression" dxfId="4042" priority="789">
      <formula>IF(L134=AS134,1,0)</formula>
    </cfRule>
  </conditionalFormatting>
  <conditionalFormatting sqref="F155:F156">
    <cfRule type="cellIs" dxfId="4041" priority="783" operator="equal">
      <formula>"3-001-2214"</formula>
    </cfRule>
    <cfRule type="cellIs" dxfId="4040" priority="784" operator="equal">
      <formula>"3-001-5204"</formula>
    </cfRule>
    <cfRule type="cellIs" dxfId="4039" priority="785" operator="equal">
      <formula>"3-001-0002"</formula>
    </cfRule>
  </conditionalFormatting>
  <conditionalFormatting sqref="F158">
    <cfRule type="cellIs" dxfId="4038" priority="775" operator="equal">
      <formula>"3-001-2214"</formula>
    </cfRule>
    <cfRule type="cellIs" dxfId="4037" priority="776" operator="equal">
      <formula>"3-001-5204"</formula>
    </cfRule>
    <cfRule type="cellIs" dxfId="4036" priority="777" operator="equal">
      <formula>"3-001-0002"</formula>
    </cfRule>
  </conditionalFormatting>
  <conditionalFormatting sqref="F159">
    <cfRule type="cellIs" dxfId="4035" priority="779" operator="equal">
      <formula>"3-001-2214"</formula>
    </cfRule>
    <cfRule type="cellIs" dxfId="4034" priority="780" operator="equal">
      <formula>"3-001-5204"</formula>
    </cfRule>
    <cfRule type="cellIs" dxfId="4033" priority="781" operator="equal">
      <formula>"3-001-0002"</formula>
    </cfRule>
  </conditionalFormatting>
  <conditionalFormatting sqref="AS159">
    <cfRule type="expression" dxfId="4032" priority="782">
      <formula>IF(L159=AS159,1,0)</formula>
    </cfRule>
  </conditionalFormatting>
  <conditionalFormatting sqref="AS158">
    <cfRule type="expression" dxfId="4031" priority="778">
      <formula>IF(L158=AS158,1,0)</formula>
    </cfRule>
  </conditionalFormatting>
  <conditionalFormatting sqref="F161:F162">
    <cfRule type="cellIs" dxfId="4030" priority="772" operator="equal">
      <formula>"3-001-2214"</formula>
    </cfRule>
    <cfRule type="cellIs" dxfId="4029" priority="773" operator="equal">
      <formula>"3-001-5204"</formula>
    </cfRule>
    <cfRule type="cellIs" dxfId="4028" priority="774" operator="equal">
      <formula>"3-001-0002"</formula>
    </cfRule>
  </conditionalFormatting>
  <conditionalFormatting sqref="F133">
    <cfRule type="cellIs" dxfId="4027" priority="768" operator="equal">
      <formula>"3-001-2214"</formula>
    </cfRule>
    <cfRule type="cellIs" dxfId="4026" priority="769" operator="equal">
      <formula>"3-001-5204"</formula>
    </cfRule>
    <cfRule type="cellIs" dxfId="4025" priority="770" operator="equal">
      <formula>"3-001-0002"</formula>
    </cfRule>
  </conditionalFormatting>
  <conditionalFormatting sqref="AS133">
    <cfRule type="expression" dxfId="4024" priority="771">
      <formula>IF(L133=AS133,1,0)</formula>
    </cfRule>
  </conditionalFormatting>
  <conditionalFormatting sqref="F154">
    <cfRule type="cellIs" dxfId="4023" priority="764" operator="equal">
      <formula>"3-001-2214"</formula>
    </cfRule>
    <cfRule type="cellIs" dxfId="4022" priority="765" operator="equal">
      <formula>"3-001-5204"</formula>
    </cfRule>
    <cfRule type="cellIs" dxfId="4021" priority="766" operator="equal">
      <formula>"3-001-0002"</formula>
    </cfRule>
  </conditionalFormatting>
  <conditionalFormatting sqref="AS154">
    <cfRule type="expression" dxfId="4020" priority="767">
      <formula>IF(L154=AS154,1,0)</formula>
    </cfRule>
  </conditionalFormatting>
  <conditionalFormatting sqref="F157">
    <cfRule type="cellIs" dxfId="4019" priority="760" operator="equal">
      <formula>"3-001-2214"</formula>
    </cfRule>
    <cfRule type="cellIs" dxfId="4018" priority="761" operator="equal">
      <formula>"3-001-5204"</formula>
    </cfRule>
    <cfRule type="cellIs" dxfId="4017" priority="762" operator="equal">
      <formula>"3-001-0002"</formula>
    </cfRule>
  </conditionalFormatting>
  <conditionalFormatting sqref="AS157">
    <cfRule type="expression" dxfId="4016" priority="763">
      <formula>IF(L157=AS157,1,0)</formula>
    </cfRule>
  </conditionalFormatting>
  <conditionalFormatting sqref="F160">
    <cfRule type="cellIs" dxfId="4015" priority="756" operator="equal">
      <formula>"3-001-2214"</formula>
    </cfRule>
    <cfRule type="cellIs" dxfId="4014" priority="757" operator="equal">
      <formula>"3-001-5204"</formula>
    </cfRule>
    <cfRule type="cellIs" dxfId="4013" priority="758" operator="equal">
      <formula>"3-001-0002"</formula>
    </cfRule>
  </conditionalFormatting>
  <conditionalFormatting sqref="AS160">
    <cfRule type="expression" dxfId="4012" priority="759">
      <formula>IF(L160=AS160,1,0)</formula>
    </cfRule>
  </conditionalFormatting>
  <conditionalFormatting sqref="F163">
    <cfRule type="cellIs" dxfId="4011" priority="752" operator="equal">
      <formula>"3-001-2214"</formula>
    </cfRule>
    <cfRule type="cellIs" dxfId="4010" priority="753" operator="equal">
      <formula>"3-001-5204"</formula>
    </cfRule>
    <cfRule type="cellIs" dxfId="4009" priority="754" operator="equal">
      <formula>"3-001-0002"</formula>
    </cfRule>
  </conditionalFormatting>
  <conditionalFormatting sqref="AS163">
    <cfRule type="expression" dxfId="4008" priority="755">
      <formula>IF(L163=AS163,1,0)</formula>
    </cfRule>
  </conditionalFormatting>
  <conditionalFormatting sqref="F107">
    <cfRule type="cellIs" dxfId="4007" priority="748" operator="equal">
      <formula>"3-001-2214"</formula>
    </cfRule>
    <cfRule type="cellIs" dxfId="4006" priority="749" operator="equal">
      <formula>"3-001-5204"</formula>
    </cfRule>
    <cfRule type="cellIs" dxfId="4005" priority="750" operator="equal">
      <formula>"3-001-0002"</formula>
    </cfRule>
  </conditionalFormatting>
  <conditionalFormatting sqref="AS107">
    <cfRule type="expression" dxfId="4004" priority="751">
      <formula>IF(L107=AS107,1,0)</formula>
    </cfRule>
  </conditionalFormatting>
  <conditionalFormatting sqref="AS164">
    <cfRule type="expression" dxfId="4003" priority="747">
      <formula>IF(L164=AS164,1,0)</formula>
    </cfRule>
  </conditionalFormatting>
  <conditionalFormatting sqref="F164">
    <cfRule type="cellIs" dxfId="4002" priority="744" operator="equal">
      <formula>"3-001-2214"</formula>
    </cfRule>
    <cfRule type="cellIs" dxfId="4001" priority="745" operator="equal">
      <formula>"3-001-5204"</formula>
    </cfRule>
    <cfRule type="cellIs" dxfId="4000" priority="746" operator="equal">
      <formula>"3-001-0002"</formula>
    </cfRule>
  </conditionalFormatting>
  <conditionalFormatting sqref="AS167">
    <cfRule type="expression" dxfId="3999" priority="743">
      <formula>IF(L167=AS167,1,0)</formula>
    </cfRule>
  </conditionalFormatting>
  <conditionalFormatting sqref="F167">
    <cfRule type="cellIs" dxfId="3998" priority="740" operator="equal">
      <formula>"3-001-2214"</formula>
    </cfRule>
    <cfRule type="cellIs" dxfId="3997" priority="741" operator="equal">
      <formula>"3-001-5204"</formula>
    </cfRule>
    <cfRule type="cellIs" dxfId="3996" priority="742" operator="equal">
      <formula>"3-001-0002"</formula>
    </cfRule>
  </conditionalFormatting>
  <conditionalFormatting sqref="AS270">
    <cfRule type="expression" dxfId="3995" priority="739">
      <formula>IF(L270=AS270,1,0)</formula>
    </cfRule>
  </conditionalFormatting>
  <conditionalFormatting sqref="F270">
    <cfRule type="cellIs" dxfId="3994" priority="736" operator="equal">
      <formula>"3-001-2214"</formula>
    </cfRule>
    <cfRule type="cellIs" dxfId="3993" priority="737" operator="equal">
      <formula>"3-001-5204"</formula>
    </cfRule>
    <cfRule type="cellIs" dxfId="3992" priority="738" operator="equal">
      <formula>"3-001-0002"</formula>
    </cfRule>
  </conditionalFormatting>
  <conditionalFormatting sqref="AS265">
    <cfRule type="expression" dxfId="3991" priority="731">
      <formula>IF(L265=AS265,1,0)</formula>
    </cfRule>
  </conditionalFormatting>
  <conditionalFormatting sqref="F265">
    <cfRule type="cellIs" dxfId="3990" priority="728" operator="equal">
      <formula>"3-001-2214"</formula>
    </cfRule>
    <cfRule type="cellIs" dxfId="3989" priority="729" operator="equal">
      <formula>"3-001-5204"</formula>
    </cfRule>
    <cfRule type="cellIs" dxfId="3988" priority="730" operator="equal">
      <formula>"3-001-0002"</formula>
    </cfRule>
  </conditionalFormatting>
  <conditionalFormatting sqref="AS300">
    <cfRule type="expression" dxfId="3987" priority="727">
      <formula>IF(L300=AS300,1,0)</formula>
    </cfRule>
  </conditionalFormatting>
  <conditionalFormatting sqref="F300">
    <cfRule type="cellIs" dxfId="3986" priority="724" operator="equal">
      <formula>"3-001-2214"</formula>
    </cfRule>
    <cfRule type="cellIs" dxfId="3985" priority="725" operator="equal">
      <formula>"3-001-5204"</formula>
    </cfRule>
    <cfRule type="cellIs" dxfId="3984" priority="726" operator="equal">
      <formula>"3-001-0002"</formula>
    </cfRule>
  </conditionalFormatting>
  <conditionalFormatting sqref="AS276">
    <cfRule type="expression" dxfId="3983" priority="735">
      <formula>IF(L276=AS276,1,0)</formula>
    </cfRule>
  </conditionalFormatting>
  <conditionalFormatting sqref="F276">
    <cfRule type="cellIs" dxfId="3982" priority="732" operator="equal">
      <formula>"3-001-2214"</formula>
    </cfRule>
    <cfRule type="cellIs" dxfId="3981" priority="733" operator="equal">
      <formula>"3-001-5204"</formula>
    </cfRule>
    <cfRule type="cellIs" dxfId="3980" priority="734" operator="equal">
      <formula>"3-001-0002"</formula>
    </cfRule>
  </conditionalFormatting>
  <conditionalFormatting sqref="AS168">
    <cfRule type="expression" dxfId="3979" priority="723">
      <formula>IF(L168=AS168,1,0)</formula>
    </cfRule>
  </conditionalFormatting>
  <conditionalFormatting sqref="F168">
    <cfRule type="cellIs" dxfId="3978" priority="720" operator="equal">
      <formula>"3-001-2214"</formula>
    </cfRule>
    <cfRule type="cellIs" dxfId="3977" priority="721" operator="equal">
      <formula>"3-001-5204"</formula>
    </cfRule>
    <cfRule type="cellIs" dxfId="3976" priority="722" operator="equal">
      <formula>"3-001-0002"</formula>
    </cfRule>
  </conditionalFormatting>
  <conditionalFormatting sqref="F305">
    <cfRule type="cellIs" dxfId="3975" priority="712" operator="equal">
      <formula>"3-001-2214"</formula>
    </cfRule>
    <cfRule type="cellIs" dxfId="3974" priority="713" operator="equal">
      <formula>"3-001-5204"</formula>
    </cfRule>
    <cfRule type="cellIs" dxfId="3973" priority="714" operator="equal">
      <formula>"3-001-0002"</formula>
    </cfRule>
  </conditionalFormatting>
  <conditionalFormatting sqref="AS304">
    <cfRule type="expression" dxfId="3972" priority="719">
      <formula>IF(L304=AS304,1,0)</formula>
    </cfRule>
  </conditionalFormatting>
  <conditionalFormatting sqref="F304">
    <cfRule type="cellIs" dxfId="3971" priority="716" operator="equal">
      <formula>"3-001-2214"</formula>
    </cfRule>
    <cfRule type="cellIs" dxfId="3970" priority="717" operator="equal">
      <formula>"3-001-5204"</formula>
    </cfRule>
    <cfRule type="cellIs" dxfId="3969" priority="718" operator="equal">
      <formula>"3-001-0002"</formula>
    </cfRule>
  </conditionalFormatting>
  <conditionalFormatting sqref="AS305">
    <cfRule type="expression" dxfId="3968" priority="715">
      <formula>IF(L305=AS305,1,0)</formula>
    </cfRule>
  </conditionalFormatting>
  <conditionalFormatting sqref="F267">
    <cfRule type="cellIs" dxfId="3967" priority="708" operator="equal">
      <formula>"3-001-2214"</formula>
    </cfRule>
    <cfRule type="cellIs" dxfId="3966" priority="709" operator="equal">
      <formula>"3-001-5204"</formula>
    </cfRule>
    <cfRule type="cellIs" dxfId="3965" priority="710" operator="equal">
      <formula>"3-001-0002"</formula>
    </cfRule>
  </conditionalFormatting>
  <conditionalFormatting sqref="F266">
    <cfRule type="cellIs" dxfId="3964" priority="704" operator="equal">
      <formula>"3-001-2214"</formula>
    </cfRule>
    <cfRule type="cellIs" dxfId="3963" priority="705" operator="equal">
      <formula>"3-001-5204"</formula>
    </cfRule>
    <cfRule type="cellIs" dxfId="3962" priority="706" operator="equal">
      <formula>"3-001-0002"</formula>
    </cfRule>
  </conditionalFormatting>
  <conditionalFormatting sqref="AS267">
    <cfRule type="expression" dxfId="3961" priority="711">
      <formula>IF(L267=AS267,1,0)</formula>
    </cfRule>
  </conditionalFormatting>
  <conditionalFormatting sqref="F191">
    <cfRule type="cellIs" dxfId="3960" priority="692" operator="equal">
      <formula>"3-001-2214"</formula>
    </cfRule>
    <cfRule type="cellIs" dxfId="3959" priority="693" operator="equal">
      <formula>"3-001-5204"</formula>
    </cfRule>
    <cfRule type="cellIs" dxfId="3958" priority="694" operator="equal">
      <formula>"3-001-0002"</formula>
    </cfRule>
  </conditionalFormatting>
  <conditionalFormatting sqref="AS266">
    <cfRule type="expression" dxfId="3957" priority="707">
      <formula>IF(L266=AS266,1,0)</formula>
    </cfRule>
  </conditionalFormatting>
  <conditionalFormatting sqref="AS191">
    <cfRule type="expression" dxfId="3956" priority="695">
      <formula>IF(L191=AS191,1,0)</formula>
    </cfRule>
  </conditionalFormatting>
  <conditionalFormatting sqref="AS170">
    <cfRule type="expression" dxfId="3955" priority="703">
      <formula>IF(L170=AS170,1,0)</formula>
    </cfRule>
  </conditionalFormatting>
  <conditionalFormatting sqref="F170">
    <cfRule type="cellIs" dxfId="3954" priority="700" operator="equal">
      <formula>"3-001-2214"</formula>
    </cfRule>
    <cfRule type="cellIs" dxfId="3953" priority="701" operator="equal">
      <formula>"3-001-5204"</formula>
    </cfRule>
    <cfRule type="cellIs" dxfId="3952" priority="702" operator="equal">
      <formula>"3-001-0002"</formula>
    </cfRule>
  </conditionalFormatting>
  <conditionalFormatting sqref="AS169">
    <cfRule type="expression" dxfId="3951" priority="699">
      <formula>IF(L169=AS169,1,0)</formula>
    </cfRule>
  </conditionalFormatting>
  <conditionalFormatting sqref="F169">
    <cfRule type="cellIs" dxfId="3950" priority="696" operator="equal">
      <formula>"3-001-2214"</formula>
    </cfRule>
    <cfRule type="cellIs" dxfId="3949" priority="697" operator="equal">
      <formula>"3-001-5204"</formula>
    </cfRule>
    <cfRule type="cellIs" dxfId="3948" priority="698" operator="equal">
      <formula>"3-001-0002"</formula>
    </cfRule>
  </conditionalFormatting>
  <conditionalFormatting sqref="AS80">
    <cfRule type="expression" dxfId="3947" priority="683">
      <formula>IF(L80=AS80,1,0)</formula>
    </cfRule>
  </conditionalFormatting>
  <conditionalFormatting sqref="F80">
    <cfRule type="cellIs" dxfId="3946" priority="680" operator="equal">
      <formula>"3-001-2214"</formula>
    </cfRule>
    <cfRule type="cellIs" dxfId="3945" priority="681" operator="equal">
      <formula>"3-001-5204"</formula>
    </cfRule>
    <cfRule type="cellIs" dxfId="3944" priority="682" operator="equal">
      <formula>"3-001-0002"</formula>
    </cfRule>
  </conditionalFormatting>
  <conditionalFormatting sqref="AS192">
    <cfRule type="expression" dxfId="3943" priority="691">
      <formula>IF(L192=AS192,1,0)</formula>
    </cfRule>
  </conditionalFormatting>
  <conditionalFormatting sqref="F192">
    <cfRule type="cellIs" dxfId="3942" priority="688" operator="equal">
      <formula>"3-001-2214"</formula>
    </cfRule>
    <cfRule type="cellIs" dxfId="3941" priority="689" operator="equal">
      <formula>"3-001-5204"</formula>
    </cfRule>
    <cfRule type="cellIs" dxfId="3940" priority="690" operator="equal">
      <formula>"3-001-0002"</formula>
    </cfRule>
  </conditionalFormatting>
  <conditionalFormatting sqref="AS250">
    <cfRule type="expression" dxfId="3939" priority="687">
      <formula>IF(L250=AS250,1,0)</formula>
    </cfRule>
  </conditionalFormatting>
  <conditionalFormatting sqref="F250">
    <cfRule type="cellIs" dxfId="3938" priority="684" operator="equal">
      <formula>"3-001-2214"</formula>
    </cfRule>
    <cfRule type="cellIs" dxfId="3937" priority="685" operator="equal">
      <formula>"3-001-5204"</formula>
    </cfRule>
    <cfRule type="cellIs" dxfId="3936" priority="686" operator="equal">
      <formula>"3-001-0002"</formula>
    </cfRule>
  </conditionalFormatting>
  <conditionalFormatting sqref="F226">
    <cfRule type="cellIs" dxfId="3935" priority="648" operator="equal">
      <formula>"3-001-2214"</formula>
    </cfRule>
    <cfRule type="cellIs" dxfId="3934" priority="649" operator="equal">
      <formula>"3-001-5204"</formula>
    </cfRule>
    <cfRule type="cellIs" dxfId="3933" priority="650" operator="equal">
      <formula>"3-001-0002"</formula>
    </cfRule>
  </conditionalFormatting>
  <conditionalFormatting sqref="AS226">
    <cfRule type="expression" dxfId="3932" priority="651">
      <formula>IF(L226=AS226,1,0)</formula>
    </cfRule>
  </conditionalFormatting>
  <conditionalFormatting sqref="F73">
    <cfRule type="cellIs" dxfId="3931" priority="676" operator="equal">
      <formula>"3-001-2214"</formula>
    </cfRule>
    <cfRule type="cellIs" dxfId="3930" priority="677" operator="equal">
      <formula>"3-001-5204"</formula>
    </cfRule>
    <cfRule type="cellIs" dxfId="3929" priority="678" operator="equal">
      <formula>"3-001-0002"</formula>
    </cfRule>
  </conditionalFormatting>
  <conditionalFormatting sqref="F78">
    <cfRule type="cellIs" dxfId="3928" priority="672" operator="equal">
      <formula>"3-001-2214"</formula>
    </cfRule>
    <cfRule type="cellIs" dxfId="3927" priority="673" operator="equal">
      <formula>"3-001-5204"</formula>
    </cfRule>
    <cfRule type="cellIs" dxfId="3926" priority="674" operator="equal">
      <formula>"3-001-0002"</formula>
    </cfRule>
  </conditionalFormatting>
  <conditionalFormatting sqref="AS73">
    <cfRule type="expression" dxfId="3925" priority="679">
      <formula>IF(L73=AS73,1,0)</formula>
    </cfRule>
  </conditionalFormatting>
  <conditionalFormatting sqref="AS78">
    <cfRule type="expression" dxfId="3924" priority="675">
      <formula>IF(L78=AS78,1,0)</formula>
    </cfRule>
  </conditionalFormatting>
  <conditionalFormatting sqref="AS224">
    <cfRule type="expression" dxfId="3923" priority="671">
      <formula>IF(L224=AS224,1,0)</formula>
    </cfRule>
  </conditionalFormatting>
  <conditionalFormatting sqref="F224">
    <cfRule type="cellIs" dxfId="3922" priority="668" operator="equal">
      <formula>"3-001-2214"</formula>
    </cfRule>
    <cfRule type="cellIs" dxfId="3921" priority="669" operator="equal">
      <formula>"3-001-5204"</formula>
    </cfRule>
    <cfRule type="cellIs" dxfId="3920" priority="670" operator="equal">
      <formula>"3-001-0002"</formula>
    </cfRule>
  </conditionalFormatting>
  <conditionalFormatting sqref="F233">
    <cfRule type="cellIs" dxfId="3919" priority="640" operator="equal">
      <formula>"3-001-2214"</formula>
    </cfRule>
    <cfRule type="cellIs" dxfId="3918" priority="641" operator="equal">
      <formula>"3-001-5204"</formula>
    </cfRule>
    <cfRule type="cellIs" dxfId="3917" priority="642" operator="equal">
      <formula>"3-001-0002"</formula>
    </cfRule>
  </conditionalFormatting>
  <conditionalFormatting sqref="AS233">
    <cfRule type="expression" dxfId="3916" priority="643">
      <formula>IF(L233=AS233,1,0)</formula>
    </cfRule>
  </conditionalFormatting>
  <conditionalFormatting sqref="F230">
    <cfRule type="cellIs" dxfId="3915" priority="664" operator="equal">
      <formula>"3-001-2214"</formula>
    </cfRule>
    <cfRule type="cellIs" dxfId="3914" priority="665" operator="equal">
      <formula>"3-001-5204"</formula>
    </cfRule>
    <cfRule type="cellIs" dxfId="3913" priority="666" operator="equal">
      <formula>"3-001-0002"</formula>
    </cfRule>
  </conditionalFormatting>
  <conditionalFormatting sqref="F232">
    <cfRule type="cellIs" dxfId="3912" priority="660" operator="equal">
      <formula>"3-001-2214"</formula>
    </cfRule>
    <cfRule type="cellIs" dxfId="3911" priority="661" operator="equal">
      <formula>"3-001-5204"</formula>
    </cfRule>
    <cfRule type="cellIs" dxfId="3910" priority="662" operator="equal">
      <formula>"3-001-0002"</formula>
    </cfRule>
  </conditionalFormatting>
  <conditionalFormatting sqref="AS230">
    <cfRule type="expression" dxfId="3909" priority="667">
      <formula>IF(L230=AS230,1,0)</formula>
    </cfRule>
  </conditionalFormatting>
  <conditionalFormatting sqref="AS232">
    <cfRule type="expression" dxfId="3908" priority="663">
      <formula>IF(L232=AS232,1,0)</formula>
    </cfRule>
  </conditionalFormatting>
  <conditionalFormatting sqref="F225">
    <cfRule type="cellIs" dxfId="3907" priority="656" operator="equal">
      <formula>"3-001-2214"</formula>
    </cfRule>
    <cfRule type="cellIs" dxfId="3906" priority="657" operator="equal">
      <formula>"3-001-5204"</formula>
    </cfRule>
    <cfRule type="cellIs" dxfId="3905" priority="658" operator="equal">
      <formula>"3-001-0002"</formula>
    </cfRule>
  </conditionalFormatting>
  <conditionalFormatting sqref="AS225">
    <cfRule type="expression" dxfId="3904" priority="659">
      <formula>IF(L225=AS225,1,0)</formula>
    </cfRule>
  </conditionalFormatting>
  <conditionalFormatting sqref="F227">
    <cfRule type="cellIs" dxfId="3903" priority="652" operator="equal">
      <formula>"3-001-2214"</formula>
    </cfRule>
    <cfRule type="cellIs" dxfId="3902" priority="653" operator="equal">
      <formula>"3-001-5204"</formula>
    </cfRule>
    <cfRule type="cellIs" dxfId="3901" priority="654" operator="equal">
      <formula>"3-001-0002"</formula>
    </cfRule>
  </conditionalFormatting>
  <conditionalFormatting sqref="AS227">
    <cfRule type="expression" dxfId="3900" priority="655">
      <formula>IF(L227=AS227,1,0)</formula>
    </cfRule>
  </conditionalFormatting>
  <conditionalFormatting sqref="AS231">
    <cfRule type="expression" dxfId="3899" priority="647">
      <formula>IF(L231=AS231,1,0)</formula>
    </cfRule>
  </conditionalFormatting>
  <conditionalFormatting sqref="F231">
    <cfRule type="cellIs" dxfId="3898" priority="644" operator="equal">
      <formula>"3-001-2214"</formula>
    </cfRule>
    <cfRule type="cellIs" dxfId="3897" priority="645" operator="equal">
      <formula>"3-001-5204"</formula>
    </cfRule>
    <cfRule type="cellIs" dxfId="3896" priority="646" operator="equal">
      <formula>"3-001-0002"</formula>
    </cfRule>
  </conditionalFormatting>
  <conditionalFormatting sqref="F245">
    <cfRule type="cellIs" dxfId="3895" priority="632" operator="equal">
      <formula>"3-001-2214"</formula>
    </cfRule>
    <cfRule type="cellIs" dxfId="3894" priority="633" operator="equal">
      <formula>"3-001-5204"</formula>
    </cfRule>
    <cfRule type="cellIs" dxfId="3893" priority="634" operator="equal">
      <formula>"3-001-0002"</formula>
    </cfRule>
  </conditionalFormatting>
  <conditionalFormatting sqref="AS245">
    <cfRule type="expression" dxfId="3892" priority="635">
      <formula>IF(L245=AS245,1,0)</formula>
    </cfRule>
  </conditionalFormatting>
  <conditionalFormatting sqref="F244">
    <cfRule type="cellIs" dxfId="3891" priority="636" operator="equal">
      <formula>"3-001-2214"</formula>
    </cfRule>
    <cfRule type="cellIs" dxfId="3890" priority="637" operator="equal">
      <formula>"3-001-5204"</formula>
    </cfRule>
    <cfRule type="cellIs" dxfId="3889" priority="638" operator="equal">
      <formula>"3-001-0002"</formula>
    </cfRule>
  </conditionalFormatting>
  <conditionalFormatting sqref="AS244">
    <cfRule type="expression" dxfId="3888" priority="639">
      <formula>IF(L244=AS244,1,0)</formula>
    </cfRule>
  </conditionalFormatting>
  <conditionalFormatting sqref="F236">
    <cfRule type="cellIs" dxfId="3887" priority="628" operator="equal">
      <formula>"3-001-2214"</formula>
    </cfRule>
    <cfRule type="cellIs" dxfId="3886" priority="629" operator="equal">
      <formula>"3-001-5204"</formula>
    </cfRule>
    <cfRule type="cellIs" dxfId="3885" priority="630" operator="equal">
      <formula>"3-001-0002"</formula>
    </cfRule>
  </conditionalFormatting>
  <conditionalFormatting sqref="AS236">
    <cfRule type="expression" dxfId="3884" priority="631">
      <formula>IF(L236=AS236,1,0)</formula>
    </cfRule>
  </conditionalFormatting>
  <conditionalFormatting sqref="AS237">
    <cfRule type="expression" dxfId="3883" priority="627">
      <formula>IF(L237=AS237,1,0)</formula>
    </cfRule>
  </conditionalFormatting>
  <conditionalFormatting sqref="F237">
    <cfRule type="cellIs" dxfId="3882" priority="624" operator="equal">
      <formula>"3-001-2214"</formula>
    </cfRule>
    <cfRule type="cellIs" dxfId="3881" priority="625" operator="equal">
      <formula>"3-001-5204"</formula>
    </cfRule>
    <cfRule type="cellIs" dxfId="3880" priority="626" operator="equal">
      <formula>"3-001-0002"</formula>
    </cfRule>
  </conditionalFormatting>
  <conditionalFormatting sqref="AS208:AS209">
    <cfRule type="expression" dxfId="3879" priority="623">
      <formula>IF(L208=AS208,1,0)</formula>
    </cfRule>
  </conditionalFormatting>
  <conditionalFormatting sqref="F208:F209">
    <cfRule type="cellIs" dxfId="3878" priority="620" operator="equal">
      <formula>"3-001-2214"</formula>
    </cfRule>
    <cfRule type="cellIs" dxfId="3877" priority="621" operator="equal">
      <formula>"3-001-5204"</formula>
    </cfRule>
    <cfRule type="cellIs" dxfId="3876" priority="622" operator="equal">
      <formula>"3-001-0002"</formula>
    </cfRule>
  </conditionalFormatting>
  <conditionalFormatting sqref="AS207">
    <cfRule type="expression" dxfId="3875" priority="619">
      <formula>IF(L207=AS207,1,0)</formula>
    </cfRule>
  </conditionalFormatting>
  <conditionalFormatting sqref="F207">
    <cfRule type="cellIs" dxfId="3874" priority="616" operator="equal">
      <formula>"3-001-2214"</formula>
    </cfRule>
    <cfRule type="cellIs" dxfId="3873" priority="617" operator="equal">
      <formula>"3-001-5204"</formula>
    </cfRule>
    <cfRule type="cellIs" dxfId="3872" priority="618" operator="equal">
      <formula>"3-001-0002"</formula>
    </cfRule>
  </conditionalFormatting>
  <conditionalFormatting sqref="AS183">
    <cfRule type="expression" dxfId="3871" priority="615">
      <formula>IF(L183=AS183,1,0)</formula>
    </cfRule>
  </conditionalFormatting>
  <conditionalFormatting sqref="F183">
    <cfRule type="cellIs" dxfId="3870" priority="612" operator="equal">
      <formula>"3-001-2214"</formula>
    </cfRule>
    <cfRule type="cellIs" dxfId="3869" priority="613" operator="equal">
      <formula>"3-001-5204"</formula>
    </cfRule>
    <cfRule type="cellIs" dxfId="3868" priority="614" operator="equal">
      <formula>"3-001-0002"</formula>
    </cfRule>
  </conditionalFormatting>
  <conditionalFormatting sqref="AS198">
    <cfRule type="expression" dxfId="3867" priority="611">
      <formula>IF(L198=AS198,1,0)</formula>
    </cfRule>
  </conditionalFormatting>
  <conditionalFormatting sqref="F198">
    <cfRule type="cellIs" dxfId="3866" priority="608" operator="equal">
      <formula>"3-001-2214"</formula>
    </cfRule>
    <cfRule type="cellIs" dxfId="3865" priority="609" operator="equal">
      <formula>"3-001-5204"</formula>
    </cfRule>
    <cfRule type="cellIs" dxfId="3864" priority="610" operator="equal">
      <formula>"3-001-0002"</formula>
    </cfRule>
  </conditionalFormatting>
  <conditionalFormatting sqref="AS199">
    <cfRule type="expression" dxfId="3863" priority="607">
      <formula>IF(L199=AS199,1,0)</formula>
    </cfRule>
  </conditionalFormatting>
  <conditionalFormatting sqref="F199">
    <cfRule type="cellIs" dxfId="3862" priority="604" operator="equal">
      <formula>"3-001-2214"</formula>
    </cfRule>
    <cfRule type="cellIs" dxfId="3861" priority="605" operator="equal">
      <formula>"3-001-5204"</formula>
    </cfRule>
    <cfRule type="cellIs" dxfId="3860" priority="606" operator="equal">
      <formula>"3-001-0002"</formula>
    </cfRule>
  </conditionalFormatting>
  <conditionalFormatting sqref="AS201:AS203">
    <cfRule type="expression" dxfId="3859" priority="603">
      <formula>IF(L201=AS201,1,0)</formula>
    </cfRule>
  </conditionalFormatting>
  <conditionalFormatting sqref="F201:F203">
    <cfRule type="cellIs" dxfId="3858" priority="600" operator="equal">
      <formula>"3-001-2214"</formula>
    </cfRule>
    <cfRule type="cellIs" dxfId="3857" priority="601" operator="equal">
      <formula>"3-001-5204"</formula>
    </cfRule>
    <cfRule type="cellIs" dxfId="3856" priority="602" operator="equal">
      <formula>"3-001-0002"</formula>
    </cfRule>
  </conditionalFormatting>
  <conditionalFormatting sqref="AS200">
    <cfRule type="expression" dxfId="3855" priority="599">
      <formula>IF(L200=AS200,1,0)</formula>
    </cfRule>
  </conditionalFormatting>
  <conditionalFormatting sqref="F200">
    <cfRule type="cellIs" dxfId="3854" priority="596" operator="equal">
      <formula>"3-001-2214"</formula>
    </cfRule>
    <cfRule type="cellIs" dxfId="3853" priority="597" operator="equal">
      <formula>"3-001-5204"</formula>
    </cfRule>
    <cfRule type="cellIs" dxfId="3852" priority="598" operator="equal">
      <formula>"3-001-0002"</formula>
    </cfRule>
  </conditionalFormatting>
  <conditionalFormatting sqref="AS210">
    <cfRule type="expression" dxfId="3851" priority="591">
      <formula>IF(L210=AS210,1,0)</formula>
    </cfRule>
  </conditionalFormatting>
  <conditionalFormatting sqref="F210">
    <cfRule type="cellIs" dxfId="3850" priority="588" operator="equal">
      <formula>"3-001-2214"</formula>
    </cfRule>
    <cfRule type="cellIs" dxfId="3849" priority="589" operator="equal">
      <formula>"3-001-5204"</formula>
    </cfRule>
    <cfRule type="cellIs" dxfId="3848" priority="590" operator="equal">
      <formula>"3-001-0002"</formula>
    </cfRule>
  </conditionalFormatting>
  <conditionalFormatting sqref="AS204">
    <cfRule type="expression" dxfId="3847" priority="595">
      <formula>IF(L204=AS204,1,0)</formula>
    </cfRule>
  </conditionalFormatting>
  <conditionalFormatting sqref="F204">
    <cfRule type="cellIs" dxfId="3846" priority="592" operator="equal">
      <formula>"3-001-2214"</formula>
    </cfRule>
    <cfRule type="cellIs" dxfId="3845" priority="593" operator="equal">
      <formula>"3-001-5204"</formula>
    </cfRule>
    <cfRule type="cellIs" dxfId="3844" priority="594" operator="equal">
      <formula>"3-001-0002"</formula>
    </cfRule>
  </conditionalFormatting>
  <conditionalFormatting sqref="AS211">
    <cfRule type="expression" dxfId="3843" priority="587">
      <formula>IF(L211=AS211,1,0)</formula>
    </cfRule>
  </conditionalFormatting>
  <conditionalFormatting sqref="F211">
    <cfRule type="cellIs" dxfId="3842" priority="584" operator="equal">
      <formula>"3-001-2214"</formula>
    </cfRule>
    <cfRule type="cellIs" dxfId="3841" priority="585" operator="equal">
      <formula>"3-001-5204"</formula>
    </cfRule>
    <cfRule type="cellIs" dxfId="3840" priority="586" operator="equal">
      <formula>"3-001-0002"</formula>
    </cfRule>
  </conditionalFormatting>
  <conditionalFormatting sqref="F195">
    <cfRule type="cellIs" dxfId="3839" priority="572" operator="equal">
      <formula>"3-001-2214"</formula>
    </cfRule>
    <cfRule type="cellIs" dxfId="3838" priority="573" operator="equal">
      <formula>"3-001-5204"</formula>
    </cfRule>
    <cfRule type="cellIs" dxfId="3837" priority="574" operator="equal">
      <formula>"3-001-0002"</formula>
    </cfRule>
  </conditionalFormatting>
  <conditionalFormatting sqref="AS190">
    <cfRule type="expression" dxfId="3836" priority="583">
      <formula>IF(L190=AS190,1,0)</formula>
    </cfRule>
  </conditionalFormatting>
  <conditionalFormatting sqref="F190">
    <cfRule type="cellIs" dxfId="3835" priority="580" operator="equal">
      <formula>"3-001-2214"</formula>
    </cfRule>
    <cfRule type="cellIs" dxfId="3834" priority="581" operator="equal">
      <formula>"3-001-5204"</formula>
    </cfRule>
    <cfRule type="cellIs" dxfId="3833" priority="582" operator="equal">
      <formula>"3-001-0002"</formula>
    </cfRule>
  </conditionalFormatting>
  <conditionalFormatting sqref="AS197">
    <cfRule type="expression" dxfId="3832" priority="579">
      <formula>IF(L197=AS197,1,0)</formula>
    </cfRule>
  </conditionalFormatting>
  <conditionalFormatting sqref="F197">
    <cfRule type="cellIs" dxfId="3831" priority="576" operator="equal">
      <formula>"3-001-2214"</formula>
    </cfRule>
    <cfRule type="cellIs" dxfId="3830" priority="577" operator="equal">
      <formula>"3-001-5204"</formula>
    </cfRule>
    <cfRule type="cellIs" dxfId="3829" priority="578" operator="equal">
      <formula>"3-001-0002"</formula>
    </cfRule>
  </conditionalFormatting>
  <conditionalFormatting sqref="AS195">
    <cfRule type="expression" dxfId="3828" priority="575">
      <formula>IF(L195=AS195,1,0)</formula>
    </cfRule>
  </conditionalFormatting>
  <conditionalFormatting sqref="F196">
    <cfRule type="cellIs" dxfId="3827" priority="568" operator="equal">
      <formula>"3-001-2214"</formula>
    </cfRule>
    <cfRule type="cellIs" dxfId="3826" priority="569" operator="equal">
      <formula>"3-001-5204"</formula>
    </cfRule>
    <cfRule type="cellIs" dxfId="3825" priority="570" operator="equal">
      <formula>"3-001-0002"</formula>
    </cfRule>
  </conditionalFormatting>
  <conditionalFormatting sqref="AS196">
    <cfRule type="expression" dxfId="3824" priority="571">
      <formula>IF(L196=AS196,1,0)</formula>
    </cfRule>
  </conditionalFormatting>
  <conditionalFormatting sqref="AS182">
    <cfRule type="expression" dxfId="3823" priority="567">
      <formula>IF(L182=AS182,1,0)</formula>
    </cfRule>
  </conditionalFormatting>
  <conditionalFormatting sqref="F182">
    <cfRule type="cellIs" dxfId="3822" priority="564" operator="equal">
      <formula>"3-001-2214"</formula>
    </cfRule>
    <cfRule type="cellIs" dxfId="3821" priority="565" operator="equal">
      <formula>"3-001-5204"</formula>
    </cfRule>
    <cfRule type="cellIs" dxfId="3820" priority="566" operator="equal">
      <formula>"3-001-0002"</formula>
    </cfRule>
  </conditionalFormatting>
  <conditionalFormatting sqref="AS310">
    <cfRule type="expression" dxfId="3819" priority="563">
      <formula>IF(L310=AS310,1,0)</formula>
    </cfRule>
  </conditionalFormatting>
  <conditionalFormatting sqref="AS205">
    <cfRule type="expression" dxfId="3818" priority="562">
      <formula>IF(L205=AS205,1,0)</formula>
    </cfRule>
  </conditionalFormatting>
  <conditionalFormatting sqref="F205">
    <cfRule type="cellIs" dxfId="3817" priority="559" operator="equal">
      <formula>"3-001-2214"</formula>
    </cfRule>
    <cfRule type="cellIs" dxfId="3816" priority="560" operator="equal">
      <formula>"3-001-5204"</formula>
    </cfRule>
    <cfRule type="cellIs" dxfId="3815" priority="561" operator="equal">
      <formula>"3-001-0002"</formula>
    </cfRule>
  </conditionalFormatting>
  <conditionalFormatting sqref="AS206">
    <cfRule type="expression" dxfId="3814" priority="558">
      <formula>IF(L206=AS206,1,0)</formula>
    </cfRule>
  </conditionalFormatting>
  <conditionalFormatting sqref="F206">
    <cfRule type="cellIs" dxfId="3813" priority="555" operator="equal">
      <formula>"3-001-2214"</formula>
    </cfRule>
    <cfRule type="cellIs" dxfId="3812" priority="556" operator="equal">
      <formula>"3-001-5204"</formula>
    </cfRule>
    <cfRule type="cellIs" dxfId="3811" priority="557" operator="equal">
      <formula>"3-001-0002"</formula>
    </cfRule>
  </conditionalFormatting>
  <conditionalFormatting sqref="AS46">
    <cfRule type="expression" dxfId="3810" priority="554">
      <formula>IF(L46=AS46,1,0)</formula>
    </cfRule>
  </conditionalFormatting>
  <conditionalFormatting sqref="F46">
    <cfRule type="cellIs" dxfId="3809" priority="551" operator="equal">
      <formula>"3-001-2214"</formula>
    </cfRule>
    <cfRule type="cellIs" dxfId="3808" priority="552" operator="equal">
      <formula>"3-001-5204"</formula>
    </cfRule>
    <cfRule type="cellIs" dxfId="3807" priority="553" operator="equal">
      <formula>"3-001-0002"</formula>
    </cfRule>
  </conditionalFormatting>
  <conditionalFormatting sqref="AS47">
    <cfRule type="expression" dxfId="3806" priority="550">
      <formula>IF(L47=AS47,1,0)</formula>
    </cfRule>
  </conditionalFormatting>
  <conditionalFormatting sqref="F47">
    <cfRule type="cellIs" dxfId="3805" priority="547" operator="equal">
      <formula>"3-001-2214"</formula>
    </cfRule>
    <cfRule type="cellIs" dxfId="3804" priority="548" operator="equal">
      <formula>"3-001-5204"</formula>
    </cfRule>
    <cfRule type="cellIs" dxfId="3803" priority="549" operator="equal">
      <formula>"3-001-0002"</formula>
    </cfRule>
  </conditionalFormatting>
  <conditionalFormatting sqref="Q311">
    <cfRule type="cellIs" dxfId="3802" priority="546" operator="notEqual">
      <formula>$Q$309</formula>
    </cfRule>
  </conditionalFormatting>
  <conditionalFormatting sqref="S311">
    <cfRule type="cellIs" dxfId="3801" priority="545" operator="notEqual">
      <formula>$S$309</formula>
    </cfRule>
  </conditionalFormatting>
  <conditionalFormatting sqref="F171">
    <cfRule type="cellIs" dxfId="3800" priority="541" operator="equal">
      <formula>"3-001-2214"</formula>
    </cfRule>
    <cfRule type="cellIs" dxfId="3799" priority="542" operator="equal">
      <formula>"3-001-5204"</formula>
    </cfRule>
    <cfRule type="cellIs" dxfId="3798" priority="543" operator="equal">
      <formula>"3-001-0002"</formula>
    </cfRule>
  </conditionalFormatting>
  <conditionalFormatting sqref="F172">
    <cfRule type="cellIs" dxfId="3797" priority="538" operator="equal">
      <formula>"3-001-2214"</formula>
    </cfRule>
    <cfRule type="cellIs" dxfId="3796" priority="539" operator="equal">
      <formula>"3-001-5204"</formula>
    </cfRule>
    <cfRule type="cellIs" dxfId="3795" priority="540" operator="equal">
      <formula>"3-001-0002"</formula>
    </cfRule>
  </conditionalFormatting>
  <conditionalFormatting sqref="F173">
    <cfRule type="cellIs" dxfId="3794" priority="535" operator="equal">
      <formula>"3-001-2214"</formula>
    </cfRule>
    <cfRule type="cellIs" dxfId="3793" priority="536" operator="equal">
      <formula>"3-001-5204"</formula>
    </cfRule>
    <cfRule type="cellIs" dxfId="3792" priority="537" operator="equal">
      <formula>"3-001-0002"</formula>
    </cfRule>
  </conditionalFormatting>
  <conditionalFormatting sqref="F174">
    <cfRule type="cellIs" dxfId="3791" priority="532" operator="equal">
      <formula>"3-001-2214"</formula>
    </cfRule>
    <cfRule type="cellIs" dxfId="3790" priority="533" operator="equal">
      <formula>"3-001-5204"</formula>
    </cfRule>
    <cfRule type="cellIs" dxfId="3789" priority="534" operator="equal">
      <formula>"3-001-0002"</formula>
    </cfRule>
  </conditionalFormatting>
  <conditionalFormatting sqref="F175">
    <cfRule type="cellIs" dxfId="3788" priority="529" operator="equal">
      <formula>"3-001-2214"</formula>
    </cfRule>
    <cfRule type="cellIs" dxfId="3787" priority="530" operator="equal">
      <formula>"3-001-5204"</formula>
    </cfRule>
    <cfRule type="cellIs" dxfId="3786" priority="531" operator="equal">
      <formula>"3-001-0002"</formula>
    </cfRule>
  </conditionalFormatting>
  <conditionalFormatting sqref="F176">
    <cfRule type="cellIs" dxfId="3785" priority="526" operator="equal">
      <formula>"3-001-2214"</formula>
    </cfRule>
    <cfRule type="cellIs" dxfId="3784" priority="527" operator="equal">
      <formula>"3-001-5204"</formula>
    </cfRule>
    <cfRule type="cellIs" dxfId="3783" priority="528" operator="equal">
      <formula>"3-001-0002"</formula>
    </cfRule>
  </conditionalFormatting>
  <conditionalFormatting sqref="AS213">
    <cfRule type="expression" dxfId="3782" priority="525">
      <formula>IF(L213=AS213,1,0)</formula>
    </cfRule>
  </conditionalFormatting>
  <conditionalFormatting sqref="F213">
    <cfRule type="cellIs" dxfId="3781" priority="522" operator="equal">
      <formula>"3-001-2214"</formula>
    </cfRule>
    <cfRule type="cellIs" dxfId="3780" priority="523" operator="equal">
      <formula>"3-001-5204"</formula>
    </cfRule>
    <cfRule type="cellIs" dxfId="3779" priority="524" operator="equal">
      <formula>"3-001-0002"</formula>
    </cfRule>
  </conditionalFormatting>
  <conditionalFormatting sqref="AS217">
    <cfRule type="expression" dxfId="3778" priority="521">
      <formula>IF(L217=AS217,1,0)</formula>
    </cfRule>
  </conditionalFormatting>
  <conditionalFormatting sqref="F217">
    <cfRule type="cellIs" dxfId="3777" priority="518" operator="equal">
      <formula>"3-001-2214"</formula>
    </cfRule>
    <cfRule type="cellIs" dxfId="3776" priority="519" operator="equal">
      <formula>"3-001-5204"</formula>
    </cfRule>
    <cfRule type="cellIs" dxfId="3775" priority="520" operator="equal">
      <formula>"3-001-0002"</formula>
    </cfRule>
  </conditionalFormatting>
  <conditionalFormatting sqref="F268">
    <cfRule type="cellIs" dxfId="3774" priority="514" operator="equal">
      <formula>"3-001-2214"</formula>
    </cfRule>
    <cfRule type="cellIs" dxfId="3773" priority="515" operator="equal">
      <formula>"3-001-5204"</formula>
    </cfRule>
    <cfRule type="cellIs" dxfId="3772" priority="516" operator="equal">
      <formula>"3-001-0002"</formula>
    </cfRule>
  </conditionalFormatting>
  <conditionalFormatting sqref="AS268">
    <cfRule type="expression" dxfId="3771" priority="517">
      <formula>IF(L268=AS268,1,0)</formula>
    </cfRule>
  </conditionalFormatting>
  <conditionalFormatting sqref="AS269">
    <cfRule type="expression" dxfId="3770" priority="513">
      <formula>IF(L269=AS269,1,0)</formula>
    </cfRule>
  </conditionalFormatting>
  <conditionalFormatting sqref="F269">
    <cfRule type="cellIs" dxfId="3769" priority="510" operator="equal">
      <formula>"3-001-2214"</formula>
    </cfRule>
    <cfRule type="cellIs" dxfId="3768" priority="511" operator="equal">
      <formula>"3-001-5204"</formula>
    </cfRule>
    <cfRule type="cellIs" dxfId="3767" priority="512" operator="equal">
      <formula>"3-001-0002"</formula>
    </cfRule>
  </conditionalFormatting>
  <conditionalFormatting sqref="X179:X180">
    <cfRule type="cellIs" dxfId="3766" priority="509" operator="notEqual">
      <formula>$L$178</formula>
    </cfRule>
  </conditionalFormatting>
  <conditionalFormatting sqref="AS212">
    <cfRule type="expression" dxfId="3765" priority="508">
      <formula>IF(L212=AS212,1,0)</formula>
    </cfRule>
  </conditionalFormatting>
  <conditionalFormatting sqref="F212">
    <cfRule type="cellIs" dxfId="3764" priority="505" operator="equal">
      <formula>"3-001-2214"</formula>
    </cfRule>
    <cfRule type="cellIs" dxfId="3763" priority="506" operator="equal">
      <formula>"3-001-5204"</formula>
    </cfRule>
    <cfRule type="cellIs" dxfId="3762" priority="507" operator="equal">
      <formula>"3-001-0002"</formula>
    </cfRule>
  </conditionalFormatting>
  <conditionalFormatting sqref="AS218">
    <cfRule type="expression" dxfId="3761" priority="504">
      <formula>IF(L218=AS218,1,0)</formula>
    </cfRule>
  </conditionalFormatting>
  <conditionalFormatting sqref="F218">
    <cfRule type="cellIs" dxfId="3760" priority="501" operator="equal">
      <formula>"3-001-2214"</formula>
    </cfRule>
    <cfRule type="cellIs" dxfId="3759" priority="502" operator="equal">
      <formula>"3-001-5204"</formula>
    </cfRule>
    <cfRule type="cellIs" dxfId="3758" priority="503" operator="equal">
      <formula>"3-001-0002"</formula>
    </cfRule>
  </conditionalFormatting>
  <conditionalFormatting sqref="AS43">
    <cfRule type="expression" dxfId="3757" priority="500">
      <formula>IF(L43=AS43,1,0)</formula>
    </cfRule>
  </conditionalFormatting>
  <conditionalFormatting sqref="F43">
    <cfRule type="cellIs" dxfId="3756" priority="497" operator="equal">
      <formula>"3-001-2214"</formula>
    </cfRule>
    <cfRule type="cellIs" dxfId="3755" priority="498" operator="equal">
      <formula>"3-001-5204"</formula>
    </cfRule>
    <cfRule type="cellIs" dxfId="3754" priority="499" operator="equal">
      <formula>"3-001-0002"</formula>
    </cfRule>
  </conditionalFormatting>
  <conditionalFormatting sqref="M311">
    <cfRule type="cellIs" dxfId="3753" priority="496" operator="notEqual">
      <formula>$M$309</formula>
    </cfRule>
  </conditionalFormatting>
  <conditionalFormatting sqref="F5">
    <cfRule type="cellIs" dxfId="3752" priority="493" operator="equal">
      <formula>"3-001-2214"</formula>
    </cfRule>
    <cfRule type="cellIs" dxfId="3751" priority="494" operator="equal">
      <formula>"3-001-5204"</formula>
    </cfRule>
    <cfRule type="cellIs" dxfId="3750" priority="495" operator="equal">
      <formula>"3-001-0002"</formula>
    </cfRule>
  </conditionalFormatting>
  <conditionalFormatting sqref="Q178">
    <cfRule type="cellIs" dxfId="3749" priority="492" operator="notEqual">
      <formula>$Q$177</formula>
    </cfRule>
  </conditionalFormatting>
  <conditionalFormatting sqref="S178">
    <cfRule type="cellIs" dxfId="3748" priority="491" operator="notEqual">
      <formula>$S$177</formula>
    </cfRule>
  </conditionalFormatting>
  <conditionalFormatting sqref="AS277">
    <cfRule type="expression" dxfId="3747" priority="490">
      <formula>IF(L277=AS277,1,0)</formula>
    </cfRule>
  </conditionalFormatting>
  <conditionalFormatting sqref="AS278">
    <cfRule type="expression" dxfId="3746" priority="489">
      <formula>IF(L278=AS278,1,0)</formula>
    </cfRule>
  </conditionalFormatting>
  <conditionalFormatting sqref="F228">
    <cfRule type="cellIs" dxfId="3745" priority="485" operator="equal">
      <formula>"3-001-2214"</formula>
    </cfRule>
    <cfRule type="cellIs" dxfId="3744" priority="486" operator="equal">
      <formula>"3-001-5204"</formula>
    </cfRule>
    <cfRule type="cellIs" dxfId="3743" priority="487" operator="equal">
      <formula>"3-001-0002"</formula>
    </cfRule>
  </conditionalFormatting>
  <conditionalFormatting sqref="AS228">
    <cfRule type="expression" dxfId="3742" priority="488">
      <formula>IF(L228=AS228,1,0)</formula>
    </cfRule>
  </conditionalFormatting>
  <conditionalFormatting sqref="AS238">
    <cfRule type="expression" dxfId="3741" priority="484">
      <formula>IF(L238=AS238,1,0)</formula>
    </cfRule>
  </conditionalFormatting>
  <conditionalFormatting sqref="F238">
    <cfRule type="cellIs" dxfId="3740" priority="481" operator="equal">
      <formula>"3-001-2214"</formula>
    </cfRule>
    <cfRule type="cellIs" dxfId="3739" priority="482" operator="equal">
      <formula>"3-001-5204"</formula>
    </cfRule>
    <cfRule type="cellIs" dxfId="3738" priority="483" operator="equal">
      <formula>"3-001-0002"</formula>
    </cfRule>
  </conditionalFormatting>
  <conditionalFormatting sqref="AS239">
    <cfRule type="expression" dxfId="3737" priority="480">
      <formula>IF(L239=AS239,1,0)</formula>
    </cfRule>
  </conditionalFormatting>
  <conditionalFormatting sqref="F239">
    <cfRule type="cellIs" dxfId="3736" priority="477" operator="equal">
      <formula>"3-001-2214"</formula>
    </cfRule>
    <cfRule type="cellIs" dxfId="3735" priority="478" operator="equal">
      <formula>"3-001-5204"</formula>
    </cfRule>
    <cfRule type="cellIs" dxfId="3734" priority="479" operator="equal">
      <formula>"3-001-0002"</formula>
    </cfRule>
  </conditionalFormatting>
  <conditionalFormatting sqref="F123">
    <cfRule type="cellIs" dxfId="3733" priority="473" operator="equal">
      <formula>"3-001-2214"</formula>
    </cfRule>
    <cfRule type="cellIs" dxfId="3732" priority="474" operator="equal">
      <formula>"3-001-5204"</formula>
    </cfRule>
    <cfRule type="cellIs" dxfId="3731" priority="475" operator="equal">
      <formula>"3-001-0002"</formula>
    </cfRule>
  </conditionalFormatting>
  <conditionalFormatting sqref="AS123">
    <cfRule type="expression" dxfId="3730" priority="476">
      <formula>IF(L123=AS123,1,0)</formula>
    </cfRule>
  </conditionalFormatting>
  <conditionalFormatting sqref="F122">
    <cfRule type="cellIs" dxfId="3729" priority="469" operator="equal">
      <formula>"3-001-2214"</formula>
    </cfRule>
    <cfRule type="cellIs" dxfId="3728" priority="470" operator="equal">
      <formula>"3-001-5204"</formula>
    </cfRule>
    <cfRule type="cellIs" dxfId="3727" priority="471" operator="equal">
      <formula>"3-001-0002"</formula>
    </cfRule>
  </conditionalFormatting>
  <conditionalFormatting sqref="AS122">
    <cfRule type="expression" dxfId="3726" priority="472">
      <formula>IF(L122=AS122,1,0)</formula>
    </cfRule>
  </conditionalFormatting>
  <conditionalFormatting sqref="F121">
    <cfRule type="cellIs" dxfId="3725" priority="465" operator="equal">
      <formula>"3-001-2214"</formula>
    </cfRule>
    <cfRule type="cellIs" dxfId="3724" priority="466" operator="equal">
      <formula>"3-001-5204"</formula>
    </cfRule>
    <cfRule type="cellIs" dxfId="3723" priority="467" operator="equal">
      <formula>"3-001-0002"</formula>
    </cfRule>
  </conditionalFormatting>
  <conditionalFormatting sqref="AS121">
    <cfRule type="expression" dxfId="3722" priority="468">
      <formula>IF(L121=AS121,1,0)</formula>
    </cfRule>
  </conditionalFormatting>
  <conditionalFormatting sqref="AS13">
    <cfRule type="expression" dxfId="3721" priority="464">
      <formula>IF(L13=AS13,1,0)</formula>
    </cfRule>
  </conditionalFormatting>
  <conditionalFormatting sqref="F13">
    <cfRule type="cellIs" dxfId="3720" priority="461" operator="equal">
      <formula>"3-001-2214"</formula>
    </cfRule>
    <cfRule type="cellIs" dxfId="3719" priority="462" operator="equal">
      <formula>"3-001-5204"</formula>
    </cfRule>
    <cfRule type="cellIs" dxfId="3718" priority="463" operator="equal">
      <formula>"3-001-0002"</formula>
    </cfRule>
  </conditionalFormatting>
  <conditionalFormatting sqref="AS15">
    <cfRule type="expression" dxfId="3717" priority="460">
      <formula>IF(L15=AS15,1,0)</formula>
    </cfRule>
  </conditionalFormatting>
  <conditionalFormatting sqref="F15">
    <cfRule type="cellIs" dxfId="3716" priority="457" operator="equal">
      <formula>"3-001-2214"</formula>
    </cfRule>
    <cfRule type="cellIs" dxfId="3715" priority="458" operator="equal">
      <formula>"3-001-5204"</formula>
    </cfRule>
    <cfRule type="cellIs" dxfId="3714" priority="459" operator="equal">
      <formula>"3-001-0002"</formula>
    </cfRule>
  </conditionalFormatting>
  <conditionalFormatting sqref="AS240">
    <cfRule type="expression" dxfId="3713" priority="456">
      <formula>IF(L240=AS240,1,0)</formula>
    </cfRule>
  </conditionalFormatting>
  <conditionalFormatting sqref="F240">
    <cfRule type="cellIs" dxfId="3712" priority="453" operator="equal">
      <formula>"3-001-2214"</formula>
    </cfRule>
    <cfRule type="cellIs" dxfId="3711" priority="454" operator="equal">
      <formula>"3-001-5204"</formula>
    </cfRule>
    <cfRule type="cellIs" dxfId="3710" priority="455" operator="equal">
      <formula>"3-001-0002"</formula>
    </cfRule>
  </conditionalFormatting>
  <conditionalFormatting sqref="F83">
    <cfRule type="cellIs" dxfId="3709" priority="449" operator="equal">
      <formula>"3-001-2214"</formula>
    </cfRule>
    <cfRule type="cellIs" dxfId="3708" priority="450" operator="equal">
      <formula>"3-001-5204"</formula>
    </cfRule>
    <cfRule type="cellIs" dxfId="3707" priority="451" operator="equal">
      <formula>"3-001-0002"</formula>
    </cfRule>
  </conditionalFormatting>
  <conditionalFormatting sqref="AS83">
    <cfRule type="expression" dxfId="3706" priority="452">
      <formula>IF(L83=AS83,1,0)</formula>
    </cfRule>
  </conditionalFormatting>
  <conditionalFormatting sqref="F124">
    <cfRule type="cellIs" dxfId="3705" priority="445" operator="equal">
      <formula>"3-001-2214"</formula>
    </cfRule>
    <cfRule type="cellIs" dxfId="3704" priority="446" operator="equal">
      <formula>"3-001-5204"</formula>
    </cfRule>
    <cfRule type="cellIs" dxfId="3703" priority="447" operator="equal">
      <formula>"3-001-0002"</formula>
    </cfRule>
  </conditionalFormatting>
  <conditionalFormatting sqref="AS124">
    <cfRule type="expression" dxfId="3702" priority="448">
      <formula>IF(L124=AS124,1,0)</formula>
    </cfRule>
  </conditionalFormatting>
  <conditionalFormatting sqref="AS261">
    <cfRule type="expression" dxfId="3701" priority="444">
      <formula>IF(L261=AS261,1,0)</formula>
    </cfRule>
  </conditionalFormatting>
  <conditionalFormatting sqref="F261">
    <cfRule type="cellIs" dxfId="3700" priority="441" operator="equal">
      <formula>"3-001-2214"</formula>
    </cfRule>
    <cfRule type="cellIs" dxfId="3699" priority="442" operator="equal">
      <formula>"3-001-5204"</formula>
    </cfRule>
    <cfRule type="cellIs" dxfId="3698" priority="443" operator="equal">
      <formula>"3-001-0002"</formula>
    </cfRule>
  </conditionalFormatting>
  <conditionalFormatting sqref="F262">
    <cfRule type="cellIs" dxfId="3697" priority="437" operator="equal">
      <formula>"3-001-2214"</formula>
    </cfRule>
    <cfRule type="cellIs" dxfId="3696" priority="438" operator="equal">
      <formula>"3-001-5204"</formula>
    </cfRule>
    <cfRule type="cellIs" dxfId="3695" priority="439" operator="equal">
      <formula>"3-001-0002"</formula>
    </cfRule>
  </conditionalFormatting>
  <conditionalFormatting sqref="AS262">
    <cfRule type="expression" dxfId="3694" priority="440">
      <formula>IF(L262=AS262,1,0)</formula>
    </cfRule>
  </conditionalFormatting>
  <conditionalFormatting sqref="AS264">
    <cfRule type="expression" dxfId="3693" priority="436">
      <formula>IF(L264=AS264,1,0)</formula>
    </cfRule>
  </conditionalFormatting>
  <conditionalFormatting sqref="F264">
    <cfRule type="cellIs" dxfId="3692" priority="433" operator="equal">
      <formula>"3-001-2214"</formula>
    </cfRule>
    <cfRule type="cellIs" dxfId="3691" priority="434" operator="equal">
      <formula>"3-001-5204"</formula>
    </cfRule>
    <cfRule type="cellIs" dxfId="3690" priority="435" operator="equal">
      <formula>"3-001-0002"</formula>
    </cfRule>
  </conditionalFormatting>
  <conditionalFormatting sqref="AS283">
    <cfRule type="expression" dxfId="3689" priority="432">
      <formula>IF(L283=AS283,1,0)</formula>
    </cfRule>
  </conditionalFormatting>
  <conditionalFormatting sqref="F283">
    <cfRule type="cellIs" dxfId="3688" priority="429" operator="equal">
      <formula>"3-001-2214"</formula>
    </cfRule>
    <cfRule type="cellIs" dxfId="3687" priority="430" operator="equal">
      <formula>"3-001-5204"</formula>
    </cfRule>
    <cfRule type="cellIs" dxfId="3686" priority="431" operator="equal">
      <formula>"3-001-0002"</formula>
    </cfRule>
  </conditionalFormatting>
  <conditionalFormatting sqref="F284">
    <cfRule type="cellIs" dxfId="3685" priority="425" operator="equal">
      <formula>"3-001-2214"</formula>
    </cfRule>
    <cfRule type="cellIs" dxfId="3684" priority="426" operator="equal">
      <formula>"3-001-5204"</formula>
    </cfRule>
    <cfRule type="cellIs" dxfId="3683" priority="427" operator="equal">
      <formula>"3-001-0002"</formula>
    </cfRule>
  </conditionalFormatting>
  <conditionalFormatting sqref="AS284">
    <cfRule type="expression" dxfId="3682" priority="428">
      <formula>IF(L284=AS284,1,0)</formula>
    </cfRule>
  </conditionalFormatting>
  <conditionalFormatting sqref="AS299">
    <cfRule type="expression" dxfId="3681" priority="424">
      <formula>IF(L299=AS299,1,0)</formula>
    </cfRule>
  </conditionalFormatting>
  <conditionalFormatting sqref="F299">
    <cfRule type="cellIs" dxfId="3680" priority="421" operator="equal">
      <formula>"3-001-2214"</formula>
    </cfRule>
    <cfRule type="cellIs" dxfId="3679" priority="422" operator="equal">
      <formula>"3-001-5204"</formula>
    </cfRule>
    <cfRule type="cellIs" dxfId="3678" priority="423" operator="equal">
      <formula>"3-001-0002"</formula>
    </cfRule>
  </conditionalFormatting>
  <conditionalFormatting sqref="F278">
    <cfRule type="cellIs" dxfId="3677" priority="418" operator="equal">
      <formula>"3-001-2214"</formula>
    </cfRule>
    <cfRule type="cellIs" dxfId="3676" priority="419" operator="equal">
      <formula>"3-001-5204"</formula>
    </cfRule>
    <cfRule type="cellIs" dxfId="3675" priority="420" operator="equal">
      <formula>"3-001-0002"</formula>
    </cfRule>
  </conditionalFormatting>
  <conditionalFormatting sqref="F277">
    <cfRule type="cellIs" dxfId="3674" priority="415" operator="equal">
      <formula>"3-001-2214"</formula>
    </cfRule>
    <cfRule type="cellIs" dxfId="3673" priority="416" operator="equal">
      <formula>"3-001-5204"</formula>
    </cfRule>
    <cfRule type="cellIs" dxfId="3672" priority="417" operator="equal">
      <formula>"3-001-0002"</formula>
    </cfRule>
  </conditionalFormatting>
  <conditionalFormatting sqref="F286">
    <cfRule type="cellIs" dxfId="3671" priority="411" operator="equal">
      <formula>"3-001-2214"</formula>
    </cfRule>
    <cfRule type="cellIs" dxfId="3670" priority="412" operator="equal">
      <formula>"3-001-5204"</formula>
    </cfRule>
    <cfRule type="cellIs" dxfId="3669" priority="413" operator="equal">
      <formula>"3-001-0002"</formula>
    </cfRule>
  </conditionalFormatting>
  <conditionalFormatting sqref="AS286">
    <cfRule type="expression" dxfId="3668" priority="414">
      <formula>IF(L286=AS286,1,0)</formula>
    </cfRule>
  </conditionalFormatting>
  <conditionalFormatting sqref="AW178:AX178">
    <cfRule type="cellIs" dxfId="3667" priority="410" operator="notEqual">
      <formula>$AW$177</formula>
    </cfRule>
  </conditionalFormatting>
  <conditionalFormatting sqref="F84">
    <cfRule type="cellIs" dxfId="3666" priority="406" operator="equal">
      <formula>"3-001-2214"</formula>
    </cfRule>
    <cfRule type="cellIs" dxfId="3665" priority="407" operator="equal">
      <formula>"3-001-5204"</formula>
    </cfRule>
    <cfRule type="cellIs" dxfId="3664" priority="408" operator="equal">
      <formula>"3-001-0002"</formula>
    </cfRule>
  </conditionalFormatting>
  <conditionalFormatting sqref="AS84">
    <cfRule type="expression" dxfId="3663" priority="409">
      <formula>IF(L84=AS84,1,0)</formula>
    </cfRule>
  </conditionalFormatting>
  <conditionalFormatting sqref="O178">
    <cfRule type="cellIs" dxfId="3662" priority="405" operator="notEqual">
      <formula>$O$177</formula>
    </cfRule>
  </conditionalFormatting>
  <conditionalFormatting sqref="AS246">
    <cfRule type="expression" dxfId="3661" priority="404">
      <formula>IF(L246=AS246,1,0)</formula>
    </cfRule>
  </conditionalFormatting>
  <conditionalFormatting sqref="F246">
    <cfRule type="cellIs" dxfId="3660" priority="401" operator="equal">
      <formula>"3-001-2214"</formula>
    </cfRule>
    <cfRule type="cellIs" dxfId="3659" priority="402" operator="equal">
      <formula>"3-001-5204"</formula>
    </cfRule>
    <cfRule type="cellIs" dxfId="3658" priority="403" operator="equal">
      <formula>"3-001-0002"</formula>
    </cfRule>
  </conditionalFormatting>
  <conditionalFormatting sqref="AS23">
    <cfRule type="expression" dxfId="3657" priority="400">
      <formula>IF(L23=AS23,1,0)</formula>
    </cfRule>
  </conditionalFormatting>
  <conditionalFormatting sqref="F23">
    <cfRule type="cellIs" dxfId="3656" priority="397" operator="equal">
      <formula>"3-001-2214"</formula>
    </cfRule>
    <cfRule type="cellIs" dxfId="3655" priority="398" operator="equal">
      <formula>"3-001-5204"</formula>
    </cfRule>
    <cfRule type="cellIs" dxfId="3654" priority="399" operator="equal">
      <formula>"3-001-0002"</formula>
    </cfRule>
  </conditionalFormatting>
  <conditionalFormatting sqref="F285">
    <cfRule type="cellIs" dxfId="3653" priority="393" operator="equal">
      <formula>"3-001-2214"</formula>
    </cfRule>
    <cfRule type="cellIs" dxfId="3652" priority="394" operator="equal">
      <formula>"3-001-5204"</formula>
    </cfRule>
    <cfRule type="cellIs" dxfId="3651" priority="395" operator="equal">
      <formula>"3-001-0002"</formula>
    </cfRule>
  </conditionalFormatting>
  <conditionalFormatting sqref="AS285">
    <cfRule type="expression" dxfId="3650" priority="396">
      <formula>IF(L285=AS285,1,0)</formula>
    </cfRule>
  </conditionalFormatting>
  <conditionalFormatting sqref="AS27">
    <cfRule type="expression" dxfId="3649" priority="392">
      <formula>IF(L27=AS27,1,0)</formula>
    </cfRule>
  </conditionalFormatting>
  <conditionalFormatting sqref="F27">
    <cfRule type="cellIs" dxfId="3648" priority="389" operator="equal">
      <formula>"3-001-2214"</formula>
    </cfRule>
    <cfRule type="cellIs" dxfId="3647" priority="390" operator="equal">
      <formula>"3-001-5204"</formula>
    </cfRule>
    <cfRule type="cellIs" dxfId="3646" priority="391" operator="equal">
      <formula>"3-001-0002"</formula>
    </cfRule>
  </conditionalFormatting>
  <conditionalFormatting sqref="AS303">
    <cfRule type="expression" dxfId="3645" priority="388">
      <formula>IF(L303=AS303,1,0)</formula>
    </cfRule>
  </conditionalFormatting>
  <conditionalFormatting sqref="F303">
    <cfRule type="cellIs" dxfId="3644" priority="385" operator="equal">
      <formula>"3-001-2214"</formula>
    </cfRule>
    <cfRule type="cellIs" dxfId="3643" priority="386" operator="equal">
      <formula>"3-001-5204"</formula>
    </cfRule>
    <cfRule type="cellIs" dxfId="3642" priority="387" operator="equal">
      <formula>"3-001-0002"</formula>
    </cfRule>
  </conditionalFormatting>
  <conditionalFormatting sqref="AS301">
    <cfRule type="expression" dxfId="3641" priority="384">
      <formula>IF(L301=AS301,1,0)</formula>
    </cfRule>
  </conditionalFormatting>
  <conditionalFormatting sqref="F301">
    <cfRule type="cellIs" dxfId="3640" priority="381" operator="equal">
      <formula>"3-001-2214"</formula>
    </cfRule>
    <cfRule type="cellIs" dxfId="3639" priority="382" operator="equal">
      <formula>"3-001-5204"</formula>
    </cfRule>
    <cfRule type="cellIs" dxfId="3638" priority="383" operator="equal">
      <formula>"3-001-0002"</formula>
    </cfRule>
  </conditionalFormatting>
  <conditionalFormatting sqref="AS302">
    <cfRule type="expression" dxfId="3637" priority="380">
      <formula>IF(L302=AS302,1,0)</formula>
    </cfRule>
  </conditionalFormatting>
  <conditionalFormatting sqref="F302">
    <cfRule type="cellIs" dxfId="3636" priority="377" operator="equal">
      <formula>"3-001-2214"</formula>
    </cfRule>
    <cfRule type="cellIs" dxfId="3635" priority="378" operator="equal">
      <formula>"3-001-5204"</formula>
    </cfRule>
    <cfRule type="cellIs" dxfId="3634" priority="379" operator="equal">
      <formula>"3-001-0002"</formula>
    </cfRule>
  </conditionalFormatting>
  <conditionalFormatting sqref="F289">
    <cfRule type="cellIs" dxfId="3633" priority="373" operator="equal">
      <formula>"3-001-2214"</formula>
    </cfRule>
    <cfRule type="cellIs" dxfId="3632" priority="374" operator="equal">
      <formula>"3-001-5204"</formula>
    </cfRule>
    <cfRule type="cellIs" dxfId="3631" priority="375" operator="equal">
      <formula>"3-001-0002"</formula>
    </cfRule>
  </conditionalFormatting>
  <conditionalFormatting sqref="AS289">
    <cfRule type="expression" dxfId="3630" priority="376">
      <formula>IF(L289=AS289,1,0)</formula>
    </cfRule>
  </conditionalFormatting>
  <conditionalFormatting sqref="F290">
    <cfRule type="cellIs" dxfId="3629" priority="369" operator="equal">
      <formula>"3-001-2214"</formula>
    </cfRule>
    <cfRule type="cellIs" dxfId="3628" priority="370" operator="equal">
      <formula>"3-001-5204"</formula>
    </cfRule>
    <cfRule type="cellIs" dxfId="3627" priority="371" operator="equal">
      <formula>"3-001-0002"</formula>
    </cfRule>
  </conditionalFormatting>
  <conditionalFormatting sqref="AS290">
    <cfRule type="expression" dxfId="3626" priority="372">
      <formula>IF(L290=AS290,1,0)</formula>
    </cfRule>
  </conditionalFormatting>
  <conditionalFormatting sqref="F287">
    <cfRule type="cellIs" dxfId="3625" priority="365" operator="equal">
      <formula>"3-001-2214"</formula>
    </cfRule>
    <cfRule type="cellIs" dxfId="3624" priority="366" operator="equal">
      <formula>"3-001-5204"</formula>
    </cfRule>
    <cfRule type="cellIs" dxfId="3623" priority="367" operator="equal">
      <formula>"3-001-0002"</formula>
    </cfRule>
  </conditionalFormatting>
  <conditionalFormatting sqref="AS287">
    <cfRule type="expression" dxfId="3622" priority="368">
      <formula>IF(L287=AS287,1,0)</formula>
    </cfRule>
  </conditionalFormatting>
  <conditionalFormatting sqref="O311">
    <cfRule type="cellIs" dxfId="3621" priority="364" operator="notEqual">
      <formula>$O$309</formula>
    </cfRule>
  </conditionalFormatting>
  <conditionalFormatting sqref="AS26">
    <cfRule type="expression" dxfId="3620" priority="363">
      <formula>IF(L26=AS26,1,0)</formula>
    </cfRule>
  </conditionalFormatting>
  <conditionalFormatting sqref="F26">
    <cfRule type="cellIs" dxfId="3619" priority="360" operator="equal">
      <formula>"3-001-2214"</formula>
    </cfRule>
    <cfRule type="cellIs" dxfId="3618" priority="361" operator="equal">
      <formula>"3-001-5204"</formula>
    </cfRule>
    <cfRule type="cellIs" dxfId="3617" priority="362" operator="equal">
      <formula>"3-001-0002"</formula>
    </cfRule>
  </conditionalFormatting>
  <conditionalFormatting sqref="AS251">
    <cfRule type="expression" dxfId="3616" priority="359">
      <formula>IF(L251=AS251,1,0)</formula>
    </cfRule>
  </conditionalFormatting>
  <conditionalFormatting sqref="F251">
    <cfRule type="cellIs" dxfId="3615" priority="356" operator="equal">
      <formula>"3-001-2214"</formula>
    </cfRule>
    <cfRule type="cellIs" dxfId="3614" priority="357" operator="equal">
      <formula>"3-001-5204"</formula>
    </cfRule>
    <cfRule type="cellIs" dxfId="3613" priority="358" operator="equal">
      <formula>"3-001-0002"</formula>
    </cfRule>
  </conditionalFormatting>
  <conditionalFormatting sqref="F257">
    <cfRule type="cellIs" dxfId="3612" priority="352" operator="equal">
      <formula>"3-001-2214"</formula>
    </cfRule>
    <cfRule type="cellIs" dxfId="3611" priority="353" operator="equal">
      <formula>"3-001-5204"</formula>
    </cfRule>
    <cfRule type="cellIs" dxfId="3610" priority="354" operator="equal">
      <formula>"3-001-0002"</formula>
    </cfRule>
  </conditionalFormatting>
  <conditionalFormatting sqref="AS257">
    <cfRule type="expression" dxfId="3609" priority="355">
      <formula>IF(L257=AS257,1,0)</formula>
    </cfRule>
  </conditionalFormatting>
  <conditionalFormatting sqref="F252">
    <cfRule type="cellIs" dxfId="3608" priority="348" operator="equal">
      <formula>"3-001-2214"</formula>
    </cfRule>
    <cfRule type="cellIs" dxfId="3607" priority="349" operator="equal">
      <formula>"3-001-5204"</formula>
    </cfRule>
    <cfRule type="cellIs" dxfId="3606" priority="350" operator="equal">
      <formula>"3-001-0002"</formula>
    </cfRule>
  </conditionalFormatting>
  <conditionalFormatting sqref="AS252">
    <cfRule type="expression" dxfId="3605" priority="351">
      <formula>IF(L252=AS252,1,0)</formula>
    </cfRule>
  </conditionalFormatting>
  <conditionalFormatting sqref="F253">
    <cfRule type="cellIs" dxfId="3604" priority="344" operator="equal">
      <formula>"3-001-2214"</formula>
    </cfRule>
    <cfRule type="cellIs" dxfId="3603" priority="345" operator="equal">
      <formula>"3-001-5204"</formula>
    </cfRule>
    <cfRule type="cellIs" dxfId="3602" priority="346" operator="equal">
      <formula>"3-001-0002"</formula>
    </cfRule>
  </conditionalFormatting>
  <conditionalFormatting sqref="AS253">
    <cfRule type="expression" dxfId="3601" priority="347">
      <formula>IF(L253=AS253,1,0)</formula>
    </cfRule>
  </conditionalFormatting>
  <conditionalFormatting sqref="AS25">
    <cfRule type="expression" dxfId="3600" priority="343">
      <formula>IF(L25=AS25,1,0)</formula>
    </cfRule>
  </conditionalFormatting>
  <conditionalFormatting sqref="F25">
    <cfRule type="cellIs" dxfId="3599" priority="340" operator="equal">
      <formula>"3-001-2214"</formula>
    </cfRule>
    <cfRule type="cellIs" dxfId="3598" priority="341" operator="equal">
      <formula>"3-001-5204"</formula>
    </cfRule>
    <cfRule type="cellIs" dxfId="3597" priority="342" operator="equal">
      <formula>"3-001-0002"</formula>
    </cfRule>
  </conditionalFormatting>
  <conditionalFormatting sqref="AS24">
    <cfRule type="expression" dxfId="3596" priority="339">
      <formula>IF(L24=AS24,1,0)</formula>
    </cfRule>
  </conditionalFormatting>
  <conditionalFormatting sqref="F24">
    <cfRule type="cellIs" dxfId="3595" priority="336" operator="equal">
      <formula>"3-001-2214"</formula>
    </cfRule>
    <cfRule type="cellIs" dxfId="3594" priority="337" operator="equal">
      <formula>"3-001-5204"</formula>
    </cfRule>
    <cfRule type="cellIs" dxfId="3593" priority="338" operator="equal">
      <formula>"3-001-0002"</formula>
    </cfRule>
  </conditionalFormatting>
  <conditionalFormatting sqref="F85">
    <cfRule type="cellIs" dxfId="3592" priority="332" operator="equal">
      <formula>"3-001-2214"</formula>
    </cfRule>
    <cfRule type="cellIs" dxfId="3591" priority="333" operator="equal">
      <formula>"3-001-5204"</formula>
    </cfRule>
    <cfRule type="cellIs" dxfId="3590" priority="334" operator="equal">
      <formula>"3-001-0002"</formula>
    </cfRule>
  </conditionalFormatting>
  <conditionalFormatting sqref="AS85">
    <cfRule type="expression" dxfId="3589" priority="335">
      <formula>IF(L85=AS85,1,0)</formula>
    </cfRule>
  </conditionalFormatting>
  <conditionalFormatting sqref="F86">
    <cfRule type="cellIs" dxfId="3588" priority="328" operator="equal">
      <formula>"3-001-2214"</formula>
    </cfRule>
    <cfRule type="cellIs" dxfId="3587" priority="329" operator="equal">
      <formula>"3-001-5204"</formula>
    </cfRule>
    <cfRule type="cellIs" dxfId="3586" priority="330" operator="equal">
      <formula>"3-001-0002"</formula>
    </cfRule>
  </conditionalFormatting>
  <conditionalFormatting sqref="AS86">
    <cfRule type="expression" dxfId="3585" priority="331">
      <formula>IF(L86=AS86,1,0)</formula>
    </cfRule>
  </conditionalFormatting>
  <conditionalFormatting sqref="F87">
    <cfRule type="cellIs" dxfId="3584" priority="324" operator="equal">
      <formula>"3-001-2214"</formula>
    </cfRule>
    <cfRule type="cellIs" dxfId="3583" priority="325" operator="equal">
      <formula>"3-001-5204"</formula>
    </cfRule>
    <cfRule type="cellIs" dxfId="3582" priority="326" operator="equal">
      <formula>"3-001-0002"</formula>
    </cfRule>
  </conditionalFormatting>
  <conditionalFormatting sqref="AS87">
    <cfRule type="expression" dxfId="3581" priority="327">
      <formula>IF(L87=AS87,1,0)</formula>
    </cfRule>
  </conditionalFormatting>
  <conditionalFormatting sqref="F126">
    <cfRule type="cellIs" dxfId="3580" priority="320" operator="equal">
      <formula>"3-001-2214"</formula>
    </cfRule>
    <cfRule type="cellIs" dxfId="3579" priority="321" operator="equal">
      <formula>"3-001-5204"</formula>
    </cfRule>
    <cfRule type="cellIs" dxfId="3578" priority="322" operator="equal">
      <formula>"3-001-0002"</formula>
    </cfRule>
  </conditionalFormatting>
  <conditionalFormatting sqref="AS126">
    <cfRule type="expression" dxfId="3577" priority="323">
      <formula>IF(L126=AS126,1,0)</formula>
    </cfRule>
  </conditionalFormatting>
  <conditionalFormatting sqref="F125">
    <cfRule type="cellIs" dxfId="3576" priority="316" operator="equal">
      <formula>"3-001-2214"</formula>
    </cfRule>
    <cfRule type="cellIs" dxfId="3575" priority="317" operator="equal">
      <formula>"3-001-5204"</formula>
    </cfRule>
    <cfRule type="cellIs" dxfId="3574" priority="318" operator="equal">
      <formula>"3-001-0002"</formula>
    </cfRule>
  </conditionalFormatting>
  <conditionalFormatting sqref="AS125">
    <cfRule type="expression" dxfId="3573" priority="319">
      <formula>IF(L125=AS125,1,0)</formula>
    </cfRule>
  </conditionalFormatting>
  <conditionalFormatting sqref="F127">
    <cfRule type="cellIs" dxfId="3572" priority="312" operator="equal">
      <formula>"3-001-2214"</formula>
    </cfRule>
    <cfRule type="cellIs" dxfId="3571" priority="313" operator="equal">
      <formula>"3-001-5204"</formula>
    </cfRule>
    <cfRule type="cellIs" dxfId="3570" priority="314" operator="equal">
      <formula>"3-001-0002"</formula>
    </cfRule>
  </conditionalFormatting>
  <conditionalFormatting sqref="AS127">
    <cfRule type="expression" dxfId="3569" priority="315">
      <formula>IF(L127=AS127,1,0)</formula>
    </cfRule>
  </conditionalFormatting>
  <conditionalFormatting sqref="F128">
    <cfRule type="cellIs" dxfId="3568" priority="308" operator="equal">
      <formula>"3-001-2214"</formula>
    </cfRule>
    <cfRule type="cellIs" dxfId="3567" priority="309" operator="equal">
      <formula>"3-001-5204"</formula>
    </cfRule>
    <cfRule type="cellIs" dxfId="3566" priority="310" operator="equal">
      <formula>"3-001-0002"</formula>
    </cfRule>
  </conditionalFormatting>
  <conditionalFormatting sqref="AS128">
    <cfRule type="expression" dxfId="3565" priority="311">
      <formula>IF(L128=AS128,1,0)</formula>
    </cfRule>
  </conditionalFormatting>
  <conditionalFormatting sqref="F129">
    <cfRule type="cellIs" dxfId="3564" priority="304" operator="equal">
      <formula>"3-001-2214"</formula>
    </cfRule>
    <cfRule type="cellIs" dxfId="3563" priority="305" operator="equal">
      <formula>"3-001-5204"</formula>
    </cfRule>
    <cfRule type="cellIs" dxfId="3562" priority="306" operator="equal">
      <formula>"3-001-0002"</formula>
    </cfRule>
  </conditionalFormatting>
  <conditionalFormatting sqref="AS129">
    <cfRule type="expression" dxfId="3561" priority="307">
      <formula>IF(L129=AS129,1,0)</formula>
    </cfRule>
  </conditionalFormatting>
  <conditionalFormatting sqref="F130">
    <cfRule type="cellIs" dxfId="3560" priority="300" operator="equal">
      <formula>"3-001-2214"</formula>
    </cfRule>
    <cfRule type="cellIs" dxfId="3559" priority="301" operator="equal">
      <formula>"3-001-5204"</formula>
    </cfRule>
    <cfRule type="cellIs" dxfId="3558" priority="302" operator="equal">
      <formula>"3-001-0002"</formula>
    </cfRule>
  </conditionalFormatting>
  <conditionalFormatting sqref="AS130">
    <cfRule type="expression" dxfId="3557" priority="303">
      <formula>IF(L130=AS130,1,0)</formula>
    </cfRule>
  </conditionalFormatting>
  <conditionalFormatting sqref="AS215">
    <cfRule type="expression" dxfId="3556" priority="299">
      <formula>IF(L215=AS215,1,0)</formula>
    </cfRule>
  </conditionalFormatting>
  <conditionalFormatting sqref="F215">
    <cfRule type="cellIs" dxfId="3555" priority="296" operator="equal">
      <formula>"3-001-2214"</formula>
    </cfRule>
    <cfRule type="cellIs" dxfId="3554" priority="297" operator="equal">
      <formula>"3-001-5204"</formula>
    </cfRule>
    <cfRule type="cellIs" dxfId="3553" priority="298" operator="equal">
      <formula>"3-001-0002"</formula>
    </cfRule>
  </conditionalFormatting>
  <conditionalFormatting sqref="AS243">
    <cfRule type="expression" dxfId="3552" priority="295">
      <formula>IF(L243=AS243,1,0)</formula>
    </cfRule>
  </conditionalFormatting>
  <conditionalFormatting sqref="F243">
    <cfRule type="cellIs" dxfId="3551" priority="292" operator="equal">
      <formula>"3-001-2214"</formula>
    </cfRule>
    <cfRule type="cellIs" dxfId="3550" priority="293" operator="equal">
      <formula>"3-001-5204"</formula>
    </cfRule>
    <cfRule type="cellIs" dxfId="3549" priority="294" operator="equal">
      <formula>"3-001-0002"</formula>
    </cfRule>
  </conditionalFormatting>
  <conditionalFormatting sqref="F235">
    <cfRule type="cellIs" dxfId="3548" priority="288" operator="equal">
      <formula>"3-001-2214"</formula>
    </cfRule>
    <cfRule type="cellIs" dxfId="3547" priority="289" operator="equal">
      <formula>"3-001-5204"</formula>
    </cfRule>
    <cfRule type="cellIs" dxfId="3546" priority="290" operator="equal">
      <formula>"3-001-0002"</formula>
    </cfRule>
  </conditionalFormatting>
  <conditionalFormatting sqref="AS235">
    <cfRule type="expression" dxfId="3545" priority="291">
      <formula>IF(L235=AS235,1,0)</formula>
    </cfRule>
  </conditionalFormatting>
  <conditionalFormatting sqref="F291">
    <cfRule type="cellIs" dxfId="3544" priority="284" operator="equal">
      <formula>"3-001-2214"</formula>
    </cfRule>
    <cfRule type="cellIs" dxfId="3543" priority="285" operator="equal">
      <formula>"3-001-5204"</formula>
    </cfRule>
    <cfRule type="cellIs" dxfId="3542" priority="286" operator="equal">
      <formula>"3-001-0002"</formula>
    </cfRule>
  </conditionalFormatting>
  <conditionalFormatting sqref="AS291">
    <cfRule type="expression" dxfId="3541" priority="287">
      <formula>IF(L291=AS291,1,0)</formula>
    </cfRule>
  </conditionalFormatting>
  <conditionalFormatting sqref="F132">
    <cfRule type="cellIs" dxfId="3540" priority="280" operator="equal">
      <formula>"3-001-2214"</formula>
    </cfRule>
    <cfRule type="cellIs" dxfId="3539" priority="281" operator="equal">
      <formula>"3-001-5204"</formula>
    </cfRule>
    <cfRule type="cellIs" dxfId="3538" priority="282" operator="equal">
      <formula>"3-001-0002"</formula>
    </cfRule>
  </conditionalFormatting>
  <conditionalFormatting sqref="AS132">
    <cfRule type="expression" dxfId="3537" priority="283">
      <formula>IF(L132=AS132,1,0)</formula>
    </cfRule>
  </conditionalFormatting>
  <conditionalFormatting sqref="F136">
    <cfRule type="cellIs" dxfId="3536" priority="276" operator="equal">
      <formula>"3-001-2214"</formula>
    </cfRule>
    <cfRule type="cellIs" dxfId="3535" priority="277" operator="equal">
      <formula>"3-001-5204"</formula>
    </cfRule>
    <cfRule type="cellIs" dxfId="3534" priority="278" operator="equal">
      <formula>"3-001-0002"</formula>
    </cfRule>
  </conditionalFormatting>
  <conditionalFormatting sqref="AS136">
    <cfRule type="expression" dxfId="3533" priority="279">
      <formula>IF(L136=AS136,1,0)</formula>
    </cfRule>
  </conditionalFormatting>
  <conditionalFormatting sqref="F131">
    <cfRule type="cellIs" dxfId="3532" priority="272" operator="equal">
      <formula>"3-001-2214"</formula>
    </cfRule>
    <cfRule type="cellIs" dxfId="3531" priority="273" operator="equal">
      <formula>"3-001-5204"</formula>
    </cfRule>
    <cfRule type="cellIs" dxfId="3530" priority="274" operator="equal">
      <formula>"3-001-0002"</formula>
    </cfRule>
  </conditionalFormatting>
  <conditionalFormatting sqref="AS131">
    <cfRule type="expression" dxfId="3529" priority="275">
      <formula>IF(L131=AS131,1,0)</formula>
    </cfRule>
  </conditionalFormatting>
  <conditionalFormatting sqref="F229">
    <cfRule type="cellIs" dxfId="3528" priority="268" operator="equal">
      <formula>"3-001-2214"</formula>
    </cfRule>
    <cfRule type="cellIs" dxfId="3527" priority="269" operator="equal">
      <formula>"3-001-5204"</formula>
    </cfRule>
    <cfRule type="cellIs" dxfId="3526" priority="270" operator="equal">
      <formula>"3-001-0002"</formula>
    </cfRule>
  </conditionalFormatting>
  <conditionalFormatting sqref="AS229">
    <cfRule type="expression" dxfId="3525" priority="271">
      <formula>IF(L229=AS229,1,0)</formula>
    </cfRule>
  </conditionalFormatting>
  <conditionalFormatting sqref="AS64">
    <cfRule type="expression" dxfId="3524" priority="267">
      <formula>IF(L64=AS64,1,0)</formula>
    </cfRule>
  </conditionalFormatting>
  <conditionalFormatting sqref="F64">
    <cfRule type="cellIs" dxfId="3523" priority="264" operator="equal">
      <formula>"3-001-2214"</formula>
    </cfRule>
    <cfRule type="cellIs" dxfId="3522" priority="265" operator="equal">
      <formula>"3-001-5204"</formula>
    </cfRule>
    <cfRule type="cellIs" dxfId="3521" priority="266" operator="equal">
      <formula>"3-001-0002"</formula>
    </cfRule>
  </conditionalFormatting>
  <conditionalFormatting sqref="F65">
    <cfRule type="cellIs" dxfId="3520" priority="256" operator="equal">
      <formula>"3-001-2214"</formula>
    </cfRule>
    <cfRule type="cellIs" dxfId="3519" priority="257" operator="equal">
      <formula>"3-001-5204"</formula>
    </cfRule>
    <cfRule type="cellIs" dxfId="3518" priority="258" operator="equal">
      <formula>"3-001-0002"</formula>
    </cfRule>
  </conditionalFormatting>
  <conditionalFormatting sqref="AS65">
    <cfRule type="expression" dxfId="3517" priority="259">
      <formula>IF(L65=AS65,1,0)</formula>
    </cfRule>
  </conditionalFormatting>
  <conditionalFormatting sqref="F66">
    <cfRule type="cellIs" dxfId="3516" priority="260" operator="equal">
      <formula>"3-001-2214"</formula>
    </cfRule>
    <cfRule type="cellIs" dxfId="3515" priority="261" operator="equal">
      <formula>"3-001-5204"</formula>
    </cfRule>
    <cfRule type="cellIs" dxfId="3514" priority="262" operator="equal">
      <formula>"3-001-0002"</formula>
    </cfRule>
  </conditionalFormatting>
  <conditionalFormatting sqref="AS66">
    <cfRule type="expression" dxfId="3513" priority="263">
      <formula>IF(L66=AS66,1,0)</formula>
    </cfRule>
  </conditionalFormatting>
  <conditionalFormatting sqref="AS61">
    <cfRule type="expression" dxfId="3512" priority="255">
      <formula>IF(L61=AS61,1,0)</formula>
    </cfRule>
  </conditionalFormatting>
  <conditionalFormatting sqref="F61">
    <cfRule type="cellIs" dxfId="3511" priority="252" operator="equal">
      <formula>"3-001-2214"</formula>
    </cfRule>
    <cfRule type="cellIs" dxfId="3510" priority="253" operator="equal">
      <formula>"3-001-5204"</formula>
    </cfRule>
    <cfRule type="cellIs" dxfId="3509" priority="254" operator="equal">
      <formula>"3-001-0002"</formula>
    </cfRule>
  </conditionalFormatting>
  <conditionalFormatting sqref="AS60">
    <cfRule type="expression" dxfId="3508" priority="251">
      <formula>IF(L60=AS60,1,0)</formula>
    </cfRule>
  </conditionalFormatting>
  <conditionalFormatting sqref="F60">
    <cfRule type="cellIs" dxfId="3507" priority="248" operator="equal">
      <formula>"3-001-2214"</formula>
    </cfRule>
    <cfRule type="cellIs" dxfId="3506" priority="249" operator="equal">
      <formula>"3-001-5204"</formula>
    </cfRule>
    <cfRule type="cellIs" dxfId="3505" priority="250" operator="equal">
      <formula>"3-001-0002"</formula>
    </cfRule>
  </conditionalFormatting>
  <conditionalFormatting sqref="F241">
    <cfRule type="cellIs" dxfId="3504" priority="244" operator="equal">
      <formula>"3-001-2214"</formula>
    </cfRule>
    <cfRule type="cellIs" dxfId="3503" priority="245" operator="equal">
      <formula>"3-001-5204"</formula>
    </cfRule>
    <cfRule type="cellIs" dxfId="3502" priority="246" operator="equal">
      <formula>"3-001-0002"</formula>
    </cfRule>
  </conditionalFormatting>
  <conditionalFormatting sqref="AS241">
    <cfRule type="expression" dxfId="3501" priority="247">
      <formula>IF(L241=AS241,1,0)</formula>
    </cfRule>
  </conditionalFormatting>
  <conditionalFormatting sqref="F242">
    <cfRule type="cellIs" dxfId="3500" priority="240" operator="equal">
      <formula>"3-001-2214"</formula>
    </cfRule>
    <cfRule type="cellIs" dxfId="3499" priority="241" operator="equal">
      <formula>"3-001-5204"</formula>
    </cfRule>
    <cfRule type="cellIs" dxfId="3498" priority="242" operator="equal">
      <formula>"3-001-0002"</formula>
    </cfRule>
  </conditionalFormatting>
  <conditionalFormatting sqref="AS242">
    <cfRule type="expression" dxfId="3497" priority="243">
      <formula>IF(L242=AS242,1,0)</formula>
    </cfRule>
  </conditionalFormatting>
  <conditionalFormatting sqref="F254">
    <cfRule type="cellIs" dxfId="3496" priority="236" operator="equal">
      <formula>"3-001-2214"</formula>
    </cfRule>
    <cfRule type="cellIs" dxfId="3495" priority="237" operator="equal">
      <formula>"3-001-5204"</formula>
    </cfRule>
    <cfRule type="cellIs" dxfId="3494" priority="238" operator="equal">
      <formula>"3-001-0002"</formula>
    </cfRule>
  </conditionalFormatting>
  <conditionalFormatting sqref="AS254">
    <cfRule type="expression" dxfId="3493" priority="239">
      <formula>IF(L254=AS254,1,0)</formula>
    </cfRule>
  </conditionalFormatting>
  <conditionalFormatting sqref="F288">
    <cfRule type="cellIs" dxfId="3492" priority="232" operator="equal">
      <formula>"3-001-2214"</formula>
    </cfRule>
    <cfRule type="cellIs" dxfId="3491" priority="233" operator="equal">
      <formula>"3-001-5204"</formula>
    </cfRule>
    <cfRule type="cellIs" dxfId="3490" priority="234" operator="equal">
      <formula>"3-001-0002"</formula>
    </cfRule>
  </conditionalFormatting>
  <conditionalFormatting sqref="AS288">
    <cfRule type="expression" dxfId="3489" priority="235">
      <formula>IF(L288=AS288,1,0)</formula>
    </cfRule>
  </conditionalFormatting>
  <conditionalFormatting sqref="F263">
    <cfRule type="cellIs" dxfId="3488" priority="228" operator="equal">
      <formula>"3-001-2214"</formula>
    </cfRule>
    <cfRule type="cellIs" dxfId="3487" priority="229" operator="equal">
      <formula>"3-001-5204"</formula>
    </cfRule>
    <cfRule type="cellIs" dxfId="3486" priority="230" operator="equal">
      <formula>"3-001-0002"</formula>
    </cfRule>
  </conditionalFormatting>
  <conditionalFormatting sqref="AS263">
    <cfRule type="expression" dxfId="3485" priority="231">
      <formula>IF(L263=AS263,1,0)</formula>
    </cfRule>
  </conditionalFormatting>
  <conditionalFormatting sqref="F293">
    <cfRule type="cellIs" dxfId="3484" priority="224" operator="equal">
      <formula>"3-001-2214"</formula>
    </cfRule>
    <cfRule type="cellIs" dxfId="3483" priority="225" operator="equal">
      <formula>"3-001-5204"</formula>
    </cfRule>
    <cfRule type="cellIs" dxfId="3482" priority="226" operator="equal">
      <formula>"3-001-0002"</formula>
    </cfRule>
  </conditionalFormatting>
  <conditionalFormatting sqref="AS293">
    <cfRule type="expression" dxfId="3481" priority="227">
      <formula>IF(L293=AS293,1,0)</formula>
    </cfRule>
  </conditionalFormatting>
  <conditionalFormatting sqref="AS279">
    <cfRule type="expression" dxfId="3480" priority="223">
      <formula>IF(L279=AS279,1,0)</formula>
    </cfRule>
  </conditionalFormatting>
  <conditionalFormatting sqref="F279">
    <cfRule type="cellIs" dxfId="3479" priority="220" operator="equal">
      <formula>"3-001-2214"</formula>
    </cfRule>
    <cfRule type="cellIs" dxfId="3478" priority="221" operator="equal">
      <formula>"3-001-5204"</formula>
    </cfRule>
    <cfRule type="cellIs" dxfId="3477" priority="222" operator="equal">
      <formula>"3-001-0002"</formula>
    </cfRule>
  </conditionalFormatting>
  <conditionalFormatting sqref="AS165">
    <cfRule type="expression" dxfId="3476" priority="219">
      <formula>IF(L165=AS165,1,0)</formula>
    </cfRule>
  </conditionalFormatting>
  <conditionalFormatting sqref="F165">
    <cfRule type="cellIs" dxfId="3475" priority="216" operator="equal">
      <formula>"3-001-2214"</formula>
    </cfRule>
    <cfRule type="cellIs" dxfId="3474" priority="217" operator="equal">
      <formula>"3-001-5204"</formula>
    </cfRule>
    <cfRule type="cellIs" dxfId="3473" priority="218" operator="equal">
      <formula>"3-001-0002"</formula>
    </cfRule>
  </conditionalFormatting>
  <conditionalFormatting sqref="F255">
    <cfRule type="cellIs" dxfId="3472" priority="212" operator="equal">
      <formula>"3-001-2214"</formula>
    </cfRule>
    <cfRule type="cellIs" dxfId="3471" priority="213" operator="equal">
      <formula>"3-001-5204"</formula>
    </cfRule>
    <cfRule type="cellIs" dxfId="3470" priority="214" operator="equal">
      <formula>"3-001-0002"</formula>
    </cfRule>
  </conditionalFormatting>
  <conditionalFormatting sqref="AS255">
    <cfRule type="expression" dxfId="3469" priority="215">
      <formula>IF(L255=AS255,1,0)</formula>
    </cfRule>
  </conditionalFormatting>
  <conditionalFormatting sqref="F21">
    <cfRule type="cellIs" dxfId="3468" priority="209" operator="equal">
      <formula>"3-001-2214"</formula>
    </cfRule>
    <cfRule type="cellIs" dxfId="3467" priority="210" operator="equal">
      <formula>"3-001-5204"</formula>
    </cfRule>
    <cfRule type="cellIs" dxfId="3466" priority="211" operator="equal">
      <formula>"3-001-0002"</formula>
    </cfRule>
  </conditionalFormatting>
  <conditionalFormatting sqref="AS63">
    <cfRule type="expression" dxfId="3465" priority="208">
      <formula>IF(L63=AS63,1,0)</formula>
    </cfRule>
  </conditionalFormatting>
  <conditionalFormatting sqref="F63">
    <cfRule type="cellIs" dxfId="3464" priority="205" operator="equal">
      <formula>"3-001-2214"</formula>
    </cfRule>
    <cfRule type="cellIs" dxfId="3463" priority="206" operator="equal">
      <formula>"3-001-5204"</formula>
    </cfRule>
    <cfRule type="cellIs" dxfId="3462" priority="207" operator="equal">
      <formula>"3-001-0002"</formula>
    </cfRule>
  </conditionalFormatting>
  <conditionalFormatting sqref="AS281">
    <cfRule type="expression" dxfId="3461" priority="204">
      <formula>IF(L281=AS281,1,0)</formula>
    </cfRule>
  </conditionalFormatting>
  <conditionalFormatting sqref="F281">
    <cfRule type="cellIs" dxfId="3460" priority="201" operator="equal">
      <formula>"3-001-2214"</formula>
    </cfRule>
    <cfRule type="cellIs" dxfId="3459" priority="202" operator="equal">
      <formula>"3-001-5204"</formula>
    </cfRule>
    <cfRule type="cellIs" dxfId="3458" priority="203" operator="equal">
      <formula>"3-001-0002"</formula>
    </cfRule>
  </conditionalFormatting>
  <conditionalFormatting sqref="AS280">
    <cfRule type="expression" dxfId="3457" priority="200">
      <formula>IF(L280=AS280,1,0)</formula>
    </cfRule>
  </conditionalFormatting>
  <conditionalFormatting sqref="F280">
    <cfRule type="cellIs" dxfId="3456" priority="197" operator="equal">
      <formula>"3-001-2214"</formula>
    </cfRule>
    <cfRule type="cellIs" dxfId="3455" priority="198" operator="equal">
      <formula>"3-001-5204"</formula>
    </cfRule>
    <cfRule type="cellIs" dxfId="3454" priority="199" operator="equal">
      <formula>"3-001-0002"</formula>
    </cfRule>
  </conditionalFormatting>
  <conditionalFormatting sqref="AS214">
    <cfRule type="expression" dxfId="3453" priority="196">
      <formula>IF(L214=AS214,1,0)</formula>
    </cfRule>
  </conditionalFormatting>
  <conditionalFormatting sqref="F214">
    <cfRule type="cellIs" dxfId="3452" priority="193" operator="equal">
      <formula>"3-001-2214"</formula>
    </cfRule>
    <cfRule type="cellIs" dxfId="3451" priority="194" operator="equal">
      <formula>"3-001-5204"</formula>
    </cfRule>
    <cfRule type="cellIs" dxfId="3450" priority="195" operator="equal">
      <formula>"3-001-0002"</formula>
    </cfRule>
  </conditionalFormatting>
  <conditionalFormatting sqref="F294">
    <cfRule type="cellIs" dxfId="3449" priority="189" operator="equal">
      <formula>"3-001-2214"</formula>
    </cfRule>
    <cfRule type="cellIs" dxfId="3448" priority="190" operator="equal">
      <formula>"3-001-5204"</formula>
    </cfRule>
    <cfRule type="cellIs" dxfId="3447" priority="191" operator="equal">
      <formula>"3-001-0002"</formula>
    </cfRule>
  </conditionalFormatting>
  <conditionalFormatting sqref="AS294">
    <cfRule type="expression" dxfId="3446" priority="192">
      <formula>IF(L294=AS294,1,0)</formula>
    </cfRule>
  </conditionalFormatting>
  <conditionalFormatting sqref="AS216">
    <cfRule type="expression" dxfId="3445" priority="188">
      <formula>IF(L216=AS216,1,0)</formula>
    </cfRule>
  </conditionalFormatting>
  <conditionalFormatting sqref="F216">
    <cfRule type="cellIs" dxfId="3444" priority="185" operator="equal">
      <formula>"3-001-2214"</formula>
    </cfRule>
    <cfRule type="cellIs" dxfId="3443" priority="186" operator="equal">
      <formula>"3-001-5204"</formula>
    </cfRule>
    <cfRule type="cellIs" dxfId="3442" priority="187" operator="equal">
      <formula>"3-001-0002"</formula>
    </cfRule>
  </conditionalFormatting>
  <conditionalFormatting sqref="F292">
    <cfRule type="cellIs" dxfId="3441" priority="181" operator="equal">
      <formula>"3-001-2214"</formula>
    </cfRule>
    <cfRule type="cellIs" dxfId="3440" priority="182" operator="equal">
      <formula>"3-001-5204"</formula>
    </cfRule>
    <cfRule type="cellIs" dxfId="3439" priority="183" operator="equal">
      <formula>"3-001-0002"</formula>
    </cfRule>
  </conditionalFormatting>
  <conditionalFormatting sqref="AS292">
    <cfRule type="expression" dxfId="3438" priority="184">
      <formula>IF(L292=AS292,1,0)</formula>
    </cfRule>
  </conditionalFormatting>
  <conditionalFormatting sqref="AS272">
    <cfRule type="expression" dxfId="3437" priority="180">
      <formula>IF(L272=AS272,1,0)</formula>
    </cfRule>
  </conditionalFormatting>
  <conditionalFormatting sqref="AS271">
    <cfRule type="expression" dxfId="3436" priority="179">
      <formula>IF(L271=AS271,1,0)</formula>
    </cfRule>
  </conditionalFormatting>
  <conditionalFormatting sqref="F271">
    <cfRule type="cellIs" dxfId="3435" priority="176" operator="equal">
      <formula>"3-001-2214"</formula>
    </cfRule>
    <cfRule type="cellIs" dxfId="3434" priority="177" operator="equal">
      <formula>"3-001-5204"</formula>
    </cfRule>
    <cfRule type="cellIs" dxfId="3433" priority="178" operator="equal">
      <formula>"3-001-0002"</formula>
    </cfRule>
  </conditionalFormatting>
  <conditionalFormatting sqref="F272">
    <cfRule type="cellIs" dxfId="3432" priority="173" operator="equal">
      <formula>"3-001-2214"</formula>
    </cfRule>
    <cfRule type="cellIs" dxfId="3431" priority="174" operator="equal">
      <formula>"3-001-5204"</formula>
    </cfRule>
    <cfRule type="cellIs" dxfId="3430" priority="175" operator="equal">
      <formula>"3-001-0002"</formula>
    </cfRule>
  </conditionalFormatting>
  <conditionalFormatting sqref="AS275">
    <cfRule type="expression" dxfId="3429" priority="172">
      <formula>IF(L275=AS275,1,0)</formula>
    </cfRule>
  </conditionalFormatting>
  <conditionalFormatting sqref="F275">
    <cfRule type="cellIs" dxfId="3428" priority="169" operator="equal">
      <formula>"3-001-2214"</formula>
    </cfRule>
    <cfRule type="cellIs" dxfId="3427" priority="170" operator="equal">
      <formula>"3-001-5204"</formula>
    </cfRule>
    <cfRule type="cellIs" dxfId="3426" priority="171" operator="equal">
      <formula>"3-001-0002"</formula>
    </cfRule>
  </conditionalFormatting>
  <conditionalFormatting sqref="F295">
    <cfRule type="cellIs" dxfId="3425" priority="165" operator="equal">
      <formula>"3-001-2214"</formula>
    </cfRule>
    <cfRule type="cellIs" dxfId="3424" priority="166" operator="equal">
      <formula>"3-001-5204"</formula>
    </cfRule>
    <cfRule type="cellIs" dxfId="3423" priority="167" operator="equal">
      <formula>"3-001-0002"</formula>
    </cfRule>
  </conditionalFormatting>
  <conditionalFormatting sqref="AS295">
    <cfRule type="expression" dxfId="3422" priority="168">
      <formula>IF(L295=AS295,1,0)</formula>
    </cfRule>
  </conditionalFormatting>
  <conditionalFormatting sqref="AS166">
    <cfRule type="expression" dxfId="3421" priority="164">
      <formula>IF(L166=AS166,1,0)</formula>
    </cfRule>
  </conditionalFormatting>
  <conditionalFormatting sqref="F166">
    <cfRule type="cellIs" dxfId="3420" priority="161" operator="equal">
      <formula>"3-001-2214"</formula>
    </cfRule>
    <cfRule type="cellIs" dxfId="3419" priority="162" operator="equal">
      <formula>"3-001-5204"</formula>
    </cfRule>
    <cfRule type="cellIs" dxfId="3418" priority="163" operator="equal">
      <formula>"3-001-0002"</formula>
    </cfRule>
  </conditionalFormatting>
  <conditionalFormatting sqref="AS282">
    <cfRule type="expression" dxfId="3417" priority="160">
      <formula>IF(L282=AS282,1,0)</formula>
    </cfRule>
  </conditionalFormatting>
  <conditionalFormatting sqref="F282">
    <cfRule type="cellIs" dxfId="3416" priority="157" operator="equal">
      <formula>"3-001-2214"</formula>
    </cfRule>
    <cfRule type="cellIs" dxfId="3415" priority="158" operator="equal">
      <formula>"3-001-5204"</formula>
    </cfRule>
    <cfRule type="cellIs" dxfId="3414" priority="159" operator="equal">
      <formula>"3-001-0002"</formula>
    </cfRule>
  </conditionalFormatting>
  <conditionalFormatting sqref="AS273">
    <cfRule type="expression" dxfId="3413" priority="156">
      <formula>IF(L273=AS273,1,0)</formula>
    </cfRule>
  </conditionalFormatting>
  <conditionalFormatting sqref="F273">
    <cfRule type="cellIs" dxfId="3412" priority="153" operator="equal">
      <formula>"3-001-2214"</formula>
    </cfRule>
    <cfRule type="cellIs" dxfId="3411" priority="154" operator="equal">
      <formula>"3-001-5204"</formula>
    </cfRule>
    <cfRule type="cellIs" dxfId="3410" priority="155" operator="equal">
      <formula>"3-001-0002"</formula>
    </cfRule>
  </conditionalFormatting>
  <conditionalFormatting sqref="F142">
    <cfRule type="cellIs" dxfId="3409" priority="149" operator="equal">
      <formula>"3-001-2214"</formula>
    </cfRule>
    <cfRule type="cellIs" dxfId="3408" priority="150" operator="equal">
      <formula>"3-001-5204"</formula>
    </cfRule>
    <cfRule type="cellIs" dxfId="3407" priority="151" operator="equal">
      <formula>"3-001-0002"</formula>
    </cfRule>
  </conditionalFormatting>
  <conditionalFormatting sqref="AS142">
    <cfRule type="expression" dxfId="3406" priority="152">
      <formula>IF(L142=AS142,1,0)</formula>
    </cfRule>
  </conditionalFormatting>
  <conditionalFormatting sqref="F141">
    <cfRule type="cellIs" dxfId="3405" priority="145" operator="equal">
      <formula>"3-001-2214"</formula>
    </cfRule>
    <cfRule type="cellIs" dxfId="3404" priority="146" operator="equal">
      <formula>"3-001-5204"</formula>
    </cfRule>
    <cfRule type="cellIs" dxfId="3403" priority="147" operator="equal">
      <formula>"3-001-0002"</formula>
    </cfRule>
  </conditionalFormatting>
  <conditionalFormatting sqref="AS141">
    <cfRule type="expression" dxfId="3402" priority="148">
      <formula>IF(L141=AS141,1,0)</formula>
    </cfRule>
  </conditionalFormatting>
  <conditionalFormatting sqref="F140">
    <cfRule type="cellIs" dxfId="3401" priority="141" operator="equal">
      <formula>"3-001-2214"</formula>
    </cfRule>
    <cfRule type="cellIs" dxfId="3400" priority="142" operator="equal">
      <formula>"3-001-5204"</formula>
    </cfRule>
    <cfRule type="cellIs" dxfId="3399" priority="143" operator="equal">
      <formula>"3-001-0002"</formula>
    </cfRule>
  </conditionalFormatting>
  <conditionalFormatting sqref="AS140">
    <cfRule type="expression" dxfId="3398" priority="144">
      <formula>IF(L140=AS140,1,0)</formula>
    </cfRule>
  </conditionalFormatting>
  <conditionalFormatting sqref="F139">
    <cfRule type="cellIs" dxfId="3397" priority="137" operator="equal">
      <formula>"3-001-2214"</formula>
    </cfRule>
    <cfRule type="cellIs" dxfId="3396" priority="138" operator="equal">
      <formula>"3-001-5204"</formula>
    </cfRule>
    <cfRule type="cellIs" dxfId="3395" priority="139" operator="equal">
      <formula>"3-001-0002"</formula>
    </cfRule>
  </conditionalFormatting>
  <conditionalFormatting sqref="AS139">
    <cfRule type="expression" dxfId="3394" priority="140">
      <formula>IF(L139=AS139,1,0)</formula>
    </cfRule>
  </conditionalFormatting>
  <conditionalFormatting sqref="F138">
    <cfRule type="cellIs" dxfId="3393" priority="133" operator="equal">
      <formula>"3-001-2214"</formula>
    </cfRule>
    <cfRule type="cellIs" dxfId="3392" priority="134" operator="equal">
      <formula>"3-001-5204"</formula>
    </cfRule>
    <cfRule type="cellIs" dxfId="3391" priority="135" operator="equal">
      <formula>"3-001-0002"</formula>
    </cfRule>
  </conditionalFormatting>
  <conditionalFormatting sqref="AS138">
    <cfRule type="expression" dxfId="3390" priority="136">
      <formula>IF(L138=AS138,1,0)</formula>
    </cfRule>
  </conditionalFormatting>
  <conditionalFormatting sqref="F137">
    <cfRule type="cellIs" dxfId="3389" priority="129" operator="equal">
      <formula>"3-001-2214"</formula>
    </cfRule>
    <cfRule type="cellIs" dxfId="3388" priority="130" operator="equal">
      <formula>"3-001-5204"</formula>
    </cfRule>
    <cfRule type="cellIs" dxfId="3387" priority="131" operator="equal">
      <formula>"3-001-0002"</formula>
    </cfRule>
  </conditionalFormatting>
  <conditionalFormatting sqref="AS137">
    <cfRule type="expression" dxfId="3386" priority="132">
      <formula>IF(L137=AS137,1,0)</formula>
    </cfRule>
  </conditionalFormatting>
  <conditionalFormatting sqref="F296">
    <cfRule type="cellIs" dxfId="3385" priority="125" operator="equal">
      <formula>"3-001-2214"</formula>
    </cfRule>
    <cfRule type="cellIs" dxfId="3384" priority="126" operator="equal">
      <formula>"3-001-5204"</formula>
    </cfRule>
    <cfRule type="cellIs" dxfId="3383" priority="127" operator="equal">
      <formula>"3-001-0002"</formula>
    </cfRule>
  </conditionalFormatting>
  <conditionalFormatting sqref="AS296">
    <cfRule type="expression" dxfId="3382" priority="128">
      <formula>IF(L296=AS296,1,0)</formula>
    </cfRule>
  </conditionalFormatting>
  <conditionalFormatting sqref="F256">
    <cfRule type="cellIs" dxfId="3381" priority="121" operator="equal">
      <formula>"3-001-2214"</formula>
    </cfRule>
    <cfRule type="cellIs" dxfId="3380" priority="122" operator="equal">
      <formula>"3-001-5204"</formula>
    </cfRule>
    <cfRule type="cellIs" dxfId="3379" priority="123" operator="equal">
      <formula>"3-001-0002"</formula>
    </cfRule>
  </conditionalFormatting>
  <conditionalFormatting sqref="AS256">
    <cfRule type="expression" dxfId="3378" priority="124">
      <formula>IF(L256=AS256,1,0)</formula>
    </cfRule>
  </conditionalFormatting>
  <conditionalFormatting sqref="AS258">
    <cfRule type="expression" dxfId="3377" priority="120">
      <formula>IF(L258=AS258,1,0)</formula>
    </cfRule>
  </conditionalFormatting>
  <conditionalFormatting sqref="F258">
    <cfRule type="cellIs" dxfId="3376" priority="117" operator="equal">
      <formula>"3-001-2214"</formula>
    </cfRule>
    <cfRule type="cellIs" dxfId="3375" priority="118" operator="equal">
      <formula>"3-001-5204"</formula>
    </cfRule>
    <cfRule type="cellIs" dxfId="3374" priority="119" operator="equal">
      <formula>"3-001-0002"</formula>
    </cfRule>
  </conditionalFormatting>
  <conditionalFormatting sqref="F259">
    <cfRule type="cellIs" dxfId="3373" priority="113" operator="equal">
      <formula>"3-001-2214"</formula>
    </cfRule>
    <cfRule type="cellIs" dxfId="3372" priority="114" operator="equal">
      <formula>"3-001-5204"</formula>
    </cfRule>
    <cfRule type="cellIs" dxfId="3371" priority="115" operator="equal">
      <formula>"3-001-0002"</formula>
    </cfRule>
  </conditionalFormatting>
  <conditionalFormatting sqref="AS259">
    <cfRule type="expression" dxfId="3370" priority="116">
      <formula>IF(L259=AS259,1,0)</formula>
    </cfRule>
  </conditionalFormatting>
  <conditionalFormatting sqref="AS260">
    <cfRule type="expression" dxfId="3369" priority="112">
      <formula>IF(L260=AS260,1,0)</formula>
    </cfRule>
  </conditionalFormatting>
  <conditionalFormatting sqref="F260">
    <cfRule type="cellIs" dxfId="3368" priority="109" operator="equal">
      <formula>"3-001-2214"</formula>
    </cfRule>
    <cfRule type="cellIs" dxfId="3367" priority="110" operator="equal">
      <formula>"3-001-5204"</formula>
    </cfRule>
    <cfRule type="cellIs" dxfId="3366" priority="111" operator="equal">
      <formula>"3-001-0002"</formula>
    </cfRule>
  </conditionalFormatting>
  <conditionalFormatting sqref="AS308">
    <cfRule type="expression" dxfId="3365" priority="108">
      <formula>IF(L308=AS308,1,0)</formula>
    </cfRule>
  </conditionalFormatting>
  <conditionalFormatting sqref="F308">
    <cfRule type="cellIs" dxfId="3364" priority="105" operator="equal">
      <formula>"3-001-2214"</formula>
    </cfRule>
    <cfRule type="cellIs" dxfId="3363" priority="106" operator="equal">
      <formula>"3-001-5204"</formula>
    </cfRule>
    <cfRule type="cellIs" dxfId="3362" priority="107" operator="equal">
      <formula>"3-001-0002"</formula>
    </cfRule>
  </conditionalFormatting>
  <conditionalFormatting sqref="AS307">
    <cfRule type="expression" dxfId="3361" priority="104">
      <formula>IF(L307=AS307,1,0)</formula>
    </cfRule>
  </conditionalFormatting>
  <conditionalFormatting sqref="F307">
    <cfRule type="cellIs" dxfId="3360" priority="101" operator="equal">
      <formula>"3-001-2214"</formula>
    </cfRule>
    <cfRule type="cellIs" dxfId="3359" priority="102" operator="equal">
      <formula>"3-001-5204"</formula>
    </cfRule>
    <cfRule type="cellIs" dxfId="3358" priority="103" operator="equal">
      <formula>"3-001-0002"</formula>
    </cfRule>
  </conditionalFormatting>
  <conditionalFormatting sqref="AS306">
    <cfRule type="expression" dxfId="3357" priority="100">
      <formula>IF(L306=AS306,1,0)</formula>
    </cfRule>
  </conditionalFormatting>
  <conditionalFormatting sqref="F306">
    <cfRule type="cellIs" dxfId="3356" priority="97" operator="equal">
      <formula>"3-001-2214"</formula>
    </cfRule>
    <cfRule type="cellIs" dxfId="3355" priority="98" operator="equal">
      <formula>"3-001-5204"</formula>
    </cfRule>
    <cfRule type="cellIs" dxfId="3354" priority="99" operator="equal">
      <formula>"3-001-0002"</formula>
    </cfRule>
  </conditionalFormatting>
  <conditionalFormatting sqref="F143">
    <cfRule type="cellIs" dxfId="3353" priority="93" operator="equal">
      <formula>"3-001-2214"</formula>
    </cfRule>
    <cfRule type="cellIs" dxfId="3352" priority="94" operator="equal">
      <formula>"3-001-5204"</formula>
    </cfRule>
    <cfRule type="cellIs" dxfId="3351" priority="95" operator="equal">
      <formula>"3-001-0002"</formula>
    </cfRule>
  </conditionalFormatting>
  <conditionalFormatting sqref="AS143">
    <cfRule type="expression" dxfId="3350" priority="96">
      <formula>IF(L143=AS143,1,0)</formula>
    </cfRule>
  </conditionalFormatting>
  <conditionalFormatting sqref="F193">
    <cfRule type="cellIs" dxfId="3349" priority="89" operator="equal">
      <formula>"3-001-2214"</formula>
    </cfRule>
    <cfRule type="cellIs" dxfId="3348" priority="90" operator="equal">
      <formula>"3-001-5204"</formula>
    </cfRule>
    <cfRule type="cellIs" dxfId="3347" priority="91" operator="equal">
      <formula>"3-001-0002"</formula>
    </cfRule>
  </conditionalFormatting>
  <conditionalFormatting sqref="AS193">
    <cfRule type="expression" dxfId="3346" priority="92">
      <formula>IF(L193=AS193,1,0)</formula>
    </cfRule>
  </conditionalFormatting>
  <conditionalFormatting sqref="AS194">
    <cfRule type="expression" dxfId="3345" priority="88">
      <formula>IF(L194=AS194,1,0)</formula>
    </cfRule>
  </conditionalFormatting>
  <conditionalFormatting sqref="F194">
    <cfRule type="cellIs" dxfId="3344" priority="85" operator="equal">
      <formula>"3-001-2214"</formula>
    </cfRule>
    <cfRule type="cellIs" dxfId="3343" priority="86" operator="equal">
      <formula>"3-001-5204"</formula>
    </cfRule>
    <cfRule type="cellIs" dxfId="3342" priority="87" operator="equal">
      <formula>"3-001-0002"</formula>
    </cfRule>
  </conditionalFormatting>
  <conditionalFormatting sqref="F220">
    <cfRule type="cellIs" dxfId="3341" priority="81" operator="equal">
      <formula>"3-001-2214"</formula>
    </cfRule>
    <cfRule type="cellIs" dxfId="3340" priority="82" operator="equal">
      <formula>"3-001-5204"</formula>
    </cfRule>
    <cfRule type="cellIs" dxfId="3339" priority="83" operator="equal">
      <formula>"3-001-0002"</formula>
    </cfRule>
  </conditionalFormatting>
  <conditionalFormatting sqref="AS220">
    <cfRule type="expression" dxfId="3338" priority="84">
      <formula>IF(L220=AS220,1,0)</formula>
    </cfRule>
  </conditionalFormatting>
  <conditionalFormatting sqref="AS221">
    <cfRule type="expression" dxfId="3337" priority="80">
      <formula>IF(L221=AS221,1,0)</formula>
    </cfRule>
  </conditionalFormatting>
  <conditionalFormatting sqref="F221">
    <cfRule type="cellIs" dxfId="3336" priority="77" operator="equal">
      <formula>"3-001-2214"</formula>
    </cfRule>
    <cfRule type="cellIs" dxfId="3335" priority="78" operator="equal">
      <formula>"3-001-5204"</formula>
    </cfRule>
    <cfRule type="cellIs" dxfId="3334" priority="79" operator="equal">
      <formula>"3-001-0002"</formula>
    </cfRule>
  </conditionalFormatting>
  <conditionalFormatting sqref="F92">
    <cfRule type="cellIs" dxfId="3333" priority="73" operator="equal">
      <formula>"3-001-2214"</formula>
    </cfRule>
    <cfRule type="cellIs" dxfId="3332" priority="74" operator="equal">
      <formula>"3-001-5204"</formula>
    </cfRule>
    <cfRule type="cellIs" dxfId="3331" priority="75" operator="equal">
      <formula>"3-001-0002"</formula>
    </cfRule>
  </conditionalFormatting>
  <conditionalFormatting sqref="AS92">
    <cfRule type="expression" dxfId="3330" priority="76">
      <formula>IF(L92=AS92,1,0)</formula>
    </cfRule>
  </conditionalFormatting>
  <conditionalFormatting sqref="F91">
    <cfRule type="cellIs" dxfId="3329" priority="69" operator="equal">
      <formula>"3-001-2214"</formula>
    </cfRule>
    <cfRule type="cellIs" dxfId="3328" priority="70" operator="equal">
      <formula>"3-001-5204"</formula>
    </cfRule>
    <cfRule type="cellIs" dxfId="3327" priority="71" operator="equal">
      <formula>"3-001-0002"</formula>
    </cfRule>
  </conditionalFormatting>
  <conditionalFormatting sqref="AS91">
    <cfRule type="expression" dxfId="3326" priority="72">
      <formula>IF(L91=AS91,1,0)</formula>
    </cfRule>
  </conditionalFormatting>
  <conditionalFormatting sqref="F144">
    <cfRule type="cellIs" dxfId="3325" priority="65" operator="equal">
      <formula>"3-001-2214"</formula>
    </cfRule>
    <cfRule type="cellIs" dxfId="3324" priority="66" operator="equal">
      <formula>"3-001-5204"</formula>
    </cfRule>
    <cfRule type="cellIs" dxfId="3323" priority="67" operator="equal">
      <formula>"3-001-0002"</formula>
    </cfRule>
  </conditionalFormatting>
  <conditionalFormatting sqref="AS144">
    <cfRule type="expression" dxfId="3322" priority="68">
      <formula>IF(L144=AS144,1,0)</formula>
    </cfRule>
  </conditionalFormatting>
  <conditionalFormatting sqref="AS247">
    <cfRule type="expression" dxfId="3321" priority="64">
      <formula>IF(L247=AS247,1,0)</formula>
    </cfRule>
  </conditionalFormatting>
  <conditionalFormatting sqref="F247">
    <cfRule type="cellIs" dxfId="3320" priority="61" operator="equal">
      <formula>"3-001-2214"</formula>
    </cfRule>
    <cfRule type="cellIs" dxfId="3319" priority="62" operator="equal">
      <formula>"3-001-5204"</formula>
    </cfRule>
    <cfRule type="cellIs" dxfId="3318" priority="63" operator="equal">
      <formula>"3-001-0002"</formula>
    </cfRule>
  </conditionalFormatting>
  <conditionalFormatting sqref="F248">
    <cfRule type="cellIs" dxfId="3317" priority="57" operator="equal">
      <formula>"3-001-2214"</formula>
    </cfRule>
    <cfRule type="cellIs" dxfId="3316" priority="58" operator="equal">
      <formula>"3-001-5204"</formula>
    </cfRule>
    <cfRule type="cellIs" dxfId="3315" priority="59" operator="equal">
      <formula>"3-001-0002"</formula>
    </cfRule>
  </conditionalFormatting>
  <conditionalFormatting sqref="AS248">
    <cfRule type="expression" dxfId="3314" priority="60">
      <formula>IF(L248=AS248,1,0)</formula>
    </cfRule>
  </conditionalFormatting>
  <conditionalFormatting sqref="AS249">
    <cfRule type="expression" dxfId="3313" priority="56">
      <formula>IF(L249=AS249,1,0)</formula>
    </cfRule>
  </conditionalFormatting>
  <conditionalFormatting sqref="F249">
    <cfRule type="cellIs" dxfId="3312" priority="53" operator="equal">
      <formula>"3-001-2214"</formula>
    </cfRule>
    <cfRule type="cellIs" dxfId="3311" priority="54" operator="equal">
      <formula>"3-001-5204"</formula>
    </cfRule>
    <cfRule type="cellIs" dxfId="3310" priority="55" operator="equal">
      <formula>"3-001-0002"</formula>
    </cfRule>
  </conditionalFormatting>
  <conditionalFormatting sqref="F145">
    <cfRule type="cellIs" dxfId="3309" priority="49" operator="equal">
      <formula>"3-001-2214"</formula>
    </cfRule>
    <cfRule type="cellIs" dxfId="3308" priority="50" operator="equal">
      <formula>"3-001-5204"</formula>
    </cfRule>
    <cfRule type="cellIs" dxfId="3307" priority="51" operator="equal">
      <formula>"3-001-0002"</formula>
    </cfRule>
  </conditionalFormatting>
  <conditionalFormatting sqref="AS145">
    <cfRule type="expression" dxfId="3306" priority="52">
      <formula>IF(L145=AS145,1,0)</formula>
    </cfRule>
  </conditionalFormatting>
  <conditionalFormatting sqref="AS146">
    <cfRule type="expression" dxfId="3305" priority="48">
      <formula>IF(L146=AS146,1,0)</formula>
    </cfRule>
  </conditionalFormatting>
  <conditionalFormatting sqref="F146">
    <cfRule type="cellIs" dxfId="3304" priority="45" operator="equal">
      <formula>"3-001-2214"</formula>
    </cfRule>
    <cfRule type="cellIs" dxfId="3303" priority="46" operator="equal">
      <formula>"3-001-5204"</formula>
    </cfRule>
    <cfRule type="cellIs" dxfId="3302" priority="47" operator="equal">
      <formula>"3-001-0002"</formula>
    </cfRule>
  </conditionalFormatting>
  <conditionalFormatting sqref="F297">
    <cfRule type="cellIs" dxfId="3301" priority="41" operator="equal">
      <formula>"3-001-2214"</formula>
    </cfRule>
    <cfRule type="cellIs" dxfId="3300" priority="42" operator="equal">
      <formula>"3-001-5204"</formula>
    </cfRule>
    <cfRule type="cellIs" dxfId="3299" priority="43" operator="equal">
      <formula>"3-001-0002"</formula>
    </cfRule>
  </conditionalFormatting>
  <conditionalFormatting sqref="AS297">
    <cfRule type="expression" dxfId="3298" priority="44">
      <formula>IF(L297=AS297,1,0)</formula>
    </cfRule>
  </conditionalFormatting>
  <conditionalFormatting sqref="F147">
    <cfRule type="cellIs" dxfId="3297" priority="37" operator="equal">
      <formula>"3-001-2214"</formula>
    </cfRule>
    <cfRule type="cellIs" dxfId="3296" priority="38" operator="equal">
      <formula>"3-001-5204"</formula>
    </cfRule>
    <cfRule type="cellIs" dxfId="3295" priority="39" operator="equal">
      <formula>"3-001-0002"</formula>
    </cfRule>
  </conditionalFormatting>
  <conditionalFormatting sqref="AS147">
    <cfRule type="expression" dxfId="3294" priority="40">
      <formula>IF(L147=AS147,1,0)</formula>
    </cfRule>
  </conditionalFormatting>
  <conditionalFormatting sqref="F148">
    <cfRule type="cellIs" dxfId="3293" priority="33" operator="equal">
      <formula>"3-001-2214"</formula>
    </cfRule>
    <cfRule type="cellIs" dxfId="3292" priority="34" operator="equal">
      <formula>"3-001-5204"</formula>
    </cfRule>
    <cfRule type="cellIs" dxfId="3291" priority="35" operator="equal">
      <formula>"3-001-0002"</formula>
    </cfRule>
  </conditionalFormatting>
  <conditionalFormatting sqref="AS148">
    <cfRule type="expression" dxfId="3290" priority="36">
      <formula>IF(L148=AS148,1,0)</formula>
    </cfRule>
  </conditionalFormatting>
  <conditionalFormatting sqref="F234">
    <cfRule type="cellIs" dxfId="3289" priority="29" operator="equal">
      <formula>"3-001-2214"</formula>
    </cfRule>
    <cfRule type="cellIs" dxfId="3288" priority="30" operator="equal">
      <formula>"3-001-5204"</formula>
    </cfRule>
    <cfRule type="cellIs" dxfId="3287" priority="31" operator="equal">
      <formula>"3-001-0002"</formula>
    </cfRule>
  </conditionalFormatting>
  <conditionalFormatting sqref="AS234">
    <cfRule type="expression" dxfId="3286" priority="32">
      <formula>IF(L234=AS234,1,0)</formula>
    </cfRule>
  </conditionalFormatting>
  <conditionalFormatting sqref="F152">
    <cfRule type="cellIs" dxfId="3285" priority="25" operator="equal">
      <formula>"3-001-2214"</formula>
    </cfRule>
    <cfRule type="cellIs" dxfId="3284" priority="26" operator="equal">
      <formula>"3-001-5204"</formula>
    </cfRule>
    <cfRule type="cellIs" dxfId="3283" priority="27" operator="equal">
      <formula>"3-001-0002"</formula>
    </cfRule>
  </conditionalFormatting>
  <conditionalFormatting sqref="AS152">
    <cfRule type="expression" dxfId="3282" priority="28">
      <formula>IF(L152=AS152,1,0)</formula>
    </cfRule>
  </conditionalFormatting>
  <conditionalFormatting sqref="F76">
    <cfRule type="cellIs" dxfId="3281" priority="21" operator="equal">
      <formula>"3-001-2214"</formula>
    </cfRule>
    <cfRule type="cellIs" dxfId="3280" priority="22" operator="equal">
      <formula>"3-001-5204"</formula>
    </cfRule>
    <cfRule type="cellIs" dxfId="3279" priority="23" operator="equal">
      <formula>"3-001-0002"</formula>
    </cfRule>
  </conditionalFormatting>
  <conditionalFormatting sqref="AS76">
    <cfRule type="expression" dxfId="3278" priority="24">
      <formula>IF(L76=AS76,1,0)</formula>
    </cfRule>
  </conditionalFormatting>
  <conditionalFormatting sqref="AS36">
    <cfRule type="expression" dxfId="3277" priority="20">
      <formula>IF(L36=AS36,1,0)</formula>
    </cfRule>
  </conditionalFormatting>
  <conditionalFormatting sqref="F36">
    <cfRule type="cellIs" dxfId="3276" priority="17" operator="equal">
      <formula>"3-001-2214"</formula>
    </cfRule>
    <cfRule type="cellIs" dxfId="3275" priority="18" operator="equal">
      <formula>"3-001-5204"</formula>
    </cfRule>
    <cfRule type="cellIs" dxfId="3274" priority="19" operator="equal">
      <formula>"3-001-0002"</formula>
    </cfRule>
  </conditionalFormatting>
  <conditionalFormatting sqref="AS37">
    <cfRule type="expression" dxfId="3273" priority="16">
      <formula>IF(L37=AS37,1,0)</formula>
    </cfRule>
  </conditionalFormatting>
  <conditionalFormatting sqref="F37">
    <cfRule type="cellIs" dxfId="3272" priority="13" operator="equal">
      <formula>"3-001-2214"</formula>
    </cfRule>
    <cfRule type="cellIs" dxfId="3271" priority="14" operator="equal">
      <formula>"3-001-5204"</formula>
    </cfRule>
    <cfRule type="cellIs" dxfId="3270" priority="15" operator="equal">
      <formula>"3-001-0002"</formula>
    </cfRule>
  </conditionalFormatting>
  <conditionalFormatting sqref="AS274">
    <cfRule type="expression" dxfId="3269" priority="12">
      <formula>IF(L274=AS274,1,0)</formula>
    </cfRule>
  </conditionalFormatting>
  <conditionalFormatting sqref="F274">
    <cfRule type="cellIs" dxfId="3268" priority="9" operator="equal">
      <formula>"3-001-2214"</formula>
    </cfRule>
    <cfRule type="cellIs" dxfId="3267" priority="10" operator="equal">
      <formula>"3-001-5204"</formula>
    </cfRule>
    <cfRule type="cellIs" dxfId="3266" priority="11" operator="equal">
      <formula>"3-001-0002"</formula>
    </cfRule>
  </conditionalFormatting>
  <conditionalFormatting sqref="F298">
    <cfRule type="cellIs" dxfId="3265" priority="5" operator="equal">
      <formula>"3-001-2214"</formula>
    </cfRule>
    <cfRule type="cellIs" dxfId="3264" priority="6" operator="equal">
      <formula>"3-001-5204"</formula>
    </cfRule>
    <cfRule type="cellIs" dxfId="3263" priority="7" operator="equal">
      <formula>"3-001-0002"</formula>
    </cfRule>
  </conditionalFormatting>
  <conditionalFormatting sqref="AS298">
    <cfRule type="expression" dxfId="3262" priority="8">
      <formula>IF(L298=AS298,1,0)</formula>
    </cfRule>
  </conditionalFormatting>
  <conditionalFormatting sqref="F153">
    <cfRule type="cellIs" dxfId="3261" priority="1" operator="equal">
      <formula>"3-001-2214"</formula>
    </cfRule>
    <cfRule type="cellIs" dxfId="3260" priority="2" operator="equal">
      <formula>"3-001-5204"</formula>
    </cfRule>
    <cfRule type="cellIs" dxfId="3259" priority="3" operator="equal">
      <formula>"3-001-0002"</formula>
    </cfRule>
  </conditionalFormatting>
  <conditionalFormatting sqref="AS153">
    <cfRule type="expression" dxfId="3258" priority="4">
      <formula>IF(L153=AS153,1,0)</formula>
    </cfRule>
  </conditionalFormatting>
  <printOptions horizontalCentered="1"/>
  <pageMargins left="0.23622047244094491" right="0.23622047244094491" top="0.35433070866141736" bottom="0.35433070866141736" header="0.31496062992125984" footer="0.31496062992125984"/>
  <pageSetup paperSize="8" scale="25" fitToHeight="0" orientation="landscape" r:id="rId1"/>
  <headerFooter alignWithMargins="0"/>
  <legacyDrawing r:id="rId2"/>
  <extLst>
    <ext xmlns:x14="http://schemas.microsoft.com/office/spreadsheetml/2009/9/main" uri="{78C0D931-6437-407d-A8EE-F0AAD7539E65}">
      <x14:conditionalFormattings>
        <x14:conditionalFormatting xmlns:xm="http://schemas.microsoft.com/office/excel/2006/main">
          <x14:cfRule type="expression" priority="544" id="{AD62E2D7-48EA-47E4-B1C6-2627671CC52B}">
            <xm:f>IF('добавятся в 2021'!J119='добавятся в 2021'!AP119,1,0)</xm:f>
            <x14:dxf>
              <fill>
                <patternFill>
                  <bgColor rgb="FF00B050"/>
                </patternFill>
              </fill>
            </x14:dxf>
          </x14:cfRule>
          <xm:sqref>AS171:AS176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9">
    <tabColor rgb="FF00FF00"/>
    <outlinePr summaryBelow="0" summaryRight="0"/>
    <pageSetUpPr fitToPage="1"/>
  </sheetPr>
  <dimension ref="A1:BV629"/>
  <sheetViews>
    <sheetView view="pageBreakPreview" topLeftCell="A3" zoomScale="65" zoomScaleNormal="85" zoomScaleSheetLayoutView="65" workbookViewId="0">
      <pane xSplit="48" ySplit="8" topLeftCell="BN182" activePane="bottomRight" state="frozen"/>
      <selection activeCell="D3" sqref="D3"/>
      <selection pane="topRight" activeCell="AT3" sqref="AT3"/>
      <selection pane="bottomLeft" activeCell="D11" sqref="D11"/>
      <selection pane="bottomRight" activeCell="N187" sqref="N187"/>
    </sheetView>
  </sheetViews>
  <sheetFormatPr defaultRowHeight="15" outlineLevelRow="2" outlineLevelCol="2"/>
  <cols>
    <col min="1" max="1" width="9.140625" style="833" customWidth="1"/>
    <col min="2" max="2" width="11" style="933" customWidth="1"/>
    <col min="3" max="3" width="5.140625" style="834" customWidth="1"/>
    <col min="4" max="4" width="6.7109375" style="835" customWidth="1"/>
    <col min="5" max="5" width="3.140625" style="833" customWidth="1"/>
    <col min="6" max="6" width="8.7109375" style="2" customWidth="1"/>
    <col min="7" max="7" width="6.5703125" style="2" customWidth="1"/>
    <col min="8" max="8" width="17.85546875" style="2" customWidth="1"/>
    <col min="9" max="9" width="6.5703125" style="2" customWidth="1"/>
    <col min="10" max="10" width="8.28515625" style="2" customWidth="1"/>
    <col min="11" max="11" width="45.140625" style="2" customWidth="1"/>
    <col min="12" max="12" width="16.5703125" style="1011" customWidth="1"/>
    <col min="13" max="13" width="13.140625" style="88" customWidth="1" outlineLevel="1"/>
    <col min="14" max="14" width="15.28515625" style="88" customWidth="1" outlineLevel="1"/>
    <col min="15" max="15" width="16.28515625" style="88" customWidth="1" outlineLevel="1" collapsed="1"/>
    <col min="16" max="16" width="16.42578125" style="326" hidden="1" customWidth="1" outlineLevel="2"/>
    <col min="17" max="17" width="17.5703125" style="88" customWidth="1" outlineLevel="1" collapsed="1"/>
    <col min="18" max="18" width="15.85546875" style="326" hidden="1" customWidth="1" outlineLevel="2"/>
    <col min="19" max="19" width="17.5703125" style="88" customWidth="1" outlineLevel="1" collapsed="1"/>
    <col min="20" max="20" width="13.7109375" style="326" hidden="1" customWidth="1" outlineLevel="2"/>
    <col min="21" max="21" width="2.85546875" style="324" customWidth="1"/>
    <col min="22" max="22" width="16.5703125" style="2" customWidth="1" outlineLevel="1"/>
    <col min="23" max="23" width="11.85546875" style="2" customWidth="1" outlineLevel="1"/>
    <col min="24" max="24" width="11.5703125" style="2" customWidth="1" outlineLevel="1"/>
    <col min="25" max="25" width="2.85546875" style="2" customWidth="1" collapsed="1"/>
    <col min="26" max="28" width="15.28515625" style="88" hidden="1" customWidth="1" outlineLevel="2"/>
    <col min="29" max="29" width="16.140625" style="88" hidden="1" customWidth="1" outlineLevel="2"/>
    <col min="30" max="30" width="15.28515625" style="88" hidden="1" customWidth="1" outlineLevel="2"/>
    <col min="31" max="31" width="15.85546875" style="88" hidden="1" customWidth="1" outlineLevel="2"/>
    <col min="32" max="37" width="15.28515625" style="88" hidden="1" customWidth="1" outlineLevel="2"/>
    <col min="38" max="38" width="2.85546875" style="274" customWidth="1" collapsed="1"/>
    <col min="39" max="39" width="15.85546875" style="88" hidden="1" customWidth="1" outlineLevel="2"/>
    <col min="40" max="40" width="15.28515625" style="88" hidden="1" customWidth="1" outlineLevel="2"/>
    <col min="41" max="42" width="15.85546875" style="88" hidden="1" customWidth="1" outlineLevel="2"/>
    <col min="43" max="43" width="15.28515625" style="88" hidden="1" customWidth="1" outlineLevel="2"/>
    <col min="44" max="44" width="16" style="88" hidden="1" customWidth="1" outlineLevel="2"/>
    <col min="45" max="45" width="16.42578125" style="88" customWidth="1"/>
    <col min="46" max="46" width="16.28515625" style="88" customWidth="1" outlineLevel="1"/>
    <col min="47" max="47" width="16" style="88" customWidth="1" outlineLevel="1"/>
    <col min="48" max="48" width="15.28515625" style="1246" customWidth="1"/>
    <col min="49" max="49" width="15.28515625" style="88" customWidth="1"/>
    <col min="50" max="50" width="15.28515625" style="1102" customWidth="1"/>
    <col min="51" max="51" width="15.28515625" style="88" customWidth="1"/>
    <col min="52" max="52" width="15.28515625" style="1102" customWidth="1"/>
    <col min="53" max="53" width="16" style="88" customWidth="1"/>
    <col min="54" max="54" width="15.28515625" style="1102" customWidth="1"/>
    <col min="55" max="58" width="15.28515625" style="88" customWidth="1"/>
    <col min="59" max="59" width="16.140625" style="88" customWidth="1"/>
    <col min="60" max="70" width="15.28515625" style="88" customWidth="1"/>
    <col min="71" max="71" width="15.85546875" style="88" customWidth="1"/>
    <col min="72" max="72" width="15.28515625" style="88" hidden="1" customWidth="1"/>
    <col min="73" max="73" width="18.28515625" style="2" customWidth="1"/>
    <col min="74" max="87" width="15.85546875" style="2" customWidth="1"/>
    <col min="88" max="247" width="9.140625" style="2"/>
    <col min="248" max="248" width="16.28515625" style="2" customWidth="1"/>
    <col min="249" max="249" width="9.5703125" style="2" customWidth="1"/>
    <col min="250" max="250" width="25.85546875" style="2" customWidth="1"/>
    <col min="251" max="251" width="10.7109375" style="2" customWidth="1"/>
    <col min="252" max="252" width="40.42578125" style="2" customWidth="1"/>
    <col min="253" max="253" width="30.5703125" style="2" customWidth="1"/>
    <col min="254" max="254" width="16.42578125" style="2" customWidth="1"/>
    <col min="255" max="255" width="13" style="2" bestFit="1" customWidth="1"/>
    <col min="256" max="503" width="9.140625" style="2"/>
    <col min="504" max="504" width="16.28515625" style="2" customWidth="1"/>
    <col min="505" max="505" width="9.5703125" style="2" customWidth="1"/>
    <col min="506" max="506" width="25.85546875" style="2" customWidth="1"/>
    <col min="507" max="507" width="10.7109375" style="2" customWidth="1"/>
    <col min="508" max="508" width="40.42578125" style="2" customWidth="1"/>
    <col min="509" max="509" width="30.5703125" style="2" customWidth="1"/>
    <col min="510" max="510" width="16.42578125" style="2" customWidth="1"/>
    <col min="511" max="511" width="13" style="2" bestFit="1" customWidth="1"/>
    <col min="512" max="759" width="9.140625" style="2"/>
    <col min="760" max="760" width="16.28515625" style="2" customWidth="1"/>
    <col min="761" max="761" width="9.5703125" style="2" customWidth="1"/>
    <col min="762" max="762" width="25.85546875" style="2" customWidth="1"/>
    <col min="763" max="763" width="10.7109375" style="2" customWidth="1"/>
    <col min="764" max="764" width="40.42578125" style="2" customWidth="1"/>
    <col min="765" max="765" width="30.5703125" style="2" customWidth="1"/>
    <col min="766" max="766" width="16.42578125" style="2" customWidth="1"/>
    <col min="767" max="767" width="13" style="2" bestFit="1" customWidth="1"/>
    <col min="768" max="1015" width="9.140625" style="2"/>
    <col min="1016" max="1016" width="16.28515625" style="2" customWidth="1"/>
    <col min="1017" max="1017" width="9.5703125" style="2" customWidth="1"/>
    <col min="1018" max="1018" width="25.85546875" style="2" customWidth="1"/>
    <col min="1019" max="1019" width="10.7109375" style="2" customWidth="1"/>
    <col min="1020" max="1020" width="40.42578125" style="2" customWidth="1"/>
    <col min="1021" max="1021" width="30.5703125" style="2" customWidth="1"/>
    <col min="1022" max="1022" width="16.42578125" style="2" customWidth="1"/>
    <col min="1023" max="1023" width="13" style="2" bestFit="1" customWidth="1"/>
    <col min="1024" max="1271" width="9.140625" style="2"/>
    <col min="1272" max="1272" width="16.28515625" style="2" customWidth="1"/>
    <col min="1273" max="1273" width="9.5703125" style="2" customWidth="1"/>
    <col min="1274" max="1274" width="25.85546875" style="2" customWidth="1"/>
    <col min="1275" max="1275" width="10.7109375" style="2" customWidth="1"/>
    <col min="1276" max="1276" width="40.42578125" style="2" customWidth="1"/>
    <col min="1277" max="1277" width="30.5703125" style="2" customWidth="1"/>
    <col min="1278" max="1278" width="16.42578125" style="2" customWidth="1"/>
    <col min="1279" max="1279" width="13" style="2" bestFit="1" customWidth="1"/>
    <col min="1280" max="1527" width="9.140625" style="2"/>
    <col min="1528" max="1528" width="16.28515625" style="2" customWidth="1"/>
    <col min="1529" max="1529" width="9.5703125" style="2" customWidth="1"/>
    <col min="1530" max="1530" width="25.85546875" style="2" customWidth="1"/>
    <col min="1531" max="1531" width="10.7109375" style="2" customWidth="1"/>
    <col min="1532" max="1532" width="40.42578125" style="2" customWidth="1"/>
    <col min="1533" max="1533" width="30.5703125" style="2" customWidth="1"/>
    <col min="1534" max="1534" width="16.42578125" style="2" customWidth="1"/>
    <col min="1535" max="1535" width="13" style="2" bestFit="1" customWidth="1"/>
    <col min="1536" max="1783" width="9.140625" style="2"/>
    <col min="1784" max="1784" width="16.28515625" style="2" customWidth="1"/>
    <col min="1785" max="1785" width="9.5703125" style="2" customWidth="1"/>
    <col min="1786" max="1786" width="25.85546875" style="2" customWidth="1"/>
    <col min="1787" max="1787" width="10.7109375" style="2" customWidth="1"/>
    <col min="1788" max="1788" width="40.42578125" style="2" customWidth="1"/>
    <col min="1789" max="1789" width="30.5703125" style="2" customWidth="1"/>
    <col min="1790" max="1790" width="16.42578125" style="2" customWidth="1"/>
    <col min="1791" max="1791" width="13" style="2" bestFit="1" customWidth="1"/>
    <col min="1792" max="2039" width="9.140625" style="2"/>
    <col min="2040" max="2040" width="16.28515625" style="2" customWidth="1"/>
    <col min="2041" max="2041" width="9.5703125" style="2" customWidth="1"/>
    <col min="2042" max="2042" width="25.85546875" style="2" customWidth="1"/>
    <col min="2043" max="2043" width="10.7109375" style="2" customWidth="1"/>
    <col min="2044" max="2044" width="40.42578125" style="2" customWidth="1"/>
    <col min="2045" max="2045" width="30.5703125" style="2" customWidth="1"/>
    <col min="2046" max="2046" width="16.42578125" style="2" customWidth="1"/>
    <col min="2047" max="2047" width="13" style="2" bestFit="1" customWidth="1"/>
    <col min="2048" max="2295" width="9.140625" style="2"/>
    <col min="2296" max="2296" width="16.28515625" style="2" customWidth="1"/>
    <col min="2297" max="2297" width="9.5703125" style="2" customWidth="1"/>
    <col min="2298" max="2298" width="25.85546875" style="2" customWidth="1"/>
    <col min="2299" max="2299" width="10.7109375" style="2" customWidth="1"/>
    <col min="2300" max="2300" width="40.42578125" style="2" customWidth="1"/>
    <col min="2301" max="2301" width="30.5703125" style="2" customWidth="1"/>
    <col min="2302" max="2302" width="16.42578125" style="2" customWidth="1"/>
    <col min="2303" max="2303" width="13" style="2" bestFit="1" customWidth="1"/>
    <col min="2304" max="2551" width="9.140625" style="2"/>
    <col min="2552" max="2552" width="16.28515625" style="2" customWidth="1"/>
    <col min="2553" max="2553" width="9.5703125" style="2" customWidth="1"/>
    <col min="2554" max="2554" width="25.85546875" style="2" customWidth="1"/>
    <col min="2555" max="2555" width="10.7109375" style="2" customWidth="1"/>
    <col min="2556" max="2556" width="40.42578125" style="2" customWidth="1"/>
    <col min="2557" max="2557" width="30.5703125" style="2" customWidth="1"/>
    <col min="2558" max="2558" width="16.42578125" style="2" customWidth="1"/>
    <col min="2559" max="2559" width="13" style="2" bestFit="1" customWidth="1"/>
    <col min="2560" max="2807" width="9.140625" style="2"/>
    <col min="2808" max="2808" width="16.28515625" style="2" customWidth="1"/>
    <col min="2809" max="2809" width="9.5703125" style="2" customWidth="1"/>
    <col min="2810" max="2810" width="25.85546875" style="2" customWidth="1"/>
    <col min="2811" max="2811" width="10.7109375" style="2" customWidth="1"/>
    <col min="2812" max="2812" width="40.42578125" style="2" customWidth="1"/>
    <col min="2813" max="2813" width="30.5703125" style="2" customWidth="1"/>
    <col min="2814" max="2814" width="16.42578125" style="2" customWidth="1"/>
    <col min="2815" max="2815" width="13" style="2" bestFit="1" customWidth="1"/>
    <col min="2816" max="3063" width="9.140625" style="2"/>
    <col min="3064" max="3064" width="16.28515625" style="2" customWidth="1"/>
    <col min="3065" max="3065" width="9.5703125" style="2" customWidth="1"/>
    <col min="3066" max="3066" width="25.85546875" style="2" customWidth="1"/>
    <col min="3067" max="3067" width="10.7109375" style="2" customWidth="1"/>
    <col min="3068" max="3068" width="40.42578125" style="2" customWidth="1"/>
    <col min="3069" max="3069" width="30.5703125" style="2" customWidth="1"/>
    <col min="3070" max="3070" width="16.42578125" style="2" customWidth="1"/>
    <col min="3071" max="3071" width="13" style="2" bestFit="1" customWidth="1"/>
    <col min="3072" max="3319" width="9.140625" style="2"/>
    <col min="3320" max="3320" width="16.28515625" style="2" customWidth="1"/>
    <col min="3321" max="3321" width="9.5703125" style="2" customWidth="1"/>
    <col min="3322" max="3322" width="25.85546875" style="2" customWidth="1"/>
    <col min="3323" max="3323" width="10.7109375" style="2" customWidth="1"/>
    <col min="3324" max="3324" width="40.42578125" style="2" customWidth="1"/>
    <col min="3325" max="3325" width="30.5703125" style="2" customWidth="1"/>
    <col min="3326" max="3326" width="16.42578125" style="2" customWidth="1"/>
    <col min="3327" max="3327" width="13" style="2" bestFit="1" customWidth="1"/>
    <col min="3328" max="3575" width="9.140625" style="2"/>
    <col min="3576" max="3576" width="16.28515625" style="2" customWidth="1"/>
    <col min="3577" max="3577" width="9.5703125" style="2" customWidth="1"/>
    <col min="3578" max="3578" width="25.85546875" style="2" customWidth="1"/>
    <col min="3579" max="3579" width="10.7109375" style="2" customWidth="1"/>
    <col min="3580" max="3580" width="40.42578125" style="2" customWidth="1"/>
    <col min="3581" max="3581" width="30.5703125" style="2" customWidth="1"/>
    <col min="3582" max="3582" width="16.42578125" style="2" customWidth="1"/>
    <col min="3583" max="3583" width="13" style="2" bestFit="1" customWidth="1"/>
    <col min="3584" max="3831" width="9.140625" style="2"/>
    <col min="3832" max="3832" width="16.28515625" style="2" customWidth="1"/>
    <col min="3833" max="3833" width="9.5703125" style="2" customWidth="1"/>
    <col min="3834" max="3834" width="25.85546875" style="2" customWidth="1"/>
    <col min="3835" max="3835" width="10.7109375" style="2" customWidth="1"/>
    <col min="3836" max="3836" width="40.42578125" style="2" customWidth="1"/>
    <col min="3837" max="3837" width="30.5703125" style="2" customWidth="1"/>
    <col min="3838" max="3838" width="16.42578125" style="2" customWidth="1"/>
    <col min="3839" max="3839" width="13" style="2" bestFit="1" customWidth="1"/>
    <col min="3840" max="4087" width="9.140625" style="2"/>
    <col min="4088" max="4088" width="16.28515625" style="2" customWidth="1"/>
    <col min="4089" max="4089" width="9.5703125" style="2" customWidth="1"/>
    <col min="4090" max="4090" width="25.85546875" style="2" customWidth="1"/>
    <col min="4091" max="4091" width="10.7109375" style="2" customWidth="1"/>
    <col min="4092" max="4092" width="40.42578125" style="2" customWidth="1"/>
    <col min="4093" max="4093" width="30.5703125" style="2" customWidth="1"/>
    <col min="4094" max="4094" width="16.42578125" style="2" customWidth="1"/>
    <col min="4095" max="4095" width="13" style="2" bestFit="1" customWidth="1"/>
    <col min="4096" max="4343" width="9.140625" style="2"/>
    <col min="4344" max="4344" width="16.28515625" style="2" customWidth="1"/>
    <col min="4345" max="4345" width="9.5703125" style="2" customWidth="1"/>
    <col min="4346" max="4346" width="25.85546875" style="2" customWidth="1"/>
    <col min="4347" max="4347" width="10.7109375" style="2" customWidth="1"/>
    <col min="4348" max="4348" width="40.42578125" style="2" customWidth="1"/>
    <col min="4349" max="4349" width="30.5703125" style="2" customWidth="1"/>
    <col min="4350" max="4350" width="16.42578125" style="2" customWidth="1"/>
    <col min="4351" max="4351" width="13" style="2" bestFit="1" customWidth="1"/>
    <col min="4352" max="4599" width="9.140625" style="2"/>
    <col min="4600" max="4600" width="16.28515625" style="2" customWidth="1"/>
    <col min="4601" max="4601" width="9.5703125" style="2" customWidth="1"/>
    <col min="4602" max="4602" width="25.85546875" style="2" customWidth="1"/>
    <col min="4603" max="4603" width="10.7109375" style="2" customWidth="1"/>
    <col min="4604" max="4604" width="40.42578125" style="2" customWidth="1"/>
    <col min="4605" max="4605" width="30.5703125" style="2" customWidth="1"/>
    <col min="4606" max="4606" width="16.42578125" style="2" customWidth="1"/>
    <col min="4607" max="4607" width="13" style="2" bestFit="1" customWidth="1"/>
    <col min="4608" max="4855" width="9.140625" style="2"/>
    <col min="4856" max="4856" width="16.28515625" style="2" customWidth="1"/>
    <col min="4857" max="4857" width="9.5703125" style="2" customWidth="1"/>
    <col min="4858" max="4858" width="25.85546875" style="2" customWidth="1"/>
    <col min="4859" max="4859" width="10.7109375" style="2" customWidth="1"/>
    <col min="4860" max="4860" width="40.42578125" style="2" customWidth="1"/>
    <col min="4861" max="4861" width="30.5703125" style="2" customWidth="1"/>
    <col min="4862" max="4862" width="16.42578125" style="2" customWidth="1"/>
    <col min="4863" max="4863" width="13" style="2" bestFit="1" customWidth="1"/>
    <col min="4864" max="5111" width="9.140625" style="2"/>
    <col min="5112" max="5112" width="16.28515625" style="2" customWidth="1"/>
    <col min="5113" max="5113" width="9.5703125" style="2" customWidth="1"/>
    <col min="5114" max="5114" width="25.85546875" style="2" customWidth="1"/>
    <col min="5115" max="5115" width="10.7109375" style="2" customWidth="1"/>
    <col min="5116" max="5116" width="40.42578125" style="2" customWidth="1"/>
    <col min="5117" max="5117" width="30.5703125" style="2" customWidth="1"/>
    <col min="5118" max="5118" width="16.42578125" style="2" customWidth="1"/>
    <col min="5119" max="5119" width="13" style="2" bestFit="1" customWidth="1"/>
    <col min="5120" max="5367" width="9.140625" style="2"/>
    <col min="5368" max="5368" width="16.28515625" style="2" customWidth="1"/>
    <col min="5369" max="5369" width="9.5703125" style="2" customWidth="1"/>
    <col min="5370" max="5370" width="25.85546875" style="2" customWidth="1"/>
    <col min="5371" max="5371" width="10.7109375" style="2" customWidth="1"/>
    <col min="5372" max="5372" width="40.42578125" style="2" customWidth="1"/>
    <col min="5373" max="5373" width="30.5703125" style="2" customWidth="1"/>
    <col min="5374" max="5374" width="16.42578125" style="2" customWidth="1"/>
    <col min="5375" max="5375" width="13" style="2" bestFit="1" customWidth="1"/>
    <col min="5376" max="5623" width="9.140625" style="2"/>
    <col min="5624" max="5624" width="16.28515625" style="2" customWidth="1"/>
    <col min="5625" max="5625" width="9.5703125" style="2" customWidth="1"/>
    <col min="5626" max="5626" width="25.85546875" style="2" customWidth="1"/>
    <col min="5627" max="5627" width="10.7109375" style="2" customWidth="1"/>
    <col min="5628" max="5628" width="40.42578125" style="2" customWidth="1"/>
    <col min="5629" max="5629" width="30.5703125" style="2" customWidth="1"/>
    <col min="5630" max="5630" width="16.42578125" style="2" customWidth="1"/>
    <col min="5631" max="5631" width="13" style="2" bestFit="1" customWidth="1"/>
    <col min="5632" max="5879" width="9.140625" style="2"/>
    <col min="5880" max="5880" width="16.28515625" style="2" customWidth="1"/>
    <col min="5881" max="5881" width="9.5703125" style="2" customWidth="1"/>
    <col min="5882" max="5882" width="25.85546875" style="2" customWidth="1"/>
    <col min="5883" max="5883" width="10.7109375" style="2" customWidth="1"/>
    <col min="5884" max="5884" width="40.42578125" style="2" customWidth="1"/>
    <col min="5885" max="5885" width="30.5703125" style="2" customWidth="1"/>
    <col min="5886" max="5886" width="16.42578125" style="2" customWidth="1"/>
    <col min="5887" max="5887" width="13" style="2" bestFit="1" customWidth="1"/>
    <col min="5888" max="6135" width="9.140625" style="2"/>
    <col min="6136" max="6136" width="16.28515625" style="2" customWidth="1"/>
    <col min="6137" max="6137" width="9.5703125" style="2" customWidth="1"/>
    <col min="6138" max="6138" width="25.85546875" style="2" customWidth="1"/>
    <col min="6139" max="6139" width="10.7109375" style="2" customWidth="1"/>
    <col min="6140" max="6140" width="40.42578125" style="2" customWidth="1"/>
    <col min="6141" max="6141" width="30.5703125" style="2" customWidth="1"/>
    <col min="6142" max="6142" width="16.42578125" style="2" customWidth="1"/>
    <col min="6143" max="6143" width="13" style="2" bestFit="1" customWidth="1"/>
    <col min="6144" max="6391" width="9.140625" style="2"/>
    <col min="6392" max="6392" width="16.28515625" style="2" customWidth="1"/>
    <col min="6393" max="6393" width="9.5703125" style="2" customWidth="1"/>
    <col min="6394" max="6394" width="25.85546875" style="2" customWidth="1"/>
    <col min="6395" max="6395" width="10.7109375" style="2" customWidth="1"/>
    <col min="6396" max="6396" width="40.42578125" style="2" customWidth="1"/>
    <col min="6397" max="6397" width="30.5703125" style="2" customWidth="1"/>
    <col min="6398" max="6398" width="16.42578125" style="2" customWidth="1"/>
    <col min="6399" max="6399" width="13" style="2" bestFit="1" customWidth="1"/>
    <col min="6400" max="6647" width="9.140625" style="2"/>
    <col min="6648" max="6648" width="16.28515625" style="2" customWidth="1"/>
    <col min="6649" max="6649" width="9.5703125" style="2" customWidth="1"/>
    <col min="6650" max="6650" width="25.85546875" style="2" customWidth="1"/>
    <col min="6651" max="6651" width="10.7109375" style="2" customWidth="1"/>
    <col min="6652" max="6652" width="40.42578125" style="2" customWidth="1"/>
    <col min="6653" max="6653" width="30.5703125" style="2" customWidth="1"/>
    <col min="6654" max="6654" width="16.42578125" style="2" customWidth="1"/>
    <col min="6655" max="6655" width="13" style="2" bestFit="1" customWidth="1"/>
    <col min="6656" max="6903" width="9.140625" style="2"/>
    <col min="6904" max="6904" width="16.28515625" style="2" customWidth="1"/>
    <col min="6905" max="6905" width="9.5703125" style="2" customWidth="1"/>
    <col min="6906" max="6906" width="25.85546875" style="2" customWidth="1"/>
    <col min="6907" max="6907" width="10.7109375" style="2" customWidth="1"/>
    <col min="6908" max="6908" width="40.42578125" style="2" customWidth="1"/>
    <col min="6909" max="6909" width="30.5703125" style="2" customWidth="1"/>
    <col min="6910" max="6910" width="16.42578125" style="2" customWidth="1"/>
    <col min="6911" max="6911" width="13" style="2" bestFit="1" customWidth="1"/>
    <col min="6912" max="7159" width="9.140625" style="2"/>
    <col min="7160" max="7160" width="16.28515625" style="2" customWidth="1"/>
    <col min="7161" max="7161" width="9.5703125" style="2" customWidth="1"/>
    <col min="7162" max="7162" width="25.85546875" style="2" customWidth="1"/>
    <col min="7163" max="7163" width="10.7109375" style="2" customWidth="1"/>
    <col min="7164" max="7164" width="40.42578125" style="2" customWidth="1"/>
    <col min="7165" max="7165" width="30.5703125" style="2" customWidth="1"/>
    <col min="7166" max="7166" width="16.42578125" style="2" customWidth="1"/>
    <col min="7167" max="7167" width="13" style="2" bestFit="1" customWidth="1"/>
    <col min="7168" max="7415" width="9.140625" style="2"/>
    <col min="7416" max="7416" width="16.28515625" style="2" customWidth="1"/>
    <col min="7417" max="7417" width="9.5703125" style="2" customWidth="1"/>
    <col min="7418" max="7418" width="25.85546875" style="2" customWidth="1"/>
    <col min="7419" max="7419" width="10.7109375" style="2" customWidth="1"/>
    <col min="7420" max="7420" width="40.42578125" style="2" customWidth="1"/>
    <col min="7421" max="7421" width="30.5703125" style="2" customWidth="1"/>
    <col min="7422" max="7422" width="16.42578125" style="2" customWidth="1"/>
    <col min="7423" max="7423" width="13" style="2" bestFit="1" customWidth="1"/>
    <col min="7424" max="7671" width="9.140625" style="2"/>
    <col min="7672" max="7672" width="16.28515625" style="2" customWidth="1"/>
    <col min="7673" max="7673" width="9.5703125" style="2" customWidth="1"/>
    <col min="7674" max="7674" width="25.85546875" style="2" customWidth="1"/>
    <col min="7675" max="7675" width="10.7109375" style="2" customWidth="1"/>
    <col min="7676" max="7676" width="40.42578125" style="2" customWidth="1"/>
    <col min="7677" max="7677" width="30.5703125" style="2" customWidth="1"/>
    <col min="7678" max="7678" width="16.42578125" style="2" customWidth="1"/>
    <col min="7679" max="7679" width="13" style="2" bestFit="1" customWidth="1"/>
    <col min="7680" max="7927" width="9.140625" style="2"/>
    <col min="7928" max="7928" width="16.28515625" style="2" customWidth="1"/>
    <col min="7929" max="7929" width="9.5703125" style="2" customWidth="1"/>
    <col min="7930" max="7930" width="25.85546875" style="2" customWidth="1"/>
    <col min="7931" max="7931" width="10.7109375" style="2" customWidth="1"/>
    <col min="7932" max="7932" width="40.42578125" style="2" customWidth="1"/>
    <col min="7933" max="7933" width="30.5703125" style="2" customWidth="1"/>
    <col min="7934" max="7934" width="16.42578125" style="2" customWidth="1"/>
    <col min="7935" max="7935" width="13" style="2" bestFit="1" customWidth="1"/>
    <col min="7936" max="8183" width="9.140625" style="2"/>
    <col min="8184" max="8184" width="16.28515625" style="2" customWidth="1"/>
    <col min="8185" max="8185" width="9.5703125" style="2" customWidth="1"/>
    <col min="8186" max="8186" width="25.85546875" style="2" customWidth="1"/>
    <col min="8187" max="8187" width="10.7109375" style="2" customWidth="1"/>
    <col min="8188" max="8188" width="40.42578125" style="2" customWidth="1"/>
    <col min="8189" max="8189" width="30.5703125" style="2" customWidth="1"/>
    <col min="8190" max="8190" width="16.42578125" style="2" customWidth="1"/>
    <col min="8191" max="8191" width="13" style="2" bestFit="1" customWidth="1"/>
    <col min="8192" max="8439" width="9.140625" style="2"/>
    <col min="8440" max="8440" width="16.28515625" style="2" customWidth="1"/>
    <col min="8441" max="8441" width="9.5703125" style="2" customWidth="1"/>
    <col min="8442" max="8442" width="25.85546875" style="2" customWidth="1"/>
    <col min="8443" max="8443" width="10.7109375" style="2" customWidth="1"/>
    <col min="8444" max="8444" width="40.42578125" style="2" customWidth="1"/>
    <col min="8445" max="8445" width="30.5703125" style="2" customWidth="1"/>
    <col min="8446" max="8446" width="16.42578125" style="2" customWidth="1"/>
    <col min="8447" max="8447" width="13" style="2" bestFit="1" customWidth="1"/>
    <col min="8448" max="8695" width="9.140625" style="2"/>
    <col min="8696" max="8696" width="16.28515625" style="2" customWidth="1"/>
    <col min="8697" max="8697" width="9.5703125" style="2" customWidth="1"/>
    <col min="8698" max="8698" width="25.85546875" style="2" customWidth="1"/>
    <col min="8699" max="8699" width="10.7109375" style="2" customWidth="1"/>
    <col min="8700" max="8700" width="40.42578125" style="2" customWidth="1"/>
    <col min="8701" max="8701" width="30.5703125" style="2" customWidth="1"/>
    <col min="8702" max="8702" width="16.42578125" style="2" customWidth="1"/>
    <col min="8703" max="8703" width="13" style="2" bestFit="1" customWidth="1"/>
    <col min="8704" max="8951" width="9.140625" style="2"/>
    <col min="8952" max="8952" width="16.28515625" style="2" customWidth="1"/>
    <col min="8953" max="8953" width="9.5703125" style="2" customWidth="1"/>
    <col min="8954" max="8954" width="25.85546875" style="2" customWidth="1"/>
    <col min="8955" max="8955" width="10.7109375" style="2" customWidth="1"/>
    <col min="8956" max="8956" width="40.42578125" style="2" customWidth="1"/>
    <col min="8957" max="8957" width="30.5703125" style="2" customWidth="1"/>
    <col min="8958" max="8958" width="16.42578125" style="2" customWidth="1"/>
    <col min="8959" max="8959" width="13" style="2" bestFit="1" customWidth="1"/>
    <col min="8960" max="9207" width="9.140625" style="2"/>
    <col min="9208" max="9208" width="16.28515625" style="2" customWidth="1"/>
    <col min="9209" max="9209" width="9.5703125" style="2" customWidth="1"/>
    <col min="9210" max="9210" width="25.85546875" style="2" customWidth="1"/>
    <col min="9211" max="9211" width="10.7109375" style="2" customWidth="1"/>
    <col min="9212" max="9212" width="40.42578125" style="2" customWidth="1"/>
    <col min="9213" max="9213" width="30.5703125" style="2" customWidth="1"/>
    <col min="9214" max="9214" width="16.42578125" style="2" customWidth="1"/>
    <col min="9215" max="9215" width="13" style="2" bestFit="1" customWidth="1"/>
    <col min="9216" max="9463" width="9.140625" style="2"/>
    <col min="9464" max="9464" width="16.28515625" style="2" customWidth="1"/>
    <col min="9465" max="9465" width="9.5703125" style="2" customWidth="1"/>
    <col min="9466" max="9466" width="25.85546875" style="2" customWidth="1"/>
    <col min="9467" max="9467" width="10.7109375" style="2" customWidth="1"/>
    <col min="9468" max="9468" width="40.42578125" style="2" customWidth="1"/>
    <col min="9469" max="9469" width="30.5703125" style="2" customWidth="1"/>
    <col min="9470" max="9470" width="16.42578125" style="2" customWidth="1"/>
    <col min="9471" max="9471" width="13" style="2" bestFit="1" customWidth="1"/>
    <col min="9472" max="9719" width="9.140625" style="2"/>
    <col min="9720" max="9720" width="16.28515625" style="2" customWidth="1"/>
    <col min="9721" max="9721" width="9.5703125" style="2" customWidth="1"/>
    <col min="9722" max="9722" width="25.85546875" style="2" customWidth="1"/>
    <col min="9723" max="9723" width="10.7109375" style="2" customWidth="1"/>
    <col min="9724" max="9724" width="40.42578125" style="2" customWidth="1"/>
    <col min="9725" max="9725" width="30.5703125" style="2" customWidth="1"/>
    <col min="9726" max="9726" width="16.42578125" style="2" customWidth="1"/>
    <col min="9727" max="9727" width="13" style="2" bestFit="1" customWidth="1"/>
    <col min="9728" max="9975" width="9.140625" style="2"/>
    <col min="9976" max="9976" width="16.28515625" style="2" customWidth="1"/>
    <col min="9977" max="9977" width="9.5703125" style="2" customWidth="1"/>
    <col min="9978" max="9978" width="25.85546875" style="2" customWidth="1"/>
    <col min="9979" max="9979" width="10.7109375" style="2" customWidth="1"/>
    <col min="9980" max="9980" width="40.42578125" style="2" customWidth="1"/>
    <col min="9981" max="9981" width="30.5703125" style="2" customWidth="1"/>
    <col min="9982" max="9982" width="16.42578125" style="2" customWidth="1"/>
    <col min="9983" max="9983" width="13" style="2" bestFit="1" customWidth="1"/>
    <col min="9984" max="10231" width="9.140625" style="2"/>
    <col min="10232" max="10232" width="16.28515625" style="2" customWidth="1"/>
    <col min="10233" max="10233" width="9.5703125" style="2" customWidth="1"/>
    <col min="10234" max="10234" width="25.85546875" style="2" customWidth="1"/>
    <col min="10235" max="10235" width="10.7109375" style="2" customWidth="1"/>
    <col min="10236" max="10236" width="40.42578125" style="2" customWidth="1"/>
    <col min="10237" max="10237" width="30.5703125" style="2" customWidth="1"/>
    <col min="10238" max="10238" width="16.42578125" style="2" customWidth="1"/>
    <col min="10239" max="10239" width="13" style="2" bestFit="1" customWidth="1"/>
    <col min="10240" max="10487" width="9.140625" style="2"/>
    <col min="10488" max="10488" width="16.28515625" style="2" customWidth="1"/>
    <col min="10489" max="10489" width="9.5703125" style="2" customWidth="1"/>
    <col min="10490" max="10490" width="25.85546875" style="2" customWidth="1"/>
    <col min="10491" max="10491" width="10.7109375" style="2" customWidth="1"/>
    <col min="10492" max="10492" width="40.42578125" style="2" customWidth="1"/>
    <col min="10493" max="10493" width="30.5703125" style="2" customWidth="1"/>
    <col min="10494" max="10494" width="16.42578125" style="2" customWidth="1"/>
    <col min="10495" max="10495" width="13" style="2" bestFit="1" customWidth="1"/>
    <col min="10496" max="10743" width="9.140625" style="2"/>
    <col min="10744" max="10744" width="16.28515625" style="2" customWidth="1"/>
    <col min="10745" max="10745" width="9.5703125" style="2" customWidth="1"/>
    <col min="10746" max="10746" width="25.85546875" style="2" customWidth="1"/>
    <col min="10747" max="10747" width="10.7109375" style="2" customWidth="1"/>
    <col min="10748" max="10748" width="40.42578125" style="2" customWidth="1"/>
    <col min="10749" max="10749" width="30.5703125" style="2" customWidth="1"/>
    <col min="10750" max="10750" width="16.42578125" style="2" customWidth="1"/>
    <col min="10751" max="10751" width="13" style="2" bestFit="1" customWidth="1"/>
    <col min="10752" max="10999" width="9.140625" style="2"/>
    <col min="11000" max="11000" width="16.28515625" style="2" customWidth="1"/>
    <col min="11001" max="11001" width="9.5703125" style="2" customWidth="1"/>
    <col min="11002" max="11002" width="25.85546875" style="2" customWidth="1"/>
    <col min="11003" max="11003" width="10.7109375" style="2" customWidth="1"/>
    <col min="11004" max="11004" width="40.42578125" style="2" customWidth="1"/>
    <col min="11005" max="11005" width="30.5703125" style="2" customWidth="1"/>
    <col min="11006" max="11006" width="16.42578125" style="2" customWidth="1"/>
    <col min="11007" max="11007" width="13" style="2" bestFit="1" customWidth="1"/>
    <col min="11008" max="11255" width="9.140625" style="2"/>
    <col min="11256" max="11256" width="16.28515625" style="2" customWidth="1"/>
    <col min="11257" max="11257" width="9.5703125" style="2" customWidth="1"/>
    <col min="11258" max="11258" width="25.85546875" style="2" customWidth="1"/>
    <col min="11259" max="11259" width="10.7109375" style="2" customWidth="1"/>
    <col min="11260" max="11260" width="40.42578125" style="2" customWidth="1"/>
    <col min="11261" max="11261" width="30.5703125" style="2" customWidth="1"/>
    <col min="11262" max="11262" width="16.42578125" style="2" customWidth="1"/>
    <col min="11263" max="11263" width="13" style="2" bestFit="1" customWidth="1"/>
    <col min="11264" max="11511" width="9.140625" style="2"/>
    <col min="11512" max="11512" width="16.28515625" style="2" customWidth="1"/>
    <col min="11513" max="11513" width="9.5703125" style="2" customWidth="1"/>
    <col min="11514" max="11514" width="25.85546875" style="2" customWidth="1"/>
    <col min="11515" max="11515" width="10.7109375" style="2" customWidth="1"/>
    <col min="11516" max="11516" width="40.42578125" style="2" customWidth="1"/>
    <col min="11517" max="11517" width="30.5703125" style="2" customWidth="1"/>
    <col min="11518" max="11518" width="16.42578125" style="2" customWidth="1"/>
    <col min="11519" max="11519" width="13" style="2" bestFit="1" customWidth="1"/>
    <col min="11520" max="11767" width="9.140625" style="2"/>
    <col min="11768" max="11768" width="16.28515625" style="2" customWidth="1"/>
    <col min="11769" max="11769" width="9.5703125" style="2" customWidth="1"/>
    <col min="11770" max="11770" width="25.85546875" style="2" customWidth="1"/>
    <col min="11771" max="11771" width="10.7109375" style="2" customWidth="1"/>
    <col min="11772" max="11772" width="40.42578125" style="2" customWidth="1"/>
    <col min="11773" max="11773" width="30.5703125" style="2" customWidth="1"/>
    <col min="11774" max="11774" width="16.42578125" style="2" customWidth="1"/>
    <col min="11775" max="11775" width="13" style="2" bestFit="1" customWidth="1"/>
    <col min="11776" max="12023" width="9.140625" style="2"/>
    <col min="12024" max="12024" width="16.28515625" style="2" customWidth="1"/>
    <col min="12025" max="12025" width="9.5703125" style="2" customWidth="1"/>
    <col min="12026" max="12026" width="25.85546875" style="2" customWidth="1"/>
    <col min="12027" max="12027" width="10.7109375" style="2" customWidth="1"/>
    <col min="12028" max="12028" width="40.42578125" style="2" customWidth="1"/>
    <col min="12029" max="12029" width="30.5703125" style="2" customWidth="1"/>
    <col min="12030" max="12030" width="16.42578125" style="2" customWidth="1"/>
    <col min="12031" max="12031" width="13" style="2" bestFit="1" customWidth="1"/>
    <col min="12032" max="12279" width="9.140625" style="2"/>
    <col min="12280" max="12280" width="16.28515625" style="2" customWidth="1"/>
    <col min="12281" max="12281" width="9.5703125" style="2" customWidth="1"/>
    <col min="12282" max="12282" width="25.85546875" style="2" customWidth="1"/>
    <col min="12283" max="12283" width="10.7109375" style="2" customWidth="1"/>
    <col min="12284" max="12284" width="40.42578125" style="2" customWidth="1"/>
    <col min="12285" max="12285" width="30.5703125" style="2" customWidth="1"/>
    <col min="12286" max="12286" width="16.42578125" style="2" customWidth="1"/>
    <col min="12287" max="12287" width="13" style="2" bestFit="1" customWidth="1"/>
    <col min="12288" max="12535" width="9.140625" style="2"/>
    <col min="12536" max="12536" width="16.28515625" style="2" customWidth="1"/>
    <col min="12537" max="12537" width="9.5703125" style="2" customWidth="1"/>
    <col min="12538" max="12538" width="25.85546875" style="2" customWidth="1"/>
    <col min="12539" max="12539" width="10.7109375" style="2" customWidth="1"/>
    <col min="12540" max="12540" width="40.42578125" style="2" customWidth="1"/>
    <col min="12541" max="12541" width="30.5703125" style="2" customWidth="1"/>
    <col min="12542" max="12542" width="16.42578125" style="2" customWidth="1"/>
    <col min="12543" max="12543" width="13" style="2" bestFit="1" customWidth="1"/>
    <col min="12544" max="12791" width="9.140625" style="2"/>
    <col min="12792" max="12792" width="16.28515625" style="2" customWidth="1"/>
    <col min="12793" max="12793" width="9.5703125" style="2" customWidth="1"/>
    <col min="12794" max="12794" width="25.85546875" style="2" customWidth="1"/>
    <col min="12795" max="12795" width="10.7109375" style="2" customWidth="1"/>
    <col min="12796" max="12796" width="40.42578125" style="2" customWidth="1"/>
    <col min="12797" max="12797" width="30.5703125" style="2" customWidth="1"/>
    <col min="12798" max="12798" width="16.42578125" style="2" customWidth="1"/>
    <col min="12799" max="12799" width="13" style="2" bestFit="1" customWidth="1"/>
    <col min="12800" max="13047" width="9.140625" style="2"/>
    <col min="13048" max="13048" width="16.28515625" style="2" customWidth="1"/>
    <col min="13049" max="13049" width="9.5703125" style="2" customWidth="1"/>
    <col min="13050" max="13050" width="25.85546875" style="2" customWidth="1"/>
    <col min="13051" max="13051" width="10.7109375" style="2" customWidth="1"/>
    <col min="13052" max="13052" width="40.42578125" style="2" customWidth="1"/>
    <col min="13053" max="13053" width="30.5703125" style="2" customWidth="1"/>
    <col min="13054" max="13054" width="16.42578125" style="2" customWidth="1"/>
    <col min="13055" max="13055" width="13" style="2" bestFit="1" customWidth="1"/>
    <col min="13056" max="13303" width="9.140625" style="2"/>
    <col min="13304" max="13304" width="16.28515625" style="2" customWidth="1"/>
    <col min="13305" max="13305" width="9.5703125" style="2" customWidth="1"/>
    <col min="13306" max="13306" width="25.85546875" style="2" customWidth="1"/>
    <col min="13307" max="13307" width="10.7109375" style="2" customWidth="1"/>
    <col min="13308" max="13308" width="40.42578125" style="2" customWidth="1"/>
    <col min="13309" max="13309" width="30.5703125" style="2" customWidth="1"/>
    <col min="13310" max="13310" width="16.42578125" style="2" customWidth="1"/>
    <col min="13311" max="13311" width="13" style="2" bestFit="1" customWidth="1"/>
    <col min="13312" max="13559" width="9.140625" style="2"/>
    <col min="13560" max="13560" width="16.28515625" style="2" customWidth="1"/>
    <col min="13561" max="13561" width="9.5703125" style="2" customWidth="1"/>
    <col min="13562" max="13562" width="25.85546875" style="2" customWidth="1"/>
    <col min="13563" max="13563" width="10.7109375" style="2" customWidth="1"/>
    <col min="13564" max="13564" width="40.42578125" style="2" customWidth="1"/>
    <col min="13565" max="13565" width="30.5703125" style="2" customWidth="1"/>
    <col min="13566" max="13566" width="16.42578125" style="2" customWidth="1"/>
    <col min="13567" max="13567" width="13" style="2" bestFit="1" customWidth="1"/>
    <col min="13568" max="13815" width="9.140625" style="2"/>
    <col min="13816" max="13816" width="16.28515625" style="2" customWidth="1"/>
    <col min="13817" max="13817" width="9.5703125" style="2" customWidth="1"/>
    <col min="13818" max="13818" width="25.85546875" style="2" customWidth="1"/>
    <col min="13819" max="13819" width="10.7109375" style="2" customWidth="1"/>
    <col min="13820" max="13820" width="40.42578125" style="2" customWidth="1"/>
    <col min="13821" max="13821" width="30.5703125" style="2" customWidth="1"/>
    <col min="13822" max="13822" width="16.42578125" style="2" customWidth="1"/>
    <col min="13823" max="13823" width="13" style="2" bestFit="1" customWidth="1"/>
    <col min="13824" max="14071" width="9.140625" style="2"/>
    <col min="14072" max="14072" width="16.28515625" style="2" customWidth="1"/>
    <col min="14073" max="14073" width="9.5703125" style="2" customWidth="1"/>
    <col min="14074" max="14074" width="25.85546875" style="2" customWidth="1"/>
    <col min="14075" max="14075" width="10.7109375" style="2" customWidth="1"/>
    <col min="14076" max="14076" width="40.42578125" style="2" customWidth="1"/>
    <col min="14077" max="14077" width="30.5703125" style="2" customWidth="1"/>
    <col min="14078" max="14078" width="16.42578125" style="2" customWidth="1"/>
    <col min="14079" max="14079" width="13" style="2" bestFit="1" customWidth="1"/>
    <col min="14080" max="14327" width="9.140625" style="2"/>
    <col min="14328" max="14328" width="16.28515625" style="2" customWidth="1"/>
    <col min="14329" max="14329" width="9.5703125" style="2" customWidth="1"/>
    <col min="14330" max="14330" width="25.85546875" style="2" customWidth="1"/>
    <col min="14331" max="14331" width="10.7109375" style="2" customWidth="1"/>
    <col min="14332" max="14332" width="40.42578125" style="2" customWidth="1"/>
    <col min="14333" max="14333" width="30.5703125" style="2" customWidth="1"/>
    <col min="14334" max="14334" width="16.42578125" style="2" customWidth="1"/>
    <col min="14335" max="14335" width="13" style="2" bestFit="1" customWidth="1"/>
    <col min="14336" max="14583" width="9.140625" style="2"/>
    <col min="14584" max="14584" width="16.28515625" style="2" customWidth="1"/>
    <col min="14585" max="14585" width="9.5703125" style="2" customWidth="1"/>
    <col min="14586" max="14586" width="25.85546875" style="2" customWidth="1"/>
    <col min="14587" max="14587" width="10.7109375" style="2" customWidth="1"/>
    <col min="14588" max="14588" width="40.42578125" style="2" customWidth="1"/>
    <col min="14589" max="14589" width="30.5703125" style="2" customWidth="1"/>
    <col min="14590" max="14590" width="16.42578125" style="2" customWidth="1"/>
    <col min="14591" max="14591" width="13" style="2" bestFit="1" customWidth="1"/>
    <col min="14592" max="14839" width="9.140625" style="2"/>
    <col min="14840" max="14840" width="16.28515625" style="2" customWidth="1"/>
    <col min="14841" max="14841" width="9.5703125" style="2" customWidth="1"/>
    <col min="14842" max="14842" width="25.85546875" style="2" customWidth="1"/>
    <col min="14843" max="14843" width="10.7109375" style="2" customWidth="1"/>
    <col min="14844" max="14844" width="40.42578125" style="2" customWidth="1"/>
    <col min="14845" max="14845" width="30.5703125" style="2" customWidth="1"/>
    <col min="14846" max="14846" width="16.42578125" style="2" customWidth="1"/>
    <col min="14847" max="14847" width="13" style="2" bestFit="1" customWidth="1"/>
    <col min="14848" max="15095" width="9.140625" style="2"/>
    <col min="15096" max="15096" width="16.28515625" style="2" customWidth="1"/>
    <col min="15097" max="15097" width="9.5703125" style="2" customWidth="1"/>
    <col min="15098" max="15098" width="25.85546875" style="2" customWidth="1"/>
    <col min="15099" max="15099" width="10.7109375" style="2" customWidth="1"/>
    <col min="15100" max="15100" width="40.42578125" style="2" customWidth="1"/>
    <col min="15101" max="15101" width="30.5703125" style="2" customWidth="1"/>
    <col min="15102" max="15102" width="16.42578125" style="2" customWidth="1"/>
    <col min="15103" max="15103" width="13" style="2" bestFit="1" customWidth="1"/>
    <col min="15104" max="15351" width="9.140625" style="2"/>
    <col min="15352" max="15352" width="16.28515625" style="2" customWidth="1"/>
    <col min="15353" max="15353" width="9.5703125" style="2" customWidth="1"/>
    <col min="15354" max="15354" width="25.85546875" style="2" customWidth="1"/>
    <col min="15355" max="15355" width="10.7109375" style="2" customWidth="1"/>
    <col min="15356" max="15356" width="40.42578125" style="2" customWidth="1"/>
    <col min="15357" max="15357" width="30.5703125" style="2" customWidth="1"/>
    <col min="15358" max="15358" width="16.42578125" style="2" customWidth="1"/>
    <col min="15359" max="15359" width="13" style="2" bestFit="1" customWidth="1"/>
    <col min="15360" max="15607" width="9.140625" style="2"/>
    <col min="15608" max="15608" width="16.28515625" style="2" customWidth="1"/>
    <col min="15609" max="15609" width="9.5703125" style="2" customWidth="1"/>
    <col min="15610" max="15610" width="25.85546875" style="2" customWidth="1"/>
    <col min="15611" max="15611" width="10.7109375" style="2" customWidth="1"/>
    <col min="15612" max="15612" width="40.42578125" style="2" customWidth="1"/>
    <col min="15613" max="15613" width="30.5703125" style="2" customWidth="1"/>
    <col min="15614" max="15614" width="16.42578125" style="2" customWidth="1"/>
    <col min="15615" max="15615" width="13" style="2" bestFit="1" customWidth="1"/>
    <col min="15616" max="15863" width="9.140625" style="2"/>
    <col min="15864" max="15864" width="16.28515625" style="2" customWidth="1"/>
    <col min="15865" max="15865" width="9.5703125" style="2" customWidth="1"/>
    <col min="15866" max="15866" width="25.85546875" style="2" customWidth="1"/>
    <col min="15867" max="15867" width="10.7109375" style="2" customWidth="1"/>
    <col min="15868" max="15868" width="40.42578125" style="2" customWidth="1"/>
    <col min="15869" max="15869" width="30.5703125" style="2" customWidth="1"/>
    <col min="15870" max="15870" width="16.42578125" style="2" customWidth="1"/>
    <col min="15871" max="15871" width="13" style="2" bestFit="1" customWidth="1"/>
    <col min="15872" max="16119" width="9.140625" style="2"/>
    <col min="16120" max="16120" width="16.28515625" style="2" customWidth="1"/>
    <col min="16121" max="16121" width="9.5703125" style="2" customWidth="1"/>
    <col min="16122" max="16122" width="25.85546875" style="2" customWidth="1"/>
    <col min="16123" max="16123" width="10.7109375" style="2" customWidth="1"/>
    <col min="16124" max="16124" width="40.42578125" style="2" customWidth="1"/>
    <col min="16125" max="16125" width="30.5703125" style="2" customWidth="1"/>
    <col min="16126" max="16126" width="16.42578125" style="2" customWidth="1"/>
    <col min="16127" max="16127" width="13" style="2" bestFit="1" customWidth="1"/>
    <col min="16128" max="16384" width="9.140625" style="2"/>
  </cols>
  <sheetData>
    <row r="1" spans="1:74" ht="15" hidden="1" customHeight="1">
      <c r="AV1" s="1242"/>
      <c r="AX1" s="88"/>
      <c r="AZ1" s="88"/>
      <c r="BB1" s="88"/>
    </row>
    <row r="2" spans="1:74" ht="15" hidden="1" customHeight="1">
      <c r="AV2" s="1242"/>
      <c r="AX2" s="88"/>
      <c r="AZ2" s="88"/>
      <c r="BB2" s="88"/>
    </row>
    <row r="3" spans="1:74" s="358" customFormat="1" ht="15.75">
      <c r="A3" s="836"/>
      <c r="B3" s="934"/>
      <c r="C3" s="837"/>
      <c r="D3" s="838"/>
      <c r="E3" s="836" t="s">
        <v>201</v>
      </c>
      <c r="F3" s="820"/>
      <c r="G3" s="360"/>
      <c r="H3" s="360"/>
      <c r="I3" s="360"/>
      <c r="J3" s="361"/>
      <c r="K3" s="362" t="s">
        <v>215</v>
      </c>
      <c r="L3" s="1012">
        <f t="shared" ref="L3:T3" si="0">L4</f>
        <v>0</v>
      </c>
      <c r="M3" s="363">
        <f t="shared" si="0"/>
        <v>0</v>
      </c>
      <c r="N3" s="363">
        <f t="shared" si="0"/>
        <v>0</v>
      </c>
      <c r="O3" s="363">
        <f t="shared" si="0"/>
        <v>0</v>
      </c>
      <c r="P3" s="364">
        <f t="shared" si="0"/>
        <v>0</v>
      </c>
      <c r="Q3" s="363">
        <f t="shared" si="0"/>
        <v>0</v>
      </c>
      <c r="R3" s="364">
        <f t="shared" si="0"/>
        <v>0</v>
      </c>
      <c r="S3" s="363">
        <f t="shared" si="0"/>
        <v>0</v>
      </c>
      <c r="T3" s="364">
        <f t="shared" si="0"/>
        <v>0</v>
      </c>
      <c r="U3" s="365"/>
      <c r="V3" s="366"/>
      <c r="W3" s="366"/>
      <c r="X3" s="366"/>
      <c r="Z3" s="367">
        <f>AW3+AY3+BA3</f>
        <v>0</v>
      </c>
      <c r="AA3" s="363">
        <f>AX3+AZ3+BB3</f>
        <v>0</v>
      </c>
      <c r="AB3" s="280">
        <f>Z3-AA3</f>
        <v>0</v>
      </c>
      <c r="AC3" s="367">
        <f>BC3+BE3+BG3</f>
        <v>0</v>
      </c>
      <c r="AD3" s="363">
        <f>BD3+BF3+BH3</f>
        <v>0</v>
      </c>
      <c r="AE3" s="280">
        <f>AC3-AD3</f>
        <v>0</v>
      </c>
      <c r="AF3" s="367">
        <f>BI3+BK3+BM3</f>
        <v>0</v>
      </c>
      <c r="AG3" s="363">
        <f>BJ3+BL3+BN3</f>
        <v>0</v>
      </c>
      <c r="AH3" s="280">
        <f>AF3-AG3</f>
        <v>0</v>
      </c>
      <c r="AI3" s="367">
        <f>BO3+BQ3+BS3</f>
        <v>0</v>
      </c>
      <c r="AJ3" s="363">
        <f>BP3+BR3+BT3</f>
        <v>0</v>
      </c>
      <c r="AK3" s="280">
        <f>AI3-AJ3</f>
        <v>0</v>
      </c>
      <c r="AL3" s="368"/>
      <c r="AM3" s="367">
        <f>Z3+AC3</f>
        <v>0</v>
      </c>
      <c r="AN3" s="363">
        <f>AA3+AD3</f>
        <v>0</v>
      </c>
      <c r="AO3" s="280">
        <f>AM3-AN3</f>
        <v>0</v>
      </c>
      <c r="AP3" s="367">
        <f>Z3+AC3+AF3</f>
        <v>0</v>
      </c>
      <c r="AQ3" s="363">
        <f>AA3+AD3+AG3</f>
        <v>0</v>
      </c>
      <c r="AR3" s="280">
        <f>AP3-AQ3</f>
        <v>0</v>
      </c>
      <c r="AS3" s="367">
        <f>Z3+AC3+AF3+AI3</f>
        <v>0</v>
      </c>
      <c r="AT3" s="363">
        <f>AA3+AD3+AG3+AJ3</f>
        <v>0</v>
      </c>
      <c r="AU3" s="280">
        <f>AS3-AT3</f>
        <v>0</v>
      </c>
      <c r="AV3" s="1243"/>
      <c r="AW3" s="367">
        <f t="shared" ref="AW3:BT3" si="1">AW4</f>
        <v>0</v>
      </c>
      <c r="AX3" s="1097">
        <f t="shared" si="1"/>
        <v>0</v>
      </c>
      <c r="AY3" s="363">
        <f t="shared" si="1"/>
        <v>0</v>
      </c>
      <c r="AZ3" s="1097">
        <f t="shared" si="1"/>
        <v>0</v>
      </c>
      <c r="BA3" s="363">
        <f t="shared" si="1"/>
        <v>0</v>
      </c>
      <c r="BB3" s="1119">
        <f t="shared" si="1"/>
        <v>0</v>
      </c>
      <c r="BC3" s="367">
        <f t="shared" si="1"/>
        <v>0</v>
      </c>
      <c r="BD3" s="363">
        <f t="shared" si="1"/>
        <v>0</v>
      </c>
      <c r="BE3" s="363">
        <f t="shared" si="1"/>
        <v>0</v>
      </c>
      <c r="BF3" s="363">
        <f t="shared" si="1"/>
        <v>0</v>
      </c>
      <c r="BG3" s="363">
        <f t="shared" si="1"/>
        <v>0</v>
      </c>
      <c r="BH3" s="369">
        <f t="shared" si="1"/>
        <v>0</v>
      </c>
      <c r="BI3" s="367">
        <f t="shared" si="1"/>
        <v>0</v>
      </c>
      <c r="BJ3" s="363">
        <f t="shared" si="1"/>
        <v>0</v>
      </c>
      <c r="BK3" s="363">
        <f t="shared" si="1"/>
        <v>0</v>
      </c>
      <c r="BL3" s="363">
        <f t="shared" si="1"/>
        <v>0</v>
      </c>
      <c r="BM3" s="363">
        <f t="shared" si="1"/>
        <v>0</v>
      </c>
      <c r="BN3" s="369">
        <f t="shared" si="1"/>
        <v>0</v>
      </c>
      <c r="BO3" s="367">
        <f t="shared" si="1"/>
        <v>0</v>
      </c>
      <c r="BP3" s="363">
        <f t="shared" si="1"/>
        <v>0</v>
      </c>
      <c r="BQ3" s="363">
        <f t="shared" si="1"/>
        <v>0</v>
      </c>
      <c r="BR3" s="363">
        <f t="shared" si="1"/>
        <v>0</v>
      </c>
      <c r="BS3" s="363">
        <f t="shared" si="1"/>
        <v>0</v>
      </c>
      <c r="BT3" s="280">
        <f t="shared" si="1"/>
        <v>0</v>
      </c>
    </row>
    <row r="4" spans="1:74" s="313" customFormat="1">
      <c r="A4" s="839"/>
      <c r="B4" s="935"/>
      <c r="C4" s="840"/>
      <c r="D4" s="841"/>
      <c r="E4" s="839"/>
      <c r="F4" s="821"/>
      <c r="G4" s="314"/>
      <c r="H4" s="739"/>
      <c r="I4" s="739"/>
      <c r="J4" s="740"/>
      <c r="K4" s="317" t="s">
        <v>214</v>
      </c>
      <c r="L4" s="1013"/>
      <c r="M4" s="318"/>
      <c r="N4" s="318"/>
      <c r="O4" s="318"/>
      <c r="P4" s="329"/>
      <c r="Q4" s="319"/>
      <c r="R4" s="329"/>
      <c r="S4" s="319"/>
      <c r="T4" s="329"/>
      <c r="U4" s="335"/>
      <c r="V4" s="320"/>
      <c r="W4" s="320"/>
      <c r="X4" s="320"/>
      <c r="Z4" s="336">
        <f>AW4+AY4+BA4</f>
        <v>0</v>
      </c>
      <c r="AA4" s="337">
        <f>AX4+AZ4+BB4</f>
        <v>0</v>
      </c>
      <c r="AB4" s="338">
        <f>Z4-AA4</f>
        <v>0</v>
      </c>
      <c r="AC4" s="336">
        <f>BC4+BE4+BG4</f>
        <v>0</v>
      </c>
      <c r="AD4" s="337">
        <f>BD4+BF4+BH4</f>
        <v>0</v>
      </c>
      <c r="AE4" s="338">
        <f>AC4-AD4</f>
        <v>0</v>
      </c>
      <c r="AF4" s="336">
        <f>BI4+BK4+BM4</f>
        <v>0</v>
      </c>
      <c r="AG4" s="337">
        <f>BJ4+BL4+BN4</f>
        <v>0</v>
      </c>
      <c r="AH4" s="338">
        <f>AF4-AG4</f>
        <v>0</v>
      </c>
      <c r="AI4" s="336">
        <f>BO4+BQ4+BS4</f>
        <v>0</v>
      </c>
      <c r="AJ4" s="337">
        <f>BP4+BR4+BT4</f>
        <v>0</v>
      </c>
      <c r="AK4" s="338">
        <f>AI4-AJ4</f>
        <v>0</v>
      </c>
      <c r="AL4" s="342"/>
      <c r="AM4" s="336">
        <f>Z4+AC4</f>
        <v>0</v>
      </c>
      <c r="AN4" s="339">
        <f>AA4+AD4</f>
        <v>0</v>
      </c>
      <c r="AO4" s="340">
        <f>AM4-AN4</f>
        <v>0</v>
      </c>
      <c r="AP4" s="336">
        <f>Z4+AC4+AF4</f>
        <v>0</v>
      </c>
      <c r="AQ4" s="339">
        <f>AA4+AD4+AG4</f>
        <v>0</v>
      </c>
      <c r="AR4" s="340">
        <f>AP4-AQ4</f>
        <v>0</v>
      </c>
      <c r="AS4" s="341">
        <f>Z4+AC4+AF4+AI4</f>
        <v>0</v>
      </c>
      <c r="AT4" s="339">
        <f>AA4+AD4+AG4+AJ4</f>
        <v>0</v>
      </c>
      <c r="AU4" s="340">
        <f>AS4-AT4</f>
        <v>0</v>
      </c>
      <c r="AV4" s="1244"/>
      <c r="AW4" s="343"/>
      <c r="AX4" s="1098"/>
      <c r="AY4" s="345"/>
      <c r="AZ4" s="1098"/>
      <c r="BA4" s="345"/>
      <c r="BB4" s="1120"/>
      <c r="BC4" s="347"/>
      <c r="BD4" s="348"/>
      <c r="BE4" s="349"/>
      <c r="BF4" s="348"/>
      <c r="BG4" s="349"/>
      <c r="BH4" s="350"/>
      <c r="BI4" s="351"/>
      <c r="BJ4" s="352"/>
      <c r="BK4" s="337"/>
      <c r="BL4" s="352"/>
      <c r="BM4" s="337"/>
      <c r="BN4" s="353"/>
      <c r="BO4" s="354"/>
      <c r="BP4" s="355"/>
      <c r="BQ4" s="356"/>
      <c r="BR4" s="355"/>
      <c r="BS4" s="356"/>
      <c r="BT4" s="357"/>
    </row>
    <row r="5" spans="1:74" s="523" customFormat="1" ht="39.75" customHeight="1" thickBot="1">
      <c r="A5" s="842"/>
      <c r="B5" s="934"/>
      <c r="C5" s="843"/>
      <c r="D5" s="844"/>
      <c r="E5" s="842"/>
      <c r="F5" s="822"/>
      <c r="G5" s="525"/>
      <c r="H5" s="525"/>
      <c r="I5" s="525"/>
      <c r="J5" s="526"/>
      <c r="K5" s="530" t="s">
        <v>376</v>
      </c>
      <c r="L5" s="685">
        <f t="shared" ref="L5:S5" si="2">SUBTOTAL(9,L12:L210,L216:L236,L243:L383)</f>
        <v>106837353.76000001</v>
      </c>
      <c r="M5" s="685">
        <f t="shared" si="2"/>
        <v>247442.91</v>
      </c>
      <c r="N5" s="685">
        <f t="shared" si="2"/>
        <v>-68195.06</v>
      </c>
      <c r="O5" s="685">
        <f t="shared" si="2"/>
        <v>106769158.7</v>
      </c>
      <c r="P5" s="685">
        <f t="shared" si="2"/>
        <v>12339098.529999999</v>
      </c>
      <c r="Q5" s="685">
        <f t="shared" si="2"/>
        <v>71515085.060000002</v>
      </c>
      <c r="R5" s="685">
        <f t="shared" si="2"/>
        <v>0</v>
      </c>
      <c r="S5" s="685">
        <f t="shared" si="2"/>
        <v>71158575.030000001</v>
      </c>
      <c r="T5" s="685">
        <f>SUBTOTAL(9,T12:T210,T216:T217,T243:T380)</f>
        <v>0</v>
      </c>
      <c r="U5" s="685"/>
      <c r="V5" s="685">
        <f>SUBTOTAL(9,V12:V210,V216:V236,V243:V383)</f>
        <v>467197.09</v>
      </c>
      <c r="W5" s="685">
        <f>SUBTOTAL(9,W12:W210,W216:W236,W243:W383)</f>
        <v>0</v>
      </c>
      <c r="X5" s="685" t="e">
        <f>SUBTOTAL(9,X12:X210,X216:X236,X243:X383)</f>
        <v>#VALUE!</v>
      </c>
      <c r="Y5" s="685"/>
      <c r="Z5" s="685"/>
      <c r="AA5" s="685"/>
      <c r="AB5" s="685"/>
      <c r="AC5" s="685"/>
      <c r="AD5" s="685"/>
      <c r="AE5" s="685"/>
      <c r="AF5" s="685"/>
      <c r="AG5" s="685"/>
      <c r="AH5" s="685"/>
      <c r="AI5" s="685"/>
      <c r="AJ5" s="685"/>
      <c r="AK5" s="685"/>
      <c r="AL5" s="685"/>
      <c r="AM5" s="685">
        <f t="shared" ref="AM5:AR5" si="3">SUBTOTAL(9,AM12:AM210,AM216:AM217,AM243:AM380)</f>
        <v>57724595.079999998</v>
      </c>
      <c r="AN5" s="685">
        <f t="shared" si="3"/>
        <v>18633302.289999999</v>
      </c>
      <c r="AO5" s="685">
        <f t="shared" si="3"/>
        <v>39091292.789999999</v>
      </c>
      <c r="AP5" s="685">
        <f t="shared" si="3"/>
        <v>76344883.709999993</v>
      </c>
      <c r="AQ5" s="685">
        <f t="shared" si="3"/>
        <v>19516309.530000001</v>
      </c>
      <c r="AR5" s="685">
        <f t="shared" si="3"/>
        <v>56828574.18</v>
      </c>
      <c r="AS5" s="685">
        <f t="shared" ref="AS5:BT5" si="4">SUBTOTAL(9,AS12:AS210,AS216:AS236,AS243:AS383)</f>
        <v>109389967.81</v>
      </c>
      <c r="AT5" s="685">
        <f t="shared" si="4"/>
        <v>20526032.399999999</v>
      </c>
      <c r="AU5" s="685">
        <f t="shared" si="4"/>
        <v>88863935.409999996</v>
      </c>
      <c r="AV5" s="1245">
        <f t="shared" si="4"/>
        <v>-2314624.41</v>
      </c>
      <c r="AW5" s="685">
        <f t="shared" si="4"/>
        <v>7991015.5700000003</v>
      </c>
      <c r="AX5" s="1099">
        <f t="shared" si="4"/>
        <v>970302.02</v>
      </c>
      <c r="AY5" s="685">
        <f t="shared" si="4"/>
        <v>5675024.6699999999</v>
      </c>
      <c r="AZ5" s="1099">
        <f t="shared" si="4"/>
        <v>7035068.2599999998</v>
      </c>
      <c r="BA5" s="685">
        <f t="shared" si="4"/>
        <v>11894436.77</v>
      </c>
      <c r="BB5" s="1099">
        <f t="shared" si="4"/>
        <v>9054967.25</v>
      </c>
      <c r="BC5" s="685">
        <f t="shared" si="4"/>
        <v>6776590.6500000004</v>
      </c>
      <c r="BD5" s="685">
        <f t="shared" si="4"/>
        <v>584247.28</v>
      </c>
      <c r="BE5" s="685">
        <f t="shared" si="4"/>
        <v>7215399.7699999996</v>
      </c>
      <c r="BF5" s="685">
        <f t="shared" si="4"/>
        <v>505568.38</v>
      </c>
      <c r="BG5" s="685">
        <f t="shared" si="4"/>
        <v>18202127.649999999</v>
      </c>
      <c r="BH5" s="685">
        <f t="shared" si="4"/>
        <v>493149.1</v>
      </c>
      <c r="BI5" s="685">
        <f t="shared" si="4"/>
        <v>9220455.1600000001</v>
      </c>
      <c r="BJ5" s="685">
        <f t="shared" si="4"/>
        <v>579416.80000000005</v>
      </c>
      <c r="BK5" s="685">
        <f t="shared" si="4"/>
        <v>4854009.96</v>
      </c>
      <c r="BL5" s="685">
        <f t="shared" si="4"/>
        <v>153002.5</v>
      </c>
      <c r="BM5" s="685">
        <f t="shared" si="4"/>
        <v>9418701.5099999998</v>
      </c>
      <c r="BN5" s="685">
        <f t="shared" si="4"/>
        <v>150587.94</v>
      </c>
      <c r="BO5" s="685">
        <f t="shared" si="4"/>
        <v>9612885.2100000009</v>
      </c>
      <c r="BP5" s="685">
        <f t="shared" si="4"/>
        <v>559384.47</v>
      </c>
      <c r="BQ5" s="685">
        <f t="shared" si="4"/>
        <v>7202186.9000000004</v>
      </c>
      <c r="BR5" s="685">
        <f t="shared" si="4"/>
        <v>450338.4</v>
      </c>
      <c r="BS5" s="685">
        <f t="shared" si="4"/>
        <v>11337133.99</v>
      </c>
      <c r="BT5" s="575">
        <f t="shared" si="4"/>
        <v>0</v>
      </c>
    </row>
    <row r="6" spans="1:74" ht="18.75">
      <c r="A6" s="1200" t="s">
        <v>905</v>
      </c>
      <c r="F6" s="322" t="s">
        <v>137</v>
      </c>
      <c r="G6" s="322"/>
      <c r="H6" s="322"/>
      <c r="I6" s="322"/>
      <c r="J6" s="322"/>
      <c r="K6" s="322"/>
      <c r="L6" s="1197">
        <f>L213</f>
        <v>0</v>
      </c>
      <c r="O6" s="1197">
        <f>O213</f>
        <v>3379.25</v>
      </c>
      <c r="P6" s="88"/>
      <c r="Q6" s="1197">
        <f>Q213</f>
        <v>0</v>
      </c>
      <c r="R6" s="88"/>
      <c r="S6" s="1197">
        <f>S213</f>
        <v>0</v>
      </c>
      <c r="T6" s="88"/>
      <c r="Z6" s="2"/>
      <c r="AA6" s="2"/>
      <c r="AB6" s="2"/>
      <c r="AC6" s="2"/>
      <c r="AD6" s="2"/>
      <c r="AE6" s="2"/>
      <c r="AF6" s="2"/>
      <c r="AG6" s="2"/>
      <c r="AH6" s="2"/>
      <c r="AI6" s="2"/>
      <c r="AJ6" s="2"/>
      <c r="AK6" s="2"/>
      <c r="AL6" s="273"/>
      <c r="AM6" s="2"/>
      <c r="AN6" s="2"/>
      <c r="AO6" s="2"/>
      <c r="AP6" s="2"/>
      <c r="AQ6" s="2"/>
      <c r="AR6" s="2"/>
      <c r="AS6" s="2"/>
      <c r="AT6" s="2"/>
      <c r="AU6" s="644"/>
      <c r="AW6" s="643"/>
      <c r="AX6" s="1100"/>
      <c r="AY6" s="643"/>
      <c r="AZ6" s="1100"/>
      <c r="BA6" s="643"/>
      <c r="BB6" s="1100"/>
      <c r="BC6" s="643"/>
      <c r="BD6" s="643"/>
      <c r="BE6" s="643"/>
      <c r="BF6" s="643"/>
      <c r="BG6" s="643"/>
      <c r="BH6" s="643"/>
      <c r="BI6" s="643"/>
      <c r="BJ6" s="643"/>
      <c r="BK6" s="643"/>
      <c r="BL6" s="643"/>
      <c r="BM6" s="643"/>
      <c r="BN6" s="643" t="e">
        <f t="shared" ref="BN6:BR6" si="5">ROUND(BN12/$AV$6,0)</f>
        <v>#DIV/0!</v>
      </c>
      <c r="BO6" s="643"/>
      <c r="BP6" s="643" t="e">
        <f t="shared" si="5"/>
        <v>#DIV/0!</v>
      </c>
      <c r="BQ6" s="643"/>
      <c r="BR6" s="643" t="e">
        <f t="shared" si="5"/>
        <v>#DIV/0!</v>
      </c>
      <c r="BS6" s="643"/>
      <c r="BT6" s="2"/>
    </row>
    <row r="7" spans="1:74" ht="18.75">
      <c r="A7" s="1201" t="s">
        <v>906</v>
      </c>
      <c r="F7" s="323" t="s">
        <v>29</v>
      </c>
      <c r="G7" s="321"/>
      <c r="H7" s="321"/>
      <c r="I7" s="321"/>
      <c r="J7" s="321"/>
      <c r="K7" s="321"/>
      <c r="L7" s="1198">
        <f>L240</f>
        <v>0</v>
      </c>
      <c r="O7" s="1198">
        <f>O240</f>
        <v>0</v>
      </c>
      <c r="P7" s="88"/>
      <c r="Q7" s="1198">
        <f>Q240</f>
        <v>0</v>
      </c>
      <c r="R7" s="88"/>
      <c r="S7" s="1198">
        <f>S240</f>
        <v>0</v>
      </c>
      <c r="T7" s="88"/>
      <c r="V7" s="1228" t="s">
        <v>973</v>
      </c>
      <c r="X7" s="1228" t="s">
        <v>1013</v>
      </c>
      <c r="Z7" s="2"/>
      <c r="AA7" s="2"/>
      <c r="AB7" s="2"/>
      <c r="AC7" s="2"/>
      <c r="AD7" s="2"/>
      <c r="AE7" s="2"/>
      <c r="AF7" s="2"/>
      <c r="AG7" s="2"/>
      <c r="AH7" s="2"/>
      <c r="AI7" s="2"/>
      <c r="AJ7" s="2"/>
      <c r="AK7" s="2"/>
      <c r="AL7" s="273"/>
      <c r="AM7" s="2"/>
      <c r="AN7" s="2"/>
      <c r="AO7" s="2"/>
      <c r="AP7" s="2"/>
      <c r="AQ7" s="2"/>
      <c r="AR7" s="2"/>
      <c r="AS7" s="2"/>
      <c r="AT7" s="2"/>
      <c r="AU7" s="2"/>
      <c r="AW7" s="1132" t="s">
        <v>738</v>
      </c>
      <c r="AX7" s="1101"/>
      <c r="AY7" s="2"/>
      <c r="AZ7" s="1101"/>
      <c r="BA7" s="2"/>
      <c r="BB7" s="1101"/>
      <c r="BC7" s="2"/>
      <c r="BD7" s="2"/>
      <c r="BE7" s="2"/>
      <c r="BF7" s="2"/>
      <c r="BG7" s="2"/>
      <c r="BH7" s="2"/>
      <c r="BI7" s="2"/>
      <c r="BJ7" s="2"/>
      <c r="BK7" s="2"/>
      <c r="BL7" s="2"/>
      <c r="BM7" s="2"/>
      <c r="BN7" s="2"/>
      <c r="BO7" s="2"/>
      <c r="BP7" s="2"/>
      <c r="BQ7" s="2"/>
      <c r="BR7" s="2"/>
      <c r="BS7" s="2"/>
      <c r="BT7" s="2"/>
    </row>
    <row r="8" spans="1:74" ht="19.5" thickBot="1">
      <c r="A8" s="1202" t="s">
        <v>907</v>
      </c>
      <c r="L8" s="1199">
        <f>L387</f>
        <v>0</v>
      </c>
      <c r="O8" s="1199">
        <f>O387</f>
        <v>0</v>
      </c>
      <c r="P8" s="88"/>
      <c r="Q8" s="1199">
        <f>Q387</f>
        <v>0</v>
      </c>
      <c r="R8" s="88"/>
      <c r="S8" s="1199">
        <f>S387</f>
        <v>0</v>
      </c>
      <c r="T8" s="88"/>
      <c r="AV8" s="1247" t="s">
        <v>449</v>
      </c>
      <c r="BA8" s="386">
        <f>BB8-AW12-AY12-BA12</f>
        <v>941214.16</v>
      </c>
      <c r="BB8" s="1121">
        <v>9724242</v>
      </c>
      <c r="BG8" s="387">
        <f>BH8-BC12-BE12-BG12</f>
        <v>-3915758</v>
      </c>
      <c r="BH8" s="385">
        <v>9724242</v>
      </c>
      <c r="BM8" s="386">
        <f>BN8-BI12-BK12-BM12</f>
        <v>4016972.8</v>
      </c>
      <c r="BN8" s="385">
        <v>9724242</v>
      </c>
      <c r="BS8" s="386">
        <f>BT8-BO12-BQ12-BS12</f>
        <v>2651359.42</v>
      </c>
      <c r="BT8" s="385">
        <f>ROUND($L$12*25%,2)</f>
        <v>7531926.3300000001</v>
      </c>
    </row>
    <row r="9" spans="1:74" ht="27" customHeight="1" thickBot="1">
      <c r="H9" s="4"/>
      <c r="I9" s="4"/>
      <c r="L9" s="1016"/>
      <c r="Q9" s="5"/>
      <c r="S9" s="5" t="s">
        <v>0</v>
      </c>
      <c r="V9" s="737" t="s">
        <v>382</v>
      </c>
      <c r="W9" s="736" t="s">
        <v>391</v>
      </c>
      <c r="X9" s="738" t="s">
        <v>383</v>
      </c>
      <c r="Z9" s="1489" t="s">
        <v>182</v>
      </c>
      <c r="AA9" s="1490"/>
      <c r="AB9" s="1491"/>
      <c r="AC9" s="1489" t="s">
        <v>181</v>
      </c>
      <c r="AD9" s="1490"/>
      <c r="AE9" s="1491"/>
      <c r="AF9" s="1489" t="s">
        <v>186</v>
      </c>
      <c r="AG9" s="1490"/>
      <c r="AH9" s="1491"/>
      <c r="AI9" s="1489" t="s">
        <v>189</v>
      </c>
      <c r="AJ9" s="1490"/>
      <c r="AK9" s="1491"/>
      <c r="AL9" s="275"/>
      <c r="AM9" s="1492" t="s">
        <v>188</v>
      </c>
      <c r="AN9" s="1493"/>
      <c r="AO9" s="1494"/>
      <c r="AP9" s="1492" t="s">
        <v>187</v>
      </c>
      <c r="AQ9" s="1493"/>
      <c r="AR9" s="1494"/>
      <c r="AS9" s="1492" t="s">
        <v>213</v>
      </c>
      <c r="AT9" s="1493"/>
      <c r="AU9" s="1494"/>
      <c r="AV9" s="1248"/>
      <c r="AW9" s="1495" t="s">
        <v>179</v>
      </c>
      <c r="AX9" s="1520"/>
      <c r="AY9" s="1496" t="s">
        <v>178</v>
      </c>
      <c r="AZ9" s="1520"/>
      <c r="BA9" s="1496" t="s">
        <v>180</v>
      </c>
      <c r="BB9" s="1521"/>
      <c r="BC9" s="1498" t="s">
        <v>183</v>
      </c>
      <c r="BD9" s="1488"/>
      <c r="BE9" s="1488" t="s">
        <v>184</v>
      </c>
      <c r="BF9" s="1488"/>
      <c r="BG9" s="1488" t="s">
        <v>185</v>
      </c>
      <c r="BH9" s="1501"/>
      <c r="BI9" s="1502" t="s">
        <v>190</v>
      </c>
      <c r="BJ9" s="1503"/>
      <c r="BK9" s="1503" t="s">
        <v>191</v>
      </c>
      <c r="BL9" s="1503"/>
      <c r="BM9" s="1503" t="s">
        <v>192</v>
      </c>
      <c r="BN9" s="1504"/>
      <c r="BO9" s="1505" t="s">
        <v>193</v>
      </c>
      <c r="BP9" s="1499"/>
      <c r="BQ9" s="1499" t="s">
        <v>194</v>
      </c>
      <c r="BR9" s="1499"/>
      <c r="BS9" s="1499" t="s">
        <v>195</v>
      </c>
      <c r="BT9" s="1500"/>
      <c r="BU9" s="307" t="s">
        <v>198</v>
      </c>
      <c r="BV9" s="307" t="s">
        <v>199</v>
      </c>
    </row>
    <row r="10" spans="1:74" s="31" customFormat="1" ht="73.5" customHeight="1" thickBot="1">
      <c r="A10" s="845" t="s">
        <v>450</v>
      </c>
      <c r="B10" s="936" t="s">
        <v>451</v>
      </c>
      <c r="C10" s="846" t="s">
        <v>377</v>
      </c>
      <c r="D10" s="847" t="s">
        <v>380</v>
      </c>
      <c r="E10" s="848" t="s">
        <v>200</v>
      </c>
      <c r="F10" s="823" t="s">
        <v>1</v>
      </c>
      <c r="G10" s="12" t="s">
        <v>2</v>
      </c>
      <c r="H10" s="12" t="s">
        <v>68</v>
      </c>
      <c r="I10" s="12" t="s">
        <v>4</v>
      </c>
      <c r="J10" s="12" t="s">
        <v>5</v>
      </c>
      <c r="K10" s="522" t="s">
        <v>6</v>
      </c>
      <c r="L10" s="1017" t="s">
        <v>641</v>
      </c>
      <c r="M10" s="732" t="s">
        <v>73</v>
      </c>
      <c r="N10" s="732" t="s">
        <v>203</v>
      </c>
      <c r="O10" s="732" t="s">
        <v>33</v>
      </c>
      <c r="P10" s="733" t="s">
        <v>62</v>
      </c>
      <c r="Q10" s="732" t="s">
        <v>50</v>
      </c>
      <c r="R10" s="734" t="s">
        <v>62</v>
      </c>
      <c r="S10" s="735" t="s">
        <v>138</v>
      </c>
      <c r="T10" s="659" t="s">
        <v>62</v>
      </c>
      <c r="U10" s="325"/>
      <c r="V10" s="12" t="s">
        <v>210</v>
      </c>
      <c r="W10" s="12" t="s">
        <v>211</v>
      </c>
      <c r="X10" s="12" t="s">
        <v>212</v>
      </c>
      <c r="Z10" s="261" t="s">
        <v>82</v>
      </c>
      <c r="AA10" s="252" t="s">
        <v>177</v>
      </c>
      <c r="AB10" s="268" t="s">
        <v>196</v>
      </c>
      <c r="AC10" s="261" t="s">
        <v>82</v>
      </c>
      <c r="AD10" s="252" t="s">
        <v>177</v>
      </c>
      <c r="AE10" s="268" t="s">
        <v>196</v>
      </c>
      <c r="AF10" s="261" t="s">
        <v>82</v>
      </c>
      <c r="AG10" s="252" t="s">
        <v>177</v>
      </c>
      <c r="AH10" s="268" t="s">
        <v>196</v>
      </c>
      <c r="AI10" s="261" t="s">
        <v>82</v>
      </c>
      <c r="AJ10" s="252" t="s">
        <v>177</v>
      </c>
      <c r="AK10" s="268" t="s">
        <v>196</v>
      </c>
      <c r="AL10" s="276"/>
      <c r="AM10" s="261" t="s">
        <v>82</v>
      </c>
      <c r="AN10" s="246" t="s">
        <v>177</v>
      </c>
      <c r="AO10" s="279" t="s">
        <v>196</v>
      </c>
      <c r="AP10" s="261" t="s">
        <v>82</v>
      </c>
      <c r="AQ10" s="246" t="s">
        <v>177</v>
      </c>
      <c r="AR10" s="279" t="s">
        <v>196</v>
      </c>
      <c r="AS10" s="261" t="s">
        <v>82</v>
      </c>
      <c r="AT10" s="246" t="s">
        <v>177</v>
      </c>
      <c r="AU10" s="279" t="s">
        <v>196</v>
      </c>
      <c r="AV10" s="1249"/>
      <c r="AW10" s="288" t="s">
        <v>82</v>
      </c>
      <c r="AX10" s="1103" t="s">
        <v>177</v>
      </c>
      <c r="AY10" s="285" t="s">
        <v>82</v>
      </c>
      <c r="AZ10" s="1103" t="s">
        <v>177</v>
      </c>
      <c r="BA10" s="285" t="s">
        <v>82</v>
      </c>
      <c r="BB10" s="1122" t="s">
        <v>177</v>
      </c>
      <c r="BC10" s="295" t="s">
        <v>82</v>
      </c>
      <c r="BD10" s="294" t="s">
        <v>177</v>
      </c>
      <c r="BE10" s="293" t="s">
        <v>82</v>
      </c>
      <c r="BF10" s="294" t="s">
        <v>177</v>
      </c>
      <c r="BG10" s="293" t="s">
        <v>82</v>
      </c>
      <c r="BH10" s="296" t="s">
        <v>177</v>
      </c>
      <c r="BI10" s="299" t="s">
        <v>82</v>
      </c>
      <c r="BJ10" s="298" t="s">
        <v>177</v>
      </c>
      <c r="BK10" s="297" t="s">
        <v>82</v>
      </c>
      <c r="BL10" s="298" t="s">
        <v>177</v>
      </c>
      <c r="BM10" s="297" t="s">
        <v>82</v>
      </c>
      <c r="BN10" s="300" t="s">
        <v>177</v>
      </c>
      <c r="BO10" s="304" t="s">
        <v>82</v>
      </c>
      <c r="BP10" s="303" t="s">
        <v>177</v>
      </c>
      <c r="BQ10" s="302" t="s">
        <v>82</v>
      </c>
      <c r="BR10" s="303" t="s">
        <v>177</v>
      </c>
      <c r="BS10" s="302" t="s">
        <v>82</v>
      </c>
      <c r="BT10" s="284" t="s">
        <v>177</v>
      </c>
    </row>
    <row r="11" spans="1:74" s="31" customFormat="1" ht="42" customHeight="1" thickBot="1">
      <c r="A11" s="287">
        <v>1</v>
      </c>
      <c r="B11" s="933"/>
      <c r="C11" s="845"/>
      <c r="D11" s="849"/>
      <c r="E11" s="287" t="s">
        <v>201</v>
      </c>
      <c r="F11" s="306" t="s">
        <v>219</v>
      </c>
      <c r="G11" s="306"/>
      <c r="H11" s="306"/>
      <c r="I11" s="306"/>
      <c r="J11" s="306"/>
      <c r="K11" s="306"/>
      <c r="L11" s="1018"/>
      <c r="M11" s="311"/>
      <c r="N11" s="311"/>
      <c r="O11" s="311"/>
      <c r="P11" s="333"/>
      <c r="Q11" s="311"/>
      <c r="R11" s="333"/>
      <c r="T11" s="333"/>
      <c r="U11" s="325"/>
      <c r="V11" s="308"/>
      <c r="W11" s="308"/>
      <c r="X11" s="308"/>
      <c r="Z11" s="262"/>
      <c r="AA11" s="3"/>
      <c r="AB11" s="257"/>
      <c r="AC11" s="262"/>
      <c r="AD11" s="3"/>
      <c r="AE11" s="257"/>
      <c r="AF11" s="262"/>
      <c r="AG11" s="3"/>
      <c r="AH11" s="257"/>
      <c r="AI11" s="262"/>
      <c r="AJ11" s="3"/>
      <c r="AK11" s="257"/>
      <c r="AL11" s="3"/>
      <c r="AM11" s="262"/>
      <c r="AN11" s="3"/>
      <c r="AO11" s="257"/>
      <c r="AP11" s="262"/>
      <c r="AQ11" s="3"/>
      <c r="AR11" s="257"/>
      <c r="AS11" s="262"/>
      <c r="AT11" s="3"/>
      <c r="AU11" s="257"/>
      <c r="AV11" s="1250"/>
      <c r="AW11" s="289"/>
      <c r="AX11" s="1104"/>
      <c r="AY11" s="287"/>
      <c r="AZ11" s="1104"/>
      <c r="BA11" s="287"/>
      <c r="BB11" s="1123"/>
      <c r="BC11" s="289"/>
      <c r="BD11" s="287"/>
      <c r="BE11" s="287"/>
      <c r="BF11" s="287"/>
      <c r="BG11" s="287"/>
      <c r="BH11" s="292"/>
      <c r="BI11" s="289"/>
      <c r="BJ11" s="287"/>
      <c r="BK11" s="287"/>
      <c r="BL11" s="287"/>
      <c r="BM11" s="287"/>
      <c r="BN11" s="292"/>
      <c r="BO11" s="289"/>
      <c r="BP11" s="287"/>
      <c r="BQ11" s="287"/>
      <c r="BR11" s="287"/>
      <c r="BS11" s="287"/>
      <c r="BT11" s="290"/>
    </row>
    <row r="12" spans="1:74" s="378" customFormat="1" ht="32.25" thickBot="1">
      <c r="A12" s="287">
        <v>2</v>
      </c>
      <c r="B12" s="936"/>
      <c r="C12" s="850"/>
      <c r="D12" s="851"/>
      <c r="E12" s="852" t="s">
        <v>201</v>
      </c>
      <c r="F12" s="824" t="s">
        <v>7</v>
      </c>
      <c r="G12" s="376">
        <v>4</v>
      </c>
      <c r="H12" s="376" t="s">
        <v>226</v>
      </c>
      <c r="I12" s="376">
        <v>111</v>
      </c>
      <c r="J12" s="377">
        <v>211</v>
      </c>
      <c r="K12" s="531" t="s">
        <v>8</v>
      </c>
      <c r="L12" s="1019">
        <v>30127705.329999998</v>
      </c>
      <c r="M12" s="972"/>
      <c r="N12" s="972"/>
      <c r="O12" s="1057">
        <f>L12+N12</f>
        <v>30127705.329999998</v>
      </c>
      <c r="P12" s="973">
        <f>41959190-L12-L243</f>
        <v>6768373.7999999998</v>
      </c>
      <c r="Q12" s="971">
        <v>24496803.949999999</v>
      </c>
      <c r="R12" s="973"/>
      <c r="S12" s="971">
        <v>24191233.949999999</v>
      </c>
      <c r="T12" s="556"/>
      <c r="U12" s="380"/>
      <c r="V12" s="381"/>
      <c r="W12" s="381"/>
      <c r="X12" s="381"/>
      <c r="Z12" s="382">
        <f t="shared" ref="Z12:AA53" si="6">AW12+AY12+BA12</f>
        <v>8783027.8399999999</v>
      </c>
      <c r="AA12" s="247">
        <f t="shared" si="6"/>
        <v>8479402.4700000007</v>
      </c>
      <c r="AB12" s="383">
        <f t="shared" ref="AB12:AB86" si="7">Z12-AA12</f>
        <v>303625.37</v>
      </c>
      <c r="AC12" s="382">
        <f t="shared" ref="AC12:AD53" si="8">BC12+BE12+BG12</f>
        <v>13640000</v>
      </c>
      <c r="AD12" s="247">
        <f t="shared" si="8"/>
        <v>0</v>
      </c>
      <c r="AE12" s="383">
        <f t="shared" ref="AE12:AE86" si="9">AC12-AD12</f>
        <v>13640000</v>
      </c>
      <c r="AF12" s="382">
        <f t="shared" ref="AF12:AG53" si="10">BI12+BK12+BM12</f>
        <v>5707269.2000000002</v>
      </c>
      <c r="AG12" s="247">
        <f t="shared" si="10"/>
        <v>0</v>
      </c>
      <c r="AH12" s="383">
        <f t="shared" ref="AH12:AH86" si="11">AF12-AG12</f>
        <v>5707269.2000000002</v>
      </c>
      <c r="AI12" s="382">
        <f t="shared" ref="AI12:AJ53" si="12">BO12+BQ12+BS12</f>
        <v>4880566.91</v>
      </c>
      <c r="AJ12" s="247">
        <f t="shared" si="12"/>
        <v>0</v>
      </c>
      <c r="AK12" s="383">
        <f t="shared" ref="AK12:AK86" si="13">AI12-AJ12</f>
        <v>4880566.91</v>
      </c>
      <c r="AL12" s="250"/>
      <c r="AM12" s="382">
        <f t="shared" ref="AM12:AN53" si="14">Z12+AC12</f>
        <v>22423027.84</v>
      </c>
      <c r="AN12" s="247">
        <f t="shared" si="14"/>
        <v>8479402.4700000007</v>
      </c>
      <c r="AO12" s="383">
        <f t="shared" ref="AO12:AO86" si="15">AM12-AN12</f>
        <v>13943625.369999999</v>
      </c>
      <c r="AP12" s="382">
        <f t="shared" ref="AP12:AQ53" si="16">Z12+AC12+AF12</f>
        <v>28130297.039999999</v>
      </c>
      <c r="AQ12" s="247">
        <f t="shared" si="16"/>
        <v>8479402.4700000007</v>
      </c>
      <c r="AR12" s="383">
        <f t="shared" ref="AR12:AR86" si="17">AP12-AQ12</f>
        <v>19650894.57</v>
      </c>
      <c r="AS12" s="382">
        <f>Z12+AC12+AF12+AI12</f>
        <v>33010863.949999999</v>
      </c>
      <c r="AT12" s="247">
        <f t="shared" ref="AT12:AT86" si="18">AA12+AD12+AG12+AJ12</f>
        <v>8479402.4700000007</v>
      </c>
      <c r="AU12" s="383">
        <f t="shared" ref="AU12:AU86" si="19">AS12-AT12</f>
        <v>24531461.48</v>
      </c>
      <c r="AV12" s="1251">
        <f t="shared" ref="AV12:AV86" si="20">L12-AS12</f>
        <v>-2883158.62</v>
      </c>
      <c r="AW12" s="382">
        <v>1390000</v>
      </c>
      <c r="AX12" s="1131">
        <v>948705.39</v>
      </c>
      <c r="AY12" s="247">
        <f>2420000-AY13</f>
        <v>2183027.84</v>
      </c>
      <c r="AZ12" s="1131">
        <v>3500238.93</v>
      </c>
      <c r="BA12" s="247">
        <v>5210000</v>
      </c>
      <c r="BB12" s="1124">
        <v>4030458.15</v>
      </c>
      <c r="BC12" s="382">
        <v>2420000</v>
      </c>
      <c r="BD12" s="247"/>
      <c r="BE12" s="247">
        <v>2420000</v>
      </c>
      <c r="BF12" s="247"/>
      <c r="BG12" s="247">
        <v>8800000</v>
      </c>
      <c r="BH12" s="384"/>
      <c r="BI12" s="382">
        <f>3420269.2-BI13-BI17-BI33-BI243-BI244</f>
        <v>3412269.2</v>
      </c>
      <c r="BJ12" s="247"/>
      <c r="BK12" s="247">
        <f>500000-BK13-BK17-BK33-BK243-BK244</f>
        <v>495000</v>
      </c>
      <c r="BL12" s="247"/>
      <c r="BM12" s="247">
        <f>1800000-BM13-BM17-BM33-BM243-BM244</f>
        <v>1800000</v>
      </c>
      <c r="BN12" s="384"/>
      <c r="BO12" s="382">
        <f>1636188.97-BO13-BO17-BO33-BO243-BO244</f>
        <v>1628188.97</v>
      </c>
      <c r="BP12" s="247"/>
      <c r="BQ12" s="247">
        <f>1636188.97-BQ13-BQ17-BQ33-BQ243-BQ244</f>
        <v>1616188.97</v>
      </c>
      <c r="BR12" s="247"/>
      <c r="BS12" s="247">
        <f>1636188.97-BS13-BS17-BS33-BS243-BS244</f>
        <v>1636188.97</v>
      </c>
      <c r="BT12" s="383"/>
      <c r="BU12" s="378">
        <v>0.01</v>
      </c>
      <c r="BV12" s="378" t="s">
        <v>197</v>
      </c>
    </row>
    <row r="13" spans="1:74" s="897" customFormat="1" ht="31.5">
      <c r="A13" s="287">
        <v>3</v>
      </c>
      <c r="B13" s="937"/>
      <c r="C13" s="887"/>
      <c r="D13" s="888"/>
      <c r="E13" s="889" t="s">
        <v>201</v>
      </c>
      <c r="F13" s="890" t="s">
        <v>7</v>
      </c>
      <c r="G13" s="891">
        <v>4</v>
      </c>
      <c r="H13" s="891" t="s">
        <v>489</v>
      </c>
      <c r="I13" s="891">
        <v>111</v>
      </c>
      <c r="J13" s="892">
        <v>211</v>
      </c>
      <c r="K13" s="893" t="s">
        <v>911</v>
      </c>
      <c r="L13" s="1020">
        <v>1173747.1200000001</v>
      </c>
      <c r="M13" s="253"/>
      <c r="N13" s="254"/>
      <c r="O13" s="1058">
        <f>L13+N13</f>
        <v>1173747.1200000001</v>
      </c>
      <c r="P13" s="975"/>
      <c r="Q13" s="974">
        <v>0</v>
      </c>
      <c r="R13" s="975"/>
      <c r="S13" s="974">
        <v>0</v>
      </c>
      <c r="T13" s="894"/>
      <c r="U13" s="895"/>
      <c r="V13" s="896"/>
      <c r="W13" s="896"/>
      <c r="X13" s="896"/>
      <c r="Z13" s="898">
        <f t="shared" si="6"/>
        <v>236972.16</v>
      </c>
      <c r="AA13" s="253">
        <f t="shared" si="6"/>
        <v>0</v>
      </c>
      <c r="AB13" s="899">
        <f t="shared" si="7"/>
        <v>236972.16</v>
      </c>
      <c r="AC13" s="898">
        <f t="shared" si="8"/>
        <v>0</v>
      </c>
      <c r="AD13" s="253">
        <f t="shared" si="8"/>
        <v>0</v>
      </c>
      <c r="AE13" s="899">
        <f t="shared" si="9"/>
        <v>0</v>
      </c>
      <c r="AF13" s="898">
        <f t="shared" si="10"/>
        <v>0</v>
      </c>
      <c r="AG13" s="253">
        <f t="shared" si="10"/>
        <v>0</v>
      </c>
      <c r="AH13" s="899">
        <f t="shared" si="11"/>
        <v>0</v>
      </c>
      <c r="AI13" s="898">
        <f t="shared" si="12"/>
        <v>0</v>
      </c>
      <c r="AJ13" s="253">
        <f t="shared" si="12"/>
        <v>0</v>
      </c>
      <c r="AK13" s="899">
        <f t="shared" si="13"/>
        <v>0</v>
      </c>
      <c r="AL13" s="256"/>
      <c r="AM13" s="898">
        <f t="shared" si="14"/>
        <v>236972.16</v>
      </c>
      <c r="AN13" s="253">
        <f t="shared" si="14"/>
        <v>0</v>
      </c>
      <c r="AO13" s="899">
        <f t="shared" si="15"/>
        <v>236972.16</v>
      </c>
      <c r="AP13" s="898">
        <f t="shared" si="16"/>
        <v>236972.16</v>
      </c>
      <c r="AQ13" s="253">
        <f t="shared" si="16"/>
        <v>0</v>
      </c>
      <c r="AR13" s="899">
        <f t="shared" si="17"/>
        <v>236972.16</v>
      </c>
      <c r="AS13" s="898">
        <f>Z13+AC13+AF13+AI13</f>
        <v>236972.16</v>
      </c>
      <c r="AT13" s="253">
        <f t="shared" si="18"/>
        <v>0</v>
      </c>
      <c r="AU13" s="899">
        <f t="shared" si="19"/>
        <v>236972.16</v>
      </c>
      <c r="AV13" s="1252">
        <f t="shared" si="20"/>
        <v>936774.96</v>
      </c>
      <c r="AW13" s="898"/>
      <c r="AX13" s="1106"/>
      <c r="AY13" s="974">
        <v>236972.16</v>
      </c>
      <c r="AZ13" s="1106"/>
      <c r="BA13" s="253"/>
      <c r="BB13" s="1125"/>
      <c r="BC13" s="898"/>
      <c r="BD13" s="253"/>
      <c r="BE13" s="253"/>
      <c r="BF13" s="253"/>
      <c r="BG13" s="253"/>
      <c r="BH13" s="901"/>
      <c r="BI13" s="898"/>
      <c r="BJ13" s="253"/>
      <c r="BK13" s="253"/>
      <c r="BL13" s="253"/>
      <c r="BM13" s="253"/>
      <c r="BN13" s="901"/>
      <c r="BO13" s="898"/>
      <c r="BP13" s="253"/>
      <c r="BQ13" s="253"/>
      <c r="BR13" s="253"/>
      <c r="BS13" s="253"/>
      <c r="BT13" s="899"/>
      <c r="BU13" s="897">
        <v>0.01</v>
      </c>
      <c r="BV13" s="897" t="s">
        <v>197</v>
      </c>
    </row>
    <row r="14" spans="1:74" s="358" customFormat="1" ht="31.5">
      <c r="A14" s="287">
        <v>4</v>
      </c>
      <c r="B14" s="936"/>
      <c r="C14" s="837"/>
      <c r="D14" s="838"/>
      <c r="E14" s="836" t="s">
        <v>201</v>
      </c>
      <c r="F14" s="820" t="s">
        <v>7</v>
      </c>
      <c r="G14" s="360">
        <v>4</v>
      </c>
      <c r="H14" s="360" t="s">
        <v>226</v>
      </c>
      <c r="I14" s="360">
        <v>119</v>
      </c>
      <c r="J14" s="361">
        <v>213</v>
      </c>
      <c r="K14" s="532" t="s">
        <v>10</v>
      </c>
      <c r="L14" s="1021">
        <v>8392821.8800000008</v>
      </c>
      <c r="M14" s="363"/>
      <c r="N14" s="363"/>
      <c r="O14" s="1051">
        <f t="shared" ref="O14:O88" si="21">L14+N14</f>
        <v>8392821.8800000008</v>
      </c>
      <c r="P14" s="557">
        <f>12475243.59-L14-L248</f>
        <v>2594187.12</v>
      </c>
      <c r="Q14" s="544">
        <v>7276356.8899999997</v>
      </c>
      <c r="R14" s="557"/>
      <c r="S14" s="544">
        <v>7185672.04</v>
      </c>
      <c r="T14" s="557"/>
      <c r="U14" s="365"/>
      <c r="V14" s="366"/>
      <c r="W14" s="366"/>
      <c r="X14" s="366"/>
      <c r="Z14" s="367">
        <f t="shared" si="6"/>
        <v>1374706.23</v>
      </c>
      <c r="AA14" s="363">
        <f t="shared" si="6"/>
        <v>1374706.23</v>
      </c>
      <c r="AB14" s="280">
        <f t="shared" si="7"/>
        <v>0</v>
      </c>
      <c r="AC14" s="367">
        <f t="shared" si="8"/>
        <v>2489448.19</v>
      </c>
      <c r="AD14" s="363">
        <f t="shared" si="8"/>
        <v>0</v>
      </c>
      <c r="AE14" s="280">
        <f t="shared" si="9"/>
        <v>2489448.19</v>
      </c>
      <c r="AF14" s="367">
        <f t="shared" si="10"/>
        <v>3748295.19</v>
      </c>
      <c r="AG14" s="363">
        <f t="shared" si="10"/>
        <v>0</v>
      </c>
      <c r="AH14" s="280">
        <f t="shared" si="11"/>
        <v>3748295.19</v>
      </c>
      <c r="AI14" s="367">
        <f t="shared" si="12"/>
        <v>1562681.61</v>
      </c>
      <c r="AJ14" s="363">
        <f t="shared" si="12"/>
        <v>0</v>
      </c>
      <c r="AK14" s="280">
        <f t="shared" si="13"/>
        <v>1562681.61</v>
      </c>
      <c r="AL14" s="368"/>
      <c r="AM14" s="367">
        <f t="shared" si="14"/>
        <v>3864154.42</v>
      </c>
      <c r="AN14" s="363">
        <f t="shared" si="14"/>
        <v>1374706.23</v>
      </c>
      <c r="AO14" s="280">
        <f t="shared" si="15"/>
        <v>2489448.19</v>
      </c>
      <c r="AP14" s="367">
        <f t="shared" si="16"/>
        <v>7612449.6100000003</v>
      </c>
      <c r="AQ14" s="363">
        <f t="shared" si="16"/>
        <v>1374706.23</v>
      </c>
      <c r="AR14" s="280">
        <f t="shared" si="17"/>
        <v>6237743.3799999999</v>
      </c>
      <c r="AS14" s="367">
        <f t="shared" ref="AS14:AT78" si="22">Z14+AC14+AF14+AI14</f>
        <v>9175131.2200000007</v>
      </c>
      <c r="AT14" s="363">
        <f t="shared" si="18"/>
        <v>1374706.23</v>
      </c>
      <c r="AU14" s="280">
        <f t="shared" si="19"/>
        <v>7800424.9900000002</v>
      </c>
      <c r="AV14" s="1253">
        <f t="shared" si="20"/>
        <v>-782309.34</v>
      </c>
      <c r="AW14" s="367">
        <v>4830.41</v>
      </c>
      <c r="AX14" s="1097">
        <v>4830.41</v>
      </c>
      <c r="AY14" s="363">
        <v>517256.52</v>
      </c>
      <c r="AZ14" s="1097">
        <v>517256.52</v>
      </c>
      <c r="BA14" s="363">
        <v>852619.3</v>
      </c>
      <c r="BB14" s="1119">
        <v>852619.3</v>
      </c>
      <c r="BC14" s="367">
        <f>BA12*30.2%-545651.81</f>
        <v>1027768.19</v>
      </c>
      <c r="BD14" s="363"/>
      <c r="BE14" s="363">
        <f>BC12*30.2%</f>
        <v>730840</v>
      </c>
      <c r="BF14" s="363"/>
      <c r="BG14" s="363">
        <f>BE12*30.2%</f>
        <v>730840</v>
      </c>
      <c r="BH14" s="369"/>
      <c r="BI14" s="367">
        <f>BG12*30.2%</f>
        <v>2657600</v>
      </c>
      <c r="BJ14" s="363"/>
      <c r="BK14" s="363">
        <f>BI12*30.2%</f>
        <v>1030505.3</v>
      </c>
      <c r="BL14" s="363"/>
      <c r="BM14" s="363">
        <v>60189.89</v>
      </c>
      <c r="BN14" s="369"/>
      <c r="BO14" s="367">
        <v>520893.87</v>
      </c>
      <c r="BP14" s="363"/>
      <c r="BQ14" s="363">
        <v>520893.87</v>
      </c>
      <c r="BR14" s="363"/>
      <c r="BS14" s="363">
        <v>520893.87</v>
      </c>
      <c r="BT14" s="280"/>
      <c r="BV14" s="358" t="s">
        <v>197</v>
      </c>
    </row>
    <row r="15" spans="1:74" s="881" customFormat="1" ht="31.5">
      <c r="A15" s="287">
        <v>5</v>
      </c>
      <c r="B15" s="938"/>
      <c r="C15" s="869"/>
      <c r="D15" s="870"/>
      <c r="E15" s="871" t="s">
        <v>201</v>
      </c>
      <c r="F15" s="872" t="s">
        <v>7</v>
      </c>
      <c r="G15" s="873">
        <v>4</v>
      </c>
      <c r="H15" s="873" t="s">
        <v>489</v>
      </c>
      <c r="I15" s="873">
        <v>119</v>
      </c>
      <c r="J15" s="874">
        <v>213</v>
      </c>
      <c r="K15" s="875" t="s">
        <v>912</v>
      </c>
      <c r="L15" s="1022">
        <v>256806.09</v>
      </c>
      <c r="M15" s="877"/>
      <c r="N15" s="877"/>
      <c r="O15" s="1059">
        <f>L15+N15</f>
        <v>256806.09</v>
      </c>
      <c r="P15" s="878"/>
      <c r="Q15" s="876">
        <v>0</v>
      </c>
      <c r="R15" s="878"/>
      <c r="S15" s="876">
        <v>0</v>
      </c>
      <c r="T15" s="878"/>
      <c r="U15" s="879"/>
      <c r="V15" s="880"/>
      <c r="W15" s="880"/>
      <c r="X15" s="880"/>
      <c r="Z15" s="882">
        <f t="shared" si="6"/>
        <v>71565.58</v>
      </c>
      <c r="AA15" s="877">
        <f t="shared" si="6"/>
        <v>71565.58</v>
      </c>
      <c r="AB15" s="883">
        <f t="shared" si="7"/>
        <v>0</v>
      </c>
      <c r="AC15" s="882">
        <f t="shared" si="8"/>
        <v>0</v>
      </c>
      <c r="AD15" s="877">
        <f t="shared" si="8"/>
        <v>0</v>
      </c>
      <c r="AE15" s="883">
        <f t="shared" si="9"/>
        <v>0</v>
      </c>
      <c r="AF15" s="882">
        <f t="shared" si="10"/>
        <v>0</v>
      </c>
      <c r="AG15" s="877">
        <f t="shared" si="10"/>
        <v>0</v>
      </c>
      <c r="AH15" s="883">
        <f t="shared" si="11"/>
        <v>0</v>
      </c>
      <c r="AI15" s="882">
        <f t="shared" si="12"/>
        <v>0</v>
      </c>
      <c r="AJ15" s="877">
        <f t="shared" si="12"/>
        <v>0</v>
      </c>
      <c r="AK15" s="883">
        <f t="shared" si="13"/>
        <v>0</v>
      </c>
      <c r="AL15" s="884"/>
      <c r="AM15" s="882">
        <f t="shared" si="14"/>
        <v>71565.58</v>
      </c>
      <c r="AN15" s="877">
        <f t="shared" si="14"/>
        <v>71565.58</v>
      </c>
      <c r="AO15" s="883">
        <f t="shared" si="15"/>
        <v>0</v>
      </c>
      <c r="AP15" s="882">
        <f t="shared" si="16"/>
        <v>71565.58</v>
      </c>
      <c r="AQ15" s="877">
        <f t="shared" si="16"/>
        <v>71565.58</v>
      </c>
      <c r="AR15" s="883">
        <f t="shared" si="17"/>
        <v>0</v>
      </c>
      <c r="AS15" s="882">
        <f t="shared" si="22"/>
        <v>71565.58</v>
      </c>
      <c r="AT15" s="877">
        <f t="shared" si="18"/>
        <v>71565.58</v>
      </c>
      <c r="AU15" s="883">
        <f t="shared" si="19"/>
        <v>0</v>
      </c>
      <c r="AV15" s="1254">
        <f t="shared" si="20"/>
        <v>185240.51</v>
      </c>
      <c r="AW15" s="882"/>
      <c r="AX15" s="1107"/>
      <c r="AY15" s="877">
        <v>71565.58</v>
      </c>
      <c r="AZ15" s="1107">
        <v>71565.58</v>
      </c>
      <c r="BA15" s="877"/>
      <c r="BB15" s="1126"/>
      <c r="BC15" s="882"/>
      <c r="BD15" s="877"/>
      <c r="BE15" s="877"/>
      <c r="BF15" s="877"/>
      <c r="BG15" s="877"/>
      <c r="BH15" s="886"/>
      <c r="BI15" s="882"/>
      <c r="BJ15" s="877"/>
      <c r="BK15" s="877"/>
      <c r="BL15" s="877"/>
      <c r="BM15" s="877"/>
      <c r="BN15" s="886"/>
      <c r="BO15" s="882"/>
      <c r="BP15" s="877"/>
      <c r="BQ15" s="877"/>
      <c r="BR15" s="877"/>
      <c r="BS15" s="877"/>
      <c r="BT15" s="883"/>
      <c r="BV15" s="881" t="s">
        <v>197</v>
      </c>
    </row>
    <row r="16" spans="1:74" s="358" customFormat="1" ht="31.5">
      <c r="A16" s="287">
        <v>6</v>
      </c>
      <c r="B16" s="933"/>
      <c r="C16" s="837"/>
      <c r="D16" s="838"/>
      <c r="E16" s="836" t="s">
        <v>201</v>
      </c>
      <c r="F16" s="820" t="s">
        <v>135</v>
      </c>
      <c r="G16" s="360">
        <v>4</v>
      </c>
      <c r="H16" s="360" t="s">
        <v>226</v>
      </c>
      <c r="I16" s="360">
        <v>119</v>
      </c>
      <c r="J16" s="361">
        <v>213</v>
      </c>
      <c r="K16" s="532" t="s">
        <v>221</v>
      </c>
      <c r="L16" s="1023">
        <v>0</v>
      </c>
      <c r="M16" s="363"/>
      <c r="N16" s="363"/>
      <c r="O16" s="1051">
        <f t="shared" si="21"/>
        <v>0</v>
      </c>
      <c r="P16" s="557"/>
      <c r="Q16" s="367"/>
      <c r="R16" s="557"/>
      <c r="S16" s="367"/>
      <c r="T16" s="557"/>
      <c r="U16" s="365"/>
      <c r="V16" s="366"/>
      <c r="W16" s="366"/>
      <c r="X16" s="366"/>
      <c r="Z16" s="367">
        <f t="shared" si="6"/>
        <v>0</v>
      </c>
      <c r="AA16" s="363">
        <f t="shared" si="6"/>
        <v>0</v>
      </c>
      <c r="AB16" s="280">
        <f t="shared" si="7"/>
        <v>0</v>
      </c>
      <c r="AC16" s="367">
        <f t="shared" si="8"/>
        <v>0</v>
      </c>
      <c r="AD16" s="363">
        <f t="shared" si="8"/>
        <v>0</v>
      </c>
      <c r="AE16" s="280">
        <f t="shared" si="9"/>
        <v>0</v>
      </c>
      <c r="AF16" s="367">
        <f t="shared" si="10"/>
        <v>0</v>
      </c>
      <c r="AG16" s="363">
        <f t="shared" si="10"/>
        <v>0</v>
      </c>
      <c r="AH16" s="280">
        <f t="shared" si="11"/>
        <v>0</v>
      </c>
      <c r="AI16" s="367">
        <f t="shared" si="12"/>
        <v>0</v>
      </c>
      <c r="AJ16" s="363">
        <f t="shared" si="12"/>
        <v>0</v>
      </c>
      <c r="AK16" s="280">
        <f t="shared" si="13"/>
        <v>0</v>
      </c>
      <c r="AL16" s="368"/>
      <c r="AM16" s="367">
        <f t="shared" si="14"/>
        <v>0</v>
      </c>
      <c r="AN16" s="363">
        <f t="shared" si="14"/>
        <v>0</v>
      </c>
      <c r="AO16" s="280">
        <f t="shared" si="15"/>
        <v>0</v>
      </c>
      <c r="AP16" s="367">
        <f t="shared" si="16"/>
        <v>0</v>
      </c>
      <c r="AQ16" s="363">
        <f t="shared" si="16"/>
        <v>0</v>
      </c>
      <c r="AR16" s="280">
        <f t="shared" si="17"/>
        <v>0</v>
      </c>
      <c r="AS16" s="367">
        <f t="shared" si="22"/>
        <v>0</v>
      </c>
      <c r="AT16" s="363">
        <f t="shared" si="18"/>
        <v>0</v>
      </c>
      <c r="AU16" s="280">
        <f t="shared" si="19"/>
        <v>0</v>
      </c>
      <c r="AV16" s="1253">
        <f t="shared" si="20"/>
        <v>0</v>
      </c>
      <c r="AW16" s="367"/>
      <c r="AX16" s="1097"/>
      <c r="AY16" s="363"/>
      <c r="AZ16" s="1097"/>
      <c r="BA16" s="363"/>
      <c r="BB16" s="1119"/>
      <c r="BC16" s="367"/>
      <c r="BD16" s="363"/>
      <c r="BE16" s="363"/>
      <c r="BF16" s="363"/>
      <c r="BG16" s="363"/>
      <c r="BH16" s="369"/>
      <c r="BI16" s="367"/>
      <c r="BJ16" s="363"/>
      <c r="BK16" s="363"/>
      <c r="BL16" s="363"/>
      <c r="BM16" s="363"/>
      <c r="BN16" s="369"/>
      <c r="BO16" s="367"/>
      <c r="BP16" s="363"/>
      <c r="BQ16" s="363"/>
      <c r="BR16" s="363"/>
      <c r="BS16" s="363"/>
      <c r="BT16" s="280"/>
    </row>
    <row r="17" spans="1:72" s="378" customFormat="1" ht="111" customHeight="1">
      <c r="A17" s="287">
        <v>7</v>
      </c>
      <c r="B17" s="933"/>
      <c r="C17" s="850" t="s">
        <v>377</v>
      </c>
      <c r="D17" s="851"/>
      <c r="E17" s="852" t="s">
        <v>201</v>
      </c>
      <c r="F17" s="824" t="s">
        <v>7</v>
      </c>
      <c r="G17" s="376">
        <v>4</v>
      </c>
      <c r="H17" s="376" t="s">
        <v>71</v>
      </c>
      <c r="I17" s="376">
        <v>111</v>
      </c>
      <c r="J17" s="377">
        <v>211</v>
      </c>
      <c r="K17" s="531" t="s">
        <v>513</v>
      </c>
      <c r="L17" s="1024">
        <f>SUM(L18:L22)</f>
        <v>95000</v>
      </c>
      <c r="M17" s="247"/>
      <c r="N17" s="247">
        <f>SUM(N18:N22)</f>
        <v>0</v>
      </c>
      <c r="O17" s="1060">
        <f t="shared" si="21"/>
        <v>95000</v>
      </c>
      <c r="P17" s="558"/>
      <c r="Q17" s="382">
        <f>SUM(Q18:Q22)</f>
        <v>115000</v>
      </c>
      <c r="R17" s="558"/>
      <c r="S17" s="382">
        <f t="shared" ref="S17" si="23">SUM(S18:S22)</f>
        <v>87000</v>
      </c>
      <c r="T17" s="558"/>
      <c r="U17" s="380"/>
      <c r="V17" s="381"/>
      <c r="W17" s="381"/>
      <c r="X17" s="381"/>
      <c r="Z17" s="382">
        <f t="shared" si="6"/>
        <v>15000</v>
      </c>
      <c r="AA17" s="247">
        <f t="shared" si="6"/>
        <v>15000</v>
      </c>
      <c r="AB17" s="383">
        <f t="shared" si="7"/>
        <v>0</v>
      </c>
      <c r="AC17" s="382">
        <f t="shared" si="8"/>
        <v>41000</v>
      </c>
      <c r="AD17" s="247">
        <f t="shared" si="8"/>
        <v>0</v>
      </c>
      <c r="AE17" s="383">
        <f t="shared" si="9"/>
        <v>41000</v>
      </c>
      <c r="AF17" s="382">
        <f t="shared" si="10"/>
        <v>12000</v>
      </c>
      <c r="AG17" s="247">
        <f t="shared" si="10"/>
        <v>0</v>
      </c>
      <c r="AH17" s="383">
        <f t="shared" si="11"/>
        <v>12000</v>
      </c>
      <c r="AI17" s="382">
        <f t="shared" si="12"/>
        <v>27000</v>
      </c>
      <c r="AJ17" s="247">
        <f t="shared" si="12"/>
        <v>0</v>
      </c>
      <c r="AK17" s="383">
        <f t="shared" si="13"/>
        <v>27000</v>
      </c>
      <c r="AL17" s="250"/>
      <c r="AM17" s="382">
        <f t="shared" si="14"/>
        <v>56000</v>
      </c>
      <c r="AN17" s="247">
        <f t="shared" si="14"/>
        <v>15000</v>
      </c>
      <c r="AO17" s="383">
        <f t="shared" si="15"/>
        <v>41000</v>
      </c>
      <c r="AP17" s="382">
        <f t="shared" si="16"/>
        <v>68000</v>
      </c>
      <c r="AQ17" s="247">
        <f t="shared" si="16"/>
        <v>15000</v>
      </c>
      <c r="AR17" s="383">
        <f t="shared" si="17"/>
        <v>53000</v>
      </c>
      <c r="AS17" s="382">
        <f t="shared" si="22"/>
        <v>95000</v>
      </c>
      <c r="AT17" s="247">
        <f t="shared" si="18"/>
        <v>15000</v>
      </c>
      <c r="AU17" s="383">
        <f t="shared" si="19"/>
        <v>80000</v>
      </c>
      <c r="AV17" s="1251">
        <f t="shared" si="20"/>
        <v>0</v>
      </c>
      <c r="AW17" s="1195">
        <f t="shared" ref="AW17:BT17" si="24">SUM(AW18:AW22)</f>
        <v>0</v>
      </c>
      <c r="AX17" s="1105">
        <f t="shared" si="24"/>
        <v>0</v>
      </c>
      <c r="AY17" s="247">
        <f t="shared" si="24"/>
        <v>15000</v>
      </c>
      <c r="AZ17" s="1105">
        <f t="shared" si="24"/>
        <v>15000</v>
      </c>
      <c r="BA17" s="247">
        <f t="shared" si="24"/>
        <v>0</v>
      </c>
      <c r="BB17" s="1124">
        <f t="shared" si="24"/>
        <v>0</v>
      </c>
      <c r="BC17" s="382">
        <f t="shared" si="24"/>
        <v>21000</v>
      </c>
      <c r="BD17" s="247">
        <f t="shared" si="24"/>
        <v>0</v>
      </c>
      <c r="BE17" s="247">
        <f t="shared" si="24"/>
        <v>20000</v>
      </c>
      <c r="BF17" s="247">
        <f t="shared" si="24"/>
        <v>0</v>
      </c>
      <c r="BG17" s="247">
        <f t="shared" si="24"/>
        <v>0</v>
      </c>
      <c r="BH17" s="384">
        <f t="shared" si="24"/>
        <v>0</v>
      </c>
      <c r="BI17" s="382">
        <f t="shared" si="24"/>
        <v>7000</v>
      </c>
      <c r="BJ17" s="247">
        <f t="shared" si="24"/>
        <v>0</v>
      </c>
      <c r="BK17" s="247">
        <f t="shared" si="24"/>
        <v>5000</v>
      </c>
      <c r="BL17" s="247">
        <f t="shared" si="24"/>
        <v>0</v>
      </c>
      <c r="BM17" s="247">
        <f t="shared" si="24"/>
        <v>0</v>
      </c>
      <c r="BN17" s="384">
        <f t="shared" si="24"/>
        <v>0</v>
      </c>
      <c r="BO17" s="382">
        <f t="shared" si="24"/>
        <v>7000</v>
      </c>
      <c r="BP17" s="247">
        <f t="shared" si="24"/>
        <v>0</v>
      </c>
      <c r="BQ17" s="247">
        <f t="shared" si="24"/>
        <v>20000</v>
      </c>
      <c r="BR17" s="247">
        <f t="shared" si="24"/>
        <v>0</v>
      </c>
      <c r="BS17" s="247">
        <f t="shared" si="24"/>
        <v>0</v>
      </c>
      <c r="BT17" s="383">
        <f t="shared" si="24"/>
        <v>0</v>
      </c>
    </row>
    <row r="18" spans="1:72" s="313" customFormat="1" ht="25.5" outlineLevel="1">
      <c r="A18" s="287">
        <v>8</v>
      </c>
      <c r="B18" s="933"/>
      <c r="C18" s="840"/>
      <c r="D18" s="841"/>
      <c r="E18" s="839"/>
      <c r="F18" s="821" t="s">
        <v>7</v>
      </c>
      <c r="G18" s="314">
        <v>4</v>
      </c>
      <c r="H18" s="739" t="s">
        <v>71</v>
      </c>
      <c r="I18" s="739">
        <v>111</v>
      </c>
      <c r="J18" s="740">
        <v>211</v>
      </c>
      <c r="K18" s="533" t="s">
        <v>316</v>
      </c>
      <c r="L18" s="1025">
        <v>10000</v>
      </c>
      <c r="M18" s="318"/>
      <c r="N18" s="318"/>
      <c r="O18" s="1052">
        <f t="shared" si="21"/>
        <v>10000</v>
      </c>
      <c r="P18" s="559"/>
      <c r="Q18" s="341">
        <f>10000*3</f>
        <v>30000</v>
      </c>
      <c r="R18" s="559"/>
      <c r="S18" s="341">
        <v>10000</v>
      </c>
      <c r="T18" s="559"/>
      <c r="U18" s="335"/>
      <c r="V18" s="320"/>
      <c r="W18" s="320"/>
      <c r="X18" s="320"/>
      <c r="Z18" s="336">
        <f t="shared" si="6"/>
        <v>0</v>
      </c>
      <c r="AA18" s="337">
        <f t="shared" si="6"/>
        <v>0</v>
      </c>
      <c r="AB18" s="338">
        <f t="shared" si="7"/>
        <v>0</v>
      </c>
      <c r="AC18" s="336">
        <f t="shared" si="8"/>
        <v>10000</v>
      </c>
      <c r="AD18" s="337">
        <f t="shared" si="8"/>
        <v>0</v>
      </c>
      <c r="AE18" s="338">
        <f t="shared" si="9"/>
        <v>10000</v>
      </c>
      <c r="AF18" s="336">
        <f t="shared" si="10"/>
        <v>0</v>
      </c>
      <c r="AG18" s="337">
        <f t="shared" si="10"/>
        <v>0</v>
      </c>
      <c r="AH18" s="338">
        <f t="shared" si="11"/>
        <v>0</v>
      </c>
      <c r="AI18" s="336">
        <f t="shared" si="12"/>
        <v>0</v>
      </c>
      <c r="AJ18" s="337">
        <f t="shared" si="12"/>
        <v>0</v>
      </c>
      <c r="AK18" s="338">
        <f t="shared" si="13"/>
        <v>0</v>
      </c>
      <c r="AL18" s="342"/>
      <c r="AM18" s="336">
        <f t="shared" si="14"/>
        <v>10000</v>
      </c>
      <c r="AN18" s="339">
        <f t="shared" si="14"/>
        <v>0</v>
      </c>
      <c r="AO18" s="340">
        <f t="shared" si="15"/>
        <v>10000</v>
      </c>
      <c r="AP18" s="336">
        <f t="shared" si="16"/>
        <v>10000</v>
      </c>
      <c r="AQ18" s="339">
        <f t="shared" si="16"/>
        <v>0</v>
      </c>
      <c r="AR18" s="340">
        <f t="shared" si="17"/>
        <v>10000</v>
      </c>
      <c r="AS18" s="341">
        <f t="shared" si="22"/>
        <v>10000</v>
      </c>
      <c r="AT18" s="339">
        <f t="shared" si="18"/>
        <v>0</v>
      </c>
      <c r="AU18" s="340">
        <f t="shared" si="19"/>
        <v>10000</v>
      </c>
      <c r="AV18" s="1255">
        <f t="shared" si="20"/>
        <v>0</v>
      </c>
      <c r="AW18" s="345"/>
      <c r="AX18" s="1194"/>
      <c r="AY18" s="345"/>
      <c r="AZ18" s="1098"/>
      <c r="BA18" s="345"/>
      <c r="BB18" s="1120"/>
      <c r="BC18" s="347">
        <v>10000</v>
      </c>
      <c r="BD18" s="348"/>
      <c r="BE18" s="349"/>
      <c r="BF18" s="348"/>
      <c r="BG18" s="349"/>
      <c r="BH18" s="350"/>
      <c r="BI18" s="351"/>
      <c r="BJ18" s="352"/>
      <c r="BK18" s="337"/>
      <c r="BL18" s="352"/>
      <c r="BM18" s="337"/>
      <c r="BN18" s="353"/>
      <c r="BO18" s="354"/>
      <c r="BP18" s="355"/>
      <c r="BQ18" s="356"/>
      <c r="BR18" s="355"/>
      <c r="BS18" s="356"/>
      <c r="BT18" s="357"/>
    </row>
    <row r="19" spans="1:72" s="313" customFormat="1" ht="25.5" outlineLevel="1">
      <c r="A19" s="287">
        <v>9</v>
      </c>
      <c r="B19" s="933"/>
      <c r="C19" s="840"/>
      <c r="D19" s="841"/>
      <c r="E19" s="839"/>
      <c r="F19" s="821" t="s">
        <v>7</v>
      </c>
      <c r="G19" s="314">
        <v>4</v>
      </c>
      <c r="H19" s="739" t="s">
        <v>71</v>
      </c>
      <c r="I19" s="739">
        <v>111</v>
      </c>
      <c r="J19" s="740">
        <v>211</v>
      </c>
      <c r="K19" s="533" t="s">
        <v>317</v>
      </c>
      <c r="L19" s="1025">
        <f>20000*2</f>
        <v>40000</v>
      </c>
      <c r="M19" s="318"/>
      <c r="N19" s="318"/>
      <c r="O19" s="1052">
        <f t="shared" si="21"/>
        <v>40000</v>
      </c>
      <c r="P19" s="559"/>
      <c r="Q19" s="341">
        <f>20000*2</f>
        <v>40000</v>
      </c>
      <c r="R19" s="559"/>
      <c r="S19" s="341">
        <f>20000*2</f>
        <v>40000</v>
      </c>
      <c r="T19" s="559"/>
      <c r="U19" s="335"/>
      <c r="V19" s="320"/>
      <c r="W19" s="320"/>
      <c r="X19" s="320"/>
      <c r="Z19" s="336">
        <f t="shared" si="6"/>
        <v>0</v>
      </c>
      <c r="AA19" s="337">
        <f t="shared" si="6"/>
        <v>0</v>
      </c>
      <c r="AB19" s="338">
        <f t="shared" si="7"/>
        <v>0</v>
      </c>
      <c r="AC19" s="336">
        <f t="shared" si="8"/>
        <v>20000</v>
      </c>
      <c r="AD19" s="337">
        <f t="shared" si="8"/>
        <v>0</v>
      </c>
      <c r="AE19" s="338">
        <f t="shared" si="9"/>
        <v>20000</v>
      </c>
      <c r="AF19" s="336">
        <f t="shared" si="10"/>
        <v>0</v>
      </c>
      <c r="AG19" s="337">
        <f t="shared" si="10"/>
        <v>0</v>
      </c>
      <c r="AH19" s="338">
        <f t="shared" si="11"/>
        <v>0</v>
      </c>
      <c r="AI19" s="336">
        <f t="shared" si="12"/>
        <v>20000</v>
      </c>
      <c r="AJ19" s="337">
        <f t="shared" si="12"/>
        <v>0</v>
      </c>
      <c r="AK19" s="338">
        <f t="shared" si="13"/>
        <v>20000</v>
      </c>
      <c r="AL19" s="342"/>
      <c r="AM19" s="336">
        <f t="shared" si="14"/>
        <v>20000</v>
      </c>
      <c r="AN19" s="339">
        <f t="shared" si="14"/>
        <v>0</v>
      </c>
      <c r="AO19" s="340">
        <f t="shared" si="15"/>
        <v>20000</v>
      </c>
      <c r="AP19" s="336">
        <f t="shared" si="16"/>
        <v>20000</v>
      </c>
      <c r="AQ19" s="339">
        <f t="shared" si="16"/>
        <v>0</v>
      </c>
      <c r="AR19" s="340">
        <f t="shared" si="17"/>
        <v>20000</v>
      </c>
      <c r="AS19" s="341">
        <f t="shared" si="22"/>
        <v>40000</v>
      </c>
      <c r="AT19" s="339">
        <f t="shared" si="18"/>
        <v>0</v>
      </c>
      <c r="AU19" s="340">
        <f t="shared" si="19"/>
        <v>40000</v>
      </c>
      <c r="AV19" s="1255">
        <f t="shared" si="20"/>
        <v>0</v>
      </c>
      <c r="AW19" s="1196"/>
      <c r="AX19" s="1098"/>
      <c r="AY19" s="345"/>
      <c r="AZ19" s="1098"/>
      <c r="BA19" s="345"/>
      <c r="BB19" s="1120"/>
      <c r="BC19" s="347"/>
      <c r="BD19" s="348"/>
      <c r="BE19" s="349">
        <v>20000</v>
      </c>
      <c r="BF19" s="348"/>
      <c r="BG19" s="349"/>
      <c r="BH19" s="350"/>
      <c r="BI19" s="351"/>
      <c r="BJ19" s="352"/>
      <c r="BK19" s="337"/>
      <c r="BL19" s="352"/>
      <c r="BM19" s="337"/>
      <c r="BN19" s="353"/>
      <c r="BO19" s="354"/>
      <c r="BP19" s="355"/>
      <c r="BQ19" s="356">
        <v>20000</v>
      </c>
      <c r="BR19" s="355"/>
      <c r="BS19" s="356"/>
      <c r="BT19" s="357"/>
    </row>
    <row r="20" spans="1:72" s="313" customFormat="1" ht="25.5" outlineLevel="1">
      <c r="A20" s="287">
        <v>10</v>
      </c>
      <c r="B20" s="1148"/>
      <c r="C20" s="840"/>
      <c r="D20" s="841"/>
      <c r="E20" s="839"/>
      <c r="F20" s="821" t="s">
        <v>7</v>
      </c>
      <c r="G20" s="314">
        <v>4</v>
      </c>
      <c r="H20" s="739" t="s">
        <v>71</v>
      </c>
      <c r="I20" s="739">
        <v>111</v>
      </c>
      <c r="J20" s="740">
        <v>211</v>
      </c>
      <c r="K20" s="533" t="s">
        <v>318</v>
      </c>
      <c r="L20" s="1025">
        <f>5000*3-10000</f>
        <v>5000</v>
      </c>
      <c r="M20" s="318"/>
      <c r="N20" s="318"/>
      <c r="O20" s="1052">
        <f t="shared" si="21"/>
        <v>5000</v>
      </c>
      <c r="P20" s="559"/>
      <c r="Q20" s="341">
        <f>5000*3</f>
        <v>15000</v>
      </c>
      <c r="R20" s="559"/>
      <c r="S20" s="341">
        <f>5000*3</f>
        <v>15000</v>
      </c>
      <c r="T20" s="559"/>
      <c r="U20" s="335"/>
      <c r="V20" s="320"/>
      <c r="W20" s="320"/>
      <c r="X20" s="320"/>
      <c r="Z20" s="336">
        <f t="shared" si="6"/>
        <v>0</v>
      </c>
      <c r="AA20" s="337">
        <f t="shared" si="6"/>
        <v>0</v>
      </c>
      <c r="AB20" s="338">
        <f t="shared" si="7"/>
        <v>0</v>
      </c>
      <c r="AC20" s="336">
        <f t="shared" si="8"/>
        <v>0</v>
      </c>
      <c r="AD20" s="337">
        <f t="shared" si="8"/>
        <v>0</v>
      </c>
      <c r="AE20" s="338">
        <f t="shared" si="9"/>
        <v>0</v>
      </c>
      <c r="AF20" s="336">
        <f t="shared" si="10"/>
        <v>5000</v>
      </c>
      <c r="AG20" s="337">
        <f t="shared" si="10"/>
        <v>0</v>
      </c>
      <c r="AH20" s="338">
        <f t="shared" si="11"/>
        <v>5000</v>
      </c>
      <c r="AI20" s="336">
        <f t="shared" si="12"/>
        <v>0</v>
      </c>
      <c r="AJ20" s="337">
        <f t="shared" si="12"/>
        <v>0</v>
      </c>
      <c r="AK20" s="338">
        <f t="shared" si="13"/>
        <v>0</v>
      </c>
      <c r="AL20" s="342"/>
      <c r="AM20" s="336">
        <f t="shared" si="14"/>
        <v>0</v>
      </c>
      <c r="AN20" s="339">
        <f t="shared" si="14"/>
        <v>0</v>
      </c>
      <c r="AO20" s="340">
        <f t="shared" si="15"/>
        <v>0</v>
      </c>
      <c r="AP20" s="336">
        <f t="shared" si="16"/>
        <v>5000</v>
      </c>
      <c r="AQ20" s="339">
        <f t="shared" si="16"/>
        <v>0</v>
      </c>
      <c r="AR20" s="340">
        <f t="shared" si="17"/>
        <v>5000</v>
      </c>
      <c r="AS20" s="341">
        <f t="shared" si="22"/>
        <v>5000</v>
      </c>
      <c r="AT20" s="339">
        <f t="shared" si="18"/>
        <v>0</v>
      </c>
      <c r="AU20" s="340">
        <f t="shared" si="19"/>
        <v>5000</v>
      </c>
      <c r="AV20" s="1255">
        <f t="shared" si="20"/>
        <v>0</v>
      </c>
      <c r="AW20" s="343"/>
      <c r="AX20" s="1098"/>
      <c r="AY20" s="345"/>
      <c r="AZ20" s="1098"/>
      <c r="BA20" s="345"/>
      <c r="BB20" s="1120"/>
      <c r="BC20" s="347"/>
      <c r="BD20" s="348"/>
      <c r="BE20" s="349"/>
      <c r="BF20" s="348"/>
      <c r="BG20" s="349"/>
      <c r="BH20" s="350"/>
      <c r="BI20" s="351"/>
      <c r="BJ20" s="352"/>
      <c r="BK20" s="337">
        <v>5000</v>
      </c>
      <c r="BL20" s="352"/>
      <c r="BM20" s="337"/>
      <c r="BN20" s="353"/>
      <c r="BO20" s="354"/>
      <c r="BP20" s="355"/>
      <c r="BQ20" s="356"/>
      <c r="BR20" s="355"/>
      <c r="BS20" s="356"/>
      <c r="BT20" s="357"/>
    </row>
    <row r="21" spans="1:72" s="313" customFormat="1" ht="25.5" outlineLevel="1">
      <c r="A21" s="287">
        <v>11</v>
      </c>
      <c r="B21" s="1151"/>
      <c r="C21" s="840"/>
      <c r="D21" s="841"/>
      <c r="E21" s="839"/>
      <c r="F21" s="821" t="s">
        <v>7</v>
      </c>
      <c r="G21" s="314">
        <v>4</v>
      </c>
      <c r="H21" s="739" t="s">
        <v>71</v>
      </c>
      <c r="I21" s="739">
        <v>111</v>
      </c>
      <c r="J21" s="740">
        <v>211</v>
      </c>
      <c r="K21" s="533" t="s">
        <v>680</v>
      </c>
      <c r="L21" s="1025">
        <v>10000</v>
      </c>
      <c r="M21" s="318"/>
      <c r="N21" s="318"/>
      <c r="O21" s="1052">
        <f t="shared" si="21"/>
        <v>10000</v>
      </c>
      <c r="P21" s="559"/>
      <c r="Q21" s="341">
        <v>0</v>
      </c>
      <c r="R21" s="559"/>
      <c r="S21" s="341">
        <v>0</v>
      </c>
      <c r="T21" s="559"/>
      <c r="U21" s="335"/>
      <c r="V21" s="320"/>
      <c r="W21" s="320"/>
      <c r="X21" s="320"/>
      <c r="Z21" s="336"/>
      <c r="AA21" s="337"/>
      <c r="AB21" s="338"/>
      <c r="AC21" s="336"/>
      <c r="AD21" s="337"/>
      <c r="AE21" s="338"/>
      <c r="AF21" s="336"/>
      <c r="AG21" s="337"/>
      <c r="AH21" s="338"/>
      <c r="AI21" s="336"/>
      <c r="AJ21" s="337"/>
      <c r="AK21" s="338"/>
      <c r="AL21" s="342"/>
      <c r="AM21" s="336"/>
      <c r="AN21" s="339"/>
      <c r="AO21" s="340"/>
      <c r="AP21" s="336"/>
      <c r="AQ21" s="339"/>
      <c r="AR21" s="340"/>
      <c r="AS21" s="341"/>
      <c r="AT21" s="339"/>
      <c r="AU21" s="340"/>
      <c r="AV21" s="1255"/>
      <c r="AW21" s="343"/>
      <c r="AX21" s="1098"/>
      <c r="AY21" s="345">
        <v>10000</v>
      </c>
      <c r="AZ21" s="1098">
        <v>10000</v>
      </c>
      <c r="BA21" s="345"/>
      <c r="BB21" s="1120"/>
      <c r="BC21" s="347"/>
      <c r="BD21" s="348"/>
      <c r="BE21" s="349"/>
      <c r="BF21" s="348"/>
      <c r="BG21" s="349"/>
      <c r="BH21" s="350"/>
      <c r="BI21" s="351"/>
      <c r="BJ21" s="352"/>
      <c r="BK21" s="337"/>
      <c r="BL21" s="352"/>
      <c r="BM21" s="337"/>
      <c r="BN21" s="353"/>
      <c r="BO21" s="354"/>
      <c r="BP21" s="355"/>
      <c r="BQ21" s="356"/>
      <c r="BR21" s="355"/>
      <c r="BS21" s="356"/>
      <c r="BT21" s="357"/>
    </row>
    <row r="22" spans="1:72" s="313" customFormat="1" ht="38.25" outlineLevel="1">
      <c r="A22" s="287">
        <v>12</v>
      </c>
      <c r="B22" s="936"/>
      <c r="C22" s="840"/>
      <c r="D22" s="841"/>
      <c r="E22" s="839"/>
      <c r="F22" s="821" t="s">
        <v>7</v>
      </c>
      <c r="G22" s="314">
        <v>4</v>
      </c>
      <c r="H22" s="739" t="s">
        <v>71</v>
      </c>
      <c r="I22" s="739">
        <v>111</v>
      </c>
      <c r="J22" s="740">
        <v>211</v>
      </c>
      <c r="K22" s="533" t="s">
        <v>322</v>
      </c>
      <c r="L22" s="1025">
        <f>1000*9*4-6000</f>
        <v>30000</v>
      </c>
      <c r="M22" s="318"/>
      <c r="N22" s="318"/>
      <c r="O22" s="1052">
        <f t="shared" si="21"/>
        <v>30000</v>
      </c>
      <c r="P22" s="559"/>
      <c r="Q22" s="341">
        <f>1000*7*4+1000*1*2</f>
        <v>30000</v>
      </c>
      <c r="R22" s="559"/>
      <c r="S22" s="341">
        <f>1000*4*4+1000*2*3</f>
        <v>22000</v>
      </c>
      <c r="T22" s="559"/>
      <c r="U22" s="335"/>
      <c r="V22" s="320"/>
      <c r="W22" s="320"/>
      <c r="X22" s="320"/>
      <c r="Z22" s="336">
        <f t="shared" si="6"/>
        <v>5000</v>
      </c>
      <c r="AA22" s="337">
        <f t="shared" si="6"/>
        <v>5000</v>
      </c>
      <c r="AB22" s="338">
        <f t="shared" si="7"/>
        <v>0</v>
      </c>
      <c r="AC22" s="336">
        <f t="shared" si="8"/>
        <v>11000</v>
      </c>
      <c r="AD22" s="337">
        <f t="shared" si="8"/>
        <v>0</v>
      </c>
      <c r="AE22" s="338">
        <f t="shared" si="9"/>
        <v>11000</v>
      </c>
      <c r="AF22" s="336">
        <f t="shared" si="10"/>
        <v>7000</v>
      </c>
      <c r="AG22" s="337">
        <f t="shared" si="10"/>
        <v>0</v>
      </c>
      <c r="AH22" s="338">
        <f t="shared" si="11"/>
        <v>7000</v>
      </c>
      <c r="AI22" s="336">
        <f t="shared" si="12"/>
        <v>7000</v>
      </c>
      <c r="AJ22" s="337">
        <f t="shared" si="12"/>
        <v>0</v>
      </c>
      <c r="AK22" s="338">
        <f t="shared" si="13"/>
        <v>7000</v>
      </c>
      <c r="AL22" s="342"/>
      <c r="AM22" s="336">
        <f t="shared" si="14"/>
        <v>16000</v>
      </c>
      <c r="AN22" s="339">
        <f t="shared" si="14"/>
        <v>5000</v>
      </c>
      <c r="AO22" s="340">
        <f t="shared" si="15"/>
        <v>11000</v>
      </c>
      <c r="AP22" s="336">
        <f t="shared" si="16"/>
        <v>23000</v>
      </c>
      <c r="AQ22" s="339">
        <f t="shared" si="16"/>
        <v>5000</v>
      </c>
      <c r="AR22" s="340">
        <f t="shared" si="17"/>
        <v>18000</v>
      </c>
      <c r="AS22" s="341">
        <f t="shared" si="22"/>
        <v>30000</v>
      </c>
      <c r="AT22" s="339">
        <f t="shared" si="18"/>
        <v>5000</v>
      </c>
      <c r="AU22" s="340">
        <f t="shared" si="19"/>
        <v>25000</v>
      </c>
      <c r="AV22" s="1255">
        <f t="shared" si="20"/>
        <v>0</v>
      </c>
      <c r="AW22" s="343"/>
      <c r="AX22" s="1098"/>
      <c r="AY22" s="345">
        <v>5000</v>
      </c>
      <c r="AZ22" s="1098">
        <v>5000</v>
      </c>
      <c r="BA22" s="345"/>
      <c r="BB22" s="1120"/>
      <c r="BC22" s="347">
        <f>9000-2000+4000</f>
        <v>11000</v>
      </c>
      <c r="BD22" s="348"/>
      <c r="BE22" s="349"/>
      <c r="BF22" s="348"/>
      <c r="BG22" s="349"/>
      <c r="BH22" s="350"/>
      <c r="BI22" s="351">
        <f>9000-2000</f>
        <v>7000</v>
      </c>
      <c r="BJ22" s="352"/>
      <c r="BK22" s="337"/>
      <c r="BL22" s="352"/>
      <c r="BM22" s="337"/>
      <c r="BN22" s="353"/>
      <c r="BO22" s="354">
        <f>9000-2000</f>
        <v>7000</v>
      </c>
      <c r="BP22" s="355"/>
      <c r="BQ22" s="356"/>
      <c r="BR22" s="355"/>
      <c r="BS22" s="356"/>
      <c r="BT22" s="357"/>
    </row>
    <row r="23" spans="1:72" s="358" customFormat="1" ht="94.5">
      <c r="A23" s="287">
        <v>13</v>
      </c>
      <c r="B23" s="936"/>
      <c r="C23" s="850" t="s">
        <v>377</v>
      </c>
      <c r="D23" s="838"/>
      <c r="E23" s="836" t="s">
        <v>201</v>
      </c>
      <c r="F23" s="820" t="s">
        <v>7</v>
      </c>
      <c r="G23" s="360">
        <v>4</v>
      </c>
      <c r="H23" s="360" t="s">
        <v>71</v>
      </c>
      <c r="I23" s="360">
        <v>111</v>
      </c>
      <c r="J23" s="361">
        <v>266</v>
      </c>
      <c r="K23" s="532" t="s">
        <v>536</v>
      </c>
      <c r="L23" s="1023">
        <f>SUM(L24:L26)</f>
        <v>208770.48</v>
      </c>
      <c r="M23" s="363"/>
      <c r="N23" s="363">
        <f>SUM(N24:N26)</f>
        <v>0</v>
      </c>
      <c r="O23" s="1051">
        <f t="shared" si="21"/>
        <v>208770.48</v>
      </c>
      <c r="P23" s="557"/>
      <c r="Q23" s="367">
        <f>SUM(Q24:Q26)</f>
        <v>174498.02</v>
      </c>
      <c r="R23" s="557"/>
      <c r="S23" s="367">
        <f>SUM(S24:S26)</f>
        <v>146516.96</v>
      </c>
      <c r="T23" s="557"/>
      <c r="U23" s="365"/>
      <c r="V23" s="366"/>
      <c r="W23" s="366"/>
      <c r="X23" s="366"/>
      <c r="Z23" s="367">
        <f t="shared" si="6"/>
        <v>13266</v>
      </c>
      <c r="AA23" s="363">
        <f t="shared" si="6"/>
        <v>3414.31</v>
      </c>
      <c r="AB23" s="280">
        <f t="shared" si="7"/>
        <v>9851.69</v>
      </c>
      <c r="AC23" s="367">
        <f t="shared" si="8"/>
        <v>12000</v>
      </c>
      <c r="AD23" s="363">
        <f t="shared" si="8"/>
        <v>0</v>
      </c>
      <c r="AE23" s="280">
        <f t="shared" si="9"/>
        <v>12000</v>
      </c>
      <c r="AF23" s="367">
        <f t="shared" si="10"/>
        <v>168570.48</v>
      </c>
      <c r="AG23" s="363">
        <f t="shared" si="10"/>
        <v>0</v>
      </c>
      <c r="AH23" s="280">
        <f t="shared" si="11"/>
        <v>168570.48</v>
      </c>
      <c r="AI23" s="367">
        <f t="shared" si="12"/>
        <v>14934</v>
      </c>
      <c r="AJ23" s="363">
        <f t="shared" si="12"/>
        <v>0</v>
      </c>
      <c r="AK23" s="280">
        <f t="shared" si="13"/>
        <v>14934</v>
      </c>
      <c r="AL23" s="368"/>
      <c r="AM23" s="367">
        <f t="shared" si="14"/>
        <v>25266</v>
      </c>
      <c r="AN23" s="363">
        <f t="shared" si="14"/>
        <v>3414.31</v>
      </c>
      <c r="AO23" s="280">
        <f t="shared" si="15"/>
        <v>21851.69</v>
      </c>
      <c r="AP23" s="367">
        <f t="shared" si="16"/>
        <v>193836.48</v>
      </c>
      <c r="AQ23" s="363">
        <f t="shared" si="16"/>
        <v>3414.31</v>
      </c>
      <c r="AR23" s="280">
        <f t="shared" si="17"/>
        <v>190422.17</v>
      </c>
      <c r="AS23" s="367">
        <f t="shared" si="22"/>
        <v>208770.48</v>
      </c>
      <c r="AT23" s="363">
        <f t="shared" si="18"/>
        <v>3414.31</v>
      </c>
      <c r="AU23" s="280">
        <f t="shared" si="19"/>
        <v>205356.17</v>
      </c>
      <c r="AV23" s="1253">
        <f t="shared" si="20"/>
        <v>0</v>
      </c>
      <c r="AW23" s="367">
        <f t="shared" ref="AW23:BS23" si="25">SUM(AW24:AW26)</f>
        <v>0</v>
      </c>
      <c r="AX23" s="1097">
        <f t="shared" si="25"/>
        <v>1923.31</v>
      </c>
      <c r="AY23" s="363">
        <f t="shared" si="25"/>
        <v>13266</v>
      </c>
      <c r="AZ23" s="1097">
        <f t="shared" si="25"/>
        <v>574</v>
      </c>
      <c r="BA23" s="363">
        <f t="shared" si="25"/>
        <v>0</v>
      </c>
      <c r="BB23" s="1119">
        <f t="shared" si="25"/>
        <v>917</v>
      </c>
      <c r="BC23" s="367">
        <f t="shared" si="25"/>
        <v>2000</v>
      </c>
      <c r="BD23" s="363">
        <f t="shared" si="25"/>
        <v>0</v>
      </c>
      <c r="BE23" s="363">
        <f t="shared" si="25"/>
        <v>10000</v>
      </c>
      <c r="BF23" s="363">
        <f t="shared" si="25"/>
        <v>0</v>
      </c>
      <c r="BG23" s="363">
        <f t="shared" si="25"/>
        <v>0</v>
      </c>
      <c r="BH23" s="369">
        <f t="shared" si="25"/>
        <v>0</v>
      </c>
      <c r="BI23" s="367">
        <f t="shared" si="25"/>
        <v>2000</v>
      </c>
      <c r="BJ23" s="363">
        <f t="shared" si="25"/>
        <v>0</v>
      </c>
      <c r="BK23" s="363">
        <f t="shared" si="25"/>
        <v>132483.46</v>
      </c>
      <c r="BL23" s="363">
        <f t="shared" si="25"/>
        <v>0</v>
      </c>
      <c r="BM23" s="363">
        <f t="shared" si="25"/>
        <v>34087.019999999997</v>
      </c>
      <c r="BN23" s="369">
        <f t="shared" si="25"/>
        <v>0</v>
      </c>
      <c r="BO23" s="367">
        <f t="shared" si="25"/>
        <v>2000</v>
      </c>
      <c r="BP23" s="363">
        <f t="shared" si="25"/>
        <v>0</v>
      </c>
      <c r="BQ23" s="363">
        <f t="shared" si="25"/>
        <v>6200</v>
      </c>
      <c r="BR23" s="363">
        <f t="shared" si="25"/>
        <v>0</v>
      </c>
      <c r="BS23" s="363">
        <f t="shared" si="25"/>
        <v>6734</v>
      </c>
      <c r="BT23" s="280"/>
    </row>
    <row r="24" spans="1:72" s="313" customFormat="1" ht="38.25">
      <c r="A24" s="287">
        <v>14</v>
      </c>
      <c r="B24" s="936"/>
      <c r="C24" s="840"/>
      <c r="D24" s="841"/>
      <c r="E24" s="839"/>
      <c r="F24" s="821" t="s">
        <v>7</v>
      </c>
      <c r="G24" s="314">
        <v>4</v>
      </c>
      <c r="H24" s="739" t="s">
        <v>71</v>
      </c>
      <c r="I24" s="739">
        <v>111</v>
      </c>
      <c r="J24" s="740">
        <v>266</v>
      </c>
      <c r="K24" s="317" t="s">
        <v>535</v>
      </c>
      <c r="L24" s="1025">
        <v>46200</v>
      </c>
      <c r="M24" s="318"/>
      <c r="N24" s="318"/>
      <c r="O24" s="1052">
        <f t="shared" si="21"/>
        <v>46200</v>
      </c>
      <c r="P24" s="329"/>
      <c r="Q24" s="319">
        <v>46200</v>
      </c>
      <c r="R24" s="329"/>
      <c r="S24" s="319">
        <v>46200</v>
      </c>
      <c r="T24" s="329"/>
      <c r="U24" s="335"/>
      <c r="V24" s="320"/>
      <c r="W24" s="320"/>
      <c r="X24" s="320"/>
      <c r="Z24" s="336">
        <f t="shared" si="6"/>
        <v>13266</v>
      </c>
      <c r="AA24" s="337">
        <f t="shared" si="6"/>
        <v>3414.31</v>
      </c>
      <c r="AB24" s="338">
        <f t="shared" si="7"/>
        <v>9851.69</v>
      </c>
      <c r="AC24" s="336">
        <f t="shared" si="8"/>
        <v>10000</v>
      </c>
      <c r="AD24" s="337">
        <f t="shared" si="8"/>
        <v>0</v>
      </c>
      <c r="AE24" s="338">
        <f t="shared" si="9"/>
        <v>10000</v>
      </c>
      <c r="AF24" s="336">
        <f t="shared" si="10"/>
        <v>10000</v>
      </c>
      <c r="AG24" s="337">
        <f t="shared" si="10"/>
        <v>0</v>
      </c>
      <c r="AH24" s="338">
        <f t="shared" si="11"/>
        <v>10000</v>
      </c>
      <c r="AI24" s="336">
        <f t="shared" si="12"/>
        <v>12934</v>
      </c>
      <c r="AJ24" s="337">
        <f t="shared" si="12"/>
        <v>0</v>
      </c>
      <c r="AK24" s="338">
        <f t="shared" si="13"/>
        <v>12934</v>
      </c>
      <c r="AL24" s="342"/>
      <c r="AM24" s="336">
        <f t="shared" si="14"/>
        <v>23266</v>
      </c>
      <c r="AN24" s="339">
        <f t="shared" si="14"/>
        <v>3414.31</v>
      </c>
      <c r="AO24" s="340">
        <f t="shared" si="15"/>
        <v>19851.689999999999</v>
      </c>
      <c r="AP24" s="336">
        <f t="shared" si="16"/>
        <v>33266</v>
      </c>
      <c r="AQ24" s="339">
        <f t="shared" si="16"/>
        <v>3414.31</v>
      </c>
      <c r="AR24" s="340">
        <f t="shared" si="17"/>
        <v>29851.69</v>
      </c>
      <c r="AS24" s="341">
        <f t="shared" si="22"/>
        <v>46200</v>
      </c>
      <c r="AT24" s="339">
        <f t="shared" si="18"/>
        <v>3414.31</v>
      </c>
      <c r="AU24" s="340">
        <f t="shared" si="19"/>
        <v>42785.69</v>
      </c>
      <c r="AV24" s="1255">
        <f t="shared" si="20"/>
        <v>0</v>
      </c>
      <c r="AW24" s="343"/>
      <c r="AX24" s="1098">
        <v>1923.31</v>
      </c>
      <c r="AY24" s="345">
        <f>20000-6734</f>
        <v>13266</v>
      </c>
      <c r="AZ24" s="1098">
        <v>574</v>
      </c>
      <c r="BA24" s="345"/>
      <c r="BB24" s="1120">
        <v>917</v>
      </c>
      <c r="BC24" s="347"/>
      <c r="BD24" s="348"/>
      <c r="BE24" s="349">
        <v>10000</v>
      </c>
      <c r="BF24" s="348"/>
      <c r="BG24" s="349"/>
      <c r="BH24" s="350"/>
      <c r="BI24" s="351"/>
      <c r="BJ24" s="352"/>
      <c r="BK24" s="337">
        <v>10000</v>
      </c>
      <c r="BL24" s="352"/>
      <c r="BM24" s="337"/>
      <c r="BN24" s="353"/>
      <c r="BO24" s="354"/>
      <c r="BP24" s="355"/>
      <c r="BQ24" s="356">
        <v>6200</v>
      </c>
      <c r="BR24" s="355"/>
      <c r="BS24" s="356">
        <v>6734</v>
      </c>
      <c r="BT24" s="357"/>
    </row>
    <row r="25" spans="1:72" s="313" customFormat="1" ht="51">
      <c r="A25" s="287">
        <v>15</v>
      </c>
      <c r="B25" s="936"/>
      <c r="C25" s="840"/>
      <c r="D25" s="841"/>
      <c r="E25" s="839"/>
      <c r="F25" s="821" t="s">
        <v>7</v>
      </c>
      <c r="G25" s="314">
        <v>4</v>
      </c>
      <c r="H25" s="739" t="s">
        <v>71</v>
      </c>
      <c r="I25" s="739">
        <v>111</v>
      </c>
      <c r="J25" s="740">
        <v>266</v>
      </c>
      <c r="K25" s="317" t="s">
        <v>527</v>
      </c>
      <c r="L25" s="1025">
        <v>6000</v>
      </c>
      <c r="M25" s="318"/>
      <c r="N25" s="318"/>
      <c r="O25" s="1052">
        <f t="shared" si="21"/>
        <v>6000</v>
      </c>
      <c r="P25" s="329"/>
      <c r="Q25" s="319">
        <v>0</v>
      </c>
      <c r="R25" s="329"/>
      <c r="S25" s="319">
        <v>0</v>
      </c>
      <c r="T25" s="329"/>
      <c r="U25" s="335"/>
      <c r="V25" s="320"/>
      <c r="W25" s="320"/>
      <c r="X25" s="320"/>
      <c r="Z25" s="336">
        <f>AW25+AY25+BA25</f>
        <v>0</v>
      </c>
      <c r="AA25" s="337">
        <f>AX25+AZ25+BB25</f>
        <v>0</v>
      </c>
      <c r="AB25" s="338">
        <f>Z25-AA25</f>
        <v>0</v>
      </c>
      <c r="AC25" s="336">
        <f>BC25+BE25+BG25</f>
        <v>2000</v>
      </c>
      <c r="AD25" s="337">
        <f>BD25+BF25+BH25</f>
        <v>0</v>
      </c>
      <c r="AE25" s="338">
        <f>AC25-AD25</f>
        <v>2000</v>
      </c>
      <c r="AF25" s="336">
        <f>BI25+BK25+BM25</f>
        <v>2000</v>
      </c>
      <c r="AG25" s="337">
        <f>BJ25+BL25+BN25</f>
        <v>0</v>
      </c>
      <c r="AH25" s="338">
        <f>AF25-AG25</f>
        <v>2000</v>
      </c>
      <c r="AI25" s="336">
        <f>BO25+BQ25+BS25</f>
        <v>2000</v>
      </c>
      <c r="AJ25" s="337">
        <f>BP25+BR25+BT25</f>
        <v>0</v>
      </c>
      <c r="AK25" s="338">
        <f>AI25-AJ25</f>
        <v>2000</v>
      </c>
      <c r="AL25" s="342"/>
      <c r="AM25" s="336">
        <f>Z25+AC25</f>
        <v>2000</v>
      </c>
      <c r="AN25" s="339">
        <f>AA25+AD25</f>
        <v>0</v>
      </c>
      <c r="AO25" s="340">
        <f>AM25-AN25</f>
        <v>2000</v>
      </c>
      <c r="AP25" s="336">
        <f>Z25+AC25+AF25</f>
        <v>4000</v>
      </c>
      <c r="AQ25" s="339">
        <f>AA25+AD25+AG25</f>
        <v>0</v>
      </c>
      <c r="AR25" s="340">
        <f>AP25-AQ25</f>
        <v>4000</v>
      </c>
      <c r="AS25" s="341">
        <f>Z25+AC25+AF25+AI25</f>
        <v>6000</v>
      </c>
      <c r="AT25" s="339">
        <f>AA25+AD25+AG25+AJ25</f>
        <v>0</v>
      </c>
      <c r="AU25" s="340">
        <f>AS25-AT25</f>
        <v>6000</v>
      </c>
      <c r="AV25" s="1255"/>
      <c r="AW25" s="343"/>
      <c r="AX25" s="1098"/>
      <c r="AY25" s="345"/>
      <c r="AZ25" s="1098"/>
      <c r="BA25" s="345"/>
      <c r="BB25" s="1120"/>
      <c r="BC25" s="347">
        <v>2000</v>
      </c>
      <c r="BD25" s="348"/>
      <c r="BE25" s="349"/>
      <c r="BF25" s="348"/>
      <c r="BG25" s="349"/>
      <c r="BH25" s="350"/>
      <c r="BI25" s="351">
        <v>2000</v>
      </c>
      <c r="BJ25" s="352"/>
      <c r="BK25" s="337"/>
      <c r="BL25" s="352"/>
      <c r="BM25" s="337"/>
      <c r="BN25" s="353"/>
      <c r="BO25" s="354">
        <v>2000</v>
      </c>
      <c r="BP25" s="355"/>
      <c r="BQ25" s="356"/>
      <c r="BR25" s="355"/>
      <c r="BS25" s="356"/>
      <c r="BT25" s="357"/>
    </row>
    <row r="26" spans="1:72" s="313" customFormat="1" ht="38.25">
      <c r="A26" s="287">
        <v>16</v>
      </c>
      <c r="B26" s="936"/>
      <c r="C26" s="840"/>
      <c r="D26" s="841"/>
      <c r="E26" s="839"/>
      <c r="F26" s="821" t="s">
        <v>7</v>
      </c>
      <c r="G26" s="314">
        <v>4</v>
      </c>
      <c r="H26" s="739" t="s">
        <v>71</v>
      </c>
      <c r="I26" s="739">
        <v>111</v>
      </c>
      <c r="J26" s="740">
        <v>266</v>
      </c>
      <c r="K26" s="317" t="s">
        <v>528</v>
      </c>
      <c r="L26" s="1025">
        <v>156570.48000000001</v>
      </c>
      <c r="M26" s="318"/>
      <c r="N26" s="318"/>
      <c r="O26" s="1052">
        <f t="shared" si="21"/>
        <v>156570.48000000001</v>
      </c>
      <c r="P26" s="329"/>
      <c r="Q26" s="319">
        <f>174498.02-46200</f>
        <v>128298.02</v>
      </c>
      <c r="R26" s="329"/>
      <c r="S26" s="319">
        <f>146516.96-46200</f>
        <v>100316.96</v>
      </c>
      <c r="T26" s="329"/>
      <c r="U26" s="335"/>
      <c r="V26" s="320"/>
      <c r="W26" s="320"/>
      <c r="X26" s="320"/>
      <c r="Z26" s="336">
        <f>AW26+AY26+BA26</f>
        <v>0</v>
      </c>
      <c r="AA26" s="337">
        <f>AX26+AZ26+BB26</f>
        <v>0</v>
      </c>
      <c r="AB26" s="338">
        <f>Z26-AA26</f>
        <v>0</v>
      </c>
      <c r="AC26" s="336">
        <f>BC26+BE26+BG26</f>
        <v>0</v>
      </c>
      <c r="AD26" s="337">
        <f>BD26+BF26+BH26</f>
        <v>0</v>
      </c>
      <c r="AE26" s="338">
        <f>AC26-AD26</f>
        <v>0</v>
      </c>
      <c r="AF26" s="336">
        <f>BI26+BK26+BM26</f>
        <v>156570.48000000001</v>
      </c>
      <c r="AG26" s="337">
        <f>BJ26+BL26+BN26</f>
        <v>0</v>
      </c>
      <c r="AH26" s="338">
        <f>AF26-AG26</f>
        <v>156570.48000000001</v>
      </c>
      <c r="AI26" s="336">
        <f>BO26+BQ26+BS26</f>
        <v>0</v>
      </c>
      <c r="AJ26" s="337">
        <f>BP26+BR26+BT26</f>
        <v>0</v>
      </c>
      <c r="AK26" s="338">
        <f>AI26-AJ26</f>
        <v>0</v>
      </c>
      <c r="AL26" s="342"/>
      <c r="AM26" s="336">
        <f>Z26+AC26</f>
        <v>0</v>
      </c>
      <c r="AN26" s="339">
        <f>AA26+AD26</f>
        <v>0</v>
      </c>
      <c r="AO26" s="340">
        <f>AM26-AN26</f>
        <v>0</v>
      </c>
      <c r="AP26" s="336">
        <f>Z26+AC26+AF26</f>
        <v>156570.48000000001</v>
      </c>
      <c r="AQ26" s="339">
        <f>AA26+AD26+AG26</f>
        <v>0</v>
      </c>
      <c r="AR26" s="340">
        <f>AP26-AQ26</f>
        <v>156570.48000000001</v>
      </c>
      <c r="AS26" s="341">
        <f>Z26+AC26+AF26+AI26</f>
        <v>156570.48000000001</v>
      </c>
      <c r="AT26" s="339">
        <f>AA26+AD26+AG26+AJ26</f>
        <v>0</v>
      </c>
      <c r="AU26" s="340">
        <f>AS26-AT26</f>
        <v>156570.48000000001</v>
      </c>
      <c r="AV26" s="1255"/>
      <c r="AW26" s="343"/>
      <c r="AX26" s="1098"/>
      <c r="AY26" s="345"/>
      <c r="AZ26" s="1098"/>
      <c r="BA26" s="345"/>
      <c r="BB26" s="1120"/>
      <c r="BC26" s="347"/>
      <c r="BD26" s="348"/>
      <c r="BE26" s="349"/>
      <c r="BF26" s="348"/>
      <c r="BG26" s="349"/>
      <c r="BH26" s="350"/>
      <c r="BI26" s="351"/>
      <c r="BJ26" s="352"/>
      <c r="BK26" s="337">
        <v>122483.46</v>
      </c>
      <c r="BL26" s="352"/>
      <c r="BM26" s="337">
        <v>34087.019999999997</v>
      </c>
      <c r="BN26" s="353"/>
      <c r="BO26" s="354"/>
      <c r="BP26" s="355"/>
      <c r="BQ26" s="356"/>
      <c r="BR26" s="355"/>
      <c r="BS26" s="356"/>
      <c r="BT26" s="357"/>
    </row>
    <row r="27" spans="1:72" s="358" customFormat="1" ht="85.5" customHeight="1">
      <c r="A27" s="287">
        <v>17</v>
      </c>
      <c r="B27" s="936" t="s">
        <v>1045</v>
      </c>
      <c r="C27" s="837"/>
      <c r="D27" s="838"/>
      <c r="E27" s="836" t="s">
        <v>201</v>
      </c>
      <c r="F27" s="820" t="s">
        <v>7</v>
      </c>
      <c r="G27" s="360">
        <v>4</v>
      </c>
      <c r="H27" s="360" t="s">
        <v>71</v>
      </c>
      <c r="I27" s="360">
        <v>119</v>
      </c>
      <c r="J27" s="361">
        <v>266</v>
      </c>
      <c r="K27" s="532" t="s">
        <v>530</v>
      </c>
      <c r="L27" s="1023">
        <v>250000</v>
      </c>
      <c r="M27" s="363"/>
      <c r="N27" s="363">
        <v>61236.68</v>
      </c>
      <c r="O27" s="1051">
        <f t="shared" si="21"/>
        <v>311236.68</v>
      </c>
      <c r="P27" s="557"/>
      <c r="Q27" s="367"/>
      <c r="R27" s="557"/>
      <c r="S27" s="367"/>
      <c r="T27" s="557"/>
      <c r="U27" s="365"/>
      <c r="V27" s="366"/>
      <c r="W27" s="366"/>
      <c r="X27" s="366"/>
      <c r="Z27" s="367">
        <f t="shared" si="6"/>
        <v>37000</v>
      </c>
      <c r="AA27" s="363">
        <f t="shared" si="6"/>
        <v>0</v>
      </c>
      <c r="AB27" s="280">
        <f t="shared" si="7"/>
        <v>37000</v>
      </c>
      <c r="AC27" s="367">
        <f t="shared" si="8"/>
        <v>87000</v>
      </c>
      <c r="AD27" s="363">
        <f t="shared" si="8"/>
        <v>111000</v>
      </c>
      <c r="AE27" s="280">
        <f t="shared" si="9"/>
        <v>-24000</v>
      </c>
      <c r="AF27" s="367">
        <f t="shared" si="10"/>
        <v>63000</v>
      </c>
      <c r="AG27" s="363">
        <f t="shared" si="10"/>
        <v>111000</v>
      </c>
      <c r="AH27" s="280">
        <f t="shared" si="11"/>
        <v>-48000</v>
      </c>
      <c r="AI27" s="367">
        <f t="shared" si="12"/>
        <v>63000</v>
      </c>
      <c r="AJ27" s="363">
        <f t="shared" si="12"/>
        <v>74000</v>
      </c>
      <c r="AK27" s="280">
        <f t="shared" si="13"/>
        <v>-11000</v>
      </c>
      <c r="AL27" s="368"/>
      <c r="AM27" s="367">
        <f t="shared" si="14"/>
        <v>124000</v>
      </c>
      <c r="AN27" s="363">
        <f t="shared" si="14"/>
        <v>111000</v>
      </c>
      <c r="AO27" s="280">
        <f t="shared" si="15"/>
        <v>13000</v>
      </c>
      <c r="AP27" s="367">
        <f t="shared" si="16"/>
        <v>187000</v>
      </c>
      <c r="AQ27" s="363">
        <f t="shared" si="16"/>
        <v>222000</v>
      </c>
      <c r="AR27" s="280">
        <f t="shared" si="17"/>
        <v>-35000</v>
      </c>
      <c r="AS27" s="367">
        <f t="shared" si="22"/>
        <v>250000</v>
      </c>
      <c r="AT27" s="363">
        <f t="shared" si="18"/>
        <v>296000</v>
      </c>
      <c r="AU27" s="280">
        <f t="shared" si="19"/>
        <v>-46000</v>
      </c>
      <c r="AV27" s="1253">
        <f t="shared" si="20"/>
        <v>0</v>
      </c>
      <c r="AW27" s="367"/>
      <c r="AX27" s="1097"/>
      <c r="AY27" s="363"/>
      <c r="AZ27" s="1097"/>
      <c r="BA27" s="363">
        <f>13000+24000</f>
        <v>37000</v>
      </c>
      <c r="BB27" s="1119"/>
      <c r="BC27" s="367">
        <f t="shared" ref="BC27:BR27" si="26">13000+24000</f>
        <v>37000</v>
      </c>
      <c r="BD27" s="363">
        <f t="shared" si="26"/>
        <v>37000</v>
      </c>
      <c r="BE27" s="363">
        <f>13000</f>
        <v>13000</v>
      </c>
      <c r="BF27" s="363">
        <f t="shared" si="26"/>
        <v>37000</v>
      </c>
      <c r="BG27" s="363">
        <f t="shared" si="26"/>
        <v>37000</v>
      </c>
      <c r="BH27" s="369">
        <f t="shared" si="26"/>
        <v>37000</v>
      </c>
      <c r="BI27" s="367">
        <f t="shared" si="26"/>
        <v>37000</v>
      </c>
      <c r="BJ27" s="363">
        <f t="shared" si="26"/>
        <v>37000</v>
      </c>
      <c r="BK27" s="363">
        <f>13000</f>
        <v>13000</v>
      </c>
      <c r="BL27" s="363">
        <f t="shared" si="26"/>
        <v>37000</v>
      </c>
      <c r="BM27" s="363">
        <f>13000</f>
        <v>13000</v>
      </c>
      <c r="BN27" s="369">
        <f t="shared" si="26"/>
        <v>37000</v>
      </c>
      <c r="BO27" s="367">
        <f t="shared" si="26"/>
        <v>37000</v>
      </c>
      <c r="BP27" s="363">
        <f t="shared" si="26"/>
        <v>37000</v>
      </c>
      <c r="BQ27" s="363">
        <f>13000</f>
        <v>13000</v>
      </c>
      <c r="BR27" s="363">
        <f t="shared" si="26"/>
        <v>37000</v>
      </c>
      <c r="BS27" s="363">
        <f>13000</f>
        <v>13000</v>
      </c>
      <c r="BT27" s="280"/>
    </row>
    <row r="28" spans="1:72" s="358" customFormat="1" ht="47.25" customHeight="1">
      <c r="A28" s="287">
        <v>18</v>
      </c>
      <c r="B28" s="933"/>
      <c r="C28" s="850" t="s">
        <v>377</v>
      </c>
      <c r="D28" s="838"/>
      <c r="E28" s="836" t="s">
        <v>201</v>
      </c>
      <c r="F28" s="820" t="s">
        <v>7</v>
      </c>
      <c r="G28" s="360">
        <v>4</v>
      </c>
      <c r="H28" s="360" t="s">
        <v>71</v>
      </c>
      <c r="I28" s="360">
        <v>119</v>
      </c>
      <c r="J28" s="361">
        <v>213</v>
      </c>
      <c r="K28" s="532" t="s">
        <v>366</v>
      </c>
      <c r="L28" s="1023">
        <f>SUM(L29:L32)</f>
        <v>80866.679999999993</v>
      </c>
      <c r="M28" s="363"/>
      <c r="N28" s="363">
        <f>SUM(N29:N32)</f>
        <v>-61236.68</v>
      </c>
      <c r="O28" s="1051">
        <f t="shared" si="21"/>
        <v>19630</v>
      </c>
      <c r="P28" s="557"/>
      <c r="Q28" s="367">
        <f>SUM(Q29:Q32)</f>
        <v>78368.399999999994</v>
      </c>
      <c r="R28" s="557"/>
      <c r="S28" s="367">
        <f>SUM(S29:S32)</f>
        <v>63878.12</v>
      </c>
      <c r="T28" s="557"/>
      <c r="U28" s="365"/>
      <c r="V28" s="366"/>
      <c r="W28" s="366"/>
      <c r="X28" s="366"/>
      <c r="Z28" s="367">
        <f t="shared" si="6"/>
        <v>0</v>
      </c>
      <c r="AA28" s="363">
        <f t="shared" si="6"/>
        <v>0</v>
      </c>
      <c r="AB28" s="280">
        <f t="shared" si="7"/>
        <v>0</v>
      </c>
      <c r="AC28" s="367">
        <f t="shared" si="8"/>
        <v>33306.68</v>
      </c>
      <c r="AD28" s="363">
        <f t="shared" si="8"/>
        <v>0</v>
      </c>
      <c r="AE28" s="280">
        <f t="shared" si="9"/>
        <v>33306.68</v>
      </c>
      <c r="AF28" s="367">
        <f t="shared" si="10"/>
        <v>38500</v>
      </c>
      <c r="AG28" s="363">
        <f t="shared" si="10"/>
        <v>0</v>
      </c>
      <c r="AH28" s="280">
        <f t="shared" si="11"/>
        <v>38500</v>
      </c>
      <c r="AI28" s="367">
        <f t="shared" si="12"/>
        <v>9060</v>
      </c>
      <c r="AJ28" s="363">
        <f t="shared" si="12"/>
        <v>0</v>
      </c>
      <c r="AK28" s="280">
        <f t="shared" si="13"/>
        <v>9060</v>
      </c>
      <c r="AL28" s="368"/>
      <c r="AM28" s="367">
        <f t="shared" si="14"/>
        <v>33306.68</v>
      </c>
      <c r="AN28" s="363">
        <f t="shared" si="14"/>
        <v>0</v>
      </c>
      <c r="AO28" s="280">
        <f t="shared" si="15"/>
        <v>33306.68</v>
      </c>
      <c r="AP28" s="367">
        <f t="shared" si="16"/>
        <v>71806.679999999993</v>
      </c>
      <c r="AQ28" s="363">
        <f t="shared" si="16"/>
        <v>0</v>
      </c>
      <c r="AR28" s="280">
        <f t="shared" si="17"/>
        <v>71806.679999999993</v>
      </c>
      <c r="AS28" s="367">
        <f t="shared" si="22"/>
        <v>80866.679999999993</v>
      </c>
      <c r="AT28" s="363">
        <f t="shared" si="18"/>
        <v>0</v>
      </c>
      <c r="AU28" s="280">
        <f t="shared" si="19"/>
        <v>80866.679999999993</v>
      </c>
      <c r="AV28" s="1253">
        <f t="shared" si="20"/>
        <v>0</v>
      </c>
      <c r="AW28" s="367">
        <f t="shared" ref="AW28:BT28" si="27">SUM(AW29:AW32)</f>
        <v>0</v>
      </c>
      <c r="AX28" s="1097">
        <f t="shared" si="27"/>
        <v>0</v>
      </c>
      <c r="AY28" s="363">
        <f t="shared" si="27"/>
        <v>0</v>
      </c>
      <c r="AZ28" s="1097">
        <f t="shared" si="27"/>
        <v>0</v>
      </c>
      <c r="BA28" s="363">
        <f t="shared" si="27"/>
        <v>0</v>
      </c>
      <c r="BB28" s="1119">
        <f t="shared" si="27"/>
        <v>0</v>
      </c>
      <c r="BC28" s="367">
        <f t="shared" si="27"/>
        <v>3020</v>
      </c>
      <c r="BD28" s="363">
        <f t="shared" si="27"/>
        <v>0</v>
      </c>
      <c r="BE28" s="363">
        <f t="shared" si="27"/>
        <v>0</v>
      </c>
      <c r="BF28" s="363">
        <f t="shared" si="27"/>
        <v>0</v>
      </c>
      <c r="BG28" s="363">
        <f t="shared" si="27"/>
        <v>30286.68</v>
      </c>
      <c r="BH28" s="369">
        <f t="shared" si="27"/>
        <v>0</v>
      </c>
      <c r="BI28" s="367">
        <f t="shared" si="27"/>
        <v>0</v>
      </c>
      <c r="BJ28" s="363">
        <f t="shared" si="27"/>
        <v>0</v>
      </c>
      <c r="BK28" s="363">
        <f t="shared" si="27"/>
        <v>36990</v>
      </c>
      <c r="BL28" s="363">
        <f t="shared" si="27"/>
        <v>0</v>
      </c>
      <c r="BM28" s="363">
        <f t="shared" si="27"/>
        <v>1510</v>
      </c>
      <c r="BN28" s="369">
        <f t="shared" si="27"/>
        <v>0</v>
      </c>
      <c r="BO28" s="367">
        <f t="shared" si="27"/>
        <v>0</v>
      </c>
      <c r="BP28" s="363">
        <f t="shared" si="27"/>
        <v>0</v>
      </c>
      <c r="BQ28" s="363">
        <f t="shared" si="27"/>
        <v>3020</v>
      </c>
      <c r="BR28" s="363">
        <f t="shared" si="27"/>
        <v>0</v>
      </c>
      <c r="BS28" s="363">
        <f t="shared" si="27"/>
        <v>6040</v>
      </c>
      <c r="BT28" s="280">
        <f t="shared" si="27"/>
        <v>0</v>
      </c>
    </row>
    <row r="29" spans="1:72" s="313" customFormat="1" ht="51" outlineLevel="1">
      <c r="A29" s="287">
        <v>19</v>
      </c>
      <c r="B29" s="933"/>
      <c r="C29" s="840"/>
      <c r="D29" s="841"/>
      <c r="E29" s="839"/>
      <c r="F29" s="825" t="s">
        <v>7</v>
      </c>
      <c r="G29" s="314">
        <v>4</v>
      </c>
      <c r="H29" s="739" t="s">
        <v>71</v>
      </c>
      <c r="I29" s="739">
        <v>119</v>
      </c>
      <c r="J29" s="740">
        <v>213</v>
      </c>
      <c r="K29" s="533" t="s">
        <v>315</v>
      </c>
      <c r="L29" s="1025">
        <v>3020</v>
      </c>
      <c r="M29" s="318"/>
      <c r="N29" s="318"/>
      <c r="O29" s="1052">
        <f t="shared" si="21"/>
        <v>3020</v>
      </c>
      <c r="P29" s="559"/>
      <c r="Q29" s="336">
        <f>3020*3</f>
        <v>9060</v>
      </c>
      <c r="R29" s="559"/>
      <c r="S29" s="336">
        <v>3020</v>
      </c>
      <c r="T29" s="559"/>
      <c r="U29" s="335"/>
      <c r="V29" s="320"/>
      <c r="W29" s="320"/>
      <c r="X29" s="320"/>
      <c r="Z29" s="336">
        <f t="shared" si="6"/>
        <v>0</v>
      </c>
      <c r="AA29" s="337">
        <f t="shared" si="6"/>
        <v>0</v>
      </c>
      <c r="AB29" s="338">
        <f t="shared" si="7"/>
        <v>0</v>
      </c>
      <c r="AC29" s="336">
        <f t="shared" si="8"/>
        <v>3020</v>
      </c>
      <c r="AD29" s="337">
        <f t="shared" si="8"/>
        <v>0</v>
      </c>
      <c r="AE29" s="338">
        <f t="shared" si="9"/>
        <v>3020</v>
      </c>
      <c r="AF29" s="336">
        <f t="shared" si="10"/>
        <v>0</v>
      </c>
      <c r="AG29" s="337">
        <f t="shared" si="10"/>
        <v>0</v>
      </c>
      <c r="AH29" s="338">
        <f t="shared" si="11"/>
        <v>0</v>
      </c>
      <c r="AI29" s="336">
        <f t="shared" si="12"/>
        <v>0</v>
      </c>
      <c r="AJ29" s="337">
        <f t="shared" si="12"/>
        <v>0</v>
      </c>
      <c r="AK29" s="338">
        <f t="shared" si="13"/>
        <v>0</v>
      </c>
      <c r="AL29" s="342"/>
      <c r="AM29" s="336">
        <f t="shared" si="14"/>
        <v>3020</v>
      </c>
      <c r="AN29" s="339">
        <f t="shared" si="14"/>
        <v>0</v>
      </c>
      <c r="AO29" s="340">
        <f t="shared" si="15"/>
        <v>3020</v>
      </c>
      <c r="AP29" s="336">
        <f t="shared" si="16"/>
        <v>3020</v>
      </c>
      <c r="AQ29" s="339">
        <f t="shared" si="16"/>
        <v>0</v>
      </c>
      <c r="AR29" s="340">
        <f t="shared" si="17"/>
        <v>3020</v>
      </c>
      <c r="AS29" s="341">
        <f t="shared" si="22"/>
        <v>3020</v>
      </c>
      <c r="AT29" s="339">
        <f t="shared" si="18"/>
        <v>0</v>
      </c>
      <c r="AU29" s="340">
        <f t="shared" si="19"/>
        <v>3020</v>
      </c>
      <c r="AV29" s="1255">
        <f t="shared" si="20"/>
        <v>0</v>
      </c>
      <c r="AW29" s="343"/>
      <c r="AX29" s="1098"/>
      <c r="AY29" s="345"/>
      <c r="AZ29" s="1098"/>
      <c r="BA29" s="345"/>
      <c r="BB29" s="1120"/>
      <c r="BC29" s="347">
        <v>3020</v>
      </c>
      <c r="BD29" s="348"/>
      <c r="BE29" s="349"/>
      <c r="BF29" s="348"/>
      <c r="BG29" s="349"/>
      <c r="BH29" s="350"/>
      <c r="BI29" s="351"/>
      <c r="BJ29" s="352"/>
      <c r="BK29" s="337"/>
      <c r="BL29" s="352"/>
      <c r="BM29" s="337"/>
      <c r="BN29" s="353"/>
      <c r="BO29" s="354"/>
      <c r="BP29" s="355"/>
      <c r="BQ29" s="356"/>
      <c r="BR29" s="355"/>
      <c r="BS29" s="356"/>
      <c r="BT29" s="357"/>
    </row>
    <row r="30" spans="1:72" s="313" customFormat="1" ht="38.25" outlineLevel="1">
      <c r="A30" s="287">
        <v>20</v>
      </c>
      <c r="B30" s="933"/>
      <c r="C30" s="840"/>
      <c r="D30" s="841"/>
      <c r="E30" s="839"/>
      <c r="F30" s="825" t="s">
        <v>7</v>
      </c>
      <c r="G30" s="314">
        <v>4</v>
      </c>
      <c r="H30" s="739" t="s">
        <v>71</v>
      </c>
      <c r="I30" s="739">
        <v>119</v>
      </c>
      <c r="J30" s="740">
        <v>213</v>
      </c>
      <c r="K30" s="533" t="s">
        <v>319</v>
      </c>
      <c r="L30" s="1025">
        <f>6040*2</f>
        <v>12080</v>
      </c>
      <c r="M30" s="318"/>
      <c r="N30" s="318"/>
      <c r="O30" s="1052">
        <f t="shared" si="21"/>
        <v>12080</v>
      </c>
      <c r="P30" s="559"/>
      <c r="Q30" s="341">
        <f>6040*2</f>
        <v>12080</v>
      </c>
      <c r="R30" s="559"/>
      <c r="S30" s="341">
        <f>6040*2</f>
        <v>12080</v>
      </c>
      <c r="T30" s="559"/>
      <c r="U30" s="335"/>
      <c r="V30" s="320"/>
      <c r="W30" s="320"/>
      <c r="X30" s="320"/>
      <c r="Z30" s="336">
        <f t="shared" si="6"/>
        <v>0</v>
      </c>
      <c r="AA30" s="337">
        <f t="shared" si="6"/>
        <v>0</v>
      </c>
      <c r="AB30" s="338">
        <f t="shared" si="7"/>
        <v>0</v>
      </c>
      <c r="AC30" s="336">
        <f t="shared" si="8"/>
        <v>6040</v>
      </c>
      <c r="AD30" s="337">
        <f t="shared" si="8"/>
        <v>0</v>
      </c>
      <c r="AE30" s="338">
        <f t="shared" si="9"/>
        <v>6040</v>
      </c>
      <c r="AF30" s="336">
        <f t="shared" si="10"/>
        <v>0</v>
      </c>
      <c r="AG30" s="337">
        <f t="shared" si="10"/>
        <v>0</v>
      </c>
      <c r="AH30" s="338">
        <f t="shared" si="11"/>
        <v>0</v>
      </c>
      <c r="AI30" s="336">
        <f t="shared" si="12"/>
        <v>6040</v>
      </c>
      <c r="AJ30" s="337">
        <f t="shared" si="12"/>
        <v>0</v>
      </c>
      <c r="AK30" s="338">
        <f t="shared" si="13"/>
        <v>6040</v>
      </c>
      <c r="AL30" s="342"/>
      <c r="AM30" s="336">
        <f t="shared" si="14"/>
        <v>6040</v>
      </c>
      <c r="AN30" s="339">
        <f t="shared" si="14"/>
        <v>0</v>
      </c>
      <c r="AO30" s="340">
        <f t="shared" si="15"/>
        <v>6040</v>
      </c>
      <c r="AP30" s="336">
        <f t="shared" si="16"/>
        <v>6040</v>
      </c>
      <c r="AQ30" s="339">
        <f t="shared" si="16"/>
        <v>0</v>
      </c>
      <c r="AR30" s="340">
        <f t="shared" si="17"/>
        <v>6040</v>
      </c>
      <c r="AS30" s="341">
        <f t="shared" si="22"/>
        <v>12080</v>
      </c>
      <c r="AT30" s="339">
        <f t="shared" si="18"/>
        <v>0</v>
      </c>
      <c r="AU30" s="340">
        <f t="shared" si="19"/>
        <v>12080</v>
      </c>
      <c r="AV30" s="1255">
        <f t="shared" si="20"/>
        <v>0</v>
      </c>
      <c r="AW30" s="343"/>
      <c r="AX30" s="1098"/>
      <c r="AY30" s="345"/>
      <c r="AZ30" s="1098"/>
      <c r="BA30" s="345"/>
      <c r="BB30" s="1120"/>
      <c r="BC30" s="347"/>
      <c r="BD30" s="348"/>
      <c r="BE30" s="349"/>
      <c r="BF30" s="348"/>
      <c r="BG30" s="349">
        <v>6040</v>
      </c>
      <c r="BH30" s="350"/>
      <c r="BI30" s="351"/>
      <c r="BJ30" s="352"/>
      <c r="BK30" s="337"/>
      <c r="BL30" s="352"/>
      <c r="BM30" s="337"/>
      <c r="BN30" s="353"/>
      <c r="BO30" s="354"/>
      <c r="BP30" s="355"/>
      <c r="BQ30" s="356"/>
      <c r="BR30" s="355"/>
      <c r="BS30" s="356">
        <v>6040</v>
      </c>
      <c r="BT30" s="357"/>
    </row>
    <row r="31" spans="1:72" s="313" customFormat="1" ht="38.25" outlineLevel="1">
      <c r="A31" s="287">
        <v>21</v>
      </c>
      <c r="B31" s="933"/>
      <c r="C31" s="840"/>
      <c r="D31" s="841"/>
      <c r="E31" s="839"/>
      <c r="F31" s="825" t="s">
        <v>7</v>
      </c>
      <c r="G31" s="314">
        <v>4</v>
      </c>
      <c r="H31" s="739" t="s">
        <v>71</v>
      </c>
      <c r="I31" s="739">
        <v>119</v>
      </c>
      <c r="J31" s="740">
        <v>213</v>
      </c>
      <c r="K31" s="533" t="s">
        <v>321</v>
      </c>
      <c r="L31" s="1025">
        <f>1510*3</f>
        <v>4530</v>
      </c>
      <c r="M31" s="318"/>
      <c r="N31" s="318"/>
      <c r="O31" s="1052">
        <f t="shared" si="21"/>
        <v>4530</v>
      </c>
      <c r="P31" s="559"/>
      <c r="Q31" s="341">
        <f>1510*3</f>
        <v>4530</v>
      </c>
      <c r="R31" s="559"/>
      <c r="S31" s="341">
        <f>1510*3</f>
        <v>4530</v>
      </c>
      <c r="T31" s="559"/>
      <c r="U31" s="335"/>
      <c r="V31" s="320"/>
      <c r="W31" s="320"/>
      <c r="X31" s="320"/>
      <c r="Z31" s="336">
        <f t="shared" si="6"/>
        <v>0</v>
      </c>
      <c r="AA31" s="337">
        <f t="shared" si="6"/>
        <v>0</v>
      </c>
      <c r="AB31" s="338">
        <f t="shared" si="7"/>
        <v>0</v>
      </c>
      <c r="AC31" s="336">
        <f t="shared" si="8"/>
        <v>0</v>
      </c>
      <c r="AD31" s="337">
        <f t="shared" si="8"/>
        <v>0</v>
      </c>
      <c r="AE31" s="338">
        <f t="shared" si="9"/>
        <v>0</v>
      </c>
      <c r="AF31" s="336">
        <f t="shared" si="10"/>
        <v>1510</v>
      </c>
      <c r="AG31" s="337">
        <f t="shared" si="10"/>
        <v>0</v>
      </c>
      <c r="AH31" s="338">
        <f t="shared" si="11"/>
        <v>1510</v>
      </c>
      <c r="AI31" s="336">
        <f t="shared" si="12"/>
        <v>3020</v>
      </c>
      <c r="AJ31" s="337">
        <f t="shared" si="12"/>
        <v>0</v>
      </c>
      <c r="AK31" s="338">
        <f t="shared" si="13"/>
        <v>3020</v>
      </c>
      <c r="AL31" s="342"/>
      <c r="AM31" s="336">
        <f t="shared" si="14"/>
        <v>0</v>
      </c>
      <c r="AN31" s="339">
        <f t="shared" si="14"/>
        <v>0</v>
      </c>
      <c r="AO31" s="340">
        <f t="shared" si="15"/>
        <v>0</v>
      </c>
      <c r="AP31" s="336">
        <f t="shared" si="16"/>
        <v>1510</v>
      </c>
      <c r="AQ31" s="339">
        <f t="shared" si="16"/>
        <v>0</v>
      </c>
      <c r="AR31" s="340">
        <f t="shared" si="17"/>
        <v>1510</v>
      </c>
      <c r="AS31" s="341">
        <f t="shared" si="22"/>
        <v>4530</v>
      </c>
      <c r="AT31" s="339">
        <f t="shared" si="18"/>
        <v>0</v>
      </c>
      <c r="AU31" s="340">
        <f t="shared" si="19"/>
        <v>4530</v>
      </c>
      <c r="AV31" s="1255">
        <f t="shared" si="20"/>
        <v>0</v>
      </c>
      <c r="AW31" s="343"/>
      <c r="AX31" s="1098"/>
      <c r="AY31" s="345"/>
      <c r="AZ31" s="1098"/>
      <c r="BA31" s="345"/>
      <c r="BB31" s="1120"/>
      <c r="BC31" s="347"/>
      <c r="BD31" s="348"/>
      <c r="BE31" s="349"/>
      <c r="BF31" s="348"/>
      <c r="BG31" s="349"/>
      <c r="BH31" s="350"/>
      <c r="BI31" s="351"/>
      <c r="BJ31" s="352"/>
      <c r="BK31" s="337"/>
      <c r="BL31" s="352"/>
      <c r="BM31" s="337">
        <v>1510</v>
      </c>
      <c r="BN31" s="353"/>
      <c r="BO31" s="354"/>
      <c r="BP31" s="355"/>
      <c r="BQ31" s="356">
        <v>3020</v>
      </c>
      <c r="BR31" s="355"/>
      <c r="BS31" s="356"/>
      <c r="BT31" s="357"/>
    </row>
    <row r="32" spans="1:72" s="313" customFormat="1" ht="63.75" outlineLevel="1">
      <c r="A32" s="287">
        <v>22</v>
      </c>
      <c r="B32" s="933" t="s">
        <v>1044</v>
      </c>
      <c r="C32" s="840"/>
      <c r="D32" s="841"/>
      <c r="E32" s="839"/>
      <c r="F32" s="825" t="s">
        <v>7</v>
      </c>
      <c r="G32" s="314">
        <v>4</v>
      </c>
      <c r="H32" s="739" t="s">
        <v>71</v>
      </c>
      <c r="I32" s="739">
        <v>119</v>
      </c>
      <c r="J32" s="1291">
        <v>213</v>
      </c>
      <c r="K32" s="533" t="s">
        <v>320</v>
      </c>
      <c r="L32" s="1025">
        <v>61236.68</v>
      </c>
      <c r="M32" s="318"/>
      <c r="N32" s="318">
        <v>-61236.68</v>
      </c>
      <c r="O32" s="1052">
        <f t="shared" si="21"/>
        <v>0</v>
      </c>
      <c r="P32" s="559"/>
      <c r="Q32" s="336">
        <v>52698.400000000001</v>
      </c>
      <c r="R32" s="559"/>
      <c r="S32" s="336">
        <v>44248.12</v>
      </c>
      <c r="T32" s="559"/>
      <c r="U32" s="335"/>
      <c r="V32" s="320"/>
      <c r="W32" s="320"/>
      <c r="X32" s="320"/>
      <c r="Z32" s="336">
        <f t="shared" si="6"/>
        <v>0</v>
      </c>
      <c r="AA32" s="337">
        <f t="shared" si="6"/>
        <v>0</v>
      </c>
      <c r="AB32" s="338">
        <f t="shared" si="7"/>
        <v>0</v>
      </c>
      <c r="AC32" s="336">
        <f t="shared" si="8"/>
        <v>24246.68</v>
      </c>
      <c r="AD32" s="337">
        <f t="shared" si="8"/>
        <v>0</v>
      </c>
      <c r="AE32" s="338">
        <f t="shared" si="9"/>
        <v>24246.68</v>
      </c>
      <c r="AF32" s="336">
        <f t="shared" si="10"/>
        <v>36990</v>
      </c>
      <c r="AG32" s="337">
        <f t="shared" si="10"/>
        <v>0</v>
      </c>
      <c r="AH32" s="338">
        <f t="shared" si="11"/>
        <v>36990</v>
      </c>
      <c r="AI32" s="336">
        <f t="shared" si="12"/>
        <v>0</v>
      </c>
      <c r="AJ32" s="337">
        <f t="shared" si="12"/>
        <v>0</v>
      </c>
      <c r="AK32" s="338">
        <f t="shared" si="13"/>
        <v>0</v>
      </c>
      <c r="AL32" s="342"/>
      <c r="AM32" s="336">
        <f t="shared" si="14"/>
        <v>24246.68</v>
      </c>
      <c r="AN32" s="339">
        <f t="shared" si="14"/>
        <v>0</v>
      </c>
      <c r="AO32" s="340">
        <f t="shared" si="15"/>
        <v>24246.68</v>
      </c>
      <c r="AP32" s="336">
        <f t="shared" si="16"/>
        <v>61236.68</v>
      </c>
      <c r="AQ32" s="339">
        <f t="shared" si="16"/>
        <v>0</v>
      </c>
      <c r="AR32" s="340">
        <f t="shared" si="17"/>
        <v>61236.68</v>
      </c>
      <c r="AS32" s="341">
        <f t="shared" si="22"/>
        <v>61236.68</v>
      </c>
      <c r="AT32" s="339">
        <f t="shared" si="18"/>
        <v>0</v>
      </c>
      <c r="AU32" s="340">
        <f t="shared" si="19"/>
        <v>61236.68</v>
      </c>
      <c r="AV32" s="1255">
        <f t="shared" si="20"/>
        <v>0</v>
      </c>
      <c r="AW32" s="343"/>
      <c r="AX32" s="1098"/>
      <c r="AY32" s="345"/>
      <c r="AZ32" s="1098"/>
      <c r="BA32" s="345"/>
      <c r="BB32" s="1120"/>
      <c r="BC32" s="347"/>
      <c r="BD32" s="348"/>
      <c r="BE32" s="349"/>
      <c r="BF32" s="348"/>
      <c r="BG32" s="349">
        <v>24246.68</v>
      </c>
      <c r="BH32" s="350"/>
      <c r="BI32" s="351"/>
      <c r="BJ32" s="352"/>
      <c r="BK32" s="337">
        <v>36990</v>
      </c>
      <c r="BL32" s="352"/>
      <c r="BM32" s="337"/>
      <c r="BN32" s="353"/>
      <c r="BO32" s="354"/>
      <c r="BP32" s="355"/>
      <c r="BQ32" s="356"/>
      <c r="BR32" s="355"/>
      <c r="BS32" s="356"/>
      <c r="BT32" s="357"/>
    </row>
    <row r="33" spans="1:74" s="378" customFormat="1" ht="31.5">
      <c r="A33" s="287">
        <v>23</v>
      </c>
      <c r="B33" s="933"/>
      <c r="C33" s="850"/>
      <c r="D33" s="1181" t="s">
        <v>227</v>
      </c>
      <c r="E33" s="852" t="s">
        <v>201</v>
      </c>
      <c r="F33" s="824" t="s">
        <v>7</v>
      </c>
      <c r="G33" s="376">
        <v>4</v>
      </c>
      <c r="H33" s="375" t="s">
        <v>225</v>
      </c>
      <c r="I33" s="376">
        <v>111</v>
      </c>
      <c r="J33" s="377">
        <v>211</v>
      </c>
      <c r="K33" s="531" t="s">
        <v>222</v>
      </c>
      <c r="L33" s="1024">
        <v>13843.45</v>
      </c>
      <c r="M33" s="247"/>
      <c r="N33" s="247"/>
      <c r="O33" s="1060">
        <f t="shared" si="21"/>
        <v>13843.45</v>
      </c>
      <c r="P33" s="558"/>
      <c r="Q33" s="382"/>
      <c r="R33" s="558"/>
      <c r="S33" s="382"/>
      <c r="T33" s="558"/>
      <c r="U33" s="380"/>
      <c r="V33" s="381"/>
      <c r="W33" s="381"/>
      <c r="X33" s="381"/>
      <c r="Z33" s="382">
        <f t="shared" si="6"/>
        <v>0</v>
      </c>
      <c r="AA33" s="247">
        <f t="shared" si="6"/>
        <v>0</v>
      </c>
      <c r="AB33" s="383">
        <f t="shared" si="7"/>
        <v>0</v>
      </c>
      <c r="AC33" s="382">
        <f t="shared" si="8"/>
        <v>0</v>
      </c>
      <c r="AD33" s="247">
        <f t="shared" si="8"/>
        <v>0</v>
      </c>
      <c r="AE33" s="383">
        <f t="shared" si="9"/>
        <v>0</v>
      </c>
      <c r="AF33" s="382">
        <f t="shared" si="10"/>
        <v>0</v>
      </c>
      <c r="AG33" s="247">
        <f t="shared" si="10"/>
        <v>0</v>
      </c>
      <c r="AH33" s="383">
        <f t="shared" si="11"/>
        <v>0</v>
      </c>
      <c r="AI33" s="382">
        <f t="shared" si="12"/>
        <v>0</v>
      </c>
      <c r="AJ33" s="247">
        <f t="shared" si="12"/>
        <v>0</v>
      </c>
      <c r="AK33" s="383">
        <f t="shared" si="13"/>
        <v>0</v>
      </c>
      <c r="AL33" s="250"/>
      <c r="AM33" s="382">
        <f t="shared" si="14"/>
        <v>0</v>
      </c>
      <c r="AN33" s="247">
        <f t="shared" si="14"/>
        <v>0</v>
      </c>
      <c r="AO33" s="383">
        <f t="shared" si="15"/>
        <v>0</v>
      </c>
      <c r="AP33" s="382">
        <f t="shared" si="16"/>
        <v>0</v>
      </c>
      <c r="AQ33" s="247">
        <f t="shared" si="16"/>
        <v>0</v>
      </c>
      <c r="AR33" s="383">
        <f t="shared" si="17"/>
        <v>0</v>
      </c>
      <c r="AS33" s="382">
        <f t="shared" si="22"/>
        <v>0</v>
      </c>
      <c r="AT33" s="247">
        <f t="shared" si="18"/>
        <v>0</v>
      </c>
      <c r="AU33" s="383">
        <f t="shared" si="19"/>
        <v>0</v>
      </c>
      <c r="AV33" s="1251">
        <f t="shared" si="20"/>
        <v>13843.45</v>
      </c>
      <c r="AW33" s="382"/>
      <c r="AX33" s="1105"/>
      <c r="AY33" s="247"/>
      <c r="AZ33" s="1105"/>
      <c r="BA33" s="247"/>
      <c r="BB33" s="1124"/>
      <c r="BC33" s="382"/>
      <c r="BD33" s="247"/>
      <c r="BE33" s="247"/>
      <c r="BF33" s="247"/>
      <c r="BG33" s="247"/>
      <c r="BH33" s="384"/>
      <c r="BI33" s="382"/>
      <c r="BJ33" s="247"/>
      <c r="BK33" s="247"/>
      <c r="BL33" s="247"/>
      <c r="BM33" s="247"/>
      <c r="BN33" s="384"/>
      <c r="BO33" s="382"/>
      <c r="BP33" s="247"/>
      <c r="BQ33" s="247"/>
      <c r="BR33" s="247"/>
      <c r="BS33" s="247"/>
      <c r="BT33" s="383"/>
      <c r="BV33" s="378" t="s">
        <v>197</v>
      </c>
    </row>
    <row r="34" spans="1:74" s="358" customFormat="1" ht="31.5">
      <c r="A34" s="287">
        <v>24</v>
      </c>
      <c r="B34" s="933"/>
      <c r="C34" s="837"/>
      <c r="D34" s="1180" t="s">
        <v>227</v>
      </c>
      <c r="E34" s="836" t="s">
        <v>201</v>
      </c>
      <c r="F34" s="820" t="s">
        <v>7</v>
      </c>
      <c r="G34" s="360">
        <v>4</v>
      </c>
      <c r="H34" s="360" t="s">
        <v>224</v>
      </c>
      <c r="I34" s="360">
        <v>119</v>
      </c>
      <c r="J34" s="361">
        <v>213</v>
      </c>
      <c r="K34" s="532" t="s">
        <v>223</v>
      </c>
      <c r="L34" s="1023">
        <v>4180.7299999999996</v>
      </c>
      <c r="M34" s="363"/>
      <c r="N34" s="363"/>
      <c r="O34" s="1051">
        <f t="shared" si="21"/>
        <v>4180.7299999999996</v>
      </c>
      <c r="P34" s="557"/>
      <c r="Q34" s="367"/>
      <c r="R34" s="557"/>
      <c r="S34" s="367"/>
      <c r="T34" s="557"/>
      <c r="U34" s="365"/>
      <c r="V34" s="366"/>
      <c r="W34" s="366"/>
      <c r="X34" s="366"/>
      <c r="Z34" s="367">
        <f t="shared" si="6"/>
        <v>0</v>
      </c>
      <c r="AA34" s="363">
        <f t="shared" si="6"/>
        <v>0</v>
      </c>
      <c r="AB34" s="280">
        <f t="shared" si="7"/>
        <v>0</v>
      </c>
      <c r="AC34" s="367">
        <f t="shared" si="8"/>
        <v>0</v>
      </c>
      <c r="AD34" s="363">
        <f t="shared" si="8"/>
        <v>0</v>
      </c>
      <c r="AE34" s="280">
        <f t="shared" si="9"/>
        <v>0</v>
      </c>
      <c r="AF34" s="367">
        <f t="shared" si="10"/>
        <v>0</v>
      </c>
      <c r="AG34" s="363">
        <f t="shared" si="10"/>
        <v>0</v>
      </c>
      <c r="AH34" s="280">
        <f t="shared" si="11"/>
        <v>0</v>
      </c>
      <c r="AI34" s="367">
        <f t="shared" si="12"/>
        <v>0</v>
      </c>
      <c r="AJ34" s="363">
        <f t="shared" si="12"/>
        <v>0</v>
      </c>
      <c r="AK34" s="280">
        <f t="shared" si="13"/>
        <v>0</v>
      </c>
      <c r="AL34" s="368"/>
      <c r="AM34" s="367">
        <f t="shared" si="14"/>
        <v>0</v>
      </c>
      <c r="AN34" s="363">
        <f t="shared" si="14"/>
        <v>0</v>
      </c>
      <c r="AO34" s="280">
        <f t="shared" si="15"/>
        <v>0</v>
      </c>
      <c r="AP34" s="367">
        <f t="shared" si="16"/>
        <v>0</v>
      </c>
      <c r="AQ34" s="363">
        <f t="shared" si="16"/>
        <v>0</v>
      </c>
      <c r="AR34" s="280">
        <f t="shared" si="17"/>
        <v>0</v>
      </c>
      <c r="AS34" s="367">
        <f t="shared" si="22"/>
        <v>0</v>
      </c>
      <c r="AT34" s="363">
        <f t="shared" si="18"/>
        <v>0</v>
      </c>
      <c r="AU34" s="280">
        <f t="shared" si="19"/>
        <v>0</v>
      </c>
      <c r="AV34" s="1253">
        <f t="shared" si="20"/>
        <v>4180.7299999999996</v>
      </c>
      <c r="AW34" s="367"/>
      <c r="AX34" s="1097"/>
      <c r="AY34" s="363"/>
      <c r="AZ34" s="1097"/>
      <c r="BA34" s="363"/>
      <c r="BB34" s="1119"/>
      <c r="BC34" s="367"/>
      <c r="BD34" s="363"/>
      <c r="BE34" s="363"/>
      <c r="BF34" s="363"/>
      <c r="BG34" s="363"/>
      <c r="BH34" s="369"/>
      <c r="BI34" s="367"/>
      <c r="BJ34" s="363"/>
      <c r="BK34" s="363"/>
      <c r="BL34" s="363"/>
      <c r="BM34" s="363"/>
      <c r="BN34" s="369"/>
      <c r="BO34" s="367"/>
      <c r="BP34" s="363"/>
      <c r="BQ34" s="363"/>
      <c r="BR34" s="363"/>
      <c r="BS34" s="363"/>
      <c r="BT34" s="280"/>
      <c r="BV34" s="358" t="s">
        <v>197</v>
      </c>
    </row>
    <row r="35" spans="1:74" s="358" customFormat="1" ht="31.5">
      <c r="A35" s="287">
        <v>25</v>
      </c>
      <c r="B35" s="1151"/>
      <c r="C35" s="850" t="s">
        <v>377</v>
      </c>
      <c r="D35" s="838"/>
      <c r="E35" s="836" t="s">
        <v>201</v>
      </c>
      <c r="F35" s="820" t="s">
        <v>7</v>
      </c>
      <c r="G35" s="360">
        <v>4</v>
      </c>
      <c r="H35" s="360" t="s">
        <v>71</v>
      </c>
      <c r="I35" s="360">
        <v>112</v>
      </c>
      <c r="J35" s="361">
        <v>214</v>
      </c>
      <c r="K35" s="532" t="s">
        <v>35</v>
      </c>
      <c r="L35" s="1023">
        <f>SUM(L36:L37)</f>
        <v>1442073.12</v>
      </c>
      <c r="M35" s="363"/>
      <c r="N35" s="363">
        <f>SUM(N36:N37)</f>
        <v>0</v>
      </c>
      <c r="O35" s="1051">
        <f t="shared" si="21"/>
        <v>1442073.12</v>
      </c>
      <c r="P35" s="557"/>
      <c r="Q35" s="367">
        <f>SUM(Q36:Q37)</f>
        <v>900000</v>
      </c>
      <c r="R35" s="557"/>
      <c r="S35" s="367">
        <f>SUM(S36:S37)</f>
        <v>1000000</v>
      </c>
      <c r="T35" s="557"/>
      <c r="U35" s="365"/>
      <c r="V35" s="366"/>
      <c r="W35" s="366"/>
      <c r="X35" s="366"/>
      <c r="Z35" s="367">
        <f t="shared" si="6"/>
        <v>0</v>
      </c>
      <c r="AA35" s="363">
        <f t="shared" si="6"/>
        <v>0</v>
      </c>
      <c r="AB35" s="280">
        <f t="shared" si="7"/>
        <v>0</v>
      </c>
      <c r="AC35" s="367">
        <f t="shared" si="8"/>
        <v>800000</v>
      </c>
      <c r="AD35" s="363">
        <f t="shared" si="8"/>
        <v>0</v>
      </c>
      <c r="AE35" s="280">
        <f t="shared" si="9"/>
        <v>800000</v>
      </c>
      <c r="AF35" s="367">
        <f t="shared" si="10"/>
        <v>193266</v>
      </c>
      <c r="AG35" s="363">
        <f t="shared" si="10"/>
        <v>0</v>
      </c>
      <c r="AH35" s="280">
        <f t="shared" si="11"/>
        <v>193266</v>
      </c>
      <c r="AI35" s="367">
        <f t="shared" si="12"/>
        <v>8926</v>
      </c>
      <c r="AJ35" s="363">
        <f t="shared" si="12"/>
        <v>0</v>
      </c>
      <c r="AK35" s="280">
        <f t="shared" si="13"/>
        <v>8926</v>
      </c>
      <c r="AL35" s="368"/>
      <c r="AM35" s="367">
        <f t="shared" si="14"/>
        <v>800000</v>
      </c>
      <c r="AN35" s="363">
        <f t="shared" si="14"/>
        <v>0</v>
      </c>
      <c r="AO35" s="280">
        <f t="shared" si="15"/>
        <v>800000</v>
      </c>
      <c r="AP35" s="367">
        <f t="shared" si="16"/>
        <v>993266</v>
      </c>
      <c r="AQ35" s="363">
        <f t="shared" si="16"/>
        <v>0</v>
      </c>
      <c r="AR35" s="280">
        <f t="shared" si="17"/>
        <v>993266</v>
      </c>
      <c r="AS35" s="367">
        <f t="shared" si="22"/>
        <v>1002192</v>
      </c>
      <c r="AT35" s="363">
        <f t="shared" si="18"/>
        <v>0</v>
      </c>
      <c r="AU35" s="280">
        <f t="shared" si="19"/>
        <v>1002192</v>
      </c>
      <c r="AV35" s="1253">
        <f t="shared" si="20"/>
        <v>439881.12</v>
      </c>
      <c r="AW35" s="367">
        <f t="shared" ref="AW35:BS35" si="28">SUM(AW36:AW37)</f>
        <v>0</v>
      </c>
      <c r="AX35" s="1097">
        <f t="shared" si="28"/>
        <v>0</v>
      </c>
      <c r="AY35" s="363">
        <f t="shared" si="28"/>
        <v>0</v>
      </c>
      <c r="AZ35" s="1097">
        <f t="shared" si="28"/>
        <v>0</v>
      </c>
      <c r="BA35" s="363">
        <f t="shared" si="28"/>
        <v>0</v>
      </c>
      <c r="BB35" s="1119">
        <f t="shared" si="28"/>
        <v>0</v>
      </c>
      <c r="BC35" s="367">
        <f t="shared" si="28"/>
        <v>0</v>
      </c>
      <c r="BD35" s="363">
        <f t="shared" si="28"/>
        <v>0</v>
      </c>
      <c r="BE35" s="363">
        <f t="shared" si="28"/>
        <v>0</v>
      </c>
      <c r="BF35" s="363">
        <f t="shared" si="28"/>
        <v>0</v>
      </c>
      <c r="BG35" s="363">
        <f t="shared" si="28"/>
        <v>800000</v>
      </c>
      <c r="BH35" s="369">
        <f t="shared" si="28"/>
        <v>0</v>
      </c>
      <c r="BI35" s="367">
        <f t="shared" si="28"/>
        <v>0</v>
      </c>
      <c r="BJ35" s="363">
        <f t="shared" si="28"/>
        <v>0</v>
      </c>
      <c r="BK35" s="363">
        <f t="shared" si="28"/>
        <v>193266</v>
      </c>
      <c r="BL35" s="363">
        <f t="shared" si="28"/>
        <v>0</v>
      </c>
      <c r="BM35" s="363">
        <f t="shared" si="28"/>
        <v>0</v>
      </c>
      <c r="BN35" s="369">
        <f t="shared" si="28"/>
        <v>0</v>
      </c>
      <c r="BO35" s="367">
        <f t="shared" si="28"/>
        <v>8926</v>
      </c>
      <c r="BP35" s="363">
        <f t="shared" si="28"/>
        <v>0</v>
      </c>
      <c r="BQ35" s="363">
        <f t="shared" si="28"/>
        <v>0</v>
      </c>
      <c r="BR35" s="363">
        <f t="shared" si="28"/>
        <v>0</v>
      </c>
      <c r="BS35" s="363">
        <f t="shared" si="28"/>
        <v>0</v>
      </c>
      <c r="BT35" s="280"/>
    </row>
    <row r="36" spans="1:74" s="313" customFormat="1" ht="76.5">
      <c r="A36" s="287">
        <v>26</v>
      </c>
      <c r="B36" s="935"/>
      <c r="C36" s="840"/>
      <c r="D36" s="841"/>
      <c r="E36" s="839"/>
      <c r="F36" s="821" t="s">
        <v>7</v>
      </c>
      <c r="G36" s="314">
        <v>4</v>
      </c>
      <c r="H36" s="739" t="s">
        <v>71</v>
      </c>
      <c r="I36" s="739">
        <v>112</v>
      </c>
      <c r="J36" s="740">
        <v>214</v>
      </c>
      <c r="K36" s="317" t="s">
        <v>844</v>
      </c>
      <c r="L36" s="1013">
        <v>1435066.72</v>
      </c>
      <c r="M36" s="318"/>
      <c r="N36" s="318"/>
      <c r="O36" s="1052">
        <f t="shared" si="21"/>
        <v>1435066.72</v>
      </c>
      <c r="P36" s="329"/>
      <c r="Q36" s="319">
        <v>900000</v>
      </c>
      <c r="R36" s="329"/>
      <c r="S36" s="319">
        <v>1000000</v>
      </c>
      <c r="T36" s="329"/>
      <c r="U36" s="335"/>
      <c r="V36" s="596" t="s">
        <v>863</v>
      </c>
      <c r="W36" s="320"/>
      <c r="X36" s="320"/>
      <c r="Z36" s="336">
        <f>AW36+AY36+BA36</f>
        <v>0</v>
      </c>
      <c r="AA36" s="337">
        <f>AX36+AZ36+BB36</f>
        <v>0</v>
      </c>
      <c r="AB36" s="338">
        <f>Z36-AA36</f>
        <v>0</v>
      </c>
      <c r="AC36" s="336">
        <f>BC36+BE36+BG36</f>
        <v>792993.6</v>
      </c>
      <c r="AD36" s="337">
        <f>BD36+BF36+BH36</f>
        <v>0</v>
      </c>
      <c r="AE36" s="338">
        <f>AC36-AD36</f>
        <v>792993.6</v>
      </c>
      <c r="AF36" s="336">
        <f>BI36+BK36+BM36</f>
        <v>193266</v>
      </c>
      <c r="AG36" s="337">
        <f>BJ36+BL36+BN36</f>
        <v>0</v>
      </c>
      <c r="AH36" s="338">
        <f>AF36-AG36</f>
        <v>193266</v>
      </c>
      <c r="AI36" s="336">
        <f>BO36+BQ36+BS36</f>
        <v>8926</v>
      </c>
      <c r="AJ36" s="337">
        <f>BP36+BR36+BT36</f>
        <v>0</v>
      </c>
      <c r="AK36" s="338">
        <f>AI36-AJ36</f>
        <v>8926</v>
      </c>
      <c r="AL36" s="342"/>
      <c r="AM36" s="336">
        <f>Z36+AC36</f>
        <v>792993.6</v>
      </c>
      <c r="AN36" s="339">
        <f>AA36+AD36</f>
        <v>0</v>
      </c>
      <c r="AO36" s="340">
        <f>AM36-AN36</f>
        <v>792993.6</v>
      </c>
      <c r="AP36" s="336">
        <f>Z36+AC36+AF36</f>
        <v>986259.6</v>
      </c>
      <c r="AQ36" s="339">
        <f>AA36+AD36+AG36</f>
        <v>0</v>
      </c>
      <c r="AR36" s="340">
        <f>AP36-AQ36</f>
        <v>986259.6</v>
      </c>
      <c r="AS36" s="341">
        <f>Z36+AC36+AF36+AI36</f>
        <v>995185.6</v>
      </c>
      <c r="AT36" s="339">
        <f>AA36+AD36+AG36+AJ36</f>
        <v>0</v>
      </c>
      <c r="AU36" s="340">
        <f>AS36-AT36</f>
        <v>995185.6</v>
      </c>
      <c r="AV36" s="1255">
        <f t="shared" si="20"/>
        <v>439881.12</v>
      </c>
      <c r="AW36" s="343"/>
      <c r="AX36" s="1098"/>
      <c r="AY36" s="345"/>
      <c r="AZ36" s="1098"/>
      <c r="BA36" s="345"/>
      <c r="BB36" s="1120"/>
      <c r="BC36" s="347"/>
      <c r="BD36" s="348"/>
      <c r="BE36" s="349"/>
      <c r="BF36" s="348"/>
      <c r="BG36" s="349">
        <v>792993.6</v>
      </c>
      <c r="BH36" s="350"/>
      <c r="BI36" s="351"/>
      <c r="BJ36" s="352"/>
      <c r="BK36" s="337">
        <f>200000-6734</f>
        <v>193266</v>
      </c>
      <c r="BL36" s="352"/>
      <c r="BM36" s="337"/>
      <c r="BN36" s="353"/>
      <c r="BO36" s="1138">
        <v>8926</v>
      </c>
      <c r="BP36" s="355"/>
      <c r="BQ36" s="356"/>
      <c r="BR36" s="355"/>
      <c r="BS36" s="356"/>
      <c r="BT36" s="357"/>
    </row>
    <row r="37" spans="1:74" s="313" customFormat="1" ht="25.5">
      <c r="A37" s="287">
        <v>27</v>
      </c>
      <c r="B37" s="935"/>
      <c r="C37" s="840"/>
      <c r="D37" s="841"/>
      <c r="E37" s="839"/>
      <c r="F37" s="821" t="s">
        <v>7</v>
      </c>
      <c r="G37" s="314">
        <v>4</v>
      </c>
      <c r="H37" s="739" t="s">
        <v>71</v>
      </c>
      <c r="I37" s="739">
        <v>112</v>
      </c>
      <c r="J37" s="740">
        <v>214</v>
      </c>
      <c r="K37" s="317" t="s">
        <v>843</v>
      </c>
      <c r="L37" s="1013">
        <v>7006.4</v>
      </c>
      <c r="M37" s="318"/>
      <c r="N37" s="318"/>
      <c r="O37" s="1052">
        <f t="shared" si="21"/>
        <v>7006.4</v>
      </c>
      <c r="P37" s="329"/>
      <c r="Q37" s="319">
        <v>0</v>
      </c>
      <c r="R37" s="329"/>
      <c r="S37" s="319">
        <v>0</v>
      </c>
      <c r="T37" s="329"/>
      <c r="U37" s="335"/>
      <c r="V37" s="596" t="s">
        <v>845</v>
      </c>
      <c r="W37" s="320"/>
      <c r="X37" s="320"/>
      <c r="Z37" s="336">
        <f>AW37+AY37+BA37</f>
        <v>0</v>
      </c>
      <c r="AA37" s="337">
        <f>AX37+AZ37+BB37</f>
        <v>0</v>
      </c>
      <c r="AB37" s="338">
        <f>Z37-AA37</f>
        <v>0</v>
      </c>
      <c r="AC37" s="336">
        <f>BC37+BE37+BG37</f>
        <v>7006.4</v>
      </c>
      <c r="AD37" s="337">
        <f>BD37+BF37+BH37</f>
        <v>0</v>
      </c>
      <c r="AE37" s="338">
        <f>AC37-AD37</f>
        <v>7006.4</v>
      </c>
      <c r="AF37" s="336">
        <f>BI37+BK37+BM37</f>
        <v>0</v>
      </c>
      <c r="AG37" s="337">
        <f>BJ37+BL37+BN37</f>
        <v>0</v>
      </c>
      <c r="AH37" s="338">
        <f>AF37-AG37</f>
        <v>0</v>
      </c>
      <c r="AI37" s="336">
        <f>BO37+BQ37+BS37</f>
        <v>0</v>
      </c>
      <c r="AJ37" s="337">
        <f>BP37+BR37+BT37</f>
        <v>0</v>
      </c>
      <c r="AK37" s="338">
        <f>AI37-AJ37</f>
        <v>0</v>
      </c>
      <c r="AL37" s="342"/>
      <c r="AM37" s="336">
        <f>Z37+AC37</f>
        <v>7006.4</v>
      </c>
      <c r="AN37" s="339">
        <f>AA37+AD37</f>
        <v>0</v>
      </c>
      <c r="AO37" s="340">
        <f>AM37-AN37</f>
        <v>7006.4</v>
      </c>
      <c r="AP37" s="336">
        <f>Z37+AC37+AF37</f>
        <v>7006.4</v>
      </c>
      <c r="AQ37" s="339">
        <f>AA37+AD37+AG37</f>
        <v>0</v>
      </c>
      <c r="AR37" s="340">
        <f>AP37-AQ37</f>
        <v>7006.4</v>
      </c>
      <c r="AS37" s="341">
        <f>Z37+AC37+AF37+AI37</f>
        <v>7006.4</v>
      </c>
      <c r="AT37" s="339">
        <f>AA37+AD37+AG37+AJ37</f>
        <v>0</v>
      </c>
      <c r="AU37" s="340">
        <f>AS37-AT37</f>
        <v>7006.4</v>
      </c>
      <c r="AV37" s="1255">
        <f t="shared" si="20"/>
        <v>0</v>
      </c>
      <c r="AW37" s="343"/>
      <c r="AX37" s="1098"/>
      <c r="AY37" s="345"/>
      <c r="AZ37" s="1098"/>
      <c r="BA37" s="345"/>
      <c r="BB37" s="1120"/>
      <c r="BC37" s="347"/>
      <c r="BD37" s="348"/>
      <c r="BE37" s="349"/>
      <c r="BF37" s="348"/>
      <c r="BG37" s="349">
        <v>7006.4</v>
      </c>
      <c r="BH37" s="350"/>
      <c r="BI37" s="351"/>
      <c r="BJ37" s="352"/>
      <c r="BK37" s="337"/>
      <c r="BL37" s="352"/>
      <c r="BM37" s="337"/>
      <c r="BN37" s="353"/>
      <c r="BO37" s="354"/>
      <c r="BP37" s="355"/>
      <c r="BQ37" s="356"/>
      <c r="BR37" s="355"/>
      <c r="BS37" s="356"/>
      <c r="BT37" s="357"/>
    </row>
    <row r="38" spans="1:74" s="358" customFormat="1" ht="47.25">
      <c r="A38" s="287">
        <v>28</v>
      </c>
      <c r="B38" s="933"/>
      <c r="C38" s="837"/>
      <c r="D38" s="838"/>
      <c r="E38" s="836" t="s">
        <v>201</v>
      </c>
      <c r="F38" s="820" t="s">
        <v>7</v>
      </c>
      <c r="G38" s="360">
        <v>4</v>
      </c>
      <c r="H38" s="360" t="s">
        <v>71</v>
      </c>
      <c r="I38" s="360">
        <v>112</v>
      </c>
      <c r="J38" s="361">
        <v>266</v>
      </c>
      <c r="K38" s="532" t="s">
        <v>220</v>
      </c>
      <c r="L38" s="1023">
        <f>3060</f>
        <v>3060</v>
      </c>
      <c r="M38" s="363"/>
      <c r="N38" s="363"/>
      <c r="O38" s="1051">
        <f t="shared" si="21"/>
        <v>3060</v>
      </c>
      <c r="P38" s="557"/>
      <c r="Q38" s="367">
        <v>1105</v>
      </c>
      <c r="R38" s="557"/>
      <c r="S38" s="367">
        <v>0</v>
      </c>
      <c r="T38" s="557"/>
      <c r="U38" s="365"/>
      <c r="V38" s="366"/>
      <c r="W38" s="366"/>
      <c r="X38" s="366"/>
      <c r="Z38" s="367">
        <f t="shared" si="6"/>
        <v>510</v>
      </c>
      <c r="AA38" s="363">
        <f t="shared" si="6"/>
        <v>300</v>
      </c>
      <c r="AB38" s="280">
        <f t="shared" si="7"/>
        <v>210</v>
      </c>
      <c r="AC38" s="367">
        <f t="shared" si="8"/>
        <v>765</v>
      </c>
      <c r="AD38" s="363">
        <f t="shared" si="8"/>
        <v>0</v>
      </c>
      <c r="AE38" s="280">
        <f t="shared" si="9"/>
        <v>765</v>
      </c>
      <c r="AF38" s="367">
        <f t="shared" si="10"/>
        <v>765</v>
      </c>
      <c r="AG38" s="363">
        <f t="shared" si="10"/>
        <v>0</v>
      </c>
      <c r="AH38" s="280">
        <f t="shared" si="11"/>
        <v>765</v>
      </c>
      <c r="AI38" s="367">
        <f t="shared" si="12"/>
        <v>1020</v>
      </c>
      <c r="AJ38" s="363">
        <f t="shared" si="12"/>
        <v>0</v>
      </c>
      <c r="AK38" s="280">
        <f t="shared" si="13"/>
        <v>1020</v>
      </c>
      <c r="AL38" s="368"/>
      <c r="AM38" s="367">
        <f t="shared" si="14"/>
        <v>1275</v>
      </c>
      <c r="AN38" s="363">
        <f t="shared" si="14"/>
        <v>300</v>
      </c>
      <c r="AO38" s="280">
        <f t="shared" si="15"/>
        <v>975</v>
      </c>
      <c r="AP38" s="367">
        <f t="shared" si="16"/>
        <v>2040</v>
      </c>
      <c r="AQ38" s="363">
        <f t="shared" si="16"/>
        <v>300</v>
      </c>
      <c r="AR38" s="280">
        <f t="shared" si="17"/>
        <v>1740</v>
      </c>
      <c r="AS38" s="367">
        <f t="shared" si="22"/>
        <v>3060</v>
      </c>
      <c r="AT38" s="363">
        <f t="shared" si="18"/>
        <v>300</v>
      </c>
      <c r="AU38" s="280">
        <f t="shared" si="19"/>
        <v>2760</v>
      </c>
      <c r="AV38" s="1253">
        <f t="shared" si="20"/>
        <v>0</v>
      </c>
      <c r="AW38" s="367"/>
      <c r="AX38" s="1097"/>
      <c r="AY38" s="363">
        <f>3*85</f>
        <v>255</v>
      </c>
      <c r="AZ38" s="1097">
        <v>150</v>
      </c>
      <c r="BA38" s="363">
        <f>3*85</f>
        <v>255</v>
      </c>
      <c r="BB38" s="1119">
        <v>150</v>
      </c>
      <c r="BC38" s="367">
        <f>3*85</f>
        <v>255</v>
      </c>
      <c r="BD38" s="363"/>
      <c r="BE38" s="363">
        <f>3*85</f>
        <v>255</v>
      </c>
      <c r="BF38" s="363"/>
      <c r="BG38" s="363">
        <f>3*85</f>
        <v>255</v>
      </c>
      <c r="BH38" s="369"/>
      <c r="BI38" s="367">
        <f>3*85</f>
        <v>255</v>
      </c>
      <c r="BJ38" s="363"/>
      <c r="BK38" s="363">
        <f>3*85</f>
        <v>255</v>
      </c>
      <c r="BL38" s="363"/>
      <c r="BM38" s="363">
        <f>3*85</f>
        <v>255</v>
      </c>
      <c r="BN38" s="369"/>
      <c r="BO38" s="367">
        <f>3*85</f>
        <v>255</v>
      </c>
      <c r="BP38" s="363"/>
      <c r="BQ38" s="363">
        <f>3*85</f>
        <v>255</v>
      </c>
      <c r="BR38" s="363"/>
      <c r="BS38" s="363">
        <f>3*85*2</f>
        <v>510</v>
      </c>
      <c r="BT38" s="280"/>
    </row>
    <row r="39" spans="1:74" s="358" customFormat="1" ht="31.5" customHeight="1">
      <c r="A39" s="287">
        <v>29</v>
      </c>
      <c r="B39" s="933"/>
      <c r="C39" s="850" t="s">
        <v>377</v>
      </c>
      <c r="D39" s="838"/>
      <c r="E39" s="836" t="s">
        <v>201</v>
      </c>
      <c r="F39" s="820" t="s">
        <v>7</v>
      </c>
      <c r="G39" s="360">
        <v>4</v>
      </c>
      <c r="H39" s="360" t="s">
        <v>71</v>
      </c>
      <c r="I39" s="360">
        <v>244</v>
      </c>
      <c r="J39" s="361">
        <v>221</v>
      </c>
      <c r="K39" s="532" t="s">
        <v>11</v>
      </c>
      <c r="L39" s="1023">
        <f>SUM(L40:L44)</f>
        <v>196510.7</v>
      </c>
      <c r="M39" s="363"/>
      <c r="N39" s="363"/>
      <c r="O39" s="1051">
        <f t="shared" si="21"/>
        <v>196510.7</v>
      </c>
      <c r="P39" s="557"/>
      <c r="Q39" s="367">
        <f>SUM(Q40:Q44)</f>
        <v>196510.72</v>
      </c>
      <c r="R39" s="557"/>
      <c r="S39" s="367">
        <f t="shared" ref="S39" si="29">SUM(S40:S44)</f>
        <v>197767.89</v>
      </c>
      <c r="T39" s="557"/>
      <c r="U39" s="365"/>
      <c r="V39" s="366"/>
      <c r="W39" s="366"/>
      <c r="X39" s="366"/>
      <c r="Z39" s="367">
        <f t="shared" si="6"/>
        <v>35716.83</v>
      </c>
      <c r="AA39" s="363">
        <f t="shared" si="6"/>
        <v>36413.230000000003</v>
      </c>
      <c r="AB39" s="280">
        <f t="shared" si="7"/>
        <v>-696.4</v>
      </c>
      <c r="AC39" s="367">
        <f t="shared" si="8"/>
        <v>52694.8</v>
      </c>
      <c r="AD39" s="363">
        <f t="shared" si="8"/>
        <v>52194.8</v>
      </c>
      <c r="AE39" s="280">
        <f t="shared" si="9"/>
        <v>500</v>
      </c>
      <c r="AF39" s="367">
        <f t="shared" si="10"/>
        <v>52423.22</v>
      </c>
      <c r="AG39" s="363">
        <f t="shared" si="10"/>
        <v>52192.52</v>
      </c>
      <c r="AH39" s="280">
        <f t="shared" si="11"/>
        <v>230.7</v>
      </c>
      <c r="AI39" s="367">
        <f t="shared" si="12"/>
        <v>55684.46</v>
      </c>
      <c r="AJ39" s="363">
        <f t="shared" si="12"/>
        <v>17407.3</v>
      </c>
      <c r="AK39" s="280">
        <f t="shared" si="13"/>
        <v>38277.160000000003</v>
      </c>
      <c r="AL39" s="368"/>
      <c r="AM39" s="367">
        <f t="shared" si="14"/>
        <v>88411.63</v>
      </c>
      <c r="AN39" s="363">
        <f t="shared" si="14"/>
        <v>88608.03</v>
      </c>
      <c r="AO39" s="280">
        <f t="shared" si="15"/>
        <v>-196.4</v>
      </c>
      <c r="AP39" s="367">
        <f t="shared" si="16"/>
        <v>140834.85</v>
      </c>
      <c r="AQ39" s="363">
        <f t="shared" si="16"/>
        <v>140800.54999999999</v>
      </c>
      <c r="AR39" s="280">
        <f t="shared" si="17"/>
        <v>34.299999999999997</v>
      </c>
      <c r="AS39" s="367">
        <f t="shared" si="22"/>
        <v>196519.31</v>
      </c>
      <c r="AT39" s="363">
        <f t="shared" si="18"/>
        <v>158207.85</v>
      </c>
      <c r="AU39" s="280">
        <f t="shared" si="19"/>
        <v>38311.46</v>
      </c>
      <c r="AV39" s="1253">
        <f t="shared" si="20"/>
        <v>-8.61</v>
      </c>
      <c r="AW39" s="367">
        <f t="shared" ref="AW39:BT39" si="30">SUM(AW40:AW44)</f>
        <v>0</v>
      </c>
      <c r="AX39" s="1097">
        <f t="shared" si="30"/>
        <v>0</v>
      </c>
      <c r="AY39" s="363">
        <f t="shared" si="30"/>
        <v>17790</v>
      </c>
      <c r="AZ39" s="1097">
        <f t="shared" si="30"/>
        <v>18778.900000000001</v>
      </c>
      <c r="BA39" s="363">
        <f t="shared" si="30"/>
        <v>17926.830000000002</v>
      </c>
      <c r="BB39" s="1119">
        <f t="shared" si="30"/>
        <v>17634.330000000002</v>
      </c>
      <c r="BC39" s="367">
        <f t="shared" si="30"/>
        <v>17405.59</v>
      </c>
      <c r="BD39" s="363">
        <f t="shared" si="30"/>
        <v>17405.59</v>
      </c>
      <c r="BE39" s="363">
        <f t="shared" si="30"/>
        <v>17890</v>
      </c>
      <c r="BF39" s="363">
        <f t="shared" si="30"/>
        <v>17390</v>
      </c>
      <c r="BG39" s="363">
        <f t="shared" si="30"/>
        <v>17399.21</v>
      </c>
      <c r="BH39" s="369">
        <f t="shared" si="30"/>
        <v>17399.21</v>
      </c>
      <c r="BI39" s="367">
        <f t="shared" si="30"/>
        <v>17629.13</v>
      </c>
      <c r="BJ39" s="363">
        <f t="shared" si="30"/>
        <v>17398.43</v>
      </c>
      <c r="BK39" s="363">
        <f t="shared" si="30"/>
        <v>17404.09</v>
      </c>
      <c r="BL39" s="363">
        <f t="shared" si="30"/>
        <v>17404.09</v>
      </c>
      <c r="BM39" s="363">
        <f t="shared" si="30"/>
        <v>17390</v>
      </c>
      <c r="BN39" s="369">
        <f t="shared" si="30"/>
        <v>17390</v>
      </c>
      <c r="BO39" s="367">
        <f t="shared" si="30"/>
        <v>17407.3</v>
      </c>
      <c r="BP39" s="363">
        <f t="shared" si="30"/>
        <v>17407.3</v>
      </c>
      <c r="BQ39" s="363">
        <f t="shared" si="30"/>
        <v>12640</v>
      </c>
      <c r="BR39" s="363">
        <f t="shared" si="30"/>
        <v>0</v>
      </c>
      <c r="BS39" s="363">
        <f t="shared" si="30"/>
        <v>25637.16</v>
      </c>
      <c r="BT39" s="280">
        <f t="shared" si="30"/>
        <v>0</v>
      </c>
    </row>
    <row r="40" spans="1:74" s="313" customFormat="1" ht="25.5" outlineLevel="1">
      <c r="A40" s="287">
        <v>30</v>
      </c>
      <c r="B40" s="933"/>
      <c r="C40" s="840"/>
      <c r="D40" s="841"/>
      <c r="E40" s="839"/>
      <c r="F40" s="821" t="s">
        <v>7</v>
      </c>
      <c r="G40" s="314">
        <v>4</v>
      </c>
      <c r="H40" s="739" t="s">
        <v>71</v>
      </c>
      <c r="I40" s="739">
        <v>244</v>
      </c>
      <c r="J40" s="740">
        <v>221</v>
      </c>
      <c r="K40" s="533" t="s">
        <v>236</v>
      </c>
      <c r="L40" s="1025">
        <f>2230.7-600</f>
        <v>1630.7</v>
      </c>
      <c r="M40" s="318"/>
      <c r="N40" s="318"/>
      <c r="O40" s="1052">
        <f t="shared" si="21"/>
        <v>1630.7</v>
      </c>
      <c r="P40" s="559"/>
      <c r="Q40" s="336">
        <v>2230.7199999999998</v>
      </c>
      <c r="R40" s="559"/>
      <c r="S40" s="336">
        <v>3487.89</v>
      </c>
      <c r="T40" s="559"/>
      <c r="U40" s="335"/>
      <c r="V40" s="320"/>
      <c r="W40" s="320"/>
      <c r="X40" s="320"/>
      <c r="Z40" s="336">
        <f t="shared" si="6"/>
        <v>900</v>
      </c>
      <c r="AA40" s="337">
        <f t="shared" si="6"/>
        <v>1596.4</v>
      </c>
      <c r="AB40" s="338">
        <f t="shared" si="7"/>
        <v>-696.4</v>
      </c>
      <c r="AC40" s="336">
        <f t="shared" si="8"/>
        <v>500</v>
      </c>
      <c r="AD40" s="337">
        <f t="shared" si="8"/>
        <v>0</v>
      </c>
      <c r="AE40" s="338">
        <f t="shared" si="9"/>
        <v>500</v>
      </c>
      <c r="AF40" s="336">
        <f t="shared" si="10"/>
        <v>230.7</v>
      </c>
      <c r="AG40" s="337">
        <f t="shared" si="10"/>
        <v>0</v>
      </c>
      <c r="AH40" s="338">
        <f t="shared" si="11"/>
        <v>230.7</v>
      </c>
      <c r="AI40" s="336">
        <f t="shared" si="12"/>
        <v>0</v>
      </c>
      <c r="AJ40" s="337">
        <f t="shared" si="12"/>
        <v>0</v>
      </c>
      <c r="AK40" s="338">
        <f t="shared" si="13"/>
        <v>0</v>
      </c>
      <c r="AL40" s="342"/>
      <c r="AM40" s="336">
        <f t="shared" si="14"/>
        <v>1400</v>
      </c>
      <c r="AN40" s="339">
        <f t="shared" si="14"/>
        <v>1596.4</v>
      </c>
      <c r="AO40" s="340">
        <f t="shared" si="15"/>
        <v>-196.4</v>
      </c>
      <c r="AP40" s="336">
        <f t="shared" si="16"/>
        <v>1630.7</v>
      </c>
      <c r="AQ40" s="339">
        <f t="shared" si="16"/>
        <v>1596.4</v>
      </c>
      <c r="AR40" s="340">
        <f t="shared" si="17"/>
        <v>34.299999999999997</v>
      </c>
      <c r="AS40" s="341">
        <f t="shared" si="22"/>
        <v>1630.7</v>
      </c>
      <c r="AT40" s="339">
        <f t="shared" si="18"/>
        <v>1596.4</v>
      </c>
      <c r="AU40" s="340">
        <f t="shared" si="19"/>
        <v>34.299999999999997</v>
      </c>
      <c r="AV40" s="1255">
        <f t="shared" si="20"/>
        <v>0</v>
      </c>
      <c r="AW40" s="343"/>
      <c r="AX40" s="1098"/>
      <c r="AY40" s="345">
        <v>400</v>
      </c>
      <c r="AZ40" s="1098">
        <v>1388.9</v>
      </c>
      <c r="BA40" s="345">
        <v>500</v>
      </c>
      <c r="BB40" s="1120">
        <v>207.5</v>
      </c>
      <c r="BC40" s="347"/>
      <c r="BD40" s="348"/>
      <c r="BE40" s="349">
        <v>500</v>
      </c>
      <c r="BF40" s="348"/>
      <c r="BG40" s="349"/>
      <c r="BH40" s="350"/>
      <c r="BI40" s="351">
        <v>230.7</v>
      </c>
      <c r="BJ40" s="352"/>
      <c r="BK40" s="337"/>
      <c r="BL40" s="352"/>
      <c r="BM40" s="337"/>
      <c r="BN40" s="353"/>
      <c r="BO40" s="354"/>
      <c r="BP40" s="355"/>
      <c r="BQ40" s="356"/>
      <c r="BR40" s="355"/>
      <c r="BS40" s="356"/>
      <c r="BT40" s="357"/>
    </row>
    <row r="41" spans="1:74" s="313" customFormat="1" ht="38.25" outlineLevel="1">
      <c r="A41" s="287">
        <v>31</v>
      </c>
      <c r="B41" s="933"/>
      <c r="C41" s="840"/>
      <c r="D41" s="841"/>
      <c r="E41" s="839"/>
      <c r="F41" s="821" t="s">
        <v>7</v>
      </c>
      <c r="G41" s="314">
        <v>4</v>
      </c>
      <c r="H41" s="739" t="s">
        <v>71</v>
      </c>
      <c r="I41" s="739">
        <v>244</v>
      </c>
      <c r="J41" s="740">
        <v>221</v>
      </c>
      <c r="K41" s="533" t="s">
        <v>422</v>
      </c>
      <c r="L41" s="1025">
        <v>63480</v>
      </c>
      <c r="M41" s="318"/>
      <c r="N41" s="318"/>
      <c r="O41" s="1052">
        <f t="shared" si="21"/>
        <v>63480</v>
      </c>
      <c r="P41" s="559"/>
      <c r="Q41" s="336">
        <v>63480</v>
      </c>
      <c r="R41" s="559"/>
      <c r="S41" s="336">
        <v>63480</v>
      </c>
      <c r="T41" s="559"/>
      <c r="U41" s="335"/>
      <c r="V41" s="596" t="s">
        <v>231</v>
      </c>
      <c r="W41" s="597" t="s">
        <v>423</v>
      </c>
      <c r="X41" s="597" t="s">
        <v>381</v>
      </c>
      <c r="Z41" s="336">
        <f t="shared" si="6"/>
        <v>10580</v>
      </c>
      <c r="AA41" s="337">
        <f t="shared" si="6"/>
        <v>10580</v>
      </c>
      <c r="AB41" s="338">
        <f t="shared" si="7"/>
        <v>0</v>
      </c>
      <c r="AC41" s="336">
        <f t="shared" si="8"/>
        <v>15870</v>
      </c>
      <c r="AD41" s="337">
        <f t="shared" si="8"/>
        <v>15870</v>
      </c>
      <c r="AE41" s="338">
        <f t="shared" si="9"/>
        <v>0</v>
      </c>
      <c r="AF41" s="336">
        <f t="shared" si="10"/>
        <v>15870</v>
      </c>
      <c r="AG41" s="337">
        <f t="shared" si="10"/>
        <v>15870</v>
      </c>
      <c r="AH41" s="338">
        <f t="shared" si="11"/>
        <v>0</v>
      </c>
      <c r="AI41" s="336">
        <f t="shared" si="12"/>
        <v>21160</v>
      </c>
      <c r="AJ41" s="337">
        <f t="shared" si="12"/>
        <v>5290</v>
      </c>
      <c r="AK41" s="338">
        <f t="shared" si="13"/>
        <v>15870</v>
      </c>
      <c r="AL41" s="342"/>
      <c r="AM41" s="336">
        <f t="shared" si="14"/>
        <v>26450</v>
      </c>
      <c r="AN41" s="339">
        <f t="shared" si="14"/>
        <v>26450</v>
      </c>
      <c r="AO41" s="340">
        <f t="shared" si="15"/>
        <v>0</v>
      </c>
      <c r="AP41" s="336">
        <f t="shared" si="16"/>
        <v>42320</v>
      </c>
      <c r="AQ41" s="339">
        <f t="shared" si="16"/>
        <v>42320</v>
      </c>
      <c r="AR41" s="340">
        <f t="shared" si="17"/>
        <v>0</v>
      </c>
      <c r="AS41" s="341">
        <f t="shared" si="22"/>
        <v>63480</v>
      </c>
      <c r="AT41" s="339">
        <f t="shared" si="18"/>
        <v>47610</v>
      </c>
      <c r="AU41" s="340">
        <f t="shared" si="19"/>
        <v>15870</v>
      </c>
      <c r="AV41" s="1255">
        <f t="shared" si="20"/>
        <v>0</v>
      </c>
      <c r="AW41" s="343"/>
      <c r="AX41" s="1098"/>
      <c r="AY41" s="1217">
        <v>5290</v>
      </c>
      <c r="AZ41" s="1218">
        <v>5290</v>
      </c>
      <c r="BA41" s="1217">
        <v>5290</v>
      </c>
      <c r="BB41" s="1219">
        <v>5290</v>
      </c>
      <c r="BC41" s="1220">
        <v>5290</v>
      </c>
      <c r="BD41" s="1221">
        <v>5290</v>
      </c>
      <c r="BE41" s="1222">
        <v>5290</v>
      </c>
      <c r="BF41" s="1221">
        <v>5290</v>
      </c>
      <c r="BG41" s="1222">
        <v>5290</v>
      </c>
      <c r="BH41" s="1223">
        <v>5290</v>
      </c>
      <c r="BI41" s="1224">
        <v>5290</v>
      </c>
      <c r="BJ41" s="1225">
        <v>5290</v>
      </c>
      <c r="BK41" s="1230">
        <v>5290</v>
      </c>
      <c r="BL41" s="1225">
        <v>5290</v>
      </c>
      <c r="BM41" s="1230">
        <v>5290</v>
      </c>
      <c r="BN41" s="1293">
        <v>5290</v>
      </c>
      <c r="BO41" s="1138">
        <v>5290</v>
      </c>
      <c r="BP41" s="355">
        <v>5290</v>
      </c>
      <c r="BQ41" s="356">
        <v>5290</v>
      </c>
      <c r="BR41" s="355"/>
      <c r="BS41" s="356">
        <f>5290*2</f>
        <v>10580</v>
      </c>
      <c r="BT41" s="357"/>
    </row>
    <row r="42" spans="1:74" s="313" customFormat="1" ht="38.25" outlineLevel="1">
      <c r="A42" s="287">
        <v>32</v>
      </c>
      <c r="B42" s="933"/>
      <c r="C42" s="840"/>
      <c r="D42" s="841"/>
      <c r="E42" s="839"/>
      <c r="F42" s="821" t="s">
        <v>7</v>
      </c>
      <c r="G42" s="314">
        <v>4</v>
      </c>
      <c r="H42" s="739" t="s">
        <v>71</v>
      </c>
      <c r="I42" s="739">
        <v>244</v>
      </c>
      <c r="J42" s="740">
        <v>221</v>
      </c>
      <c r="K42" s="533" t="s">
        <v>421</v>
      </c>
      <c r="L42" s="1025">
        <v>87600</v>
      </c>
      <c r="M42" s="318"/>
      <c r="N42" s="318"/>
      <c r="O42" s="1052">
        <f t="shared" si="21"/>
        <v>87600</v>
      </c>
      <c r="P42" s="559"/>
      <c r="Q42" s="336">
        <v>87600</v>
      </c>
      <c r="R42" s="559"/>
      <c r="S42" s="336">
        <v>87600</v>
      </c>
      <c r="T42" s="559"/>
      <c r="U42" s="335"/>
      <c r="V42" s="596" t="s">
        <v>231</v>
      </c>
      <c r="W42" s="597" t="s">
        <v>424</v>
      </c>
      <c r="X42" s="597" t="s">
        <v>381</v>
      </c>
      <c r="Z42" s="336">
        <f t="shared" si="6"/>
        <v>14600</v>
      </c>
      <c r="AA42" s="337">
        <f t="shared" si="6"/>
        <v>14600</v>
      </c>
      <c r="AB42" s="338">
        <f t="shared" si="7"/>
        <v>0</v>
      </c>
      <c r="AC42" s="336">
        <f t="shared" si="8"/>
        <v>21900</v>
      </c>
      <c r="AD42" s="337">
        <f t="shared" si="8"/>
        <v>21900</v>
      </c>
      <c r="AE42" s="338">
        <f t="shared" si="9"/>
        <v>0</v>
      </c>
      <c r="AF42" s="336">
        <f t="shared" si="10"/>
        <v>21900</v>
      </c>
      <c r="AG42" s="337">
        <f t="shared" si="10"/>
        <v>21900</v>
      </c>
      <c r="AH42" s="338">
        <f t="shared" si="11"/>
        <v>0</v>
      </c>
      <c r="AI42" s="336">
        <f t="shared" si="12"/>
        <v>29200</v>
      </c>
      <c r="AJ42" s="337">
        <f t="shared" si="12"/>
        <v>7300</v>
      </c>
      <c r="AK42" s="338">
        <f t="shared" si="13"/>
        <v>21900</v>
      </c>
      <c r="AL42" s="342"/>
      <c r="AM42" s="336">
        <f t="shared" si="14"/>
        <v>36500</v>
      </c>
      <c r="AN42" s="339">
        <f t="shared" si="14"/>
        <v>36500</v>
      </c>
      <c r="AO42" s="340">
        <f t="shared" si="15"/>
        <v>0</v>
      </c>
      <c r="AP42" s="336">
        <f t="shared" si="16"/>
        <v>58400</v>
      </c>
      <c r="AQ42" s="339">
        <f t="shared" si="16"/>
        <v>58400</v>
      </c>
      <c r="AR42" s="340">
        <f t="shared" si="17"/>
        <v>0</v>
      </c>
      <c r="AS42" s="341">
        <f t="shared" si="22"/>
        <v>87600</v>
      </c>
      <c r="AT42" s="339">
        <f t="shared" si="18"/>
        <v>65700</v>
      </c>
      <c r="AU42" s="340">
        <f t="shared" si="19"/>
        <v>21900</v>
      </c>
      <c r="AV42" s="1255">
        <f t="shared" si="20"/>
        <v>0</v>
      </c>
      <c r="AW42" s="343"/>
      <c r="AX42" s="1098"/>
      <c r="AY42" s="1217">
        <v>7300</v>
      </c>
      <c r="AZ42" s="1218">
        <v>7300</v>
      </c>
      <c r="BA42" s="1217">
        <v>7300</v>
      </c>
      <c r="BB42" s="1219">
        <v>7300</v>
      </c>
      <c r="BC42" s="1220">
        <v>7300</v>
      </c>
      <c r="BD42" s="1221">
        <v>7300</v>
      </c>
      <c r="BE42" s="1222">
        <v>7300</v>
      </c>
      <c r="BF42" s="1221">
        <v>7300</v>
      </c>
      <c r="BG42" s="1222">
        <v>7300</v>
      </c>
      <c r="BH42" s="1223">
        <v>7300</v>
      </c>
      <c r="BI42" s="1224">
        <v>7300</v>
      </c>
      <c r="BJ42" s="1225">
        <v>7300</v>
      </c>
      <c r="BK42" s="1230">
        <v>7300</v>
      </c>
      <c r="BL42" s="1225">
        <v>7300</v>
      </c>
      <c r="BM42" s="1230">
        <v>7300</v>
      </c>
      <c r="BN42" s="1293">
        <v>7300</v>
      </c>
      <c r="BO42" s="1138">
        <v>7300</v>
      </c>
      <c r="BP42" s="355">
        <v>7300</v>
      </c>
      <c r="BQ42" s="356">
        <v>7300</v>
      </c>
      <c r="BR42" s="355"/>
      <c r="BS42" s="356">
        <f>7300*2</f>
        <v>14600</v>
      </c>
      <c r="BT42" s="357"/>
    </row>
    <row r="43" spans="1:74" s="313" customFormat="1" ht="38.25" outlineLevel="1">
      <c r="A43" s="287">
        <v>33</v>
      </c>
      <c r="B43" s="933"/>
      <c r="C43" s="840"/>
      <c r="D43" s="841"/>
      <c r="E43" s="839"/>
      <c r="F43" s="821" t="s">
        <v>7</v>
      </c>
      <c r="G43" s="314">
        <v>4</v>
      </c>
      <c r="H43" s="739" t="s">
        <v>71</v>
      </c>
      <c r="I43" s="739">
        <v>244</v>
      </c>
      <c r="J43" s="740">
        <v>221</v>
      </c>
      <c r="K43" s="533" t="s">
        <v>418</v>
      </c>
      <c r="L43" s="1025">
        <v>600</v>
      </c>
      <c r="M43" s="318"/>
      <c r="N43" s="318"/>
      <c r="O43" s="1052">
        <f t="shared" si="21"/>
        <v>600</v>
      </c>
      <c r="P43" s="559"/>
      <c r="Q43" s="336">
        <v>0</v>
      </c>
      <c r="R43" s="559"/>
      <c r="S43" s="336">
        <v>0</v>
      </c>
      <c r="T43" s="559"/>
      <c r="U43" s="335"/>
      <c r="V43" s="596" t="s">
        <v>419</v>
      </c>
      <c r="W43" s="597" t="s">
        <v>420</v>
      </c>
      <c r="X43" s="597" t="s">
        <v>381</v>
      </c>
      <c r="Z43" s="336">
        <f t="shared" si="6"/>
        <v>36.83</v>
      </c>
      <c r="AA43" s="337">
        <f t="shared" si="6"/>
        <v>36.83</v>
      </c>
      <c r="AB43" s="338">
        <f t="shared" si="7"/>
        <v>0</v>
      </c>
      <c r="AC43" s="336">
        <f t="shared" si="8"/>
        <v>24.8</v>
      </c>
      <c r="AD43" s="337">
        <f t="shared" si="8"/>
        <v>24.8</v>
      </c>
      <c r="AE43" s="338">
        <f t="shared" si="9"/>
        <v>0</v>
      </c>
      <c r="AF43" s="336">
        <f t="shared" si="10"/>
        <v>22.52</v>
      </c>
      <c r="AG43" s="337">
        <f t="shared" si="10"/>
        <v>22.52</v>
      </c>
      <c r="AH43" s="338">
        <f t="shared" si="11"/>
        <v>0</v>
      </c>
      <c r="AI43" s="336">
        <f t="shared" si="12"/>
        <v>524.46</v>
      </c>
      <c r="AJ43" s="337">
        <f t="shared" si="12"/>
        <v>17.3</v>
      </c>
      <c r="AK43" s="338">
        <f t="shared" si="13"/>
        <v>507.16</v>
      </c>
      <c r="AL43" s="342"/>
      <c r="AM43" s="336">
        <f t="shared" si="14"/>
        <v>61.63</v>
      </c>
      <c r="AN43" s="339">
        <f t="shared" si="14"/>
        <v>61.63</v>
      </c>
      <c r="AO43" s="340">
        <f t="shared" si="15"/>
        <v>0</v>
      </c>
      <c r="AP43" s="336">
        <f t="shared" si="16"/>
        <v>84.15</v>
      </c>
      <c r="AQ43" s="339">
        <f t="shared" si="16"/>
        <v>84.15</v>
      </c>
      <c r="AR43" s="340">
        <f t="shared" si="17"/>
        <v>0</v>
      </c>
      <c r="AS43" s="341">
        <f t="shared" si="22"/>
        <v>608.61</v>
      </c>
      <c r="AT43" s="339">
        <f t="shared" si="18"/>
        <v>101.45</v>
      </c>
      <c r="AU43" s="340">
        <f t="shared" si="19"/>
        <v>507.16</v>
      </c>
      <c r="AV43" s="1255">
        <f t="shared" si="20"/>
        <v>-8.61</v>
      </c>
      <c r="AW43" s="1241"/>
      <c r="AX43" s="1218"/>
      <c r="AY43" s="1217"/>
      <c r="AZ43" s="1218"/>
      <c r="BA43" s="1217">
        <f>11.93+24.9</f>
        <v>36.83</v>
      </c>
      <c r="BB43" s="1219">
        <f>11.93+24.9</f>
        <v>36.83</v>
      </c>
      <c r="BC43" s="1220">
        <v>15.59</v>
      </c>
      <c r="BD43" s="1221">
        <v>15.59</v>
      </c>
      <c r="BE43" s="1222"/>
      <c r="BF43" s="1221"/>
      <c r="BG43" s="1222">
        <v>9.2100000000000009</v>
      </c>
      <c r="BH43" s="1223">
        <v>9.2100000000000009</v>
      </c>
      <c r="BI43" s="1224">
        <v>8.43</v>
      </c>
      <c r="BJ43" s="1225">
        <v>8.43</v>
      </c>
      <c r="BK43" s="1230">
        <v>14.09</v>
      </c>
      <c r="BL43" s="1225">
        <v>14.09</v>
      </c>
      <c r="BM43" s="1230"/>
      <c r="BN43" s="1293"/>
      <c r="BO43" s="1138">
        <f>8.61+8.69</f>
        <v>17.3</v>
      </c>
      <c r="BP43" s="355">
        <f>8.61+8.69</f>
        <v>17.3</v>
      </c>
      <c r="BQ43" s="356">
        <v>50</v>
      </c>
      <c r="BR43" s="355"/>
      <c r="BS43" s="356">
        <v>457.16</v>
      </c>
      <c r="BT43" s="357"/>
    </row>
    <row r="44" spans="1:74" s="313" customFormat="1" ht="25.5" outlineLevel="1">
      <c r="A44" s="287">
        <v>34</v>
      </c>
      <c r="B44" s="936" t="s">
        <v>1113</v>
      </c>
      <c r="C44" s="840"/>
      <c r="D44" s="841"/>
      <c r="E44" s="839"/>
      <c r="F44" s="821" t="s">
        <v>7</v>
      </c>
      <c r="G44" s="314">
        <v>4</v>
      </c>
      <c r="H44" s="739" t="s">
        <v>71</v>
      </c>
      <c r="I44" s="739">
        <v>244</v>
      </c>
      <c r="J44" s="740">
        <v>221</v>
      </c>
      <c r="K44" s="533" t="s">
        <v>428</v>
      </c>
      <c r="L44" s="1025">
        <v>43200</v>
      </c>
      <c r="M44" s="318"/>
      <c r="N44" s="318"/>
      <c r="O44" s="1052">
        <f t="shared" si="21"/>
        <v>43200</v>
      </c>
      <c r="P44" s="559"/>
      <c r="Q44" s="336">
        <v>43200</v>
      </c>
      <c r="R44" s="559"/>
      <c r="S44" s="336">
        <v>43200</v>
      </c>
      <c r="T44" s="559"/>
      <c r="U44" s="335"/>
      <c r="V44" s="596" t="s">
        <v>234</v>
      </c>
      <c r="W44" s="597" t="s">
        <v>427</v>
      </c>
      <c r="X44" s="597" t="s">
        <v>381</v>
      </c>
      <c r="Z44" s="336">
        <f t="shared" si="6"/>
        <v>9600</v>
      </c>
      <c r="AA44" s="337">
        <f t="shared" si="6"/>
        <v>9600</v>
      </c>
      <c r="AB44" s="338">
        <f t="shared" si="7"/>
        <v>0</v>
      </c>
      <c r="AC44" s="336">
        <f t="shared" si="8"/>
        <v>14400</v>
      </c>
      <c r="AD44" s="337">
        <f t="shared" si="8"/>
        <v>14400</v>
      </c>
      <c r="AE44" s="338">
        <f t="shared" si="9"/>
        <v>0</v>
      </c>
      <c r="AF44" s="336">
        <f t="shared" si="10"/>
        <v>14400</v>
      </c>
      <c r="AG44" s="337">
        <f t="shared" si="10"/>
        <v>14400</v>
      </c>
      <c r="AH44" s="338">
        <f t="shared" si="11"/>
        <v>0</v>
      </c>
      <c r="AI44" s="336">
        <f t="shared" si="12"/>
        <v>4800</v>
      </c>
      <c r="AJ44" s="337">
        <f t="shared" si="12"/>
        <v>4800</v>
      </c>
      <c r="AK44" s="338">
        <f t="shared" si="13"/>
        <v>0</v>
      </c>
      <c r="AL44" s="342"/>
      <c r="AM44" s="336">
        <f t="shared" si="14"/>
        <v>24000</v>
      </c>
      <c r="AN44" s="339">
        <f t="shared" si="14"/>
        <v>24000</v>
      </c>
      <c r="AO44" s="340">
        <f t="shared" si="15"/>
        <v>0</v>
      </c>
      <c r="AP44" s="336">
        <f t="shared" si="16"/>
        <v>38400</v>
      </c>
      <c r="AQ44" s="339">
        <f t="shared" si="16"/>
        <v>38400</v>
      </c>
      <c r="AR44" s="340">
        <f t="shared" si="17"/>
        <v>0</v>
      </c>
      <c r="AS44" s="341">
        <f t="shared" si="22"/>
        <v>43200</v>
      </c>
      <c r="AT44" s="339">
        <f t="shared" si="18"/>
        <v>43200</v>
      </c>
      <c r="AU44" s="340">
        <f t="shared" si="19"/>
        <v>0</v>
      </c>
      <c r="AV44" s="1255">
        <f t="shared" si="20"/>
        <v>0</v>
      </c>
      <c r="AW44" s="343"/>
      <c r="AX44" s="1098"/>
      <c r="AY44" s="1217">
        <v>4800</v>
      </c>
      <c r="AZ44" s="1218">
        <v>4800</v>
      </c>
      <c r="BA44" s="1217">
        <v>4800</v>
      </c>
      <c r="BB44" s="1219">
        <v>4800</v>
      </c>
      <c r="BC44" s="1220">
        <v>4800</v>
      </c>
      <c r="BD44" s="1221">
        <v>4800</v>
      </c>
      <c r="BE44" s="1222">
        <v>4800</v>
      </c>
      <c r="BF44" s="1221">
        <v>4800</v>
      </c>
      <c r="BG44" s="1222">
        <v>4800</v>
      </c>
      <c r="BH44" s="1223">
        <v>4800</v>
      </c>
      <c r="BI44" s="1224">
        <v>4800</v>
      </c>
      <c r="BJ44" s="1225">
        <v>4800</v>
      </c>
      <c r="BK44" s="1230">
        <v>4800</v>
      </c>
      <c r="BL44" s="1225">
        <v>4800</v>
      </c>
      <c r="BM44" s="1230">
        <v>4800</v>
      </c>
      <c r="BN44" s="1293">
        <v>4800</v>
      </c>
      <c r="BO44" s="1138">
        <v>4800</v>
      </c>
      <c r="BP44" s="355">
        <v>4800</v>
      </c>
      <c r="BQ44" s="356"/>
      <c r="BR44" s="355"/>
      <c r="BS44" s="356"/>
      <c r="BT44" s="357"/>
    </row>
    <row r="45" spans="1:74" s="358" customFormat="1" ht="31.5" customHeight="1">
      <c r="A45" s="287">
        <v>35</v>
      </c>
      <c r="B45" s="933"/>
      <c r="C45" s="850" t="s">
        <v>377</v>
      </c>
      <c r="D45" s="838"/>
      <c r="E45" s="836" t="s">
        <v>201</v>
      </c>
      <c r="F45" s="820" t="s">
        <v>7</v>
      </c>
      <c r="G45" s="360">
        <v>4</v>
      </c>
      <c r="H45" s="360" t="s">
        <v>71</v>
      </c>
      <c r="I45" s="360">
        <v>244</v>
      </c>
      <c r="J45" s="361">
        <v>222</v>
      </c>
      <c r="K45" s="532" t="s">
        <v>12</v>
      </c>
      <c r="L45" s="1023">
        <f>SUM(L46:L47)</f>
        <v>137727.94</v>
      </c>
      <c r="M45" s="363"/>
      <c r="N45" s="363"/>
      <c r="O45" s="1051">
        <f t="shared" si="21"/>
        <v>137727.94</v>
      </c>
      <c r="P45" s="557"/>
      <c r="Q45" s="367">
        <f>SUM(Q46:Q47)</f>
        <v>137727.94</v>
      </c>
      <c r="R45" s="557"/>
      <c r="S45" s="367">
        <f>SUM(S46:S47)</f>
        <v>138609.04999999999</v>
      </c>
      <c r="T45" s="557"/>
      <c r="U45" s="365"/>
      <c r="V45" s="366"/>
      <c r="W45" s="366"/>
      <c r="X45" s="366"/>
      <c r="Z45" s="367">
        <f t="shared" si="6"/>
        <v>23763.57</v>
      </c>
      <c r="AA45" s="363">
        <f t="shared" si="6"/>
        <v>23763.57</v>
      </c>
      <c r="AB45" s="280">
        <f t="shared" si="7"/>
        <v>0</v>
      </c>
      <c r="AC45" s="367">
        <f t="shared" si="8"/>
        <v>49449</v>
      </c>
      <c r="AD45" s="363">
        <f t="shared" si="8"/>
        <v>49449</v>
      </c>
      <c r="AE45" s="280">
        <f t="shared" si="9"/>
        <v>0</v>
      </c>
      <c r="AF45" s="367">
        <f t="shared" si="10"/>
        <v>28662.7</v>
      </c>
      <c r="AG45" s="363">
        <f t="shared" si="10"/>
        <v>25662.7</v>
      </c>
      <c r="AH45" s="280">
        <f t="shared" si="11"/>
        <v>3000</v>
      </c>
      <c r="AI45" s="367">
        <f t="shared" si="12"/>
        <v>35852.67</v>
      </c>
      <c r="AJ45" s="363">
        <f t="shared" si="12"/>
        <v>7224.93</v>
      </c>
      <c r="AK45" s="280">
        <f t="shared" si="13"/>
        <v>28627.74</v>
      </c>
      <c r="AL45" s="368"/>
      <c r="AM45" s="367">
        <f t="shared" si="14"/>
        <v>73212.570000000007</v>
      </c>
      <c r="AN45" s="363">
        <f t="shared" si="14"/>
        <v>73212.570000000007</v>
      </c>
      <c r="AO45" s="280">
        <f t="shared" si="15"/>
        <v>0</v>
      </c>
      <c r="AP45" s="367">
        <f t="shared" si="16"/>
        <v>101875.27</v>
      </c>
      <c r="AQ45" s="363">
        <f t="shared" si="16"/>
        <v>98875.27</v>
      </c>
      <c r="AR45" s="280">
        <f t="shared" si="17"/>
        <v>3000</v>
      </c>
      <c r="AS45" s="367">
        <f t="shared" si="22"/>
        <v>137727.94</v>
      </c>
      <c r="AT45" s="363">
        <f t="shared" si="18"/>
        <v>106100.2</v>
      </c>
      <c r="AU45" s="280">
        <f t="shared" si="19"/>
        <v>31627.74</v>
      </c>
      <c r="AV45" s="1253">
        <f t="shared" si="20"/>
        <v>0</v>
      </c>
      <c r="AW45" s="367">
        <f t="shared" ref="AW45:BT45" si="31">SUM(AW46:AW47)</f>
        <v>5409.8</v>
      </c>
      <c r="AX45" s="1097">
        <f t="shared" si="31"/>
        <v>5409.8</v>
      </c>
      <c r="AY45" s="363">
        <f t="shared" si="31"/>
        <v>4026.5</v>
      </c>
      <c r="AZ45" s="1097">
        <f t="shared" si="31"/>
        <v>4026.5</v>
      </c>
      <c r="BA45" s="363">
        <f t="shared" si="31"/>
        <v>14327.27</v>
      </c>
      <c r="BB45" s="1119">
        <f t="shared" si="31"/>
        <v>14327.27</v>
      </c>
      <c r="BC45" s="367">
        <f t="shared" si="31"/>
        <v>18356</v>
      </c>
      <c r="BD45" s="363">
        <f t="shared" si="31"/>
        <v>18356</v>
      </c>
      <c r="BE45" s="363">
        <f t="shared" si="31"/>
        <v>12406.1</v>
      </c>
      <c r="BF45" s="363">
        <f t="shared" si="31"/>
        <v>12406.1</v>
      </c>
      <c r="BG45" s="363">
        <f t="shared" si="31"/>
        <v>18686.900000000001</v>
      </c>
      <c r="BH45" s="369">
        <f t="shared" si="31"/>
        <v>18686.900000000001</v>
      </c>
      <c r="BI45" s="367">
        <f t="shared" si="31"/>
        <v>22393.33</v>
      </c>
      <c r="BJ45" s="363">
        <f t="shared" si="31"/>
        <v>22393.33</v>
      </c>
      <c r="BK45" s="363">
        <f t="shared" si="31"/>
        <v>260.5</v>
      </c>
      <c r="BL45" s="363">
        <f t="shared" si="31"/>
        <v>260.5</v>
      </c>
      <c r="BM45" s="363">
        <f t="shared" si="31"/>
        <v>6008.87</v>
      </c>
      <c r="BN45" s="369">
        <f t="shared" si="31"/>
        <v>3008.87</v>
      </c>
      <c r="BO45" s="367">
        <f t="shared" si="31"/>
        <v>9274.93</v>
      </c>
      <c r="BP45" s="363">
        <f t="shared" si="31"/>
        <v>7224.93</v>
      </c>
      <c r="BQ45" s="363">
        <f t="shared" si="31"/>
        <v>5000</v>
      </c>
      <c r="BR45" s="363">
        <f t="shared" si="31"/>
        <v>0</v>
      </c>
      <c r="BS45" s="363">
        <f t="shared" si="31"/>
        <v>21577.74</v>
      </c>
      <c r="BT45" s="280">
        <f t="shared" si="31"/>
        <v>0</v>
      </c>
    </row>
    <row r="46" spans="1:74" s="313" customFormat="1" ht="25.5" outlineLevel="1">
      <c r="A46" s="287">
        <v>36</v>
      </c>
      <c r="B46" s="936" t="s">
        <v>1110</v>
      </c>
      <c r="C46" s="840"/>
      <c r="D46" s="841"/>
      <c r="E46" s="839"/>
      <c r="F46" s="821" t="s">
        <v>7</v>
      </c>
      <c r="G46" s="314">
        <v>4</v>
      </c>
      <c r="H46" s="739" t="s">
        <v>71</v>
      </c>
      <c r="I46" s="739">
        <v>244</v>
      </c>
      <c r="J46" s="740">
        <v>222</v>
      </c>
      <c r="K46" s="533" t="s">
        <v>245</v>
      </c>
      <c r="L46" s="1025">
        <f>137727.94-77727.94</f>
        <v>60000</v>
      </c>
      <c r="M46" s="318"/>
      <c r="N46" s="318"/>
      <c r="O46" s="1052">
        <f t="shared" si="21"/>
        <v>60000</v>
      </c>
      <c r="P46" s="559"/>
      <c r="Q46" s="336">
        <v>137727.94</v>
      </c>
      <c r="R46" s="559"/>
      <c r="S46" s="336">
        <v>138609.04999999999</v>
      </c>
      <c r="T46" s="559"/>
      <c r="U46" s="335"/>
      <c r="V46" s="597" t="s">
        <v>240</v>
      </c>
      <c r="W46" s="597" t="s">
        <v>429</v>
      </c>
      <c r="X46" s="597" t="s">
        <v>381</v>
      </c>
      <c r="Z46" s="336">
        <f t="shared" si="6"/>
        <v>15063.57</v>
      </c>
      <c r="AA46" s="337">
        <f t="shared" si="6"/>
        <v>15063.57</v>
      </c>
      <c r="AB46" s="338">
        <f t="shared" si="7"/>
        <v>0</v>
      </c>
      <c r="AC46" s="336">
        <f t="shared" si="8"/>
        <v>17474</v>
      </c>
      <c r="AD46" s="337">
        <f t="shared" si="8"/>
        <v>17474</v>
      </c>
      <c r="AE46" s="338">
        <f t="shared" si="9"/>
        <v>0</v>
      </c>
      <c r="AF46" s="336">
        <f t="shared" si="10"/>
        <v>14112.7</v>
      </c>
      <c r="AG46" s="337">
        <f t="shared" si="10"/>
        <v>14112.7</v>
      </c>
      <c r="AH46" s="338">
        <f t="shared" si="11"/>
        <v>0</v>
      </c>
      <c r="AI46" s="336">
        <f t="shared" si="12"/>
        <v>13349.73</v>
      </c>
      <c r="AJ46" s="337">
        <f t="shared" si="12"/>
        <v>7224.93</v>
      </c>
      <c r="AK46" s="338">
        <f t="shared" si="13"/>
        <v>6124.8</v>
      </c>
      <c r="AL46" s="342"/>
      <c r="AM46" s="336">
        <f t="shared" si="14"/>
        <v>32537.57</v>
      </c>
      <c r="AN46" s="339">
        <f t="shared" si="14"/>
        <v>32537.57</v>
      </c>
      <c r="AO46" s="340">
        <f t="shared" si="15"/>
        <v>0</v>
      </c>
      <c r="AP46" s="336">
        <f t="shared" si="16"/>
        <v>46650.27</v>
      </c>
      <c r="AQ46" s="339">
        <f t="shared" si="16"/>
        <v>46650.27</v>
      </c>
      <c r="AR46" s="340">
        <f t="shared" si="17"/>
        <v>0</v>
      </c>
      <c r="AS46" s="341">
        <f t="shared" si="22"/>
        <v>60000</v>
      </c>
      <c r="AT46" s="339">
        <f t="shared" si="18"/>
        <v>53875.199999999997</v>
      </c>
      <c r="AU46" s="340">
        <f t="shared" si="19"/>
        <v>6124.8</v>
      </c>
      <c r="AV46" s="1255">
        <f t="shared" si="20"/>
        <v>0</v>
      </c>
      <c r="AW46" s="1241">
        <v>5409.8</v>
      </c>
      <c r="AX46" s="1218">
        <v>5409.8</v>
      </c>
      <c r="AY46" s="1217">
        <v>2651.5</v>
      </c>
      <c r="AZ46" s="1218">
        <v>2651.5</v>
      </c>
      <c r="BA46" s="1217">
        <v>7002.27</v>
      </c>
      <c r="BB46" s="1219">
        <v>7002.27</v>
      </c>
      <c r="BC46" s="1220">
        <v>11631</v>
      </c>
      <c r="BD46" s="1221">
        <v>11631</v>
      </c>
      <c r="BE46" s="1222">
        <v>3606.1</v>
      </c>
      <c r="BF46" s="1221">
        <v>3606.1</v>
      </c>
      <c r="BG46" s="1222">
        <v>2236.9</v>
      </c>
      <c r="BH46" s="1223">
        <v>2236.9</v>
      </c>
      <c r="BI46" s="1224">
        <v>10843.33</v>
      </c>
      <c r="BJ46" s="1225">
        <v>10843.33</v>
      </c>
      <c r="BK46" s="1230">
        <v>260.5</v>
      </c>
      <c r="BL46" s="1225">
        <v>260.5</v>
      </c>
      <c r="BM46" s="1230">
        <v>3008.87</v>
      </c>
      <c r="BN46" s="1293">
        <v>3008.87</v>
      </c>
      <c r="BO46" s="1138">
        <v>7224.93</v>
      </c>
      <c r="BP46" s="355">
        <v>7224.93</v>
      </c>
      <c r="BQ46" s="356">
        <v>5000</v>
      </c>
      <c r="BR46" s="355"/>
      <c r="BS46" s="356">
        <v>1124.8</v>
      </c>
      <c r="BT46" s="357"/>
    </row>
    <row r="47" spans="1:74" s="313" customFormat="1" ht="38.25" outlineLevel="1">
      <c r="A47" s="287">
        <v>37</v>
      </c>
      <c r="B47" s="933"/>
      <c r="C47" s="840"/>
      <c r="D47" s="841"/>
      <c r="E47" s="839"/>
      <c r="F47" s="821" t="s">
        <v>7</v>
      </c>
      <c r="G47" s="314">
        <v>4</v>
      </c>
      <c r="H47" s="739" t="s">
        <v>71</v>
      </c>
      <c r="I47" s="739">
        <v>244</v>
      </c>
      <c r="J47" s="740">
        <v>222</v>
      </c>
      <c r="K47" s="533" t="s">
        <v>244</v>
      </c>
      <c r="L47" s="1025">
        <v>77727.94</v>
      </c>
      <c r="M47" s="318"/>
      <c r="N47" s="318"/>
      <c r="O47" s="1052">
        <f t="shared" si="21"/>
        <v>77727.94</v>
      </c>
      <c r="P47" s="559"/>
      <c r="Q47" s="336">
        <v>0</v>
      </c>
      <c r="R47" s="559"/>
      <c r="S47" s="336">
        <v>0</v>
      </c>
      <c r="T47" s="559"/>
      <c r="U47" s="335"/>
      <c r="V47" s="597" t="s">
        <v>459</v>
      </c>
      <c r="W47" s="597" t="s">
        <v>460</v>
      </c>
      <c r="X47" s="597" t="s">
        <v>461</v>
      </c>
      <c r="Z47" s="336">
        <f t="shared" si="6"/>
        <v>8700</v>
      </c>
      <c r="AA47" s="337">
        <f t="shared" si="6"/>
        <v>8700</v>
      </c>
      <c r="AB47" s="338">
        <f t="shared" si="7"/>
        <v>0</v>
      </c>
      <c r="AC47" s="336">
        <f t="shared" si="8"/>
        <v>31975</v>
      </c>
      <c r="AD47" s="337">
        <f t="shared" si="8"/>
        <v>31975</v>
      </c>
      <c r="AE47" s="338">
        <f t="shared" si="9"/>
        <v>0</v>
      </c>
      <c r="AF47" s="336">
        <f t="shared" si="10"/>
        <v>14550</v>
      </c>
      <c r="AG47" s="337">
        <f t="shared" si="10"/>
        <v>11550</v>
      </c>
      <c r="AH47" s="338">
        <f t="shared" si="11"/>
        <v>3000</v>
      </c>
      <c r="AI47" s="336">
        <f t="shared" si="12"/>
        <v>22502.94</v>
      </c>
      <c r="AJ47" s="337">
        <f t="shared" si="12"/>
        <v>0</v>
      </c>
      <c r="AK47" s="338">
        <f t="shared" si="13"/>
        <v>22502.94</v>
      </c>
      <c r="AL47" s="342"/>
      <c r="AM47" s="336">
        <f t="shared" si="14"/>
        <v>40675</v>
      </c>
      <c r="AN47" s="339">
        <f t="shared" si="14"/>
        <v>40675</v>
      </c>
      <c r="AO47" s="340">
        <f t="shared" si="15"/>
        <v>0</v>
      </c>
      <c r="AP47" s="336">
        <f t="shared" si="16"/>
        <v>55225</v>
      </c>
      <c r="AQ47" s="339">
        <f t="shared" si="16"/>
        <v>52225</v>
      </c>
      <c r="AR47" s="340">
        <f t="shared" si="17"/>
        <v>3000</v>
      </c>
      <c r="AS47" s="341">
        <f t="shared" si="22"/>
        <v>77727.94</v>
      </c>
      <c r="AT47" s="339">
        <f t="shared" si="18"/>
        <v>52225</v>
      </c>
      <c r="AU47" s="340">
        <f t="shared" si="19"/>
        <v>25502.94</v>
      </c>
      <c r="AV47" s="1256">
        <f t="shared" si="20"/>
        <v>0</v>
      </c>
      <c r="AW47" s="1241"/>
      <c r="AX47" s="1218"/>
      <c r="AY47" s="1217">
        <v>1375</v>
      </c>
      <c r="AZ47" s="1218">
        <v>1375</v>
      </c>
      <c r="BA47" s="1217">
        <v>7325</v>
      </c>
      <c r="BB47" s="1219">
        <v>7325</v>
      </c>
      <c r="BC47" s="1220">
        <v>6725</v>
      </c>
      <c r="BD47" s="1221">
        <v>6725</v>
      </c>
      <c r="BE47" s="1222">
        <v>8800</v>
      </c>
      <c r="BF47" s="1221">
        <v>8800</v>
      </c>
      <c r="BG47" s="1222">
        <v>16450</v>
      </c>
      <c r="BH47" s="1223">
        <v>16450</v>
      </c>
      <c r="BI47" s="1224">
        <v>11550</v>
      </c>
      <c r="BJ47" s="1225">
        <v>11550</v>
      </c>
      <c r="BK47" s="337"/>
      <c r="BL47" s="352"/>
      <c r="BM47" s="1137">
        <f>550+1700+750</f>
        <v>3000</v>
      </c>
      <c r="BN47" s="353"/>
      <c r="BO47" s="1138">
        <f>550+1500</f>
        <v>2050</v>
      </c>
      <c r="BP47" s="355"/>
      <c r="BQ47" s="356"/>
      <c r="BR47" s="355"/>
      <c r="BS47" s="356">
        <f>14952.94-1700-750+9450-1500</f>
        <v>20452.939999999999</v>
      </c>
      <c r="BT47" s="357"/>
    </row>
    <row r="48" spans="1:74" s="358" customFormat="1" ht="31.5" customHeight="1">
      <c r="A48" s="287">
        <v>38</v>
      </c>
      <c r="B48" s="933"/>
      <c r="C48" s="850" t="s">
        <v>377</v>
      </c>
      <c r="D48" s="838"/>
      <c r="E48" s="836" t="s">
        <v>201</v>
      </c>
      <c r="F48" s="820" t="s">
        <v>7</v>
      </c>
      <c r="G48" s="360">
        <v>4</v>
      </c>
      <c r="H48" s="360" t="s">
        <v>71</v>
      </c>
      <c r="I48" s="360">
        <v>244</v>
      </c>
      <c r="J48" s="361">
        <v>223</v>
      </c>
      <c r="K48" s="532" t="s">
        <v>13</v>
      </c>
      <c r="L48" s="1023">
        <f>SUM(L49:L50)</f>
        <v>1044506.81</v>
      </c>
      <c r="M48" s="363"/>
      <c r="N48" s="363"/>
      <c r="O48" s="1051">
        <f t="shared" si="21"/>
        <v>1044506.81</v>
      </c>
      <c r="P48" s="557"/>
      <c r="Q48" s="367">
        <f>SUM(Q49:Q50)</f>
        <v>1121133.8700000001</v>
      </c>
      <c r="R48" s="557"/>
      <c r="S48" s="367">
        <f>SUM(S49:S50)</f>
        <v>1129802.1399999999</v>
      </c>
      <c r="T48" s="557"/>
      <c r="U48" s="365"/>
      <c r="V48" s="366"/>
      <c r="W48" s="366"/>
      <c r="X48" s="366"/>
      <c r="Z48" s="367">
        <f t="shared" si="6"/>
        <v>160043.54999999999</v>
      </c>
      <c r="AA48" s="363">
        <f t="shared" si="6"/>
        <v>73050.59</v>
      </c>
      <c r="AB48" s="280">
        <f t="shared" si="7"/>
        <v>86992.960000000006</v>
      </c>
      <c r="AC48" s="367">
        <f t="shared" si="8"/>
        <v>168073.98</v>
      </c>
      <c r="AD48" s="363">
        <f t="shared" si="8"/>
        <v>0</v>
      </c>
      <c r="AE48" s="280">
        <f t="shared" si="9"/>
        <v>168073.98</v>
      </c>
      <c r="AF48" s="367">
        <f t="shared" si="10"/>
        <v>168010</v>
      </c>
      <c r="AG48" s="363">
        <f t="shared" si="10"/>
        <v>0</v>
      </c>
      <c r="AH48" s="280">
        <f t="shared" si="11"/>
        <v>168010</v>
      </c>
      <c r="AI48" s="367">
        <f t="shared" si="12"/>
        <v>548379.28</v>
      </c>
      <c r="AJ48" s="363">
        <f t="shared" si="12"/>
        <v>0</v>
      </c>
      <c r="AK48" s="280">
        <f t="shared" si="13"/>
        <v>548379.28</v>
      </c>
      <c r="AL48" s="368"/>
      <c r="AM48" s="367">
        <f t="shared" si="14"/>
        <v>328117.53000000003</v>
      </c>
      <c r="AN48" s="363">
        <f t="shared" si="14"/>
        <v>73050.59</v>
      </c>
      <c r="AO48" s="280">
        <f t="shared" si="15"/>
        <v>255066.94</v>
      </c>
      <c r="AP48" s="367">
        <f t="shared" si="16"/>
        <v>496127.53</v>
      </c>
      <c r="AQ48" s="363">
        <f t="shared" si="16"/>
        <v>73050.59</v>
      </c>
      <c r="AR48" s="280">
        <f t="shared" si="17"/>
        <v>423076.94</v>
      </c>
      <c r="AS48" s="367">
        <f t="shared" si="22"/>
        <v>1044506.81</v>
      </c>
      <c r="AT48" s="363">
        <f t="shared" si="18"/>
        <v>73050.59</v>
      </c>
      <c r="AU48" s="280">
        <f t="shared" si="19"/>
        <v>971456.22</v>
      </c>
      <c r="AV48" s="1253">
        <f t="shared" si="20"/>
        <v>0</v>
      </c>
      <c r="AW48" s="367">
        <f t="shared" ref="AW48:BT48" si="32">SUM(AW49:AW50)</f>
        <v>0</v>
      </c>
      <c r="AX48" s="1097">
        <f t="shared" si="32"/>
        <v>0</v>
      </c>
      <c r="AY48" s="363">
        <f t="shared" si="32"/>
        <v>73050.59</v>
      </c>
      <c r="AZ48" s="1097">
        <f t="shared" si="32"/>
        <v>73050.59</v>
      </c>
      <c r="BA48" s="363">
        <f t="shared" si="32"/>
        <v>86992.960000000006</v>
      </c>
      <c r="BB48" s="1119">
        <f t="shared" si="32"/>
        <v>0</v>
      </c>
      <c r="BC48" s="367">
        <f t="shared" si="32"/>
        <v>70183.58</v>
      </c>
      <c r="BD48" s="363">
        <f t="shared" si="32"/>
        <v>0</v>
      </c>
      <c r="BE48" s="363">
        <f t="shared" si="32"/>
        <v>53253.09</v>
      </c>
      <c r="BF48" s="363">
        <f t="shared" si="32"/>
        <v>0</v>
      </c>
      <c r="BG48" s="363">
        <f t="shared" si="32"/>
        <v>44637.31</v>
      </c>
      <c r="BH48" s="369">
        <f t="shared" si="32"/>
        <v>0</v>
      </c>
      <c r="BI48" s="367">
        <f t="shared" si="32"/>
        <v>62670</v>
      </c>
      <c r="BJ48" s="363">
        <f t="shared" si="32"/>
        <v>0</v>
      </c>
      <c r="BK48" s="363">
        <f t="shared" si="32"/>
        <v>52670</v>
      </c>
      <c r="BL48" s="363">
        <f t="shared" si="32"/>
        <v>0</v>
      </c>
      <c r="BM48" s="363">
        <f t="shared" si="32"/>
        <v>52670</v>
      </c>
      <c r="BN48" s="369">
        <f t="shared" si="32"/>
        <v>0</v>
      </c>
      <c r="BO48" s="367">
        <f t="shared" si="32"/>
        <v>82670</v>
      </c>
      <c r="BP48" s="363">
        <f t="shared" si="32"/>
        <v>0</v>
      </c>
      <c r="BQ48" s="363">
        <f t="shared" si="32"/>
        <v>121365.21</v>
      </c>
      <c r="BR48" s="363">
        <f t="shared" si="32"/>
        <v>0</v>
      </c>
      <c r="BS48" s="363">
        <f t="shared" si="32"/>
        <v>344344.07</v>
      </c>
      <c r="BT48" s="280">
        <f t="shared" si="32"/>
        <v>0</v>
      </c>
    </row>
    <row r="49" spans="1:72" s="313" customFormat="1" ht="25.5" outlineLevel="1">
      <c r="A49" s="287">
        <v>39</v>
      </c>
      <c r="B49" s="933"/>
      <c r="C49" s="840"/>
      <c r="D49" s="841"/>
      <c r="E49" s="839"/>
      <c r="F49" s="821" t="s">
        <v>7</v>
      </c>
      <c r="G49" s="314">
        <v>4</v>
      </c>
      <c r="H49" s="739" t="s">
        <v>71</v>
      </c>
      <c r="I49" s="739">
        <v>244</v>
      </c>
      <c r="J49" s="740">
        <v>223</v>
      </c>
      <c r="K49" s="533" t="s">
        <v>246</v>
      </c>
      <c r="L49" s="1025">
        <v>1016987.56</v>
      </c>
      <c r="M49" s="318"/>
      <c r="N49" s="318"/>
      <c r="O49" s="1052">
        <f t="shared" si="21"/>
        <v>1016987.56</v>
      </c>
      <c r="P49" s="559"/>
      <c r="Q49" s="336">
        <v>1092480.0900000001</v>
      </c>
      <c r="R49" s="559"/>
      <c r="S49" s="336">
        <v>1100951.1299999999</v>
      </c>
      <c r="T49" s="559"/>
      <c r="U49" s="335"/>
      <c r="V49" s="596" t="s">
        <v>444</v>
      </c>
      <c r="W49" s="597" t="s">
        <v>875</v>
      </c>
      <c r="X49" s="597" t="s">
        <v>381</v>
      </c>
      <c r="Z49" s="336">
        <f t="shared" si="6"/>
        <v>154403.65</v>
      </c>
      <c r="AA49" s="337">
        <f t="shared" si="6"/>
        <v>73050.59</v>
      </c>
      <c r="AB49" s="338">
        <f t="shared" si="7"/>
        <v>81353.06</v>
      </c>
      <c r="AC49" s="336">
        <f t="shared" si="8"/>
        <v>158909.14000000001</v>
      </c>
      <c r="AD49" s="337">
        <f t="shared" si="8"/>
        <v>0</v>
      </c>
      <c r="AE49" s="338">
        <f t="shared" si="9"/>
        <v>158909.14000000001</v>
      </c>
      <c r="AF49" s="336">
        <f t="shared" si="10"/>
        <v>160000</v>
      </c>
      <c r="AG49" s="337">
        <f t="shared" si="10"/>
        <v>0</v>
      </c>
      <c r="AH49" s="338">
        <f t="shared" si="11"/>
        <v>160000</v>
      </c>
      <c r="AI49" s="336">
        <f t="shared" si="12"/>
        <v>543674.77</v>
      </c>
      <c r="AJ49" s="337">
        <f t="shared" si="12"/>
        <v>0</v>
      </c>
      <c r="AK49" s="338">
        <f t="shared" si="13"/>
        <v>543674.77</v>
      </c>
      <c r="AL49" s="342"/>
      <c r="AM49" s="336">
        <f t="shared" si="14"/>
        <v>313312.78999999998</v>
      </c>
      <c r="AN49" s="339">
        <f t="shared" si="14"/>
        <v>73050.59</v>
      </c>
      <c r="AO49" s="340">
        <f t="shared" si="15"/>
        <v>240262.2</v>
      </c>
      <c r="AP49" s="336">
        <f t="shared" si="16"/>
        <v>473312.79</v>
      </c>
      <c r="AQ49" s="339">
        <f t="shared" si="16"/>
        <v>73050.59</v>
      </c>
      <c r="AR49" s="340">
        <f t="shared" si="17"/>
        <v>400262.2</v>
      </c>
      <c r="AS49" s="341">
        <f t="shared" si="22"/>
        <v>1016987.56</v>
      </c>
      <c r="AT49" s="339">
        <f t="shared" si="18"/>
        <v>73050.59</v>
      </c>
      <c r="AU49" s="340">
        <f t="shared" si="19"/>
        <v>943936.97</v>
      </c>
      <c r="AV49" s="1255">
        <f t="shared" si="20"/>
        <v>0</v>
      </c>
      <c r="AW49" s="343"/>
      <c r="AX49" s="1098"/>
      <c r="AY49" s="1133">
        <f>73050.59-2819.95</f>
        <v>70230.64</v>
      </c>
      <c r="AZ49" s="1098">
        <v>73050.59</v>
      </c>
      <c r="BA49" s="1133">
        <f>86992.96-2819.95</f>
        <v>84173.01</v>
      </c>
      <c r="BB49" s="1120"/>
      <c r="BC49" s="1134">
        <f>70183.58-3524.94</f>
        <v>66658.64</v>
      </c>
      <c r="BD49" s="348"/>
      <c r="BE49" s="1135">
        <f>53253.09-2819.95</f>
        <v>50433.14</v>
      </c>
      <c r="BF49" s="348"/>
      <c r="BG49" s="1135">
        <f>44637.31-2819.95</f>
        <v>41817.360000000001</v>
      </c>
      <c r="BH49" s="350"/>
      <c r="BI49" s="351">
        <v>60000</v>
      </c>
      <c r="BJ49" s="352"/>
      <c r="BK49" s="337">
        <v>50000</v>
      </c>
      <c r="BL49" s="352"/>
      <c r="BM49" s="337">
        <v>50000</v>
      </c>
      <c r="BN49" s="353"/>
      <c r="BO49" s="354">
        <v>80000</v>
      </c>
      <c r="BP49" s="355"/>
      <c r="BQ49" s="356">
        <v>120000</v>
      </c>
      <c r="BR49" s="355"/>
      <c r="BS49" s="356">
        <f>130000+6987.56+15362.69+191324.52</f>
        <v>343674.77</v>
      </c>
      <c r="BT49" s="357"/>
    </row>
    <row r="50" spans="1:72" s="313" customFormat="1" ht="25.5" outlineLevel="1">
      <c r="A50" s="287">
        <v>40</v>
      </c>
      <c r="B50" s="933"/>
      <c r="C50" s="840"/>
      <c r="D50" s="841"/>
      <c r="E50" s="839"/>
      <c r="F50" s="821" t="s">
        <v>7</v>
      </c>
      <c r="G50" s="314">
        <v>4</v>
      </c>
      <c r="H50" s="739" t="s">
        <v>71</v>
      </c>
      <c r="I50" s="739">
        <v>244</v>
      </c>
      <c r="J50" s="740">
        <v>223</v>
      </c>
      <c r="K50" s="533" t="s">
        <v>252</v>
      </c>
      <c r="L50" s="1025">
        <v>27519.25</v>
      </c>
      <c r="M50" s="318"/>
      <c r="N50" s="318"/>
      <c r="O50" s="1052">
        <f t="shared" si="21"/>
        <v>27519.25</v>
      </c>
      <c r="P50" s="559"/>
      <c r="Q50" s="336">
        <v>28653.78</v>
      </c>
      <c r="R50" s="559"/>
      <c r="S50" s="336">
        <v>28851.01</v>
      </c>
      <c r="T50" s="559"/>
      <c r="U50" s="335"/>
      <c r="V50" s="596" t="s">
        <v>444</v>
      </c>
      <c r="W50" s="597" t="s">
        <v>875</v>
      </c>
      <c r="X50" s="597" t="s">
        <v>381</v>
      </c>
      <c r="Z50" s="336">
        <f t="shared" si="6"/>
        <v>5639.9</v>
      </c>
      <c r="AA50" s="337">
        <f t="shared" si="6"/>
        <v>0</v>
      </c>
      <c r="AB50" s="338">
        <f t="shared" si="7"/>
        <v>5639.9</v>
      </c>
      <c r="AC50" s="336">
        <f t="shared" si="8"/>
        <v>9164.84</v>
      </c>
      <c r="AD50" s="337">
        <f t="shared" si="8"/>
        <v>0</v>
      </c>
      <c r="AE50" s="338">
        <f t="shared" si="9"/>
        <v>9164.84</v>
      </c>
      <c r="AF50" s="336">
        <f t="shared" si="10"/>
        <v>8010</v>
      </c>
      <c r="AG50" s="337">
        <f t="shared" si="10"/>
        <v>0</v>
      </c>
      <c r="AH50" s="338">
        <f t="shared" si="11"/>
        <v>8010</v>
      </c>
      <c r="AI50" s="336">
        <f t="shared" si="12"/>
        <v>4704.51</v>
      </c>
      <c r="AJ50" s="337">
        <f t="shared" si="12"/>
        <v>0</v>
      </c>
      <c r="AK50" s="338">
        <f t="shared" si="13"/>
        <v>4704.51</v>
      </c>
      <c r="AL50" s="342"/>
      <c r="AM50" s="336">
        <f t="shared" si="14"/>
        <v>14804.74</v>
      </c>
      <c r="AN50" s="339">
        <f t="shared" si="14"/>
        <v>0</v>
      </c>
      <c r="AO50" s="340">
        <f t="shared" si="15"/>
        <v>14804.74</v>
      </c>
      <c r="AP50" s="336">
        <f t="shared" si="16"/>
        <v>22814.74</v>
      </c>
      <c r="AQ50" s="339">
        <f t="shared" si="16"/>
        <v>0</v>
      </c>
      <c r="AR50" s="340">
        <f t="shared" si="17"/>
        <v>22814.74</v>
      </c>
      <c r="AS50" s="341">
        <f t="shared" si="22"/>
        <v>27519.25</v>
      </c>
      <c r="AT50" s="339">
        <f t="shared" si="18"/>
        <v>0</v>
      </c>
      <c r="AU50" s="340">
        <f t="shared" si="19"/>
        <v>27519.25</v>
      </c>
      <c r="AV50" s="1257">
        <f t="shared" si="20"/>
        <v>0</v>
      </c>
      <c r="AW50" s="343"/>
      <c r="AX50" s="1098"/>
      <c r="AY50" s="1133">
        <v>2819.95</v>
      </c>
      <c r="AZ50" s="1098"/>
      <c r="BA50" s="1133">
        <v>2819.95</v>
      </c>
      <c r="BB50" s="1120"/>
      <c r="BC50" s="1134">
        <v>3524.94</v>
      </c>
      <c r="BD50" s="348"/>
      <c r="BE50" s="1135">
        <v>2819.95</v>
      </c>
      <c r="BF50" s="348"/>
      <c r="BG50" s="1135">
        <v>2819.95</v>
      </c>
      <c r="BH50" s="350"/>
      <c r="BI50" s="351">
        <v>2670</v>
      </c>
      <c r="BJ50" s="352"/>
      <c r="BK50" s="337">
        <v>2670</v>
      </c>
      <c r="BL50" s="352"/>
      <c r="BM50" s="337">
        <v>2670</v>
      </c>
      <c r="BN50" s="353"/>
      <c r="BO50" s="354">
        <v>2670</v>
      </c>
      <c r="BP50" s="355"/>
      <c r="BQ50" s="356">
        <f>2670-1304.79</f>
        <v>1365.21</v>
      </c>
      <c r="BR50" s="355"/>
      <c r="BS50" s="356">
        <f>819.25-149.95</f>
        <v>669.3</v>
      </c>
      <c r="BT50" s="357"/>
    </row>
    <row r="51" spans="1:72" s="358" customFormat="1" ht="31.5" customHeight="1">
      <c r="A51" s="287">
        <v>41</v>
      </c>
      <c r="B51" s="933"/>
      <c r="C51" s="850" t="s">
        <v>377</v>
      </c>
      <c r="D51" s="838"/>
      <c r="E51" s="836" t="s">
        <v>201</v>
      </c>
      <c r="F51" s="820" t="s">
        <v>7</v>
      </c>
      <c r="G51" s="360">
        <v>4</v>
      </c>
      <c r="H51" s="360" t="s">
        <v>71</v>
      </c>
      <c r="I51" s="360">
        <v>244</v>
      </c>
      <c r="J51" s="361">
        <v>224</v>
      </c>
      <c r="K51" s="532" t="s">
        <v>151</v>
      </c>
      <c r="L51" s="1042">
        <f>L52</f>
        <v>12428476.800000001</v>
      </c>
      <c r="M51" s="363"/>
      <c r="N51" s="363"/>
      <c r="O51" s="1051">
        <f t="shared" si="21"/>
        <v>12428476.800000001</v>
      </c>
      <c r="P51" s="557">
        <f>12428476.8-L51</f>
        <v>0</v>
      </c>
      <c r="Q51" s="544">
        <f>Q52</f>
        <v>3668142.76</v>
      </c>
      <c r="R51" s="557"/>
      <c r="S51" s="544">
        <f t="shared" ref="S51" si="33">S52</f>
        <v>3648174.72</v>
      </c>
      <c r="T51" s="557"/>
      <c r="U51" s="365"/>
      <c r="V51" s="366"/>
      <c r="W51" s="366"/>
      <c r="X51" s="366"/>
      <c r="Z51" s="367">
        <f>AW51+AY51+BA51</f>
        <v>2071412.8</v>
      </c>
      <c r="AA51" s="363">
        <f>AX51+AZ51+BB51</f>
        <v>2071412.8</v>
      </c>
      <c r="AB51" s="280">
        <f>Z51-AA51</f>
        <v>0</v>
      </c>
      <c r="AC51" s="367">
        <f>BC51+BE51+BG51</f>
        <v>3107119.2</v>
      </c>
      <c r="AD51" s="363">
        <f>BD51+BF51+BH51</f>
        <v>0</v>
      </c>
      <c r="AE51" s="280">
        <f>AC51-AD51</f>
        <v>3107119.2</v>
      </c>
      <c r="AF51" s="367">
        <f>BI51+BK51+BM51</f>
        <v>3107119.2</v>
      </c>
      <c r="AG51" s="363">
        <f>BJ51+BL51+BN51</f>
        <v>0</v>
      </c>
      <c r="AH51" s="280">
        <f>AF51-AG51</f>
        <v>3107119.2</v>
      </c>
      <c r="AI51" s="367">
        <f>BO51+BQ51+BS51</f>
        <v>4142825.6</v>
      </c>
      <c r="AJ51" s="363">
        <f>BP51+BR51+BT51</f>
        <v>0</v>
      </c>
      <c r="AK51" s="280">
        <f>AI51-AJ51</f>
        <v>4142825.6</v>
      </c>
      <c r="AL51" s="368"/>
      <c r="AM51" s="367">
        <f>Z51+AC51</f>
        <v>5178532</v>
      </c>
      <c r="AN51" s="363">
        <f>AA51+AD51</f>
        <v>2071412.8</v>
      </c>
      <c r="AO51" s="280">
        <f>AM51-AN51</f>
        <v>3107119.2</v>
      </c>
      <c r="AP51" s="367">
        <f>Z51+AC51+AF51</f>
        <v>8285651.2000000002</v>
      </c>
      <c r="AQ51" s="363">
        <f>AA51+AD51+AG51</f>
        <v>2071412.8</v>
      </c>
      <c r="AR51" s="280">
        <f>AP51-AQ51</f>
        <v>6214238.4000000004</v>
      </c>
      <c r="AS51" s="367">
        <f>Z51+AC51+AF51+AI51</f>
        <v>12428476.800000001</v>
      </c>
      <c r="AT51" s="363">
        <f>AA51+AD51+AG51+AJ51</f>
        <v>2071412.8</v>
      </c>
      <c r="AU51" s="280">
        <f>AS51-AT51</f>
        <v>10357064</v>
      </c>
      <c r="AV51" s="1253">
        <f t="shared" si="20"/>
        <v>0</v>
      </c>
      <c r="AW51" s="367">
        <f t="shared" ref="AW51:BT51" si="34">AW52</f>
        <v>0</v>
      </c>
      <c r="AX51" s="1097">
        <f t="shared" si="34"/>
        <v>0</v>
      </c>
      <c r="AY51" s="363">
        <f t="shared" si="34"/>
        <v>1035706.4</v>
      </c>
      <c r="AZ51" s="1097">
        <f t="shared" si="34"/>
        <v>1035706.4</v>
      </c>
      <c r="BA51" s="363">
        <f t="shared" si="34"/>
        <v>1035706.4</v>
      </c>
      <c r="BB51" s="1119">
        <f t="shared" si="34"/>
        <v>1035706.4</v>
      </c>
      <c r="BC51" s="367">
        <f t="shared" si="34"/>
        <v>1035706.4</v>
      </c>
      <c r="BD51" s="363">
        <f t="shared" si="34"/>
        <v>0</v>
      </c>
      <c r="BE51" s="363">
        <f t="shared" si="34"/>
        <v>1035706.4</v>
      </c>
      <c r="BF51" s="363">
        <f t="shared" si="34"/>
        <v>0</v>
      </c>
      <c r="BG51" s="363">
        <f t="shared" si="34"/>
        <v>1035706.4</v>
      </c>
      <c r="BH51" s="369">
        <f t="shared" si="34"/>
        <v>0</v>
      </c>
      <c r="BI51" s="367">
        <f t="shared" si="34"/>
        <v>1035706.4</v>
      </c>
      <c r="BJ51" s="363">
        <f t="shared" si="34"/>
        <v>0</v>
      </c>
      <c r="BK51" s="363">
        <f t="shared" si="34"/>
        <v>1035706.4</v>
      </c>
      <c r="BL51" s="363">
        <f t="shared" si="34"/>
        <v>0</v>
      </c>
      <c r="BM51" s="363">
        <f t="shared" si="34"/>
        <v>1035706.4</v>
      </c>
      <c r="BN51" s="369">
        <f t="shared" si="34"/>
        <v>0</v>
      </c>
      <c r="BO51" s="367">
        <f t="shared" si="34"/>
        <v>1035706.4</v>
      </c>
      <c r="BP51" s="363">
        <f t="shared" si="34"/>
        <v>0</v>
      </c>
      <c r="BQ51" s="363">
        <f t="shared" si="34"/>
        <v>1035706.4</v>
      </c>
      <c r="BR51" s="363">
        <f t="shared" si="34"/>
        <v>0</v>
      </c>
      <c r="BS51" s="363">
        <f t="shared" si="34"/>
        <v>2071412.8</v>
      </c>
      <c r="BT51" s="280">
        <f t="shared" si="34"/>
        <v>0</v>
      </c>
    </row>
    <row r="52" spans="1:72" s="313" customFormat="1" ht="51" outlineLevel="1">
      <c r="A52" s="287">
        <v>42</v>
      </c>
      <c r="B52" s="933"/>
      <c r="C52" s="840"/>
      <c r="D52" s="841"/>
      <c r="E52" s="839"/>
      <c r="F52" s="821" t="s">
        <v>7</v>
      </c>
      <c r="G52" s="314">
        <v>4</v>
      </c>
      <c r="H52" s="739" t="s">
        <v>71</v>
      </c>
      <c r="I52" s="739">
        <v>244</v>
      </c>
      <c r="J52" s="740">
        <v>224</v>
      </c>
      <c r="K52" s="533" t="s">
        <v>264</v>
      </c>
      <c r="L52" s="1044">
        <v>12428476.800000001</v>
      </c>
      <c r="M52" s="318"/>
      <c r="N52" s="318"/>
      <c r="O52" s="1010">
        <f t="shared" si="21"/>
        <v>12428476.800000001</v>
      </c>
      <c r="P52" s="559"/>
      <c r="Q52" s="509">
        <v>3668142.76</v>
      </c>
      <c r="R52" s="560"/>
      <c r="S52" s="509">
        <v>3648174.72</v>
      </c>
      <c r="T52" s="559"/>
      <c r="U52" s="335"/>
      <c r="V52" s="597" t="s">
        <v>265</v>
      </c>
      <c r="W52" s="597" t="s">
        <v>966</v>
      </c>
      <c r="X52" s="597" t="s">
        <v>965</v>
      </c>
      <c r="Z52" s="336">
        <f>AW52+AY52+BA52</f>
        <v>2071412.8</v>
      </c>
      <c r="AA52" s="337">
        <f>AX52+AZ52+BB52</f>
        <v>2071412.8</v>
      </c>
      <c r="AB52" s="338">
        <f>Z52-AA52</f>
        <v>0</v>
      </c>
      <c r="AC52" s="336">
        <f>BC52+BE52+BG52</f>
        <v>3107119.2</v>
      </c>
      <c r="AD52" s="337">
        <f>BD52+BF52+BH52</f>
        <v>0</v>
      </c>
      <c r="AE52" s="338">
        <f>AC52-AD52</f>
        <v>3107119.2</v>
      </c>
      <c r="AF52" s="336">
        <f>BI52+BK52+BM52</f>
        <v>3107119.2</v>
      </c>
      <c r="AG52" s="337">
        <f>BJ52+BL52+BN52</f>
        <v>0</v>
      </c>
      <c r="AH52" s="338">
        <f>AF52-AG52</f>
        <v>3107119.2</v>
      </c>
      <c r="AI52" s="336">
        <f>BO52+BQ52+BS52</f>
        <v>4142825.6</v>
      </c>
      <c r="AJ52" s="337">
        <f>BP52+BR52+BT52</f>
        <v>0</v>
      </c>
      <c r="AK52" s="338">
        <f>AI52-AJ52</f>
        <v>4142825.6</v>
      </c>
      <c r="AL52" s="342"/>
      <c r="AM52" s="336">
        <f>Z52+AC52</f>
        <v>5178532</v>
      </c>
      <c r="AN52" s="339">
        <f>AA52+AD52</f>
        <v>2071412.8</v>
      </c>
      <c r="AO52" s="340">
        <f>AM52-AN52</f>
        <v>3107119.2</v>
      </c>
      <c r="AP52" s="336">
        <f>Z52+AC52+AF52</f>
        <v>8285651.2000000002</v>
      </c>
      <c r="AQ52" s="339">
        <f>AA52+AD52+AG52</f>
        <v>2071412.8</v>
      </c>
      <c r="AR52" s="340">
        <f>AP52-AQ52</f>
        <v>6214238.4000000004</v>
      </c>
      <c r="AS52" s="341">
        <f>Z52+AC52+AF52+AI52</f>
        <v>12428476.800000001</v>
      </c>
      <c r="AT52" s="339">
        <f>AA52+AD52+AG52+AJ52</f>
        <v>2071412.8</v>
      </c>
      <c r="AU52" s="340">
        <f>AS52-AT52</f>
        <v>10357064</v>
      </c>
      <c r="AV52" s="1255">
        <f t="shared" si="20"/>
        <v>0</v>
      </c>
      <c r="AW52" s="343"/>
      <c r="AX52" s="1098"/>
      <c r="AY52" s="345">
        <v>1035706.4</v>
      </c>
      <c r="AZ52" s="1098">
        <v>1035706.4</v>
      </c>
      <c r="BA52" s="345">
        <v>1035706.4</v>
      </c>
      <c r="BB52" s="1120">
        <v>1035706.4</v>
      </c>
      <c r="BC52" s="347">
        <v>1035706.4</v>
      </c>
      <c r="BD52" s="348"/>
      <c r="BE52" s="349">
        <v>1035706.4</v>
      </c>
      <c r="BF52" s="348"/>
      <c r="BG52" s="1135">
        <v>1035706.4</v>
      </c>
      <c r="BH52" s="350"/>
      <c r="BI52" s="351">
        <v>1035706.4</v>
      </c>
      <c r="BJ52" s="352"/>
      <c r="BK52" s="337">
        <v>1035706.4</v>
      </c>
      <c r="BL52" s="352"/>
      <c r="BM52" s="337">
        <v>1035706.4</v>
      </c>
      <c r="BN52" s="353"/>
      <c r="BO52" s="354">
        <v>1035706.4</v>
      </c>
      <c r="BP52" s="355"/>
      <c r="BQ52" s="356">
        <v>1035706.4</v>
      </c>
      <c r="BR52" s="355"/>
      <c r="BS52" s="356">
        <f>1035706.4*2</f>
        <v>2071412.8</v>
      </c>
      <c r="BT52" s="357"/>
    </row>
    <row r="53" spans="1:72" s="358" customFormat="1" ht="31.5" customHeight="1">
      <c r="A53" s="287">
        <v>43</v>
      </c>
      <c r="B53" s="933"/>
      <c r="C53" s="850" t="s">
        <v>377</v>
      </c>
      <c r="D53" s="1180" t="s">
        <v>588</v>
      </c>
      <c r="E53" s="836" t="s">
        <v>201</v>
      </c>
      <c r="F53" s="820" t="s">
        <v>7</v>
      </c>
      <c r="G53" s="360">
        <v>4</v>
      </c>
      <c r="H53" s="360" t="s">
        <v>71</v>
      </c>
      <c r="I53" s="360">
        <v>244</v>
      </c>
      <c r="J53" s="361">
        <v>225</v>
      </c>
      <c r="K53" s="532" t="s">
        <v>149</v>
      </c>
      <c r="L53" s="1023">
        <f>SUM(L54:L56)</f>
        <v>77583.179999999993</v>
      </c>
      <c r="M53" s="363"/>
      <c r="N53" s="363"/>
      <c r="O53" s="1051">
        <f t="shared" si="21"/>
        <v>77583.179999999993</v>
      </c>
      <c r="P53" s="557"/>
      <c r="Q53" s="367">
        <f>SUM(Q54:Q56)</f>
        <v>81611.22</v>
      </c>
      <c r="R53" s="557"/>
      <c r="S53" s="367">
        <f>SUM(S54:S56)</f>
        <v>81611.22</v>
      </c>
      <c r="T53" s="557"/>
      <c r="U53" s="365"/>
      <c r="V53" s="366"/>
      <c r="W53" s="366"/>
      <c r="X53" s="366"/>
      <c r="Z53" s="367">
        <f t="shared" si="6"/>
        <v>16380.54</v>
      </c>
      <c r="AA53" s="363">
        <f t="shared" si="6"/>
        <v>16380.54</v>
      </c>
      <c r="AB53" s="280">
        <f t="shared" si="7"/>
        <v>0</v>
      </c>
      <c r="AC53" s="367">
        <f t="shared" si="8"/>
        <v>29380.54</v>
      </c>
      <c r="AD53" s="363">
        <f t="shared" si="8"/>
        <v>29380.54</v>
      </c>
      <c r="AE53" s="280">
        <f t="shared" si="9"/>
        <v>0</v>
      </c>
      <c r="AF53" s="367">
        <f t="shared" si="10"/>
        <v>7570.81</v>
      </c>
      <c r="AG53" s="363">
        <f t="shared" si="10"/>
        <v>7570.81</v>
      </c>
      <c r="AH53" s="280">
        <f t="shared" si="11"/>
        <v>0</v>
      </c>
      <c r="AI53" s="367">
        <f t="shared" si="12"/>
        <v>24051.41</v>
      </c>
      <c r="AJ53" s="363">
        <f t="shared" si="12"/>
        <v>6380.54</v>
      </c>
      <c r="AK53" s="280">
        <f t="shared" si="13"/>
        <v>17670.87</v>
      </c>
      <c r="AL53" s="368"/>
      <c r="AM53" s="367">
        <f t="shared" si="14"/>
        <v>45761.08</v>
      </c>
      <c r="AN53" s="363">
        <f t="shared" si="14"/>
        <v>45761.08</v>
      </c>
      <c r="AO53" s="280">
        <f t="shared" si="15"/>
        <v>0</v>
      </c>
      <c r="AP53" s="367">
        <f t="shared" si="16"/>
        <v>53331.89</v>
      </c>
      <c r="AQ53" s="363">
        <f t="shared" si="16"/>
        <v>53331.89</v>
      </c>
      <c r="AR53" s="280">
        <f t="shared" si="17"/>
        <v>0</v>
      </c>
      <c r="AS53" s="367">
        <f t="shared" si="22"/>
        <v>77383.3</v>
      </c>
      <c r="AT53" s="363">
        <f t="shared" si="18"/>
        <v>59712.43</v>
      </c>
      <c r="AU53" s="280">
        <f t="shared" si="19"/>
        <v>17670.87</v>
      </c>
      <c r="AV53" s="1253">
        <f t="shared" si="20"/>
        <v>199.88</v>
      </c>
      <c r="AW53" s="367">
        <f t="shared" ref="AW53:BT53" si="35">SUM(AW54:AW56)</f>
        <v>0</v>
      </c>
      <c r="AX53" s="1097">
        <f t="shared" si="35"/>
        <v>0</v>
      </c>
      <c r="AY53" s="363">
        <f t="shared" si="35"/>
        <v>6440.27</v>
      </c>
      <c r="AZ53" s="1097">
        <f t="shared" si="35"/>
        <v>6440.27</v>
      </c>
      <c r="BA53" s="363">
        <f t="shared" si="35"/>
        <v>9940.27</v>
      </c>
      <c r="BB53" s="1119">
        <f t="shared" si="35"/>
        <v>9940.27</v>
      </c>
      <c r="BC53" s="367">
        <f t="shared" si="35"/>
        <v>10390.27</v>
      </c>
      <c r="BD53" s="363">
        <f t="shared" si="35"/>
        <v>10390.27</v>
      </c>
      <c r="BE53" s="363">
        <f t="shared" si="35"/>
        <v>10390.27</v>
      </c>
      <c r="BF53" s="363">
        <f t="shared" si="35"/>
        <v>10390.27</v>
      </c>
      <c r="BG53" s="363">
        <f t="shared" si="35"/>
        <v>8600</v>
      </c>
      <c r="BH53" s="369">
        <f t="shared" si="35"/>
        <v>8600</v>
      </c>
      <c r="BI53" s="367">
        <f t="shared" si="35"/>
        <v>4000</v>
      </c>
      <c r="BJ53" s="363">
        <f t="shared" si="35"/>
        <v>4000</v>
      </c>
      <c r="BK53" s="363">
        <f t="shared" si="35"/>
        <v>3570.81</v>
      </c>
      <c r="BL53" s="363">
        <f t="shared" si="35"/>
        <v>3570.81</v>
      </c>
      <c r="BM53" s="363">
        <f t="shared" si="35"/>
        <v>0</v>
      </c>
      <c r="BN53" s="369">
        <f t="shared" si="35"/>
        <v>0</v>
      </c>
      <c r="BO53" s="367">
        <f t="shared" si="35"/>
        <v>6380.54</v>
      </c>
      <c r="BP53" s="363">
        <f t="shared" si="35"/>
        <v>6380.54</v>
      </c>
      <c r="BQ53" s="363">
        <f t="shared" si="35"/>
        <v>5190.2700000000004</v>
      </c>
      <c r="BR53" s="363">
        <f t="shared" si="35"/>
        <v>0</v>
      </c>
      <c r="BS53" s="363">
        <f t="shared" si="35"/>
        <v>12480.6</v>
      </c>
      <c r="BT53" s="280">
        <f t="shared" si="35"/>
        <v>0</v>
      </c>
    </row>
    <row r="54" spans="1:72" s="313" customFormat="1" ht="63.75" outlineLevel="1">
      <c r="A54" s="287">
        <v>44</v>
      </c>
      <c r="B54" s="933"/>
      <c r="C54" s="840"/>
      <c r="D54" s="853" t="s">
        <v>588</v>
      </c>
      <c r="E54" s="839"/>
      <c r="F54" s="821" t="s">
        <v>7</v>
      </c>
      <c r="G54" s="314">
        <v>4</v>
      </c>
      <c r="H54" s="739" t="s">
        <v>71</v>
      </c>
      <c r="I54" s="739">
        <v>244</v>
      </c>
      <c r="J54" s="740">
        <v>225</v>
      </c>
      <c r="K54" s="533" t="s">
        <v>262</v>
      </c>
      <c r="L54" s="1025">
        <f>18311.28-4028.04</f>
        <v>14283.24</v>
      </c>
      <c r="M54" s="318"/>
      <c r="N54" s="318"/>
      <c r="O54" s="1052">
        <f t="shared" si="21"/>
        <v>14283.24</v>
      </c>
      <c r="P54" s="559"/>
      <c r="Q54" s="341">
        <v>18311.28</v>
      </c>
      <c r="R54" s="559"/>
      <c r="S54" s="341">
        <v>18311.28</v>
      </c>
      <c r="T54" s="559"/>
      <c r="U54" s="335"/>
      <c r="V54" s="596" t="s">
        <v>253</v>
      </c>
      <c r="W54" s="597" t="s">
        <v>394</v>
      </c>
      <c r="X54" s="597" t="s">
        <v>381</v>
      </c>
      <c r="Z54" s="336">
        <f t="shared" ref="Z54:AA104" si="36">AW54+AY54+BA54</f>
        <v>2380.54</v>
      </c>
      <c r="AA54" s="337">
        <f t="shared" si="36"/>
        <v>2380.54</v>
      </c>
      <c r="AB54" s="338">
        <f t="shared" si="7"/>
        <v>0</v>
      </c>
      <c r="AC54" s="336">
        <f t="shared" ref="AC54:AD104" si="37">BC54+BE54+BG54</f>
        <v>2380.54</v>
      </c>
      <c r="AD54" s="337">
        <f t="shared" si="37"/>
        <v>2380.54</v>
      </c>
      <c r="AE54" s="338">
        <f t="shared" si="9"/>
        <v>0</v>
      </c>
      <c r="AF54" s="336">
        <f t="shared" ref="AF54:AG104" si="38">BI54+BK54+BM54</f>
        <v>3570.81</v>
      </c>
      <c r="AG54" s="337">
        <f t="shared" si="38"/>
        <v>3570.81</v>
      </c>
      <c r="AH54" s="338">
        <f t="shared" si="11"/>
        <v>0</v>
      </c>
      <c r="AI54" s="336">
        <f t="shared" ref="AI54:AJ104" si="39">BO54+BQ54+BS54</f>
        <v>5951.35</v>
      </c>
      <c r="AJ54" s="337">
        <f t="shared" si="39"/>
        <v>2380.54</v>
      </c>
      <c r="AK54" s="338">
        <f t="shared" si="13"/>
        <v>3570.81</v>
      </c>
      <c r="AL54" s="342"/>
      <c r="AM54" s="336">
        <f t="shared" ref="AM54:AN104" si="40">Z54+AC54</f>
        <v>4761.08</v>
      </c>
      <c r="AN54" s="339">
        <f t="shared" si="40"/>
        <v>4761.08</v>
      </c>
      <c r="AO54" s="340">
        <f t="shared" si="15"/>
        <v>0</v>
      </c>
      <c r="AP54" s="336">
        <f t="shared" ref="AP54:AQ104" si="41">Z54+AC54+AF54</f>
        <v>8331.89</v>
      </c>
      <c r="AQ54" s="339">
        <f t="shared" si="41"/>
        <v>8331.89</v>
      </c>
      <c r="AR54" s="340">
        <f t="shared" si="17"/>
        <v>0</v>
      </c>
      <c r="AS54" s="341">
        <f t="shared" si="22"/>
        <v>14283.24</v>
      </c>
      <c r="AT54" s="339">
        <f t="shared" si="18"/>
        <v>10712.43</v>
      </c>
      <c r="AU54" s="340">
        <f t="shared" si="19"/>
        <v>3570.81</v>
      </c>
      <c r="AV54" s="1255">
        <f t="shared" si="20"/>
        <v>0</v>
      </c>
      <c r="AW54" s="1241"/>
      <c r="AX54" s="1218"/>
      <c r="AY54" s="1217">
        <v>1190.27</v>
      </c>
      <c r="AZ54" s="1218">
        <v>1190.27</v>
      </c>
      <c r="BA54" s="1217">
        <v>1190.27</v>
      </c>
      <c r="BB54" s="1219">
        <v>1190.27</v>
      </c>
      <c r="BC54" s="1220">
        <v>1190.27</v>
      </c>
      <c r="BD54" s="1221">
        <v>1190.27</v>
      </c>
      <c r="BE54" s="1222">
        <v>1190.27</v>
      </c>
      <c r="BF54" s="1221">
        <v>1190.27</v>
      </c>
      <c r="BG54" s="1222"/>
      <c r="BH54" s="1223"/>
      <c r="BI54" s="1224"/>
      <c r="BJ54" s="1225"/>
      <c r="BK54" s="1230">
        <f>1190.27*3</f>
        <v>3570.81</v>
      </c>
      <c r="BL54" s="1225">
        <f>1190.27*3</f>
        <v>3570.81</v>
      </c>
      <c r="BM54" s="1230"/>
      <c r="BN54" s="1293"/>
      <c r="BO54" s="1138">
        <f>1190.27*2</f>
        <v>2380.54</v>
      </c>
      <c r="BP54" s="355">
        <f>1190.27*2</f>
        <v>2380.54</v>
      </c>
      <c r="BQ54" s="356">
        <v>1190.27</v>
      </c>
      <c r="BR54" s="355"/>
      <c r="BS54" s="356">
        <f>1190.27*2</f>
        <v>2380.54</v>
      </c>
      <c r="BT54" s="357"/>
    </row>
    <row r="55" spans="1:72" s="313" customFormat="1" ht="76.5" outlineLevel="1">
      <c r="A55" s="287">
        <v>45</v>
      </c>
      <c r="B55" s="933"/>
      <c r="C55" s="840"/>
      <c r="D55" s="853" t="s">
        <v>588</v>
      </c>
      <c r="E55" s="839"/>
      <c r="F55" s="821" t="s">
        <v>7</v>
      </c>
      <c r="G55" s="314">
        <v>4</v>
      </c>
      <c r="H55" s="739" t="s">
        <v>71</v>
      </c>
      <c r="I55" s="739">
        <v>244</v>
      </c>
      <c r="J55" s="740">
        <v>225</v>
      </c>
      <c r="K55" s="533" t="s">
        <v>263</v>
      </c>
      <c r="L55" s="1025">
        <v>25199.88</v>
      </c>
      <c r="M55" s="318"/>
      <c r="N55" s="318">
        <v>-199.88</v>
      </c>
      <c r="O55" s="1294">
        <f t="shared" si="21"/>
        <v>25000</v>
      </c>
      <c r="P55" s="559"/>
      <c r="Q55" s="341">
        <v>25199.88</v>
      </c>
      <c r="R55" s="559"/>
      <c r="S55" s="341">
        <v>25199.88</v>
      </c>
      <c r="T55" s="559"/>
      <c r="U55" s="335"/>
      <c r="V55" s="1226" t="s">
        <v>599</v>
      </c>
      <c r="W55" s="1227" t="s">
        <v>452</v>
      </c>
      <c r="X55" s="1227" t="s">
        <v>453</v>
      </c>
      <c r="Z55" s="336">
        <f t="shared" si="36"/>
        <v>10000</v>
      </c>
      <c r="AA55" s="337">
        <f t="shared" si="36"/>
        <v>10000</v>
      </c>
      <c r="AB55" s="338">
        <f t="shared" si="7"/>
        <v>0</v>
      </c>
      <c r="AC55" s="336">
        <f t="shared" si="37"/>
        <v>15000</v>
      </c>
      <c r="AD55" s="337">
        <f t="shared" si="37"/>
        <v>15000</v>
      </c>
      <c r="AE55" s="338">
        <f t="shared" si="9"/>
        <v>0</v>
      </c>
      <c r="AF55" s="336">
        <f t="shared" si="38"/>
        <v>0</v>
      </c>
      <c r="AG55" s="337">
        <f t="shared" si="38"/>
        <v>0</v>
      </c>
      <c r="AH55" s="338">
        <f t="shared" si="11"/>
        <v>0</v>
      </c>
      <c r="AI55" s="336">
        <f t="shared" si="39"/>
        <v>0</v>
      </c>
      <c r="AJ55" s="337">
        <f t="shared" si="39"/>
        <v>0</v>
      </c>
      <c r="AK55" s="338">
        <f t="shared" si="13"/>
        <v>0</v>
      </c>
      <c r="AL55" s="342"/>
      <c r="AM55" s="336">
        <f t="shared" si="40"/>
        <v>25000</v>
      </c>
      <c r="AN55" s="339">
        <f t="shared" si="40"/>
        <v>25000</v>
      </c>
      <c r="AO55" s="340">
        <f t="shared" si="15"/>
        <v>0</v>
      </c>
      <c r="AP55" s="336">
        <f t="shared" si="41"/>
        <v>25000</v>
      </c>
      <c r="AQ55" s="339">
        <f t="shared" si="41"/>
        <v>25000</v>
      </c>
      <c r="AR55" s="340">
        <f t="shared" si="17"/>
        <v>0</v>
      </c>
      <c r="AS55" s="341">
        <f t="shared" si="22"/>
        <v>25000</v>
      </c>
      <c r="AT55" s="339">
        <f t="shared" si="18"/>
        <v>25000</v>
      </c>
      <c r="AU55" s="340">
        <f t="shared" si="19"/>
        <v>0</v>
      </c>
      <c r="AV55" s="1258">
        <f t="shared" si="20"/>
        <v>199.88</v>
      </c>
      <c r="AW55" s="343"/>
      <c r="AX55" s="1098"/>
      <c r="AY55" s="1217">
        <v>5250</v>
      </c>
      <c r="AZ55" s="1218">
        <v>5250</v>
      </c>
      <c r="BA55" s="1217">
        <v>4750</v>
      </c>
      <c r="BB55" s="1219">
        <v>4750</v>
      </c>
      <c r="BC55" s="1220">
        <v>5200</v>
      </c>
      <c r="BD55" s="1221">
        <v>5200</v>
      </c>
      <c r="BE55" s="1222">
        <v>5200</v>
      </c>
      <c r="BF55" s="1221">
        <v>5200</v>
      </c>
      <c r="BG55" s="1222">
        <v>4600</v>
      </c>
      <c r="BH55" s="1223">
        <v>4600</v>
      </c>
      <c r="BI55" s="351"/>
      <c r="BJ55" s="352"/>
      <c r="BK55" s="337"/>
      <c r="BL55" s="352"/>
      <c r="BM55" s="337"/>
      <c r="BN55" s="353"/>
      <c r="BO55" s="354"/>
      <c r="BP55" s="355"/>
      <c r="BQ55" s="356"/>
      <c r="BR55" s="355"/>
      <c r="BS55" s="356"/>
      <c r="BT55" s="357"/>
    </row>
    <row r="56" spans="1:72" s="313" customFormat="1" ht="63.75" outlineLevel="1">
      <c r="A56" s="287">
        <v>46</v>
      </c>
      <c r="B56" s="933"/>
      <c r="C56" s="840"/>
      <c r="D56" s="853" t="s">
        <v>588</v>
      </c>
      <c r="E56" s="839"/>
      <c r="F56" s="821" t="s">
        <v>7</v>
      </c>
      <c r="G56" s="314">
        <v>4</v>
      </c>
      <c r="H56" s="739" t="s">
        <v>71</v>
      </c>
      <c r="I56" s="739">
        <v>244</v>
      </c>
      <c r="J56" s="740">
        <v>225</v>
      </c>
      <c r="K56" s="533" t="s">
        <v>361</v>
      </c>
      <c r="L56" s="1025">
        <v>38100.06</v>
      </c>
      <c r="M56" s="318"/>
      <c r="N56" s="318"/>
      <c r="O56" s="1052">
        <f t="shared" si="21"/>
        <v>38100.06</v>
      </c>
      <c r="P56" s="559"/>
      <c r="Q56" s="341">
        <v>38100.06</v>
      </c>
      <c r="R56" s="559"/>
      <c r="S56" s="341">
        <v>38100.06</v>
      </c>
      <c r="T56" s="559"/>
      <c r="U56" s="335"/>
      <c r="V56" s="597" t="s">
        <v>258</v>
      </c>
      <c r="W56" s="597" t="s">
        <v>454</v>
      </c>
      <c r="X56" s="597" t="s">
        <v>455</v>
      </c>
      <c r="Z56" s="336">
        <f t="shared" si="36"/>
        <v>4000</v>
      </c>
      <c r="AA56" s="337">
        <f t="shared" si="36"/>
        <v>4000</v>
      </c>
      <c r="AB56" s="338">
        <f t="shared" si="7"/>
        <v>0</v>
      </c>
      <c r="AC56" s="336">
        <f t="shared" si="37"/>
        <v>12000</v>
      </c>
      <c r="AD56" s="337">
        <f t="shared" si="37"/>
        <v>12000</v>
      </c>
      <c r="AE56" s="338">
        <f t="shared" si="9"/>
        <v>0</v>
      </c>
      <c r="AF56" s="336">
        <f t="shared" si="38"/>
        <v>4000</v>
      </c>
      <c r="AG56" s="337">
        <f t="shared" si="38"/>
        <v>4000</v>
      </c>
      <c r="AH56" s="338">
        <f t="shared" si="11"/>
        <v>0</v>
      </c>
      <c r="AI56" s="336">
        <f t="shared" si="39"/>
        <v>18100.060000000001</v>
      </c>
      <c r="AJ56" s="337">
        <f t="shared" si="39"/>
        <v>4000</v>
      </c>
      <c r="AK56" s="338">
        <f t="shared" si="13"/>
        <v>14100.06</v>
      </c>
      <c r="AL56" s="342"/>
      <c r="AM56" s="336">
        <f t="shared" si="40"/>
        <v>16000</v>
      </c>
      <c r="AN56" s="339">
        <f t="shared" si="40"/>
        <v>16000</v>
      </c>
      <c r="AO56" s="340">
        <f t="shared" si="15"/>
        <v>0</v>
      </c>
      <c r="AP56" s="336">
        <f t="shared" si="41"/>
        <v>20000</v>
      </c>
      <c r="AQ56" s="339">
        <f t="shared" si="41"/>
        <v>20000</v>
      </c>
      <c r="AR56" s="340">
        <f t="shared" si="17"/>
        <v>0</v>
      </c>
      <c r="AS56" s="341">
        <f t="shared" si="22"/>
        <v>38100.06</v>
      </c>
      <c r="AT56" s="339">
        <f t="shared" si="18"/>
        <v>24000</v>
      </c>
      <c r="AU56" s="340">
        <f t="shared" si="19"/>
        <v>14100.06</v>
      </c>
      <c r="AV56" s="1255">
        <f t="shared" si="20"/>
        <v>0</v>
      </c>
      <c r="AW56" s="1241"/>
      <c r="AX56" s="1218"/>
      <c r="AY56" s="1217"/>
      <c r="AZ56" s="1218"/>
      <c r="BA56" s="1217">
        <v>4000</v>
      </c>
      <c r="BB56" s="1219">
        <v>4000</v>
      </c>
      <c r="BC56" s="1220">
        <v>4000</v>
      </c>
      <c r="BD56" s="1221">
        <v>4000</v>
      </c>
      <c r="BE56" s="1222">
        <v>4000</v>
      </c>
      <c r="BF56" s="1221">
        <v>4000</v>
      </c>
      <c r="BG56" s="1222">
        <v>4000</v>
      </c>
      <c r="BH56" s="1223">
        <v>4000</v>
      </c>
      <c r="BI56" s="1224">
        <v>4000</v>
      </c>
      <c r="BJ56" s="1225">
        <v>4000</v>
      </c>
      <c r="BK56" s="1230"/>
      <c r="BL56" s="1225"/>
      <c r="BM56" s="1230"/>
      <c r="BN56" s="1293"/>
      <c r="BO56" s="1138">
        <v>4000</v>
      </c>
      <c r="BP56" s="355">
        <v>4000</v>
      </c>
      <c r="BQ56" s="356">
        <v>4000</v>
      </c>
      <c r="BR56" s="355"/>
      <c r="BS56" s="356">
        <f>4000*2+2100.06</f>
        <v>10100.06</v>
      </c>
      <c r="BT56" s="357"/>
    </row>
    <row r="57" spans="1:72" s="358" customFormat="1" ht="31.5" customHeight="1">
      <c r="A57" s="287">
        <v>47</v>
      </c>
      <c r="B57" s="933"/>
      <c r="C57" s="850" t="s">
        <v>377</v>
      </c>
      <c r="D57" s="853" t="s">
        <v>207</v>
      </c>
      <c r="E57" s="836" t="s">
        <v>201</v>
      </c>
      <c r="F57" s="820" t="s">
        <v>7</v>
      </c>
      <c r="G57" s="360">
        <v>4</v>
      </c>
      <c r="H57" s="360" t="s">
        <v>71</v>
      </c>
      <c r="I57" s="360">
        <v>244</v>
      </c>
      <c r="J57" s="361">
        <v>225</v>
      </c>
      <c r="K57" s="532" t="s">
        <v>148</v>
      </c>
      <c r="L57" s="1023">
        <f>SUM(L58:L61)</f>
        <v>532089.69999999995</v>
      </c>
      <c r="M57" s="363"/>
      <c r="N57" s="363">
        <f>SUM(N58:N61)</f>
        <v>0</v>
      </c>
      <c r="O57" s="1051">
        <f t="shared" si="21"/>
        <v>532089.69999999995</v>
      </c>
      <c r="P57" s="557"/>
      <c r="Q57" s="367">
        <f>SUM(Q58:Q61)</f>
        <v>538687.53</v>
      </c>
      <c r="R57" s="557"/>
      <c r="S57" s="367">
        <f>SUM(S58:S61)</f>
        <v>538687.52</v>
      </c>
      <c r="T57" s="557"/>
      <c r="U57" s="365"/>
      <c r="V57" s="366">
        <f>L265</f>
        <v>109000</v>
      </c>
      <c r="W57" s="366"/>
      <c r="X57" s="391">
        <f>L57/(L57+V57)</f>
        <v>0.83</v>
      </c>
      <c r="Z57" s="367">
        <f t="shared" si="36"/>
        <v>53494.19</v>
      </c>
      <c r="AA57" s="363">
        <f t="shared" si="36"/>
        <v>53494.19</v>
      </c>
      <c r="AB57" s="280">
        <f t="shared" si="7"/>
        <v>0</v>
      </c>
      <c r="AC57" s="367">
        <f t="shared" si="37"/>
        <v>101255.89</v>
      </c>
      <c r="AD57" s="363">
        <f t="shared" si="37"/>
        <v>101255.89</v>
      </c>
      <c r="AE57" s="280">
        <f t="shared" si="9"/>
        <v>0</v>
      </c>
      <c r="AF57" s="367">
        <f t="shared" si="38"/>
        <v>71695.16</v>
      </c>
      <c r="AG57" s="363">
        <f t="shared" si="38"/>
        <v>51433.47</v>
      </c>
      <c r="AH57" s="280">
        <f t="shared" si="11"/>
        <v>20261.689999999999</v>
      </c>
      <c r="AI57" s="367">
        <f t="shared" si="39"/>
        <v>256117.05</v>
      </c>
      <c r="AJ57" s="363">
        <f t="shared" si="39"/>
        <v>0</v>
      </c>
      <c r="AK57" s="280">
        <f t="shared" si="13"/>
        <v>256117.05</v>
      </c>
      <c r="AL57" s="368"/>
      <c r="AM57" s="367">
        <f t="shared" si="40"/>
        <v>154750.07999999999</v>
      </c>
      <c r="AN57" s="363">
        <f t="shared" si="40"/>
        <v>154750.07999999999</v>
      </c>
      <c r="AO57" s="280">
        <f t="shared" si="15"/>
        <v>0</v>
      </c>
      <c r="AP57" s="367">
        <f t="shared" si="41"/>
        <v>226445.24</v>
      </c>
      <c r="AQ57" s="363">
        <f t="shared" si="41"/>
        <v>206183.55</v>
      </c>
      <c r="AR57" s="280">
        <f t="shared" si="17"/>
        <v>20261.689999999999</v>
      </c>
      <c r="AS57" s="367">
        <f t="shared" si="22"/>
        <v>482562.29</v>
      </c>
      <c r="AT57" s="363">
        <f t="shared" si="18"/>
        <v>206183.55</v>
      </c>
      <c r="AU57" s="280">
        <f t="shared" si="19"/>
        <v>276378.74</v>
      </c>
      <c r="AV57" s="1253">
        <f t="shared" si="20"/>
        <v>49527.41</v>
      </c>
      <c r="AW57" s="367">
        <f t="shared" ref="AW57:BS57" si="42">SUM(AW58:AW61)</f>
        <v>0</v>
      </c>
      <c r="AX57" s="1097">
        <f t="shared" si="42"/>
        <v>0</v>
      </c>
      <c r="AY57" s="363">
        <f t="shared" si="42"/>
        <v>22339.96</v>
      </c>
      <c r="AZ57" s="1097">
        <f t="shared" si="42"/>
        <v>22339.96</v>
      </c>
      <c r="BA57" s="363">
        <f t="shared" si="42"/>
        <v>31154.23</v>
      </c>
      <c r="BB57" s="1119">
        <f t="shared" si="42"/>
        <v>31154.23</v>
      </c>
      <c r="BC57" s="367">
        <f t="shared" si="42"/>
        <v>35050.83</v>
      </c>
      <c r="BD57" s="363">
        <f t="shared" si="42"/>
        <v>35050.83</v>
      </c>
      <c r="BE57" s="363">
        <f t="shared" si="42"/>
        <v>35050.83</v>
      </c>
      <c r="BF57" s="363">
        <f t="shared" si="42"/>
        <v>35050.83</v>
      </c>
      <c r="BG57" s="363">
        <f t="shared" si="42"/>
        <v>31154.23</v>
      </c>
      <c r="BH57" s="369">
        <f t="shared" si="42"/>
        <v>31154.23</v>
      </c>
      <c r="BI57" s="367">
        <f t="shared" si="42"/>
        <v>51433.47</v>
      </c>
      <c r="BJ57" s="363">
        <f t="shared" si="42"/>
        <v>51433.47</v>
      </c>
      <c r="BK57" s="363">
        <f t="shared" si="42"/>
        <v>3355.24</v>
      </c>
      <c r="BL57" s="363">
        <f t="shared" si="42"/>
        <v>0</v>
      </c>
      <c r="BM57" s="363">
        <f t="shared" si="42"/>
        <v>16906.45</v>
      </c>
      <c r="BN57" s="369">
        <f t="shared" si="42"/>
        <v>0</v>
      </c>
      <c r="BO57" s="367">
        <f t="shared" si="42"/>
        <v>61053.3</v>
      </c>
      <c r="BP57" s="363">
        <f t="shared" si="42"/>
        <v>0</v>
      </c>
      <c r="BQ57" s="363">
        <f t="shared" si="42"/>
        <v>63601.65</v>
      </c>
      <c r="BR57" s="363">
        <f t="shared" si="42"/>
        <v>0</v>
      </c>
      <c r="BS57" s="363">
        <f t="shared" si="42"/>
        <v>131462.1</v>
      </c>
      <c r="BT57" s="280">
        <f t="shared" ref="BT57" si="43">BT58</f>
        <v>0</v>
      </c>
    </row>
    <row r="58" spans="1:72" s="313" customFormat="1" ht="38.25" outlineLevel="1">
      <c r="A58" s="287">
        <v>48</v>
      </c>
      <c r="B58" s="936"/>
      <c r="C58" s="840"/>
      <c r="D58" s="853" t="s">
        <v>207</v>
      </c>
      <c r="E58" s="839"/>
      <c r="F58" s="821" t="s">
        <v>7</v>
      </c>
      <c r="G58" s="314">
        <v>4</v>
      </c>
      <c r="H58" s="739" t="s">
        <v>71</v>
      </c>
      <c r="I58" s="739">
        <v>244</v>
      </c>
      <c r="J58" s="740">
        <v>225</v>
      </c>
      <c r="K58" s="1005" t="s">
        <v>983</v>
      </c>
      <c r="L58" s="1031">
        <f>69756.71-20229.3</f>
        <v>49527.41</v>
      </c>
      <c r="M58" s="318"/>
      <c r="N58" s="318"/>
      <c r="O58" s="1055">
        <f t="shared" si="21"/>
        <v>49527.41</v>
      </c>
      <c r="P58" s="559"/>
      <c r="Q58" s="336"/>
      <c r="R58" s="559"/>
      <c r="S58" s="336"/>
      <c r="T58" s="559"/>
      <c r="U58" s="335"/>
      <c r="V58" s="811"/>
      <c r="W58" s="811"/>
      <c r="X58" s="811"/>
      <c r="Z58" s="336">
        <f t="shared" si="36"/>
        <v>0</v>
      </c>
      <c r="AA58" s="337">
        <f t="shared" si="36"/>
        <v>0</v>
      </c>
      <c r="AB58" s="338">
        <f t="shared" si="7"/>
        <v>0</v>
      </c>
      <c r="AC58" s="336">
        <f t="shared" si="37"/>
        <v>0</v>
      </c>
      <c r="AD58" s="337">
        <f t="shared" si="37"/>
        <v>0</v>
      </c>
      <c r="AE58" s="338">
        <f t="shared" si="9"/>
        <v>0</v>
      </c>
      <c r="AF58" s="336">
        <f t="shared" si="38"/>
        <v>0</v>
      </c>
      <c r="AG58" s="337">
        <f t="shared" si="38"/>
        <v>0</v>
      </c>
      <c r="AH58" s="338">
        <f t="shared" si="11"/>
        <v>0</v>
      </c>
      <c r="AI58" s="336">
        <f t="shared" si="39"/>
        <v>0</v>
      </c>
      <c r="AJ58" s="337">
        <f t="shared" si="39"/>
        <v>0</v>
      </c>
      <c r="AK58" s="338">
        <f t="shared" si="13"/>
        <v>0</v>
      </c>
      <c r="AL58" s="342"/>
      <c r="AM58" s="336">
        <f t="shared" si="40"/>
        <v>0</v>
      </c>
      <c r="AN58" s="339">
        <f t="shared" si="40"/>
        <v>0</v>
      </c>
      <c r="AO58" s="340">
        <f t="shared" si="15"/>
        <v>0</v>
      </c>
      <c r="AP58" s="336">
        <f t="shared" si="41"/>
        <v>0</v>
      </c>
      <c r="AQ58" s="339">
        <f t="shared" si="41"/>
        <v>0</v>
      </c>
      <c r="AR58" s="340">
        <f t="shared" si="17"/>
        <v>0</v>
      </c>
      <c r="AS58" s="341">
        <f t="shared" si="22"/>
        <v>0</v>
      </c>
      <c r="AT58" s="339">
        <f t="shared" si="18"/>
        <v>0</v>
      </c>
      <c r="AU58" s="340">
        <f t="shared" si="19"/>
        <v>0</v>
      </c>
      <c r="AV58" s="1255">
        <f t="shared" si="20"/>
        <v>49527.41</v>
      </c>
      <c r="AW58" s="343"/>
      <c r="AX58" s="1098"/>
      <c r="AY58" s="1217"/>
      <c r="AZ58" s="1218"/>
      <c r="BA58" s="1222"/>
      <c r="BB58" s="1219"/>
      <c r="BC58" s="1220"/>
      <c r="BD58" s="1221"/>
      <c r="BE58" s="1222"/>
      <c r="BF58" s="1221"/>
      <c r="BG58" s="1222"/>
      <c r="BH58" s="1223"/>
      <c r="BI58" s="1224"/>
      <c r="BJ58" s="1225"/>
      <c r="BK58" s="337"/>
      <c r="BL58" s="352"/>
      <c r="BM58" s="337"/>
      <c r="BN58" s="353"/>
      <c r="BO58" s="354"/>
      <c r="BP58" s="355"/>
      <c r="BQ58" s="356"/>
      <c r="BR58" s="355"/>
      <c r="BS58" s="356"/>
      <c r="BT58" s="357"/>
    </row>
    <row r="59" spans="1:72" s="313" customFormat="1" ht="25.5" outlineLevel="1">
      <c r="A59" s="287">
        <v>48</v>
      </c>
      <c r="B59" s="933"/>
      <c r="C59" s="840"/>
      <c r="D59" s="853" t="s">
        <v>207</v>
      </c>
      <c r="E59" s="839"/>
      <c r="F59" s="821" t="s">
        <v>7</v>
      </c>
      <c r="G59" s="314">
        <v>4</v>
      </c>
      <c r="H59" s="739" t="s">
        <v>71</v>
      </c>
      <c r="I59" s="739">
        <v>244</v>
      </c>
      <c r="J59" s="740">
        <v>225</v>
      </c>
      <c r="K59" s="533" t="s">
        <v>209</v>
      </c>
      <c r="L59" s="1025">
        <f>535089.7-20261.69-235887.75-72756.71</f>
        <v>206183.55</v>
      </c>
      <c r="M59" s="318"/>
      <c r="N59" s="318"/>
      <c r="O59" s="1052">
        <f t="shared" ref="O59" si="44">L59+N59</f>
        <v>206183.55</v>
      </c>
      <c r="P59" s="559"/>
      <c r="Q59" s="336">
        <v>538687.53</v>
      </c>
      <c r="R59" s="559"/>
      <c r="S59" s="336">
        <v>538687.52</v>
      </c>
      <c r="T59" s="559"/>
      <c r="U59" s="335"/>
      <c r="V59" s="1227" t="s">
        <v>832</v>
      </c>
      <c r="W59" s="1227" t="s">
        <v>685</v>
      </c>
      <c r="X59" s="1227" t="s">
        <v>686</v>
      </c>
      <c r="Z59" s="336">
        <f t="shared" ref="Z59" si="45">AW59+AY59+BA59</f>
        <v>53494.19</v>
      </c>
      <c r="AA59" s="337">
        <f t="shared" ref="AA59" si="46">AX59+AZ59+BB59</f>
        <v>53494.19</v>
      </c>
      <c r="AB59" s="338">
        <f t="shared" ref="AB59" si="47">Z59-AA59</f>
        <v>0</v>
      </c>
      <c r="AC59" s="336">
        <f t="shared" ref="AC59" si="48">BC59+BE59+BG59</f>
        <v>101255.89</v>
      </c>
      <c r="AD59" s="337">
        <f t="shared" ref="AD59" si="49">BD59+BF59+BH59</f>
        <v>101255.89</v>
      </c>
      <c r="AE59" s="338">
        <f t="shared" ref="AE59" si="50">AC59-AD59</f>
        <v>0</v>
      </c>
      <c r="AF59" s="336">
        <f t="shared" ref="AF59" si="51">BI59+BK59+BM59</f>
        <v>51433.47</v>
      </c>
      <c r="AG59" s="337">
        <f t="shared" ref="AG59" si="52">BJ59+BL59+BN59</f>
        <v>51433.47</v>
      </c>
      <c r="AH59" s="338">
        <f t="shared" ref="AH59" si="53">AF59-AG59</f>
        <v>0</v>
      </c>
      <c r="AI59" s="336">
        <f t="shared" ref="AI59" si="54">BO59+BQ59+BS59</f>
        <v>0</v>
      </c>
      <c r="AJ59" s="337">
        <f t="shared" ref="AJ59" si="55">BP59+BR59+BT59</f>
        <v>0</v>
      </c>
      <c r="AK59" s="338">
        <f t="shared" ref="AK59" si="56">AI59-AJ59</f>
        <v>0</v>
      </c>
      <c r="AL59" s="342"/>
      <c r="AM59" s="336">
        <f t="shared" ref="AM59" si="57">Z59+AC59</f>
        <v>154750.07999999999</v>
      </c>
      <c r="AN59" s="339">
        <f t="shared" ref="AN59" si="58">AA59+AD59</f>
        <v>154750.07999999999</v>
      </c>
      <c r="AO59" s="340">
        <f t="shared" ref="AO59" si="59">AM59-AN59</f>
        <v>0</v>
      </c>
      <c r="AP59" s="336">
        <f t="shared" ref="AP59" si="60">Z59+AC59+AF59</f>
        <v>206183.55</v>
      </c>
      <c r="AQ59" s="339">
        <f t="shared" ref="AQ59" si="61">AA59+AD59+AG59</f>
        <v>206183.55</v>
      </c>
      <c r="AR59" s="340">
        <f t="shared" ref="AR59" si="62">AP59-AQ59</f>
        <v>0</v>
      </c>
      <c r="AS59" s="809">
        <f t="shared" ref="AS59" si="63">Z59+AC59+AF59+AI59</f>
        <v>206183.55</v>
      </c>
      <c r="AT59" s="339">
        <f t="shared" ref="AT59" si="64">AA59+AD59+AG59+AJ59</f>
        <v>206183.55</v>
      </c>
      <c r="AU59" s="340">
        <f t="shared" ref="AU59" si="65">AS59-AT59</f>
        <v>0</v>
      </c>
      <c r="AV59" s="1255">
        <f t="shared" ref="AV59" si="66">L59-AS59</f>
        <v>0</v>
      </c>
      <c r="AW59" s="343"/>
      <c r="AX59" s="1098"/>
      <c r="AY59" s="1217">
        <v>22339.96</v>
      </c>
      <c r="AZ59" s="1218">
        <v>22339.96</v>
      </c>
      <c r="BA59" s="1222">
        <f>ROUND(925.05*1.61*19,2)+ROUND(354.9*1.61*5,2)</f>
        <v>31154.23</v>
      </c>
      <c r="BB59" s="1219">
        <v>31154.23</v>
      </c>
      <c r="BC59" s="1220">
        <f>925.05*1.61*22+354.9*1.61*4</f>
        <v>35050.83</v>
      </c>
      <c r="BD59" s="1221">
        <v>35050.83</v>
      </c>
      <c r="BE59" s="1222">
        <f>925.05*1.61*22+354.9*1.61*4</f>
        <v>35050.83</v>
      </c>
      <c r="BF59" s="1221">
        <v>35050.83</v>
      </c>
      <c r="BG59" s="1222">
        <f>ROUND(925.05*1.61*19,2)+ROUND(354.9*1.61*5,2)</f>
        <v>31154.23</v>
      </c>
      <c r="BH59" s="1223">
        <v>31154.23</v>
      </c>
      <c r="BI59" s="1224">
        <v>51433.47</v>
      </c>
      <c r="BJ59" s="1225">
        <v>51433.47</v>
      </c>
      <c r="BK59" s="337"/>
      <c r="BL59" s="352"/>
      <c r="BM59" s="337"/>
      <c r="BN59" s="353"/>
      <c r="BO59" s="354"/>
      <c r="BP59" s="355"/>
      <c r="BQ59" s="356"/>
      <c r="BR59" s="355"/>
      <c r="BS59" s="356"/>
      <c r="BT59" s="357"/>
    </row>
    <row r="60" spans="1:72" s="313" customFormat="1" ht="25.5" outlineLevel="1">
      <c r="A60" s="1192">
        <v>48.1</v>
      </c>
      <c r="B60" s="933"/>
      <c r="C60" s="840"/>
      <c r="D60" s="853" t="s">
        <v>207</v>
      </c>
      <c r="E60" s="839"/>
      <c r="F60" s="821" t="s">
        <v>7</v>
      </c>
      <c r="G60" s="314">
        <v>4</v>
      </c>
      <c r="H60" s="739" t="s">
        <v>71</v>
      </c>
      <c r="I60" s="739">
        <v>244</v>
      </c>
      <c r="J60" s="740">
        <v>225</v>
      </c>
      <c r="K60" s="533" t="s">
        <v>209</v>
      </c>
      <c r="L60" s="1025">
        <v>20261.689999999999</v>
      </c>
      <c r="M60" s="318"/>
      <c r="N60" s="318"/>
      <c r="O60" s="1052">
        <f t="shared" si="21"/>
        <v>20261.689999999999</v>
      </c>
      <c r="P60" s="559"/>
      <c r="Q60" s="336"/>
      <c r="R60" s="559"/>
      <c r="S60" s="336"/>
      <c r="T60" s="559"/>
      <c r="U60" s="335"/>
      <c r="V60" s="597" t="s">
        <v>896</v>
      </c>
      <c r="W60" s="597" t="s">
        <v>897</v>
      </c>
      <c r="X60" s="597" t="s">
        <v>898</v>
      </c>
      <c r="Z60" s="336">
        <f t="shared" si="36"/>
        <v>0</v>
      </c>
      <c r="AA60" s="337">
        <f t="shared" si="36"/>
        <v>0</v>
      </c>
      <c r="AB60" s="338">
        <f t="shared" si="7"/>
        <v>0</v>
      </c>
      <c r="AC60" s="336">
        <f t="shared" si="37"/>
        <v>0</v>
      </c>
      <c r="AD60" s="337">
        <f t="shared" si="37"/>
        <v>0</v>
      </c>
      <c r="AE60" s="338">
        <f t="shared" si="9"/>
        <v>0</v>
      </c>
      <c r="AF60" s="336">
        <f t="shared" si="38"/>
        <v>20261.689999999999</v>
      </c>
      <c r="AG60" s="337">
        <f t="shared" si="38"/>
        <v>0</v>
      </c>
      <c r="AH60" s="338">
        <f t="shared" si="11"/>
        <v>20261.689999999999</v>
      </c>
      <c r="AI60" s="336">
        <f t="shared" si="39"/>
        <v>0</v>
      </c>
      <c r="AJ60" s="337">
        <f t="shared" si="39"/>
        <v>0</v>
      </c>
      <c r="AK60" s="338">
        <f t="shared" si="13"/>
        <v>0</v>
      </c>
      <c r="AL60" s="342"/>
      <c r="AM60" s="336">
        <f t="shared" si="40"/>
        <v>0</v>
      </c>
      <c r="AN60" s="339">
        <f t="shared" si="40"/>
        <v>0</v>
      </c>
      <c r="AO60" s="340">
        <f t="shared" si="15"/>
        <v>0</v>
      </c>
      <c r="AP60" s="336">
        <f t="shared" si="41"/>
        <v>20261.689999999999</v>
      </c>
      <c r="AQ60" s="339">
        <f t="shared" si="41"/>
        <v>0</v>
      </c>
      <c r="AR60" s="340">
        <f t="shared" si="17"/>
        <v>20261.689999999999</v>
      </c>
      <c r="AS60" s="809">
        <f t="shared" si="22"/>
        <v>20261.689999999999</v>
      </c>
      <c r="AT60" s="339">
        <f t="shared" si="18"/>
        <v>0</v>
      </c>
      <c r="AU60" s="340">
        <f t="shared" si="19"/>
        <v>20261.689999999999</v>
      </c>
      <c r="AV60" s="1255">
        <f t="shared" si="20"/>
        <v>0</v>
      </c>
      <c r="AW60" s="343"/>
      <c r="AX60" s="1098"/>
      <c r="AY60" s="345"/>
      <c r="AZ60" s="1098"/>
      <c r="BA60" s="1135"/>
      <c r="BB60" s="1120"/>
      <c r="BC60" s="347"/>
      <c r="BD60" s="348"/>
      <c r="BE60" s="349"/>
      <c r="BF60" s="348"/>
      <c r="BG60" s="1135"/>
      <c r="BH60" s="350"/>
      <c r="BI60" s="1136"/>
      <c r="BJ60" s="352"/>
      <c r="BK60" s="1137">
        <v>3355.24</v>
      </c>
      <c r="BL60" s="352"/>
      <c r="BM60" s="337">
        <f>2013.14+14893.31</f>
        <v>16906.45</v>
      </c>
      <c r="BN60" s="353"/>
      <c r="BO60" s="354"/>
      <c r="BP60" s="355"/>
      <c r="BQ60" s="356"/>
      <c r="BR60" s="355"/>
      <c r="BS60" s="356"/>
      <c r="BT60" s="357"/>
    </row>
    <row r="61" spans="1:72" s="313" customFormat="1" ht="102" outlineLevel="1">
      <c r="A61" s="1192">
        <v>48.2</v>
      </c>
      <c r="B61" s="933"/>
      <c r="C61" s="840"/>
      <c r="D61" s="853" t="s">
        <v>207</v>
      </c>
      <c r="E61" s="839"/>
      <c r="F61" s="821" t="s">
        <v>7</v>
      </c>
      <c r="G61" s="314">
        <v>4</v>
      </c>
      <c r="H61" s="739" t="s">
        <v>71</v>
      </c>
      <c r="I61" s="739">
        <v>244</v>
      </c>
      <c r="J61" s="740">
        <v>225</v>
      </c>
      <c r="K61" s="533" t="s">
        <v>209</v>
      </c>
      <c r="L61" s="1025">
        <f>235887.75+20229.3</f>
        <v>256117.05</v>
      </c>
      <c r="M61" s="318"/>
      <c r="N61" s="318"/>
      <c r="O61" s="1052">
        <f t="shared" ref="O61" si="67">L61+N61</f>
        <v>256117.05</v>
      </c>
      <c r="P61" s="559"/>
      <c r="Q61" s="336"/>
      <c r="R61" s="559"/>
      <c r="S61" s="336"/>
      <c r="T61" s="559"/>
      <c r="U61" s="335"/>
      <c r="V61" s="597" t="s">
        <v>896</v>
      </c>
      <c r="W61" s="597" t="s">
        <v>1038</v>
      </c>
      <c r="X61" s="597" t="s">
        <v>899</v>
      </c>
      <c r="Z61" s="336">
        <f t="shared" ref="Z61" si="68">AW61+AY61+BA61</f>
        <v>0</v>
      </c>
      <c r="AA61" s="337">
        <f t="shared" ref="AA61" si="69">AX61+AZ61+BB61</f>
        <v>0</v>
      </c>
      <c r="AB61" s="338">
        <f t="shared" ref="AB61" si="70">Z61-AA61</f>
        <v>0</v>
      </c>
      <c r="AC61" s="336">
        <f t="shared" ref="AC61" si="71">BC61+BE61+BG61</f>
        <v>0</v>
      </c>
      <c r="AD61" s="337">
        <f t="shared" ref="AD61" si="72">BD61+BF61+BH61</f>
        <v>0</v>
      </c>
      <c r="AE61" s="338">
        <f t="shared" ref="AE61" si="73">AC61-AD61</f>
        <v>0</v>
      </c>
      <c r="AF61" s="336">
        <f t="shared" ref="AF61" si="74">BI61+BK61+BM61</f>
        <v>0</v>
      </c>
      <c r="AG61" s="337">
        <f t="shared" ref="AG61" si="75">BJ61+BL61+BN61</f>
        <v>0</v>
      </c>
      <c r="AH61" s="338">
        <f t="shared" ref="AH61" si="76">AF61-AG61</f>
        <v>0</v>
      </c>
      <c r="AI61" s="336">
        <f t="shared" ref="AI61" si="77">BO61+BQ61+BS61</f>
        <v>256117.05</v>
      </c>
      <c r="AJ61" s="337">
        <f t="shared" ref="AJ61" si="78">BP61+BR61+BT61</f>
        <v>0</v>
      </c>
      <c r="AK61" s="338">
        <f t="shared" ref="AK61" si="79">AI61-AJ61</f>
        <v>256117.05</v>
      </c>
      <c r="AL61" s="342"/>
      <c r="AM61" s="336">
        <f t="shared" ref="AM61" si="80">Z61+AC61</f>
        <v>0</v>
      </c>
      <c r="AN61" s="339">
        <f t="shared" ref="AN61" si="81">AA61+AD61</f>
        <v>0</v>
      </c>
      <c r="AO61" s="340">
        <f t="shared" ref="AO61" si="82">AM61-AN61</f>
        <v>0</v>
      </c>
      <c r="AP61" s="336">
        <f t="shared" ref="AP61" si="83">Z61+AC61+AF61</f>
        <v>0</v>
      </c>
      <c r="AQ61" s="339">
        <f t="shared" ref="AQ61" si="84">AA61+AD61+AG61</f>
        <v>0</v>
      </c>
      <c r="AR61" s="340">
        <f t="shared" ref="AR61" si="85">AP61-AQ61</f>
        <v>0</v>
      </c>
      <c r="AS61" s="809">
        <f t="shared" ref="AS61" si="86">Z61+AC61+AF61+AI61</f>
        <v>256117.05</v>
      </c>
      <c r="AT61" s="339">
        <f t="shared" ref="AT61" si="87">AA61+AD61+AG61+AJ61</f>
        <v>0</v>
      </c>
      <c r="AU61" s="340">
        <f t="shared" ref="AU61" si="88">AS61-AT61</f>
        <v>256117.05</v>
      </c>
      <c r="AV61" s="1255">
        <f t="shared" ref="AV61" si="89">L61-AS61</f>
        <v>0</v>
      </c>
      <c r="AW61" s="343"/>
      <c r="AX61" s="1098"/>
      <c r="AY61" s="345"/>
      <c r="AZ61" s="1098"/>
      <c r="BA61" s="1135"/>
      <c r="BB61" s="1120"/>
      <c r="BC61" s="347"/>
      <c r="BD61" s="348"/>
      <c r="BE61" s="349"/>
      <c r="BF61" s="348"/>
      <c r="BG61" s="1135"/>
      <c r="BH61" s="350"/>
      <c r="BI61" s="1136"/>
      <c r="BJ61" s="352"/>
      <c r="BK61" s="337"/>
      <c r="BL61" s="352"/>
      <c r="BM61" s="337"/>
      <c r="BN61" s="353"/>
      <c r="BO61" s="1138">
        <f>925.05*3*22</f>
        <v>61053.3</v>
      </c>
      <c r="BP61" s="355"/>
      <c r="BQ61" s="356">
        <f>925.05*3*21+354.9*3*5</f>
        <v>63601.65</v>
      </c>
      <c r="BR61" s="355"/>
      <c r="BS61" s="356">
        <f>(925.05*3*20+354.9*3*8)+(925.05*3*22+354.9*3*6)</f>
        <v>131462.1</v>
      </c>
      <c r="BT61" s="357"/>
    </row>
    <row r="62" spans="1:72" s="358" customFormat="1" ht="51" customHeight="1">
      <c r="A62" s="287">
        <v>49</v>
      </c>
      <c r="B62" s="933"/>
      <c r="C62" s="850" t="s">
        <v>377</v>
      </c>
      <c r="D62" s="853"/>
      <c r="E62" s="836" t="s">
        <v>201</v>
      </c>
      <c r="F62" s="820" t="s">
        <v>7</v>
      </c>
      <c r="G62" s="360">
        <v>4</v>
      </c>
      <c r="H62" s="360" t="s">
        <v>71</v>
      </c>
      <c r="I62" s="360">
        <v>244</v>
      </c>
      <c r="J62" s="361">
        <v>225</v>
      </c>
      <c r="K62" s="532" t="s">
        <v>364</v>
      </c>
      <c r="L62" s="1023">
        <f>SUM(L63:L66)</f>
        <v>27290.76</v>
      </c>
      <c r="M62" s="363"/>
      <c r="N62" s="363">
        <f>SUM(N63:N66)</f>
        <v>0</v>
      </c>
      <c r="O62" s="1051">
        <f t="shared" si="21"/>
        <v>27290.76</v>
      </c>
      <c r="P62" s="557"/>
      <c r="Q62" s="367">
        <f>SUM(Q63:Q66)</f>
        <v>27290.76</v>
      </c>
      <c r="R62" s="557"/>
      <c r="S62" s="367">
        <f>SUM(S63:S66)</f>
        <v>27290.76</v>
      </c>
      <c r="T62" s="557"/>
      <c r="U62" s="365"/>
      <c r="V62" s="366"/>
      <c r="W62" s="366"/>
      <c r="X62" s="391"/>
      <c r="Z62" s="367">
        <f>AW62+AY62+BA62</f>
        <v>0</v>
      </c>
      <c r="AA62" s="363">
        <f>AX62+AZ62+BB62</f>
        <v>0</v>
      </c>
      <c r="AB62" s="280">
        <f>Z62-AA62</f>
        <v>0</v>
      </c>
      <c r="AC62" s="367">
        <f>BC62+BE62+BG62</f>
        <v>6822.69</v>
      </c>
      <c r="AD62" s="363">
        <f>BD62+BF62+BH62</f>
        <v>0</v>
      </c>
      <c r="AE62" s="280">
        <f>AC62-AD62</f>
        <v>6822.69</v>
      </c>
      <c r="AF62" s="367">
        <f>BI62+BK62+BM62</f>
        <v>0</v>
      </c>
      <c r="AG62" s="363">
        <f>BJ62+BL62+BN62</f>
        <v>0</v>
      </c>
      <c r="AH62" s="280">
        <f>AF62-AG62</f>
        <v>0</v>
      </c>
      <c r="AI62" s="367">
        <f>BO62+BQ62+BS62</f>
        <v>11022.69</v>
      </c>
      <c r="AJ62" s="363">
        <f>BP62+BR62+BT62</f>
        <v>0</v>
      </c>
      <c r="AK62" s="280">
        <f>AI62-AJ62</f>
        <v>11022.69</v>
      </c>
      <c r="AL62" s="368"/>
      <c r="AM62" s="367">
        <f>Z62+AC62</f>
        <v>6822.69</v>
      </c>
      <c r="AN62" s="363">
        <f>AA62+AD62</f>
        <v>0</v>
      </c>
      <c r="AO62" s="280">
        <f>AM62-AN62</f>
        <v>6822.69</v>
      </c>
      <c r="AP62" s="367">
        <f>Z62+AC62+AF62</f>
        <v>6822.69</v>
      </c>
      <c r="AQ62" s="363">
        <f>AA62+AD62+AG62</f>
        <v>0</v>
      </c>
      <c r="AR62" s="280">
        <f>AP62-AQ62</f>
        <v>6822.69</v>
      </c>
      <c r="AS62" s="367">
        <f>Z62+AC62+AF62+AI62</f>
        <v>17845.38</v>
      </c>
      <c r="AT62" s="363">
        <f>AA62+AD62+AG62+AJ62</f>
        <v>0</v>
      </c>
      <c r="AU62" s="280">
        <f>AS62-AT62</f>
        <v>17845.38</v>
      </c>
      <c r="AV62" s="1253">
        <f t="shared" si="20"/>
        <v>9445.3799999999992</v>
      </c>
      <c r="AW62" s="367">
        <f t="shared" ref="AW62:BT62" si="90">SUM(AW63:AW66)</f>
        <v>0</v>
      </c>
      <c r="AX62" s="1097">
        <f t="shared" si="90"/>
        <v>0</v>
      </c>
      <c r="AY62" s="363">
        <f t="shared" si="90"/>
        <v>0</v>
      </c>
      <c r="AZ62" s="1097">
        <f t="shared" si="90"/>
        <v>0</v>
      </c>
      <c r="BA62" s="363">
        <f t="shared" si="90"/>
        <v>0</v>
      </c>
      <c r="BB62" s="1119">
        <f t="shared" si="90"/>
        <v>0</v>
      </c>
      <c r="BC62" s="367">
        <f t="shared" si="90"/>
        <v>2520</v>
      </c>
      <c r="BD62" s="363">
        <f t="shared" si="90"/>
        <v>0</v>
      </c>
      <c r="BE62" s="363">
        <f t="shared" si="90"/>
        <v>4302.6899999999996</v>
      </c>
      <c r="BF62" s="363">
        <f t="shared" si="90"/>
        <v>0</v>
      </c>
      <c r="BG62" s="363">
        <f t="shared" si="90"/>
        <v>0</v>
      </c>
      <c r="BH62" s="369">
        <f t="shared" si="90"/>
        <v>0</v>
      </c>
      <c r="BI62" s="367">
        <f t="shared" si="90"/>
        <v>0</v>
      </c>
      <c r="BJ62" s="363">
        <f t="shared" si="90"/>
        <v>0</v>
      </c>
      <c r="BK62" s="363">
        <f t="shared" si="90"/>
        <v>0</v>
      </c>
      <c r="BL62" s="363">
        <f t="shared" si="90"/>
        <v>0</v>
      </c>
      <c r="BM62" s="363">
        <f t="shared" si="90"/>
        <v>0</v>
      </c>
      <c r="BN62" s="369">
        <f t="shared" si="90"/>
        <v>0</v>
      </c>
      <c r="BO62" s="367">
        <f t="shared" si="90"/>
        <v>4200</v>
      </c>
      <c r="BP62" s="363">
        <f t="shared" si="90"/>
        <v>0</v>
      </c>
      <c r="BQ62" s="363">
        <f t="shared" si="90"/>
        <v>6822.69</v>
      </c>
      <c r="BR62" s="363">
        <f t="shared" si="90"/>
        <v>0</v>
      </c>
      <c r="BS62" s="363">
        <f t="shared" si="90"/>
        <v>0</v>
      </c>
      <c r="BT62" s="280">
        <f t="shared" si="90"/>
        <v>0</v>
      </c>
    </row>
    <row r="63" spans="1:72" s="313" customFormat="1" ht="51" outlineLevel="1">
      <c r="A63" s="287">
        <v>50</v>
      </c>
      <c r="B63" s="933"/>
      <c r="C63" s="840"/>
      <c r="D63" s="853" t="s">
        <v>216</v>
      </c>
      <c r="E63" s="839"/>
      <c r="F63" s="821" t="s">
        <v>7</v>
      </c>
      <c r="G63" s="314">
        <v>4</v>
      </c>
      <c r="H63" s="739" t="s">
        <v>71</v>
      </c>
      <c r="I63" s="739">
        <v>244</v>
      </c>
      <c r="J63" s="740">
        <v>225</v>
      </c>
      <c r="K63" s="533" t="s">
        <v>574</v>
      </c>
      <c r="L63" s="1025">
        <v>6822.69</v>
      </c>
      <c r="M63" s="318"/>
      <c r="N63" s="318"/>
      <c r="O63" s="1052">
        <f t="shared" si="21"/>
        <v>6822.69</v>
      </c>
      <c r="P63" s="570"/>
      <c r="Q63" s="509">
        <v>6822.69</v>
      </c>
      <c r="R63" s="559"/>
      <c r="S63" s="542">
        <v>6822.69</v>
      </c>
      <c r="T63" s="559"/>
      <c r="U63" s="335"/>
      <c r="V63" s="597" t="s">
        <v>254</v>
      </c>
      <c r="W63" s="597" t="s">
        <v>653</v>
      </c>
      <c r="X63" s="597" t="s">
        <v>654</v>
      </c>
      <c r="Z63" s="336">
        <f t="shared" ref="Z63:AA71" si="91">AW63+AY63+BA63</f>
        <v>0</v>
      </c>
      <c r="AA63" s="337">
        <f t="shared" si="91"/>
        <v>0</v>
      </c>
      <c r="AB63" s="338">
        <f t="shared" ref="AB63" si="92">Z63-AA63</f>
        <v>0</v>
      </c>
      <c r="AC63" s="336">
        <f t="shared" ref="AC63:AD71" si="93">BC63+BE63+BG63</f>
        <v>6822.69</v>
      </c>
      <c r="AD63" s="337">
        <f t="shared" si="93"/>
        <v>0</v>
      </c>
      <c r="AE63" s="338">
        <f t="shared" ref="AE63" si="94">AC63-AD63</f>
        <v>6822.69</v>
      </c>
      <c r="AF63" s="336">
        <f t="shared" ref="AF63:AG71" si="95">BI63+BK63+BM63</f>
        <v>0</v>
      </c>
      <c r="AG63" s="337">
        <f t="shared" si="95"/>
        <v>0</v>
      </c>
      <c r="AH63" s="338">
        <f t="shared" ref="AH63" si="96">AF63-AG63</f>
        <v>0</v>
      </c>
      <c r="AI63" s="336">
        <f t="shared" ref="AI63:AJ71" si="97">BO63+BQ63+BS63</f>
        <v>0</v>
      </c>
      <c r="AJ63" s="337">
        <f t="shared" si="97"/>
        <v>0</v>
      </c>
      <c r="AK63" s="338">
        <f t="shared" ref="AK63" si="98">AI63-AJ63</f>
        <v>0</v>
      </c>
      <c r="AL63" s="342"/>
      <c r="AM63" s="336">
        <f t="shared" ref="AM63:AN71" si="99">Z63+AC63</f>
        <v>6822.69</v>
      </c>
      <c r="AN63" s="339">
        <f t="shared" si="99"/>
        <v>0</v>
      </c>
      <c r="AO63" s="340">
        <f t="shared" ref="AO63" si="100">AM63-AN63</f>
        <v>6822.69</v>
      </c>
      <c r="AP63" s="336">
        <f t="shared" ref="AP63:AQ71" si="101">Z63+AC63+AF63</f>
        <v>6822.69</v>
      </c>
      <c r="AQ63" s="339">
        <f t="shared" si="101"/>
        <v>0</v>
      </c>
      <c r="AR63" s="340">
        <f t="shared" ref="AR63" si="102">AP63-AQ63</f>
        <v>6822.69</v>
      </c>
      <c r="AS63" s="341">
        <f t="shared" ref="AS63:AT71" si="103">Z63+AC63+AF63+AI63</f>
        <v>6822.69</v>
      </c>
      <c r="AT63" s="339">
        <f t="shared" si="103"/>
        <v>0</v>
      </c>
      <c r="AU63" s="340">
        <f t="shared" ref="AU63" si="104">AS63-AT63</f>
        <v>6822.69</v>
      </c>
      <c r="AV63" s="1259">
        <f t="shared" si="20"/>
        <v>0</v>
      </c>
      <c r="AW63" s="343"/>
      <c r="AX63" s="1098"/>
      <c r="AY63" s="345"/>
      <c r="AZ63" s="1098"/>
      <c r="BA63" s="345"/>
      <c r="BB63" s="1120"/>
      <c r="BC63" s="347">
        <f>(9*140+9*140)</f>
        <v>2520</v>
      </c>
      <c r="BD63" s="348"/>
      <c r="BE63" s="349">
        <v>4302.6899999999996</v>
      </c>
      <c r="BF63" s="348"/>
      <c r="BG63" s="349"/>
      <c r="BH63" s="350"/>
      <c r="BI63" s="351"/>
      <c r="BJ63" s="352"/>
      <c r="BK63" s="337"/>
      <c r="BL63" s="352"/>
      <c r="BM63" s="337"/>
      <c r="BN63" s="353"/>
      <c r="BO63" s="354"/>
      <c r="BP63" s="355"/>
      <c r="BQ63" s="356"/>
      <c r="BR63" s="355"/>
      <c r="BS63" s="356"/>
      <c r="BT63" s="357"/>
    </row>
    <row r="64" spans="1:72" s="313" customFormat="1" ht="51" outlineLevel="1">
      <c r="A64" s="287">
        <v>51</v>
      </c>
      <c r="B64" s="933"/>
      <c r="C64" s="840"/>
      <c r="D64" s="853" t="s">
        <v>216</v>
      </c>
      <c r="E64" s="839"/>
      <c r="F64" s="821" t="s">
        <v>7</v>
      </c>
      <c r="G64" s="314">
        <v>4</v>
      </c>
      <c r="H64" s="739" t="s">
        <v>71</v>
      </c>
      <c r="I64" s="739">
        <v>244</v>
      </c>
      <c r="J64" s="740">
        <v>225</v>
      </c>
      <c r="K64" s="533" t="s">
        <v>1063</v>
      </c>
      <c r="L64" s="1025">
        <v>6822.69</v>
      </c>
      <c r="M64" s="318"/>
      <c r="N64" s="318"/>
      <c r="O64" s="1052">
        <f t="shared" si="21"/>
        <v>6822.69</v>
      </c>
      <c r="P64" s="570"/>
      <c r="Q64" s="509">
        <v>6822.69</v>
      </c>
      <c r="R64" s="559"/>
      <c r="S64" s="542">
        <v>6822.69</v>
      </c>
      <c r="T64" s="559"/>
      <c r="U64" s="335"/>
      <c r="V64" s="597" t="s">
        <v>254</v>
      </c>
      <c r="W64" s="597" t="s">
        <v>1080</v>
      </c>
      <c r="X64" s="597" t="s">
        <v>1079</v>
      </c>
      <c r="Z64" s="336">
        <f t="shared" si="91"/>
        <v>0</v>
      </c>
      <c r="AA64" s="337">
        <f t="shared" si="91"/>
        <v>0</v>
      </c>
      <c r="AB64" s="338">
        <f>Z64-AA64</f>
        <v>0</v>
      </c>
      <c r="AC64" s="336">
        <f t="shared" si="93"/>
        <v>0</v>
      </c>
      <c r="AD64" s="337">
        <f t="shared" si="93"/>
        <v>0</v>
      </c>
      <c r="AE64" s="338">
        <f>AC64-AD64</f>
        <v>0</v>
      </c>
      <c r="AF64" s="336">
        <f t="shared" si="95"/>
        <v>0</v>
      </c>
      <c r="AG64" s="337">
        <f t="shared" si="95"/>
        <v>0</v>
      </c>
      <c r="AH64" s="338">
        <f>AF64-AG64</f>
        <v>0</v>
      </c>
      <c r="AI64" s="336">
        <f t="shared" si="97"/>
        <v>4200</v>
      </c>
      <c r="AJ64" s="337">
        <f t="shared" si="97"/>
        <v>0</v>
      </c>
      <c r="AK64" s="338">
        <f>AI64-AJ64</f>
        <v>4200</v>
      </c>
      <c r="AL64" s="342"/>
      <c r="AM64" s="336">
        <f t="shared" si="99"/>
        <v>0</v>
      </c>
      <c r="AN64" s="339">
        <f t="shared" si="99"/>
        <v>0</v>
      </c>
      <c r="AO64" s="340">
        <f>AM64-AN64</f>
        <v>0</v>
      </c>
      <c r="AP64" s="336">
        <f t="shared" si="101"/>
        <v>0</v>
      </c>
      <c r="AQ64" s="339">
        <f t="shared" si="101"/>
        <v>0</v>
      </c>
      <c r="AR64" s="340">
        <f>AP64-AQ64</f>
        <v>0</v>
      </c>
      <c r="AS64" s="341">
        <f t="shared" si="103"/>
        <v>4200</v>
      </c>
      <c r="AT64" s="339">
        <f t="shared" si="103"/>
        <v>0</v>
      </c>
      <c r="AU64" s="340">
        <f>AS64-AT64</f>
        <v>4200</v>
      </c>
      <c r="AV64" s="1258">
        <f t="shared" si="20"/>
        <v>2622.69</v>
      </c>
      <c r="AW64" s="343"/>
      <c r="AX64" s="1098"/>
      <c r="AY64" s="345"/>
      <c r="AZ64" s="1098"/>
      <c r="BA64" s="345"/>
      <c r="BB64" s="1120"/>
      <c r="BC64" s="347"/>
      <c r="BD64" s="348"/>
      <c r="BE64" s="349"/>
      <c r="BF64" s="348"/>
      <c r="BG64" s="349"/>
      <c r="BH64" s="350"/>
      <c r="BI64" s="351"/>
      <c r="BJ64" s="352"/>
      <c r="BK64" s="337"/>
      <c r="BL64" s="352"/>
      <c r="BM64" s="337"/>
      <c r="BN64" s="353"/>
      <c r="BO64" s="354">
        <v>4200</v>
      </c>
      <c r="BP64" s="355"/>
      <c r="BQ64" s="356"/>
      <c r="BR64" s="355"/>
      <c r="BS64" s="356"/>
      <c r="BT64" s="357"/>
    </row>
    <row r="65" spans="1:72" s="313" customFormat="1" ht="51" outlineLevel="1">
      <c r="A65" s="287">
        <v>52</v>
      </c>
      <c r="B65" s="933"/>
      <c r="C65" s="840"/>
      <c r="D65" s="853" t="s">
        <v>216</v>
      </c>
      <c r="E65" s="839"/>
      <c r="F65" s="821" t="s">
        <v>7</v>
      </c>
      <c r="G65" s="314">
        <v>4</v>
      </c>
      <c r="H65" s="739" t="s">
        <v>71</v>
      </c>
      <c r="I65" s="739">
        <v>244</v>
      </c>
      <c r="J65" s="740">
        <v>225</v>
      </c>
      <c r="K65" s="1005" t="s">
        <v>1064</v>
      </c>
      <c r="L65" s="1031">
        <v>6822.69</v>
      </c>
      <c r="M65" s="318"/>
      <c r="N65" s="318"/>
      <c r="O65" s="1055">
        <f t="shared" si="21"/>
        <v>6822.69</v>
      </c>
      <c r="P65" s="570"/>
      <c r="Q65" s="509">
        <v>6822.69</v>
      </c>
      <c r="R65" s="559"/>
      <c r="S65" s="542">
        <v>6822.69</v>
      </c>
      <c r="T65" s="559"/>
      <c r="U65" s="335"/>
      <c r="V65" s="320" t="s">
        <v>254</v>
      </c>
      <c r="W65" s="388"/>
      <c r="X65" s="388"/>
      <c r="Z65" s="336">
        <f t="shared" si="91"/>
        <v>0</v>
      </c>
      <c r="AA65" s="337">
        <f t="shared" si="91"/>
        <v>0</v>
      </c>
      <c r="AB65" s="338">
        <f>Z65-AA65</f>
        <v>0</v>
      </c>
      <c r="AC65" s="336">
        <f t="shared" si="93"/>
        <v>0</v>
      </c>
      <c r="AD65" s="337">
        <f t="shared" si="93"/>
        <v>0</v>
      </c>
      <c r="AE65" s="338">
        <f>AC65-AD65</f>
        <v>0</v>
      </c>
      <c r="AF65" s="336">
        <f t="shared" si="95"/>
        <v>0</v>
      </c>
      <c r="AG65" s="337">
        <f t="shared" si="95"/>
        <v>0</v>
      </c>
      <c r="AH65" s="338">
        <f>AF65-AG65</f>
        <v>0</v>
      </c>
      <c r="AI65" s="336">
        <f t="shared" si="97"/>
        <v>0</v>
      </c>
      <c r="AJ65" s="337">
        <f t="shared" si="97"/>
        <v>0</v>
      </c>
      <c r="AK65" s="338">
        <f>AI65-AJ65</f>
        <v>0</v>
      </c>
      <c r="AL65" s="342"/>
      <c r="AM65" s="336">
        <f t="shared" si="99"/>
        <v>0</v>
      </c>
      <c r="AN65" s="339">
        <f t="shared" si="99"/>
        <v>0</v>
      </c>
      <c r="AO65" s="340">
        <f>AM65-AN65</f>
        <v>0</v>
      </c>
      <c r="AP65" s="336">
        <f t="shared" si="101"/>
        <v>0</v>
      </c>
      <c r="AQ65" s="339">
        <f t="shared" si="101"/>
        <v>0</v>
      </c>
      <c r="AR65" s="340">
        <f>AP65-AQ65</f>
        <v>0</v>
      </c>
      <c r="AS65" s="341">
        <f t="shared" si="103"/>
        <v>0</v>
      </c>
      <c r="AT65" s="339">
        <f t="shared" si="103"/>
        <v>0</v>
      </c>
      <c r="AU65" s="340">
        <f>AS65-AT65</f>
        <v>0</v>
      </c>
      <c r="AV65" s="1258">
        <f t="shared" si="20"/>
        <v>6822.69</v>
      </c>
      <c r="AW65" s="343"/>
      <c r="AX65" s="1098"/>
      <c r="AY65" s="345"/>
      <c r="AZ65" s="1098"/>
      <c r="BA65" s="345"/>
      <c r="BB65" s="1120"/>
      <c r="BC65" s="347"/>
      <c r="BD65" s="348"/>
      <c r="BE65" s="349"/>
      <c r="BF65" s="348"/>
      <c r="BG65" s="349"/>
      <c r="BH65" s="350"/>
      <c r="BI65" s="351"/>
      <c r="BJ65" s="352"/>
      <c r="BK65" s="337"/>
      <c r="BL65" s="352"/>
      <c r="BM65" s="337"/>
      <c r="BN65" s="353"/>
      <c r="BO65" s="354"/>
      <c r="BP65" s="355"/>
      <c r="BQ65" s="356"/>
      <c r="BR65" s="355"/>
      <c r="BS65" s="356"/>
      <c r="BT65" s="357"/>
    </row>
    <row r="66" spans="1:72" s="313" customFormat="1" ht="51" outlineLevel="1">
      <c r="A66" s="287">
        <v>53</v>
      </c>
      <c r="B66" s="933"/>
      <c r="C66" s="840"/>
      <c r="D66" s="853" t="s">
        <v>216</v>
      </c>
      <c r="E66" s="839"/>
      <c r="F66" s="821" t="s">
        <v>7</v>
      </c>
      <c r="G66" s="314">
        <v>4</v>
      </c>
      <c r="H66" s="739" t="s">
        <v>71</v>
      </c>
      <c r="I66" s="739">
        <v>244</v>
      </c>
      <c r="J66" s="740">
        <v>225</v>
      </c>
      <c r="K66" s="533" t="s">
        <v>261</v>
      </c>
      <c r="L66" s="1025">
        <v>6822.69</v>
      </c>
      <c r="M66" s="318"/>
      <c r="N66" s="318"/>
      <c r="O66" s="1052">
        <f t="shared" si="21"/>
        <v>6822.69</v>
      </c>
      <c r="P66" s="570"/>
      <c r="Q66" s="509">
        <v>6822.69</v>
      </c>
      <c r="R66" s="559"/>
      <c r="S66" s="542">
        <v>6822.69</v>
      </c>
      <c r="T66" s="559"/>
      <c r="U66" s="335"/>
      <c r="V66" s="320" t="s">
        <v>254</v>
      </c>
      <c r="W66" s="388"/>
      <c r="X66" s="388"/>
      <c r="Z66" s="336">
        <f t="shared" si="91"/>
        <v>0</v>
      </c>
      <c r="AA66" s="337">
        <f t="shared" si="91"/>
        <v>0</v>
      </c>
      <c r="AB66" s="338">
        <f>Z66-AA66</f>
        <v>0</v>
      </c>
      <c r="AC66" s="336">
        <f t="shared" si="93"/>
        <v>0</v>
      </c>
      <c r="AD66" s="337">
        <f t="shared" si="93"/>
        <v>0</v>
      </c>
      <c r="AE66" s="338">
        <f>AC66-AD66</f>
        <v>0</v>
      </c>
      <c r="AF66" s="336">
        <f t="shared" si="95"/>
        <v>0</v>
      </c>
      <c r="AG66" s="337">
        <f t="shared" si="95"/>
        <v>0</v>
      </c>
      <c r="AH66" s="338">
        <f>AF66-AG66</f>
        <v>0</v>
      </c>
      <c r="AI66" s="336">
        <f t="shared" si="97"/>
        <v>6822.69</v>
      </c>
      <c r="AJ66" s="337">
        <f t="shared" si="97"/>
        <v>0</v>
      </c>
      <c r="AK66" s="338">
        <f>AI66-AJ66</f>
        <v>6822.69</v>
      </c>
      <c r="AL66" s="342"/>
      <c r="AM66" s="336">
        <f t="shared" si="99"/>
        <v>0</v>
      </c>
      <c r="AN66" s="339">
        <f t="shared" si="99"/>
        <v>0</v>
      </c>
      <c r="AO66" s="340">
        <f>AM66-AN66</f>
        <v>0</v>
      </c>
      <c r="AP66" s="336">
        <f t="shared" si="101"/>
        <v>0</v>
      </c>
      <c r="AQ66" s="339">
        <f t="shared" si="101"/>
        <v>0</v>
      </c>
      <c r="AR66" s="340">
        <f>AP66-AQ66</f>
        <v>0</v>
      </c>
      <c r="AS66" s="341">
        <f t="shared" si="103"/>
        <v>6822.69</v>
      </c>
      <c r="AT66" s="339">
        <f t="shared" si="103"/>
        <v>0</v>
      </c>
      <c r="AU66" s="340">
        <f>AS66-AT66</f>
        <v>6822.69</v>
      </c>
      <c r="AV66" s="1255">
        <f t="shared" si="20"/>
        <v>0</v>
      </c>
      <c r="AW66" s="343"/>
      <c r="AX66" s="1098"/>
      <c r="AY66" s="345"/>
      <c r="AZ66" s="1098"/>
      <c r="BA66" s="345"/>
      <c r="BB66" s="1120"/>
      <c r="BC66" s="347"/>
      <c r="BD66" s="348"/>
      <c r="BE66" s="349"/>
      <c r="BF66" s="348"/>
      <c r="BG66" s="349"/>
      <c r="BH66" s="350"/>
      <c r="BI66" s="351"/>
      <c r="BJ66" s="352"/>
      <c r="BK66" s="337"/>
      <c r="BL66" s="352"/>
      <c r="BM66" s="337"/>
      <c r="BN66" s="353"/>
      <c r="BO66" s="354"/>
      <c r="BP66" s="355"/>
      <c r="BQ66" s="356">
        <f>35*170 + 7*124.67</f>
        <v>6822.69</v>
      </c>
      <c r="BR66" s="355"/>
      <c r="BS66" s="356"/>
      <c r="BT66" s="357"/>
    </row>
    <row r="67" spans="1:72" s="358" customFormat="1" ht="60" customHeight="1">
      <c r="A67" s="287">
        <v>54</v>
      </c>
      <c r="B67" s="1148"/>
      <c r="C67" s="850" t="s">
        <v>377</v>
      </c>
      <c r="D67" s="838"/>
      <c r="E67" s="836" t="s">
        <v>201</v>
      </c>
      <c r="F67" s="820" t="s">
        <v>7</v>
      </c>
      <c r="G67" s="360">
        <v>4</v>
      </c>
      <c r="H67" s="360" t="s">
        <v>71</v>
      </c>
      <c r="I67" s="360">
        <v>112</v>
      </c>
      <c r="J67" s="361">
        <v>226</v>
      </c>
      <c r="K67" s="532" t="s">
        <v>771</v>
      </c>
      <c r="L67" s="1023">
        <f>SUM(L68:L69)</f>
        <v>6734</v>
      </c>
      <c r="M67" s="363"/>
      <c r="N67" s="363">
        <f>SUM(N68:N69)</f>
        <v>0</v>
      </c>
      <c r="O67" s="1051">
        <f t="shared" si="21"/>
        <v>6734</v>
      </c>
      <c r="P67" s="557"/>
      <c r="Q67" s="367">
        <f>SUM(Q68:Q69)</f>
        <v>0</v>
      </c>
      <c r="R67" s="557"/>
      <c r="S67" s="367">
        <f>SUM(S68:S69)</f>
        <v>0</v>
      </c>
      <c r="T67" s="557"/>
      <c r="U67" s="365"/>
      <c r="V67" s="366"/>
      <c r="W67" s="366"/>
      <c r="X67" s="366"/>
      <c r="Z67" s="367">
        <f t="shared" si="91"/>
        <v>6734</v>
      </c>
      <c r="AA67" s="363">
        <f t="shared" si="91"/>
        <v>0</v>
      </c>
      <c r="AB67" s="280">
        <f t="shared" ref="AB67:AB68" si="105">Z67-AA67</f>
        <v>6734</v>
      </c>
      <c r="AC67" s="367">
        <f t="shared" si="93"/>
        <v>0</v>
      </c>
      <c r="AD67" s="363">
        <f t="shared" si="93"/>
        <v>0</v>
      </c>
      <c r="AE67" s="280">
        <f t="shared" ref="AE67:AE68" si="106">AC67-AD67</f>
        <v>0</v>
      </c>
      <c r="AF67" s="367">
        <f t="shared" si="95"/>
        <v>0</v>
      </c>
      <c r="AG67" s="363">
        <f t="shared" si="95"/>
        <v>0</v>
      </c>
      <c r="AH67" s="280">
        <f t="shared" ref="AH67:AH68" si="107">AF67-AG67</f>
        <v>0</v>
      </c>
      <c r="AI67" s="367">
        <f t="shared" si="97"/>
        <v>0</v>
      </c>
      <c r="AJ67" s="363">
        <f t="shared" si="97"/>
        <v>0</v>
      </c>
      <c r="AK67" s="280">
        <f t="shared" ref="AK67:AK68" si="108">AI67-AJ67</f>
        <v>0</v>
      </c>
      <c r="AL67" s="368"/>
      <c r="AM67" s="367">
        <f t="shared" si="99"/>
        <v>6734</v>
      </c>
      <c r="AN67" s="363">
        <f t="shared" si="99"/>
        <v>0</v>
      </c>
      <c r="AO67" s="280">
        <f t="shared" ref="AO67:AO68" si="109">AM67-AN67</f>
        <v>6734</v>
      </c>
      <c r="AP67" s="367">
        <f t="shared" si="101"/>
        <v>6734</v>
      </c>
      <c r="AQ67" s="363">
        <f t="shared" si="101"/>
        <v>0</v>
      </c>
      <c r="AR67" s="280">
        <f t="shared" ref="AR67:AR68" si="110">AP67-AQ67</f>
        <v>6734</v>
      </c>
      <c r="AS67" s="367">
        <f t="shared" si="103"/>
        <v>6734</v>
      </c>
      <c r="AT67" s="363">
        <f t="shared" si="103"/>
        <v>0</v>
      </c>
      <c r="AU67" s="280">
        <f t="shared" ref="AU67:AU68" si="111">AS67-AT67</f>
        <v>6734</v>
      </c>
      <c r="AV67" s="1253">
        <f t="shared" si="20"/>
        <v>0</v>
      </c>
      <c r="AW67" s="367">
        <f t="shared" ref="AW67:BS67" si="112">SUM(AW68:AW69)</f>
        <v>0</v>
      </c>
      <c r="AX67" s="1097">
        <f t="shared" si="112"/>
        <v>0</v>
      </c>
      <c r="AY67" s="363">
        <f t="shared" si="112"/>
        <v>0</v>
      </c>
      <c r="AZ67" s="1097">
        <f t="shared" si="112"/>
        <v>0</v>
      </c>
      <c r="BA67" s="363">
        <f t="shared" si="112"/>
        <v>6734</v>
      </c>
      <c r="BB67" s="1119">
        <f t="shared" si="112"/>
        <v>0</v>
      </c>
      <c r="BC67" s="367">
        <f t="shared" si="112"/>
        <v>0</v>
      </c>
      <c r="BD67" s="363">
        <f t="shared" si="112"/>
        <v>0</v>
      </c>
      <c r="BE67" s="363">
        <f t="shared" si="112"/>
        <v>0</v>
      </c>
      <c r="BF67" s="363">
        <f t="shared" si="112"/>
        <v>0</v>
      </c>
      <c r="BG67" s="363">
        <f t="shared" si="112"/>
        <v>0</v>
      </c>
      <c r="BH67" s="369">
        <f t="shared" si="112"/>
        <v>0</v>
      </c>
      <c r="BI67" s="367">
        <f t="shared" si="112"/>
        <v>0</v>
      </c>
      <c r="BJ67" s="363">
        <f t="shared" si="112"/>
        <v>0</v>
      </c>
      <c r="BK67" s="363">
        <f t="shared" si="112"/>
        <v>0</v>
      </c>
      <c r="BL67" s="363">
        <f t="shared" si="112"/>
        <v>0</v>
      </c>
      <c r="BM67" s="363">
        <f t="shared" si="112"/>
        <v>0</v>
      </c>
      <c r="BN67" s="369">
        <f t="shared" si="112"/>
        <v>0</v>
      </c>
      <c r="BO67" s="367">
        <f t="shared" si="112"/>
        <v>0</v>
      </c>
      <c r="BP67" s="363">
        <f t="shared" si="112"/>
        <v>0</v>
      </c>
      <c r="BQ67" s="363">
        <f t="shared" si="112"/>
        <v>0</v>
      </c>
      <c r="BR67" s="363">
        <f t="shared" si="112"/>
        <v>0</v>
      </c>
      <c r="BS67" s="363">
        <f t="shared" si="112"/>
        <v>0</v>
      </c>
      <c r="BT67" s="280">
        <f>SUM(BT68:BT78)</f>
        <v>0</v>
      </c>
    </row>
    <row r="68" spans="1:72" s="313" customFormat="1" ht="38.25" outlineLevel="1">
      <c r="A68" s="287">
        <v>55</v>
      </c>
      <c r="B68" s="1148"/>
      <c r="C68" s="840"/>
      <c r="D68" s="841"/>
      <c r="E68" s="839"/>
      <c r="F68" s="821" t="s">
        <v>7</v>
      </c>
      <c r="G68" s="314">
        <v>4</v>
      </c>
      <c r="H68" s="739" t="s">
        <v>71</v>
      </c>
      <c r="I68" s="739">
        <v>112</v>
      </c>
      <c r="J68" s="740">
        <v>226</v>
      </c>
      <c r="K68" s="533" t="s">
        <v>621</v>
      </c>
      <c r="L68" s="1025">
        <v>3744</v>
      </c>
      <c r="M68" s="318"/>
      <c r="N68" s="318"/>
      <c r="O68" s="1052">
        <f t="shared" si="21"/>
        <v>3744</v>
      </c>
      <c r="P68" s="559"/>
      <c r="Q68" s="336"/>
      <c r="R68" s="559"/>
      <c r="S68" s="336"/>
      <c r="T68" s="559"/>
      <c r="U68" s="335"/>
      <c r="V68" s="801" t="s">
        <v>625</v>
      </c>
      <c r="W68" s="801" t="s">
        <v>626</v>
      </c>
      <c r="X68" s="801"/>
      <c r="Z68" s="336">
        <f t="shared" si="91"/>
        <v>3744</v>
      </c>
      <c r="AA68" s="337">
        <f t="shared" si="91"/>
        <v>0</v>
      </c>
      <c r="AB68" s="338">
        <f t="shared" si="105"/>
        <v>3744</v>
      </c>
      <c r="AC68" s="336">
        <f t="shared" si="93"/>
        <v>0</v>
      </c>
      <c r="AD68" s="337">
        <f t="shared" si="93"/>
        <v>0</v>
      </c>
      <c r="AE68" s="338">
        <f t="shared" si="106"/>
        <v>0</v>
      </c>
      <c r="AF68" s="336">
        <f t="shared" si="95"/>
        <v>0</v>
      </c>
      <c r="AG68" s="337">
        <f t="shared" si="95"/>
        <v>0</v>
      </c>
      <c r="AH68" s="338">
        <f t="shared" si="107"/>
        <v>0</v>
      </c>
      <c r="AI68" s="336">
        <f t="shared" si="97"/>
        <v>0</v>
      </c>
      <c r="AJ68" s="337">
        <f t="shared" si="97"/>
        <v>0</v>
      </c>
      <c r="AK68" s="338">
        <f t="shared" si="108"/>
        <v>0</v>
      </c>
      <c r="AL68" s="342"/>
      <c r="AM68" s="336">
        <f t="shared" si="99"/>
        <v>3744</v>
      </c>
      <c r="AN68" s="339">
        <f t="shared" si="99"/>
        <v>0</v>
      </c>
      <c r="AO68" s="340">
        <f t="shared" si="109"/>
        <v>3744</v>
      </c>
      <c r="AP68" s="336">
        <f t="shared" si="101"/>
        <v>3744</v>
      </c>
      <c r="AQ68" s="339">
        <f t="shared" si="101"/>
        <v>0</v>
      </c>
      <c r="AR68" s="340">
        <f t="shared" si="110"/>
        <v>3744</v>
      </c>
      <c r="AS68" s="341">
        <f t="shared" si="103"/>
        <v>3744</v>
      </c>
      <c r="AT68" s="339">
        <f t="shared" si="103"/>
        <v>0</v>
      </c>
      <c r="AU68" s="340">
        <f t="shared" si="111"/>
        <v>3744</v>
      </c>
      <c r="AV68" s="1255">
        <f t="shared" si="20"/>
        <v>0</v>
      </c>
      <c r="AW68" s="343"/>
      <c r="AX68" s="1098"/>
      <c r="AY68" s="345"/>
      <c r="AZ68" s="1098"/>
      <c r="BA68" s="345">
        <v>3744</v>
      </c>
      <c r="BB68" s="1120"/>
      <c r="BC68" s="347"/>
      <c r="BD68" s="348"/>
      <c r="BE68" s="349"/>
      <c r="BF68" s="348"/>
      <c r="BG68" s="349"/>
      <c r="BH68" s="350"/>
      <c r="BI68" s="351"/>
      <c r="BJ68" s="352"/>
      <c r="BK68" s="337"/>
      <c r="BL68" s="352"/>
      <c r="BM68" s="337"/>
      <c r="BN68" s="353"/>
      <c r="BO68" s="354"/>
      <c r="BP68" s="355"/>
      <c r="BQ68" s="356"/>
      <c r="BR68" s="355"/>
      <c r="BS68" s="356"/>
      <c r="BT68" s="357"/>
    </row>
    <row r="69" spans="1:72" s="313" customFormat="1" ht="25.5" outlineLevel="1">
      <c r="A69" s="287">
        <v>56</v>
      </c>
      <c r="B69" s="1148"/>
      <c r="C69" s="840"/>
      <c r="D69" s="841"/>
      <c r="E69" s="839"/>
      <c r="F69" s="821" t="s">
        <v>7</v>
      </c>
      <c r="G69" s="314">
        <v>4</v>
      </c>
      <c r="H69" s="739" t="s">
        <v>71</v>
      </c>
      <c r="I69" s="739">
        <v>112</v>
      </c>
      <c r="J69" s="740">
        <v>226</v>
      </c>
      <c r="K69" s="533" t="s">
        <v>622</v>
      </c>
      <c r="L69" s="1025">
        <v>2990</v>
      </c>
      <c r="M69" s="318"/>
      <c r="N69" s="318"/>
      <c r="O69" s="1052">
        <f t="shared" si="21"/>
        <v>2990</v>
      </c>
      <c r="P69" s="559"/>
      <c r="Q69" s="336"/>
      <c r="R69" s="559"/>
      <c r="S69" s="336"/>
      <c r="T69" s="559"/>
      <c r="U69" s="335"/>
      <c r="V69" s="801" t="s">
        <v>650</v>
      </c>
      <c r="W69" s="801" t="s">
        <v>651</v>
      </c>
      <c r="X69" s="801"/>
      <c r="Z69" s="336">
        <f t="shared" si="91"/>
        <v>2990</v>
      </c>
      <c r="AA69" s="337">
        <f t="shared" si="91"/>
        <v>0</v>
      </c>
      <c r="AB69" s="338">
        <f>Z69-AA69</f>
        <v>2990</v>
      </c>
      <c r="AC69" s="336">
        <f t="shared" si="93"/>
        <v>0</v>
      </c>
      <c r="AD69" s="337">
        <f t="shared" si="93"/>
        <v>0</v>
      </c>
      <c r="AE69" s="338">
        <f>AC69-AD69</f>
        <v>0</v>
      </c>
      <c r="AF69" s="336">
        <f t="shared" si="95"/>
        <v>0</v>
      </c>
      <c r="AG69" s="337">
        <f t="shared" si="95"/>
        <v>0</v>
      </c>
      <c r="AH69" s="338">
        <f>AF69-AG69</f>
        <v>0</v>
      </c>
      <c r="AI69" s="336">
        <f t="shared" si="97"/>
        <v>0</v>
      </c>
      <c r="AJ69" s="337">
        <f t="shared" si="97"/>
        <v>0</v>
      </c>
      <c r="AK69" s="338">
        <f>AI69-AJ69</f>
        <v>0</v>
      </c>
      <c r="AL69" s="342"/>
      <c r="AM69" s="336">
        <f t="shared" si="99"/>
        <v>2990</v>
      </c>
      <c r="AN69" s="339">
        <f t="shared" si="99"/>
        <v>0</v>
      </c>
      <c r="AO69" s="340">
        <f>AM69-AN69</f>
        <v>2990</v>
      </c>
      <c r="AP69" s="336">
        <f t="shared" si="101"/>
        <v>2990</v>
      </c>
      <c r="AQ69" s="339">
        <f t="shared" si="101"/>
        <v>0</v>
      </c>
      <c r="AR69" s="340">
        <f>AP69-AQ69</f>
        <v>2990</v>
      </c>
      <c r="AS69" s="341">
        <f t="shared" si="103"/>
        <v>2990</v>
      </c>
      <c r="AT69" s="339">
        <f t="shared" si="103"/>
        <v>0</v>
      </c>
      <c r="AU69" s="340">
        <f>AS69-AT69</f>
        <v>2990</v>
      </c>
      <c r="AV69" s="1255">
        <f t="shared" si="20"/>
        <v>0</v>
      </c>
      <c r="AW69" s="343"/>
      <c r="AX69" s="1098"/>
      <c r="AY69" s="345"/>
      <c r="AZ69" s="1098"/>
      <c r="BA69" s="345">
        <v>2990</v>
      </c>
      <c r="BB69" s="1120"/>
      <c r="BC69" s="347"/>
      <c r="BD69" s="348"/>
      <c r="BE69" s="349"/>
      <c r="BF69" s="348"/>
      <c r="BG69" s="349"/>
      <c r="BH69" s="350"/>
      <c r="BI69" s="351"/>
      <c r="BJ69" s="352"/>
      <c r="BK69" s="337"/>
      <c r="BL69" s="352"/>
      <c r="BM69" s="337"/>
      <c r="BN69" s="353"/>
      <c r="BO69" s="354"/>
      <c r="BP69" s="355"/>
      <c r="BQ69" s="356"/>
      <c r="BR69" s="355"/>
      <c r="BS69" s="356"/>
      <c r="BT69" s="357"/>
    </row>
    <row r="70" spans="1:72" s="358" customFormat="1" ht="31.5" customHeight="1">
      <c r="A70" s="287">
        <v>57</v>
      </c>
      <c r="B70" s="933"/>
      <c r="C70" s="850" t="s">
        <v>377</v>
      </c>
      <c r="D70" s="853" t="s">
        <v>207</v>
      </c>
      <c r="E70" s="836" t="s">
        <v>201</v>
      </c>
      <c r="F70" s="820" t="s">
        <v>7</v>
      </c>
      <c r="G70" s="360">
        <v>4</v>
      </c>
      <c r="H70" s="360" t="s">
        <v>71</v>
      </c>
      <c r="I70" s="360">
        <v>244</v>
      </c>
      <c r="J70" s="361">
        <v>226</v>
      </c>
      <c r="K70" s="532" t="s">
        <v>150</v>
      </c>
      <c r="L70" s="1023">
        <f>L71</f>
        <v>279750</v>
      </c>
      <c r="M70" s="363"/>
      <c r="N70" s="363">
        <f>SUM(N71:N71)</f>
        <v>0</v>
      </c>
      <c r="O70" s="1051">
        <f t="shared" si="21"/>
        <v>279750</v>
      </c>
      <c r="P70" s="557"/>
      <c r="Q70" s="367">
        <f>Q71</f>
        <v>215351.84</v>
      </c>
      <c r="R70" s="557"/>
      <c r="S70" s="367">
        <f>S71</f>
        <v>185247.25</v>
      </c>
      <c r="T70" s="557"/>
      <c r="U70" s="365"/>
      <c r="V70" s="366">
        <f>L275</f>
        <v>358197.09</v>
      </c>
      <c r="W70" s="366"/>
      <c r="X70" s="391">
        <f>L70/(L70+V70)</f>
        <v>0.4385</v>
      </c>
      <c r="Z70" s="367">
        <f t="shared" si="91"/>
        <v>73650</v>
      </c>
      <c r="AA70" s="363">
        <f t="shared" si="91"/>
        <v>73650</v>
      </c>
      <c r="AB70" s="280">
        <f>Z70-AA70</f>
        <v>0</v>
      </c>
      <c r="AC70" s="367">
        <f t="shared" si="93"/>
        <v>152400</v>
      </c>
      <c r="AD70" s="363">
        <f t="shared" si="93"/>
        <v>152400</v>
      </c>
      <c r="AE70" s="280">
        <f>AC70-AD70</f>
        <v>0</v>
      </c>
      <c r="AF70" s="367">
        <f t="shared" si="95"/>
        <v>53700</v>
      </c>
      <c r="AG70" s="363">
        <f t="shared" si="95"/>
        <v>53700</v>
      </c>
      <c r="AH70" s="280">
        <f>AF70-AG70</f>
        <v>0</v>
      </c>
      <c r="AI70" s="367">
        <f t="shared" si="97"/>
        <v>0</v>
      </c>
      <c r="AJ70" s="363">
        <f t="shared" si="97"/>
        <v>0</v>
      </c>
      <c r="AK70" s="280">
        <f>AI70-AJ70</f>
        <v>0</v>
      </c>
      <c r="AL70" s="368"/>
      <c r="AM70" s="367">
        <f t="shared" si="99"/>
        <v>226050</v>
      </c>
      <c r="AN70" s="363">
        <f t="shared" si="99"/>
        <v>226050</v>
      </c>
      <c r="AO70" s="280">
        <f>AM70-AN70</f>
        <v>0</v>
      </c>
      <c r="AP70" s="367">
        <f t="shared" si="101"/>
        <v>279750</v>
      </c>
      <c r="AQ70" s="363">
        <f t="shared" si="101"/>
        <v>279750</v>
      </c>
      <c r="AR70" s="280">
        <f>AP70-AQ70</f>
        <v>0</v>
      </c>
      <c r="AS70" s="367">
        <f t="shared" si="103"/>
        <v>279750</v>
      </c>
      <c r="AT70" s="363">
        <f t="shared" si="103"/>
        <v>279750</v>
      </c>
      <c r="AU70" s="280">
        <f>AS70-AT70</f>
        <v>0</v>
      </c>
      <c r="AV70" s="1253">
        <f t="shared" si="20"/>
        <v>0</v>
      </c>
      <c r="AW70" s="367">
        <f>SUM(AW71)</f>
        <v>0</v>
      </c>
      <c r="AX70" s="1097">
        <f t="shared" ref="AX70:BT70" si="113">SUM(AX71)</f>
        <v>0</v>
      </c>
      <c r="AY70" s="363">
        <f t="shared" si="113"/>
        <v>27000</v>
      </c>
      <c r="AZ70" s="1097">
        <f t="shared" si="113"/>
        <v>27000</v>
      </c>
      <c r="BA70" s="363">
        <f t="shared" si="113"/>
        <v>46650</v>
      </c>
      <c r="BB70" s="1119">
        <f t="shared" si="113"/>
        <v>46650</v>
      </c>
      <c r="BC70" s="367">
        <f t="shared" si="113"/>
        <v>51600</v>
      </c>
      <c r="BD70" s="363">
        <f t="shared" si="113"/>
        <v>51600</v>
      </c>
      <c r="BE70" s="363">
        <f t="shared" si="113"/>
        <v>51600</v>
      </c>
      <c r="BF70" s="363">
        <f t="shared" si="113"/>
        <v>51600</v>
      </c>
      <c r="BG70" s="363">
        <f t="shared" si="113"/>
        <v>49200</v>
      </c>
      <c r="BH70" s="369">
        <f t="shared" si="113"/>
        <v>49200</v>
      </c>
      <c r="BI70" s="367">
        <f t="shared" si="113"/>
        <v>49800</v>
      </c>
      <c r="BJ70" s="363">
        <f t="shared" si="113"/>
        <v>49800</v>
      </c>
      <c r="BK70" s="363">
        <f t="shared" si="113"/>
        <v>3900</v>
      </c>
      <c r="BL70" s="363">
        <f t="shared" si="113"/>
        <v>3900</v>
      </c>
      <c r="BM70" s="363">
        <f t="shared" si="113"/>
        <v>0</v>
      </c>
      <c r="BN70" s="369">
        <f t="shared" si="113"/>
        <v>0</v>
      </c>
      <c r="BO70" s="367">
        <f t="shared" si="113"/>
        <v>0</v>
      </c>
      <c r="BP70" s="363">
        <f t="shared" si="113"/>
        <v>0</v>
      </c>
      <c r="BQ70" s="363">
        <f t="shared" si="113"/>
        <v>0</v>
      </c>
      <c r="BR70" s="363">
        <f t="shared" si="113"/>
        <v>0</v>
      </c>
      <c r="BS70" s="363">
        <f t="shared" si="113"/>
        <v>0</v>
      </c>
      <c r="BT70" s="280">
        <f t="shared" si="113"/>
        <v>0</v>
      </c>
    </row>
    <row r="71" spans="1:72" s="313" customFormat="1" ht="51" outlineLevel="1">
      <c r="A71" s="287">
        <v>58</v>
      </c>
      <c r="B71" s="1286"/>
      <c r="C71" s="840"/>
      <c r="D71" s="853" t="s">
        <v>207</v>
      </c>
      <c r="E71" s="839"/>
      <c r="F71" s="821" t="s">
        <v>7</v>
      </c>
      <c r="G71" s="314">
        <v>4</v>
      </c>
      <c r="H71" s="739" t="s">
        <v>71</v>
      </c>
      <c r="I71" s="739">
        <v>244</v>
      </c>
      <c r="J71" s="740">
        <v>226</v>
      </c>
      <c r="K71" s="533" t="s">
        <v>267</v>
      </c>
      <c r="L71" s="1025">
        <v>279750</v>
      </c>
      <c r="M71" s="318"/>
      <c r="N71" s="318"/>
      <c r="O71" s="1229">
        <f t="shared" si="21"/>
        <v>279750</v>
      </c>
      <c r="P71" s="559"/>
      <c r="Q71" s="336">
        <v>215351.84</v>
      </c>
      <c r="R71" s="559"/>
      <c r="S71" s="336">
        <v>185247.25</v>
      </c>
      <c r="T71" s="559"/>
      <c r="U71" s="335"/>
      <c r="V71" s="1226" t="s">
        <v>268</v>
      </c>
      <c r="W71" s="1227" t="s">
        <v>465</v>
      </c>
      <c r="X71" s="1227" t="s">
        <v>416</v>
      </c>
      <c r="Z71" s="336">
        <f t="shared" si="91"/>
        <v>73650</v>
      </c>
      <c r="AA71" s="337">
        <f t="shared" si="91"/>
        <v>73650</v>
      </c>
      <c r="AB71" s="338">
        <f>Z71-AA71</f>
        <v>0</v>
      </c>
      <c r="AC71" s="336">
        <f t="shared" si="93"/>
        <v>152400</v>
      </c>
      <c r="AD71" s="337">
        <f t="shared" si="93"/>
        <v>152400</v>
      </c>
      <c r="AE71" s="338">
        <f>AC71-AD71</f>
        <v>0</v>
      </c>
      <c r="AF71" s="336">
        <f t="shared" si="95"/>
        <v>53700</v>
      </c>
      <c r="AG71" s="337">
        <f t="shared" si="95"/>
        <v>53700</v>
      </c>
      <c r="AH71" s="338">
        <f>AF71-AG71</f>
        <v>0</v>
      </c>
      <c r="AI71" s="336">
        <f t="shared" si="97"/>
        <v>0</v>
      </c>
      <c r="AJ71" s="337">
        <f t="shared" si="97"/>
        <v>0</v>
      </c>
      <c r="AK71" s="338">
        <f>AI71-AJ71</f>
        <v>0</v>
      </c>
      <c r="AL71" s="342"/>
      <c r="AM71" s="336">
        <f t="shared" si="99"/>
        <v>226050</v>
      </c>
      <c r="AN71" s="339">
        <f t="shared" si="99"/>
        <v>226050</v>
      </c>
      <c r="AO71" s="340">
        <f>AM71-AN71</f>
        <v>0</v>
      </c>
      <c r="AP71" s="336">
        <f t="shared" si="101"/>
        <v>279750</v>
      </c>
      <c r="AQ71" s="339">
        <f t="shared" si="101"/>
        <v>279750</v>
      </c>
      <c r="AR71" s="340">
        <f>AP71-AQ71</f>
        <v>0</v>
      </c>
      <c r="AS71" s="341">
        <f t="shared" si="103"/>
        <v>279750</v>
      </c>
      <c r="AT71" s="339">
        <f t="shared" si="103"/>
        <v>279750</v>
      </c>
      <c r="AU71" s="340">
        <f>AS71-AT71</f>
        <v>0</v>
      </c>
      <c r="AV71" s="1255">
        <f t="shared" si="20"/>
        <v>0</v>
      </c>
      <c r="AW71" s="343"/>
      <c r="AX71" s="1098"/>
      <c r="AY71" s="1217">
        <f>150*12*15</f>
        <v>27000</v>
      </c>
      <c r="AZ71" s="1218">
        <v>27000</v>
      </c>
      <c r="BA71" s="1217">
        <v>46650</v>
      </c>
      <c r="BB71" s="1219">
        <f>46200+450</f>
        <v>46650</v>
      </c>
      <c r="BC71" s="1220">
        <f>150*12*26+150*4*8</f>
        <v>51600</v>
      </c>
      <c r="BD71" s="1221">
        <v>51600</v>
      </c>
      <c r="BE71" s="1222">
        <f>150*12*26+150*4*8</f>
        <v>51600</v>
      </c>
      <c r="BF71" s="1221">
        <v>51600</v>
      </c>
      <c r="BG71" s="1222">
        <f>150*12*24+150*5*8</f>
        <v>49200</v>
      </c>
      <c r="BH71" s="1223">
        <v>49200</v>
      </c>
      <c r="BI71" s="1224">
        <f>150*12*25+150*3*8+150*2*4</f>
        <v>49800</v>
      </c>
      <c r="BJ71" s="1225">
        <v>49800</v>
      </c>
      <c r="BK71" s="1224">
        <f>300+3600</f>
        <v>3900</v>
      </c>
      <c r="BL71" s="1225">
        <v>3900</v>
      </c>
      <c r="BM71" s="622"/>
      <c r="BN71" s="353"/>
      <c r="BO71" s="354"/>
      <c r="BP71" s="355"/>
      <c r="BQ71" s="356"/>
      <c r="BR71" s="355"/>
      <c r="BS71" s="356"/>
      <c r="BT71" s="357"/>
    </row>
    <row r="72" spans="1:72" s="358" customFormat="1" ht="60" customHeight="1">
      <c r="A72" s="287">
        <v>59</v>
      </c>
      <c r="B72" s="933"/>
      <c r="C72" s="850" t="s">
        <v>377</v>
      </c>
      <c r="D72" s="838"/>
      <c r="E72" s="836" t="s">
        <v>201</v>
      </c>
      <c r="F72" s="820" t="s">
        <v>7</v>
      </c>
      <c r="G72" s="360">
        <v>4</v>
      </c>
      <c r="H72" s="360" t="s">
        <v>71</v>
      </c>
      <c r="I72" s="360">
        <v>244</v>
      </c>
      <c r="J72" s="361">
        <v>226</v>
      </c>
      <c r="K72" s="532" t="s">
        <v>170</v>
      </c>
      <c r="L72" s="1023">
        <f>SUM(L73:L85)</f>
        <v>439218.61</v>
      </c>
      <c r="M72" s="363"/>
      <c r="N72" s="363">
        <f>SUM(N73:N85)</f>
        <v>-3379.25</v>
      </c>
      <c r="O72" s="1051">
        <f t="shared" si="21"/>
        <v>435839.36</v>
      </c>
      <c r="P72" s="557"/>
      <c r="Q72" s="367">
        <f>SUM(Q73:Q85)</f>
        <v>515206.86</v>
      </c>
      <c r="R72" s="557"/>
      <c r="S72" s="367">
        <f>SUM(S73:S85)</f>
        <v>515206.86</v>
      </c>
      <c r="T72" s="557"/>
      <c r="U72" s="365"/>
      <c r="V72" s="366"/>
      <c r="W72" s="366"/>
      <c r="X72" s="366"/>
      <c r="Z72" s="367">
        <f t="shared" si="36"/>
        <v>64599.96</v>
      </c>
      <c r="AA72" s="363">
        <f t="shared" si="36"/>
        <v>64599.96</v>
      </c>
      <c r="AB72" s="280">
        <f t="shared" si="7"/>
        <v>0</v>
      </c>
      <c r="AC72" s="367">
        <f t="shared" si="37"/>
        <v>91490.69</v>
      </c>
      <c r="AD72" s="363">
        <f t="shared" si="37"/>
        <v>21490.7</v>
      </c>
      <c r="AE72" s="280">
        <f t="shared" si="9"/>
        <v>69999.990000000005</v>
      </c>
      <c r="AF72" s="367">
        <f t="shared" si="38"/>
        <v>130921.44</v>
      </c>
      <c r="AG72" s="363">
        <f t="shared" si="38"/>
        <v>28896.45</v>
      </c>
      <c r="AH72" s="280">
        <f t="shared" si="11"/>
        <v>102024.99</v>
      </c>
      <c r="AI72" s="367">
        <f t="shared" si="39"/>
        <v>148827.26999999999</v>
      </c>
      <c r="AJ72" s="363">
        <f t="shared" si="39"/>
        <v>37765.5</v>
      </c>
      <c r="AK72" s="280">
        <f t="shared" si="13"/>
        <v>111061.77</v>
      </c>
      <c r="AL72" s="368"/>
      <c r="AM72" s="367">
        <f t="shared" si="40"/>
        <v>156090.65</v>
      </c>
      <c r="AN72" s="363">
        <f t="shared" si="40"/>
        <v>86090.66</v>
      </c>
      <c r="AO72" s="280">
        <f t="shared" si="15"/>
        <v>69999.990000000005</v>
      </c>
      <c r="AP72" s="367">
        <f t="shared" si="41"/>
        <v>287012.09000000003</v>
      </c>
      <c r="AQ72" s="363">
        <f t="shared" si="41"/>
        <v>114987.11</v>
      </c>
      <c r="AR72" s="280">
        <f t="shared" si="17"/>
        <v>172024.98</v>
      </c>
      <c r="AS72" s="367">
        <f t="shared" si="22"/>
        <v>435839.36</v>
      </c>
      <c r="AT72" s="363">
        <f t="shared" si="18"/>
        <v>152752.60999999999</v>
      </c>
      <c r="AU72" s="280">
        <f t="shared" si="19"/>
        <v>283086.75</v>
      </c>
      <c r="AV72" s="1253">
        <f t="shared" si="20"/>
        <v>3379.25</v>
      </c>
      <c r="AW72" s="367">
        <f t="shared" ref="AW72:BT72" si="114">SUM(AW73:AW85)</f>
        <v>0</v>
      </c>
      <c r="AX72" s="1097">
        <f t="shared" si="114"/>
        <v>0</v>
      </c>
      <c r="AY72" s="363">
        <f t="shared" si="114"/>
        <v>16828.080000000002</v>
      </c>
      <c r="AZ72" s="1097">
        <f t="shared" si="114"/>
        <v>16828.080000000002</v>
      </c>
      <c r="BA72" s="363">
        <f t="shared" si="114"/>
        <v>47771.88</v>
      </c>
      <c r="BB72" s="1119">
        <f t="shared" si="114"/>
        <v>47771.88</v>
      </c>
      <c r="BC72" s="367">
        <f t="shared" si="114"/>
        <v>32989.68</v>
      </c>
      <c r="BD72" s="363">
        <f t="shared" si="114"/>
        <v>9656.35</v>
      </c>
      <c r="BE72" s="363">
        <f t="shared" si="114"/>
        <v>32917.08</v>
      </c>
      <c r="BF72" s="363">
        <f t="shared" si="114"/>
        <v>9583.75</v>
      </c>
      <c r="BG72" s="363">
        <f t="shared" si="114"/>
        <v>25583.93</v>
      </c>
      <c r="BH72" s="369">
        <f t="shared" si="114"/>
        <v>2250.6</v>
      </c>
      <c r="BI72" s="367">
        <f t="shared" si="114"/>
        <v>57900.33</v>
      </c>
      <c r="BJ72" s="363">
        <f t="shared" si="114"/>
        <v>2178</v>
      </c>
      <c r="BK72" s="363">
        <f t="shared" si="114"/>
        <v>47619.18</v>
      </c>
      <c r="BL72" s="363">
        <f t="shared" si="114"/>
        <v>24467.85</v>
      </c>
      <c r="BM72" s="363">
        <f t="shared" si="114"/>
        <v>25401.93</v>
      </c>
      <c r="BN72" s="369">
        <f t="shared" si="114"/>
        <v>2250.6</v>
      </c>
      <c r="BO72" s="367">
        <f t="shared" si="114"/>
        <v>50476.83</v>
      </c>
      <c r="BP72" s="363">
        <f t="shared" si="114"/>
        <v>22947.5</v>
      </c>
      <c r="BQ72" s="363">
        <f t="shared" si="114"/>
        <v>32807.68</v>
      </c>
      <c r="BR72" s="363">
        <f t="shared" si="114"/>
        <v>14818</v>
      </c>
      <c r="BS72" s="363">
        <f t="shared" si="114"/>
        <v>65542.759999999995</v>
      </c>
      <c r="BT72" s="280">
        <f t="shared" si="114"/>
        <v>0</v>
      </c>
    </row>
    <row r="73" spans="1:72" s="313" customFormat="1" ht="63.75" outlineLevel="1">
      <c r="A73" s="287">
        <v>60</v>
      </c>
      <c r="B73" s="933"/>
      <c r="C73" s="840"/>
      <c r="D73" s="841"/>
      <c r="E73" s="839"/>
      <c r="F73" s="821" t="s">
        <v>7</v>
      </c>
      <c r="G73" s="314">
        <v>4</v>
      </c>
      <c r="H73" s="739" t="s">
        <v>71</v>
      </c>
      <c r="I73" s="739">
        <v>244</v>
      </c>
      <c r="J73" s="740">
        <v>226</v>
      </c>
      <c r="K73" s="533" t="s">
        <v>447</v>
      </c>
      <c r="L73" s="1025">
        <f>17950.7+7386.7</f>
        <v>25337.4</v>
      </c>
      <c r="M73" s="318"/>
      <c r="N73" s="318"/>
      <c r="O73" s="1052">
        <f t="shared" si="21"/>
        <v>25337.4</v>
      </c>
      <c r="P73" s="559"/>
      <c r="Q73" s="336">
        <v>17950.7</v>
      </c>
      <c r="R73" s="559"/>
      <c r="S73" s="336">
        <v>17950.7</v>
      </c>
      <c r="T73" s="559"/>
      <c r="U73" s="335"/>
      <c r="V73" s="801" t="s">
        <v>448</v>
      </c>
      <c r="W73" s="801" t="s">
        <v>474</v>
      </c>
      <c r="X73" s="801" t="s">
        <v>446</v>
      </c>
      <c r="Z73" s="336">
        <f t="shared" si="36"/>
        <v>3121.8</v>
      </c>
      <c r="AA73" s="337">
        <f t="shared" si="36"/>
        <v>3121.8</v>
      </c>
      <c r="AB73" s="338">
        <f t="shared" si="7"/>
        <v>0</v>
      </c>
      <c r="AC73" s="336">
        <f t="shared" si="37"/>
        <v>6679.2</v>
      </c>
      <c r="AD73" s="337">
        <f t="shared" si="37"/>
        <v>6679.2</v>
      </c>
      <c r="AE73" s="338">
        <f t="shared" si="9"/>
        <v>0</v>
      </c>
      <c r="AF73" s="336">
        <f t="shared" si="38"/>
        <v>6679.2</v>
      </c>
      <c r="AG73" s="337">
        <f t="shared" si="38"/>
        <v>6679.2</v>
      </c>
      <c r="AH73" s="338">
        <f t="shared" si="11"/>
        <v>0</v>
      </c>
      <c r="AI73" s="336">
        <f t="shared" si="39"/>
        <v>8857.2000000000007</v>
      </c>
      <c r="AJ73" s="337">
        <f t="shared" si="39"/>
        <v>0</v>
      </c>
      <c r="AK73" s="338">
        <f t="shared" si="13"/>
        <v>8857.2000000000007</v>
      </c>
      <c r="AL73" s="342"/>
      <c r="AM73" s="336">
        <f t="shared" si="40"/>
        <v>9801</v>
      </c>
      <c r="AN73" s="339">
        <f t="shared" si="40"/>
        <v>9801</v>
      </c>
      <c r="AO73" s="340">
        <f t="shared" si="15"/>
        <v>0</v>
      </c>
      <c r="AP73" s="336">
        <f t="shared" si="41"/>
        <v>16480.2</v>
      </c>
      <c r="AQ73" s="339">
        <f t="shared" si="41"/>
        <v>16480.2</v>
      </c>
      <c r="AR73" s="340">
        <f t="shared" si="17"/>
        <v>0</v>
      </c>
      <c r="AS73" s="341">
        <f t="shared" si="22"/>
        <v>25337.4</v>
      </c>
      <c r="AT73" s="339">
        <f t="shared" si="18"/>
        <v>16480.2</v>
      </c>
      <c r="AU73" s="340">
        <f t="shared" si="19"/>
        <v>8857.2000000000007</v>
      </c>
      <c r="AV73" s="1258">
        <f t="shared" si="20"/>
        <v>0</v>
      </c>
      <c r="AW73" s="343"/>
      <c r="AX73" s="1098"/>
      <c r="AY73" s="1217">
        <f>180*6.05</f>
        <v>1089</v>
      </c>
      <c r="AZ73" s="1218">
        <v>1089</v>
      </c>
      <c r="BA73" s="1217">
        <f>336*6.05</f>
        <v>2032.8</v>
      </c>
      <c r="BB73" s="1219">
        <v>2032.8</v>
      </c>
      <c r="BC73" s="1220">
        <f>372*6.05</f>
        <v>2250.6</v>
      </c>
      <c r="BD73" s="1221">
        <v>2250.6</v>
      </c>
      <c r="BE73" s="1222">
        <f>360*6.05</f>
        <v>2178</v>
      </c>
      <c r="BF73" s="1221">
        <v>2178</v>
      </c>
      <c r="BG73" s="1222">
        <f>372*6.05</f>
        <v>2250.6</v>
      </c>
      <c r="BH73" s="1223">
        <v>2250.6</v>
      </c>
      <c r="BI73" s="1224">
        <f>360*6.05</f>
        <v>2178</v>
      </c>
      <c r="BJ73" s="1225">
        <v>2178</v>
      </c>
      <c r="BK73" s="1230">
        <f>372*6.05</f>
        <v>2250.6</v>
      </c>
      <c r="BL73" s="1225">
        <v>2250.6</v>
      </c>
      <c r="BM73" s="1230">
        <f>372*6.05</f>
        <v>2250.6</v>
      </c>
      <c r="BN73" s="1293">
        <v>2250.6</v>
      </c>
      <c r="BO73" s="354">
        <f>360*6.05</f>
        <v>2178</v>
      </c>
      <c r="BP73" s="355"/>
      <c r="BQ73" s="356">
        <f>372*6.05</f>
        <v>2250.6</v>
      </c>
      <c r="BR73" s="355"/>
      <c r="BS73" s="356">
        <f>360*6.05+372*6.05</f>
        <v>4428.6000000000004</v>
      </c>
      <c r="BT73" s="357"/>
    </row>
    <row r="74" spans="1:72" s="313" customFormat="1" ht="38.25" outlineLevel="1">
      <c r="A74" s="287">
        <v>61</v>
      </c>
      <c r="B74" s="933"/>
      <c r="C74" s="840"/>
      <c r="D74" s="841"/>
      <c r="E74" s="839"/>
      <c r="F74" s="821" t="s">
        <v>7</v>
      </c>
      <c r="G74" s="314">
        <v>4</v>
      </c>
      <c r="H74" s="739" t="s">
        <v>71</v>
      </c>
      <c r="I74" s="739">
        <v>244</v>
      </c>
      <c r="J74" s="740">
        <v>226</v>
      </c>
      <c r="K74" s="533" t="s">
        <v>343</v>
      </c>
      <c r="L74" s="1025">
        <v>52171.199999999997</v>
      </c>
      <c r="M74" s="318"/>
      <c r="N74" s="318"/>
      <c r="O74" s="1052">
        <f t="shared" si="21"/>
        <v>52171.199999999997</v>
      </c>
      <c r="P74" s="559"/>
      <c r="Q74" s="336">
        <v>52171.199999999997</v>
      </c>
      <c r="R74" s="559"/>
      <c r="S74" s="336">
        <v>52171.199999999997</v>
      </c>
      <c r="T74" s="559"/>
      <c r="U74" s="335"/>
      <c r="V74" s="596" t="s">
        <v>253</v>
      </c>
      <c r="W74" s="597" t="s">
        <v>395</v>
      </c>
      <c r="X74" s="597" t="s">
        <v>381</v>
      </c>
      <c r="Z74" s="336">
        <f t="shared" si="36"/>
        <v>8695.2000000000007</v>
      </c>
      <c r="AA74" s="337">
        <f t="shared" si="36"/>
        <v>8695.2000000000007</v>
      </c>
      <c r="AB74" s="338">
        <f>Z74-AA74</f>
        <v>0</v>
      </c>
      <c r="AC74" s="336">
        <f t="shared" si="37"/>
        <v>8695.2000000000007</v>
      </c>
      <c r="AD74" s="337">
        <f t="shared" si="37"/>
        <v>8695.2000000000007</v>
      </c>
      <c r="AE74" s="338">
        <f>AC74-AD74</f>
        <v>0</v>
      </c>
      <c r="AF74" s="336">
        <f t="shared" si="38"/>
        <v>13042.8</v>
      </c>
      <c r="AG74" s="337">
        <f t="shared" si="38"/>
        <v>13042.8</v>
      </c>
      <c r="AH74" s="338">
        <f>AF74-AG74</f>
        <v>0</v>
      </c>
      <c r="AI74" s="336">
        <f t="shared" si="39"/>
        <v>21738</v>
      </c>
      <c r="AJ74" s="337">
        <f t="shared" si="39"/>
        <v>8695.2000000000007</v>
      </c>
      <c r="AK74" s="338">
        <f>AI74-AJ74</f>
        <v>13042.8</v>
      </c>
      <c r="AL74" s="342"/>
      <c r="AM74" s="336">
        <f t="shared" si="40"/>
        <v>17390.400000000001</v>
      </c>
      <c r="AN74" s="339">
        <f t="shared" si="40"/>
        <v>17390.400000000001</v>
      </c>
      <c r="AO74" s="340">
        <f>AM74-AN74</f>
        <v>0</v>
      </c>
      <c r="AP74" s="336">
        <f t="shared" si="41"/>
        <v>30433.200000000001</v>
      </c>
      <c r="AQ74" s="339">
        <f t="shared" si="41"/>
        <v>30433.200000000001</v>
      </c>
      <c r="AR74" s="340">
        <f>AP74-AQ74</f>
        <v>0</v>
      </c>
      <c r="AS74" s="341">
        <f t="shared" si="22"/>
        <v>52171.199999999997</v>
      </c>
      <c r="AT74" s="339">
        <f t="shared" si="22"/>
        <v>39128.400000000001</v>
      </c>
      <c r="AU74" s="340">
        <f>AS74-AT74</f>
        <v>13042.8</v>
      </c>
      <c r="AV74" s="1255">
        <f t="shared" si="20"/>
        <v>0</v>
      </c>
      <c r="AW74" s="1241"/>
      <c r="AX74" s="1218"/>
      <c r="AY74" s="1217">
        <v>4347.6000000000004</v>
      </c>
      <c r="AZ74" s="1218">
        <v>4347.6000000000004</v>
      </c>
      <c r="BA74" s="1217">
        <v>4347.6000000000004</v>
      </c>
      <c r="BB74" s="1219">
        <v>4347.6000000000004</v>
      </c>
      <c r="BC74" s="1220">
        <v>4347.6000000000004</v>
      </c>
      <c r="BD74" s="1221">
        <v>4347.6000000000004</v>
      </c>
      <c r="BE74" s="1222">
        <v>4347.6000000000004</v>
      </c>
      <c r="BF74" s="1221">
        <v>4347.6000000000004</v>
      </c>
      <c r="BG74" s="1222"/>
      <c r="BH74" s="1223"/>
      <c r="BI74" s="1224"/>
      <c r="BJ74" s="1225"/>
      <c r="BK74" s="1230">
        <f>4347.6*3</f>
        <v>13042.8</v>
      </c>
      <c r="BL74" s="1225">
        <f>4347.6*3</f>
        <v>13042.8</v>
      </c>
      <c r="BM74" s="337"/>
      <c r="BN74" s="353"/>
      <c r="BO74" s="1138">
        <f>4347.6*2</f>
        <v>8695.2000000000007</v>
      </c>
      <c r="BP74" s="355">
        <f>4347.6*2</f>
        <v>8695.2000000000007</v>
      </c>
      <c r="BQ74" s="356">
        <v>4347.6000000000004</v>
      </c>
      <c r="BR74" s="355"/>
      <c r="BS74" s="356">
        <f>4347.6*2</f>
        <v>8695.2000000000007</v>
      </c>
      <c r="BT74" s="357"/>
    </row>
    <row r="75" spans="1:72" s="313" customFormat="1" ht="38.25" outlineLevel="1">
      <c r="A75" s="287">
        <v>62</v>
      </c>
      <c r="B75" s="933"/>
      <c r="C75" s="840"/>
      <c r="D75" s="841"/>
      <c r="E75" s="839"/>
      <c r="F75" s="821" t="s">
        <v>7</v>
      </c>
      <c r="G75" s="314">
        <v>4</v>
      </c>
      <c r="H75" s="739" t="s">
        <v>71</v>
      </c>
      <c r="I75" s="739">
        <v>244</v>
      </c>
      <c r="J75" s="740">
        <v>226</v>
      </c>
      <c r="K75" s="533" t="s">
        <v>814</v>
      </c>
      <c r="L75" s="1025">
        <f>33361.68+4028.04-691.92</f>
        <v>36697.800000000003</v>
      </c>
      <c r="M75" s="318"/>
      <c r="N75" s="318"/>
      <c r="O75" s="1052">
        <f>L75+N75</f>
        <v>36697.800000000003</v>
      </c>
      <c r="P75" s="559"/>
      <c r="Q75" s="336">
        <v>33361.68</v>
      </c>
      <c r="R75" s="559"/>
      <c r="S75" s="336">
        <v>33361.68</v>
      </c>
      <c r="T75" s="559"/>
      <c r="U75" s="335"/>
      <c r="V75" s="596" t="s">
        <v>253</v>
      </c>
      <c r="W75" s="597" t="s">
        <v>394</v>
      </c>
      <c r="X75" s="597" t="s">
        <v>381</v>
      </c>
      <c r="Z75" s="336">
        <f t="shared" si="36"/>
        <v>6116.3</v>
      </c>
      <c r="AA75" s="337">
        <f t="shared" si="36"/>
        <v>6116.3</v>
      </c>
      <c r="AB75" s="338">
        <f>Z75-AA75</f>
        <v>0</v>
      </c>
      <c r="AC75" s="336">
        <f t="shared" si="37"/>
        <v>6116.3</v>
      </c>
      <c r="AD75" s="337">
        <f t="shared" si="37"/>
        <v>6116.3</v>
      </c>
      <c r="AE75" s="338">
        <f>AC75-AD75</f>
        <v>0</v>
      </c>
      <c r="AF75" s="336">
        <f t="shared" si="38"/>
        <v>9174.4500000000007</v>
      </c>
      <c r="AG75" s="337">
        <f t="shared" si="38"/>
        <v>9174.4500000000007</v>
      </c>
      <c r="AH75" s="338">
        <f>AF75-AG75</f>
        <v>0</v>
      </c>
      <c r="AI75" s="336">
        <f t="shared" si="39"/>
        <v>15290.75</v>
      </c>
      <c r="AJ75" s="337">
        <f t="shared" si="39"/>
        <v>6116.3</v>
      </c>
      <c r="AK75" s="338">
        <f>AI75-AJ75</f>
        <v>9174.4500000000007</v>
      </c>
      <c r="AL75" s="342"/>
      <c r="AM75" s="336">
        <f t="shared" si="40"/>
        <v>12232.6</v>
      </c>
      <c r="AN75" s="339">
        <f t="shared" si="40"/>
        <v>12232.6</v>
      </c>
      <c r="AO75" s="340">
        <f>AM75-AN75</f>
        <v>0</v>
      </c>
      <c r="AP75" s="336">
        <f t="shared" si="41"/>
        <v>21407.05</v>
      </c>
      <c r="AQ75" s="339">
        <f t="shared" si="41"/>
        <v>21407.05</v>
      </c>
      <c r="AR75" s="340">
        <f>AP75-AQ75</f>
        <v>0</v>
      </c>
      <c r="AS75" s="341">
        <f t="shared" si="22"/>
        <v>36697.800000000003</v>
      </c>
      <c r="AT75" s="339">
        <f t="shared" si="22"/>
        <v>27523.35</v>
      </c>
      <c r="AU75" s="340">
        <f>AS75-AT75</f>
        <v>9174.4500000000007</v>
      </c>
      <c r="AV75" s="1255">
        <f>L75-AS75</f>
        <v>0</v>
      </c>
      <c r="AW75" s="343"/>
      <c r="AX75" s="1098"/>
      <c r="AY75" s="1217">
        <f>104.24+2171.99+781.92</f>
        <v>3058.15</v>
      </c>
      <c r="AZ75" s="1218">
        <v>3058.15</v>
      </c>
      <c r="BA75" s="1217">
        <f>104.24+2171.99+781.92</f>
        <v>3058.15</v>
      </c>
      <c r="BB75" s="1219">
        <v>3058.15</v>
      </c>
      <c r="BC75" s="1220">
        <f>104.24+2171.99+781.92</f>
        <v>3058.15</v>
      </c>
      <c r="BD75" s="1221">
        <v>3058.15</v>
      </c>
      <c r="BE75" s="1222">
        <v>3058.15</v>
      </c>
      <c r="BF75" s="1221">
        <v>3058.15</v>
      </c>
      <c r="BG75" s="1222"/>
      <c r="BH75" s="1223"/>
      <c r="BI75" s="1224"/>
      <c r="BJ75" s="1225"/>
      <c r="BK75" s="1230">
        <f>(104.24+2171.99+781.92)*3</f>
        <v>9174.4500000000007</v>
      </c>
      <c r="BL75" s="1225">
        <f>(104.24+2171.99+781.92)*3</f>
        <v>9174.4500000000007</v>
      </c>
      <c r="BM75" s="1230"/>
      <c r="BN75" s="1293"/>
      <c r="BO75" s="1138">
        <f>(104.24+2171.99+781.92)*2</f>
        <v>6116.3</v>
      </c>
      <c r="BP75" s="355">
        <f>(104.24+2171.99+781.92)*2</f>
        <v>6116.3</v>
      </c>
      <c r="BQ75" s="356">
        <f>104.24+2171.99+781.92</f>
        <v>3058.15</v>
      </c>
      <c r="BR75" s="355"/>
      <c r="BS75" s="356">
        <f>(104.24+2171.99+781.92)*2</f>
        <v>6116.3</v>
      </c>
      <c r="BT75" s="357"/>
    </row>
    <row r="76" spans="1:72" s="313" customFormat="1" ht="25.5" outlineLevel="1">
      <c r="A76" s="287">
        <v>63</v>
      </c>
      <c r="B76" s="1287"/>
      <c r="C76" s="840"/>
      <c r="D76" s="841"/>
      <c r="E76" s="839"/>
      <c r="F76" s="821" t="s">
        <v>7</v>
      </c>
      <c r="G76" s="314">
        <v>4</v>
      </c>
      <c r="H76" s="739" t="s">
        <v>71</v>
      </c>
      <c r="I76" s="739">
        <v>244</v>
      </c>
      <c r="J76" s="740">
        <v>226</v>
      </c>
      <c r="K76" s="533" t="s">
        <v>344</v>
      </c>
      <c r="L76" s="1025">
        <v>11515.25</v>
      </c>
      <c r="M76" s="318"/>
      <c r="N76" s="318">
        <v>-3379.25</v>
      </c>
      <c r="O76" s="1052">
        <f t="shared" si="21"/>
        <v>8136</v>
      </c>
      <c r="P76" s="559"/>
      <c r="Q76" s="336">
        <v>21790</v>
      </c>
      <c r="R76" s="559"/>
      <c r="S76" s="336">
        <v>21790</v>
      </c>
      <c r="T76" s="559"/>
      <c r="U76" s="335"/>
      <c r="V76" s="596" t="s">
        <v>599</v>
      </c>
      <c r="W76" s="597" t="s">
        <v>1078</v>
      </c>
      <c r="X76" s="597" t="s">
        <v>1079</v>
      </c>
      <c r="Z76" s="336">
        <f t="shared" si="36"/>
        <v>0</v>
      </c>
      <c r="AA76" s="337">
        <f t="shared" si="36"/>
        <v>0</v>
      </c>
      <c r="AB76" s="338">
        <f>Z76-AA76</f>
        <v>0</v>
      </c>
      <c r="AC76" s="336">
        <f t="shared" si="37"/>
        <v>0</v>
      </c>
      <c r="AD76" s="337">
        <f t="shared" si="37"/>
        <v>0</v>
      </c>
      <c r="AE76" s="338">
        <f>AC76-AD76</f>
        <v>0</v>
      </c>
      <c r="AF76" s="336">
        <f t="shared" si="38"/>
        <v>0</v>
      </c>
      <c r="AG76" s="337">
        <f t="shared" si="38"/>
        <v>0</v>
      </c>
      <c r="AH76" s="338">
        <f>AF76-AG76</f>
        <v>0</v>
      </c>
      <c r="AI76" s="336">
        <f t="shared" si="39"/>
        <v>8136</v>
      </c>
      <c r="AJ76" s="337">
        <f t="shared" si="39"/>
        <v>8136</v>
      </c>
      <c r="AK76" s="338">
        <f>AI76-AJ76</f>
        <v>0</v>
      </c>
      <c r="AL76" s="342"/>
      <c r="AM76" s="336">
        <f t="shared" si="40"/>
        <v>0</v>
      </c>
      <c r="AN76" s="339">
        <f t="shared" si="40"/>
        <v>0</v>
      </c>
      <c r="AO76" s="340">
        <f>AM76-AN76</f>
        <v>0</v>
      </c>
      <c r="AP76" s="336">
        <f t="shared" si="41"/>
        <v>0</v>
      </c>
      <c r="AQ76" s="339">
        <f t="shared" si="41"/>
        <v>0</v>
      </c>
      <c r="AR76" s="340">
        <f>AP76-AQ76</f>
        <v>0</v>
      </c>
      <c r="AS76" s="341">
        <f t="shared" si="22"/>
        <v>8136</v>
      </c>
      <c r="AT76" s="339">
        <f t="shared" si="22"/>
        <v>8136</v>
      </c>
      <c r="AU76" s="340">
        <f>AS76-AT76</f>
        <v>0</v>
      </c>
      <c r="AV76" s="1258">
        <f t="shared" si="20"/>
        <v>3379.25</v>
      </c>
      <c r="AW76" s="343"/>
      <c r="AX76" s="1098"/>
      <c r="AY76" s="345"/>
      <c r="AZ76" s="1098"/>
      <c r="BA76" s="345"/>
      <c r="BB76" s="1120"/>
      <c r="BC76" s="347"/>
      <c r="BD76" s="348"/>
      <c r="BE76" s="349"/>
      <c r="BF76" s="348"/>
      <c r="BG76" s="349"/>
      <c r="BH76" s="350"/>
      <c r="BI76" s="351"/>
      <c r="BJ76" s="352"/>
      <c r="BK76" s="337"/>
      <c r="BL76" s="352"/>
      <c r="BM76" s="337"/>
      <c r="BN76" s="353"/>
      <c r="BO76" s="1138">
        <v>8136</v>
      </c>
      <c r="BP76" s="355">
        <v>8136</v>
      </c>
      <c r="BQ76" s="356"/>
      <c r="BR76" s="355"/>
      <c r="BS76" s="356"/>
      <c r="BT76" s="357"/>
    </row>
    <row r="77" spans="1:72" s="313" customFormat="1" ht="25.5" outlineLevel="1">
      <c r="A77" s="287">
        <v>64</v>
      </c>
      <c r="B77" s="933"/>
      <c r="C77" s="840"/>
      <c r="D77" s="841"/>
      <c r="E77" s="839"/>
      <c r="F77" s="821" t="s">
        <v>7</v>
      </c>
      <c r="G77" s="314">
        <v>4</v>
      </c>
      <c r="H77" s="739" t="s">
        <v>71</v>
      </c>
      <c r="I77" s="739">
        <v>244</v>
      </c>
      <c r="J77" s="740">
        <v>226</v>
      </c>
      <c r="K77" s="533" t="s">
        <v>345</v>
      </c>
      <c r="L77" s="1025">
        <v>0</v>
      </c>
      <c r="M77" s="318"/>
      <c r="N77" s="318"/>
      <c r="O77" s="1052">
        <f t="shared" si="21"/>
        <v>0</v>
      </c>
      <c r="P77" s="559"/>
      <c r="Q77" s="336">
        <v>100000</v>
      </c>
      <c r="R77" s="559"/>
      <c r="S77" s="336">
        <v>100000</v>
      </c>
      <c r="T77" s="559"/>
      <c r="U77" s="335"/>
      <c r="V77" s="320" t="s">
        <v>470</v>
      </c>
      <c r="W77" s="388" t="s">
        <v>328</v>
      </c>
      <c r="X77" s="388" t="s">
        <v>329</v>
      </c>
      <c r="Z77" s="336">
        <f t="shared" si="36"/>
        <v>0</v>
      </c>
      <c r="AA77" s="337">
        <f t="shared" si="36"/>
        <v>0</v>
      </c>
      <c r="AB77" s="338">
        <f t="shared" si="7"/>
        <v>0</v>
      </c>
      <c r="AC77" s="336">
        <f t="shared" si="37"/>
        <v>0</v>
      </c>
      <c r="AD77" s="337">
        <f t="shared" si="37"/>
        <v>0</v>
      </c>
      <c r="AE77" s="338">
        <f t="shared" si="9"/>
        <v>0</v>
      </c>
      <c r="AF77" s="336">
        <f t="shared" si="38"/>
        <v>0</v>
      </c>
      <c r="AG77" s="337">
        <f t="shared" si="38"/>
        <v>0</v>
      </c>
      <c r="AH77" s="338">
        <f t="shared" si="11"/>
        <v>0</v>
      </c>
      <c r="AI77" s="336">
        <f t="shared" si="39"/>
        <v>0</v>
      </c>
      <c r="AJ77" s="337">
        <f t="shared" si="39"/>
        <v>0</v>
      </c>
      <c r="AK77" s="338">
        <f t="shared" si="13"/>
        <v>0</v>
      </c>
      <c r="AL77" s="342"/>
      <c r="AM77" s="336">
        <f t="shared" si="40"/>
        <v>0</v>
      </c>
      <c r="AN77" s="339">
        <f t="shared" si="40"/>
        <v>0</v>
      </c>
      <c r="AO77" s="340">
        <f t="shared" si="15"/>
        <v>0</v>
      </c>
      <c r="AP77" s="336">
        <f t="shared" si="41"/>
        <v>0</v>
      </c>
      <c r="AQ77" s="339">
        <f t="shared" si="41"/>
        <v>0</v>
      </c>
      <c r="AR77" s="340">
        <f t="shared" si="17"/>
        <v>0</v>
      </c>
      <c r="AS77" s="341">
        <f t="shared" si="22"/>
        <v>0</v>
      </c>
      <c r="AT77" s="339">
        <f t="shared" si="18"/>
        <v>0</v>
      </c>
      <c r="AU77" s="340">
        <f t="shared" si="19"/>
        <v>0</v>
      </c>
      <c r="AV77" s="1255">
        <f t="shared" si="20"/>
        <v>0</v>
      </c>
      <c r="AW77" s="343"/>
      <c r="AX77" s="1098"/>
      <c r="AY77" s="345"/>
      <c r="AZ77" s="1098"/>
      <c r="BA77" s="345"/>
      <c r="BB77" s="1120"/>
      <c r="BC77" s="347"/>
      <c r="BD77" s="348"/>
      <c r="BE77" s="349"/>
      <c r="BF77" s="348"/>
      <c r="BG77" s="349"/>
      <c r="BH77" s="350"/>
      <c r="BI77" s="351"/>
      <c r="BJ77" s="352"/>
      <c r="BK77" s="337"/>
      <c r="BL77" s="352"/>
      <c r="BM77" s="337"/>
      <c r="BN77" s="353"/>
      <c r="BO77" s="354"/>
      <c r="BP77" s="355"/>
      <c r="BQ77" s="356"/>
      <c r="BR77" s="355"/>
      <c r="BS77" s="356"/>
      <c r="BT77" s="357"/>
    </row>
    <row r="78" spans="1:72" s="313" customFormat="1" ht="51" outlineLevel="1">
      <c r="A78" s="287">
        <v>65</v>
      </c>
      <c r="B78" s="1287"/>
      <c r="C78" s="840"/>
      <c r="D78" s="841"/>
      <c r="E78" s="839"/>
      <c r="F78" s="821" t="s">
        <v>7</v>
      </c>
      <c r="G78" s="314">
        <v>4</v>
      </c>
      <c r="H78" s="739" t="s">
        <v>71</v>
      </c>
      <c r="I78" s="739">
        <v>244</v>
      </c>
      <c r="J78" s="740">
        <v>226</v>
      </c>
      <c r="K78" s="533" t="s">
        <v>346</v>
      </c>
      <c r="L78" s="1025">
        <v>90000</v>
      </c>
      <c r="M78" s="318"/>
      <c r="N78" s="318"/>
      <c r="O78" s="1052">
        <f t="shared" si="21"/>
        <v>90000</v>
      </c>
      <c r="P78" s="559"/>
      <c r="Q78" s="336">
        <v>0</v>
      </c>
      <c r="R78" s="559"/>
      <c r="S78" s="336">
        <v>0</v>
      </c>
      <c r="T78" s="559"/>
      <c r="U78" s="335"/>
      <c r="V78" s="596" t="s">
        <v>611</v>
      </c>
      <c r="W78" s="597" t="s">
        <v>612</v>
      </c>
      <c r="X78" s="597" t="s">
        <v>392</v>
      </c>
      <c r="Z78" s="336">
        <f t="shared" si="36"/>
        <v>30000</v>
      </c>
      <c r="AA78" s="337">
        <f t="shared" si="36"/>
        <v>30000</v>
      </c>
      <c r="AB78" s="338">
        <f t="shared" si="7"/>
        <v>0</v>
      </c>
      <c r="AC78" s="336">
        <f t="shared" si="37"/>
        <v>45000</v>
      </c>
      <c r="AD78" s="337">
        <f t="shared" si="37"/>
        <v>0</v>
      </c>
      <c r="AE78" s="338">
        <f t="shared" si="9"/>
        <v>45000</v>
      </c>
      <c r="AF78" s="336">
        <f t="shared" si="38"/>
        <v>15000</v>
      </c>
      <c r="AG78" s="337">
        <f t="shared" si="38"/>
        <v>0</v>
      </c>
      <c r="AH78" s="338">
        <f t="shared" si="11"/>
        <v>15000</v>
      </c>
      <c r="AI78" s="336">
        <f t="shared" si="39"/>
        <v>0</v>
      </c>
      <c r="AJ78" s="337">
        <f t="shared" si="39"/>
        <v>0</v>
      </c>
      <c r="AK78" s="338">
        <f t="shared" si="13"/>
        <v>0</v>
      </c>
      <c r="AL78" s="342"/>
      <c r="AM78" s="336">
        <f t="shared" si="40"/>
        <v>75000</v>
      </c>
      <c r="AN78" s="339">
        <f t="shared" si="40"/>
        <v>30000</v>
      </c>
      <c r="AO78" s="340">
        <f t="shared" si="15"/>
        <v>45000</v>
      </c>
      <c r="AP78" s="336">
        <f t="shared" si="41"/>
        <v>90000</v>
      </c>
      <c r="AQ78" s="339">
        <f t="shared" si="41"/>
        <v>30000</v>
      </c>
      <c r="AR78" s="340">
        <f t="shared" si="17"/>
        <v>60000</v>
      </c>
      <c r="AS78" s="341">
        <f t="shared" si="22"/>
        <v>90000</v>
      </c>
      <c r="AT78" s="339">
        <f t="shared" si="22"/>
        <v>30000</v>
      </c>
      <c r="AU78" s="340">
        <f t="shared" si="19"/>
        <v>60000</v>
      </c>
      <c r="AV78" s="1255">
        <f t="shared" si="20"/>
        <v>0</v>
      </c>
      <c r="AW78" s="343"/>
      <c r="AX78" s="1098"/>
      <c r="AY78" s="345"/>
      <c r="AZ78" s="1098"/>
      <c r="BA78" s="345">
        <v>30000</v>
      </c>
      <c r="BB78" s="1120">
        <v>30000</v>
      </c>
      <c r="BC78" s="347">
        <v>15000</v>
      </c>
      <c r="BD78" s="348"/>
      <c r="BE78" s="349">
        <v>15000</v>
      </c>
      <c r="BF78" s="348"/>
      <c r="BG78" s="349">
        <v>15000</v>
      </c>
      <c r="BH78" s="350"/>
      <c r="BI78" s="351">
        <v>15000</v>
      </c>
      <c r="BJ78" s="352"/>
      <c r="BK78" s="337"/>
      <c r="BL78" s="352"/>
      <c r="BM78" s="337"/>
      <c r="BN78" s="353"/>
      <c r="BO78" s="354"/>
      <c r="BP78" s="355"/>
      <c r="BQ78" s="356"/>
      <c r="BR78" s="355"/>
      <c r="BS78" s="356"/>
      <c r="BT78" s="357"/>
    </row>
    <row r="79" spans="1:72" s="313" customFormat="1" ht="51" outlineLevel="1">
      <c r="A79" s="287">
        <v>66</v>
      </c>
      <c r="B79" s="1286"/>
      <c r="C79" s="840"/>
      <c r="D79" s="841"/>
      <c r="E79" s="839"/>
      <c r="F79" s="821" t="s">
        <v>7</v>
      </c>
      <c r="G79" s="314">
        <v>4</v>
      </c>
      <c r="H79" s="739" t="s">
        <v>71</v>
      </c>
      <c r="I79" s="739">
        <v>244</v>
      </c>
      <c r="J79" s="740">
        <v>226</v>
      </c>
      <c r="K79" s="533" t="s">
        <v>838</v>
      </c>
      <c r="L79" s="1025">
        <v>88908</v>
      </c>
      <c r="M79" s="318"/>
      <c r="N79" s="318"/>
      <c r="O79" s="1052">
        <f t="shared" si="21"/>
        <v>88908</v>
      </c>
      <c r="P79" s="559"/>
      <c r="Q79" s="336">
        <v>180000</v>
      </c>
      <c r="R79" s="559"/>
      <c r="S79" s="336">
        <v>180000</v>
      </c>
      <c r="T79" s="559"/>
      <c r="U79" s="335"/>
      <c r="V79" s="596" t="s">
        <v>471</v>
      </c>
      <c r="W79" s="597" t="s">
        <v>873</v>
      </c>
      <c r="X79" s="597" t="s">
        <v>872</v>
      </c>
      <c r="Z79" s="336">
        <f t="shared" si="36"/>
        <v>0</v>
      </c>
      <c r="AA79" s="337">
        <f t="shared" si="36"/>
        <v>0</v>
      </c>
      <c r="AB79" s="338">
        <f t="shared" si="7"/>
        <v>0</v>
      </c>
      <c r="AC79" s="336">
        <f t="shared" si="37"/>
        <v>0</v>
      </c>
      <c r="AD79" s="337">
        <f t="shared" si="37"/>
        <v>0</v>
      </c>
      <c r="AE79" s="338">
        <f t="shared" si="9"/>
        <v>0</v>
      </c>
      <c r="AF79" s="336">
        <f t="shared" si="38"/>
        <v>29636</v>
      </c>
      <c r="AG79" s="337">
        <f t="shared" si="38"/>
        <v>0</v>
      </c>
      <c r="AH79" s="338">
        <f t="shared" si="11"/>
        <v>29636</v>
      </c>
      <c r="AI79" s="336">
        <f t="shared" si="39"/>
        <v>59272</v>
      </c>
      <c r="AJ79" s="337">
        <f t="shared" si="39"/>
        <v>14818</v>
      </c>
      <c r="AK79" s="338">
        <f t="shared" si="13"/>
        <v>44454</v>
      </c>
      <c r="AL79" s="342"/>
      <c r="AM79" s="336">
        <f t="shared" si="40"/>
        <v>0</v>
      </c>
      <c r="AN79" s="339">
        <f t="shared" si="40"/>
        <v>0</v>
      </c>
      <c r="AO79" s="340">
        <f t="shared" si="15"/>
        <v>0</v>
      </c>
      <c r="AP79" s="336">
        <f t="shared" si="41"/>
        <v>29636</v>
      </c>
      <c r="AQ79" s="339">
        <f t="shared" si="41"/>
        <v>0</v>
      </c>
      <c r="AR79" s="340">
        <f t="shared" si="17"/>
        <v>29636</v>
      </c>
      <c r="AS79" s="341">
        <f t="shared" ref="AS79:AT96" si="115">Z79+AC79+AF79+AI79</f>
        <v>88908</v>
      </c>
      <c r="AT79" s="339">
        <f t="shared" si="115"/>
        <v>14818</v>
      </c>
      <c r="AU79" s="340">
        <f t="shared" si="19"/>
        <v>74090</v>
      </c>
      <c r="AV79" s="1255">
        <f t="shared" si="20"/>
        <v>0</v>
      </c>
      <c r="AW79" s="343"/>
      <c r="AX79" s="1098"/>
      <c r="AY79" s="345"/>
      <c r="AZ79" s="1098"/>
      <c r="BA79" s="345"/>
      <c r="BB79" s="1120"/>
      <c r="BC79" s="347"/>
      <c r="BD79" s="348"/>
      <c r="BE79" s="349"/>
      <c r="BF79" s="348"/>
      <c r="BG79" s="349"/>
      <c r="BH79" s="350"/>
      <c r="BI79" s="351"/>
      <c r="BJ79" s="352"/>
      <c r="BK79" s="337">
        <v>14818</v>
      </c>
      <c r="BL79" s="352"/>
      <c r="BM79" s="337">
        <v>14818</v>
      </c>
      <c r="BN79" s="353"/>
      <c r="BO79" s="354">
        <v>14818</v>
      </c>
      <c r="BP79" s="355"/>
      <c r="BQ79" s="356">
        <v>14818</v>
      </c>
      <c r="BR79" s="355">
        <v>14818</v>
      </c>
      <c r="BS79" s="356">
        <f>14818*2</f>
        <v>29636</v>
      </c>
      <c r="BT79" s="357"/>
    </row>
    <row r="80" spans="1:72" s="313" customFormat="1" ht="38.25" outlineLevel="1">
      <c r="A80" s="287">
        <v>67</v>
      </c>
      <c r="B80" s="1286"/>
      <c r="C80" s="840"/>
      <c r="D80" s="841"/>
      <c r="E80" s="839"/>
      <c r="F80" s="821" t="s">
        <v>7</v>
      </c>
      <c r="G80" s="314">
        <v>4</v>
      </c>
      <c r="H80" s="739" t="s">
        <v>71</v>
      </c>
      <c r="I80" s="739">
        <v>244</v>
      </c>
      <c r="J80" s="740">
        <v>226</v>
      </c>
      <c r="K80" s="533" t="s">
        <v>371</v>
      </c>
      <c r="L80" s="1025">
        <f>(9933.32+691.92)-10625.24</f>
        <v>0</v>
      </c>
      <c r="M80" s="318"/>
      <c r="N80" s="318"/>
      <c r="O80" s="1052">
        <f t="shared" si="21"/>
        <v>0</v>
      </c>
      <c r="P80" s="559"/>
      <c r="Q80" s="336">
        <v>9933.32</v>
      </c>
      <c r="R80" s="559"/>
      <c r="S80" s="336">
        <v>9933.32</v>
      </c>
      <c r="T80" s="559"/>
      <c r="U80" s="335"/>
      <c r="V80" s="388" t="s">
        <v>384</v>
      </c>
      <c r="W80" s="320"/>
      <c r="X80" s="320"/>
      <c r="Z80" s="336">
        <f t="shared" si="36"/>
        <v>0</v>
      </c>
      <c r="AA80" s="337">
        <f t="shared" si="36"/>
        <v>0</v>
      </c>
      <c r="AB80" s="338">
        <f t="shared" si="7"/>
        <v>0</v>
      </c>
      <c r="AC80" s="336">
        <f t="shared" si="37"/>
        <v>0</v>
      </c>
      <c r="AD80" s="337">
        <f t="shared" si="37"/>
        <v>0</v>
      </c>
      <c r="AE80" s="338">
        <f t="shared" si="9"/>
        <v>0</v>
      </c>
      <c r="AF80" s="336">
        <f t="shared" si="38"/>
        <v>0</v>
      </c>
      <c r="AG80" s="337">
        <f t="shared" si="38"/>
        <v>0</v>
      </c>
      <c r="AH80" s="338">
        <f t="shared" si="11"/>
        <v>0</v>
      </c>
      <c r="AI80" s="336">
        <f t="shared" si="39"/>
        <v>0</v>
      </c>
      <c r="AJ80" s="337">
        <f t="shared" si="39"/>
        <v>0</v>
      </c>
      <c r="AK80" s="338">
        <f t="shared" si="13"/>
        <v>0</v>
      </c>
      <c r="AL80" s="342"/>
      <c r="AM80" s="336">
        <f t="shared" si="40"/>
        <v>0</v>
      </c>
      <c r="AN80" s="339">
        <f t="shared" si="40"/>
        <v>0</v>
      </c>
      <c r="AO80" s="340">
        <f t="shared" si="15"/>
        <v>0</v>
      </c>
      <c r="AP80" s="336">
        <f t="shared" si="41"/>
        <v>0</v>
      </c>
      <c r="AQ80" s="339">
        <f t="shared" si="41"/>
        <v>0</v>
      </c>
      <c r="AR80" s="340">
        <f t="shared" si="17"/>
        <v>0</v>
      </c>
      <c r="AS80" s="341">
        <f t="shared" si="115"/>
        <v>0</v>
      </c>
      <c r="AT80" s="339">
        <f t="shared" si="115"/>
        <v>0</v>
      </c>
      <c r="AU80" s="340">
        <f t="shared" si="19"/>
        <v>0</v>
      </c>
      <c r="AV80" s="1255">
        <f t="shared" si="20"/>
        <v>0</v>
      </c>
      <c r="AW80" s="343"/>
      <c r="AX80" s="1098"/>
      <c r="AY80" s="345"/>
      <c r="AZ80" s="1098"/>
      <c r="BA80" s="345"/>
      <c r="BB80" s="1120"/>
      <c r="BC80" s="347"/>
      <c r="BD80" s="348"/>
      <c r="BE80" s="349"/>
      <c r="BF80" s="348"/>
      <c r="BG80" s="349"/>
      <c r="BH80" s="350"/>
      <c r="BI80" s="351"/>
      <c r="BJ80" s="352"/>
      <c r="BK80" s="337"/>
      <c r="BL80" s="352"/>
      <c r="BM80" s="337"/>
      <c r="BN80" s="353"/>
      <c r="BO80" s="354"/>
      <c r="BP80" s="355"/>
      <c r="BQ80" s="356"/>
      <c r="BR80" s="355"/>
      <c r="BS80" s="356"/>
      <c r="BT80" s="357"/>
    </row>
    <row r="81" spans="1:72" s="313" customFormat="1" ht="38.25" outlineLevel="1">
      <c r="A81" s="287">
        <v>68</v>
      </c>
      <c r="B81" s="933"/>
      <c r="C81" s="840"/>
      <c r="D81" s="841"/>
      <c r="E81" s="839"/>
      <c r="F81" s="821" t="s">
        <v>7</v>
      </c>
      <c r="G81" s="314">
        <v>4</v>
      </c>
      <c r="H81" s="739" t="s">
        <v>71</v>
      </c>
      <c r="I81" s="739">
        <v>244</v>
      </c>
      <c r="J81" s="740">
        <v>226</v>
      </c>
      <c r="K81" s="533" t="s">
        <v>396</v>
      </c>
      <c r="L81" s="1025">
        <f>8333.33*12</f>
        <v>99999.96</v>
      </c>
      <c r="M81" s="318"/>
      <c r="N81" s="318"/>
      <c r="O81" s="1052">
        <f t="shared" si="21"/>
        <v>99999.96</v>
      </c>
      <c r="P81" s="559"/>
      <c r="Q81" s="336">
        <v>99999.96</v>
      </c>
      <c r="R81" s="559"/>
      <c r="S81" s="336">
        <v>99999.96</v>
      </c>
      <c r="T81" s="559"/>
      <c r="U81" s="335"/>
      <c r="V81" s="596" t="s">
        <v>331</v>
      </c>
      <c r="W81" s="597" t="s">
        <v>386</v>
      </c>
      <c r="X81" s="597" t="s">
        <v>381</v>
      </c>
      <c r="Z81" s="336">
        <f t="shared" si="36"/>
        <v>16666.66</v>
      </c>
      <c r="AA81" s="337">
        <f t="shared" si="36"/>
        <v>16666.66</v>
      </c>
      <c r="AB81" s="338">
        <f t="shared" si="7"/>
        <v>0</v>
      </c>
      <c r="AC81" s="336">
        <f t="shared" si="37"/>
        <v>24999.99</v>
      </c>
      <c r="AD81" s="337">
        <f t="shared" si="37"/>
        <v>0</v>
      </c>
      <c r="AE81" s="338">
        <f t="shared" si="9"/>
        <v>24999.99</v>
      </c>
      <c r="AF81" s="336">
        <f t="shared" si="38"/>
        <v>24999.99</v>
      </c>
      <c r="AG81" s="337">
        <f t="shared" si="38"/>
        <v>0</v>
      </c>
      <c r="AH81" s="338">
        <f t="shared" si="11"/>
        <v>24999.99</v>
      </c>
      <c r="AI81" s="336">
        <f t="shared" si="39"/>
        <v>33333.32</v>
      </c>
      <c r="AJ81" s="337">
        <f t="shared" si="39"/>
        <v>0</v>
      </c>
      <c r="AK81" s="338">
        <f t="shared" si="13"/>
        <v>33333.32</v>
      </c>
      <c r="AL81" s="342"/>
      <c r="AM81" s="336">
        <f t="shared" si="40"/>
        <v>41666.65</v>
      </c>
      <c r="AN81" s="339">
        <f t="shared" si="40"/>
        <v>16666.66</v>
      </c>
      <c r="AO81" s="340">
        <f t="shared" si="15"/>
        <v>24999.99</v>
      </c>
      <c r="AP81" s="336">
        <f t="shared" si="41"/>
        <v>66666.64</v>
      </c>
      <c r="AQ81" s="339">
        <f t="shared" si="41"/>
        <v>16666.66</v>
      </c>
      <c r="AR81" s="340">
        <f t="shared" si="17"/>
        <v>49999.98</v>
      </c>
      <c r="AS81" s="341">
        <f t="shared" si="115"/>
        <v>99999.96</v>
      </c>
      <c r="AT81" s="339">
        <f t="shared" si="115"/>
        <v>16666.66</v>
      </c>
      <c r="AU81" s="340">
        <f t="shared" si="19"/>
        <v>83333.3</v>
      </c>
      <c r="AV81" s="1255">
        <f t="shared" si="20"/>
        <v>0</v>
      </c>
      <c r="AW81" s="343"/>
      <c r="AX81" s="1098"/>
      <c r="AY81" s="345">
        <v>8333.33</v>
      </c>
      <c r="AZ81" s="1098">
        <v>8333.33</v>
      </c>
      <c r="BA81" s="345">
        <v>8333.33</v>
      </c>
      <c r="BB81" s="1120">
        <v>8333.33</v>
      </c>
      <c r="BC81" s="347">
        <v>8333.33</v>
      </c>
      <c r="BD81" s="348"/>
      <c r="BE81" s="349">
        <v>8333.33</v>
      </c>
      <c r="BF81" s="348"/>
      <c r="BG81" s="1135">
        <v>8333.33</v>
      </c>
      <c r="BH81" s="350"/>
      <c r="BI81" s="1136">
        <v>8333.33</v>
      </c>
      <c r="BJ81" s="352"/>
      <c r="BK81" s="337">
        <v>8333.33</v>
      </c>
      <c r="BL81" s="352"/>
      <c r="BM81" s="337">
        <v>8333.33</v>
      </c>
      <c r="BN81" s="353"/>
      <c r="BO81" s="1138">
        <v>8333.33</v>
      </c>
      <c r="BP81" s="355"/>
      <c r="BQ81" s="356">
        <v>8333.33</v>
      </c>
      <c r="BR81" s="355"/>
      <c r="BS81" s="356">
        <f>8333.33*2</f>
        <v>16666.66</v>
      </c>
      <c r="BT81" s="357"/>
    </row>
    <row r="82" spans="1:72" s="313" customFormat="1" ht="38.25" outlineLevel="1">
      <c r="A82" s="287">
        <v>69</v>
      </c>
      <c r="B82" s="933"/>
      <c r="C82" s="840"/>
      <c r="D82" s="841"/>
      <c r="E82" s="839"/>
      <c r="F82" s="821" t="s">
        <v>7</v>
      </c>
      <c r="G82" s="314">
        <v>4</v>
      </c>
      <c r="H82" s="739" t="s">
        <v>71</v>
      </c>
      <c r="I82" s="739">
        <v>244</v>
      </c>
      <c r="J82" s="740">
        <v>226</v>
      </c>
      <c r="K82" s="533" t="s">
        <v>347</v>
      </c>
      <c r="L82" s="1025">
        <v>0</v>
      </c>
      <c r="M82" s="318"/>
      <c r="N82" s="318"/>
      <c r="O82" s="1052">
        <f t="shared" si="21"/>
        <v>0</v>
      </c>
      <c r="P82" s="559"/>
      <c r="Q82" s="336">
        <v>0</v>
      </c>
      <c r="R82" s="559"/>
      <c r="S82" s="336">
        <v>0</v>
      </c>
      <c r="T82" s="559"/>
      <c r="U82" s="335"/>
      <c r="V82" s="320" t="s">
        <v>338</v>
      </c>
      <c r="W82" s="388" t="s">
        <v>339</v>
      </c>
      <c r="X82" s="388" t="s">
        <v>340</v>
      </c>
      <c r="Z82" s="336">
        <f t="shared" si="36"/>
        <v>0</v>
      </c>
      <c r="AA82" s="337">
        <f t="shared" si="36"/>
        <v>0</v>
      </c>
      <c r="AB82" s="338">
        <f t="shared" si="7"/>
        <v>0</v>
      </c>
      <c r="AC82" s="336">
        <f t="shared" si="37"/>
        <v>0</v>
      </c>
      <c r="AD82" s="337">
        <f t="shared" si="37"/>
        <v>0</v>
      </c>
      <c r="AE82" s="338">
        <f t="shared" si="9"/>
        <v>0</v>
      </c>
      <c r="AF82" s="336">
        <f t="shared" si="38"/>
        <v>0</v>
      </c>
      <c r="AG82" s="337">
        <f t="shared" si="38"/>
        <v>0</v>
      </c>
      <c r="AH82" s="338">
        <f t="shared" si="11"/>
        <v>0</v>
      </c>
      <c r="AI82" s="336">
        <f t="shared" si="39"/>
        <v>0</v>
      </c>
      <c r="AJ82" s="337">
        <f t="shared" si="39"/>
        <v>0</v>
      </c>
      <c r="AK82" s="338">
        <f t="shared" si="13"/>
        <v>0</v>
      </c>
      <c r="AL82" s="342"/>
      <c r="AM82" s="336">
        <f t="shared" si="40"/>
        <v>0</v>
      </c>
      <c r="AN82" s="339">
        <f t="shared" si="40"/>
        <v>0</v>
      </c>
      <c r="AO82" s="340">
        <f t="shared" si="15"/>
        <v>0</v>
      </c>
      <c r="AP82" s="336">
        <f t="shared" si="41"/>
        <v>0</v>
      </c>
      <c r="AQ82" s="339">
        <f t="shared" si="41"/>
        <v>0</v>
      </c>
      <c r="AR82" s="340">
        <f t="shared" si="17"/>
        <v>0</v>
      </c>
      <c r="AS82" s="341">
        <f t="shared" si="115"/>
        <v>0</v>
      </c>
      <c r="AT82" s="339">
        <f t="shared" si="115"/>
        <v>0</v>
      </c>
      <c r="AU82" s="340">
        <f t="shared" si="19"/>
        <v>0</v>
      </c>
      <c r="AV82" s="1255">
        <f t="shared" si="20"/>
        <v>0</v>
      </c>
      <c r="AW82" s="343"/>
      <c r="AX82" s="1098"/>
      <c r="AY82" s="345"/>
      <c r="AZ82" s="1098"/>
      <c r="BA82" s="345"/>
      <c r="BB82" s="1120"/>
      <c r="BC82" s="347"/>
      <c r="BD82" s="348"/>
      <c r="BE82" s="349"/>
      <c r="BF82" s="348"/>
      <c r="BG82" s="349"/>
      <c r="BH82" s="350"/>
      <c r="BI82" s="351"/>
      <c r="BJ82" s="352"/>
      <c r="BK82" s="337"/>
      <c r="BL82" s="352"/>
      <c r="BM82" s="337"/>
      <c r="BN82" s="353"/>
      <c r="BO82" s="354"/>
      <c r="BP82" s="355"/>
      <c r="BQ82" s="356"/>
      <c r="BR82" s="355"/>
      <c r="BS82" s="356"/>
      <c r="BT82" s="357"/>
    </row>
    <row r="83" spans="1:72" s="313" customFormat="1" ht="38.25" outlineLevel="1">
      <c r="A83" s="1192">
        <v>69.099999999999994</v>
      </c>
      <c r="B83" s="1286"/>
      <c r="C83" s="840"/>
      <c r="D83" s="841"/>
      <c r="E83" s="839"/>
      <c r="F83" s="821" t="s">
        <v>7</v>
      </c>
      <c r="G83" s="314">
        <v>4</v>
      </c>
      <c r="H83" s="739" t="s">
        <v>71</v>
      </c>
      <c r="I83" s="739">
        <v>244</v>
      </c>
      <c r="J83" s="740">
        <v>226</v>
      </c>
      <c r="K83" s="533" t="s">
        <v>891</v>
      </c>
      <c r="L83" s="1025">
        <f>21763.76+10625.24</f>
        <v>32389</v>
      </c>
      <c r="M83" s="318"/>
      <c r="N83" s="318"/>
      <c r="O83" s="1052">
        <f t="shared" ref="O83" si="116">L83+N83</f>
        <v>32389</v>
      </c>
      <c r="P83" s="559"/>
      <c r="Q83" s="336">
        <v>0</v>
      </c>
      <c r="R83" s="559"/>
      <c r="S83" s="336">
        <v>0</v>
      </c>
      <c r="T83" s="559"/>
      <c r="U83" s="335"/>
      <c r="V83" s="596" t="s">
        <v>892</v>
      </c>
      <c r="W83" s="597" t="s">
        <v>893</v>
      </c>
      <c r="X83" s="597" t="s">
        <v>894</v>
      </c>
      <c r="Z83" s="336">
        <f t="shared" ref="Z83" si="117">AW83+AY83+BA83</f>
        <v>0</v>
      </c>
      <c r="AA83" s="337">
        <f t="shared" ref="AA83" si="118">AX83+AZ83+BB83</f>
        <v>0</v>
      </c>
      <c r="AB83" s="338">
        <f t="shared" ref="AB83" si="119">Z83-AA83</f>
        <v>0</v>
      </c>
      <c r="AC83" s="336">
        <f t="shared" ref="AC83" si="120">BC83+BE83+BG83</f>
        <v>0</v>
      </c>
      <c r="AD83" s="337">
        <f t="shared" ref="AD83" si="121">BD83+BF83+BH83</f>
        <v>0</v>
      </c>
      <c r="AE83" s="338">
        <f t="shared" ref="AE83" si="122">AC83-AD83</f>
        <v>0</v>
      </c>
      <c r="AF83" s="336">
        <f t="shared" ref="AF83" si="123">BI83+BK83+BM83</f>
        <v>32389</v>
      </c>
      <c r="AG83" s="337">
        <f t="shared" ref="AG83" si="124">BJ83+BL83+BN83</f>
        <v>0</v>
      </c>
      <c r="AH83" s="338">
        <f t="shared" ref="AH83" si="125">AF83-AG83</f>
        <v>32389</v>
      </c>
      <c r="AI83" s="336">
        <f t="shared" ref="AI83" si="126">BO83+BQ83+BS83</f>
        <v>0</v>
      </c>
      <c r="AJ83" s="337">
        <f t="shared" ref="AJ83" si="127">BP83+BR83+BT83</f>
        <v>0</v>
      </c>
      <c r="AK83" s="338">
        <f t="shared" ref="AK83" si="128">AI83-AJ83</f>
        <v>0</v>
      </c>
      <c r="AL83" s="342"/>
      <c r="AM83" s="336">
        <f t="shared" ref="AM83" si="129">Z83+AC83</f>
        <v>0</v>
      </c>
      <c r="AN83" s="339">
        <f t="shared" ref="AN83" si="130">AA83+AD83</f>
        <v>0</v>
      </c>
      <c r="AO83" s="340">
        <f t="shared" ref="AO83" si="131">AM83-AN83</f>
        <v>0</v>
      </c>
      <c r="AP83" s="336">
        <f t="shared" ref="AP83" si="132">Z83+AC83+AF83</f>
        <v>32389</v>
      </c>
      <c r="AQ83" s="339">
        <f t="shared" ref="AQ83" si="133">AA83+AD83+AG83</f>
        <v>0</v>
      </c>
      <c r="AR83" s="340">
        <f t="shared" ref="AR83" si="134">AP83-AQ83</f>
        <v>32389</v>
      </c>
      <c r="AS83" s="341">
        <f t="shared" ref="AS83" si="135">Z83+AC83+AF83+AI83</f>
        <v>32389</v>
      </c>
      <c r="AT83" s="339">
        <f t="shared" ref="AT83" si="136">AA83+AD83+AG83+AJ83</f>
        <v>0</v>
      </c>
      <c r="AU83" s="340">
        <f t="shared" ref="AU83" si="137">AS83-AT83</f>
        <v>32389</v>
      </c>
      <c r="AV83" s="1255">
        <f t="shared" ref="AV83" si="138">L83-AS83</f>
        <v>0</v>
      </c>
      <c r="AW83" s="343"/>
      <c r="AX83" s="1098"/>
      <c r="AY83" s="345"/>
      <c r="AZ83" s="1098"/>
      <c r="BA83" s="345"/>
      <c r="BB83" s="1120"/>
      <c r="BC83" s="347"/>
      <c r="BD83" s="348"/>
      <c r="BE83" s="349"/>
      <c r="BF83" s="348"/>
      <c r="BG83" s="349"/>
      <c r="BH83" s="350"/>
      <c r="BI83" s="1136">
        <v>32389</v>
      </c>
      <c r="BJ83" s="352"/>
      <c r="BK83" s="337"/>
      <c r="BL83" s="352"/>
      <c r="BM83" s="337"/>
      <c r="BN83" s="353"/>
      <c r="BO83" s="354"/>
      <c r="BP83" s="355"/>
      <c r="BQ83" s="356"/>
      <c r="BR83" s="355"/>
      <c r="BS83" s="356"/>
      <c r="BT83" s="357"/>
    </row>
    <row r="84" spans="1:72" s="313" customFormat="1" ht="25.5" outlineLevel="1">
      <c r="A84" s="1192">
        <v>69.2</v>
      </c>
      <c r="B84" s="936"/>
      <c r="C84" s="840"/>
      <c r="D84" s="841"/>
      <c r="E84" s="839"/>
      <c r="F84" s="821" t="s">
        <v>7</v>
      </c>
      <c r="G84" s="314">
        <v>4</v>
      </c>
      <c r="H84" s="739" t="s">
        <v>71</v>
      </c>
      <c r="I84" s="739">
        <v>244</v>
      </c>
      <c r="J84" s="740">
        <v>226</v>
      </c>
      <c r="K84" s="533" t="s">
        <v>1009</v>
      </c>
      <c r="L84" s="1025">
        <v>2200</v>
      </c>
      <c r="M84" s="318"/>
      <c r="N84" s="318"/>
      <c r="O84" s="1052">
        <f t="shared" ref="O84" si="139">L84+N84</f>
        <v>2200</v>
      </c>
      <c r="P84" s="559"/>
      <c r="Q84" s="336">
        <v>0</v>
      </c>
      <c r="R84" s="559"/>
      <c r="S84" s="336">
        <v>0</v>
      </c>
      <c r="T84" s="559"/>
      <c r="U84" s="335"/>
      <c r="V84" s="320"/>
      <c r="W84" s="811"/>
      <c r="X84" s="811"/>
      <c r="Z84" s="336">
        <f t="shared" ref="Z84" si="140">AW84+AY84+BA84</f>
        <v>0</v>
      </c>
      <c r="AA84" s="337">
        <f t="shared" ref="AA84" si="141">AX84+AZ84+BB84</f>
        <v>0</v>
      </c>
      <c r="AB84" s="338">
        <f t="shared" ref="AB84" si="142">Z84-AA84</f>
        <v>0</v>
      </c>
      <c r="AC84" s="336">
        <f t="shared" ref="AC84" si="143">BC84+BE84+BG84</f>
        <v>0</v>
      </c>
      <c r="AD84" s="337">
        <f t="shared" ref="AD84" si="144">BD84+BF84+BH84</f>
        <v>0</v>
      </c>
      <c r="AE84" s="338">
        <f t="shared" ref="AE84" si="145">AC84-AD84</f>
        <v>0</v>
      </c>
      <c r="AF84" s="336">
        <f t="shared" ref="AF84" si="146">BI84+BK84+BM84</f>
        <v>0</v>
      </c>
      <c r="AG84" s="337">
        <f t="shared" ref="AG84" si="147">BJ84+BL84+BN84</f>
        <v>0</v>
      </c>
      <c r="AH84" s="338">
        <f t="shared" ref="AH84" si="148">AF84-AG84</f>
        <v>0</v>
      </c>
      <c r="AI84" s="336">
        <f t="shared" ref="AI84" si="149">BO84+BQ84+BS84</f>
        <v>2200</v>
      </c>
      <c r="AJ84" s="337">
        <f t="shared" ref="AJ84" si="150">BP84+BR84+BT84</f>
        <v>0</v>
      </c>
      <c r="AK84" s="338">
        <f t="shared" ref="AK84" si="151">AI84-AJ84</f>
        <v>2200</v>
      </c>
      <c r="AL84" s="342"/>
      <c r="AM84" s="336">
        <f t="shared" ref="AM84" si="152">Z84+AC84</f>
        <v>0</v>
      </c>
      <c r="AN84" s="339">
        <f t="shared" ref="AN84" si="153">AA84+AD84</f>
        <v>0</v>
      </c>
      <c r="AO84" s="340">
        <f t="shared" ref="AO84" si="154">AM84-AN84</f>
        <v>0</v>
      </c>
      <c r="AP84" s="336">
        <f t="shared" ref="AP84" si="155">Z84+AC84+AF84</f>
        <v>0</v>
      </c>
      <c r="AQ84" s="339">
        <f t="shared" ref="AQ84" si="156">AA84+AD84+AG84</f>
        <v>0</v>
      </c>
      <c r="AR84" s="340">
        <f t="shared" ref="AR84" si="157">AP84-AQ84</f>
        <v>0</v>
      </c>
      <c r="AS84" s="341">
        <f t="shared" ref="AS84" si="158">Z84+AC84+AF84+AI84</f>
        <v>2200</v>
      </c>
      <c r="AT84" s="339">
        <f t="shared" ref="AT84" si="159">AA84+AD84+AG84+AJ84</f>
        <v>0</v>
      </c>
      <c r="AU84" s="340">
        <f t="shared" ref="AU84" si="160">AS84-AT84</f>
        <v>2200</v>
      </c>
      <c r="AV84" s="1255">
        <f t="shared" ref="AV84" si="161">L84-AS84</f>
        <v>0</v>
      </c>
      <c r="AW84" s="343"/>
      <c r="AX84" s="1098"/>
      <c r="AY84" s="345"/>
      <c r="AZ84" s="1098"/>
      <c r="BA84" s="345"/>
      <c r="BB84" s="1120"/>
      <c r="BC84" s="347"/>
      <c r="BD84" s="348"/>
      <c r="BE84" s="349"/>
      <c r="BF84" s="348"/>
      <c r="BG84" s="349"/>
      <c r="BH84" s="350"/>
      <c r="BI84" s="1136"/>
      <c r="BJ84" s="352"/>
      <c r="BK84" s="337"/>
      <c r="BL84" s="352"/>
      <c r="BM84" s="337"/>
      <c r="BN84" s="353"/>
      <c r="BO84" s="354">
        <v>2200</v>
      </c>
      <c r="BP84" s="355"/>
      <c r="BQ84" s="356"/>
      <c r="BR84" s="355"/>
      <c r="BS84" s="356"/>
      <c r="BT84" s="357"/>
    </row>
    <row r="85" spans="1:72" s="313" customFormat="1" ht="25.5" outlineLevel="1">
      <c r="A85" s="287">
        <v>70</v>
      </c>
      <c r="B85" s="933"/>
      <c r="C85" s="840"/>
      <c r="D85" s="841"/>
      <c r="E85" s="839"/>
      <c r="F85" s="821" t="s">
        <v>7</v>
      </c>
      <c r="G85" s="314">
        <v>4</v>
      </c>
      <c r="H85" s="739" t="s">
        <v>71</v>
      </c>
      <c r="I85" s="739">
        <v>244</v>
      </c>
      <c r="J85" s="740">
        <v>226</v>
      </c>
      <c r="K85" s="534" t="s">
        <v>353</v>
      </c>
      <c r="L85" s="1025"/>
      <c r="M85" s="318"/>
      <c r="N85" s="318"/>
      <c r="O85" s="1052">
        <f t="shared" si="21"/>
        <v>0</v>
      </c>
      <c r="P85" s="559"/>
      <c r="Q85" s="336"/>
      <c r="R85" s="559"/>
      <c r="S85" s="336"/>
      <c r="T85" s="559"/>
      <c r="U85" s="335"/>
      <c r="V85" s="320" t="s">
        <v>335</v>
      </c>
      <c r="W85" s="388" t="s">
        <v>336</v>
      </c>
      <c r="X85" s="388" t="s">
        <v>337</v>
      </c>
      <c r="Z85" s="336">
        <f>AW85+AY85+BA85</f>
        <v>0</v>
      </c>
      <c r="AA85" s="337">
        <f>AX85+AZ85+BB85</f>
        <v>0</v>
      </c>
      <c r="AB85" s="338">
        <f t="shared" si="7"/>
        <v>0</v>
      </c>
      <c r="AC85" s="336">
        <f>BC85+BE85+BG85</f>
        <v>0</v>
      </c>
      <c r="AD85" s="337">
        <f>BD85+BF85+BH85</f>
        <v>0</v>
      </c>
      <c r="AE85" s="338">
        <f t="shared" si="9"/>
        <v>0</v>
      </c>
      <c r="AF85" s="336">
        <f>BI85+BK85+BM85</f>
        <v>0</v>
      </c>
      <c r="AG85" s="337">
        <f>BJ85+BL85+BN85</f>
        <v>0</v>
      </c>
      <c r="AH85" s="338">
        <f t="shared" si="11"/>
        <v>0</v>
      </c>
      <c r="AI85" s="336">
        <f>BO85+BQ85+BS85</f>
        <v>0</v>
      </c>
      <c r="AJ85" s="337">
        <f>BP85+BR85+BT85</f>
        <v>0</v>
      </c>
      <c r="AK85" s="338">
        <f t="shared" si="13"/>
        <v>0</v>
      </c>
      <c r="AL85" s="342"/>
      <c r="AM85" s="336">
        <f>Z85+AC85</f>
        <v>0</v>
      </c>
      <c r="AN85" s="339">
        <f>AA85+AD85</f>
        <v>0</v>
      </c>
      <c r="AO85" s="340">
        <f t="shared" si="15"/>
        <v>0</v>
      </c>
      <c r="AP85" s="336">
        <f>Z85+AC85+AF85</f>
        <v>0</v>
      </c>
      <c r="AQ85" s="339">
        <f>AA85+AD85+AG85</f>
        <v>0</v>
      </c>
      <c r="AR85" s="340">
        <f t="shared" si="17"/>
        <v>0</v>
      </c>
      <c r="AS85" s="341">
        <f>Z85+AC85+AF85+AI85</f>
        <v>0</v>
      </c>
      <c r="AT85" s="339">
        <f>AA85+AD85+AG85+AJ85</f>
        <v>0</v>
      </c>
      <c r="AU85" s="340">
        <f t="shared" si="19"/>
        <v>0</v>
      </c>
      <c r="AV85" s="1255">
        <f t="shared" si="20"/>
        <v>0</v>
      </c>
      <c r="AW85" s="343"/>
      <c r="AX85" s="1098"/>
      <c r="AY85" s="345"/>
      <c r="AZ85" s="1098"/>
      <c r="BA85" s="345"/>
      <c r="BB85" s="1120"/>
      <c r="BC85" s="347"/>
      <c r="BD85" s="348"/>
      <c r="BE85" s="349"/>
      <c r="BF85" s="348"/>
      <c r="BG85" s="349"/>
      <c r="BH85" s="350"/>
      <c r="BI85" s="351"/>
      <c r="BJ85" s="352"/>
      <c r="BK85" s="337"/>
      <c r="BL85" s="352"/>
      <c r="BM85" s="337"/>
      <c r="BN85" s="353"/>
      <c r="BO85" s="354"/>
      <c r="BP85" s="355"/>
      <c r="BQ85" s="356"/>
      <c r="BR85" s="355"/>
      <c r="BS85" s="356"/>
      <c r="BT85" s="357"/>
    </row>
    <row r="86" spans="1:72" s="965" customFormat="1" ht="48.75" customHeight="1">
      <c r="A86" s="287">
        <v>71</v>
      </c>
      <c r="B86" s="952"/>
      <c r="C86" s="953" t="s">
        <v>377</v>
      </c>
      <c r="D86" s="954"/>
      <c r="E86" s="955" t="s">
        <v>201</v>
      </c>
      <c r="F86" s="956" t="s">
        <v>7</v>
      </c>
      <c r="G86" s="957">
        <v>4</v>
      </c>
      <c r="H86" s="957" t="s">
        <v>266</v>
      </c>
      <c r="I86" s="957">
        <v>244</v>
      </c>
      <c r="J86" s="958">
        <v>226</v>
      </c>
      <c r="K86" s="959" t="s">
        <v>307</v>
      </c>
      <c r="L86" s="1027">
        <v>2100099.31</v>
      </c>
      <c r="M86" s="961"/>
      <c r="N86" s="961">
        <f>N87+N94+N103+N109+N124+N128</f>
        <v>0</v>
      </c>
      <c r="O86" s="1061">
        <f t="shared" si="21"/>
        <v>2100099.31</v>
      </c>
      <c r="P86" s="962"/>
      <c r="Q86" s="960">
        <f>Q95</f>
        <v>2256788.4500000002</v>
      </c>
      <c r="R86" s="962"/>
      <c r="S86" s="960">
        <f>S95</f>
        <v>2150208.7400000002</v>
      </c>
      <c r="T86" s="962"/>
      <c r="U86" s="963"/>
      <c r="V86" s="964"/>
      <c r="W86" s="964"/>
      <c r="X86" s="964"/>
      <c r="Z86" s="960">
        <f t="shared" si="36"/>
        <v>340187.83</v>
      </c>
      <c r="AA86" s="961">
        <f t="shared" si="36"/>
        <v>340187.83</v>
      </c>
      <c r="AB86" s="966">
        <f t="shared" si="7"/>
        <v>0</v>
      </c>
      <c r="AC86" s="960">
        <f t="shared" si="37"/>
        <v>559569.35</v>
      </c>
      <c r="AD86" s="961">
        <f t="shared" si="37"/>
        <v>0</v>
      </c>
      <c r="AE86" s="966">
        <f t="shared" si="9"/>
        <v>559569.35</v>
      </c>
      <c r="AF86" s="960">
        <f t="shared" si="38"/>
        <v>49800</v>
      </c>
      <c r="AG86" s="961">
        <f t="shared" si="38"/>
        <v>0</v>
      </c>
      <c r="AH86" s="966">
        <f t="shared" si="11"/>
        <v>49800</v>
      </c>
      <c r="AI86" s="960">
        <f t="shared" si="39"/>
        <v>1175782.93</v>
      </c>
      <c r="AJ86" s="961">
        <f t="shared" si="39"/>
        <v>140900.79999999999</v>
      </c>
      <c r="AK86" s="966">
        <f t="shared" si="13"/>
        <v>1034882.13</v>
      </c>
      <c r="AL86" s="967"/>
      <c r="AM86" s="960">
        <f t="shared" si="40"/>
        <v>899757.18</v>
      </c>
      <c r="AN86" s="961">
        <f t="shared" si="40"/>
        <v>340187.83</v>
      </c>
      <c r="AO86" s="966">
        <f t="shared" si="15"/>
        <v>559569.35</v>
      </c>
      <c r="AP86" s="960">
        <f t="shared" si="41"/>
        <v>949557.18</v>
      </c>
      <c r="AQ86" s="961">
        <f t="shared" si="41"/>
        <v>340187.83</v>
      </c>
      <c r="AR86" s="966">
        <f t="shared" si="17"/>
        <v>609369.35</v>
      </c>
      <c r="AS86" s="960">
        <f t="shared" si="115"/>
        <v>2125340.11</v>
      </c>
      <c r="AT86" s="961">
        <f t="shared" si="18"/>
        <v>481088.63</v>
      </c>
      <c r="AU86" s="966">
        <f t="shared" si="19"/>
        <v>1644251.48</v>
      </c>
      <c r="AV86" s="1260">
        <f t="shared" si="20"/>
        <v>-25240.799999999999</v>
      </c>
      <c r="AW86" s="960">
        <f t="shared" ref="AW86:BT86" si="162">SUM(AW94,AW87,AW103,AW109,AW124,AW128)</f>
        <v>0</v>
      </c>
      <c r="AX86" s="1109">
        <f t="shared" si="162"/>
        <v>0</v>
      </c>
      <c r="AY86" s="961">
        <f t="shared" si="162"/>
        <v>0</v>
      </c>
      <c r="AZ86" s="1109">
        <f t="shared" si="162"/>
        <v>0</v>
      </c>
      <c r="BA86" s="961">
        <f t="shared" si="162"/>
        <v>340187.83</v>
      </c>
      <c r="BB86" s="1127">
        <f t="shared" si="162"/>
        <v>340187.83</v>
      </c>
      <c r="BC86" s="960">
        <f t="shared" si="162"/>
        <v>25300</v>
      </c>
      <c r="BD86" s="961">
        <f t="shared" si="162"/>
        <v>0</v>
      </c>
      <c r="BE86" s="961">
        <f t="shared" si="162"/>
        <v>0</v>
      </c>
      <c r="BF86" s="961">
        <f t="shared" si="162"/>
        <v>0</v>
      </c>
      <c r="BG86" s="961">
        <f t="shared" si="162"/>
        <v>534269.35</v>
      </c>
      <c r="BH86" s="969">
        <f t="shared" si="162"/>
        <v>0</v>
      </c>
      <c r="BI86" s="960">
        <f t="shared" si="162"/>
        <v>49800</v>
      </c>
      <c r="BJ86" s="961">
        <f t="shared" si="162"/>
        <v>0</v>
      </c>
      <c r="BK86" s="961">
        <f t="shared" si="162"/>
        <v>0</v>
      </c>
      <c r="BL86" s="961">
        <f t="shared" si="162"/>
        <v>0</v>
      </c>
      <c r="BM86" s="961">
        <f t="shared" si="162"/>
        <v>0</v>
      </c>
      <c r="BN86" s="969">
        <f t="shared" si="162"/>
        <v>0</v>
      </c>
      <c r="BO86" s="960">
        <f t="shared" si="162"/>
        <v>534748.69999999995</v>
      </c>
      <c r="BP86" s="961">
        <f t="shared" si="162"/>
        <v>13000</v>
      </c>
      <c r="BQ86" s="961">
        <f t="shared" si="162"/>
        <v>547974.46</v>
      </c>
      <c r="BR86" s="961">
        <f t="shared" si="162"/>
        <v>127900.8</v>
      </c>
      <c r="BS86" s="961">
        <f t="shared" si="162"/>
        <v>93059.77</v>
      </c>
      <c r="BT86" s="966">
        <f t="shared" si="162"/>
        <v>0</v>
      </c>
    </row>
    <row r="87" spans="1:72" s="459" customFormat="1" ht="97.5" outlineLevel="1">
      <c r="A87" s="287">
        <v>72</v>
      </c>
      <c r="B87" s="933"/>
      <c r="C87" s="922" t="s">
        <v>378</v>
      </c>
      <c r="D87" s="854" t="s">
        <v>273</v>
      </c>
      <c r="E87" s="855"/>
      <c r="F87" s="923" t="s">
        <v>7</v>
      </c>
      <c r="G87" s="462">
        <v>4</v>
      </c>
      <c r="H87" s="741" t="s">
        <v>70</v>
      </c>
      <c r="I87" s="741">
        <v>244</v>
      </c>
      <c r="J87" s="742">
        <v>226</v>
      </c>
      <c r="K87" s="535" t="s">
        <v>492</v>
      </c>
      <c r="L87" s="1028">
        <f>SUM(L88:L93)</f>
        <v>340187.83</v>
      </c>
      <c r="M87" s="352"/>
      <c r="N87" s="352">
        <f>SUM(N88:N93)</f>
        <v>0</v>
      </c>
      <c r="O87" s="1062">
        <f t="shared" si="21"/>
        <v>340187.83</v>
      </c>
      <c r="P87" s="924"/>
      <c r="Q87" s="464"/>
      <c r="R87" s="924"/>
      <c r="S87" s="464"/>
      <c r="T87" s="924"/>
      <c r="U87" s="925"/>
      <c r="V87" s="926"/>
      <c r="W87" s="926"/>
      <c r="X87" s="926"/>
      <c r="Y87" s="927"/>
      <c r="Z87" s="928">
        <f t="shared" si="36"/>
        <v>340187.83</v>
      </c>
      <c r="AA87" s="929">
        <f t="shared" si="36"/>
        <v>340187.83</v>
      </c>
      <c r="AB87" s="930">
        <f t="shared" ref="AB87:AB212" si="163">Z87-AA87</f>
        <v>0</v>
      </c>
      <c r="AC87" s="928">
        <f t="shared" si="37"/>
        <v>0</v>
      </c>
      <c r="AD87" s="929">
        <f t="shared" si="37"/>
        <v>0</v>
      </c>
      <c r="AE87" s="930">
        <f t="shared" ref="AE87:AE212" si="164">AC87-AD87</f>
        <v>0</v>
      </c>
      <c r="AF87" s="928">
        <f t="shared" si="38"/>
        <v>0</v>
      </c>
      <c r="AG87" s="929">
        <f t="shared" si="38"/>
        <v>0</v>
      </c>
      <c r="AH87" s="930">
        <f t="shared" ref="AH87:AH212" si="165">AF87-AG87</f>
        <v>0</v>
      </c>
      <c r="AI87" s="928">
        <f t="shared" si="39"/>
        <v>0</v>
      </c>
      <c r="AJ87" s="929">
        <f t="shared" si="39"/>
        <v>0</v>
      </c>
      <c r="AK87" s="930">
        <f t="shared" ref="AK87:AK212" si="166">AI87-AJ87</f>
        <v>0</v>
      </c>
      <c r="AL87" s="931"/>
      <c r="AM87" s="464">
        <f t="shared" si="40"/>
        <v>340187.83</v>
      </c>
      <c r="AN87" s="352">
        <f t="shared" si="40"/>
        <v>340187.83</v>
      </c>
      <c r="AO87" s="465">
        <f t="shared" ref="AO87:AO212" si="167">AM87-AN87</f>
        <v>0</v>
      </c>
      <c r="AP87" s="464">
        <f t="shared" si="41"/>
        <v>340187.83</v>
      </c>
      <c r="AQ87" s="352">
        <f t="shared" si="41"/>
        <v>340187.83</v>
      </c>
      <c r="AR87" s="465">
        <f t="shared" ref="AR87:AR212" si="168">AP87-AQ87</f>
        <v>0</v>
      </c>
      <c r="AS87" s="464">
        <f t="shared" si="115"/>
        <v>340187.83</v>
      </c>
      <c r="AT87" s="352">
        <f t="shared" si="115"/>
        <v>340187.83</v>
      </c>
      <c r="AU87" s="465">
        <f t="shared" ref="AU87:AU210" si="169">AS87-AT87</f>
        <v>0</v>
      </c>
      <c r="AV87" s="1261">
        <f t="shared" ref="AV87:AV217" si="170">L87-AS87</f>
        <v>0</v>
      </c>
      <c r="AW87" s="464">
        <f t="shared" ref="AW87:BT87" si="171">SUM(AW88:AW93)</f>
        <v>0</v>
      </c>
      <c r="AX87" s="1110">
        <f t="shared" si="171"/>
        <v>0</v>
      </c>
      <c r="AY87" s="352">
        <f t="shared" si="171"/>
        <v>0</v>
      </c>
      <c r="AZ87" s="1110">
        <f t="shared" si="171"/>
        <v>0</v>
      </c>
      <c r="BA87" s="352">
        <f t="shared" si="171"/>
        <v>340187.83</v>
      </c>
      <c r="BB87" s="1128">
        <f t="shared" si="171"/>
        <v>340187.83</v>
      </c>
      <c r="BC87" s="464">
        <f t="shared" si="171"/>
        <v>0</v>
      </c>
      <c r="BD87" s="352">
        <f t="shared" si="171"/>
        <v>0</v>
      </c>
      <c r="BE87" s="352">
        <f t="shared" si="171"/>
        <v>0</v>
      </c>
      <c r="BF87" s="352">
        <f t="shared" si="171"/>
        <v>0</v>
      </c>
      <c r="BG87" s="352">
        <f t="shared" si="171"/>
        <v>0</v>
      </c>
      <c r="BH87" s="353">
        <f t="shared" si="171"/>
        <v>0</v>
      </c>
      <c r="BI87" s="464">
        <f t="shared" si="171"/>
        <v>0</v>
      </c>
      <c r="BJ87" s="352">
        <f t="shared" si="171"/>
        <v>0</v>
      </c>
      <c r="BK87" s="352">
        <f t="shared" si="171"/>
        <v>0</v>
      </c>
      <c r="BL87" s="352">
        <f t="shared" si="171"/>
        <v>0</v>
      </c>
      <c r="BM87" s="352">
        <f t="shared" si="171"/>
        <v>0</v>
      </c>
      <c r="BN87" s="353">
        <f t="shared" si="171"/>
        <v>0</v>
      </c>
      <c r="BO87" s="464">
        <f t="shared" si="171"/>
        <v>0</v>
      </c>
      <c r="BP87" s="352">
        <f t="shared" si="171"/>
        <v>0</v>
      </c>
      <c r="BQ87" s="352">
        <f t="shared" si="171"/>
        <v>0</v>
      </c>
      <c r="BR87" s="352">
        <f t="shared" si="171"/>
        <v>0</v>
      </c>
      <c r="BS87" s="352">
        <f t="shared" si="171"/>
        <v>0</v>
      </c>
      <c r="BT87" s="465">
        <f t="shared" si="171"/>
        <v>0</v>
      </c>
    </row>
    <row r="88" spans="1:72" s="399" customFormat="1" ht="38.25" customHeight="1" outlineLevel="2">
      <c r="A88" s="287">
        <v>73</v>
      </c>
      <c r="B88" s="933"/>
      <c r="C88" s="859"/>
      <c r="D88" s="841" t="s">
        <v>273</v>
      </c>
      <c r="E88" s="860"/>
      <c r="F88" s="829" t="s">
        <v>7</v>
      </c>
      <c r="G88" s="400">
        <v>4</v>
      </c>
      <c r="H88" s="747" t="s">
        <v>70</v>
      </c>
      <c r="I88" s="747">
        <v>244</v>
      </c>
      <c r="J88" s="748">
        <v>226</v>
      </c>
      <c r="K88" s="538" t="s">
        <v>493</v>
      </c>
      <c r="L88" s="1029">
        <v>36399</v>
      </c>
      <c r="M88" s="403"/>
      <c r="N88" s="403"/>
      <c r="O88" s="1063">
        <f t="shared" si="21"/>
        <v>36399</v>
      </c>
      <c r="P88" s="565"/>
      <c r="Q88" s="406"/>
      <c r="R88" s="565"/>
      <c r="S88" s="406"/>
      <c r="T88" s="565"/>
      <c r="U88" s="428"/>
      <c r="V88" s="597" t="s">
        <v>494</v>
      </c>
      <c r="W88" s="597" t="s">
        <v>539</v>
      </c>
      <c r="X88" s="597" t="s">
        <v>540</v>
      </c>
      <c r="Z88" s="406">
        <f t="shared" si="36"/>
        <v>36399</v>
      </c>
      <c r="AA88" s="407">
        <f t="shared" si="36"/>
        <v>36399</v>
      </c>
      <c r="AB88" s="408">
        <f t="shared" si="163"/>
        <v>0</v>
      </c>
      <c r="AC88" s="406">
        <f t="shared" si="37"/>
        <v>0</v>
      </c>
      <c r="AD88" s="407">
        <f t="shared" si="37"/>
        <v>0</v>
      </c>
      <c r="AE88" s="408">
        <f t="shared" si="164"/>
        <v>0</v>
      </c>
      <c r="AF88" s="406">
        <f t="shared" si="38"/>
        <v>0</v>
      </c>
      <c r="AG88" s="407">
        <f t="shared" si="38"/>
        <v>0</v>
      </c>
      <c r="AH88" s="408">
        <f t="shared" si="165"/>
        <v>0</v>
      </c>
      <c r="AI88" s="406">
        <f t="shared" si="39"/>
        <v>0</v>
      </c>
      <c r="AJ88" s="407">
        <f t="shared" si="39"/>
        <v>0</v>
      </c>
      <c r="AK88" s="408">
        <f t="shared" si="166"/>
        <v>0</v>
      </c>
      <c r="AL88" s="409"/>
      <c r="AM88" s="406">
        <f t="shared" si="40"/>
        <v>36399</v>
      </c>
      <c r="AN88" s="410">
        <f t="shared" si="40"/>
        <v>36399</v>
      </c>
      <c r="AO88" s="411">
        <f t="shared" si="167"/>
        <v>0</v>
      </c>
      <c r="AP88" s="406">
        <f t="shared" si="41"/>
        <v>36399</v>
      </c>
      <c r="AQ88" s="410">
        <f t="shared" si="41"/>
        <v>36399</v>
      </c>
      <c r="AR88" s="411">
        <f t="shared" si="168"/>
        <v>0</v>
      </c>
      <c r="AS88" s="412">
        <f t="shared" si="115"/>
        <v>36399</v>
      </c>
      <c r="AT88" s="410">
        <f t="shared" si="115"/>
        <v>36399</v>
      </c>
      <c r="AU88" s="411">
        <f t="shared" si="169"/>
        <v>0</v>
      </c>
      <c r="AV88" s="1262">
        <f t="shared" si="170"/>
        <v>0</v>
      </c>
      <c r="AW88" s="413"/>
      <c r="AX88" s="1098"/>
      <c r="AY88" s="415"/>
      <c r="AZ88" s="1098"/>
      <c r="BA88" s="415">
        <v>36399</v>
      </c>
      <c r="BB88" s="1120">
        <v>36399</v>
      </c>
      <c r="BC88" s="417"/>
      <c r="BD88" s="418"/>
      <c r="BE88" s="419"/>
      <c r="BF88" s="418"/>
      <c r="BG88" s="419"/>
      <c r="BH88" s="420"/>
      <c r="BI88" s="421"/>
      <c r="BJ88" s="422"/>
      <c r="BK88" s="407"/>
      <c r="BL88" s="422"/>
      <c r="BM88" s="407"/>
      <c r="BN88" s="423"/>
      <c r="BO88" s="424"/>
      <c r="BP88" s="425"/>
      <c r="BQ88" s="426"/>
      <c r="BR88" s="425"/>
      <c r="BS88" s="426"/>
      <c r="BT88" s="427"/>
    </row>
    <row r="89" spans="1:72" s="399" customFormat="1" ht="38.25" customHeight="1" outlineLevel="2">
      <c r="A89" s="287">
        <v>74</v>
      </c>
      <c r="B89" s="933"/>
      <c r="C89" s="859"/>
      <c r="D89" s="841" t="s">
        <v>273</v>
      </c>
      <c r="E89" s="860"/>
      <c r="F89" s="829" t="s">
        <v>7</v>
      </c>
      <c r="G89" s="400">
        <v>4</v>
      </c>
      <c r="H89" s="747" t="s">
        <v>70</v>
      </c>
      <c r="I89" s="747">
        <v>244</v>
      </c>
      <c r="J89" s="748">
        <v>226</v>
      </c>
      <c r="K89" s="538" t="s">
        <v>504</v>
      </c>
      <c r="L89" s="1029">
        <v>126600</v>
      </c>
      <c r="M89" s="403"/>
      <c r="N89" s="403"/>
      <c r="O89" s="1063">
        <f t="shared" ref="O89:O201" si="172">L89+N89</f>
        <v>126600</v>
      </c>
      <c r="P89" s="565"/>
      <c r="Q89" s="406"/>
      <c r="R89" s="565"/>
      <c r="S89" s="406"/>
      <c r="T89" s="565"/>
      <c r="U89" s="428"/>
      <c r="V89" s="597" t="s">
        <v>592</v>
      </c>
      <c r="W89" s="597" t="s">
        <v>593</v>
      </c>
      <c r="X89" s="597" t="s">
        <v>594</v>
      </c>
      <c r="Z89" s="406">
        <f t="shared" si="36"/>
        <v>126600</v>
      </c>
      <c r="AA89" s="407">
        <f t="shared" si="36"/>
        <v>126600</v>
      </c>
      <c r="AB89" s="408">
        <f t="shared" si="163"/>
        <v>0</v>
      </c>
      <c r="AC89" s="406">
        <f t="shared" si="37"/>
        <v>0</v>
      </c>
      <c r="AD89" s="407">
        <f t="shared" si="37"/>
        <v>0</v>
      </c>
      <c r="AE89" s="408">
        <f t="shared" si="164"/>
        <v>0</v>
      </c>
      <c r="AF89" s="406">
        <f t="shared" si="38"/>
        <v>0</v>
      </c>
      <c r="AG89" s="407">
        <f t="shared" si="38"/>
        <v>0</v>
      </c>
      <c r="AH89" s="408">
        <f t="shared" si="165"/>
        <v>0</v>
      </c>
      <c r="AI89" s="406">
        <f t="shared" si="39"/>
        <v>0</v>
      </c>
      <c r="AJ89" s="407">
        <f t="shared" si="39"/>
        <v>0</v>
      </c>
      <c r="AK89" s="408">
        <f t="shared" si="166"/>
        <v>0</v>
      </c>
      <c r="AL89" s="409"/>
      <c r="AM89" s="406">
        <f t="shared" si="40"/>
        <v>126600</v>
      </c>
      <c r="AN89" s="410">
        <f t="shared" si="40"/>
        <v>126600</v>
      </c>
      <c r="AO89" s="411">
        <f t="shared" si="167"/>
        <v>0</v>
      </c>
      <c r="AP89" s="406">
        <f t="shared" si="41"/>
        <v>126600</v>
      </c>
      <c r="AQ89" s="410">
        <f t="shared" si="41"/>
        <v>126600</v>
      </c>
      <c r="AR89" s="411">
        <f t="shared" si="168"/>
        <v>0</v>
      </c>
      <c r="AS89" s="412">
        <f t="shared" si="115"/>
        <v>126600</v>
      </c>
      <c r="AT89" s="410">
        <f t="shared" si="115"/>
        <v>126600</v>
      </c>
      <c r="AU89" s="411">
        <f t="shared" si="169"/>
        <v>0</v>
      </c>
      <c r="AV89" s="1262">
        <f t="shared" si="170"/>
        <v>0</v>
      </c>
      <c r="AW89" s="413"/>
      <c r="AX89" s="1098"/>
      <c r="AY89" s="415"/>
      <c r="AZ89" s="1098"/>
      <c r="BA89" s="415">
        <v>126600</v>
      </c>
      <c r="BB89" s="1120">
        <v>126600</v>
      </c>
      <c r="BC89" s="417"/>
      <c r="BD89" s="418"/>
      <c r="BE89" s="419"/>
      <c r="BF89" s="418"/>
      <c r="BG89" s="419"/>
      <c r="BH89" s="420"/>
      <c r="BI89" s="421"/>
      <c r="BJ89" s="422"/>
      <c r="BK89" s="407"/>
      <c r="BL89" s="422"/>
      <c r="BM89" s="407"/>
      <c r="BN89" s="423"/>
      <c r="BO89" s="424"/>
      <c r="BP89" s="425"/>
      <c r="BQ89" s="426"/>
      <c r="BR89" s="425"/>
      <c r="BS89" s="426"/>
      <c r="BT89" s="427"/>
    </row>
    <row r="90" spans="1:72" s="399" customFormat="1" ht="38.25" customHeight="1" outlineLevel="2">
      <c r="A90" s="287">
        <v>75</v>
      </c>
      <c r="B90" s="933"/>
      <c r="C90" s="859"/>
      <c r="D90" s="841" t="s">
        <v>273</v>
      </c>
      <c r="E90" s="860"/>
      <c r="F90" s="829" t="s">
        <v>7</v>
      </c>
      <c r="G90" s="400">
        <v>4</v>
      </c>
      <c r="H90" s="747" t="s">
        <v>70</v>
      </c>
      <c r="I90" s="747">
        <v>244</v>
      </c>
      <c r="J90" s="748">
        <v>226</v>
      </c>
      <c r="K90" s="538" t="s">
        <v>646</v>
      </c>
      <c r="L90" s="1029">
        <v>53200</v>
      </c>
      <c r="M90" s="403"/>
      <c r="N90" s="403"/>
      <c r="O90" s="1063">
        <f t="shared" si="172"/>
        <v>53200</v>
      </c>
      <c r="P90" s="565"/>
      <c r="Q90" s="406"/>
      <c r="R90" s="565"/>
      <c r="S90" s="406"/>
      <c r="T90" s="565"/>
      <c r="U90" s="428"/>
      <c r="V90" s="597" t="s">
        <v>544</v>
      </c>
      <c r="W90" s="597" t="s">
        <v>647</v>
      </c>
      <c r="X90" s="597" t="s">
        <v>602</v>
      </c>
      <c r="Z90" s="406">
        <f t="shared" si="36"/>
        <v>53200</v>
      </c>
      <c r="AA90" s="407">
        <f t="shared" si="36"/>
        <v>53200</v>
      </c>
      <c r="AB90" s="408">
        <f t="shared" si="163"/>
        <v>0</v>
      </c>
      <c r="AC90" s="406">
        <f t="shared" si="37"/>
        <v>0</v>
      </c>
      <c r="AD90" s="407">
        <f t="shared" si="37"/>
        <v>0</v>
      </c>
      <c r="AE90" s="408">
        <f t="shared" si="164"/>
        <v>0</v>
      </c>
      <c r="AF90" s="406">
        <f t="shared" si="38"/>
        <v>0</v>
      </c>
      <c r="AG90" s="407">
        <f t="shared" si="38"/>
        <v>0</v>
      </c>
      <c r="AH90" s="408">
        <f t="shared" si="165"/>
        <v>0</v>
      </c>
      <c r="AI90" s="406">
        <f t="shared" si="39"/>
        <v>0</v>
      </c>
      <c r="AJ90" s="407">
        <f t="shared" si="39"/>
        <v>0</v>
      </c>
      <c r="AK90" s="408">
        <f t="shared" si="166"/>
        <v>0</v>
      </c>
      <c r="AL90" s="409"/>
      <c r="AM90" s="406">
        <f t="shared" si="40"/>
        <v>53200</v>
      </c>
      <c r="AN90" s="410">
        <f t="shared" si="40"/>
        <v>53200</v>
      </c>
      <c r="AO90" s="411">
        <f t="shared" si="167"/>
        <v>0</v>
      </c>
      <c r="AP90" s="406">
        <f t="shared" si="41"/>
        <v>53200</v>
      </c>
      <c r="AQ90" s="410">
        <f t="shared" si="41"/>
        <v>53200</v>
      </c>
      <c r="AR90" s="411">
        <f t="shared" si="168"/>
        <v>0</v>
      </c>
      <c r="AS90" s="412">
        <f t="shared" si="115"/>
        <v>53200</v>
      </c>
      <c r="AT90" s="410">
        <f t="shared" si="115"/>
        <v>53200</v>
      </c>
      <c r="AU90" s="411">
        <f t="shared" si="169"/>
        <v>0</v>
      </c>
      <c r="AV90" s="1262">
        <f t="shared" si="170"/>
        <v>0</v>
      </c>
      <c r="AW90" s="413"/>
      <c r="AX90" s="1098"/>
      <c r="AY90" s="415"/>
      <c r="AZ90" s="1098"/>
      <c r="BA90" s="415">
        <v>53200</v>
      </c>
      <c r="BB90" s="1120">
        <v>53200</v>
      </c>
      <c r="BC90" s="417"/>
      <c r="BD90" s="418"/>
      <c r="BE90" s="419"/>
      <c r="BF90" s="418"/>
      <c r="BG90" s="419"/>
      <c r="BH90" s="420"/>
      <c r="BI90" s="421"/>
      <c r="BJ90" s="422"/>
      <c r="BK90" s="407"/>
      <c r="BL90" s="422"/>
      <c r="BM90" s="407"/>
      <c r="BN90" s="423"/>
      <c r="BO90" s="424"/>
      <c r="BP90" s="425"/>
      <c r="BQ90" s="426"/>
      <c r="BR90" s="425"/>
      <c r="BS90" s="426"/>
      <c r="BT90" s="427"/>
    </row>
    <row r="91" spans="1:72" s="399" customFormat="1" ht="38.25" customHeight="1" outlineLevel="2">
      <c r="A91" s="287">
        <v>76</v>
      </c>
      <c r="B91" s="933"/>
      <c r="C91" s="859"/>
      <c r="D91" s="841" t="s">
        <v>273</v>
      </c>
      <c r="E91" s="860"/>
      <c r="F91" s="829" t="s">
        <v>7</v>
      </c>
      <c r="G91" s="400">
        <v>4</v>
      </c>
      <c r="H91" s="747" t="s">
        <v>70</v>
      </c>
      <c r="I91" s="747">
        <v>244</v>
      </c>
      <c r="J91" s="748">
        <v>226</v>
      </c>
      <c r="K91" s="538" t="s">
        <v>545</v>
      </c>
      <c r="L91" s="1029">
        <v>95800</v>
      </c>
      <c r="M91" s="403"/>
      <c r="N91" s="403"/>
      <c r="O91" s="1063">
        <f t="shared" si="172"/>
        <v>95800</v>
      </c>
      <c r="P91" s="565"/>
      <c r="Q91" s="406"/>
      <c r="R91" s="565"/>
      <c r="S91" s="406"/>
      <c r="T91" s="565"/>
      <c r="U91" s="428"/>
      <c r="V91" s="597" t="s">
        <v>659</v>
      </c>
      <c r="W91" s="597" t="s">
        <v>658</v>
      </c>
      <c r="X91" s="597" t="s">
        <v>660</v>
      </c>
      <c r="Z91" s="406">
        <f t="shared" si="36"/>
        <v>95800</v>
      </c>
      <c r="AA91" s="407">
        <f t="shared" si="36"/>
        <v>95800</v>
      </c>
      <c r="AB91" s="408">
        <f t="shared" si="163"/>
        <v>0</v>
      </c>
      <c r="AC91" s="406">
        <f t="shared" si="37"/>
        <v>0</v>
      </c>
      <c r="AD91" s="407">
        <f t="shared" si="37"/>
        <v>0</v>
      </c>
      <c r="AE91" s="408">
        <f t="shared" si="164"/>
        <v>0</v>
      </c>
      <c r="AF91" s="406">
        <f t="shared" si="38"/>
        <v>0</v>
      </c>
      <c r="AG91" s="407">
        <f t="shared" si="38"/>
        <v>0</v>
      </c>
      <c r="AH91" s="408">
        <f t="shared" si="165"/>
        <v>0</v>
      </c>
      <c r="AI91" s="406">
        <f t="shared" si="39"/>
        <v>0</v>
      </c>
      <c r="AJ91" s="407">
        <f t="shared" si="39"/>
        <v>0</v>
      </c>
      <c r="AK91" s="408">
        <f t="shared" si="166"/>
        <v>0</v>
      </c>
      <c r="AL91" s="409"/>
      <c r="AM91" s="406">
        <f t="shared" si="40"/>
        <v>95800</v>
      </c>
      <c r="AN91" s="410">
        <f t="shared" si="40"/>
        <v>95800</v>
      </c>
      <c r="AO91" s="411">
        <f t="shared" si="167"/>
        <v>0</v>
      </c>
      <c r="AP91" s="406">
        <f t="shared" si="41"/>
        <v>95800</v>
      </c>
      <c r="AQ91" s="410">
        <f t="shared" si="41"/>
        <v>95800</v>
      </c>
      <c r="AR91" s="411">
        <f t="shared" si="168"/>
        <v>0</v>
      </c>
      <c r="AS91" s="412">
        <f t="shared" si="115"/>
        <v>95800</v>
      </c>
      <c r="AT91" s="410">
        <f t="shared" si="115"/>
        <v>95800</v>
      </c>
      <c r="AU91" s="411">
        <f t="shared" si="169"/>
        <v>0</v>
      </c>
      <c r="AV91" s="1262">
        <f t="shared" si="170"/>
        <v>0</v>
      </c>
      <c r="AW91" s="413"/>
      <c r="AX91" s="1098"/>
      <c r="AY91" s="415"/>
      <c r="AZ91" s="1098"/>
      <c r="BA91" s="415">
        <v>95800</v>
      </c>
      <c r="BB91" s="1120">
        <v>95800</v>
      </c>
      <c r="BC91" s="417"/>
      <c r="BD91" s="418"/>
      <c r="BE91" s="419"/>
      <c r="BF91" s="418"/>
      <c r="BG91" s="419"/>
      <c r="BH91" s="420"/>
      <c r="BI91" s="421"/>
      <c r="BJ91" s="422"/>
      <c r="BK91" s="407"/>
      <c r="BL91" s="422"/>
      <c r="BM91" s="407"/>
      <c r="BN91" s="423"/>
      <c r="BO91" s="424"/>
      <c r="BP91" s="425"/>
      <c r="BQ91" s="426"/>
      <c r="BR91" s="425"/>
      <c r="BS91" s="426"/>
      <c r="BT91" s="427"/>
    </row>
    <row r="92" spans="1:72" s="399" customFormat="1" ht="38.25" customHeight="1" outlineLevel="2">
      <c r="A92" s="287">
        <v>77</v>
      </c>
      <c r="B92" s="933"/>
      <c r="C92" s="859"/>
      <c r="D92" s="841" t="s">
        <v>273</v>
      </c>
      <c r="E92" s="860"/>
      <c r="F92" s="829" t="s">
        <v>7</v>
      </c>
      <c r="G92" s="400">
        <v>4</v>
      </c>
      <c r="H92" s="747" t="s">
        <v>70</v>
      </c>
      <c r="I92" s="747">
        <v>244</v>
      </c>
      <c r="J92" s="748">
        <v>226</v>
      </c>
      <c r="K92" s="538" t="s">
        <v>552</v>
      </c>
      <c r="L92" s="1029">
        <v>28188.83</v>
      </c>
      <c r="M92" s="403"/>
      <c r="N92" s="403"/>
      <c r="O92" s="1063">
        <f t="shared" si="172"/>
        <v>28188.83</v>
      </c>
      <c r="P92" s="565"/>
      <c r="Q92" s="406"/>
      <c r="R92" s="565"/>
      <c r="S92" s="406"/>
      <c r="T92" s="565"/>
      <c r="U92" s="428"/>
      <c r="V92" s="597" t="s">
        <v>553</v>
      </c>
      <c r="W92" s="597" t="s">
        <v>661</v>
      </c>
      <c r="X92" s="597" t="s">
        <v>657</v>
      </c>
      <c r="Z92" s="406">
        <f t="shared" si="36"/>
        <v>28188.83</v>
      </c>
      <c r="AA92" s="407">
        <f t="shared" si="36"/>
        <v>28188.83</v>
      </c>
      <c r="AB92" s="408">
        <f t="shared" si="163"/>
        <v>0</v>
      </c>
      <c r="AC92" s="406">
        <f t="shared" si="37"/>
        <v>0</v>
      </c>
      <c r="AD92" s="407">
        <f t="shared" si="37"/>
        <v>0</v>
      </c>
      <c r="AE92" s="408">
        <f t="shared" si="164"/>
        <v>0</v>
      </c>
      <c r="AF92" s="406">
        <f t="shared" si="38"/>
        <v>0</v>
      </c>
      <c r="AG92" s="407">
        <f t="shared" si="38"/>
        <v>0</v>
      </c>
      <c r="AH92" s="408">
        <f t="shared" si="165"/>
        <v>0</v>
      </c>
      <c r="AI92" s="406">
        <f t="shared" si="39"/>
        <v>0</v>
      </c>
      <c r="AJ92" s="407">
        <f t="shared" si="39"/>
        <v>0</v>
      </c>
      <c r="AK92" s="408">
        <f t="shared" si="166"/>
        <v>0</v>
      </c>
      <c r="AL92" s="409"/>
      <c r="AM92" s="406">
        <f t="shared" si="40"/>
        <v>28188.83</v>
      </c>
      <c r="AN92" s="410">
        <f t="shared" si="40"/>
        <v>28188.83</v>
      </c>
      <c r="AO92" s="411">
        <f t="shared" si="167"/>
        <v>0</v>
      </c>
      <c r="AP92" s="406">
        <f t="shared" si="41"/>
        <v>28188.83</v>
      </c>
      <c r="AQ92" s="410">
        <f t="shared" si="41"/>
        <v>28188.83</v>
      </c>
      <c r="AR92" s="411">
        <f t="shared" si="168"/>
        <v>0</v>
      </c>
      <c r="AS92" s="412">
        <f t="shared" si="115"/>
        <v>28188.83</v>
      </c>
      <c r="AT92" s="410">
        <f t="shared" si="115"/>
        <v>28188.83</v>
      </c>
      <c r="AU92" s="411">
        <f t="shared" si="169"/>
        <v>0</v>
      </c>
      <c r="AV92" s="1262">
        <f t="shared" si="170"/>
        <v>0</v>
      </c>
      <c r="AW92" s="413"/>
      <c r="AX92" s="1098"/>
      <c r="AY92" s="415"/>
      <c r="AZ92" s="1098"/>
      <c r="BA92" s="415">
        <v>28188.83</v>
      </c>
      <c r="BB92" s="1120">
        <v>28188.83</v>
      </c>
      <c r="BC92" s="417"/>
      <c r="BD92" s="418"/>
      <c r="BE92" s="419"/>
      <c r="BF92" s="418"/>
      <c r="BG92" s="419"/>
      <c r="BH92" s="420"/>
      <c r="BI92" s="421"/>
      <c r="BJ92" s="422"/>
      <c r="BK92" s="407"/>
      <c r="BL92" s="422"/>
      <c r="BM92" s="407"/>
      <c r="BN92" s="423"/>
      <c r="BO92" s="424"/>
      <c r="BP92" s="425"/>
      <c r="BQ92" s="426"/>
      <c r="BR92" s="425"/>
      <c r="BS92" s="426"/>
      <c r="BT92" s="427"/>
    </row>
    <row r="93" spans="1:72" s="430" customFormat="1" ht="25.5" customHeight="1" outlineLevel="2">
      <c r="A93" s="287">
        <v>78</v>
      </c>
      <c r="B93" s="933"/>
      <c r="C93" s="743"/>
      <c r="D93" s="856" t="s">
        <v>273</v>
      </c>
      <c r="E93" s="857"/>
      <c r="F93" s="827" t="s">
        <v>7</v>
      </c>
      <c r="G93" s="431">
        <v>4</v>
      </c>
      <c r="H93" s="474" t="s">
        <v>70</v>
      </c>
      <c r="I93" s="743">
        <v>244</v>
      </c>
      <c r="J93" s="744">
        <v>226</v>
      </c>
      <c r="K93" s="536" t="s">
        <v>284</v>
      </c>
      <c r="L93" s="1030"/>
      <c r="M93" s="434"/>
      <c r="N93" s="434"/>
      <c r="O93" s="1064">
        <f t="shared" si="172"/>
        <v>0</v>
      </c>
      <c r="P93" s="563"/>
      <c r="Q93" s="437"/>
      <c r="R93" s="563"/>
      <c r="S93" s="437"/>
      <c r="T93" s="563"/>
      <c r="U93" s="467"/>
      <c r="V93" s="436"/>
      <c r="W93" s="436"/>
      <c r="X93" s="436"/>
      <c r="Z93" s="437">
        <f t="shared" si="36"/>
        <v>0</v>
      </c>
      <c r="AA93" s="438">
        <f t="shared" si="36"/>
        <v>0</v>
      </c>
      <c r="AB93" s="439">
        <f t="shared" si="163"/>
        <v>0</v>
      </c>
      <c r="AC93" s="437">
        <f t="shared" si="37"/>
        <v>0</v>
      </c>
      <c r="AD93" s="438">
        <f t="shared" si="37"/>
        <v>0</v>
      </c>
      <c r="AE93" s="439">
        <f t="shared" si="164"/>
        <v>0</v>
      </c>
      <c r="AF93" s="437">
        <f t="shared" si="38"/>
        <v>0</v>
      </c>
      <c r="AG93" s="438">
        <f t="shared" si="38"/>
        <v>0</v>
      </c>
      <c r="AH93" s="439">
        <f t="shared" si="165"/>
        <v>0</v>
      </c>
      <c r="AI93" s="437">
        <f t="shared" si="39"/>
        <v>0</v>
      </c>
      <c r="AJ93" s="438">
        <f t="shared" si="39"/>
        <v>0</v>
      </c>
      <c r="AK93" s="439">
        <f t="shared" si="166"/>
        <v>0</v>
      </c>
      <c r="AL93" s="440"/>
      <c r="AM93" s="437">
        <f t="shared" si="40"/>
        <v>0</v>
      </c>
      <c r="AN93" s="441">
        <f t="shared" si="40"/>
        <v>0</v>
      </c>
      <c r="AO93" s="442">
        <f t="shared" si="167"/>
        <v>0</v>
      </c>
      <c r="AP93" s="437">
        <f t="shared" si="41"/>
        <v>0</v>
      </c>
      <c r="AQ93" s="441">
        <f t="shared" si="41"/>
        <v>0</v>
      </c>
      <c r="AR93" s="442">
        <f t="shared" si="168"/>
        <v>0</v>
      </c>
      <c r="AS93" s="443">
        <f t="shared" si="115"/>
        <v>0</v>
      </c>
      <c r="AT93" s="441">
        <f t="shared" si="115"/>
        <v>0</v>
      </c>
      <c r="AU93" s="442">
        <f t="shared" si="169"/>
        <v>0</v>
      </c>
      <c r="AV93" s="440">
        <f t="shared" si="170"/>
        <v>0</v>
      </c>
      <c r="AW93" s="444"/>
      <c r="AX93" s="1111"/>
      <c r="AY93" s="446"/>
      <c r="AZ93" s="1111"/>
      <c r="BA93" s="446"/>
      <c r="BB93" s="1129"/>
      <c r="BC93" s="448"/>
      <c r="BD93" s="449"/>
      <c r="BE93" s="450"/>
      <c r="BF93" s="449"/>
      <c r="BG93" s="450"/>
      <c r="BH93" s="451"/>
      <c r="BI93" s="452"/>
      <c r="BJ93" s="453"/>
      <c r="BK93" s="438"/>
      <c r="BL93" s="453"/>
      <c r="BM93" s="438"/>
      <c r="BN93" s="454"/>
      <c r="BO93" s="455"/>
      <c r="BP93" s="456"/>
      <c r="BQ93" s="457"/>
      <c r="BR93" s="456"/>
      <c r="BS93" s="457"/>
      <c r="BT93" s="458"/>
    </row>
    <row r="94" spans="1:72" s="459" customFormat="1" ht="66.75" outlineLevel="1">
      <c r="A94" s="287">
        <v>79</v>
      </c>
      <c r="B94" s="933"/>
      <c r="C94" s="850" t="s">
        <v>378</v>
      </c>
      <c r="D94" s="854" t="s">
        <v>807</v>
      </c>
      <c r="E94" s="855"/>
      <c r="F94" s="826" t="s">
        <v>7</v>
      </c>
      <c r="G94" s="462">
        <v>4</v>
      </c>
      <c r="H94" s="741" t="s">
        <v>70</v>
      </c>
      <c r="I94" s="741">
        <v>244</v>
      </c>
      <c r="J94" s="742">
        <v>226</v>
      </c>
      <c r="K94" s="907" t="s">
        <v>687</v>
      </c>
      <c r="L94" s="1028">
        <v>559569.35</v>
      </c>
      <c r="M94" s="352"/>
      <c r="N94" s="352">
        <f>SUM(N95:N102)</f>
        <v>0</v>
      </c>
      <c r="O94" s="1062">
        <f t="shared" si="172"/>
        <v>559569.35</v>
      </c>
      <c r="P94" s="561"/>
      <c r="Q94" s="464">
        <f>Q95</f>
        <v>2256788.4500000002</v>
      </c>
      <c r="R94" s="561"/>
      <c r="S94" s="464">
        <f>S95</f>
        <v>2150208.7400000002</v>
      </c>
      <c r="T94" s="561"/>
      <c r="U94" s="393"/>
      <c r="V94" s="394"/>
      <c r="W94" s="394"/>
      <c r="X94" s="394"/>
      <c r="Y94" s="392"/>
      <c r="Z94" s="395">
        <f t="shared" si="36"/>
        <v>0</v>
      </c>
      <c r="AA94" s="396">
        <f t="shared" si="36"/>
        <v>0</v>
      </c>
      <c r="AB94" s="397">
        <f t="shared" si="163"/>
        <v>0</v>
      </c>
      <c r="AC94" s="395">
        <f t="shared" si="37"/>
        <v>559569.35</v>
      </c>
      <c r="AD94" s="396">
        <f t="shared" si="37"/>
        <v>0</v>
      </c>
      <c r="AE94" s="397">
        <f t="shared" si="164"/>
        <v>559569.35</v>
      </c>
      <c r="AF94" s="395">
        <f t="shared" si="38"/>
        <v>0</v>
      </c>
      <c r="AG94" s="396">
        <f t="shared" si="38"/>
        <v>0</v>
      </c>
      <c r="AH94" s="397">
        <f t="shared" si="165"/>
        <v>0</v>
      </c>
      <c r="AI94" s="395">
        <f t="shared" si="39"/>
        <v>0</v>
      </c>
      <c r="AJ94" s="396">
        <f t="shared" si="39"/>
        <v>0</v>
      </c>
      <c r="AK94" s="397">
        <f t="shared" si="166"/>
        <v>0</v>
      </c>
      <c r="AL94" s="398"/>
      <c r="AM94" s="464">
        <f t="shared" si="40"/>
        <v>559569.35</v>
      </c>
      <c r="AN94" s="352">
        <f t="shared" si="40"/>
        <v>0</v>
      </c>
      <c r="AO94" s="465">
        <f t="shared" si="167"/>
        <v>559569.35</v>
      </c>
      <c r="AP94" s="464">
        <f t="shared" si="41"/>
        <v>559569.35</v>
      </c>
      <c r="AQ94" s="352">
        <f t="shared" si="41"/>
        <v>0</v>
      </c>
      <c r="AR94" s="465">
        <f t="shared" si="168"/>
        <v>559569.35</v>
      </c>
      <c r="AS94" s="464">
        <f t="shared" si="115"/>
        <v>559569.35</v>
      </c>
      <c r="AT94" s="352">
        <f t="shared" si="115"/>
        <v>0</v>
      </c>
      <c r="AU94" s="465">
        <f t="shared" si="169"/>
        <v>559569.35</v>
      </c>
      <c r="AV94" s="1261">
        <f t="shared" si="170"/>
        <v>0</v>
      </c>
      <c r="AW94" s="464">
        <f t="shared" ref="AW94:BT94" si="173">SUM(AW95:AW102)</f>
        <v>0</v>
      </c>
      <c r="AX94" s="1110">
        <f t="shared" si="173"/>
        <v>0</v>
      </c>
      <c r="AY94" s="352">
        <f t="shared" si="173"/>
        <v>0</v>
      </c>
      <c r="AZ94" s="1110">
        <f t="shared" si="173"/>
        <v>0</v>
      </c>
      <c r="BA94" s="352">
        <f t="shared" si="173"/>
        <v>0</v>
      </c>
      <c r="BB94" s="1128">
        <f t="shared" si="173"/>
        <v>0</v>
      </c>
      <c r="BC94" s="464">
        <f t="shared" si="173"/>
        <v>25300</v>
      </c>
      <c r="BD94" s="352">
        <f t="shared" si="173"/>
        <v>0</v>
      </c>
      <c r="BE94" s="352">
        <f t="shared" si="173"/>
        <v>0</v>
      </c>
      <c r="BF94" s="352">
        <f t="shared" si="173"/>
        <v>0</v>
      </c>
      <c r="BG94" s="352">
        <f t="shared" si="173"/>
        <v>534269.35</v>
      </c>
      <c r="BH94" s="353">
        <f t="shared" si="173"/>
        <v>0</v>
      </c>
      <c r="BI94" s="464">
        <f t="shared" si="173"/>
        <v>0</v>
      </c>
      <c r="BJ94" s="352">
        <f t="shared" si="173"/>
        <v>0</v>
      </c>
      <c r="BK94" s="352">
        <f t="shared" si="173"/>
        <v>0</v>
      </c>
      <c r="BL94" s="352">
        <f t="shared" si="173"/>
        <v>0</v>
      </c>
      <c r="BM94" s="352">
        <f t="shared" si="173"/>
        <v>0</v>
      </c>
      <c r="BN94" s="353">
        <f t="shared" si="173"/>
        <v>0</v>
      </c>
      <c r="BO94" s="464">
        <f t="shared" si="173"/>
        <v>0</v>
      </c>
      <c r="BP94" s="352">
        <f t="shared" si="173"/>
        <v>0</v>
      </c>
      <c r="BQ94" s="352">
        <f t="shared" si="173"/>
        <v>0</v>
      </c>
      <c r="BR94" s="352">
        <f t="shared" si="173"/>
        <v>0</v>
      </c>
      <c r="BS94" s="352">
        <f t="shared" si="173"/>
        <v>0</v>
      </c>
      <c r="BT94" s="465">
        <f t="shared" si="173"/>
        <v>0</v>
      </c>
    </row>
    <row r="95" spans="1:72" s="313" customFormat="1" ht="38.25" customHeight="1" outlineLevel="2">
      <c r="A95" s="287">
        <v>80</v>
      </c>
      <c r="B95" s="933"/>
      <c r="C95" s="840"/>
      <c r="D95" s="841" t="s">
        <v>807</v>
      </c>
      <c r="E95" s="839"/>
      <c r="F95" s="821" t="s">
        <v>7</v>
      </c>
      <c r="G95" s="314">
        <v>4</v>
      </c>
      <c r="H95" s="739" t="s">
        <v>70</v>
      </c>
      <c r="I95" s="739">
        <v>244</v>
      </c>
      <c r="J95" s="740">
        <v>226</v>
      </c>
      <c r="K95" s="533" t="s">
        <v>285</v>
      </c>
      <c r="L95" s="1031">
        <v>0</v>
      </c>
      <c r="M95" s="318"/>
      <c r="N95" s="318"/>
      <c r="O95" s="1052">
        <f t="shared" si="172"/>
        <v>0</v>
      </c>
      <c r="P95" s="562"/>
      <c r="Q95" s="336">
        <v>2256788.4500000002</v>
      </c>
      <c r="R95" s="562"/>
      <c r="S95" s="336">
        <v>2150208.7400000002</v>
      </c>
      <c r="T95" s="562"/>
      <c r="U95" s="466"/>
      <c r="V95" s="320"/>
      <c r="W95" s="320"/>
      <c r="X95" s="320"/>
      <c r="Z95" s="336">
        <f t="shared" si="36"/>
        <v>0</v>
      </c>
      <c r="AA95" s="337">
        <f t="shared" si="36"/>
        <v>0</v>
      </c>
      <c r="AB95" s="338">
        <f t="shared" si="163"/>
        <v>0</v>
      </c>
      <c r="AC95" s="336">
        <f t="shared" si="37"/>
        <v>0</v>
      </c>
      <c r="AD95" s="337">
        <f t="shared" si="37"/>
        <v>0</v>
      </c>
      <c r="AE95" s="338">
        <f t="shared" si="164"/>
        <v>0</v>
      </c>
      <c r="AF95" s="336">
        <f t="shared" si="38"/>
        <v>0</v>
      </c>
      <c r="AG95" s="337">
        <f t="shared" si="38"/>
        <v>0</v>
      </c>
      <c r="AH95" s="338">
        <f t="shared" si="165"/>
        <v>0</v>
      </c>
      <c r="AI95" s="336">
        <f t="shared" si="39"/>
        <v>0</v>
      </c>
      <c r="AJ95" s="337">
        <f t="shared" si="39"/>
        <v>0</v>
      </c>
      <c r="AK95" s="338">
        <f t="shared" si="166"/>
        <v>0</v>
      </c>
      <c r="AL95" s="342"/>
      <c r="AM95" s="336">
        <f t="shared" si="40"/>
        <v>0</v>
      </c>
      <c r="AN95" s="339">
        <f t="shared" si="40"/>
        <v>0</v>
      </c>
      <c r="AO95" s="340">
        <f t="shared" si="167"/>
        <v>0</v>
      </c>
      <c r="AP95" s="336">
        <f t="shared" si="41"/>
        <v>0</v>
      </c>
      <c r="AQ95" s="339">
        <f t="shared" si="41"/>
        <v>0</v>
      </c>
      <c r="AR95" s="340">
        <f t="shared" si="168"/>
        <v>0</v>
      </c>
      <c r="AS95" s="341">
        <f t="shared" si="115"/>
        <v>0</v>
      </c>
      <c r="AT95" s="339">
        <f t="shared" si="115"/>
        <v>0</v>
      </c>
      <c r="AU95" s="340">
        <f t="shared" si="169"/>
        <v>0</v>
      </c>
      <c r="AV95" s="1255">
        <f t="shared" si="170"/>
        <v>0</v>
      </c>
      <c r="AW95" s="343"/>
      <c r="AX95" s="1098"/>
      <c r="AY95" s="345"/>
      <c r="AZ95" s="1098"/>
      <c r="BA95" s="345"/>
      <c r="BB95" s="1120"/>
      <c r="BC95" s="347"/>
      <c r="BD95" s="348"/>
      <c r="BE95" s="349"/>
      <c r="BF95" s="348"/>
      <c r="BG95" s="349"/>
      <c r="BH95" s="350"/>
      <c r="BI95" s="351"/>
      <c r="BJ95" s="352"/>
      <c r="BK95" s="337"/>
      <c r="BL95" s="352"/>
      <c r="BM95" s="337"/>
      <c r="BN95" s="353"/>
      <c r="BO95" s="354"/>
      <c r="BP95" s="355"/>
      <c r="BQ95" s="356"/>
      <c r="BR95" s="355"/>
      <c r="BS95" s="356"/>
      <c r="BT95" s="357"/>
    </row>
    <row r="96" spans="1:72" s="313" customFormat="1" ht="38.25" customHeight="1" outlineLevel="2">
      <c r="A96" s="287">
        <v>81</v>
      </c>
      <c r="B96" s="933"/>
      <c r="C96" s="840"/>
      <c r="D96" s="841" t="s">
        <v>807</v>
      </c>
      <c r="E96" s="839"/>
      <c r="F96" s="821" t="s">
        <v>7</v>
      </c>
      <c r="G96" s="314">
        <v>4</v>
      </c>
      <c r="H96" s="739" t="s">
        <v>70</v>
      </c>
      <c r="I96" s="739">
        <v>244</v>
      </c>
      <c r="J96" s="740">
        <v>226</v>
      </c>
      <c r="K96" s="538" t="s">
        <v>780</v>
      </c>
      <c r="L96" s="1029">
        <v>285966</v>
      </c>
      <c r="M96" s="318"/>
      <c r="N96" s="318"/>
      <c r="O96" s="1063">
        <f t="shared" si="172"/>
        <v>285966</v>
      </c>
      <c r="P96" s="562"/>
      <c r="Q96" s="336"/>
      <c r="R96" s="562"/>
      <c r="S96" s="336"/>
      <c r="T96" s="562"/>
      <c r="U96" s="466"/>
      <c r="V96" s="597" t="s">
        <v>776</v>
      </c>
      <c r="W96" s="597" t="s">
        <v>810</v>
      </c>
      <c r="X96" s="597" t="s">
        <v>809</v>
      </c>
      <c r="Z96" s="336">
        <f t="shared" si="36"/>
        <v>0</v>
      </c>
      <c r="AA96" s="337">
        <f t="shared" si="36"/>
        <v>0</v>
      </c>
      <c r="AB96" s="338">
        <f t="shared" si="163"/>
        <v>0</v>
      </c>
      <c r="AC96" s="336">
        <f t="shared" si="37"/>
        <v>285966</v>
      </c>
      <c r="AD96" s="337">
        <f t="shared" si="37"/>
        <v>0</v>
      </c>
      <c r="AE96" s="338">
        <f t="shared" si="164"/>
        <v>285966</v>
      </c>
      <c r="AF96" s="336">
        <f t="shared" si="38"/>
        <v>0</v>
      </c>
      <c r="AG96" s="337">
        <f t="shared" si="38"/>
        <v>0</v>
      </c>
      <c r="AH96" s="338">
        <f t="shared" si="165"/>
        <v>0</v>
      </c>
      <c r="AI96" s="336">
        <f t="shared" si="39"/>
        <v>0</v>
      </c>
      <c r="AJ96" s="337">
        <f t="shared" si="39"/>
        <v>0</v>
      </c>
      <c r="AK96" s="338">
        <f t="shared" si="166"/>
        <v>0</v>
      </c>
      <c r="AL96" s="342"/>
      <c r="AM96" s="336">
        <f t="shared" si="40"/>
        <v>285966</v>
      </c>
      <c r="AN96" s="339">
        <f t="shared" si="40"/>
        <v>0</v>
      </c>
      <c r="AO96" s="340">
        <f t="shared" si="167"/>
        <v>285966</v>
      </c>
      <c r="AP96" s="336">
        <f t="shared" si="41"/>
        <v>285966</v>
      </c>
      <c r="AQ96" s="339">
        <f t="shared" si="41"/>
        <v>0</v>
      </c>
      <c r="AR96" s="340">
        <f t="shared" si="168"/>
        <v>285966</v>
      </c>
      <c r="AS96" s="341">
        <f t="shared" si="115"/>
        <v>285966</v>
      </c>
      <c r="AT96" s="339">
        <f t="shared" si="115"/>
        <v>0</v>
      </c>
      <c r="AU96" s="340">
        <f t="shared" si="169"/>
        <v>285966</v>
      </c>
      <c r="AV96" s="1255">
        <f t="shared" si="170"/>
        <v>0</v>
      </c>
      <c r="AW96" s="343"/>
      <c r="AX96" s="1098"/>
      <c r="AY96" s="345"/>
      <c r="AZ96" s="1098"/>
      <c r="BA96" s="345"/>
      <c r="BB96" s="1120"/>
      <c r="BC96" s="347"/>
      <c r="BD96" s="348"/>
      <c r="BE96" s="349"/>
      <c r="BF96" s="348"/>
      <c r="BG96" s="349">
        <f>288966-3000</f>
        <v>285966</v>
      </c>
      <c r="BH96" s="350"/>
      <c r="BI96" s="351"/>
      <c r="BJ96" s="352"/>
      <c r="BK96" s="337"/>
      <c r="BL96" s="352"/>
      <c r="BM96" s="337"/>
      <c r="BN96" s="353"/>
      <c r="BO96" s="354"/>
      <c r="BP96" s="355"/>
      <c r="BQ96" s="356"/>
      <c r="BR96" s="355"/>
      <c r="BS96" s="356"/>
      <c r="BT96" s="357"/>
    </row>
    <row r="97" spans="1:72" s="313" customFormat="1" ht="38.25" customHeight="1" outlineLevel="2">
      <c r="A97" s="287">
        <v>82</v>
      </c>
      <c r="B97" s="933"/>
      <c r="C97" s="840"/>
      <c r="D97" s="841" t="s">
        <v>807</v>
      </c>
      <c r="E97" s="839"/>
      <c r="F97" s="821" t="s">
        <v>7</v>
      </c>
      <c r="G97" s="314">
        <v>4</v>
      </c>
      <c r="H97" s="739" t="s">
        <v>70</v>
      </c>
      <c r="I97" s="739">
        <v>244</v>
      </c>
      <c r="J97" s="740">
        <v>226</v>
      </c>
      <c r="K97" s="538" t="s">
        <v>1057</v>
      </c>
      <c r="L97" s="1029">
        <v>248303.35</v>
      </c>
      <c r="M97" s="318"/>
      <c r="N97" s="318"/>
      <c r="O97" s="1063">
        <f t="shared" si="172"/>
        <v>248303.35</v>
      </c>
      <c r="P97" s="562"/>
      <c r="Q97" s="336"/>
      <c r="R97" s="562"/>
      <c r="S97" s="336"/>
      <c r="T97" s="562"/>
      <c r="U97" s="466"/>
      <c r="V97" s="597" t="s">
        <v>777</v>
      </c>
      <c r="W97" s="597" t="s">
        <v>808</v>
      </c>
      <c r="X97" s="597" t="s">
        <v>809</v>
      </c>
      <c r="Z97" s="336">
        <f t="shared" si="36"/>
        <v>0</v>
      </c>
      <c r="AA97" s="337">
        <f t="shared" si="36"/>
        <v>0</v>
      </c>
      <c r="AB97" s="338">
        <f t="shared" si="163"/>
        <v>0</v>
      </c>
      <c r="AC97" s="336">
        <f t="shared" si="37"/>
        <v>248303.35</v>
      </c>
      <c r="AD97" s="337">
        <f t="shared" si="37"/>
        <v>0</v>
      </c>
      <c r="AE97" s="338">
        <f t="shared" si="164"/>
        <v>248303.35</v>
      </c>
      <c r="AF97" s="336">
        <f t="shared" si="38"/>
        <v>0</v>
      </c>
      <c r="AG97" s="337">
        <f t="shared" si="38"/>
        <v>0</v>
      </c>
      <c r="AH97" s="338">
        <f t="shared" si="165"/>
        <v>0</v>
      </c>
      <c r="AI97" s="336">
        <f t="shared" si="39"/>
        <v>0</v>
      </c>
      <c r="AJ97" s="337">
        <f t="shared" si="39"/>
        <v>0</v>
      </c>
      <c r="AK97" s="338">
        <f t="shared" si="166"/>
        <v>0</v>
      </c>
      <c r="AL97" s="342"/>
      <c r="AM97" s="336">
        <f t="shared" si="40"/>
        <v>248303.35</v>
      </c>
      <c r="AN97" s="339">
        <f t="shared" si="40"/>
        <v>0</v>
      </c>
      <c r="AO97" s="340">
        <f t="shared" si="167"/>
        <v>248303.35</v>
      </c>
      <c r="AP97" s="336">
        <f t="shared" si="41"/>
        <v>248303.35</v>
      </c>
      <c r="AQ97" s="339">
        <f t="shared" si="41"/>
        <v>0</v>
      </c>
      <c r="AR97" s="340">
        <f t="shared" si="168"/>
        <v>248303.35</v>
      </c>
      <c r="AS97" s="341">
        <f t="shared" ref="AS97:AT122" si="174">Z97+AC97+AF97+AI97</f>
        <v>248303.35</v>
      </c>
      <c r="AT97" s="339">
        <f t="shared" si="174"/>
        <v>0</v>
      </c>
      <c r="AU97" s="340">
        <f t="shared" si="169"/>
        <v>248303.35</v>
      </c>
      <c r="AV97" s="1255">
        <f t="shared" si="170"/>
        <v>0</v>
      </c>
      <c r="AW97" s="343"/>
      <c r="AX97" s="1098"/>
      <c r="AY97" s="345"/>
      <c r="AZ97" s="1098"/>
      <c r="BA97" s="345"/>
      <c r="BB97" s="1120"/>
      <c r="BC97" s="347"/>
      <c r="BD97" s="348"/>
      <c r="BE97" s="349"/>
      <c r="BF97" s="348"/>
      <c r="BG97" s="349">
        <v>248303.35</v>
      </c>
      <c r="BH97" s="350"/>
      <c r="BI97" s="351"/>
      <c r="BJ97" s="352"/>
      <c r="BK97" s="337"/>
      <c r="BL97" s="352"/>
      <c r="BM97" s="337"/>
      <c r="BN97" s="353"/>
      <c r="BO97" s="354"/>
      <c r="BP97" s="355"/>
      <c r="BQ97" s="356"/>
      <c r="BR97" s="355"/>
      <c r="BS97" s="356"/>
      <c r="BT97" s="357"/>
    </row>
    <row r="98" spans="1:72" s="313" customFormat="1" ht="25.5" customHeight="1" outlineLevel="2">
      <c r="A98" s="287">
        <v>83</v>
      </c>
      <c r="B98" s="933"/>
      <c r="C98" s="840"/>
      <c r="D98" s="841" t="s">
        <v>807</v>
      </c>
      <c r="E98" s="839"/>
      <c r="F98" s="821" t="s">
        <v>7</v>
      </c>
      <c r="G98" s="314">
        <v>4</v>
      </c>
      <c r="H98" s="739" t="s">
        <v>70</v>
      </c>
      <c r="I98" s="739">
        <v>244</v>
      </c>
      <c r="J98" s="740">
        <v>226</v>
      </c>
      <c r="K98" s="533" t="s">
        <v>286</v>
      </c>
      <c r="L98" s="1031">
        <v>0</v>
      </c>
      <c r="M98" s="318"/>
      <c r="N98" s="318"/>
      <c r="O98" s="1052">
        <f t="shared" si="172"/>
        <v>0</v>
      </c>
      <c r="P98" s="562"/>
      <c r="Q98" s="336"/>
      <c r="R98" s="562"/>
      <c r="S98" s="336"/>
      <c r="T98" s="562"/>
      <c r="U98" s="466"/>
      <c r="V98" s="320"/>
      <c r="W98" s="320"/>
      <c r="X98" s="320"/>
      <c r="Z98" s="336">
        <f t="shared" si="36"/>
        <v>0</v>
      </c>
      <c r="AA98" s="337">
        <f t="shared" si="36"/>
        <v>0</v>
      </c>
      <c r="AB98" s="338">
        <f t="shared" si="163"/>
        <v>0</v>
      </c>
      <c r="AC98" s="336">
        <f t="shared" si="37"/>
        <v>0</v>
      </c>
      <c r="AD98" s="337">
        <f t="shared" si="37"/>
        <v>0</v>
      </c>
      <c r="AE98" s="338">
        <f t="shared" si="164"/>
        <v>0</v>
      </c>
      <c r="AF98" s="336">
        <f t="shared" si="38"/>
        <v>0</v>
      </c>
      <c r="AG98" s="337">
        <f t="shared" si="38"/>
        <v>0</v>
      </c>
      <c r="AH98" s="338">
        <f t="shared" si="165"/>
        <v>0</v>
      </c>
      <c r="AI98" s="336">
        <f t="shared" si="39"/>
        <v>0</v>
      </c>
      <c r="AJ98" s="337">
        <f t="shared" si="39"/>
        <v>0</v>
      </c>
      <c r="AK98" s="338">
        <f t="shared" si="166"/>
        <v>0</v>
      </c>
      <c r="AL98" s="342"/>
      <c r="AM98" s="336">
        <f t="shared" si="40"/>
        <v>0</v>
      </c>
      <c r="AN98" s="339">
        <f t="shared" si="40"/>
        <v>0</v>
      </c>
      <c r="AO98" s="340">
        <f t="shared" si="167"/>
        <v>0</v>
      </c>
      <c r="AP98" s="336">
        <f t="shared" si="41"/>
        <v>0</v>
      </c>
      <c r="AQ98" s="339">
        <f t="shared" si="41"/>
        <v>0</v>
      </c>
      <c r="AR98" s="340">
        <f t="shared" si="168"/>
        <v>0</v>
      </c>
      <c r="AS98" s="341">
        <f t="shared" si="174"/>
        <v>0</v>
      </c>
      <c r="AT98" s="339">
        <f t="shared" si="174"/>
        <v>0</v>
      </c>
      <c r="AU98" s="340">
        <f t="shared" si="169"/>
        <v>0</v>
      </c>
      <c r="AV98" s="1255">
        <f t="shared" si="170"/>
        <v>0</v>
      </c>
      <c r="AW98" s="343"/>
      <c r="AX98" s="1098"/>
      <c r="AY98" s="345"/>
      <c r="AZ98" s="1098"/>
      <c r="BA98" s="345"/>
      <c r="BB98" s="1120"/>
      <c r="BC98" s="347"/>
      <c r="BD98" s="348"/>
      <c r="BE98" s="349"/>
      <c r="BF98" s="348"/>
      <c r="BG98" s="349"/>
      <c r="BH98" s="350"/>
      <c r="BI98" s="351"/>
      <c r="BJ98" s="352"/>
      <c r="BK98" s="337"/>
      <c r="BL98" s="352"/>
      <c r="BM98" s="337"/>
      <c r="BN98" s="353"/>
      <c r="BO98" s="354"/>
      <c r="BP98" s="355"/>
      <c r="BQ98" s="356"/>
      <c r="BR98" s="355"/>
      <c r="BS98" s="356"/>
      <c r="BT98" s="357"/>
    </row>
    <row r="99" spans="1:72" s="313" customFormat="1" ht="25.5" customHeight="1" outlineLevel="2">
      <c r="A99" s="287">
        <v>84</v>
      </c>
      <c r="B99" s="933"/>
      <c r="C99" s="840"/>
      <c r="D99" s="841" t="s">
        <v>807</v>
      </c>
      <c r="E99" s="839"/>
      <c r="F99" s="821" t="s">
        <v>7</v>
      </c>
      <c r="G99" s="314">
        <v>4</v>
      </c>
      <c r="H99" s="739" t="s">
        <v>70</v>
      </c>
      <c r="I99" s="739">
        <v>244</v>
      </c>
      <c r="J99" s="740">
        <v>226</v>
      </c>
      <c r="K99" s="533" t="s">
        <v>287</v>
      </c>
      <c r="L99" s="1031">
        <v>0</v>
      </c>
      <c r="M99" s="318"/>
      <c r="N99" s="318"/>
      <c r="O99" s="1052">
        <f t="shared" si="172"/>
        <v>0</v>
      </c>
      <c r="P99" s="562"/>
      <c r="Q99" s="336"/>
      <c r="R99" s="562"/>
      <c r="S99" s="336"/>
      <c r="T99" s="562"/>
      <c r="U99" s="466"/>
      <c r="V99" s="320"/>
      <c r="W99" s="320"/>
      <c r="X99" s="320"/>
      <c r="Z99" s="336">
        <f t="shared" si="36"/>
        <v>0</v>
      </c>
      <c r="AA99" s="337">
        <f t="shared" si="36"/>
        <v>0</v>
      </c>
      <c r="AB99" s="338">
        <f t="shared" si="163"/>
        <v>0</v>
      </c>
      <c r="AC99" s="336">
        <f t="shared" si="37"/>
        <v>0</v>
      </c>
      <c r="AD99" s="337">
        <f t="shared" si="37"/>
        <v>0</v>
      </c>
      <c r="AE99" s="338">
        <f t="shared" si="164"/>
        <v>0</v>
      </c>
      <c r="AF99" s="336">
        <f t="shared" si="38"/>
        <v>0</v>
      </c>
      <c r="AG99" s="337">
        <f t="shared" si="38"/>
        <v>0</v>
      </c>
      <c r="AH99" s="338">
        <f t="shared" si="165"/>
        <v>0</v>
      </c>
      <c r="AI99" s="336">
        <f t="shared" si="39"/>
        <v>0</v>
      </c>
      <c r="AJ99" s="337">
        <f t="shared" si="39"/>
        <v>0</v>
      </c>
      <c r="AK99" s="338">
        <f t="shared" si="166"/>
        <v>0</v>
      </c>
      <c r="AL99" s="342"/>
      <c r="AM99" s="336">
        <f t="shared" si="40"/>
        <v>0</v>
      </c>
      <c r="AN99" s="339">
        <f t="shared" si="40"/>
        <v>0</v>
      </c>
      <c r="AO99" s="340">
        <f t="shared" si="167"/>
        <v>0</v>
      </c>
      <c r="AP99" s="336">
        <f t="shared" si="41"/>
        <v>0</v>
      </c>
      <c r="AQ99" s="339">
        <f t="shared" si="41"/>
        <v>0</v>
      </c>
      <c r="AR99" s="340">
        <f t="shared" si="168"/>
        <v>0</v>
      </c>
      <c r="AS99" s="341">
        <f t="shared" si="174"/>
        <v>0</v>
      </c>
      <c r="AT99" s="339">
        <f t="shared" si="174"/>
        <v>0</v>
      </c>
      <c r="AU99" s="340">
        <f t="shared" si="169"/>
        <v>0</v>
      </c>
      <c r="AV99" s="1255">
        <f t="shared" si="170"/>
        <v>0</v>
      </c>
      <c r="AW99" s="343"/>
      <c r="AX99" s="1098"/>
      <c r="AY99" s="345"/>
      <c r="AZ99" s="1098"/>
      <c r="BA99" s="345"/>
      <c r="BB99" s="1120"/>
      <c r="BC99" s="347"/>
      <c r="BD99" s="348"/>
      <c r="BE99" s="349"/>
      <c r="BF99" s="348"/>
      <c r="BG99" s="349"/>
      <c r="BH99" s="350"/>
      <c r="BI99" s="351"/>
      <c r="BJ99" s="352"/>
      <c r="BK99" s="337"/>
      <c r="BL99" s="352"/>
      <c r="BM99" s="337"/>
      <c r="BN99" s="353"/>
      <c r="BO99" s="354"/>
      <c r="BP99" s="355"/>
      <c r="BQ99" s="356"/>
      <c r="BR99" s="355"/>
      <c r="BS99" s="356"/>
      <c r="BT99" s="357"/>
    </row>
    <row r="100" spans="1:72" s="313" customFormat="1" ht="25.5" customHeight="1" outlineLevel="2">
      <c r="A100" s="287">
        <v>85</v>
      </c>
      <c r="B100" s="933"/>
      <c r="C100" s="840"/>
      <c r="D100" s="841" t="s">
        <v>807</v>
      </c>
      <c r="E100" s="839"/>
      <c r="F100" s="821" t="s">
        <v>7</v>
      </c>
      <c r="G100" s="314">
        <v>4</v>
      </c>
      <c r="H100" s="739" t="s">
        <v>70</v>
      </c>
      <c r="I100" s="739">
        <v>244</v>
      </c>
      <c r="J100" s="740">
        <v>226</v>
      </c>
      <c r="K100" s="538" t="s">
        <v>493</v>
      </c>
      <c r="L100" s="1029">
        <v>25300</v>
      </c>
      <c r="M100" s="318"/>
      <c r="N100" s="318"/>
      <c r="O100" s="1063">
        <f t="shared" si="172"/>
        <v>25300</v>
      </c>
      <c r="P100" s="562"/>
      <c r="Q100" s="336"/>
      <c r="R100" s="562"/>
      <c r="S100" s="336"/>
      <c r="T100" s="562"/>
      <c r="U100" s="466"/>
      <c r="V100" s="597" t="s">
        <v>494</v>
      </c>
      <c r="W100" s="597" t="s">
        <v>763</v>
      </c>
      <c r="X100" s="597" t="s">
        <v>764</v>
      </c>
      <c r="Z100" s="336">
        <f t="shared" si="36"/>
        <v>0</v>
      </c>
      <c r="AA100" s="337">
        <f t="shared" si="36"/>
        <v>0</v>
      </c>
      <c r="AB100" s="338">
        <f t="shared" si="163"/>
        <v>0</v>
      </c>
      <c r="AC100" s="336">
        <f t="shared" si="37"/>
        <v>25300</v>
      </c>
      <c r="AD100" s="337">
        <f t="shared" si="37"/>
        <v>0</v>
      </c>
      <c r="AE100" s="338">
        <f t="shared" si="164"/>
        <v>25300</v>
      </c>
      <c r="AF100" s="336">
        <f t="shared" si="38"/>
        <v>0</v>
      </c>
      <c r="AG100" s="337">
        <f t="shared" si="38"/>
        <v>0</v>
      </c>
      <c r="AH100" s="338">
        <f t="shared" si="165"/>
        <v>0</v>
      </c>
      <c r="AI100" s="336">
        <f t="shared" si="39"/>
        <v>0</v>
      </c>
      <c r="AJ100" s="337">
        <f t="shared" si="39"/>
        <v>0</v>
      </c>
      <c r="AK100" s="338">
        <f t="shared" si="166"/>
        <v>0</v>
      </c>
      <c r="AL100" s="342"/>
      <c r="AM100" s="336">
        <f t="shared" si="40"/>
        <v>25300</v>
      </c>
      <c r="AN100" s="339">
        <f t="shared" si="40"/>
        <v>0</v>
      </c>
      <c r="AO100" s="340">
        <f t="shared" si="167"/>
        <v>25300</v>
      </c>
      <c r="AP100" s="336">
        <f t="shared" si="41"/>
        <v>25300</v>
      </c>
      <c r="AQ100" s="339">
        <f t="shared" si="41"/>
        <v>0</v>
      </c>
      <c r="AR100" s="340">
        <f t="shared" si="168"/>
        <v>25300</v>
      </c>
      <c r="AS100" s="341">
        <f t="shared" si="174"/>
        <v>25300</v>
      </c>
      <c r="AT100" s="339">
        <f t="shared" si="174"/>
        <v>0</v>
      </c>
      <c r="AU100" s="340">
        <f t="shared" si="169"/>
        <v>25300</v>
      </c>
      <c r="AV100" s="1255">
        <f t="shared" si="170"/>
        <v>0</v>
      </c>
      <c r="AW100" s="343"/>
      <c r="AX100" s="1098"/>
      <c r="AY100" s="345"/>
      <c r="AZ100" s="1098"/>
      <c r="BA100" s="345"/>
      <c r="BB100" s="1120"/>
      <c r="BC100" s="347">
        <v>25300</v>
      </c>
      <c r="BD100" s="348"/>
      <c r="BE100" s="349"/>
      <c r="BF100" s="348"/>
      <c r="BG100" s="349"/>
      <c r="BH100" s="350"/>
      <c r="BI100" s="351"/>
      <c r="BJ100" s="352"/>
      <c r="BK100" s="337"/>
      <c r="BL100" s="352"/>
      <c r="BM100" s="337"/>
      <c r="BN100" s="353"/>
      <c r="BO100" s="354"/>
      <c r="BP100" s="355"/>
      <c r="BQ100" s="356"/>
      <c r="BR100" s="355"/>
      <c r="BS100" s="356"/>
      <c r="BT100" s="357"/>
    </row>
    <row r="101" spans="1:72" s="313" customFormat="1" ht="25.5" customHeight="1" outlineLevel="2">
      <c r="A101" s="287">
        <v>86</v>
      </c>
      <c r="B101" s="933"/>
      <c r="C101" s="840"/>
      <c r="D101" s="841" t="s">
        <v>807</v>
      </c>
      <c r="E101" s="839"/>
      <c r="F101" s="821" t="s">
        <v>7</v>
      </c>
      <c r="G101" s="314">
        <v>4</v>
      </c>
      <c r="H101" s="739" t="s">
        <v>70</v>
      </c>
      <c r="I101" s="739">
        <v>244</v>
      </c>
      <c r="J101" s="740">
        <v>226</v>
      </c>
      <c r="K101" s="533" t="s">
        <v>289</v>
      </c>
      <c r="L101" s="1031">
        <v>0</v>
      </c>
      <c r="M101" s="318"/>
      <c r="N101" s="318"/>
      <c r="O101" s="1052">
        <f t="shared" si="172"/>
        <v>0</v>
      </c>
      <c r="P101" s="562"/>
      <c r="Q101" s="336"/>
      <c r="R101" s="562"/>
      <c r="S101" s="336"/>
      <c r="T101" s="562"/>
      <c r="U101" s="466"/>
      <c r="V101" s="320"/>
      <c r="W101" s="320"/>
      <c r="X101" s="320"/>
      <c r="Z101" s="336">
        <f t="shared" si="36"/>
        <v>0</v>
      </c>
      <c r="AA101" s="337">
        <f t="shared" si="36"/>
        <v>0</v>
      </c>
      <c r="AB101" s="338">
        <f t="shared" si="163"/>
        <v>0</v>
      </c>
      <c r="AC101" s="336">
        <f t="shared" si="37"/>
        <v>0</v>
      </c>
      <c r="AD101" s="337">
        <f t="shared" si="37"/>
        <v>0</v>
      </c>
      <c r="AE101" s="338">
        <f t="shared" si="164"/>
        <v>0</v>
      </c>
      <c r="AF101" s="336">
        <f t="shared" si="38"/>
        <v>0</v>
      </c>
      <c r="AG101" s="337">
        <f t="shared" si="38"/>
        <v>0</v>
      </c>
      <c r="AH101" s="338">
        <f t="shared" si="165"/>
        <v>0</v>
      </c>
      <c r="AI101" s="336">
        <f t="shared" si="39"/>
        <v>0</v>
      </c>
      <c r="AJ101" s="337">
        <f t="shared" si="39"/>
        <v>0</v>
      </c>
      <c r="AK101" s="338">
        <f t="shared" si="166"/>
        <v>0</v>
      </c>
      <c r="AL101" s="342"/>
      <c r="AM101" s="336">
        <f t="shared" si="40"/>
        <v>0</v>
      </c>
      <c r="AN101" s="339">
        <f t="shared" si="40"/>
        <v>0</v>
      </c>
      <c r="AO101" s="340">
        <f t="shared" si="167"/>
        <v>0</v>
      </c>
      <c r="AP101" s="336">
        <f t="shared" si="41"/>
        <v>0</v>
      </c>
      <c r="AQ101" s="339">
        <f t="shared" si="41"/>
        <v>0</v>
      </c>
      <c r="AR101" s="340">
        <f t="shared" si="168"/>
        <v>0</v>
      </c>
      <c r="AS101" s="341">
        <f t="shared" si="174"/>
        <v>0</v>
      </c>
      <c r="AT101" s="339">
        <f t="shared" si="174"/>
        <v>0</v>
      </c>
      <c r="AU101" s="340">
        <f t="shared" si="169"/>
        <v>0</v>
      </c>
      <c r="AV101" s="1255">
        <f t="shared" si="170"/>
        <v>0</v>
      </c>
      <c r="AW101" s="343"/>
      <c r="AX101" s="1098"/>
      <c r="AY101" s="345"/>
      <c r="AZ101" s="1098"/>
      <c r="BA101" s="345"/>
      <c r="BB101" s="1120"/>
      <c r="BC101" s="347"/>
      <c r="BD101" s="348"/>
      <c r="BE101" s="349"/>
      <c r="BF101" s="348"/>
      <c r="BG101" s="349"/>
      <c r="BH101" s="350"/>
      <c r="BI101" s="351"/>
      <c r="BJ101" s="352"/>
      <c r="BK101" s="337"/>
      <c r="BL101" s="352"/>
      <c r="BM101" s="337"/>
      <c r="BN101" s="353"/>
      <c r="BO101" s="354"/>
      <c r="BP101" s="355"/>
      <c r="BQ101" s="356"/>
      <c r="BR101" s="355"/>
      <c r="BS101" s="356"/>
      <c r="BT101" s="357"/>
    </row>
    <row r="102" spans="1:72" s="430" customFormat="1" ht="25.5" customHeight="1" outlineLevel="2">
      <c r="A102" s="287">
        <v>87</v>
      </c>
      <c r="B102" s="936"/>
      <c r="C102" s="743"/>
      <c r="D102" s="856" t="s">
        <v>807</v>
      </c>
      <c r="E102" s="857"/>
      <c r="F102" s="827" t="s">
        <v>7</v>
      </c>
      <c r="G102" s="431">
        <v>4</v>
      </c>
      <c r="H102" s="474" t="s">
        <v>70</v>
      </c>
      <c r="I102" s="743">
        <v>244</v>
      </c>
      <c r="J102" s="744">
        <v>226</v>
      </c>
      <c r="K102" s="536" t="s">
        <v>688</v>
      </c>
      <c r="L102" s="1030">
        <f>559569.35-SUM(L95:L101)</f>
        <v>0</v>
      </c>
      <c r="M102" s="434"/>
      <c r="N102" s="434"/>
      <c r="O102" s="1064">
        <f t="shared" si="172"/>
        <v>0</v>
      </c>
      <c r="P102" s="563"/>
      <c r="Q102" s="437"/>
      <c r="R102" s="563"/>
      <c r="S102" s="437"/>
      <c r="T102" s="563"/>
      <c r="U102" s="467"/>
      <c r="V102" s="436"/>
      <c r="W102" s="436"/>
      <c r="X102" s="436"/>
      <c r="Z102" s="437">
        <f t="shared" si="36"/>
        <v>0</v>
      </c>
      <c r="AA102" s="438">
        <f t="shared" si="36"/>
        <v>0</v>
      </c>
      <c r="AB102" s="439">
        <f t="shared" si="163"/>
        <v>0</v>
      </c>
      <c r="AC102" s="437">
        <f t="shared" si="37"/>
        <v>0</v>
      </c>
      <c r="AD102" s="438">
        <f t="shared" si="37"/>
        <v>0</v>
      </c>
      <c r="AE102" s="439">
        <f t="shared" si="164"/>
        <v>0</v>
      </c>
      <c r="AF102" s="437">
        <f t="shared" si="38"/>
        <v>0</v>
      </c>
      <c r="AG102" s="438">
        <f t="shared" si="38"/>
        <v>0</v>
      </c>
      <c r="AH102" s="439">
        <f t="shared" si="165"/>
        <v>0</v>
      </c>
      <c r="AI102" s="437">
        <f t="shared" si="39"/>
        <v>0</v>
      </c>
      <c r="AJ102" s="438">
        <f t="shared" si="39"/>
        <v>0</v>
      </c>
      <c r="AK102" s="439">
        <f t="shared" si="166"/>
        <v>0</v>
      </c>
      <c r="AL102" s="440"/>
      <c r="AM102" s="437">
        <f t="shared" si="40"/>
        <v>0</v>
      </c>
      <c r="AN102" s="441">
        <f t="shared" si="40"/>
        <v>0</v>
      </c>
      <c r="AO102" s="442">
        <f t="shared" si="167"/>
        <v>0</v>
      </c>
      <c r="AP102" s="437">
        <f t="shared" si="41"/>
        <v>0</v>
      </c>
      <c r="AQ102" s="441">
        <f t="shared" si="41"/>
        <v>0</v>
      </c>
      <c r="AR102" s="442">
        <f t="shared" si="168"/>
        <v>0</v>
      </c>
      <c r="AS102" s="443">
        <f t="shared" si="174"/>
        <v>0</v>
      </c>
      <c r="AT102" s="441">
        <f t="shared" si="174"/>
        <v>0</v>
      </c>
      <c r="AU102" s="442">
        <f t="shared" si="169"/>
        <v>0</v>
      </c>
      <c r="AV102" s="440">
        <f t="shared" si="170"/>
        <v>0</v>
      </c>
      <c r="AW102" s="444"/>
      <c r="AX102" s="1111"/>
      <c r="AY102" s="446"/>
      <c r="AZ102" s="1111"/>
      <c r="BA102" s="446"/>
      <c r="BB102" s="1129"/>
      <c r="BC102" s="448"/>
      <c r="BD102" s="449"/>
      <c r="BE102" s="450"/>
      <c r="BF102" s="449"/>
      <c r="BG102" s="450"/>
      <c r="BH102" s="451"/>
      <c r="BI102" s="452"/>
      <c r="BJ102" s="453"/>
      <c r="BK102" s="438"/>
      <c r="BL102" s="453"/>
      <c r="BM102" s="438"/>
      <c r="BN102" s="454"/>
      <c r="BO102" s="455"/>
      <c r="BP102" s="456"/>
      <c r="BQ102" s="457"/>
      <c r="BR102" s="456"/>
      <c r="BS102" s="457"/>
      <c r="BT102" s="458"/>
    </row>
    <row r="103" spans="1:72" s="459" customFormat="1" ht="66.75" customHeight="1" outlineLevel="1">
      <c r="A103" s="287">
        <v>88</v>
      </c>
      <c r="B103" s="933"/>
      <c r="C103" s="850" t="s">
        <v>378</v>
      </c>
      <c r="D103" s="854" t="s">
        <v>272</v>
      </c>
      <c r="E103" s="855"/>
      <c r="F103" s="826" t="s">
        <v>7</v>
      </c>
      <c r="G103" s="462">
        <v>4</v>
      </c>
      <c r="H103" s="741" t="s">
        <v>70</v>
      </c>
      <c r="I103" s="741">
        <v>244</v>
      </c>
      <c r="J103" s="742">
        <v>226</v>
      </c>
      <c r="K103" s="535" t="s">
        <v>278</v>
      </c>
      <c r="L103" s="1028">
        <v>340187.83</v>
      </c>
      <c r="M103" s="352"/>
      <c r="N103" s="352">
        <f>SUM(N104:N108)</f>
        <v>-74885.83</v>
      </c>
      <c r="O103" s="1062">
        <f t="shared" si="172"/>
        <v>265302</v>
      </c>
      <c r="P103" s="561"/>
      <c r="Q103" s="464"/>
      <c r="R103" s="561"/>
      <c r="S103" s="464"/>
      <c r="T103" s="561"/>
      <c r="U103" s="393"/>
      <c r="V103" s="394"/>
      <c r="W103" s="394"/>
      <c r="X103" s="394"/>
      <c r="Y103" s="392"/>
      <c r="Z103" s="395">
        <f t="shared" si="36"/>
        <v>0</v>
      </c>
      <c r="AA103" s="396">
        <f t="shared" si="36"/>
        <v>0</v>
      </c>
      <c r="AB103" s="397">
        <f t="shared" si="163"/>
        <v>0</v>
      </c>
      <c r="AC103" s="395">
        <f t="shared" si="37"/>
        <v>0</v>
      </c>
      <c r="AD103" s="396">
        <f t="shared" si="37"/>
        <v>0</v>
      </c>
      <c r="AE103" s="397">
        <f t="shared" si="164"/>
        <v>0</v>
      </c>
      <c r="AF103" s="395">
        <f t="shared" si="38"/>
        <v>49800</v>
      </c>
      <c r="AG103" s="396">
        <f t="shared" si="38"/>
        <v>0</v>
      </c>
      <c r="AH103" s="397">
        <f t="shared" si="165"/>
        <v>49800</v>
      </c>
      <c r="AI103" s="395">
        <f t="shared" si="39"/>
        <v>215502</v>
      </c>
      <c r="AJ103" s="396">
        <f t="shared" si="39"/>
        <v>0</v>
      </c>
      <c r="AK103" s="397">
        <f t="shared" si="166"/>
        <v>215502</v>
      </c>
      <c r="AL103" s="398"/>
      <c r="AM103" s="464">
        <f t="shared" si="40"/>
        <v>0</v>
      </c>
      <c r="AN103" s="352">
        <f t="shared" si="40"/>
        <v>0</v>
      </c>
      <c r="AO103" s="465">
        <f t="shared" si="167"/>
        <v>0</v>
      </c>
      <c r="AP103" s="464">
        <f t="shared" si="41"/>
        <v>49800</v>
      </c>
      <c r="AQ103" s="352">
        <f t="shared" si="41"/>
        <v>0</v>
      </c>
      <c r="AR103" s="465">
        <f t="shared" si="168"/>
        <v>49800</v>
      </c>
      <c r="AS103" s="464">
        <f t="shared" si="174"/>
        <v>265302</v>
      </c>
      <c r="AT103" s="352">
        <f t="shared" si="174"/>
        <v>0</v>
      </c>
      <c r="AU103" s="465">
        <f t="shared" si="169"/>
        <v>265302</v>
      </c>
      <c r="AV103" s="1261">
        <f t="shared" si="170"/>
        <v>74885.83</v>
      </c>
      <c r="AW103" s="464">
        <f t="shared" ref="AW103:BT103" si="175">SUM(AW104:AW108)</f>
        <v>0</v>
      </c>
      <c r="AX103" s="1110">
        <f t="shared" si="175"/>
        <v>0</v>
      </c>
      <c r="AY103" s="352">
        <f t="shared" si="175"/>
        <v>0</v>
      </c>
      <c r="AZ103" s="1110">
        <f t="shared" si="175"/>
        <v>0</v>
      </c>
      <c r="BA103" s="352">
        <f t="shared" si="175"/>
        <v>0</v>
      </c>
      <c r="BB103" s="1128">
        <f t="shared" si="175"/>
        <v>0</v>
      </c>
      <c r="BC103" s="464">
        <f t="shared" si="175"/>
        <v>0</v>
      </c>
      <c r="BD103" s="352">
        <f t="shared" si="175"/>
        <v>0</v>
      </c>
      <c r="BE103" s="352">
        <f t="shared" si="175"/>
        <v>0</v>
      </c>
      <c r="BF103" s="352">
        <f t="shared" si="175"/>
        <v>0</v>
      </c>
      <c r="BG103" s="352">
        <f t="shared" si="175"/>
        <v>0</v>
      </c>
      <c r="BH103" s="353">
        <f t="shared" si="175"/>
        <v>0</v>
      </c>
      <c r="BI103" s="464">
        <f t="shared" si="175"/>
        <v>49800</v>
      </c>
      <c r="BJ103" s="352">
        <f t="shared" si="175"/>
        <v>0</v>
      </c>
      <c r="BK103" s="352">
        <f t="shared" si="175"/>
        <v>0</v>
      </c>
      <c r="BL103" s="352">
        <f t="shared" si="175"/>
        <v>0</v>
      </c>
      <c r="BM103" s="352">
        <f t="shared" si="175"/>
        <v>0</v>
      </c>
      <c r="BN103" s="353">
        <f t="shared" si="175"/>
        <v>0</v>
      </c>
      <c r="BO103" s="464">
        <f t="shared" si="175"/>
        <v>215502</v>
      </c>
      <c r="BP103" s="352">
        <f t="shared" si="175"/>
        <v>0</v>
      </c>
      <c r="BQ103" s="352">
        <f t="shared" si="175"/>
        <v>0</v>
      </c>
      <c r="BR103" s="352">
        <f t="shared" si="175"/>
        <v>0</v>
      </c>
      <c r="BS103" s="352">
        <f t="shared" si="175"/>
        <v>0</v>
      </c>
      <c r="BT103" s="465">
        <f t="shared" si="175"/>
        <v>0</v>
      </c>
    </row>
    <row r="104" spans="1:72" s="313" customFormat="1" ht="38.25" customHeight="1" outlineLevel="2">
      <c r="A104" s="287">
        <v>89</v>
      </c>
      <c r="B104" s="933" t="s">
        <v>1053</v>
      </c>
      <c r="C104" s="840"/>
      <c r="D104" s="841" t="s">
        <v>272</v>
      </c>
      <c r="E104" s="839"/>
      <c r="F104" s="821" t="s">
        <v>7</v>
      </c>
      <c r="G104" s="314">
        <v>4</v>
      </c>
      <c r="H104" s="739" t="s">
        <v>70</v>
      </c>
      <c r="I104" s="739">
        <v>244</v>
      </c>
      <c r="J104" s="740">
        <v>226</v>
      </c>
      <c r="K104" s="1005" t="s">
        <v>1048</v>
      </c>
      <c r="L104" s="1031">
        <f>340187.83-SUM(L105:L108)</f>
        <v>74885.83</v>
      </c>
      <c r="M104" s="318"/>
      <c r="N104" s="318">
        <v>-74885.83</v>
      </c>
      <c r="O104" s="1052">
        <f t="shared" si="172"/>
        <v>0</v>
      </c>
      <c r="P104" s="562"/>
      <c r="Q104" s="336"/>
      <c r="R104" s="562"/>
      <c r="S104" s="336"/>
      <c r="T104" s="562"/>
      <c r="U104" s="466"/>
      <c r="V104" s="320"/>
      <c r="W104" s="320"/>
      <c r="X104" s="320"/>
      <c r="Z104" s="336">
        <f t="shared" si="36"/>
        <v>0</v>
      </c>
      <c r="AA104" s="337">
        <f t="shared" si="36"/>
        <v>0</v>
      </c>
      <c r="AB104" s="338">
        <f t="shared" si="163"/>
        <v>0</v>
      </c>
      <c r="AC104" s="336">
        <f t="shared" si="37"/>
        <v>0</v>
      </c>
      <c r="AD104" s="337">
        <f t="shared" si="37"/>
        <v>0</v>
      </c>
      <c r="AE104" s="338">
        <f t="shared" si="164"/>
        <v>0</v>
      </c>
      <c r="AF104" s="336">
        <f t="shared" si="38"/>
        <v>0</v>
      </c>
      <c r="AG104" s="337">
        <f t="shared" si="38"/>
        <v>0</v>
      </c>
      <c r="AH104" s="338">
        <f t="shared" si="165"/>
        <v>0</v>
      </c>
      <c r="AI104" s="336">
        <f t="shared" si="39"/>
        <v>0</v>
      </c>
      <c r="AJ104" s="337">
        <f t="shared" si="39"/>
        <v>0</v>
      </c>
      <c r="AK104" s="338">
        <f t="shared" si="166"/>
        <v>0</v>
      </c>
      <c r="AL104" s="342"/>
      <c r="AM104" s="336">
        <f t="shared" si="40"/>
        <v>0</v>
      </c>
      <c r="AN104" s="339">
        <f t="shared" si="40"/>
        <v>0</v>
      </c>
      <c r="AO104" s="340">
        <f t="shared" si="167"/>
        <v>0</v>
      </c>
      <c r="AP104" s="336">
        <f t="shared" si="41"/>
        <v>0</v>
      </c>
      <c r="AQ104" s="339">
        <f t="shared" si="41"/>
        <v>0</v>
      </c>
      <c r="AR104" s="340">
        <f t="shared" si="168"/>
        <v>0</v>
      </c>
      <c r="AS104" s="341">
        <f t="shared" si="174"/>
        <v>0</v>
      </c>
      <c r="AT104" s="339">
        <f t="shared" si="174"/>
        <v>0</v>
      </c>
      <c r="AU104" s="340">
        <f t="shared" si="169"/>
        <v>0</v>
      </c>
      <c r="AV104" s="1255">
        <f t="shared" si="170"/>
        <v>74885.83</v>
      </c>
      <c r="AW104" s="343"/>
      <c r="AX104" s="1098"/>
      <c r="AY104" s="345"/>
      <c r="AZ104" s="1098"/>
      <c r="BA104" s="345"/>
      <c r="BB104" s="1120"/>
      <c r="BC104" s="347"/>
      <c r="BD104" s="348"/>
      <c r="BE104" s="349"/>
      <c r="BF104" s="348"/>
      <c r="BG104" s="349"/>
      <c r="BH104" s="350"/>
      <c r="BI104" s="351"/>
      <c r="BJ104" s="352"/>
      <c r="BK104" s="337"/>
      <c r="BL104" s="352"/>
      <c r="BM104" s="337"/>
      <c r="BN104" s="353"/>
      <c r="BO104" s="354"/>
      <c r="BP104" s="355"/>
      <c r="BQ104" s="356"/>
      <c r="BR104" s="355"/>
      <c r="BS104" s="356"/>
      <c r="BT104" s="357"/>
    </row>
    <row r="105" spans="1:72" s="313" customFormat="1" ht="38.25" customHeight="1" outlineLevel="2">
      <c r="A105" s="1192">
        <v>89.1</v>
      </c>
      <c r="B105" s="933"/>
      <c r="C105" s="840"/>
      <c r="D105" s="841" t="s">
        <v>272</v>
      </c>
      <c r="E105" s="839"/>
      <c r="F105" s="821" t="s">
        <v>7</v>
      </c>
      <c r="G105" s="314">
        <v>4</v>
      </c>
      <c r="H105" s="739" t="s">
        <v>70</v>
      </c>
      <c r="I105" s="739">
        <v>244</v>
      </c>
      <c r="J105" s="740">
        <v>226</v>
      </c>
      <c r="K105" s="533" t="s">
        <v>552</v>
      </c>
      <c r="L105" s="1025">
        <v>32800</v>
      </c>
      <c r="M105" s="318"/>
      <c r="N105" s="318"/>
      <c r="O105" s="1052">
        <f t="shared" ref="O105" si="176">L105+N105</f>
        <v>32800</v>
      </c>
      <c r="P105" s="562"/>
      <c r="Q105" s="336"/>
      <c r="R105" s="562"/>
      <c r="S105" s="336"/>
      <c r="T105" s="562"/>
      <c r="U105" s="466"/>
      <c r="V105" s="597" t="s">
        <v>553</v>
      </c>
      <c r="W105" s="597" t="s">
        <v>968</v>
      </c>
      <c r="X105" s="597" t="s">
        <v>969</v>
      </c>
      <c r="Z105" s="336">
        <f t="shared" ref="Z105" si="177">AW105+AY105+BA105</f>
        <v>0</v>
      </c>
      <c r="AA105" s="337">
        <f t="shared" ref="AA105" si="178">AX105+AZ105+BB105</f>
        <v>0</v>
      </c>
      <c r="AB105" s="338">
        <f t="shared" ref="AB105" si="179">Z105-AA105</f>
        <v>0</v>
      </c>
      <c r="AC105" s="336">
        <f t="shared" ref="AC105" si="180">BC105+BE105+BG105</f>
        <v>0</v>
      </c>
      <c r="AD105" s="337">
        <f t="shared" ref="AD105" si="181">BD105+BF105+BH105</f>
        <v>0</v>
      </c>
      <c r="AE105" s="338">
        <f t="shared" ref="AE105" si="182">AC105-AD105</f>
        <v>0</v>
      </c>
      <c r="AF105" s="336">
        <f t="shared" ref="AF105" si="183">BI105+BK105+BM105</f>
        <v>32800</v>
      </c>
      <c r="AG105" s="337">
        <f t="shared" ref="AG105" si="184">BJ105+BL105+BN105</f>
        <v>0</v>
      </c>
      <c r="AH105" s="338">
        <f t="shared" ref="AH105" si="185">AF105-AG105</f>
        <v>32800</v>
      </c>
      <c r="AI105" s="336">
        <f t="shared" ref="AI105" si="186">BO105+BQ105+BS105</f>
        <v>0</v>
      </c>
      <c r="AJ105" s="337">
        <f t="shared" ref="AJ105" si="187">BP105+BR105+BT105</f>
        <v>0</v>
      </c>
      <c r="AK105" s="338">
        <f t="shared" ref="AK105" si="188">AI105-AJ105</f>
        <v>0</v>
      </c>
      <c r="AL105" s="342"/>
      <c r="AM105" s="336">
        <f t="shared" ref="AM105" si="189">Z105+AC105</f>
        <v>0</v>
      </c>
      <c r="AN105" s="339">
        <f t="shared" ref="AN105" si="190">AA105+AD105</f>
        <v>0</v>
      </c>
      <c r="AO105" s="340">
        <f t="shared" ref="AO105" si="191">AM105-AN105</f>
        <v>0</v>
      </c>
      <c r="AP105" s="336">
        <f t="shared" ref="AP105" si="192">Z105+AC105+AF105</f>
        <v>32800</v>
      </c>
      <c r="AQ105" s="339">
        <f t="shared" ref="AQ105" si="193">AA105+AD105+AG105</f>
        <v>0</v>
      </c>
      <c r="AR105" s="340">
        <f t="shared" ref="AR105" si="194">AP105-AQ105</f>
        <v>32800</v>
      </c>
      <c r="AS105" s="341">
        <f t="shared" ref="AS105" si="195">Z105+AC105+AF105+AI105</f>
        <v>32800</v>
      </c>
      <c r="AT105" s="339">
        <f t="shared" ref="AT105" si="196">AA105+AD105+AG105+AJ105</f>
        <v>0</v>
      </c>
      <c r="AU105" s="340">
        <f t="shared" ref="AU105" si="197">AS105-AT105</f>
        <v>32800</v>
      </c>
      <c r="AV105" s="1255">
        <f t="shared" ref="AV105" si="198">L105-AS105</f>
        <v>0</v>
      </c>
      <c r="AW105" s="343"/>
      <c r="AX105" s="1098"/>
      <c r="AY105" s="345"/>
      <c r="AZ105" s="1098"/>
      <c r="BA105" s="345"/>
      <c r="BB105" s="1120"/>
      <c r="BC105" s="347"/>
      <c r="BD105" s="348"/>
      <c r="BE105" s="349"/>
      <c r="BF105" s="348"/>
      <c r="BG105" s="349"/>
      <c r="BH105" s="350"/>
      <c r="BI105" s="1136">
        <v>32800</v>
      </c>
      <c r="BJ105" s="352"/>
      <c r="BK105" s="337"/>
      <c r="BL105" s="352"/>
      <c r="BM105" s="337"/>
      <c r="BN105" s="353"/>
      <c r="BO105" s="354"/>
      <c r="BP105" s="355"/>
      <c r="BQ105" s="356"/>
      <c r="BR105" s="355"/>
      <c r="BS105" s="356"/>
      <c r="BT105" s="357"/>
    </row>
    <row r="106" spans="1:72" s="313" customFormat="1" ht="38.25" customHeight="1" outlineLevel="2">
      <c r="A106" s="1192">
        <v>89.2</v>
      </c>
      <c r="B106" s="933"/>
      <c r="C106" s="840"/>
      <c r="D106" s="841" t="s">
        <v>272</v>
      </c>
      <c r="E106" s="839"/>
      <c r="F106" s="821" t="s">
        <v>7</v>
      </c>
      <c r="G106" s="314">
        <v>4</v>
      </c>
      <c r="H106" s="739" t="s">
        <v>70</v>
      </c>
      <c r="I106" s="739">
        <v>244</v>
      </c>
      <c r="J106" s="740">
        <v>226</v>
      </c>
      <c r="K106" s="533" t="s">
        <v>493</v>
      </c>
      <c r="L106" s="1025">
        <v>17000</v>
      </c>
      <c r="M106" s="318"/>
      <c r="N106" s="318"/>
      <c r="O106" s="1052">
        <f t="shared" ref="O106" si="199">L106+N106</f>
        <v>17000</v>
      </c>
      <c r="P106" s="562"/>
      <c r="Q106" s="336"/>
      <c r="R106" s="562"/>
      <c r="S106" s="336"/>
      <c r="T106" s="562"/>
      <c r="U106" s="466"/>
      <c r="V106" s="597" t="s">
        <v>494</v>
      </c>
      <c r="W106" s="597" t="s">
        <v>1054</v>
      </c>
      <c r="X106" s="597" t="s">
        <v>1055</v>
      </c>
      <c r="Z106" s="336">
        <f t="shared" ref="Z106" si="200">AW106+AY106+BA106</f>
        <v>0</v>
      </c>
      <c r="AA106" s="337">
        <f t="shared" ref="AA106" si="201">AX106+AZ106+BB106</f>
        <v>0</v>
      </c>
      <c r="AB106" s="338">
        <f t="shared" ref="AB106" si="202">Z106-AA106</f>
        <v>0</v>
      </c>
      <c r="AC106" s="336">
        <f t="shared" ref="AC106" si="203">BC106+BE106+BG106</f>
        <v>0</v>
      </c>
      <c r="AD106" s="337">
        <f t="shared" ref="AD106" si="204">BD106+BF106+BH106</f>
        <v>0</v>
      </c>
      <c r="AE106" s="338">
        <f t="shared" ref="AE106" si="205">AC106-AD106</f>
        <v>0</v>
      </c>
      <c r="AF106" s="336">
        <f t="shared" ref="AF106" si="206">BI106+BK106+BM106</f>
        <v>17000</v>
      </c>
      <c r="AG106" s="337">
        <f t="shared" ref="AG106" si="207">BJ106+BL106+BN106</f>
        <v>0</v>
      </c>
      <c r="AH106" s="338">
        <f t="shared" ref="AH106" si="208">AF106-AG106</f>
        <v>17000</v>
      </c>
      <c r="AI106" s="336">
        <f t="shared" ref="AI106" si="209">BO106+BQ106+BS106</f>
        <v>0</v>
      </c>
      <c r="AJ106" s="337">
        <f t="shared" ref="AJ106" si="210">BP106+BR106+BT106</f>
        <v>0</v>
      </c>
      <c r="AK106" s="338">
        <f t="shared" ref="AK106" si="211">AI106-AJ106</f>
        <v>0</v>
      </c>
      <c r="AL106" s="342"/>
      <c r="AM106" s="336">
        <f t="shared" ref="AM106" si="212">Z106+AC106</f>
        <v>0</v>
      </c>
      <c r="AN106" s="339">
        <f t="shared" ref="AN106" si="213">AA106+AD106</f>
        <v>0</v>
      </c>
      <c r="AO106" s="340">
        <f t="shared" ref="AO106" si="214">AM106-AN106</f>
        <v>0</v>
      </c>
      <c r="AP106" s="336">
        <f t="shared" ref="AP106" si="215">Z106+AC106+AF106</f>
        <v>17000</v>
      </c>
      <c r="AQ106" s="339">
        <f t="shared" ref="AQ106" si="216">AA106+AD106+AG106</f>
        <v>0</v>
      </c>
      <c r="AR106" s="340">
        <f t="shared" ref="AR106" si="217">AP106-AQ106</f>
        <v>17000</v>
      </c>
      <c r="AS106" s="341">
        <f t="shared" ref="AS106" si="218">Z106+AC106+AF106+AI106</f>
        <v>17000</v>
      </c>
      <c r="AT106" s="339">
        <f t="shared" ref="AT106" si="219">AA106+AD106+AG106+AJ106</f>
        <v>0</v>
      </c>
      <c r="AU106" s="340">
        <f t="shared" ref="AU106" si="220">AS106-AT106</f>
        <v>17000</v>
      </c>
      <c r="AV106" s="1255">
        <f t="shared" ref="AV106" si="221">L106-AS106</f>
        <v>0</v>
      </c>
      <c r="AW106" s="343"/>
      <c r="AX106" s="1098"/>
      <c r="AY106" s="345"/>
      <c r="AZ106" s="1098"/>
      <c r="BA106" s="345"/>
      <c r="BB106" s="1120"/>
      <c r="BC106" s="347"/>
      <c r="BD106" s="348"/>
      <c r="BE106" s="349"/>
      <c r="BF106" s="348"/>
      <c r="BG106" s="349"/>
      <c r="BH106" s="350"/>
      <c r="BI106" s="1136">
        <v>17000</v>
      </c>
      <c r="BJ106" s="352"/>
      <c r="BK106" s="337"/>
      <c r="BL106" s="352"/>
      <c r="BM106" s="337"/>
      <c r="BN106" s="353"/>
      <c r="BO106" s="354"/>
      <c r="BP106" s="355"/>
      <c r="BQ106" s="356"/>
      <c r="BR106" s="355"/>
      <c r="BS106" s="356"/>
      <c r="BT106" s="357"/>
    </row>
    <row r="107" spans="1:72" s="313" customFormat="1" ht="38.25" customHeight="1" outlineLevel="2">
      <c r="A107" s="287">
        <v>89</v>
      </c>
      <c r="B107" s="933"/>
      <c r="C107" s="840"/>
      <c r="D107" s="841" t="s">
        <v>272</v>
      </c>
      <c r="E107" s="839"/>
      <c r="F107" s="821" t="s">
        <v>7</v>
      </c>
      <c r="G107" s="314">
        <v>4</v>
      </c>
      <c r="H107" s="739" t="s">
        <v>70</v>
      </c>
      <c r="I107" s="739">
        <v>244</v>
      </c>
      <c r="J107" s="740">
        <v>226</v>
      </c>
      <c r="K107" s="533" t="s">
        <v>290</v>
      </c>
      <c r="L107" s="1025">
        <v>215502</v>
      </c>
      <c r="M107" s="318"/>
      <c r="N107" s="318"/>
      <c r="O107" s="1052">
        <f t="shared" ref="O107" si="222">L107+N107</f>
        <v>215502</v>
      </c>
      <c r="P107" s="562"/>
      <c r="Q107" s="336"/>
      <c r="R107" s="562"/>
      <c r="S107" s="336"/>
      <c r="T107" s="562"/>
      <c r="U107" s="466"/>
      <c r="V107" s="597" t="s">
        <v>1049</v>
      </c>
      <c r="W107" s="597" t="s">
        <v>1050</v>
      </c>
      <c r="X107" s="597" t="s">
        <v>1051</v>
      </c>
      <c r="Z107" s="336">
        <f t="shared" ref="Z107" si="223">AW107+AY107+BA107</f>
        <v>0</v>
      </c>
      <c r="AA107" s="337">
        <f t="shared" ref="AA107" si="224">AX107+AZ107+BB107</f>
        <v>0</v>
      </c>
      <c r="AB107" s="338">
        <f t="shared" ref="AB107" si="225">Z107-AA107</f>
        <v>0</v>
      </c>
      <c r="AC107" s="336">
        <f t="shared" ref="AC107" si="226">BC107+BE107+BG107</f>
        <v>0</v>
      </c>
      <c r="AD107" s="337">
        <f t="shared" ref="AD107" si="227">BD107+BF107+BH107</f>
        <v>0</v>
      </c>
      <c r="AE107" s="338">
        <f t="shared" ref="AE107" si="228">AC107-AD107</f>
        <v>0</v>
      </c>
      <c r="AF107" s="336">
        <f t="shared" ref="AF107" si="229">BI107+BK107+BM107</f>
        <v>0</v>
      </c>
      <c r="AG107" s="337">
        <f t="shared" ref="AG107" si="230">BJ107+BL107+BN107</f>
        <v>0</v>
      </c>
      <c r="AH107" s="338">
        <f t="shared" ref="AH107" si="231">AF107-AG107</f>
        <v>0</v>
      </c>
      <c r="AI107" s="336">
        <f t="shared" ref="AI107" si="232">BO107+BQ107+BS107</f>
        <v>215502</v>
      </c>
      <c r="AJ107" s="337">
        <f t="shared" ref="AJ107" si="233">BP107+BR107+BT107</f>
        <v>0</v>
      </c>
      <c r="AK107" s="338">
        <f t="shared" ref="AK107" si="234">AI107-AJ107</f>
        <v>215502</v>
      </c>
      <c r="AL107" s="342"/>
      <c r="AM107" s="336">
        <f t="shared" ref="AM107" si="235">Z107+AC107</f>
        <v>0</v>
      </c>
      <c r="AN107" s="339">
        <f t="shared" ref="AN107" si="236">AA107+AD107</f>
        <v>0</v>
      </c>
      <c r="AO107" s="340">
        <f t="shared" ref="AO107" si="237">AM107-AN107</f>
        <v>0</v>
      </c>
      <c r="AP107" s="336">
        <f t="shared" ref="AP107" si="238">Z107+AC107+AF107</f>
        <v>0</v>
      </c>
      <c r="AQ107" s="339">
        <f t="shared" ref="AQ107" si="239">AA107+AD107+AG107</f>
        <v>0</v>
      </c>
      <c r="AR107" s="340">
        <f t="shared" ref="AR107" si="240">AP107-AQ107</f>
        <v>0</v>
      </c>
      <c r="AS107" s="341">
        <f t="shared" ref="AS107" si="241">Z107+AC107+AF107+AI107</f>
        <v>215502</v>
      </c>
      <c r="AT107" s="339">
        <f t="shared" ref="AT107" si="242">AA107+AD107+AG107+AJ107</f>
        <v>0</v>
      </c>
      <c r="AU107" s="340">
        <f t="shared" ref="AU107" si="243">AS107-AT107</f>
        <v>215502</v>
      </c>
      <c r="AV107" s="1255">
        <f t="shared" ref="AV107" si="244">L107-AS107</f>
        <v>0</v>
      </c>
      <c r="AW107" s="343"/>
      <c r="AX107" s="1098"/>
      <c r="AY107" s="345"/>
      <c r="AZ107" s="1098"/>
      <c r="BA107" s="345"/>
      <c r="BB107" s="1120"/>
      <c r="BC107" s="347"/>
      <c r="BD107" s="348"/>
      <c r="BE107" s="349"/>
      <c r="BF107" s="348"/>
      <c r="BG107" s="349"/>
      <c r="BH107" s="350"/>
      <c r="BI107" s="351"/>
      <c r="BJ107" s="352"/>
      <c r="BK107" s="337"/>
      <c r="BL107" s="352"/>
      <c r="BM107" s="337"/>
      <c r="BN107" s="353"/>
      <c r="BO107" s="1138">
        <v>215502</v>
      </c>
      <c r="BP107" s="355"/>
      <c r="BQ107" s="356"/>
      <c r="BR107" s="355"/>
      <c r="BS107" s="356"/>
      <c r="BT107" s="357"/>
    </row>
    <row r="108" spans="1:72" s="430" customFormat="1" ht="25.5" customHeight="1" outlineLevel="2">
      <c r="A108" s="287">
        <v>90</v>
      </c>
      <c r="B108" s="933"/>
      <c r="C108" s="743"/>
      <c r="D108" s="856" t="s">
        <v>272</v>
      </c>
      <c r="E108" s="857"/>
      <c r="F108" s="827" t="s">
        <v>7</v>
      </c>
      <c r="G108" s="431">
        <v>4</v>
      </c>
      <c r="H108" s="474" t="s">
        <v>70</v>
      </c>
      <c r="I108" s="743">
        <v>244</v>
      </c>
      <c r="J108" s="744">
        <v>226</v>
      </c>
      <c r="K108" s="536" t="s">
        <v>284</v>
      </c>
      <c r="L108" s="1030">
        <v>0</v>
      </c>
      <c r="M108" s="434"/>
      <c r="N108" s="434"/>
      <c r="O108" s="1064">
        <f t="shared" si="172"/>
        <v>0</v>
      </c>
      <c r="P108" s="563"/>
      <c r="Q108" s="437"/>
      <c r="R108" s="563"/>
      <c r="S108" s="437"/>
      <c r="T108" s="563"/>
      <c r="U108" s="467"/>
      <c r="V108" s="436"/>
      <c r="W108" s="436"/>
      <c r="X108" s="436"/>
      <c r="Z108" s="437">
        <f t="shared" ref="Z108:AA185" si="245">AW108+AY108+BA108</f>
        <v>0</v>
      </c>
      <c r="AA108" s="438">
        <f t="shared" si="245"/>
        <v>0</v>
      </c>
      <c r="AB108" s="439">
        <f t="shared" si="163"/>
        <v>0</v>
      </c>
      <c r="AC108" s="437">
        <f t="shared" ref="AC108:AD185" si="246">BC108+BE108+BG108</f>
        <v>0</v>
      </c>
      <c r="AD108" s="438">
        <f t="shared" si="246"/>
        <v>0</v>
      </c>
      <c r="AE108" s="439">
        <f t="shared" si="164"/>
        <v>0</v>
      </c>
      <c r="AF108" s="437">
        <f t="shared" ref="AF108:AG185" si="247">BI108+BK108+BM108</f>
        <v>0</v>
      </c>
      <c r="AG108" s="438">
        <f t="shared" si="247"/>
        <v>0</v>
      </c>
      <c r="AH108" s="439">
        <f t="shared" si="165"/>
        <v>0</v>
      </c>
      <c r="AI108" s="437">
        <f t="shared" ref="AI108:AJ185" si="248">BO108+BQ108+BS108</f>
        <v>0</v>
      </c>
      <c r="AJ108" s="438">
        <f t="shared" si="248"/>
        <v>0</v>
      </c>
      <c r="AK108" s="439">
        <f t="shared" si="166"/>
        <v>0</v>
      </c>
      <c r="AL108" s="440"/>
      <c r="AM108" s="437">
        <f t="shared" ref="AM108:AN185" si="249">Z108+AC108</f>
        <v>0</v>
      </c>
      <c r="AN108" s="441">
        <f t="shared" si="249"/>
        <v>0</v>
      </c>
      <c r="AO108" s="442">
        <f t="shared" si="167"/>
        <v>0</v>
      </c>
      <c r="AP108" s="437">
        <f t="shared" ref="AP108:AQ185" si="250">Z108+AC108+AF108</f>
        <v>0</v>
      </c>
      <c r="AQ108" s="441">
        <f t="shared" si="250"/>
        <v>0</v>
      </c>
      <c r="AR108" s="442">
        <f t="shared" si="168"/>
        <v>0</v>
      </c>
      <c r="AS108" s="443">
        <f t="shared" si="174"/>
        <v>0</v>
      </c>
      <c r="AT108" s="441">
        <f t="shared" si="174"/>
        <v>0</v>
      </c>
      <c r="AU108" s="442">
        <f t="shared" si="169"/>
        <v>0</v>
      </c>
      <c r="AV108" s="440">
        <f t="shared" si="170"/>
        <v>0</v>
      </c>
      <c r="AW108" s="444"/>
      <c r="AX108" s="1111"/>
      <c r="AY108" s="446"/>
      <c r="AZ108" s="1111"/>
      <c r="BA108" s="446"/>
      <c r="BB108" s="1129"/>
      <c r="BC108" s="448"/>
      <c r="BD108" s="449"/>
      <c r="BE108" s="450"/>
      <c r="BF108" s="449"/>
      <c r="BG108" s="450"/>
      <c r="BH108" s="451"/>
      <c r="BI108" s="452"/>
      <c r="BJ108" s="453"/>
      <c r="BK108" s="438"/>
      <c r="BL108" s="453"/>
      <c r="BM108" s="438"/>
      <c r="BN108" s="454"/>
      <c r="BO108" s="455"/>
      <c r="BP108" s="456"/>
      <c r="BQ108" s="457"/>
      <c r="BR108" s="456"/>
      <c r="BS108" s="457"/>
      <c r="BT108" s="458"/>
    </row>
    <row r="109" spans="1:72" s="468" customFormat="1" ht="66.75" customHeight="1" outlineLevel="1">
      <c r="A109" s="287">
        <v>91</v>
      </c>
      <c r="B109" s="933"/>
      <c r="C109" s="850" t="s">
        <v>378</v>
      </c>
      <c r="D109" s="854" t="s">
        <v>876</v>
      </c>
      <c r="E109" s="858"/>
      <c r="F109" s="828" t="s">
        <v>7</v>
      </c>
      <c r="G109" s="469">
        <v>4</v>
      </c>
      <c r="H109" s="745" t="s">
        <v>70</v>
      </c>
      <c r="I109" s="745">
        <v>244</v>
      </c>
      <c r="J109" s="746">
        <v>226</v>
      </c>
      <c r="K109" s="537" t="s">
        <v>1104</v>
      </c>
      <c r="L109" s="1032">
        <v>421906.7</v>
      </c>
      <c r="M109" s="422"/>
      <c r="N109" s="352">
        <f>SUM(N110:N123)</f>
        <v>0</v>
      </c>
      <c r="O109" s="1065">
        <f t="shared" si="172"/>
        <v>421906.7</v>
      </c>
      <c r="P109" s="564">
        <v>741617.76</v>
      </c>
      <c r="Q109" s="472"/>
      <c r="R109" s="564"/>
      <c r="S109" s="472"/>
      <c r="T109" s="564"/>
      <c r="U109" s="393"/>
      <c r="V109" s="394"/>
      <c r="W109" s="394"/>
      <c r="X109" s="394"/>
      <c r="Y109" s="392"/>
      <c r="Z109" s="395">
        <f t="shared" si="245"/>
        <v>0</v>
      </c>
      <c r="AA109" s="396">
        <f t="shared" si="245"/>
        <v>0</v>
      </c>
      <c r="AB109" s="397">
        <f t="shared" si="163"/>
        <v>0</v>
      </c>
      <c r="AC109" s="395">
        <f t="shared" si="246"/>
        <v>0</v>
      </c>
      <c r="AD109" s="396">
        <f t="shared" si="246"/>
        <v>0</v>
      </c>
      <c r="AE109" s="397">
        <f t="shared" si="164"/>
        <v>0</v>
      </c>
      <c r="AF109" s="395">
        <f t="shared" si="247"/>
        <v>0</v>
      </c>
      <c r="AG109" s="396">
        <f t="shared" si="247"/>
        <v>0</v>
      </c>
      <c r="AH109" s="397">
        <f t="shared" si="165"/>
        <v>0</v>
      </c>
      <c r="AI109" s="395">
        <f t="shared" si="248"/>
        <v>447147.5</v>
      </c>
      <c r="AJ109" s="396">
        <f t="shared" si="248"/>
        <v>140900.79999999999</v>
      </c>
      <c r="AK109" s="397">
        <f t="shared" si="166"/>
        <v>306246.7</v>
      </c>
      <c r="AL109" s="398"/>
      <c r="AM109" s="472">
        <f t="shared" si="249"/>
        <v>0</v>
      </c>
      <c r="AN109" s="422">
        <f t="shared" si="249"/>
        <v>0</v>
      </c>
      <c r="AO109" s="473">
        <f t="shared" si="167"/>
        <v>0</v>
      </c>
      <c r="AP109" s="472">
        <f t="shared" si="250"/>
        <v>0</v>
      </c>
      <c r="AQ109" s="422">
        <f t="shared" si="250"/>
        <v>0</v>
      </c>
      <c r="AR109" s="473">
        <f t="shared" si="168"/>
        <v>0</v>
      </c>
      <c r="AS109" s="472">
        <f t="shared" si="174"/>
        <v>447147.5</v>
      </c>
      <c r="AT109" s="422">
        <f t="shared" si="174"/>
        <v>140900.79999999999</v>
      </c>
      <c r="AU109" s="473">
        <f t="shared" si="169"/>
        <v>306246.7</v>
      </c>
      <c r="AV109" s="1263">
        <f t="shared" si="170"/>
        <v>-25240.799999999999</v>
      </c>
      <c r="AW109" s="472">
        <f t="shared" ref="AW109:BT109" si="251">SUM(AW110:AW123)</f>
        <v>0</v>
      </c>
      <c r="AX109" s="1110">
        <f t="shared" si="251"/>
        <v>0</v>
      </c>
      <c r="AY109" s="422">
        <f t="shared" si="251"/>
        <v>0</v>
      </c>
      <c r="AZ109" s="1110">
        <f t="shared" si="251"/>
        <v>0</v>
      </c>
      <c r="BA109" s="422">
        <f t="shared" si="251"/>
        <v>0</v>
      </c>
      <c r="BB109" s="1128">
        <f t="shared" si="251"/>
        <v>0</v>
      </c>
      <c r="BC109" s="472">
        <f t="shared" si="251"/>
        <v>0</v>
      </c>
      <c r="BD109" s="422">
        <f t="shared" si="251"/>
        <v>0</v>
      </c>
      <c r="BE109" s="422">
        <f t="shared" si="251"/>
        <v>0</v>
      </c>
      <c r="BF109" s="422">
        <f t="shared" si="251"/>
        <v>0</v>
      </c>
      <c r="BG109" s="422">
        <f t="shared" si="251"/>
        <v>0</v>
      </c>
      <c r="BH109" s="423">
        <f t="shared" si="251"/>
        <v>0</v>
      </c>
      <c r="BI109" s="472">
        <f t="shared" si="251"/>
        <v>0</v>
      </c>
      <c r="BJ109" s="422">
        <f t="shared" si="251"/>
        <v>0</v>
      </c>
      <c r="BK109" s="422">
        <f t="shared" si="251"/>
        <v>0</v>
      </c>
      <c r="BL109" s="422">
        <f t="shared" si="251"/>
        <v>0</v>
      </c>
      <c r="BM109" s="422">
        <f t="shared" si="251"/>
        <v>0</v>
      </c>
      <c r="BN109" s="423">
        <f t="shared" si="251"/>
        <v>0</v>
      </c>
      <c r="BO109" s="472">
        <f t="shared" si="251"/>
        <v>319246.7</v>
      </c>
      <c r="BP109" s="422">
        <f t="shared" si="251"/>
        <v>13000</v>
      </c>
      <c r="BQ109" s="422">
        <f t="shared" si="251"/>
        <v>127900.8</v>
      </c>
      <c r="BR109" s="422">
        <f t="shared" si="251"/>
        <v>127900.8</v>
      </c>
      <c r="BS109" s="422">
        <f t="shared" si="251"/>
        <v>0</v>
      </c>
      <c r="BT109" s="473">
        <f t="shared" si="251"/>
        <v>0</v>
      </c>
    </row>
    <row r="110" spans="1:72" s="399" customFormat="1" ht="25.5" customHeight="1" outlineLevel="2">
      <c r="A110" s="287">
        <v>92</v>
      </c>
      <c r="B110" s="933"/>
      <c r="C110" s="859"/>
      <c r="D110" s="854" t="s">
        <v>876</v>
      </c>
      <c r="E110" s="860"/>
      <c r="F110" s="829" t="s">
        <v>7</v>
      </c>
      <c r="G110" s="400">
        <v>4</v>
      </c>
      <c r="H110" s="747" t="s">
        <v>70</v>
      </c>
      <c r="I110" s="747">
        <v>244</v>
      </c>
      <c r="J110" s="748">
        <v>226</v>
      </c>
      <c r="K110" s="1005" t="s">
        <v>1037</v>
      </c>
      <c r="L110" s="1031">
        <f>421906.7-SUM(L111:L123)</f>
        <v>252946</v>
      </c>
      <c r="M110" s="403"/>
      <c r="N110" s="403"/>
      <c r="O110" s="1063">
        <f t="shared" si="172"/>
        <v>252946</v>
      </c>
      <c r="P110" s="565">
        <v>0</v>
      </c>
      <c r="Q110" s="406"/>
      <c r="R110" s="565"/>
      <c r="S110" s="406"/>
      <c r="T110" s="565"/>
      <c r="U110" s="428"/>
      <c r="V110" s="405"/>
      <c r="W110" s="405"/>
      <c r="X110" s="405"/>
      <c r="Z110" s="406">
        <f t="shared" si="245"/>
        <v>0</v>
      </c>
      <c r="AA110" s="407">
        <f t="shared" si="245"/>
        <v>0</v>
      </c>
      <c r="AB110" s="408">
        <f t="shared" si="163"/>
        <v>0</v>
      </c>
      <c r="AC110" s="406">
        <f t="shared" si="246"/>
        <v>0</v>
      </c>
      <c r="AD110" s="407">
        <f t="shared" si="246"/>
        <v>0</v>
      </c>
      <c r="AE110" s="408">
        <f t="shared" si="164"/>
        <v>0</v>
      </c>
      <c r="AF110" s="406">
        <f t="shared" si="247"/>
        <v>0</v>
      </c>
      <c r="AG110" s="407">
        <f t="shared" si="247"/>
        <v>0</v>
      </c>
      <c r="AH110" s="408">
        <f t="shared" si="165"/>
        <v>0</v>
      </c>
      <c r="AI110" s="406">
        <f t="shared" si="248"/>
        <v>278186.8</v>
      </c>
      <c r="AJ110" s="407">
        <f t="shared" si="248"/>
        <v>0</v>
      </c>
      <c r="AK110" s="408">
        <f t="shared" si="166"/>
        <v>278186.8</v>
      </c>
      <c r="AL110" s="409"/>
      <c r="AM110" s="406">
        <f t="shared" si="249"/>
        <v>0</v>
      </c>
      <c r="AN110" s="410">
        <f t="shared" si="249"/>
        <v>0</v>
      </c>
      <c r="AO110" s="411">
        <f t="shared" si="167"/>
        <v>0</v>
      </c>
      <c r="AP110" s="406">
        <f t="shared" si="250"/>
        <v>0</v>
      </c>
      <c r="AQ110" s="410">
        <f t="shared" si="250"/>
        <v>0</v>
      </c>
      <c r="AR110" s="411">
        <f t="shared" si="168"/>
        <v>0</v>
      </c>
      <c r="AS110" s="412">
        <f t="shared" si="174"/>
        <v>278186.8</v>
      </c>
      <c r="AT110" s="410">
        <f t="shared" si="174"/>
        <v>0</v>
      </c>
      <c r="AU110" s="411">
        <f t="shared" si="169"/>
        <v>278186.8</v>
      </c>
      <c r="AV110" s="1262">
        <f t="shared" si="170"/>
        <v>-25240.799999999999</v>
      </c>
      <c r="AW110" s="413"/>
      <c r="AX110" s="1098"/>
      <c r="AY110" s="415"/>
      <c r="AZ110" s="1098"/>
      <c r="BA110" s="415"/>
      <c r="BB110" s="1120"/>
      <c r="BC110" s="417"/>
      <c r="BD110" s="418"/>
      <c r="BE110" s="419"/>
      <c r="BF110" s="418"/>
      <c r="BG110" s="419"/>
      <c r="BH110" s="420"/>
      <c r="BI110" s="421"/>
      <c r="BJ110" s="422"/>
      <c r="BK110" s="407"/>
      <c r="BL110" s="422"/>
      <c r="BM110" s="407"/>
      <c r="BN110" s="423"/>
      <c r="BO110" s="354">
        <v>278186.8</v>
      </c>
      <c r="BP110" s="425"/>
      <c r="BQ110" s="426"/>
      <c r="BR110" s="425"/>
      <c r="BS110" s="426"/>
      <c r="BT110" s="427"/>
    </row>
    <row r="111" spans="1:72" s="399" customFormat="1" ht="25.5" customHeight="1" outlineLevel="2">
      <c r="A111" s="287">
        <v>92</v>
      </c>
      <c r="B111" s="933"/>
      <c r="C111" s="859"/>
      <c r="D111" s="854" t="s">
        <v>876</v>
      </c>
      <c r="E111" s="860"/>
      <c r="F111" s="829" t="s">
        <v>7</v>
      </c>
      <c r="G111" s="400">
        <v>4</v>
      </c>
      <c r="H111" s="747" t="s">
        <v>70</v>
      </c>
      <c r="I111" s="747">
        <v>244</v>
      </c>
      <c r="J111" s="748">
        <v>226</v>
      </c>
      <c r="K111" s="538" t="s">
        <v>1027</v>
      </c>
      <c r="L111" s="1288">
        <v>65660</v>
      </c>
      <c r="M111" s="403"/>
      <c r="N111" s="403"/>
      <c r="O111" s="1063">
        <f t="shared" ref="O111" si="252">L111+N111</f>
        <v>65660</v>
      </c>
      <c r="P111" s="565">
        <v>0</v>
      </c>
      <c r="Q111" s="406"/>
      <c r="R111" s="565"/>
      <c r="S111" s="406"/>
      <c r="T111" s="565"/>
      <c r="U111" s="428"/>
      <c r="V111" s="405"/>
      <c r="W111" s="405"/>
      <c r="X111" s="405"/>
      <c r="Z111" s="406">
        <f t="shared" ref="Z111" si="253">AW111+AY111+BA111</f>
        <v>0</v>
      </c>
      <c r="AA111" s="407">
        <f t="shared" ref="AA111" si="254">AX111+AZ111+BB111</f>
        <v>0</v>
      </c>
      <c r="AB111" s="408">
        <f t="shared" ref="AB111" si="255">Z111-AA111</f>
        <v>0</v>
      </c>
      <c r="AC111" s="406">
        <f t="shared" ref="AC111" si="256">BC111+BE111+BG111</f>
        <v>0</v>
      </c>
      <c r="AD111" s="407">
        <f t="shared" ref="AD111" si="257">BD111+BF111+BH111</f>
        <v>0</v>
      </c>
      <c r="AE111" s="408">
        <f t="shared" ref="AE111" si="258">AC111-AD111</f>
        <v>0</v>
      </c>
      <c r="AF111" s="406">
        <f t="shared" ref="AF111" si="259">BI111+BK111+BM111</f>
        <v>0</v>
      </c>
      <c r="AG111" s="407">
        <f t="shared" ref="AG111" si="260">BJ111+BL111+BN111</f>
        <v>0</v>
      </c>
      <c r="AH111" s="408">
        <f t="shared" ref="AH111" si="261">AF111-AG111</f>
        <v>0</v>
      </c>
      <c r="AI111" s="406">
        <f t="shared" ref="AI111" si="262">BO111+BQ111+BS111</f>
        <v>65660</v>
      </c>
      <c r="AJ111" s="407">
        <f t="shared" ref="AJ111" si="263">BP111+BR111+BT111</f>
        <v>65660</v>
      </c>
      <c r="AK111" s="408">
        <f t="shared" ref="AK111" si="264">AI111-AJ111</f>
        <v>0</v>
      </c>
      <c r="AL111" s="409"/>
      <c r="AM111" s="406">
        <f t="shared" ref="AM111" si="265">Z111+AC111</f>
        <v>0</v>
      </c>
      <c r="AN111" s="410">
        <f t="shared" ref="AN111" si="266">AA111+AD111</f>
        <v>0</v>
      </c>
      <c r="AO111" s="411">
        <f t="shared" ref="AO111" si="267">AM111-AN111</f>
        <v>0</v>
      </c>
      <c r="AP111" s="406">
        <f t="shared" ref="AP111" si="268">Z111+AC111+AF111</f>
        <v>0</v>
      </c>
      <c r="AQ111" s="410">
        <f t="shared" ref="AQ111" si="269">AA111+AD111+AG111</f>
        <v>0</v>
      </c>
      <c r="AR111" s="411">
        <f t="shared" ref="AR111" si="270">AP111-AQ111</f>
        <v>0</v>
      </c>
      <c r="AS111" s="412">
        <f t="shared" ref="AS111" si="271">Z111+AC111+AF111+AI111</f>
        <v>65660</v>
      </c>
      <c r="AT111" s="410">
        <f t="shared" ref="AT111" si="272">AA111+AD111+AG111+AJ111</f>
        <v>65660</v>
      </c>
      <c r="AU111" s="411">
        <f t="shared" ref="AU111" si="273">AS111-AT111</f>
        <v>0</v>
      </c>
      <c r="AV111" s="1262">
        <f t="shared" ref="AV111" si="274">L111-AS111</f>
        <v>0</v>
      </c>
      <c r="AW111" s="413"/>
      <c r="AX111" s="1098"/>
      <c r="AY111" s="415"/>
      <c r="AZ111" s="1098"/>
      <c r="BA111" s="415"/>
      <c r="BB111" s="1120"/>
      <c r="BC111" s="417"/>
      <c r="BD111" s="418"/>
      <c r="BE111" s="419"/>
      <c r="BF111" s="418"/>
      <c r="BG111" s="419"/>
      <c r="BH111" s="420"/>
      <c r="BI111" s="421"/>
      <c r="BJ111" s="422"/>
      <c r="BK111" s="407"/>
      <c r="BL111" s="422"/>
      <c r="BM111" s="407"/>
      <c r="BN111" s="353"/>
      <c r="BO111" s="354"/>
      <c r="BP111" s="425"/>
      <c r="BQ111" s="426">
        <v>65660</v>
      </c>
      <c r="BR111" s="355">
        <v>65660</v>
      </c>
      <c r="BS111" s="426"/>
      <c r="BT111" s="427"/>
    </row>
    <row r="112" spans="1:72" s="399" customFormat="1" ht="25.5" customHeight="1" outlineLevel="2">
      <c r="A112" s="287">
        <v>92</v>
      </c>
      <c r="B112" s="933"/>
      <c r="C112" s="859"/>
      <c r="D112" s="854" t="s">
        <v>876</v>
      </c>
      <c r="E112" s="860"/>
      <c r="F112" s="829" t="s">
        <v>7</v>
      </c>
      <c r="G112" s="400">
        <v>4</v>
      </c>
      <c r="H112" s="747" t="s">
        <v>70</v>
      </c>
      <c r="I112" s="747">
        <v>244</v>
      </c>
      <c r="J112" s="748">
        <v>226</v>
      </c>
      <c r="K112" s="538" t="s">
        <v>1028</v>
      </c>
      <c r="L112" s="1288">
        <v>20000</v>
      </c>
      <c r="M112" s="403"/>
      <c r="N112" s="403"/>
      <c r="O112" s="1063">
        <f t="shared" ref="O112" si="275">L112+N112</f>
        <v>20000</v>
      </c>
      <c r="P112" s="565">
        <v>0</v>
      </c>
      <c r="Q112" s="406"/>
      <c r="R112" s="565"/>
      <c r="S112" s="406"/>
      <c r="T112" s="565"/>
      <c r="U112" s="428"/>
      <c r="V112" s="405"/>
      <c r="W112" s="405"/>
      <c r="X112" s="405"/>
      <c r="Z112" s="406">
        <f t="shared" ref="Z112" si="276">AW112+AY112+BA112</f>
        <v>0</v>
      </c>
      <c r="AA112" s="407">
        <f t="shared" ref="AA112" si="277">AX112+AZ112+BB112</f>
        <v>0</v>
      </c>
      <c r="AB112" s="408">
        <f t="shared" ref="AB112" si="278">Z112-AA112</f>
        <v>0</v>
      </c>
      <c r="AC112" s="406">
        <f t="shared" ref="AC112" si="279">BC112+BE112+BG112</f>
        <v>0</v>
      </c>
      <c r="AD112" s="407">
        <f t="shared" ref="AD112" si="280">BD112+BF112+BH112</f>
        <v>0</v>
      </c>
      <c r="AE112" s="408">
        <f t="shared" ref="AE112" si="281">AC112-AD112</f>
        <v>0</v>
      </c>
      <c r="AF112" s="406">
        <f t="shared" ref="AF112" si="282">BI112+BK112+BM112</f>
        <v>0</v>
      </c>
      <c r="AG112" s="407">
        <f t="shared" ref="AG112" si="283">BJ112+BL112+BN112</f>
        <v>0</v>
      </c>
      <c r="AH112" s="408">
        <f t="shared" ref="AH112" si="284">AF112-AG112</f>
        <v>0</v>
      </c>
      <c r="AI112" s="406">
        <f t="shared" ref="AI112" si="285">BO112+BQ112+BS112</f>
        <v>20000</v>
      </c>
      <c r="AJ112" s="407">
        <f t="shared" ref="AJ112" si="286">BP112+BR112+BT112</f>
        <v>20000</v>
      </c>
      <c r="AK112" s="408">
        <f t="shared" ref="AK112" si="287">AI112-AJ112</f>
        <v>0</v>
      </c>
      <c r="AL112" s="409"/>
      <c r="AM112" s="406">
        <f t="shared" ref="AM112" si="288">Z112+AC112</f>
        <v>0</v>
      </c>
      <c r="AN112" s="410">
        <f t="shared" ref="AN112" si="289">AA112+AD112</f>
        <v>0</v>
      </c>
      <c r="AO112" s="411">
        <f t="shared" ref="AO112" si="290">AM112-AN112</f>
        <v>0</v>
      </c>
      <c r="AP112" s="406">
        <f t="shared" ref="AP112" si="291">Z112+AC112+AF112</f>
        <v>0</v>
      </c>
      <c r="AQ112" s="410">
        <f t="shared" ref="AQ112" si="292">AA112+AD112+AG112</f>
        <v>0</v>
      </c>
      <c r="AR112" s="411">
        <f t="shared" ref="AR112" si="293">AP112-AQ112</f>
        <v>0</v>
      </c>
      <c r="AS112" s="412">
        <f t="shared" ref="AS112" si="294">Z112+AC112+AF112+AI112</f>
        <v>20000</v>
      </c>
      <c r="AT112" s="410">
        <f t="shared" ref="AT112" si="295">AA112+AD112+AG112+AJ112</f>
        <v>20000</v>
      </c>
      <c r="AU112" s="411">
        <f t="shared" ref="AU112" si="296">AS112-AT112</f>
        <v>0</v>
      </c>
      <c r="AV112" s="1262">
        <f t="shared" ref="AV112" si="297">L112-AS112</f>
        <v>0</v>
      </c>
      <c r="AW112" s="413"/>
      <c r="AX112" s="1098"/>
      <c r="AY112" s="415"/>
      <c r="AZ112" s="1098"/>
      <c r="BA112" s="415"/>
      <c r="BB112" s="1120"/>
      <c r="BC112" s="417"/>
      <c r="BD112" s="418"/>
      <c r="BE112" s="419"/>
      <c r="BF112" s="418"/>
      <c r="BG112" s="419"/>
      <c r="BH112" s="420"/>
      <c r="BI112" s="421"/>
      <c r="BJ112" s="422"/>
      <c r="BK112" s="407"/>
      <c r="BL112" s="422"/>
      <c r="BM112" s="407"/>
      <c r="BN112" s="353"/>
      <c r="BO112" s="354"/>
      <c r="BP112" s="425"/>
      <c r="BQ112" s="426">
        <v>20000</v>
      </c>
      <c r="BR112" s="355">
        <v>20000</v>
      </c>
      <c r="BS112" s="426"/>
      <c r="BT112" s="427"/>
    </row>
    <row r="113" spans="1:72" s="399" customFormat="1" ht="25.5" customHeight="1" outlineLevel="2">
      <c r="A113" s="287">
        <v>92</v>
      </c>
      <c r="B113" s="933"/>
      <c r="C113" s="859"/>
      <c r="D113" s="854" t="s">
        <v>876</v>
      </c>
      <c r="E113" s="860"/>
      <c r="F113" s="829" t="s">
        <v>7</v>
      </c>
      <c r="G113" s="400">
        <v>4</v>
      </c>
      <c r="H113" s="747" t="s">
        <v>70</v>
      </c>
      <c r="I113" s="747">
        <v>244</v>
      </c>
      <c r="J113" s="748">
        <v>226</v>
      </c>
      <c r="K113" s="538" t="s">
        <v>1029</v>
      </c>
      <c r="L113" s="1288">
        <v>25000</v>
      </c>
      <c r="M113" s="403"/>
      <c r="N113" s="403"/>
      <c r="O113" s="1063">
        <f t="shared" si="172"/>
        <v>25000</v>
      </c>
      <c r="P113" s="565">
        <v>0</v>
      </c>
      <c r="Q113" s="406"/>
      <c r="R113" s="565"/>
      <c r="S113" s="406"/>
      <c r="T113" s="565"/>
      <c r="U113" s="428"/>
      <c r="V113" s="405"/>
      <c r="W113" s="405"/>
      <c r="X113" s="405"/>
      <c r="Z113" s="406">
        <f t="shared" si="245"/>
        <v>0</v>
      </c>
      <c r="AA113" s="407">
        <f t="shared" si="245"/>
        <v>0</v>
      </c>
      <c r="AB113" s="408">
        <f t="shared" si="163"/>
        <v>0</v>
      </c>
      <c r="AC113" s="406">
        <f t="shared" si="246"/>
        <v>0</v>
      </c>
      <c r="AD113" s="407">
        <f t="shared" si="246"/>
        <v>0</v>
      </c>
      <c r="AE113" s="408">
        <f t="shared" si="164"/>
        <v>0</v>
      </c>
      <c r="AF113" s="406">
        <f t="shared" si="247"/>
        <v>0</v>
      </c>
      <c r="AG113" s="407">
        <f t="shared" si="247"/>
        <v>0</v>
      </c>
      <c r="AH113" s="408">
        <f t="shared" si="165"/>
        <v>0</v>
      </c>
      <c r="AI113" s="406">
        <f t="shared" si="248"/>
        <v>25000</v>
      </c>
      <c r="AJ113" s="407">
        <f t="shared" si="248"/>
        <v>25000</v>
      </c>
      <c r="AK113" s="408">
        <f t="shared" si="166"/>
        <v>0</v>
      </c>
      <c r="AL113" s="409"/>
      <c r="AM113" s="406">
        <f t="shared" si="249"/>
        <v>0</v>
      </c>
      <c r="AN113" s="410">
        <f t="shared" si="249"/>
        <v>0</v>
      </c>
      <c r="AO113" s="411">
        <f t="shared" si="167"/>
        <v>0</v>
      </c>
      <c r="AP113" s="406">
        <f t="shared" si="250"/>
        <v>0</v>
      </c>
      <c r="AQ113" s="410">
        <f t="shared" si="250"/>
        <v>0</v>
      </c>
      <c r="AR113" s="411">
        <f t="shared" si="168"/>
        <v>0</v>
      </c>
      <c r="AS113" s="412">
        <f t="shared" si="174"/>
        <v>25000</v>
      </c>
      <c r="AT113" s="410">
        <f t="shared" si="174"/>
        <v>25000</v>
      </c>
      <c r="AU113" s="411">
        <f t="shared" si="169"/>
        <v>0</v>
      </c>
      <c r="AV113" s="1262">
        <f t="shared" si="170"/>
        <v>0</v>
      </c>
      <c r="AW113" s="413"/>
      <c r="AX113" s="1098"/>
      <c r="AY113" s="415"/>
      <c r="AZ113" s="1098"/>
      <c r="BA113" s="415"/>
      <c r="BB113" s="1120"/>
      <c r="BC113" s="417"/>
      <c r="BD113" s="418"/>
      <c r="BE113" s="419"/>
      <c r="BF113" s="418"/>
      <c r="BG113" s="419"/>
      <c r="BH113" s="420"/>
      <c r="BI113" s="421"/>
      <c r="BJ113" s="422"/>
      <c r="BK113" s="407"/>
      <c r="BL113" s="422"/>
      <c r="BM113" s="407"/>
      <c r="BN113" s="353"/>
      <c r="BO113" s="354"/>
      <c r="BP113" s="425"/>
      <c r="BQ113" s="426">
        <v>25000</v>
      </c>
      <c r="BR113" s="355">
        <v>25000</v>
      </c>
      <c r="BS113" s="426"/>
      <c r="BT113" s="427"/>
    </row>
    <row r="114" spans="1:72" s="399" customFormat="1" ht="51" outlineLevel="2">
      <c r="A114" s="287">
        <v>92</v>
      </c>
      <c r="B114" s="933"/>
      <c r="C114" s="859"/>
      <c r="D114" s="854" t="s">
        <v>876</v>
      </c>
      <c r="E114" s="860"/>
      <c r="F114" s="829" t="s">
        <v>7</v>
      </c>
      <c r="G114" s="400">
        <v>4</v>
      </c>
      <c r="H114" s="747" t="s">
        <v>70</v>
      </c>
      <c r="I114" s="747">
        <v>244</v>
      </c>
      <c r="J114" s="748">
        <v>226</v>
      </c>
      <c r="K114" s="538" t="s">
        <v>1093</v>
      </c>
      <c r="L114" s="1288">
        <v>17240.8</v>
      </c>
      <c r="M114" s="403"/>
      <c r="N114" s="403"/>
      <c r="O114" s="1063">
        <f t="shared" si="172"/>
        <v>17240.8</v>
      </c>
      <c r="P114" s="565">
        <v>0</v>
      </c>
      <c r="Q114" s="406"/>
      <c r="R114" s="565"/>
      <c r="S114" s="406"/>
      <c r="T114" s="565"/>
      <c r="U114" s="428"/>
      <c r="V114" s="597" t="s">
        <v>1094</v>
      </c>
      <c r="W114" s="405"/>
      <c r="X114" s="405"/>
      <c r="Z114" s="406">
        <f t="shared" si="245"/>
        <v>0</v>
      </c>
      <c r="AA114" s="407">
        <f t="shared" si="245"/>
        <v>0</v>
      </c>
      <c r="AB114" s="408">
        <f t="shared" si="163"/>
        <v>0</v>
      </c>
      <c r="AC114" s="406">
        <f t="shared" si="246"/>
        <v>0</v>
      </c>
      <c r="AD114" s="407">
        <f t="shared" si="246"/>
        <v>0</v>
      </c>
      <c r="AE114" s="408">
        <f t="shared" si="164"/>
        <v>0</v>
      </c>
      <c r="AF114" s="406">
        <f t="shared" si="247"/>
        <v>0</v>
      </c>
      <c r="AG114" s="407">
        <f t="shared" si="247"/>
        <v>0</v>
      </c>
      <c r="AH114" s="408">
        <f t="shared" si="165"/>
        <v>0</v>
      </c>
      <c r="AI114" s="406">
        <f t="shared" si="248"/>
        <v>17240.8</v>
      </c>
      <c r="AJ114" s="407">
        <f t="shared" si="248"/>
        <v>17240.8</v>
      </c>
      <c r="AK114" s="408">
        <f t="shared" si="166"/>
        <v>0</v>
      </c>
      <c r="AL114" s="409"/>
      <c r="AM114" s="406">
        <f t="shared" si="249"/>
        <v>0</v>
      </c>
      <c r="AN114" s="410">
        <f t="shared" si="249"/>
        <v>0</v>
      </c>
      <c r="AO114" s="411">
        <f t="shared" si="167"/>
        <v>0</v>
      </c>
      <c r="AP114" s="406">
        <f t="shared" si="250"/>
        <v>0</v>
      </c>
      <c r="AQ114" s="410">
        <f t="shared" si="250"/>
        <v>0</v>
      </c>
      <c r="AR114" s="411">
        <f t="shared" si="168"/>
        <v>0</v>
      </c>
      <c r="AS114" s="412">
        <f t="shared" si="174"/>
        <v>17240.8</v>
      </c>
      <c r="AT114" s="410">
        <f t="shared" si="174"/>
        <v>17240.8</v>
      </c>
      <c r="AU114" s="411">
        <f t="shared" si="169"/>
        <v>0</v>
      </c>
      <c r="AV114" s="1262">
        <f t="shared" si="170"/>
        <v>0</v>
      </c>
      <c r="AW114" s="413"/>
      <c r="AX114" s="1098"/>
      <c r="AY114" s="415"/>
      <c r="AZ114" s="1098"/>
      <c r="BA114" s="415"/>
      <c r="BB114" s="1120"/>
      <c r="BC114" s="417"/>
      <c r="BD114" s="418"/>
      <c r="BE114" s="419"/>
      <c r="BF114" s="418"/>
      <c r="BG114" s="419"/>
      <c r="BH114" s="420"/>
      <c r="BI114" s="421"/>
      <c r="BJ114" s="422"/>
      <c r="BK114" s="407"/>
      <c r="BL114" s="422"/>
      <c r="BM114" s="407"/>
      <c r="BN114" s="423"/>
      <c r="BO114" s="1138"/>
      <c r="BP114" s="355"/>
      <c r="BQ114" s="426">
        <v>17240.8</v>
      </c>
      <c r="BR114" s="355">
        <v>17240.8</v>
      </c>
      <c r="BS114" s="426"/>
      <c r="BT114" s="427"/>
    </row>
    <row r="115" spans="1:72" s="399" customFormat="1" ht="25.5" outlineLevel="2">
      <c r="A115" s="287">
        <v>92</v>
      </c>
      <c r="B115" s="933"/>
      <c r="C115" s="859"/>
      <c r="D115" s="854" t="s">
        <v>876</v>
      </c>
      <c r="E115" s="860"/>
      <c r="F115" s="829" t="s">
        <v>7</v>
      </c>
      <c r="G115" s="400">
        <v>4</v>
      </c>
      <c r="H115" s="747" t="s">
        <v>70</v>
      </c>
      <c r="I115" s="747">
        <v>244</v>
      </c>
      <c r="J115" s="748">
        <v>226</v>
      </c>
      <c r="K115" s="538" t="s">
        <v>1035</v>
      </c>
      <c r="L115" s="1031">
        <v>0</v>
      </c>
      <c r="M115" s="403"/>
      <c r="N115" s="403"/>
      <c r="O115" s="1063">
        <f t="shared" ref="O115" si="298">L115+N115</f>
        <v>0</v>
      </c>
      <c r="P115" s="565">
        <v>0</v>
      </c>
      <c r="Q115" s="406"/>
      <c r="R115" s="565"/>
      <c r="S115" s="406"/>
      <c r="T115" s="565"/>
      <c r="U115" s="428"/>
      <c r="V115" s="405"/>
      <c r="W115" s="405"/>
      <c r="X115" s="405"/>
      <c r="Z115" s="406">
        <f t="shared" ref="Z115" si="299">AW115+AY115+BA115</f>
        <v>0</v>
      </c>
      <c r="AA115" s="407">
        <f t="shared" ref="AA115" si="300">AX115+AZ115+BB115</f>
        <v>0</v>
      </c>
      <c r="AB115" s="408">
        <f t="shared" ref="AB115" si="301">Z115-AA115</f>
        <v>0</v>
      </c>
      <c r="AC115" s="406">
        <f t="shared" ref="AC115" si="302">BC115+BE115+BG115</f>
        <v>0</v>
      </c>
      <c r="AD115" s="407">
        <f t="shared" ref="AD115" si="303">BD115+BF115+BH115</f>
        <v>0</v>
      </c>
      <c r="AE115" s="408">
        <f t="shared" ref="AE115" si="304">AC115-AD115</f>
        <v>0</v>
      </c>
      <c r="AF115" s="406">
        <f t="shared" ref="AF115" si="305">BI115+BK115+BM115</f>
        <v>0</v>
      </c>
      <c r="AG115" s="407">
        <f t="shared" ref="AG115" si="306">BJ115+BL115+BN115</f>
        <v>0</v>
      </c>
      <c r="AH115" s="408">
        <f t="shared" ref="AH115" si="307">AF115-AG115</f>
        <v>0</v>
      </c>
      <c r="AI115" s="406">
        <f t="shared" ref="AI115" si="308">BO115+BQ115+BS115</f>
        <v>0</v>
      </c>
      <c r="AJ115" s="407">
        <f t="shared" ref="AJ115" si="309">BP115+BR115+BT115</f>
        <v>0</v>
      </c>
      <c r="AK115" s="408">
        <f t="shared" ref="AK115" si="310">AI115-AJ115</f>
        <v>0</v>
      </c>
      <c r="AL115" s="409"/>
      <c r="AM115" s="406">
        <f t="shared" ref="AM115" si="311">Z115+AC115</f>
        <v>0</v>
      </c>
      <c r="AN115" s="410">
        <f t="shared" ref="AN115" si="312">AA115+AD115</f>
        <v>0</v>
      </c>
      <c r="AO115" s="411">
        <f t="shared" ref="AO115" si="313">AM115-AN115</f>
        <v>0</v>
      </c>
      <c r="AP115" s="406">
        <f t="shared" ref="AP115" si="314">Z115+AC115+AF115</f>
        <v>0</v>
      </c>
      <c r="AQ115" s="410">
        <f t="shared" ref="AQ115" si="315">AA115+AD115+AG115</f>
        <v>0</v>
      </c>
      <c r="AR115" s="411">
        <f t="shared" ref="AR115" si="316">AP115-AQ115</f>
        <v>0</v>
      </c>
      <c r="AS115" s="412">
        <f t="shared" ref="AS115" si="317">Z115+AC115+AF115+AI115</f>
        <v>0</v>
      </c>
      <c r="AT115" s="410">
        <f t="shared" ref="AT115" si="318">AA115+AD115+AG115+AJ115</f>
        <v>0</v>
      </c>
      <c r="AU115" s="411">
        <f t="shared" ref="AU115" si="319">AS115-AT115</f>
        <v>0</v>
      </c>
      <c r="AV115" s="1262">
        <f t="shared" ref="AV115" si="320">L115-AS115</f>
        <v>0</v>
      </c>
      <c r="AW115" s="413"/>
      <c r="AX115" s="1098"/>
      <c r="AY115" s="415"/>
      <c r="AZ115" s="1098"/>
      <c r="BA115" s="415"/>
      <c r="BB115" s="1120"/>
      <c r="BC115" s="417"/>
      <c r="BD115" s="418"/>
      <c r="BE115" s="419"/>
      <c r="BF115" s="418"/>
      <c r="BG115" s="419"/>
      <c r="BH115" s="420"/>
      <c r="BI115" s="421"/>
      <c r="BJ115" s="422"/>
      <c r="BK115" s="407"/>
      <c r="BL115" s="422"/>
      <c r="BM115" s="407"/>
      <c r="BN115" s="423"/>
      <c r="BO115" s="354"/>
      <c r="BP115" s="425"/>
      <c r="BQ115" s="426"/>
      <c r="BR115" s="425"/>
      <c r="BS115" s="426"/>
      <c r="BT115" s="427"/>
    </row>
    <row r="116" spans="1:72" s="399" customFormat="1" ht="25.5" customHeight="1" outlineLevel="2">
      <c r="A116" s="287">
        <v>93</v>
      </c>
      <c r="B116" s="933"/>
      <c r="C116" s="859"/>
      <c r="D116" s="854" t="s">
        <v>876</v>
      </c>
      <c r="E116" s="860"/>
      <c r="F116" s="829" t="s">
        <v>7</v>
      </c>
      <c r="G116" s="400">
        <v>4</v>
      </c>
      <c r="H116" s="747" t="s">
        <v>70</v>
      </c>
      <c r="I116" s="747">
        <v>244</v>
      </c>
      <c r="J116" s="748">
        <v>226</v>
      </c>
      <c r="K116" s="538" t="s">
        <v>293</v>
      </c>
      <c r="L116" s="1031">
        <v>0</v>
      </c>
      <c r="M116" s="403"/>
      <c r="N116" s="403"/>
      <c r="O116" s="1063">
        <f t="shared" si="172"/>
        <v>0</v>
      </c>
      <c r="P116" s="565">
        <v>165393.4</v>
      </c>
      <c r="Q116" s="406"/>
      <c r="R116" s="565"/>
      <c r="S116" s="406"/>
      <c r="T116" s="565"/>
      <c r="U116" s="428"/>
      <c r="V116" s="405"/>
      <c r="W116" s="405"/>
      <c r="X116" s="405"/>
      <c r="Z116" s="406">
        <f t="shared" si="245"/>
        <v>0</v>
      </c>
      <c r="AA116" s="407">
        <f t="shared" si="245"/>
        <v>0</v>
      </c>
      <c r="AB116" s="408">
        <f t="shared" si="163"/>
        <v>0</v>
      </c>
      <c r="AC116" s="406">
        <f t="shared" si="246"/>
        <v>0</v>
      </c>
      <c r="AD116" s="407">
        <f t="shared" si="246"/>
        <v>0</v>
      </c>
      <c r="AE116" s="408">
        <f t="shared" si="164"/>
        <v>0</v>
      </c>
      <c r="AF116" s="406">
        <f t="shared" si="247"/>
        <v>0</v>
      </c>
      <c r="AG116" s="407">
        <f t="shared" si="247"/>
        <v>0</v>
      </c>
      <c r="AH116" s="408">
        <f t="shared" si="165"/>
        <v>0</v>
      </c>
      <c r="AI116" s="406">
        <f t="shared" si="248"/>
        <v>0</v>
      </c>
      <c r="AJ116" s="407">
        <f t="shared" si="248"/>
        <v>0</v>
      </c>
      <c r="AK116" s="408">
        <f t="shared" si="166"/>
        <v>0</v>
      </c>
      <c r="AL116" s="409"/>
      <c r="AM116" s="406">
        <f t="shared" si="249"/>
        <v>0</v>
      </c>
      <c r="AN116" s="410">
        <f t="shared" si="249"/>
        <v>0</v>
      </c>
      <c r="AO116" s="411">
        <f t="shared" si="167"/>
        <v>0</v>
      </c>
      <c r="AP116" s="406">
        <f t="shared" si="250"/>
        <v>0</v>
      </c>
      <c r="AQ116" s="410">
        <f t="shared" si="250"/>
        <v>0</v>
      </c>
      <c r="AR116" s="411">
        <f t="shared" si="168"/>
        <v>0</v>
      </c>
      <c r="AS116" s="412">
        <f t="shared" si="174"/>
        <v>0</v>
      </c>
      <c r="AT116" s="410">
        <f t="shared" si="174"/>
        <v>0</v>
      </c>
      <c r="AU116" s="411">
        <f t="shared" si="169"/>
        <v>0</v>
      </c>
      <c r="AV116" s="1262">
        <f t="shared" si="170"/>
        <v>0</v>
      </c>
      <c r="AW116" s="413"/>
      <c r="AX116" s="1098"/>
      <c r="AY116" s="415"/>
      <c r="AZ116" s="1098"/>
      <c r="BA116" s="415"/>
      <c r="BB116" s="1120"/>
      <c r="BC116" s="417"/>
      <c r="BD116" s="418"/>
      <c r="BE116" s="419"/>
      <c r="BF116" s="418"/>
      <c r="BG116" s="419"/>
      <c r="BH116" s="420"/>
      <c r="BI116" s="421"/>
      <c r="BJ116" s="422"/>
      <c r="BK116" s="407"/>
      <c r="BL116" s="422"/>
      <c r="BM116" s="407"/>
      <c r="BN116" s="423"/>
      <c r="BO116" s="354"/>
      <c r="BP116" s="425"/>
      <c r="BQ116" s="426"/>
      <c r="BR116" s="425"/>
      <c r="BS116" s="426"/>
      <c r="BT116" s="427"/>
    </row>
    <row r="117" spans="1:72" s="399" customFormat="1" ht="25.5" customHeight="1" outlineLevel="2">
      <c r="A117" s="287">
        <v>94</v>
      </c>
      <c r="B117" s="933"/>
      <c r="C117" s="859"/>
      <c r="D117" s="854" t="s">
        <v>876</v>
      </c>
      <c r="E117" s="860"/>
      <c r="F117" s="829" t="s">
        <v>7</v>
      </c>
      <c r="G117" s="400">
        <v>4</v>
      </c>
      <c r="H117" s="747" t="s">
        <v>70</v>
      </c>
      <c r="I117" s="747">
        <v>244</v>
      </c>
      <c r="J117" s="748">
        <v>226</v>
      </c>
      <c r="K117" s="538" t="s">
        <v>1008</v>
      </c>
      <c r="L117" s="1031">
        <v>0</v>
      </c>
      <c r="M117" s="403"/>
      <c r="N117" s="403"/>
      <c r="O117" s="1063">
        <f t="shared" si="172"/>
        <v>0</v>
      </c>
      <c r="P117" s="565">
        <v>246736.08</v>
      </c>
      <c r="Q117" s="406"/>
      <c r="R117" s="565"/>
      <c r="S117" s="406"/>
      <c r="T117" s="565"/>
      <c r="U117" s="428"/>
      <c r="V117" s="405"/>
      <c r="W117" s="405"/>
      <c r="X117" s="405"/>
      <c r="Z117" s="406">
        <f t="shared" si="245"/>
        <v>0</v>
      </c>
      <c r="AA117" s="407">
        <f t="shared" si="245"/>
        <v>0</v>
      </c>
      <c r="AB117" s="408">
        <f t="shared" si="163"/>
        <v>0</v>
      </c>
      <c r="AC117" s="406">
        <f t="shared" si="246"/>
        <v>0</v>
      </c>
      <c r="AD117" s="407">
        <f t="shared" si="246"/>
        <v>0</v>
      </c>
      <c r="AE117" s="408">
        <f t="shared" si="164"/>
        <v>0</v>
      </c>
      <c r="AF117" s="406">
        <f t="shared" si="247"/>
        <v>0</v>
      </c>
      <c r="AG117" s="407">
        <f t="shared" si="247"/>
        <v>0</v>
      </c>
      <c r="AH117" s="408">
        <f t="shared" si="165"/>
        <v>0</v>
      </c>
      <c r="AI117" s="406">
        <f t="shared" si="248"/>
        <v>0</v>
      </c>
      <c r="AJ117" s="407">
        <f t="shared" si="248"/>
        <v>0</v>
      </c>
      <c r="AK117" s="408">
        <f t="shared" si="166"/>
        <v>0</v>
      </c>
      <c r="AL117" s="409"/>
      <c r="AM117" s="406">
        <f t="shared" si="249"/>
        <v>0</v>
      </c>
      <c r="AN117" s="410">
        <f t="shared" si="249"/>
        <v>0</v>
      </c>
      <c r="AO117" s="411">
        <f t="shared" si="167"/>
        <v>0</v>
      </c>
      <c r="AP117" s="406">
        <f t="shared" si="250"/>
        <v>0</v>
      </c>
      <c r="AQ117" s="410">
        <f t="shared" si="250"/>
        <v>0</v>
      </c>
      <c r="AR117" s="411">
        <f t="shared" si="168"/>
        <v>0</v>
      </c>
      <c r="AS117" s="412">
        <f t="shared" si="174"/>
        <v>0</v>
      </c>
      <c r="AT117" s="410">
        <f t="shared" si="174"/>
        <v>0</v>
      </c>
      <c r="AU117" s="411">
        <f t="shared" si="169"/>
        <v>0</v>
      </c>
      <c r="AV117" s="1262">
        <f t="shared" si="170"/>
        <v>0</v>
      </c>
      <c r="AW117" s="413"/>
      <c r="AX117" s="1098"/>
      <c r="AY117" s="415"/>
      <c r="AZ117" s="1098"/>
      <c r="BA117" s="415"/>
      <c r="BB117" s="1120"/>
      <c r="BC117" s="417"/>
      <c r="BD117" s="418"/>
      <c r="BE117" s="419"/>
      <c r="BF117" s="418"/>
      <c r="BG117" s="419"/>
      <c r="BH117" s="420"/>
      <c r="BI117" s="421"/>
      <c r="BJ117" s="422"/>
      <c r="BK117" s="407"/>
      <c r="BL117" s="422"/>
      <c r="BM117" s="407"/>
      <c r="BN117" s="423"/>
      <c r="BO117" s="354"/>
      <c r="BP117" s="425"/>
      <c r="BQ117" s="426"/>
      <c r="BR117" s="425"/>
      <c r="BS117" s="426"/>
      <c r="BT117" s="427"/>
    </row>
    <row r="118" spans="1:72" s="399" customFormat="1" ht="25.5" customHeight="1" outlineLevel="2">
      <c r="A118" s="287">
        <v>95</v>
      </c>
      <c r="B118" s="933"/>
      <c r="C118" s="859"/>
      <c r="D118" s="854" t="s">
        <v>876</v>
      </c>
      <c r="E118" s="860"/>
      <c r="F118" s="829" t="s">
        <v>7</v>
      </c>
      <c r="G118" s="400">
        <v>4</v>
      </c>
      <c r="H118" s="747" t="s">
        <v>70</v>
      </c>
      <c r="I118" s="747">
        <v>244</v>
      </c>
      <c r="J118" s="748">
        <v>226</v>
      </c>
      <c r="K118" s="538" t="s">
        <v>295</v>
      </c>
      <c r="L118" s="1031">
        <v>0</v>
      </c>
      <c r="M118" s="403"/>
      <c r="N118" s="403"/>
      <c r="O118" s="1063">
        <f t="shared" si="172"/>
        <v>0</v>
      </c>
      <c r="P118" s="565">
        <v>299886.7</v>
      </c>
      <c r="Q118" s="406"/>
      <c r="R118" s="565"/>
      <c r="S118" s="406"/>
      <c r="T118" s="565"/>
      <c r="U118" s="428"/>
      <c r="V118" s="405"/>
      <c r="W118" s="405"/>
      <c r="X118" s="405"/>
      <c r="Z118" s="406">
        <f t="shared" si="245"/>
        <v>0</v>
      </c>
      <c r="AA118" s="407">
        <f t="shared" si="245"/>
        <v>0</v>
      </c>
      <c r="AB118" s="408">
        <f t="shared" si="163"/>
        <v>0</v>
      </c>
      <c r="AC118" s="406">
        <f t="shared" si="246"/>
        <v>0</v>
      </c>
      <c r="AD118" s="407">
        <f t="shared" si="246"/>
        <v>0</v>
      </c>
      <c r="AE118" s="408">
        <f t="shared" si="164"/>
        <v>0</v>
      </c>
      <c r="AF118" s="406">
        <f t="shared" si="247"/>
        <v>0</v>
      </c>
      <c r="AG118" s="407">
        <f t="shared" si="247"/>
        <v>0</v>
      </c>
      <c r="AH118" s="408">
        <f t="shared" si="165"/>
        <v>0</v>
      </c>
      <c r="AI118" s="406">
        <f t="shared" si="248"/>
        <v>0</v>
      </c>
      <c r="AJ118" s="407">
        <f t="shared" si="248"/>
        <v>0</v>
      </c>
      <c r="AK118" s="408">
        <f t="shared" si="166"/>
        <v>0</v>
      </c>
      <c r="AL118" s="409"/>
      <c r="AM118" s="406">
        <f t="shared" si="249"/>
        <v>0</v>
      </c>
      <c r="AN118" s="410">
        <f t="shared" si="249"/>
        <v>0</v>
      </c>
      <c r="AO118" s="411">
        <f t="shared" si="167"/>
        <v>0</v>
      </c>
      <c r="AP118" s="406">
        <f t="shared" si="250"/>
        <v>0</v>
      </c>
      <c r="AQ118" s="410">
        <f t="shared" si="250"/>
        <v>0</v>
      </c>
      <c r="AR118" s="411">
        <f t="shared" si="168"/>
        <v>0</v>
      </c>
      <c r="AS118" s="412">
        <f t="shared" si="174"/>
        <v>0</v>
      </c>
      <c r="AT118" s="410">
        <f t="shared" si="174"/>
        <v>0</v>
      </c>
      <c r="AU118" s="411">
        <f t="shared" si="169"/>
        <v>0</v>
      </c>
      <c r="AV118" s="1262">
        <f t="shared" si="170"/>
        <v>0</v>
      </c>
      <c r="AW118" s="413"/>
      <c r="AX118" s="1098"/>
      <c r="AY118" s="415"/>
      <c r="AZ118" s="1098"/>
      <c r="BA118" s="415"/>
      <c r="BB118" s="1120"/>
      <c r="BC118" s="417"/>
      <c r="BD118" s="418"/>
      <c r="BE118" s="419"/>
      <c r="BF118" s="418"/>
      <c r="BG118" s="419"/>
      <c r="BH118" s="420"/>
      <c r="BI118" s="421"/>
      <c r="BJ118" s="422"/>
      <c r="BK118" s="407"/>
      <c r="BL118" s="422"/>
      <c r="BM118" s="407"/>
      <c r="BN118" s="423"/>
      <c r="BO118" s="354"/>
      <c r="BP118" s="425"/>
      <c r="BQ118" s="426"/>
      <c r="BR118" s="425"/>
      <c r="BS118" s="426"/>
      <c r="BT118" s="427"/>
    </row>
    <row r="119" spans="1:72" s="399" customFormat="1" ht="25.5" customHeight="1" outlineLevel="2">
      <c r="A119" s="287">
        <v>96</v>
      </c>
      <c r="B119" s="933"/>
      <c r="C119" s="859"/>
      <c r="D119" s="854" t="s">
        <v>876</v>
      </c>
      <c r="E119" s="860"/>
      <c r="F119" s="829" t="s">
        <v>7</v>
      </c>
      <c r="G119" s="400">
        <v>4</v>
      </c>
      <c r="H119" s="747" t="s">
        <v>70</v>
      </c>
      <c r="I119" s="747">
        <v>244</v>
      </c>
      <c r="J119" s="748">
        <v>226</v>
      </c>
      <c r="K119" s="538" t="s">
        <v>1006</v>
      </c>
      <c r="L119" s="1031">
        <v>28059.9</v>
      </c>
      <c r="M119" s="403"/>
      <c r="N119" s="403"/>
      <c r="O119" s="1063">
        <f t="shared" si="172"/>
        <v>28059.9</v>
      </c>
      <c r="P119" s="565">
        <v>27268.25</v>
      </c>
      <c r="Q119" s="406"/>
      <c r="R119" s="565"/>
      <c r="S119" s="406"/>
      <c r="T119" s="565"/>
      <c r="U119" s="428"/>
      <c r="V119" s="405"/>
      <c r="W119" s="405"/>
      <c r="X119" s="405"/>
      <c r="Z119" s="406">
        <f t="shared" si="245"/>
        <v>0</v>
      </c>
      <c r="AA119" s="407">
        <f t="shared" si="245"/>
        <v>0</v>
      </c>
      <c r="AB119" s="408">
        <f t="shared" si="163"/>
        <v>0</v>
      </c>
      <c r="AC119" s="406">
        <f t="shared" si="246"/>
        <v>0</v>
      </c>
      <c r="AD119" s="407">
        <f t="shared" si="246"/>
        <v>0</v>
      </c>
      <c r="AE119" s="408">
        <f t="shared" si="164"/>
        <v>0</v>
      </c>
      <c r="AF119" s="406">
        <f t="shared" si="247"/>
        <v>0</v>
      </c>
      <c r="AG119" s="407">
        <f t="shared" si="247"/>
        <v>0</v>
      </c>
      <c r="AH119" s="408">
        <f t="shared" si="165"/>
        <v>0</v>
      </c>
      <c r="AI119" s="406">
        <f t="shared" si="248"/>
        <v>28059.9</v>
      </c>
      <c r="AJ119" s="407">
        <f t="shared" si="248"/>
        <v>0</v>
      </c>
      <c r="AK119" s="408">
        <f t="shared" si="166"/>
        <v>28059.9</v>
      </c>
      <c r="AL119" s="409"/>
      <c r="AM119" s="406">
        <f t="shared" si="249"/>
        <v>0</v>
      </c>
      <c r="AN119" s="410">
        <f t="shared" si="249"/>
        <v>0</v>
      </c>
      <c r="AO119" s="411">
        <f t="shared" si="167"/>
        <v>0</v>
      </c>
      <c r="AP119" s="406">
        <f t="shared" si="250"/>
        <v>0</v>
      </c>
      <c r="AQ119" s="410">
        <f t="shared" si="250"/>
        <v>0</v>
      </c>
      <c r="AR119" s="411">
        <f t="shared" si="168"/>
        <v>0</v>
      </c>
      <c r="AS119" s="412">
        <f t="shared" si="174"/>
        <v>28059.9</v>
      </c>
      <c r="AT119" s="410">
        <f t="shared" si="174"/>
        <v>0</v>
      </c>
      <c r="AU119" s="411">
        <f t="shared" si="169"/>
        <v>28059.9</v>
      </c>
      <c r="AV119" s="1262">
        <f t="shared" si="170"/>
        <v>0</v>
      </c>
      <c r="AW119" s="413"/>
      <c r="AX119" s="1098"/>
      <c r="AY119" s="415"/>
      <c r="AZ119" s="1098"/>
      <c r="BA119" s="415"/>
      <c r="BB119" s="1120"/>
      <c r="BC119" s="417"/>
      <c r="BD119" s="418"/>
      <c r="BE119" s="419"/>
      <c r="BF119" s="418"/>
      <c r="BG119" s="419"/>
      <c r="BH119" s="420"/>
      <c r="BI119" s="421"/>
      <c r="BJ119" s="422"/>
      <c r="BK119" s="407"/>
      <c r="BL119" s="422"/>
      <c r="BM119" s="407"/>
      <c r="BN119" s="423"/>
      <c r="BO119" s="354">
        <v>28059.9</v>
      </c>
      <c r="BP119" s="425"/>
      <c r="BQ119" s="426"/>
      <c r="BR119" s="425"/>
      <c r="BS119" s="426"/>
      <c r="BT119" s="427"/>
    </row>
    <row r="120" spans="1:72" s="399" customFormat="1" ht="25.5" customHeight="1" outlineLevel="2">
      <c r="A120" s="287">
        <v>97</v>
      </c>
      <c r="B120" s="933"/>
      <c r="C120" s="859"/>
      <c r="D120" s="854" t="s">
        <v>876</v>
      </c>
      <c r="E120" s="860"/>
      <c r="F120" s="829" t="s">
        <v>7</v>
      </c>
      <c r="G120" s="400">
        <v>4</v>
      </c>
      <c r="H120" s="747" t="s">
        <v>70</v>
      </c>
      <c r="I120" s="747">
        <v>244</v>
      </c>
      <c r="J120" s="748">
        <v>226</v>
      </c>
      <c r="K120" s="538" t="s">
        <v>288</v>
      </c>
      <c r="L120" s="1031">
        <v>0</v>
      </c>
      <c r="M120" s="403"/>
      <c r="N120" s="403"/>
      <c r="O120" s="1063">
        <f t="shared" si="172"/>
        <v>0</v>
      </c>
      <c r="P120" s="565">
        <v>0</v>
      </c>
      <c r="Q120" s="406"/>
      <c r="R120" s="565"/>
      <c r="S120" s="406"/>
      <c r="T120" s="565"/>
      <c r="U120" s="428"/>
      <c r="V120" s="405"/>
      <c r="W120" s="405"/>
      <c r="X120" s="405"/>
      <c r="Z120" s="406">
        <f t="shared" si="245"/>
        <v>0</v>
      </c>
      <c r="AA120" s="407">
        <f t="shared" si="245"/>
        <v>0</v>
      </c>
      <c r="AB120" s="408">
        <f t="shared" si="163"/>
        <v>0</v>
      </c>
      <c r="AC120" s="406">
        <f t="shared" si="246"/>
        <v>0</v>
      </c>
      <c r="AD120" s="407">
        <f t="shared" si="246"/>
        <v>0</v>
      </c>
      <c r="AE120" s="408">
        <f t="shared" si="164"/>
        <v>0</v>
      </c>
      <c r="AF120" s="406">
        <f t="shared" si="247"/>
        <v>0</v>
      </c>
      <c r="AG120" s="407">
        <f t="shared" si="247"/>
        <v>0</v>
      </c>
      <c r="AH120" s="408">
        <f t="shared" si="165"/>
        <v>0</v>
      </c>
      <c r="AI120" s="406">
        <f t="shared" si="248"/>
        <v>0</v>
      </c>
      <c r="AJ120" s="407">
        <f t="shared" si="248"/>
        <v>0</v>
      </c>
      <c r="AK120" s="408">
        <f t="shared" si="166"/>
        <v>0</v>
      </c>
      <c r="AL120" s="409"/>
      <c r="AM120" s="406">
        <f t="shared" si="249"/>
        <v>0</v>
      </c>
      <c r="AN120" s="410">
        <f t="shared" si="249"/>
        <v>0</v>
      </c>
      <c r="AO120" s="411">
        <f t="shared" si="167"/>
        <v>0</v>
      </c>
      <c r="AP120" s="406">
        <f t="shared" si="250"/>
        <v>0</v>
      </c>
      <c r="AQ120" s="410">
        <f t="shared" si="250"/>
        <v>0</v>
      </c>
      <c r="AR120" s="411">
        <f t="shared" si="168"/>
        <v>0</v>
      </c>
      <c r="AS120" s="412">
        <f t="shared" si="174"/>
        <v>0</v>
      </c>
      <c r="AT120" s="410">
        <f t="shared" si="174"/>
        <v>0</v>
      </c>
      <c r="AU120" s="411">
        <f t="shared" si="169"/>
        <v>0</v>
      </c>
      <c r="AV120" s="1262">
        <f t="shared" si="170"/>
        <v>0</v>
      </c>
      <c r="AW120" s="413"/>
      <c r="AX120" s="1098"/>
      <c r="AY120" s="415"/>
      <c r="AZ120" s="1098"/>
      <c r="BA120" s="415"/>
      <c r="BB120" s="1120"/>
      <c r="BC120" s="417"/>
      <c r="BD120" s="418"/>
      <c r="BE120" s="419"/>
      <c r="BF120" s="418"/>
      <c r="BG120" s="419"/>
      <c r="BH120" s="420"/>
      <c r="BI120" s="421"/>
      <c r="BJ120" s="422"/>
      <c r="BK120" s="407"/>
      <c r="BL120" s="422"/>
      <c r="BM120" s="407"/>
      <c r="BN120" s="423"/>
      <c r="BO120" s="354"/>
      <c r="BP120" s="425"/>
      <c r="BQ120" s="426"/>
      <c r="BR120" s="425"/>
      <c r="BS120" s="426"/>
      <c r="BT120" s="427"/>
    </row>
    <row r="121" spans="1:72" s="399" customFormat="1" ht="25.5" customHeight="1" outlineLevel="2">
      <c r="A121" s="287">
        <v>98</v>
      </c>
      <c r="B121" s="933"/>
      <c r="C121" s="859"/>
      <c r="D121" s="854" t="s">
        <v>876</v>
      </c>
      <c r="E121" s="860"/>
      <c r="F121" s="829" t="s">
        <v>7</v>
      </c>
      <c r="G121" s="400">
        <v>4</v>
      </c>
      <c r="H121" s="747" t="s">
        <v>70</v>
      </c>
      <c r="I121" s="747">
        <v>244</v>
      </c>
      <c r="J121" s="748">
        <v>226</v>
      </c>
      <c r="K121" s="538" t="s">
        <v>297</v>
      </c>
      <c r="L121" s="1031">
        <v>0</v>
      </c>
      <c r="M121" s="403"/>
      <c r="N121" s="403"/>
      <c r="O121" s="1063">
        <f t="shared" ref="O121" si="321">L121+N121</f>
        <v>0</v>
      </c>
      <c r="P121" s="565">
        <v>2333.33</v>
      </c>
      <c r="Q121" s="406"/>
      <c r="R121" s="565"/>
      <c r="S121" s="406"/>
      <c r="T121" s="565"/>
      <c r="U121" s="428"/>
      <c r="V121" s="405"/>
      <c r="W121" s="405"/>
      <c r="X121" s="405"/>
      <c r="Z121" s="406">
        <f t="shared" ref="Z121" si="322">AW121+AY121+BA121</f>
        <v>0</v>
      </c>
      <c r="AA121" s="407">
        <f t="shared" ref="AA121" si="323">AX121+AZ121+BB121</f>
        <v>0</v>
      </c>
      <c r="AB121" s="408">
        <f t="shared" ref="AB121" si="324">Z121-AA121</f>
        <v>0</v>
      </c>
      <c r="AC121" s="406">
        <f t="shared" ref="AC121" si="325">BC121+BE121+BG121</f>
        <v>0</v>
      </c>
      <c r="AD121" s="407">
        <f t="shared" ref="AD121" si="326">BD121+BF121+BH121</f>
        <v>0</v>
      </c>
      <c r="AE121" s="408">
        <f t="shared" ref="AE121" si="327">AC121-AD121</f>
        <v>0</v>
      </c>
      <c r="AF121" s="406">
        <f t="shared" ref="AF121" si="328">BI121+BK121+BM121</f>
        <v>0</v>
      </c>
      <c r="AG121" s="407">
        <f t="shared" ref="AG121" si="329">BJ121+BL121+BN121</f>
        <v>0</v>
      </c>
      <c r="AH121" s="408">
        <f t="shared" ref="AH121" si="330">AF121-AG121</f>
        <v>0</v>
      </c>
      <c r="AI121" s="406">
        <f t="shared" ref="AI121" si="331">BO121+BQ121+BS121</f>
        <v>0</v>
      </c>
      <c r="AJ121" s="407">
        <f t="shared" ref="AJ121" si="332">BP121+BR121+BT121</f>
        <v>0</v>
      </c>
      <c r="AK121" s="408">
        <f t="shared" ref="AK121" si="333">AI121-AJ121</f>
        <v>0</v>
      </c>
      <c r="AL121" s="409"/>
      <c r="AM121" s="406">
        <f t="shared" ref="AM121" si="334">Z121+AC121</f>
        <v>0</v>
      </c>
      <c r="AN121" s="410">
        <f t="shared" ref="AN121" si="335">AA121+AD121</f>
        <v>0</v>
      </c>
      <c r="AO121" s="411">
        <f t="shared" ref="AO121" si="336">AM121-AN121</f>
        <v>0</v>
      </c>
      <c r="AP121" s="406">
        <f t="shared" ref="AP121" si="337">Z121+AC121+AF121</f>
        <v>0</v>
      </c>
      <c r="AQ121" s="410">
        <f t="shared" ref="AQ121" si="338">AA121+AD121+AG121</f>
        <v>0</v>
      </c>
      <c r="AR121" s="411">
        <f t="shared" ref="AR121" si="339">AP121-AQ121</f>
        <v>0</v>
      </c>
      <c r="AS121" s="412">
        <f t="shared" ref="AS121" si="340">Z121+AC121+AF121+AI121</f>
        <v>0</v>
      </c>
      <c r="AT121" s="410">
        <f t="shared" ref="AT121" si="341">AA121+AD121+AG121+AJ121</f>
        <v>0</v>
      </c>
      <c r="AU121" s="411">
        <f t="shared" ref="AU121" si="342">AS121-AT121</f>
        <v>0</v>
      </c>
      <c r="AV121" s="1262">
        <f t="shared" ref="AV121" si="343">L121-AS121</f>
        <v>0</v>
      </c>
      <c r="AW121" s="413"/>
      <c r="AX121" s="1098"/>
      <c r="AY121" s="415"/>
      <c r="AZ121" s="1098"/>
      <c r="BA121" s="415"/>
      <c r="BB121" s="1120"/>
      <c r="BC121" s="417"/>
      <c r="BD121" s="418"/>
      <c r="BE121" s="419"/>
      <c r="BF121" s="418"/>
      <c r="BG121" s="419"/>
      <c r="BH121" s="420"/>
      <c r="BI121" s="421"/>
      <c r="BJ121" s="422"/>
      <c r="BK121" s="407"/>
      <c r="BL121" s="422"/>
      <c r="BM121" s="407"/>
      <c r="BN121" s="423"/>
      <c r="BO121" s="424"/>
      <c r="BP121" s="425"/>
      <c r="BQ121" s="426"/>
      <c r="BR121" s="425"/>
      <c r="BS121" s="426"/>
      <c r="BT121" s="427"/>
    </row>
    <row r="122" spans="1:72" s="399" customFormat="1" ht="25.5" customHeight="1" outlineLevel="2">
      <c r="A122" s="1192">
        <v>98.1</v>
      </c>
      <c r="B122" s="933"/>
      <c r="C122" s="859"/>
      <c r="D122" s="854" t="s">
        <v>876</v>
      </c>
      <c r="E122" s="860"/>
      <c r="F122" s="829" t="s">
        <v>7</v>
      </c>
      <c r="G122" s="400">
        <v>4</v>
      </c>
      <c r="H122" s="747" t="s">
        <v>70</v>
      </c>
      <c r="I122" s="747">
        <v>244</v>
      </c>
      <c r="J122" s="748">
        <v>226</v>
      </c>
      <c r="K122" s="538" t="s">
        <v>1036</v>
      </c>
      <c r="L122" s="1288">
        <v>13000</v>
      </c>
      <c r="M122" s="403"/>
      <c r="N122" s="403"/>
      <c r="O122" s="1063">
        <f t="shared" si="172"/>
        <v>13000</v>
      </c>
      <c r="P122" s="565">
        <v>2333.33</v>
      </c>
      <c r="Q122" s="406"/>
      <c r="R122" s="565"/>
      <c r="S122" s="406"/>
      <c r="T122" s="565"/>
      <c r="U122" s="428"/>
      <c r="V122" s="597" t="s">
        <v>494</v>
      </c>
      <c r="W122" s="597" t="s">
        <v>1109</v>
      </c>
      <c r="X122" s="405"/>
      <c r="Z122" s="406">
        <f t="shared" si="245"/>
        <v>0</v>
      </c>
      <c r="AA122" s="407">
        <f t="shared" si="245"/>
        <v>0</v>
      </c>
      <c r="AB122" s="408">
        <f t="shared" si="163"/>
        <v>0</v>
      </c>
      <c r="AC122" s="406">
        <f t="shared" si="246"/>
        <v>0</v>
      </c>
      <c r="AD122" s="407">
        <f t="shared" si="246"/>
        <v>0</v>
      </c>
      <c r="AE122" s="408">
        <f t="shared" si="164"/>
        <v>0</v>
      </c>
      <c r="AF122" s="406">
        <f t="shared" si="247"/>
        <v>0</v>
      </c>
      <c r="AG122" s="407">
        <f t="shared" si="247"/>
        <v>0</v>
      </c>
      <c r="AH122" s="408">
        <f t="shared" si="165"/>
        <v>0</v>
      </c>
      <c r="AI122" s="406">
        <f t="shared" si="248"/>
        <v>13000</v>
      </c>
      <c r="AJ122" s="407">
        <f t="shared" si="248"/>
        <v>13000</v>
      </c>
      <c r="AK122" s="408">
        <f t="shared" si="166"/>
        <v>0</v>
      </c>
      <c r="AL122" s="409"/>
      <c r="AM122" s="406">
        <f t="shared" si="249"/>
        <v>0</v>
      </c>
      <c r="AN122" s="410">
        <f t="shared" si="249"/>
        <v>0</v>
      </c>
      <c r="AO122" s="411">
        <f t="shared" si="167"/>
        <v>0</v>
      </c>
      <c r="AP122" s="406">
        <f t="shared" si="250"/>
        <v>0</v>
      </c>
      <c r="AQ122" s="410">
        <f t="shared" si="250"/>
        <v>0</v>
      </c>
      <c r="AR122" s="411">
        <f t="shared" si="168"/>
        <v>0</v>
      </c>
      <c r="AS122" s="412">
        <f t="shared" si="174"/>
        <v>13000</v>
      </c>
      <c r="AT122" s="410">
        <f t="shared" si="174"/>
        <v>13000</v>
      </c>
      <c r="AU122" s="411">
        <f t="shared" si="169"/>
        <v>0</v>
      </c>
      <c r="AV122" s="1262">
        <f t="shared" si="170"/>
        <v>0</v>
      </c>
      <c r="AW122" s="413"/>
      <c r="AX122" s="1098"/>
      <c r="AY122" s="415"/>
      <c r="AZ122" s="1098"/>
      <c r="BA122" s="415"/>
      <c r="BB122" s="1120"/>
      <c r="BC122" s="417"/>
      <c r="BD122" s="418"/>
      <c r="BE122" s="419"/>
      <c r="BF122" s="418"/>
      <c r="BG122" s="419"/>
      <c r="BH122" s="420"/>
      <c r="BI122" s="421"/>
      <c r="BJ122" s="422"/>
      <c r="BK122" s="407"/>
      <c r="BL122" s="422"/>
      <c r="BM122" s="407"/>
      <c r="BN122" s="423"/>
      <c r="BO122" s="424">
        <v>13000</v>
      </c>
      <c r="BP122" s="355">
        <v>13000</v>
      </c>
      <c r="BQ122" s="426"/>
      <c r="BR122" s="425"/>
      <c r="BS122" s="426"/>
      <c r="BT122" s="427"/>
    </row>
    <row r="123" spans="1:72" s="430" customFormat="1" ht="25.5" customHeight="1" outlineLevel="2">
      <c r="A123" s="287">
        <v>99</v>
      </c>
      <c r="B123" s="933"/>
      <c r="C123" s="743"/>
      <c r="D123" s="854" t="s">
        <v>876</v>
      </c>
      <c r="E123" s="857"/>
      <c r="F123" s="827" t="s">
        <v>7</v>
      </c>
      <c r="G123" s="431">
        <v>4</v>
      </c>
      <c r="H123" s="474" t="s">
        <v>70</v>
      </c>
      <c r="I123" s="743">
        <v>244</v>
      </c>
      <c r="J123" s="744">
        <v>226</v>
      </c>
      <c r="K123" s="536" t="s">
        <v>284</v>
      </c>
      <c r="L123" s="1030"/>
      <c r="M123" s="434"/>
      <c r="N123" s="434"/>
      <c r="O123" s="1064">
        <f t="shared" si="172"/>
        <v>0</v>
      </c>
      <c r="P123" s="563"/>
      <c r="Q123" s="437"/>
      <c r="R123" s="563"/>
      <c r="S123" s="437"/>
      <c r="T123" s="563"/>
      <c r="U123" s="467"/>
      <c r="V123" s="436"/>
      <c r="W123" s="436"/>
      <c r="X123" s="436"/>
      <c r="Z123" s="437">
        <f t="shared" si="245"/>
        <v>0</v>
      </c>
      <c r="AA123" s="438">
        <f t="shared" si="245"/>
        <v>0</v>
      </c>
      <c r="AB123" s="439">
        <f t="shared" si="163"/>
        <v>0</v>
      </c>
      <c r="AC123" s="437">
        <f t="shared" si="246"/>
        <v>0</v>
      </c>
      <c r="AD123" s="438">
        <f t="shared" si="246"/>
        <v>0</v>
      </c>
      <c r="AE123" s="439">
        <f t="shared" si="164"/>
        <v>0</v>
      </c>
      <c r="AF123" s="437">
        <f t="shared" si="247"/>
        <v>0</v>
      </c>
      <c r="AG123" s="438">
        <f t="shared" si="247"/>
        <v>0</v>
      </c>
      <c r="AH123" s="439">
        <f t="shared" si="165"/>
        <v>0</v>
      </c>
      <c r="AI123" s="437">
        <f t="shared" si="248"/>
        <v>0</v>
      </c>
      <c r="AJ123" s="438">
        <f t="shared" si="248"/>
        <v>0</v>
      </c>
      <c r="AK123" s="439">
        <f t="shared" si="166"/>
        <v>0</v>
      </c>
      <c r="AL123" s="440"/>
      <c r="AM123" s="437">
        <f t="shared" si="249"/>
        <v>0</v>
      </c>
      <c r="AN123" s="441">
        <f t="shared" si="249"/>
        <v>0</v>
      </c>
      <c r="AO123" s="442">
        <f t="shared" si="167"/>
        <v>0</v>
      </c>
      <c r="AP123" s="437">
        <f t="shared" si="250"/>
        <v>0</v>
      </c>
      <c r="AQ123" s="441">
        <f t="shared" si="250"/>
        <v>0</v>
      </c>
      <c r="AR123" s="442">
        <f t="shared" si="168"/>
        <v>0</v>
      </c>
      <c r="AS123" s="443">
        <f t="shared" ref="AS123:AT135" si="344">Z123+AC123+AF123+AI123</f>
        <v>0</v>
      </c>
      <c r="AT123" s="441">
        <f t="shared" si="344"/>
        <v>0</v>
      </c>
      <c r="AU123" s="442">
        <f t="shared" si="169"/>
        <v>0</v>
      </c>
      <c r="AV123" s="440">
        <f t="shared" si="170"/>
        <v>0</v>
      </c>
      <c r="AW123" s="444"/>
      <c r="AX123" s="1111"/>
      <c r="AY123" s="446"/>
      <c r="AZ123" s="1111"/>
      <c r="BA123" s="446"/>
      <c r="BB123" s="1129"/>
      <c r="BC123" s="448"/>
      <c r="BD123" s="449"/>
      <c r="BE123" s="450"/>
      <c r="BF123" s="449"/>
      <c r="BG123" s="450"/>
      <c r="BH123" s="451"/>
      <c r="BI123" s="452"/>
      <c r="BJ123" s="453"/>
      <c r="BK123" s="438"/>
      <c r="BL123" s="453"/>
      <c r="BM123" s="438"/>
      <c r="BN123" s="454"/>
      <c r="BO123" s="455"/>
      <c r="BP123" s="456"/>
      <c r="BQ123" s="457"/>
      <c r="BR123" s="456"/>
      <c r="BS123" s="457"/>
      <c r="BT123" s="458"/>
    </row>
    <row r="124" spans="1:72" s="459" customFormat="1" ht="66.75" customHeight="1" outlineLevel="1">
      <c r="A124" s="287">
        <v>100</v>
      </c>
      <c r="B124" s="933"/>
      <c r="C124" s="850" t="s">
        <v>378</v>
      </c>
      <c r="D124" s="854" t="s">
        <v>274</v>
      </c>
      <c r="E124" s="855"/>
      <c r="F124" s="826" t="s">
        <v>7</v>
      </c>
      <c r="G124" s="462">
        <v>4</v>
      </c>
      <c r="H124" s="741" t="s">
        <v>70</v>
      </c>
      <c r="I124" s="741">
        <v>244</v>
      </c>
      <c r="J124" s="742">
        <v>226</v>
      </c>
      <c r="K124" s="535" t="s">
        <v>283</v>
      </c>
      <c r="L124" s="1028">
        <v>345187.83</v>
      </c>
      <c r="M124" s="352"/>
      <c r="N124" s="352">
        <f>SUM(N125:N127)</f>
        <v>74885.83</v>
      </c>
      <c r="O124" s="1062">
        <f t="shared" si="172"/>
        <v>420073.66</v>
      </c>
      <c r="P124" s="561"/>
      <c r="Q124" s="464"/>
      <c r="R124" s="561"/>
      <c r="S124" s="464"/>
      <c r="T124" s="561"/>
      <c r="U124" s="393"/>
      <c r="V124" s="394"/>
      <c r="W124" s="394"/>
      <c r="X124" s="394"/>
      <c r="Y124" s="392"/>
      <c r="Z124" s="395">
        <f t="shared" si="245"/>
        <v>0</v>
      </c>
      <c r="AA124" s="396">
        <f t="shared" si="245"/>
        <v>0</v>
      </c>
      <c r="AB124" s="397">
        <f t="shared" si="163"/>
        <v>0</v>
      </c>
      <c r="AC124" s="395">
        <f t="shared" si="246"/>
        <v>0</v>
      </c>
      <c r="AD124" s="396">
        <f t="shared" si="246"/>
        <v>0</v>
      </c>
      <c r="AE124" s="397">
        <f t="shared" si="164"/>
        <v>0</v>
      </c>
      <c r="AF124" s="395">
        <f t="shared" si="247"/>
        <v>0</v>
      </c>
      <c r="AG124" s="396">
        <f t="shared" si="247"/>
        <v>0</v>
      </c>
      <c r="AH124" s="397">
        <f t="shared" si="165"/>
        <v>0</v>
      </c>
      <c r="AI124" s="395">
        <f t="shared" si="248"/>
        <v>420073.66</v>
      </c>
      <c r="AJ124" s="396">
        <f t="shared" si="248"/>
        <v>0</v>
      </c>
      <c r="AK124" s="397">
        <f t="shared" si="166"/>
        <v>420073.66</v>
      </c>
      <c r="AL124" s="398"/>
      <c r="AM124" s="464">
        <f t="shared" si="249"/>
        <v>0</v>
      </c>
      <c r="AN124" s="352">
        <f t="shared" si="249"/>
        <v>0</v>
      </c>
      <c r="AO124" s="465">
        <f t="shared" si="167"/>
        <v>0</v>
      </c>
      <c r="AP124" s="464">
        <f t="shared" si="250"/>
        <v>0</v>
      </c>
      <c r="AQ124" s="352">
        <f t="shared" si="250"/>
        <v>0</v>
      </c>
      <c r="AR124" s="465">
        <f t="shared" si="168"/>
        <v>0</v>
      </c>
      <c r="AS124" s="464">
        <f t="shared" si="344"/>
        <v>420073.66</v>
      </c>
      <c r="AT124" s="352">
        <f t="shared" si="344"/>
        <v>0</v>
      </c>
      <c r="AU124" s="465">
        <f t="shared" si="169"/>
        <v>420073.66</v>
      </c>
      <c r="AV124" s="1261">
        <f t="shared" si="170"/>
        <v>-74885.83</v>
      </c>
      <c r="AW124" s="464">
        <f t="shared" ref="AW124:BT124" si="345">SUM(AW125:AW127)</f>
        <v>0</v>
      </c>
      <c r="AX124" s="1110">
        <f t="shared" si="345"/>
        <v>0</v>
      </c>
      <c r="AY124" s="352">
        <f t="shared" si="345"/>
        <v>0</v>
      </c>
      <c r="AZ124" s="1110">
        <f t="shared" si="345"/>
        <v>0</v>
      </c>
      <c r="BA124" s="352">
        <f t="shared" si="345"/>
        <v>0</v>
      </c>
      <c r="BB124" s="1128">
        <f t="shared" si="345"/>
        <v>0</v>
      </c>
      <c r="BC124" s="464">
        <f t="shared" si="345"/>
        <v>0</v>
      </c>
      <c r="BD124" s="352">
        <f t="shared" si="345"/>
        <v>0</v>
      </c>
      <c r="BE124" s="352">
        <f t="shared" si="345"/>
        <v>0</v>
      </c>
      <c r="BF124" s="352">
        <f t="shared" si="345"/>
        <v>0</v>
      </c>
      <c r="BG124" s="352">
        <f t="shared" si="345"/>
        <v>0</v>
      </c>
      <c r="BH124" s="353">
        <f t="shared" si="345"/>
        <v>0</v>
      </c>
      <c r="BI124" s="464">
        <f t="shared" si="345"/>
        <v>0</v>
      </c>
      <c r="BJ124" s="352">
        <f t="shared" si="345"/>
        <v>0</v>
      </c>
      <c r="BK124" s="352">
        <f t="shared" si="345"/>
        <v>0</v>
      </c>
      <c r="BL124" s="352">
        <f t="shared" si="345"/>
        <v>0</v>
      </c>
      <c r="BM124" s="352">
        <f t="shared" si="345"/>
        <v>0</v>
      </c>
      <c r="BN124" s="353">
        <f t="shared" si="345"/>
        <v>0</v>
      </c>
      <c r="BO124" s="464">
        <f t="shared" si="345"/>
        <v>0</v>
      </c>
      <c r="BP124" s="352">
        <f t="shared" si="345"/>
        <v>0</v>
      </c>
      <c r="BQ124" s="352">
        <f t="shared" si="345"/>
        <v>420073.66</v>
      </c>
      <c r="BR124" s="352">
        <f t="shared" si="345"/>
        <v>0</v>
      </c>
      <c r="BS124" s="352">
        <f t="shared" si="345"/>
        <v>0</v>
      </c>
      <c r="BT124" s="465">
        <f t="shared" si="345"/>
        <v>0</v>
      </c>
    </row>
    <row r="125" spans="1:72" s="313" customFormat="1" ht="38.25" customHeight="1" outlineLevel="2">
      <c r="A125" s="287">
        <v>101</v>
      </c>
      <c r="B125" s="933" t="s">
        <v>1052</v>
      </c>
      <c r="C125" s="840"/>
      <c r="D125" s="841" t="s">
        <v>274</v>
      </c>
      <c r="E125" s="839"/>
      <c r="F125" s="821" t="s">
        <v>7</v>
      </c>
      <c r="G125" s="314">
        <v>4</v>
      </c>
      <c r="H125" s="739" t="s">
        <v>70</v>
      </c>
      <c r="I125" s="739">
        <v>244</v>
      </c>
      <c r="J125" s="740">
        <v>226</v>
      </c>
      <c r="K125" s="1005" t="s">
        <v>1056</v>
      </c>
      <c r="L125" s="1031">
        <f>345187.83-SUM(L126:L127)</f>
        <v>325187.83</v>
      </c>
      <c r="M125" s="318"/>
      <c r="N125" s="1008">
        <v>74885.83</v>
      </c>
      <c r="O125" s="1055">
        <f t="shared" si="172"/>
        <v>400073.66</v>
      </c>
      <c r="P125" s="562"/>
      <c r="Q125" s="336"/>
      <c r="R125" s="562"/>
      <c r="S125" s="336"/>
      <c r="T125" s="562"/>
      <c r="U125" s="466"/>
      <c r="V125" s="320"/>
      <c r="W125" s="320"/>
      <c r="X125" s="320"/>
      <c r="Z125" s="336">
        <f t="shared" si="245"/>
        <v>0</v>
      </c>
      <c r="AA125" s="337">
        <f t="shared" si="245"/>
        <v>0</v>
      </c>
      <c r="AB125" s="338">
        <f t="shared" si="163"/>
        <v>0</v>
      </c>
      <c r="AC125" s="336">
        <f t="shared" si="246"/>
        <v>0</v>
      </c>
      <c r="AD125" s="337">
        <f t="shared" si="246"/>
        <v>0</v>
      </c>
      <c r="AE125" s="338">
        <f t="shared" si="164"/>
        <v>0</v>
      </c>
      <c r="AF125" s="336">
        <f t="shared" si="247"/>
        <v>0</v>
      </c>
      <c r="AG125" s="337">
        <f t="shared" si="247"/>
        <v>0</v>
      </c>
      <c r="AH125" s="338">
        <f t="shared" si="165"/>
        <v>0</v>
      </c>
      <c r="AI125" s="336">
        <f t="shared" si="248"/>
        <v>400073.66</v>
      </c>
      <c r="AJ125" s="337">
        <f t="shared" si="248"/>
        <v>0</v>
      </c>
      <c r="AK125" s="338">
        <f t="shared" si="166"/>
        <v>400073.66</v>
      </c>
      <c r="AL125" s="342"/>
      <c r="AM125" s="336">
        <f t="shared" si="249"/>
        <v>0</v>
      </c>
      <c r="AN125" s="339">
        <f t="shared" si="249"/>
        <v>0</v>
      </c>
      <c r="AO125" s="340">
        <f t="shared" si="167"/>
        <v>0</v>
      </c>
      <c r="AP125" s="336">
        <f t="shared" si="250"/>
        <v>0</v>
      </c>
      <c r="AQ125" s="339">
        <f t="shared" si="250"/>
        <v>0</v>
      </c>
      <c r="AR125" s="340">
        <f t="shared" si="168"/>
        <v>0</v>
      </c>
      <c r="AS125" s="341">
        <f t="shared" si="344"/>
        <v>400073.66</v>
      </c>
      <c r="AT125" s="339">
        <f t="shared" si="344"/>
        <v>0</v>
      </c>
      <c r="AU125" s="340">
        <f t="shared" si="169"/>
        <v>400073.66</v>
      </c>
      <c r="AV125" s="1255">
        <f t="shared" si="170"/>
        <v>-74885.83</v>
      </c>
      <c r="AW125" s="343"/>
      <c r="AX125" s="1098"/>
      <c r="AY125" s="345"/>
      <c r="AZ125" s="1098"/>
      <c r="BA125" s="345"/>
      <c r="BB125" s="1120"/>
      <c r="BC125" s="347"/>
      <c r="BD125" s="348"/>
      <c r="BE125" s="349"/>
      <c r="BF125" s="348"/>
      <c r="BG125" s="349"/>
      <c r="BH125" s="350"/>
      <c r="BI125" s="351"/>
      <c r="BJ125" s="352"/>
      <c r="BK125" s="337"/>
      <c r="BL125" s="352"/>
      <c r="BM125" s="337"/>
      <c r="BN125" s="353"/>
      <c r="BO125" s="354"/>
      <c r="BP125" s="355"/>
      <c r="BQ125" s="356">
        <v>400073.66</v>
      </c>
      <c r="BR125" s="355"/>
      <c r="BS125" s="356"/>
      <c r="BT125" s="357"/>
    </row>
    <row r="126" spans="1:72" s="313" customFormat="1" ht="25.5" customHeight="1" outlineLevel="2">
      <c r="A126" s="287">
        <v>102</v>
      </c>
      <c r="B126" s="933"/>
      <c r="C126" s="840"/>
      <c r="D126" s="841" t="s">
        <v>274</v>
      </c>
      <c r="E126" s="839"/>
      <c r="F126" s="821" t="s">
        <v>7</v>
      </c>
      <c r="G126" s="314">
        <v>4</v>
      </c>
      <c r="H126" s="739" t="s">
        <v>70</v>
      </c>
      <c r="I126" s="739">
        <v>244</v>
      </c>
      <c r="J126" s="740">
        <v>226</v>
      </c>
      <c r="K126" s="533" t="s">
        <v>1036</v>
      </c>
      <c r="L126" s="1025">
        <v>20000</v>
      </c>
      <c r="M126" s="318"/>
      <c r="N126" s="318"/>
      <c r="O126" s="1052">
        <f t="shared" si="172"/>
        <v>20000</v>
      </c>
      <c r="P126" s="562"/>
      <c r="Q126" s="336"/>
      <c r="R126" s="562"/>
      <c r="S126" s="336"/>
      <c r="T126" s="562"/>
      <c r="U126" s="466"/>
      <c r="V126" s="597" t="s">
        <v>494</v>
      </c>
      <c r="W126" s="405" t="s">
        <v>481</v>
      </c>
      <c r="X126" s="320"/>
      <c r="Z126" s="336">
        <f t="shared" si="245"/>
        <v>0</v>
      </c>
      <c r="AA126" s="337">
        <f t="shared" si="245"/>
        <v>0</v>
      </c>
      <c r="AB126" s="338">
        <f t="shared" si="163"/>
        <v>0</v>
      </c>
      <c r="AC126" s="336">
        <f t="shared" si="246"/>
        <v>0</v>
      </c>
      <c r="AD126" s="337">
        <f t="shared" si="246"/>
        <v>0</v>
      </c>
      <c r="AE126" s="338">
        <f t="shared" si="164"/>
        <v>0</v>
      </c>
      <c r="AF126" s="336">
        <f t="shared" si="247"/>
        <v>0</v>
      </c>
      <c r="AG126" s="337">
        <f t="shared" si="247"/>
        <v>0</v>
      </c>
      <c r="AH126" s="338">
        <f t="shared" si="165"/>
        <v>0</v>
      </c>
      <c r="AI126" s="336">
        <f t="shared" si="248"/>
        <v>20000</v>
      </c>
      <c r="AJ126" s="337">
        <f t="shared" si="248"/>
        <v>0</v>
      </c>
      <c r="AK126" s="338">
        <f t="shared" si="166"/>
        <v>20000</v>
      </c>
      <c r="AL126" s="342"/>
      <c r="AM126" s="336">
        <f t="shared" si="249"/>
        <v>0</v>
      </c>
      <c r="AN126" s="339">
        <f t="shared" si="249"/>
        <v>0</v>
      </c>
      <c r="AO126" s="340">
        <f t="shared" si="167"/>
        <v>0</v>
      </c>
      <c r="AP126" s="336">
        <f t="shared" si="250"/>
        <v>0</v>
      </c>
      <c r="AQ126" s="339">
        <f t="shared" si="250"/>
        <v>0</v>
      </c>
      <c r="AR126" s="340">
        <f t="shared" si="168"/>
        <v>0</v>
      </c>
      <c r="AS126" s="341">
        <f t="shared" si="344"/>
        <v>20000</v>
      </c>
      <c r="AT126" s="339">
        <f t="shared" si="344"/>
        <v>0</v>
      </c>
      <c r="AU126" s="340">
        <f t="shared" si="169"/>
        <v>20000</v>
      </c>
      <c r="AV126" s="1255">
        <f t="shared" si="170"/>
        <v>0</v>
      </c>
      <c r="AW126" s="343"/>
      <c r="AX126" s="1098"/>
      <c r="AY126" s="345"/>
      <c r="AZ126" s="1098"/>
      <c r="BA126" s="345"/>
      <c r="BB126" s="1120"/>
      <c r="BC126" s="347"/>
      <c r="BD126" s="348"/>
      <c r="BE126" s="349"/>
      <c r="BF126" s="348"/>
      <c r="BG126" s="349"/>
      <c r="BH126" s="350"/>
      <c r="BI126" s="351"/>
      <c r="BJ126" s="352"/>
      <c r="BK126" s="337"/>
      <c r="BL126" s="352"/>
      <c r="BM126" s="337"/>
      <c r="BN126" s="353"/>
      <c r="BO126" s="354"/>
      <c r="BP126" s="355"/>
      <c r="BQ126" s="1139">
        <v>20000</v>
      </c>
      <c r="BR126" s="355"/>
      <c r="BS126" s="356"/>
      <c r="BT126" s="357"/>
    </row>
    <row r="127" spans="1:72" s="430" customFormat="1" ht="25.5" customHeight="1" outlineLevel="2">
      <c r="A127" s="287">
        <v>103</v>
      </c>
      <c r="B127" s="933"/>
      <c r="C127" s="743"/>
      <c r="D127" s="856" t="s">
        <v>274</v>
      </c>
      <c r="E127" s="857"/>
      <c r="F127" s="827" t="s">
        <v>7</v>
      </c>
      <c r="G127" s="431">
        <v>4</v>
      </c>
      <c r="H127" s="474" t="s">
        <v>70</v>
      </c>
      <c r="I127" s="743">
        <v>244</v>
      </c>
      <c r="J127" s="744">
        <v>226</v>
      </c>
      <c r="K127" s="536" t="s">
        <v>284</v>
      </c>
      <c r="L127" s="1030"/>
      <c r="M127" s="434"/>
      <c r="N127" s="434"/>
      <c r="O127" s="1064">
        <f t="shared" si="172"/>
        <v>0</v>
      </c>
      <c r="P127" s="563"/>
      <c r="Q127" s="437"/>
      <c r="R127" s="563"/>
      <c r="S127" s="437"/>
      <c r="T127" s="563"/>
      <c r="U127" s="467"/>
      <c r="V127" s="436"/>
      <c r="W127" s="436"/>
      <c r="X127" s="436"/>
      <c r="Z127" s="437">
        <f t="shared" si="245"/>
        <v>0</v>
      </c>
      <c r="AA127" s="438">
        <f t="shared" si="245"/>
        <v>0</v>
      </c>
      <c r="AB127" s="439">
        <f t="shared" si="163"/>
        <v>0</v>
      </c>
      <c r="AC127" s="437">
        <f t="shared" si="246"/>
        <v>0</v>
      </c>
      <c r="AD127" s="438">
        <f t="shared" si="246"/>
        <v>0</v>
      </c>
      <c r="AE127" s="439">
        <f t="shared" si="164"/>
        <v>0</v>
      </c>
      <c r="AF127" s="437">
        <f t="shared" si="247"/>
        <v>0</v>
      </c>
      <c r="AG127" s="438">
        <f t="shared" si="247"/>
        <v>0</v>
      </c>
      <c r="AH127" s="439">
        <f t="shared" si="165"/>
        <v>0</v>
      </c>
      <c r="AI127" s="437">
        <f t="shared" si="248"/>
        <v>0</v>
      </c>
      <c r="AJ127" s="438">
        <f t="shared" si="248"/>
        <v>0</v>
      </c>
      <c r="AK127" s="439">
        <f t="shared" si="166"/>
        <v>0</v>
      </c>
      <c r="AL127" s="440"/>
      <c r="AM127" s="437">
        <f t="shared" si="249"/>
        <v>0</v>
      </c>
      <c r="AN127" s="441">
        <f t="shared" si="249"/>
        <v>0</v>
      </c>
      <c r="AO127" s="442">
        <f t="shared" si="167"/>
        <v>0</v>
      </c>
      <c r="AP127" s="437">
        <f t="shared" si="250"/>
        <v>0</v>
      </c>
      <c r="AQ127" s="441">
        <f t="shared" si="250"/>
        <v>0</v>
      </c>
      <c r="AR127" s="442">
        <f t="shared" si="168"/>
        <v>0</v>
      </c>
      <c r="AS127" s="443">
        <f t="shared" si="344"/>
        <v>0</v>
      </c>
      <c r="AT127" s="441">
        <f t="shared" si="344"/>
        <v>0</v>
      </c>
      <c r="AU127" s="442">
        <f t="shared" si="169"/>
        <v>0</v>
      </c>
      <c r="AV127" s="440">
        <f t="shared" si="170"/>
        <v>0</v>
      </c>
      <c r="AW127" s="444"/>
      <c r="AX127" s="1111"/>
      <c r="AY127" s="446"/>
      <c r="AZ127" s="1111"/>
      <c r="BA127" s="446"/>
      <c r="BB127" s="1129"/>
      <c r="BC127" s="448"/>
      <c r="BD127" s="449"/>
      <c r="BE127" s="450"/>
      <c r="BF127" s="449"/>
      <c r="BG127" s="450"/>
      <c r="BH127" s="451"/>
      <c r="BI127" s="452"/>
      <c r="BJ127" s="453"/>
      <c r="BK127" s="438"/>
      <c r="BL127" s="453"/>
      <c r="BM127" s="438"/>
      <c r="BN127" s="454"/>
      <c r="BO127" s="455"/>
      <c r="BP127" s="456"/>
      <c r="BQ127" s="457"/>
      <c r="BR127" s="456"/>
      <c r="BS127" s="457"/>
      <c r="BT127" s="458"/>
    </row>
    <row r="128" spans="1:72" s="468" customFormat="1" ht="72.75" customHeight="1" outlineLevel="1">
      <c r="A128" s="287">
        <v>104</v>
      </c>
      <c r="B128" s="933"/>
      <c r="C128" s="850" t="s">
        <v>378</v>
      </c>
      <c r="D128" s="854" t="s">
        <v>277</v>
      </c>
      <c r="E128" s="858"/>
      <c r="F128" s="828" t="s">
        <v>7</v>
      </c>
      <c r="G128" s="469">
        <v>4</v>
      </c>
      <c r="H128" s="745" t="s">
        <v>70</v>
      </c>
      <c r="I128" s="745">
        <v>244</v>
      </c>
      <c r="J128" s="746">
        <v>226</v>
      </c>
      <c r="K128" s="537" t="s">
        <v>282</v>
      </c>
      <c r="L128" s="1032">
        <v>93059.77</v>
      </c>
      <c r="M128" s="422"/>
      <c r="N128" s="352">
        <f>SUM(N129:N132)</f>
        <v>0</v>
      </c>
      <c r="O128" s="1065">
        <f t="shared" si="172"/>
        <v>93059.77</v>
      </c>
      <c r="P128" s="564"/>
      <c r="Q128" s="472"/>
      <c r="R128" s="564"/>
      <c r="S128" s="472"/>
      <c r="T128" s="564"/>
      <c r="U128" s="393"/>
      <c r="V128" s="394"/>
      <c r="W128" s="394"/>
      <c r="X128" s="394"/>
      <c r="Y128" s="392"/>
      <c r="Z128" s="395">
        <f t="shared" si="245"/>
        <v>0</v>
      </c>
      <c r="AA128" s="396">
        <f t="shared" si="245"/>
        <v>0</v>
      </c>
      <c r="AB128" s="397">
        <f t="shared" si="163"/>
        <v>0</v>
      </c>
      <c r="AC128" s="395">
        <f t="shared" si="246"/>
        <v>0</v>
      </c>
      <c r="AD128" s="396">
        <f t="shared" si="246"/>
        <v>0</v>
      </c>
      <c r="AE128" s="397">
        <f t="shared" si="164"/>
        <v>0</v>
      </c>
      <c r="AF128" s="395">
        <f t="shared" si="247"/>
        <v>0</v>
      </c>
      <c r="AG128" s="396">
        <f t="shared" si="247"/>
        <v>0</v>
      </c>
      <c r="AH128" s="397">
        <f t="shared" si="165"/>
        <v>0</v>
      </c>
      <c r="AI128" s="395">
        <f t="shared" si="248"/>
        <v>93059.77</v>
      </c>
      <c r="AJ128" s="396">
        <f t="shared" si="248"/>
        <v>0</v>
      </c>
      <c r="AK128" s="397">
        <f t="shared" si="166"/>
        <v>93059.77</v>
      </c>
      <c r="AL128" s="398"/>
      <c r="AM128" s="472">
        <f t="shared" si="249"/>
        <v>0</v>
      </c>
      <c r="AN128" s="422">
        <f t="shared" si="249"/>
        <v>0</v>
      </c>
      <c r="AO128" s="473">
        <f t="shared" si="167"/>
        <v>0</v>
      </c>
      <c r="AP128" s="472">
        <f t="shared" si="250"/>
        <v>0</v>
      </c>
      <c r="AQ128" s="422">
        <f t="shared" si="250"/>
        <v>0</v>
      </c>
      <c r="AR128" s="473">
        <f t="shared" si="168"/>
        <v>0</v>
      </c>
      <c r="AS128" s="472">
        <f t="shared" si="344"/>
        <v>93059.77</v>
      </c>
      <c r="AT128" s="422">
        <f t="shared" si="344"/>
        <v>0</v>
      </c>
      <c r="AU128" s="473">
        <f t="shared" si="169"/>
        <v>93059.77</v>
      </c>
      <c r="AV128" s="1263">
        <f t="shared" si="170"/>
        <v>0</v>
      </c>
      <c r="AW128" s="472">
        <f t="shared" ref="AW128:BT128" si="346">SUM(AW129:AW132)</f>
        <v>0</v>
      </c>
      <c r="AX128" s="1110">
        <f t="shared" si="346"/>
        <v>0</v>
      </c>
      <c r="AY128" s="422">
        <f t="shared" si="346"/>
        <v>0</v>
      </c>
      <c r="AZ128" s="1110">
        <f t="shared" si="346"/>
        <v>0</v>
      </c>
      <c r="BA128" s="422">
        <f t="shared" si="346"/>
        <v>0</v>
      </c>
      <c r="BB128" s="1128">
        <f t="shared" si="346"/>
        <v>0</v>
      </c>
      <c r="BC128" s="472">
        <f t="shared" si="346"/>
        <v>0</v>
      </c>
      <c r="BD128" s="422">
        <f t="shared" si="346"/>
        <v>0</v>
      </c>
      <c r="BE128" s="422">
        <f t="shared" si="346"/>
        <v>0</v>
      </c>
      <c r="BF128" s="422">
        <f t="shared" si="346"/>
        <v>0</v>
      </c>
      <c r="BG128" s="422">
        <f t="shared" si="346"/>
        <v>0</v>
      </c>
      <c r="BH128" s="423">
        <f t="shared" si="346"/>
        <v>0</v>
      </c>
      <c r="BI128" s="472">
        <f t="shared" si="346"/>
        <v>0</v>
      </c>
      <c r="BJ128" s="422">
        <f t="shared" si="346"/>
        <v>0</v>
      </c>
      <c r="BK128" s="422">
        <f t="shared" si="346"/>
        <v>0</v>
      </c>
      <c r="BL128" s="422">
        <f t="shared" si="346"/>
        <v>0</v>
      </c>
      <c r="BM128" s="422">
        <f t="shared" si="346"/>
        <v>0</v>
      </c>
      <c r="BN128" s="423">
        <f t="shared" si="346"/>
        <v>0</v>
      </c>
      <c r="BO128" s="472">
        <f t="shared" si="346"/>
        <v>0</v>
      </c>
      <c r="BP128" s="422">
        <f t="shared" si="346"/>
        <v>0</v>
      </c>
      <c r="BQ128" s="422">
        <f t="shared" si="346"/>
        <v>0</v>
      </c>
      <c r="BR128" s="422">
        <f t="shared" si="346"/>
        <v>0</v>
      </c>
      <c r="BS128" s="422">
        <f t="shared" si="346"/>
        <v>93059.77</v>
      </c>
      <c r="BT128" s="473">
        <f t="shared" si="346"/>
        <v>0</v>
      </c>
    </row>
    <row r="129" spans="1:72" s="399" customFormat="1" ht="25.5" customHeight="1" outlineLevel="2">
      <c r="A129" s="287">
        <v>105</v>
      </c>
      <c r="B129" s="933"/>
      <c r="C129" s="859"/>
      <c r="D129" s="841" t="s">
        <v>277</v>
      </c>
      <c r="E129" s="860"/>
      <c r="F129" s="829" t="s">
        <v>7</v>
      </c>
      <c r="G129" s="400">
        <v>4</v>
      </c>
      <c r="H129" s="747" t="s">
        <v>70</v>
      </c>
      <c r="I129" s="747">
        <v>244</v>
      </c>
      <c r="J129" s="748">
        <v>226</v>
      </c>
      <c r="K129" s="538" t="s">
        <v>298</v>
      </c>
      <c r="L129" s="1031">
        <v>5666.67</v>
      </c>
      <c r="M129" s="403"/>
      <c r="N129" s="403"/>
      <c r="O129" s="1063">
        <f t="shared" si="172"/>
        <v>5666.67</v>
      </c>
      <c r="P129" s="566"/>
      <c r="Q129" s="406"/>
      <c r="R129" s="566"/>
      <c r="S129" s="406"/>
      <c r="T129" s="566"/>
      <c r="U129" s="404"/>
      <c r="V129" s="405"/>
      <c r="W129" s="405"/>
      <c r="X129" s="405"/>
      <c r="Z129" s="406">
        <f t="shared" si="245"/>
        <v>0</v>
      </c>
      <c r="AA129" s="407">
        <f t="shared" si="245"/>
        <v>0</v>
      </c>
      <c r="AB129" s="408">
        <f t="shared" si="163"/>
        <v>0</v>
      </c>
      <c r="AC129" s="406">
        <f t="shared" si="246"/>
        <v>0</v>
      </c>
      <c r="AD129" s="407">
        <f t="shared" si="246"/>
        <v>0</v>
      </c>
      <c r="AE129" s="408">
        <f t="shared" si="164"/>
        <v>0</v>
      </c>
      <c r="AF129" s="406">
        <f t="shared" si="247"/>
        <v>0</v>
      </c>
      <c r="AG129" s="407">
        <f t="shared" si="247"/>
        <v>0</v>
      </c>
      <c r="AH129" s="408">
        <f t="shared" si="165"/>
        <v>0</v>
      </c>
      <c r="AI129" s="406">
        <f t="shared" si="248"/>
        <v>5666.67</v>
      </c>
      <c r="AJ129" s="407">
        <f t="shared" si="248"/>
        <v>0</v>
      </c>
      <c r="AK129" s="408">
        <f t="shared" si="166"/>
        <v>5666.67</v>
      </c>
      <c r="AL129" s="409"/>
      <c r="AM129" s="406">
        <f t="shared" si="249"/>
        <v>0</v>
      </c>
      <c r="AN129" s="410">
        <f t="shared" si="249"/>
        <v>0</v>
      </c>
      <c r="AO129" s="411">
        <f t="shared" si="167"/>
        <v>0</v>
      </c>
      <c r="AP129" s="406">
        <f t="shared" si="250"/>
        <v>0</v>
      </c>
      <c r="AQ129" s="410">
        <f t="shared" si="250"/>
        <v>0</v>
      </c>
      <c r="AR129" s="411">
        <f t="shared" si="168"/>
        <v>0</v>
      </c>
      <c r="AS129" s="412">
        <f t="shared" si="344"/>
        <v>5666.67</v>
      </c>
      <c r="AT129" s="410">
        <f t="shared" si="344"/>
        <v>0</v>
      </c>
      <c r="AU129" s="411">
        <f t="shared" si="169"/>
        <v>5666.67</v>
      </c>
      <c r="AV129" s="1262">
        <f t="shared" si="170"/>
        <v>0</v>
      </c>
      <c r="AW129" s="413"/>
      <c r="AX129" s="1098"/>
      <c r="AY129" s="415"/>
      <c r="AZ129" s="1098"/>
      <c r="BA129" s="415"/>
      <c r="BB129" s="1120"/>
      <c r="BC129" s="417"/>
      <c r="BD129" s="418"/>
      <c r="BE129" s="419"/>
      <c r="BF129" s="418"/>
      <c r="BG129" s="419"/>
      <c r="BH129" s="420"/>
      <c r="BI129" s="421"/>
      <c r="BJ129" s="422"/>
      <c r="BK129" s="407"/>
      <c r="BL129" s="422"/>
      <c r="BM129" s="407"/>
      <c r="BN129" s="423"/>
      <c r="BO129" s="424"/>
      <c r="BP129" s="425"/>
      <c r="BQ129" s="426"/>
      <c r="BR129" s="425"/>
      <c r="BS129" s="426">
        <v>5666.67</v>
      </c>
      <c r="BT129" s="427"/>
    </row>
    <row r="130" spans="1:72" s="399" customFormat="1" ht="25.5" customHeight="1" outlineLevel="2">
      <c r="A130" s="287">
        <v>106</v>
      </c>
      <c r="B130" s="933"/>
      <c r="C130" s="859"/>
      <c r="D130" s="841" t="s">
        <v>277</v>
      </c>
      <c r="E130" s="860"/>
      <c r="F130" s="829" t="s">
        <v>7</v>
      </c>
      <c r="G130" s="400">
        <v>4</v>
      </c>
      <c r="H130" s="747" t="s">
        <v>70</v>
      </c>
      <c r="I130" s="747">
        <v>244</v>
      </c>
      <c r="J130" s="748">
        <v>226</v>
      </c>
      <c r="K130" s="538" t="s">
        <v>299</v>
      </c>
      <c r="L130" s="1031">
        <v>28059.9</v>
      </c>
      <c r="M130" s="403"/>
      <c r="N130" s="403"/>
      <c r="O130" s="1063">
        <f t="shared" si="172"/>
        <v>28059.9</v>
      </c>
      <c r="P130" s="566"/>
      <c r="Q130" s="406"/>
      <c r="R130" s="566"/>
      <c r="S130" s="406"/>
      <c r="T130" s="566"/>
      <c r="U130" s="404"/>
      <c r="V130" s="405"/>
      <c r="W130" s="405"/>
      <c r="X130" s="405"/>
      <c r="Z130" s="406">
        <f t="shared" si="245"/>
        <v>0</v>
      </c>
      <c r="AA130" s="407">
        <f t="shared" si="245"/>
        <v>0</v>
      </c>
      <c r="AB130" s="408">
        <f t="shared" si="163"/>
        <v>0</v>
      </c>
      <c r="AC130" s="406">
        <f t="shared" si="246"/>
        <v>0</v>
      </c>
      <c r="AD130" s="407">
        <f t="shared" si="246"/>
        <v>0</v>
      </c>
      <c r="AE130" s="408">
        <f t="shared" si="164"/>
        <v>0</v>
      </c>
      <c r="AF130" s="406">
        <f t="shared" si="247"/>
        <v>0</v>
      </c>
      <c r="AG130" s="407">
        <f t="shared" si="247"/>
        <v>0</v>
      </c>
      <c r="AH130" s="408">
        <f t="shared" si="165"/>
        <v>0</v>
      </c>
      <c r="AI130" s="406">
        <f t="shared" si="248"/>
        <v>28059.9</v>
      </c>
      <c r="AJ130" s="407">
        <f t="shared" si="248"/>
        <v>0</v>
      </c>
      <c r="AK130" s="408">
        <f t="shared" si="166"/>
        <v>28059.9</v>
      </c>
      <c r="AL130" s="409"/>
      <c r="AM130" s="406">
        <f t="shared" si="249"/>
        <v>0</v>
      </c>
      <c r="AN130" s="410">
        <f t="shared" si="249"/>
        <v>0</v>
      </c>
      <c r="AO130" s="411">
        <f t="shared" si="167"/>
        <v>0</v>
      </c>
      <c r="AP130" s="406">
        <f t="shared" si="250"/>
        <v>0</v>
      </c>
      <c r="AQ130" s="410">
        <f t="shared" si="250"/>
        <v>0</v>
      </c>
      <c r="AR130" s="411">
        <f t="shared" si="168"/>
        <v>0</v>
      </c>
      <c r="AS130" s="412">
        <f t="shared" si="344"/>
        <v>28059.9</v>
      </c>
      <c r="AT130" s="410">
        <f t="shared" si="344"/>
        <v>0</v>
      </c>
      <c r="AU130" s="411">
        <f t="shared" si="169"/>
        <v>28059.9</v>
      </c>
      <c r="AV130" s="1262">
        <f t="shared" si="170"/>
        <v>0</v>
      </c>
      <c r="AW130" s="413"/>
      <c r="AX130" s="1098"/>
      <c r="AY130" s="415"/>
      <c r="AZ130" s="1098"/>
      <c r="BA130" s="415"/>
      <c r="BB130" s="1120"/>
      <c r="BC130" s="417"/>
      <c r="BD130" s="418"/>
      <c r="BE130" s="419"/>
      <c r="BF130" s="418"/>
      <c r="BG130" s="419"/>
      <c r="BH130" s="420"/>
      <c r="BI130" s="421"/>
      <c r="BJ130" s="422"/>
      <c r="BK130" s="407"/>
      <c r="BL130" s="422"/>
      <c r="BM130" s="407"/>
      <c r="BN130" s="423"/>
      <c r="BO130" s="424"/>
      <c r="BP130" s="425"/>
      <c r="BQ130" s="426"/>
      <c r="BR130" s="425"/>
      <c r="BS130" s="426">
        <v>28059.9</v>
      </c>
      <c r="BT130" s="427"/>
    </row>
    <row r="131" spans="1:72" s="399" customFormat="1" ht="25.5" customHeight="1" outlineLevel="2">
      <c r="A131" s="287">
        <v>107</v>
      </c>
      <c r="B131" s="933"/>
      <c r="C131" s="859"/>
      <c r="D131" s="841" t="s">
        <v>277</v>
      </c>
      <c r="E131" s="860"/>
      <c r="F131" s="829" t="s">
        <v>7</v>
      </c>
      <c r="G131" s="400">
        <v>4</v>
      </c>
      <c r="H131" s="747" t="s">
        <v>70</v>
      </c>
      <c r="I131" s="747">
        <v>244</v>
      </c>
      <c r="J131" s="748">
        <v>226</v>
      </c>
      <c r="K131" s="538" t="s">
        <v>300</v>
      </c>
      <c r="L131" s="1031">
        <v>59333.2</v>
      </c>
      <c r="M131" s="403"/>
      <c r="N131" s="403"/>
      <c r="O131" s="1063">
        <f t="shared" si="172"/>
        <v>59333.2</v>
      </c>
      <c r="P131" s="566"/>
      <c r="Q131" s="406"/>
      <c r="R131" s="566"/>
      <c r="S131" s="406"/>
      <c r="T131" s="566"/>
      <c r="U131" s="404"/>
      <c r="V131" s="405"/>
      <c r="W131" s="405"/>
      <c r="X131" s="405"/>
      <c r="Z131" s="406">
        <f t="shared" si="245"/>
        <v>0</v>
      </c>
      <c r="AA131" s="407">
        <f t="shared" si="245"/>
        <v>0</v>
      </c>
      <c r="AB131" s="408">
        <f t="shared" si="163"/>
        <v>0</v>
      </c>
      <c r="AC131" s="406">
        <f t="shared" si="246"/>
        <v>0</v>
      </c>
      <c r="AD131" s="407">
        <f t="shared" si="246"/>
        <v>0</v>
      </c>
      <c r="AE131" s="408">
        <f t="shared" si="164"/>
        <v>0</v>
      </c>
      <c r="AF131" s="406">
        <f t="shared" si="247"/>
        <v>0</v>
      </c>
      <c r="AG131" s="407">
        <f t="shared" si="247"/>
        <v>0</v>
      </c>
      <c r="AH131" s="408">
        <f t="shared" si="165"/>
        <v>0</v>
      </c>
      <c r="AI131" s="406">
        <f t="shared" si="248"/>
        <v>59333.2</v>
      </c>
      <c r="AJ131" s="407">
        <f t="shared" si="248"/>
        <v>0</v>
      </c>
      <c r="AK131" s="408">
        <f t="shared" si="166"/>
        <v>59333.2</v>
      </c>
      <c r="AL131" s="409"/>
      <c r="AM131" s="406">
        <f t="shared" si="249"/>
        <v>0</v>
      </c>
      <c r="AN131" s="410">
        <f t="shared" si="249"/>
        <v>0</v>
      </c>
      <c r="AO131" s="411">
        <f t="shared" si="167"/>
        <v>0</v>
      </c>
      <c r="AP131" s="406">
        <f t="shared" si="250"/>
        <v>0</v>
      </c>
      <c r="AQ131" s="410">
        <f t="shared" si="250"/>
        <v>0</v>
      </c>
      <c r="AR131" s="411">
        <f t="shared" si="168"/>
        <v>0</v>
      </c>
      <c r="AS131" s="412">
        <f t="shared" si="344"/>
        <v>59333.2</v>
      </c>
      <c r="AT131" s="410">
        <f t="shared" si="344"/>
        <v>0</v>
      </c>
      <c r="AU131" s="411">
        <f t="shared" si="169"/>
        <v>59333.2</v>
      </c>
      <c r="AV131" s="1262">
        <f t="shared" si="170"/>
        <v>0</v>
      </c>
      <c r="AW131" s="413"/>
      <c r="AX131" s="1098"/>
      <c r="AY131" s="415"/>
      <c r="AZ131" s="1098"/>
      <c r="BA131" s="415"/>
      <c r="BB131" s="1120"/>
      <c r="BC131" s="417"/>
      <c r="BD131" s="418"/>
      <c r="BE131" s="419"/>
      <c r="BF131" s="418"/>
      <c r="BG131" s="419"/>
      <c r="BH131" s="420"/>
      <c r="BI131" s="421"/>
      <c r="BJ131" s="422"/>
      <c r="BK131" s="407"/>
      <c r="BL131" s="422"/>
      <c r="BM131" s="407"/>
      <c r="BN131" s="423"/>
      <c r="BO131" s="424"/>
      <c r="BP131" s="425"/>
      <c r="BQ131" s="426"/>
      <c r="BR131" s="425"/>
      <c r="BS131" s="426">
        <v>59333.2</v>
      </c>
      <c r="BT131" s="427"/>
    </row>
    <row r="132" spans="1:72" s="430" customFormat="1" ht="25.5" customHeight="1" outlineLevel="2">
      <c r="A132" s="287">
        <v>108</v>
      </c>
      <c r="B132" s="933"/>
      <c r="C132" s="743"/>
      <c r="D132" s="856" t="s">
        <v>277</v>
      </c>
      <c r="E132" s="857"/>
      <c r="F132" s="827" t="s">
        <v>7</v>
      </c>
      <c r="G132" s="431">
        <v>4</v>
      </c>
      <c r="H132" s="474" t="s">
        <v>70</v>
      </c>
      <c r="I132" s="743">
        <v>244</v>
      </c>
      <c r="J132" s="744">
        <v>226</v>
      </c>
      <c r="K132" s="536" t="s">
        <v>284</v>
      </c>
      <c r="L132" s="1030"/>
      <c r="M132" s="434"/>
      <c r="N132" s="434"/>
      <c r="O132" s="1064">
        <f t="shared" si="172"/>
        <v>0</v>
      </c>
      <c r="P132" s="567"/>
      <c r="Q132" s="437"/>
      <c r="R132" s="567"/>
      <c r="S132" s="437"/>
      <c r="T132" s="567"/>
      <c r="U132" s="435"/>
      <c r="V132" s="436"/>
      <c r="W132" s="436"/>
      <c r="X132" s="436"/>
      <c r="Z132" s="437">
        <f t="shared" si="245"/>
        <v>0</v>
      </c>
      <c r="AA132" s="438">
        <f t="shared" si="245"/>
        <v>0</v>
      </c>
      <c r="AB132" s="439">
        <f t="shared" si="163"/>
        <v>0</v>
      </c>
      <c r="AC132" s="437">
        <f t="shared" si="246"/>
        <v>0</v>
      </c>
      <c r="AD132" s="438">
        <f t="shared" si="246"/>
        <v>0</v>
      </c>
      <c r="AE132" s="439">
        <f t="shared" si="164"/>
        <v>0</v>
      </c>
      <c r="AF132" s="437">
        <f t="shared" si="247"/>
        <v>0</v>
      </c>
      <c r="AG132" s="438">
        <f t="shared" si="247"/>
        <v>0</v>
      </c>
      <c r="AH132" s="439">
        <f t="shared" si="165"/>
        <v>0</v>
      </c>
      <c r="AI132" s="437">
        <f t="shared" si="248"/>
        <v>0</v>
      </c>
      <c r="AJ132" s="438">
        <f t="shared" si="248"/>
        <v>0</v>
      </c>
      <c r="AK132" s="439">
        <f t="shared" si="166"/>
        <v>0</v>
      </c>
      <c r="AL132" s="440"/>
      <c r="AM132" s="437">
        <f t="shared" si="249"/>
        <v>0</v>
      </c>
      <c r="AN132" s="441">
        <f t="shared" si="249"/>
        <v>0</v>
      </c>
      <c r="AO132" s="442">
        <f t="shared" si="167"/>
        <v>0</v>
      </c>
      <c r="AP132" s="437">
        <f t="shared" si="250"/>
        <v>0</v>
      </c>
      <c r="AQ132" s="441">
        <f t="shared" si="250"/>
        <v>0</v>
      </c>
      <c r="AR132" s="442">
        <f t="shared" si="168"/>
        <v>0</v>
      </c>
      <c r="AS132" s="443">
        <f t="shared" si="344"/>
        <v>0</v>
      </c>
      <c r="AT132" s="441">
        <f t="shared" si="344"/>
        <v>0</v>
      </c>
      <c r="AU132" s="442">
        <f t="shared" si="169"/>
        <v>0</v>
      </c>
      <c r="AV132" s="440">
        <f t="shared" si="170"/>
        <v>0</v>
      </c>
      <c r="AW132" s="444"/>
      <c r="AX132" s="1111"/>
      <c r="AY132" s="446"/>
      <c r="AZ132" s="1111"/>
      <c r="BA132" s="446"/>
      <c r="BB132" s="1129"/>
      <c r="BC132" s="448"/>
      <c r="BD132" s="449"/>
      <c r="BE132" s="450"/>
      <c r="BF132" s="449"/>
      <c r="BG132" s="450"/>
      <c r="BH132" s="451"/>
      <c r="BI132" s="452"/>
      <c r="BJ132" s="453"/>
      <c r="BK132" s="438"/>
      <c r="BL132" s="453"/>
      <c r="BM132" s="438"/>
      <c r="BN132" s="454"/>
      <c r="BO132" s="455"/>
      <c r="BP132" s="456"/>
      <c r="BQ132" s="457"/>
      <c r="BR132" s="456"/>
      <c r="BS132" s="457"/>
      <c r="BT132" s="458"/>
    </row>
    <row r="133" spans="1:72" s="965" customFormat="1" ht="51" customHeight="1">
      <c r="A133" s="287">
        <v>109</v>
      </c>
      <c r="B133" s="952"/>
      <c r="C133" s="953" t="s">
        <v>377</v>
      </c>
      <c r="D133" s="954"/>
      <c r="E133" s="955" t="s">
        <v>201</v>
      </c>
      <c r="F133" s="956" t="s">
        <v>7</v>
      </c>
      <c r="G133" s="957">
        <v>4</v>
      </c>
      <c r="H133" s="957" t="s">
        <v>266</v>
      </c>
      <c r="I133" s="957">
        <v>244</v>
      </c>
      <c r="J133" s="958">
        <v>346</v>
      </c>
      <c r="K133" s="959" t="s">
        <v>306</v>
      </c>
      <c r="L133" s="1027">
        <v>359298.91</v>
      </c>
      <c r="M133" s="961"/>
      <c r="N133" s="961">
        <f>N134+N148+N167+N178+N186+N195</f>
        <v>0</v>
      </c>
      <c r="O133" s="1061">
        <f t="shared" si="172"/>
        <v>359298.91</v>
      </c>
      <c r="P133" s="962"/>
      <c r="Q133" s="960">
        <f>Q148</f>
        <v>379130.88</v>
      </c>
      <c r="R133" s="962">
        <f>R148</f>
        <v>0</v>
      </c>
      <c r="S133" s="960">
        <f>S148</f>
        <v>485710.59</v>
      </c>
      <c r="T133" s="962"/>
      <c r="U133" s="963"/>
      <c r="V133" s="964"/>
      <c r="W133" s="964"/>
      <c r="X133" s="964"/>
      <c r="Z133" s="960">
        <f t="shared" si="245"/>
        <v>65488.35</v>
      </c>
      <c r="AA133" s="961">
        <f t="shared" si="245"/>
        <v>65488.35</v>
      </c>
      <c r="AB133" s="966">
        <f t="shared" si="163"/>
        <v>0</v>
      </c>
      <c r="AC133" s="960">
        <f t="shared" si="246"/>
        <v>125166.42</v>
      </c>
      <c r="AD133" s="961">
        <f t="shared" si="246"/>
        <v>0</v>
      </c>
      <c r="AE133" s="966">
        <f t="shared" si="164"/>
        <v>125166.42</v>
      </c>
      <c r="AF133" s="960">
        <f t="shared" si="247"/>
        <v>26772.1</v>
      </c>
      <c r="AG133" s="961">
        <f t="shared" si="247"/>
        <v>0</v>
      </c>
      <c r="AH133" s="966">
        <f t="shared" si="165"/>
        <v>26772.1</v>
      </c>
      <c r="AI133" s="960">
        <f t="shared" si="248"/>
        <v>209781.95</v>
      </c>
      <c r="AJ133" s="961">
        <f t="shared" si="248"/>
        <v>96491.93</v>
      </c>
      <c r="AK133" s="966">
        <f t="shared" si="166"/>
        <v>113290.02</v>
      </c>
      <c r="AL133" s="967"/>
      <c r="AM133" s="960">
        <f t="shared" si="249"/>
        <v>190654.77</v>
      </c>
      <c r="AN133" s="961">
        <f t="shared" si="249"/>
        <v>65488.35</v>
      </c>
      <c r="AO133" s="966">
        <f t="shared" si="167"/>
        <v>125166.42</v>
      </c>
      <c r="AP133" s="960">
        <f t="shared" si="250"/>
        <v>217426.87</v>
      </c>
      <c r="AQ133" s="961">
        <f t="shared" si="250"/>
        <v>65488.35</v>
      </c>
      <c r="AR133" s="966">
        <f t="shared" si="168"/>
        <v>151938.51999999999</v>
      </c>
      <c r="AS133" s="960">
        <f t="shared" si="344"/>
        <v>427208.82</v>
      </c>
      <c r="AT133" s="961">
        <f t="shared" si="344"/>
        <v>161980.28</v>
      </c>
      <c r="AU133" s="966">
        <f t="shared" si="169"/>
        <v>265228.53999999998</v>
      </c>
      <c r="AV133" s="1260">
        <f t="shared" si="170"/>
        <v>-67909.91</v>
      </c>
      <c r="AW133" s="960">
        <f t="shared" ref="AW133:BT133" si="347">SUM(AW148,AW134,AW167,AW178,AW186,AW195)</f>
        <v>0</v>
      </c>
      <c r="AX133" s="1109">
        <f t="shared" si="347"/>
        <v>0</v>
      </c>
      <c r="AY133" s="961">
        <f t="shared" si="347"/>
        <v>16998.990000000002</v>
      </c>
      <c r="AZ133" s="1109">
        <f t="shared" si="347"/>
        <v>16998.990000000002</v>
      </c>
      <c r="BA133" s="961">
        <f t="shared" si="347"/>
        <v>48489.36</v>
      </c>
      <c r="BB133" s="1127">
        <f t="shared" si="347"/>
        <v>48489.36</v>
      </c>
      <c r="BC133" s="960">
        <f t="shared" si="347"/>
        <v>56563.519999999997</v>
      </c>
      <c r="BD133" s="961">
        <f t="shared" si="347"/>
        <v>0</v>
      </c>
      <c r="BE133" s="961">
        <f t="shared" si="347"/>
        <v>50843.5</v>
      </c>
      <c r="BF133" s="961">
        <f t="shared" si="347"/>
        <v>0</v>
      </c>
      <c r="BG133" s="961">
        <f t="shared" si="347"/>
        <v>17759.400000000001</v>
      </c>
      <c r="BH133" s="969">
        <f t="shared" si="347"/>
        <v>0</v>
      </c>
      <c r="BI133" s="960">
        <f t="shared" si="347"/>
        <v>4063</v>
      </c>
      <c r="BJ133" s="961">
        <f t="shared" si="347"/>
        <v>0</v>
      </c>
      <c r="BK133" s="961">
        <f t="shared" si="347"/>
        <v>11709.1</v>
      </c>
      <c r="BL133" s="961">
        <f t="shared" si="347"/>
        <v>0</v>
      </c>
      <c r="BM133" s="961">
        <f t="shared" si="347"/>
        <v>11000</v>
      </c>
      <c r="BN133" s="969">
        <f t="shared" si="347"/>
        <v>0</v>
      </c>
      <c r="BO133" s="960">
        <f t="shared" si="347"/>
        <v>120301.69</v>
      </c>
      <c r="BP133" s="961">
        <f t="shared" si="347"/>
        <v>96491.93</v>
      </c>
      <c r="BQ133" s="961">
        <f t="shared" si="347"/>
        <v>55396.959999999999</v>
      </c>
      <c r="BR133" s="961">
        <f t="shared" si="347"/>
        <v>0</v>
      </c>
      <c r="BS133" s="961">
        <f t="shared" si="347"/>
        <v>34083.300000000003</v>
      </c>
      <c r="BT133" s="966">
        <f t="shared" si="347"/>
        <v>0</v>
      </c>
    </row>
    <row r="134" spans="1:72" s="459" customFormat="1" ht="97.5" outlineLevel="1">
      <c r="A134" s="287">
        <v>110</v>
      </c>
      <c r="B134" s="933"/>
      <c r="C134" s="850" t="s">
        <v>378</v>
      </c>
      <c r="D134" s="854" t="s">
        <v>273</v>
      </c>
      <c r="E134" s="855"/>
      <c r="F134" s="923" t="s">
        <v>7</v>
      </c>
      <c r="G134" s="462">
        <v>4</v>
      </c>
      <c r="H134" s="741" t="s">
        <v>70</v>
      </c>
      <c r="I134" s="741">
        <v>244</v>
      </c>
      <c r="J134" s="742">
        <v>346</v>
      </c>
      <c r="K134" s="535" t="s">
        <v>492</v>
      </c>
      <c r="L134" s="1028">
        <f>SUM(L135:L147)</f>
        <v>64879.15</v>
      </c>
      <c r="M134" s="352"/>
      <c r="N134" s="352">
        <f>SUM(N135:N147)</f>
        <v>0</v>
      </c>
      <c r="O134" s="1062">
        <f t="shared" si="172"/>
        <v>64879.15</v>
      </c>
      <c r="P134" s="924"/>
      <c r="Q134" s="464"/>
      <c r="R134" s="924"/>
      <c r="S134" s="464"/>
      <c r="T134" s="924"/>
      <c r="U134" s="925"/>
      <c r="V134" s="926"/>
      <c r="W134" s="926"/>
      <c r="X134" s="1067" t="s">
        <v>645</v>
      </c>
      <c r="Y134" s="927"/>
      <c r="Z134" s="928">
        <f t="shared" si="245"/>
        <v>64879.15</v>
      </c>
      <c r="AA134" s="929">
        <f t="shared" si="245"/>
        <v>64879.15</v>
      </c>
      <c r="AB134" s="930">
        <f t="shared" si="163"/>
        <v>0</v>
      </c>
      <c r="AC134" s="928">
        <f t="shared" si="246"/>
        <v>0</v>
      </c>
      <c r="AD134" s="929">
        <f t="shared" si="246"/>
        <v>0</v>
      </c>
      <c r="AE134" s="930">
        <f t="shared" si="164"/>
        <v>0</v>
      </c>
      <c r="AF134" s="928">
        <f t="shared" si="247"/>
        <v>0</v>
      </c>
      <c r="AG134" s="929">
        <f t="shared" si="247"/>
        <v>0</v>
      </c>
      <c r="AH134" s="930">
        <f t="shared" si="165"/>
        <v>0</v>
      </c>
      <c r="AI134" s="928">
        <f t="shared" si="248"/>
        <v>0</v>
      </c>
      <c r="AJ134" s="929">
        <f t="shared" si="248"/>
        <v>0</v>
      </c>
      <c r="AK134" s="930">
        <f t="shared" si="166"/>
        <v>0</v>
      </c>
      <c r="AL134" s="931"/>
      <c r="AM134" s="464">
        <f t="shared" si="249"/>
        <v>64879.15</v>
      </c>
      <c r="AN134" s="352">
        <f t="shared" si="249"/>
        <v>64879.15</v>
      </c>
      <c r="AO134" s="465">
        <f t="shared" si="167"/>
        <v>0</v>
      </c>
      <c r="AP134" s="464">
        <f t="shared" si="250"/>
        <v>64879.15</v>
      </c>
      <c r="AQ134" s="352">
        <f t="shared" si="250"/>
        <v>64879.15</v>
      </c>
      <c r="AR134" s="465">
        <f t="shared" si="168"/>
        <v>0</v>
      </c>
      <c r="AS134" s="464">
        <f t="shared" si="344"/>
        <v>64879.15</v>
      </c>
      <c r="AT134" s="352">
        <f t="shared" si="344"/>
        <v>64879.15</v>
      </c>
      <c r="AU134" s="465">
        <f t="shared" si="169"/>
        <v>0</v>
      </c>
      <c r="AV134" s="1261">
        <f t="shared" si="170"/>
        <v>0</v>
      </c>
      <c r="AW134" s="464">
        <f t="shared" ref="AW134:BT134" si="348">SUM(AW135:AW147)</f>
        <v>0</v>
      </c>
      <c r="AX134" s="1110">
        <f t="shared" si="348"/>
        <v>0</v>
      </c>
      <c r="AY134" s="352">
        <f t="shared" si="348"/>
        <v>16998.990000000002</v>
      </c>
      <c r="AZ134" s="1110">
        <f t="shared" si="348"/>
        <v>16998.990000000002</v>
      </c>
      <c r="BA134" s="352">
        <f t="shared" si="348"/>
        <v>47880.160000000003</v>
      </c>
      <c r="BB134" s="1128">
        <f t="shared" si="348"/>
        <v>47880.160000000003</v>
      </c>
      <c r="BC134" s="464">
        <f t="shared" si="348"/>
        <v>0</v>
      </c>
      <c r="BD134" s="352">
        <f t="shared" si="348"/>
        <v>0</v>
      </c>
      <c r="BE134" s="352">
        <f t="shared" si="348"/>
        <v>0</v>
      </c>
      <c r="BF134" s="352">
        <f t="shared" si="348"/>
        <v>0</v>
      </c>
      <c r="BG134" s="352">
        <f t="shared" si="348"/>
        <v>0</v>
      </c>
      <c r="BH134" s="353">
        <f t="shared" si="348"/>
        <v>0</v>
      </c>
      <c r="BI134" s="464">
        <f t="shared" si="348"/>
        <v>0</v>
      </c>
      <c r="BJ134" s="352">
        <f t="shared" si="348"/>
        <v>0</v>
      </c>
      <c r="BK134" s="352">
        <f t="shared" si="348"/>
        <v>0</v>
      </c>
      <c r="BL134" s="352">
        <f t="shared" si="348"/>
        <v>0</v>
      </c>
      <c r="BM134" s="352">
        <f t="shared" si="348"/>
        <v>0</v>
      </c>
      <c r="BN134" s="353">
        <f t="shared" si="348"/>
        <v>0</v>
      </c>
      <c r="BO134" s="464">
        <f t="shared" si="348"/>
        <v>0</v>
      </c>
      <c r="BP134" s="352">
        <f t="shared" si="348"/>
        <v>0</v>
      </c>
      <c r="BQ134" s="352">
        <f t="shared" si="348"/>
        <v>0</v>
      </c>
      <c r="BR134" s="352">
        <f t="shared" si="348"/>
        <v>0</v>
      </c>
      <c r="BS134" s="352">
        <f t="shared" si="348"/>
        <v>0</v>
      </c>
      <c r="BT134" s="465">
        <f t="shared" si="348"/>
        <v>0</v>
      </c>
    </row>
    <row r="135" spans="1:72" s="313" customFormat="1" ht="25.5" customHeight="1" outlineLevel="2">
      <c r="A135" s="287">
        <v>111</v>
      </c>
      <c r="B135" s="933"/>
      <c r="C135" s="840"/>
      <c r="D135" s="841" t="s">
        <v>273</v>
      </c>
      <c r="E135" s="839"/>
      <c r="F135" s="821" t="s">
        <v>7</v>
      </c>
      <c r="G135" s="314">
        <v>4</v>
      </c>
      <c r="H135" s="739" t="s">
        <v>70</v>
      </c>
      <c r="I135" s="739">
        <v>244</v>
      </c>
      <c r="J135" s="740">
        <v>346</v>
      </c>
      <c r="K135" s="533" t="s">
        <v>643</v>
      </c>
      <c r="L135" s="1025">
        <v>19125.16</v>
      </c>
      <c r="M135" s="318"/>
      <c r="N135" s="318"/>
      <c r="O135" s="1052">
        <f t="shared" si="172"/>
        <v>19125.16</v>
      </c>
      <c r="P135" s="562"/>
      <c r="Q135" s="336"/>
      <c r="R135" s="562"/>
      <c r="S135" s="336"/>
      <c r="T135" s="562"/>
      <c r="U135" s="466"/>
      <c r="V135" s="597" t="s">
        <v>644</v>
      </c>
      <c r="W135" s="597" t="s">
        <v>655</v>
      </c>
      <c r="X135" s="597" t="s">
        <v>773</v>
      </c>
      <c r="Z135" s="336">
        <f t="shared" si="245"/>
        <v>19125.16</v>
      </c>
      <c r="AA135" s="337">
        <f t="shared" si="245"/>
        <v>19125.16</v>
      </c>
      <c r="AB135" s="338">
        <f t="shared" si="163"/>
        <v>0</v>
      </c>
      <c r="AC135" s="336">
        <f t="shared" si="246"/>
        <v>0</v>
      </c>
      <c r="AD135" s="337">
        <f t="shared" si="246"/>
        <v>0</v>
      </c>
      <c r="AE135" s="338">
        <f t="shared" si="164"/>
        <v>0</v>
      </c>
      <c r="AF135" s="336">
        <f t="shared" si="247"/>
        <v>0</v>
      </c>
      <c r="AG135" s="337">
        <f t="shared" si="247"/>
        <v>0</v>
      </c>
      <c r="AH135" s="338">
        <f t="shared" si="165"/>
        <v>0</v>
      </c>
      <c r="AI135" s="336">
        <f t="shared" si="248"/>
        <v>0</v>
      </c>
      <c r="AJ135" s="337">
        <f t="shared" si="248"/>
        <v>0</v>
      </c>
      <c r="AK135" s="338">
        <f t="shared" si="166"/>
        <v>0</v>
      </c>
      <c r="AL135" s="342"/>
      <c r="AM135" s="336">
        <f t="shared" si="249"/>
        <v>19125.16</v>
      </c>
      <c r="AN135" s="339">
        <f t="shared" si="249"/>
        <v>19125.16</v>
      </c>
      <c r="AO135" s="340">
        <f t="shared" si="167"/>
        <v>0</v>
      </c>
      <c r="AP135" s="336">
        <f t="shared" si="250"/>
        <v>19125.16</v>
      </c>
      <c r="AQ135" s="339">
        <f t="shared" si="250"/>
        <v>19125.16</v>
      </c>
      <c r="AR135" s="340">
        <f t="shared" si="168"/>
        <v>0</v>
      </c>
      <c r="AS135" s="341">
        <f t="shared" si="344"/>
        <v>19125.16</v>
      </c>
      <c r="AT135" s="339">
        <f t="shared" si="344"/>
        <v>19125.16</v>
      </c>
      <c r="AU135" s="340">
        <f t="shared" si="169"/>
        <v>0</v>
      </c>
      <c r="AV135" s="1255">
        <f t="shared" si="170"/>
        <v>0</v>
      </c>
      <c r="AW135" s="343"/>
      <c r="AX135" s="1098"/>
      <c r="AY135" s="345"/>
      <c r="AZ135" s="1098"/>
      <c r="BA135" s="345">
        <v>19125.16</v>
      </c>
      <c r="BB135" s="1120">
        <v>19125.16</v>
      </c>
      <c r="BC135" s="347"/>
      <c r="BD135" s="348"/>
      <c r="BE135" s="349"/>
      <c r="BF135" s="348"/>
      <c r="BG135" s="349"/>
      <c r="BH135" s="350"/>
      <c r="BI135" s="351"/>
      <c r="BJ135" s="352"/>
      <c r="BK135" s="337"/>
      <c r="BL135" s="352"/>
      <c r="BM135" s="337"/>
      <c r="BN135" s="353"/>
      <c r="BO135" s="354"/>
      <c r="BP135" s="355"/>
      <c r="BQ135" s="356"/>
      <c r="BR135" s="355"/>
      <c r="BS135" s="356"/>
      <c r="BT135" s="357"/>
    </row>
    <row r="136" spans="1:72" s="313" customFormat="1" ht="25.5" customHeight="1" outlineLevel="2">
      <c r="A136" s="287">
        <v>112</v>
      </c>
      <c r="B136" s="933"/>
      <c r="C136" s="840"/>
      <c r="D136" s="841" t="s">
        <v>273</v>
      </c>
      <c r="E136" s="839"/>
      <c r="F136" s="821" t="s">
        <v>7</v>
      </c>
      <c r="G136" s="314">
        <v>4</v>
      </c>
      <c r="H136" s="739" t="s">
        <v>70</v>
      </c>
      <c r="I136" s="739">
        <v>244</v>
      </c>
      <c r="J136" s="740">
        <v>346</v>
      </c>
      <c r="K136" s="533" t="s">
        <v>486</v>
      </c>
      <c r="L136" s="1025">
        <v>275</v>
      </c>
      <c r="M136" s="318"/>
      <c r="N136" s="318"/>
      <c r="O136" s="1052">
        <f>L136+N136</f>
        <v>275</v>
      </c>
      <c r="P136" s="562"/>
      <c r="Q136" s="336"/>
      <c r="R136" s="562"/>
      <c r="S136" s="336"/>
      <c r="T136" s="562"/>
      <c r="U136" s="466"/>
      <c r="V136" s="597" t="s">
        <v>483</v>
      </c>
      <c r="W136" s="597" t="s">
        <v>484</v>
      </c>
      <c r="X136" s="320" t="s">
        <v>557</v>
      </c>
      <c r="Z136" s="336">
        <f>AW136+AY136+BA136</f>
        <v>275</v>
      </c>
      <c r="AA136" s="337">
        <f>AX136+AZ136+BB136</f>
        <v>275</v>
      </c>
      <c r="AB136" s="338">
        <f>Z136-AA136</f>
        <v>0</v>
      </c>
      <c r="AC136" s="336">
        <f>BC136+BE136+BG136</f>
        <v>0</v>
      </c>
      <c r="AD136" s="337">
        <f>BD136+BF136+BH136</f>
        <v>0</v>
      </c>
      <c r="AE136" s="338">
        <f>AC136-AD136</f>
        <v>0</v>
      </c>
      <c r="AF136" s="336">
        <f>BI136+BK136+BM136</f>
        <v>0</v>
      </c>
      <c r="AG136" s="337">
        <f>BJ136+BL136+BN136</f>
        <v>0</v>
      </c>
      <c r="AH136" s="338">
        <f>AF136-AG136</f>
        <v>0</v>
      </c>
      <c r="AI136" s="336">
        <f>BO136+BQ136+BS136</f>
        <v>0</v>
      </c>
      <c r="AJ136" s="337">
        <f>BP136+BR136+BT136</f>
        <v>0</v>
      </c>
      <c r="AK136" s="338">
        <f>AI136-AJ136</f>
        <v>0</v>
      </c>
      <c r="AL136" s="342"/>
      <c r="AM136" s="336">
        <f>Z136+AC136</f>
        <v>275</v>
      </c>
      <c r="AN136" s="339">
        <f>AA136+AD136</f>
        <v>275</v>
      </c>
      <c r="AO136" s="340">
        <f>AM136-AN136</f>
        <v>0</v>
      </c>
      <c r="AP136" s="336">
        <f>Z136+AC136+AF136</f>
        <v>275</v>
      </c>
      <c r="AQ136" s="339">
        <f>AA136+AD136+AG136</f>
        <v>275</v>
      </c>
      <c r="AR136" s="340">
        <f>AP136-AQ136</f>
        <v>0</v>
      </c>
      <c r="AS136" s="341">
        <f>Z136+AC136+AF136+AI136</f>
        <v>275</v>
      </c>
      <c r="AT136" s="339">
        <f>AA136+AD136+AG136+AJ136</f>
        <v>275</v>
      </c>
      <c r="AU136" s="340">
        <f>AS136-AT136</f>
        <v>0</v>
      </c>
      <c r="AV136" s="1255">
        <f>L136-AS136</f>
        <v>0</v>
      </c>
      <c r="AW136" s="343"/>
      <c r="AX136" s="1098"/>
      <c r="AY136" s="345">
        <v>275</v>
      </c>
      <c r="AZ136" s="1098">
        <v>275</v>
      </c>
      <c r="BA136" s="345"/>
      <c r="BB136" s="1120"/>
      <c r="BC136" s="347"/>
      <c r="BD136" s="348"/>
      <c r="BE136" s="349"/>
      <c r="BF136" s="348"/>
      <c r="BG136" s="349"/>
      <c r="BH136" s="350"/>
      <c r="BI136" s="351"/>
      <c r="BJ136" s="352"/>
      <c r="BK136" s="337"/>
      <c r="BL136" s="352"/>
      <c r="BM136" s="337"/>
      <c r="BN136" s="353"/>
      <c r="BO136" s="354"/>
      <c r="BP136" s="355"/>
      <c r="BQ136" s="356"/>
      <c r="BR136" s="355"/>
      <c r="BS136" s="356"/>
      <c r="BT136" s="357"/>
    </row>
    <row r="137" spans="1:72" s="313" customFormat="1" ht="25.5" customHeight="1" outlineLevel="2">
      <c r="A137" s="287">
        <v>113</v>
      </c>
      <c r="B137" s="933"/>
      <c r="C137" s="840"/>
      <c r="D137" s="841" t="s">
        <v>273</v>
      </c>
      <c r="E137" s="839"/>
      <c r="F137" s="821" t="s">
        <v>7</v>
      </c>
      <c r="G137" s="314">
        <v>4</v>
      </c>
      <c r="H137" s="739" t="s">
        <v>70</v>
      </c>
      <c r="I137" s="739">
        <v>244</v>
      </c>
      <c r="J137" s="740">
        <v>346</v>
      </c>
      <c r="K137" s="533" t="s">
        <v>487</v>
      </c>
      <c r="L137" s="1025">
        <v>2874</v>
      </c>
      <c r="M137" s="318"/>
      <c r="N137" s="318"/>
      <c r="O137" s="1052">
        <f t="shared" ref="O137:O144" si="349">L137+N137</f>
        <v>2874</v>
      </c>
      <c r="P137" s="562"/>
      <c r="Q137" s="336"/>
      <c r="R137" s="562"/>
      <c r="S137" s="336"/>
      <c r="T137" s="562"/>
      <c r="U137" s="466"/>
      <c r="V137" s="597" t="s">
        <v>483</v>
      </c>
      <c r="W137" s="597" t="s">
        <v>485</v>
      </c>
      <c r="X137" s="320" t="s">
        <v>557</v>
      </c>
      <c r="Z137" s="336">
        <f t="shared" ref="Z137:AA144" si="350">AW137+AY137+BA137</f>
        <v>2874</v>
      </c>
      <c r="AA137" s="337">
        <f t="shared" si="350"/>
        <v>2874</v>
      </c>
      <c r="AB137" s="338">
        <f t="shared" ref="AB137:AB144" si="351">Z137-AA137</f>
        <v>0</v>
      </c>
      <c r="AC137" s="336">
        <f t="shared" ref="AC137:AD144" si="352">BC137+BE137+BG137</f>
        <v>0</v>
      </c>
      <c r="AD137" s="337">
        <f t="shared" si="352"/>
        <v>0</v>
      </c>
      <c r="AE137" s="338">
        <f t="shared" ref="AE137:AE144" si="353">AC137-AD137</f>
        <v>0</v>
      </c>
      <c r="AF137" s="336">
        <f t="shared" ref="AF137:AG144" si="354">BI137+BK137+BM137</f>
        <v>0</v>
      </c>
      <c r="AG137" s="337">
        <f t="shared" si="354"/>
        <v>0</v>
      </c>
      <c r="AH137" s="338">
        <f t="shared" ref="AH137:AH144" si="355">AF137-AG137</f>
        <v>0</v>
      </c>
      <c r="AI137" s="336">
        <f t="shared" ref="AI137:AJ144" si="356">BO137+BQ137+BS137</f>
        <v>0</v>
      </c>
      <c r="AJ137" s="337">
        <f t="shared" si="356"/>
        <v>0</v>
      </c>
      <c r="AK137" s="338">
        <f t="shared" ref="AK137:AK144" si="357">AI137-AJ137</f>
        <v>0</v>
      </c>
      <c r="AL137" s="342"/>
      <c r="AM137" s="336">
        <f t="shared" ref="AM137:AN144" si="358">Z137+AC137</f>
        <v>2874</v>
      </c>
      <c r="AN137" s="339">
        <f t="shared" si="358"/>
        <v>2874</v>
      </c>
      <c r="AO137" s="340">
        <f t="shared" ref="AO137:AO144" si="359">AM137-AN137</f>
        <v>0</v>
      </c>
      <c r="AP137" s="336">
        <f t="shared" ref="AP137:AQ144" si="360">Z137+AC137+AF137</f>
        <v>2874</v>
      </c>
      <c r="AQ137" s="339">
        <f t="shared" si="360"/>
        <v>2874</v>
      </c>
      <c r="AR137" s="340">
        <f t="shared" ref="AR137:AR144" si="361">AP137-AQ137</f>
        <v>0</v>
      </c>
      <c r="AS137" s="341">
        <f t="shared" ref="AS137:AT144" si="362">Z137+AC137+AF137+AI137</f>
        <v>2874</v>
      </c>
      <c r="AT137" s="339">
        <f t="shared" si="362"/>
        <v>2874</v>
      </c>
      <c r="AU137" s="340">
        <f t="shared" ref="AU137:AU144" si="363">AS137-AT137</f>
        <v>0</v>
      </c>
      <c r="AV137" s="1255">
        <f t="shared" ref="AV137:AV144" si="364">L137-AS137</f>
        <v>0</v>
      </c>
      <c r="AW137" s="343"/>
      <c r="AX137" s="1098"/>
      <c r="AY137" s="345">
        <v>2874</v>
      </c>
      <c r="AZ137" s="1098">
        <v>2874</v>
      </c>
      <c r="BA137" s="345"/>
      <c r="BB137" s="1120"/>
      <c r="BC137" s="347"/>
      <c r="BD137" s="348"/>
      <c r="BE137" s="349"/>
      <c r="BF137" s="348"/>
      <c r="BG137" s="349"/>
      <c r="BH137" s="350"/>
      <c r="BI137" s="351"/>
      <c r="BJ137" s="352"/>
      <c r="BK137" s="337"/>
      <c r="BL137" s="352"/>
      <c r="BM137" s="337"/>
      <c r="BN137" s="353"/>
      <c r="BO137" s="354"/>
      <c r="BP137" s="355"/>
      <c r="BQ137" s="356"/>
      <c r="BR137" s="355"/>
      <c r="BS137" s="356"/>
      <c r="BT137" s="357"/>
    </row>
    <row r="138" spans="1:72" s="313" customFormat="1" ht="51" outlineLevel="2">
      <c r="A138" s="287">
        <v>114</v>
      </c>
      <c r="B138" s="933"/>
      <c r="C138" s="840"/>
      <c r="D138" s="841" t="s">
        <v>273</v>
      </c>
      <c r="E138" s="839"/>
      <c r="F138" s="821" t="s">
        <v>7</v>
      </c>
      <c r="G138" s="314">
        <v>4</v>
      </c>
      <c r="H138" s="739" t="s">
        <v>70</v>
      </c>
      <c r="I138" s="739">
        <v>244</v>
      </c>
      <c r="J138" s="740">
        <v>346</v>
      </c>
      <c r="K138" s="533" t="s">
        <v>497</v>
      </c>
      <c r="L138" s="1025">
        <v>3475</v>
      </c>
      <c r="M138" s="318"/>
      <c r="N138" s="318"/>
      <c r="O138" s="1052">
        <f t="shared" si="349"/>
        <v>3475</v>
      </c>
      <c r="P138" s="562"/>
      <c r="Q138" s="336"/>
      <c r="R138" s="562"/>
      <c r="S138" s="336"/>
      <c r="T138" s="562"/>
      <c r="U138" s="466"/>
      <c r="V138" s="597" t="s">
        <v>495</v>
      </c>
      <c r="W138" s="597" t="s">
        <v>496</v>
      </c>
      <c r="X138" s="320" t="s">
        <v>557</v>
      </c>
      <c r="Z138" s="336">
        <f t="shared" si="350"/>
        <v>3475</v>
      </c>
      <c r="AA138" s="337">
        <f t="shared" si="350"/>
        <v>3475</v>
      </c>
      <c r="AB138" s="338">
        <f t="shared" si="351"/>
        <v>0</v>
      </c>
      <c r="AC138" s="336">
        <f t="shared" si="352"/>
        <v>0</v>
      </c>
      <c r="AD138" s="337">
        <f t="shared" si="352"/>
        <v>0</v>
      </c>
      <c r="AE138" s="338">
        <f t="shared" si="353"/>
        <v>0</v>
      </c>
      <c r="AF138" s="336">
        <f t="shared" si="354"/>
        <v>0</v>
      </c>
      <c r="AG138" s="337">
        <f t="shared" si="354"/>
        <v>0</v>
      </c>
      <c r="AH138" s="338">
        <f t="shared" si="355"/>
        <v>0</v>
      </c>
      <c r="AI138" s="336">
        <f t="shared" si="356"/>
        <v>0</v>
      </c>
      <c r="AJ138" s="337">
        <f t="shared" si="356"/>
        <v>0</v>
      </c>
      <c r="AK138" s="338">
        <f t="shared" si="357"/>
        <v>0</v>
      </c>
      <c r="AL138" s="342"/>
      <c r="AM138" s="336">
        <f t="shared" si="358"/>
        <v>3475</v>
      </c>
      <c r="AN138" s="339">
        <f t="shared" si="358"/>
        <v>3475</v>
      </c>
      <c r="AO138" s="340">
        <f t="shared" si="359"/>
        <v>0</v>
      </c>
      <c r="AP138" s="336">
        <f t="shared" si="360"/>
        <v>3475</v>
      </c>
      <c r="AQ138" s="339">
        <f t="shared" si="360"/>
        <v>3475</v>
      </c>
      <c r="AR138" s="340">
        <f t="shared" si="361"/>
        <v>0</v>
      </c>
      <c r="AS138" s="341">
        <f t="shared" si="362"/>
        <v>3475</v>
      </c>
      <c r="AT138" s="339">
        <f t="shared" si="362"/>
        <v>3475</v>
      </c>
      <c r="AU138" s="340">
        <f t="shared" si="363"/>
        <v>0</v>
      </c>
      <c r="AV138" s="1255">
        <f t="shared" si="364"/>
        <v>0</v>
      </c>
      <c r="AW138" s="343"/>
      <c r="AX138" s="1098"/>
      <c r="AY138" s="345">
        <v>3475</v>
      </c>
      <c r="AZ138" s="1098">
        <v>3475</v>
      </c>
      <c r="BA138" s="345"/>
      <c r="BB138" s="1120"/>
      <c r="BC138" s="347"/>
      <c r="BD138" s="348"/>
      <c r="BE138" s="349"/>
      <c r="BF138" s="348"/>
      <c r="BG138" s="349"/>
      <c r="BH138" s="350"/>
      <c r="BI138" s="351"/>
      <c r="BJ138" s="352"/>
      <c r="BK138" s="337"/>
      <c r="BL138" s="352"/>
      <c r="BM138" s="337"/>
      <c r="BN138" s="353"/>
      <c r="BO138" s="354"/>
      <c r="BP138" s="355"/>
      <c r="BQ138" s="356"/>
      <c r="BR138" s="355"/>
      <c r="BS138" s="356"/>
      <c r="BT138" s="357"/>
    </row>
    <row r="139" spans="1:72" s="313" customFormat="1" ht="89.25" outlineLevel="2">
      <c r="A139" s="287">
        <v>115</v>
      </c>
      <c r="B139" s="933"/>
      <c r="C139" s="840"/>
      <c r="D139" s="841" t="s">
        <v>273</v>
      </c>
      <c r="E139" s="839"/>
      <c r="F139" s="821" t="s">
        <v>7</v>
      </c>
      <c r="G139" s="314">
        <v>4</v>
      </c>
      <c r="H139" s="739" t="s">
        <v>70</v>
      </c>
      <c r="I139" s="739">
        <v>244</v>
      </c>
      <c r="J139" s="740">
        <v>346</v>
      </c>
      <c r="K139" s="533" t="s">
        <v>618</v>
      </c>
      <c r="L139" s="1025">
        <f>5425+40</f>
        <v>5465</v>
      </c>
      <c r="M139" s="318"/>
      <c r="N139" s="318"/>
      <c r="O139" s="1052">
        <f t="shared" si="349"/>
        <v>5465</v>
      </c>
      <c r="P139" s="562"/>
      <c r="Q139" s="336"/>
      <c r="R139" s="562"/>
      <c r="S139" s="336"/>
      <c r="T139" s="562"/>
      <c r="U139" s="466"/>
      <c r="V139" s="597" t="s">
        <v>555</v>
      </c>
      <c r="W139" s="597" t="s">
        <v>556</v>
      </c>
      <c r="X139" s="320" t="s">
        <v>557</v>
      </c>
      <c r="Z139" s="336">
        <f t="shared" si="350"/>
        <v>5465</v>
      </c>
      <c r="AA139" s="337">
        <f t="shared" si="350"/>
        <v>5465</v>
      </c>
      <c r="AB139" s="338">
        <f t="shared" si="351"/>
        <v>0</v>
      </c>
      <c r="AC139" s="336">
        <f t="shared" si="352"/>
        <v>0</v>
      </c>
      <c r="AD139" s="337">
        <f t="shared" si="352"/>
        <v>0</v>
      </c>
      <c r="AE139" s="338">
        <f t="shared" si="353"/>
        <v>0</v>
      </c>
      <c r="AF139" s="336">
        <f t="shared" si="354"/>
        <v>0</v>
      </c>
      <c r="AG139" s="337">
        <f t="shared" si="354"/>
        <v>0</v>
      </c>
      <c r="AH139" s="338">
        <f t="shared" si="355"/>
        <v>0</v>
      </c>
      <c r="AI139" s="336">
        <f t="shared" si="356"/>
        <v>0</v>
      </c>
      <c r="AJ139" s="337">
        <f t="shared" si="356"/>
        <v>0</v>
      </c>
      <c r="AK139" s="338">
        <f t="shared" si="357"/>
        <v>0</v>
      </c>
      <c r="AL139" s="342"/>
      <c r="AM139" s="336">
        <f t="shared" si="358"/>
        <v>5465</v>
      </c>
      <c r="AN139" s="339">
        <f t="shared" si="358"/>
        <v>5465</v>
      </c>
      <c r="AO139" s="340">
        <f t="shared" si="359"/>
        <v>0</v>
      </c>
      <c r="AP139" s="336">
        <f t="shared" si="360"/>
        <v>5465</v>
      </c>
      <c r="AQ139" s="339">
        <f t="shared" si="360"/>
        <v>5465</v>
      </c>
      <c r="AR139" s="340">
        <f t="shared" si="361"/>
        <v>0</v>
      </c>
      <c r="AS139" s="341">
        <f t="shared" si="362"/>
        <v>5465</v>
      </c>
      <c r="AT139" s="339">
        <f t="shared" si="362"/>
        <v>5465</v>
      </c>
      <c r="AU139" s="340">
        <f t="shared" si="363"/>
        <v>0</v>
      </c>
      <c r="AV139" s="1255">
        <f t="shared" si="364"/>
        <v>0</v>
      </c>
      <c r="AW139" s="343"/>
      <c r="AX139" s="1098"/>
      <c r="AY139" s="345">
        <v>5465</v>
      </c>
      <c r="AZ139" s="1098">
        <v>5465</v>
      </c>
      <c r="BA139" s="345"/>
      <c r="BB139" s="1120"/>
      <c r="BC139" s="347"/>
      <c r="BD139" s="348"/>
      <c r="BE139" s="349"/>
      <c r="BF139" s="348"/>
      <c r="BG139" s="349"/>
      <c r="BH139" s="350"/>
      <c r="BI139" s="351"/>
      <c r="BJ139" s="352"/>
      <c r="BK139" s="337"/>
      <c r="BL139" s="352"/>
      <c r="BM139" s="337"/>
      <c r="BN139" s="353"/>
      <c r="BO139" s="354"/>
      <c r="BP139" s="355"/>
      <c r="BQ139" s="356"/>
      <c r="BR139" s="355"/>
      <c r="BS139" s="356"/>
      <c r="BT139" s="357"/>
    </row>
    <row r="140" spans="1:72" s="313" customFormat="1" ht="76.5" outlineLevel="2">
      <c r="A140" s="287">
        <v>116</v>
      </c>
      <c r="B140" s="933"/>
      <c r="C140" s="840"/>
      <c r="D140" s="841" t="s">
        <v>273</v>
      </c>
      <c r="E140" s="839"/>
      <c r="F140" s="821" t="s">
        <v>7</v>
      </c>
      <c r="G140" s="314">
        <v>4</v>
      </c>
      <c r="H140" s="739" t="s">
        <v>70</v>
      </c>
      <c r="I140" s="739">
        <v>244</v>
      </c>
      <c r="J140" s="740">
        <v>346</v>
      </c>
      <c r="K140" s="533" t="s">
        <v>560</v>
      </c>
      <c r="L140" s="1025">
        <v>4713.99</v>
      </c>
      <c r="M140" s="318"/>
      <c r="N140" s="318"/>
      <c r="O140" s="1052">
        <f t="shared" si="349"/>
        <v>4713.99</v>
      </c>
      <c r="P140" s="562"/>
      <c r="Q140" s="336"/>
      <c r="R140" s="562"/>
      <c r="S140" s="336"/>
      <c r="T140" s="562"/>
      <c r="U140" s="466"/>
      <c r="V140" s="597" t="s">
        <v>558</v>
      </c>
      <c r="W140" s="597" t="s">
        <v>559</v>
      </c>
      <c r="X140" s="388" t="s">
        <v>561</v>
      </c>
      <c r="Z140" s="336">
        <f t="shared" si="350"/>
        <v>4713.99</v>
      </c>
      <c r="AA140" s="337">
        <f t="shared" si="350"/>
        <v>4713.99</v>
      </c>
      <c r="AB140" s="338">
        <f t="shared" si="351"/>
        <v>0</v>
      </c>
      <c r="AC140" s="336">
        <f t="shared" si="352"/>
        <v>0</v>
      </c>
      <c r="AD140" s="337">
        <f t="shared" si="352"/>
        <v>0</v>
      </c>
      <c r="AE140" s="338">
        <f t="shared" si="353"/>
        <v>0</v>
      </c>
      <c r="AF140" s="336">
        <f t="shared" si="354"/>
        <v>0</v>
      </c>
      <c r="AG140" s="337">
        <f t="shared" si="354"/>
        <v>0</v>
      </c>
      <c r="AH140" s="338">
        <f t="shared" si="355"/>
        <v>0</v>
      </c>
      <c r="AI140" s="336">
        <f t="shared" si="356"/>
        <v>0</v>
      </c>
      <c r="AJ140" s="337">
        <f t="shared" si="356"/>
        <v>0</v>
      </c>
      <c r="AK140" s="338">
        <f t="shared" si="357"/>
        <v>0</v>
      </c>
      <c r="AL140" s="342"/>
      <c r="AM140" s="336">
        <f t="shared" si="358"/>
        <v>4713.99</v>
      </c>
      <c r="AN140" s="339">
        <f t="shared" si="358"/>
        <v>4713.99</v>
      </c>
      <c r="AO140" s="340">
        <f t="shared" si="359"/>
        <v>0</v>
      </c>
      <c r="AP140" s="336">
        <f t="shared" si="360"/>
        <v>4713.99</v>
      </c>
      <c r="AQ140" s="339">
        <f t="shared" si="360"/>
        <v>4713.99</v>
      </c>
      <c r="AR140" s="340">
        <f t="shared" si="361"/>
        <v>0</v>
      </c>
      <c r="AS140" s="341">
        <f t="shared" si="362"/>
        <v>4713.99</v>
      </c>
      <c r="AT140" s="339">
        <f t="shared" si="362"/>
        <v>4713.99</v>
      </c>
      <c r="AU140" s="340">
        <f t="shared" si="363"/>
        <v>0</v>
      </c>
      <c r="AV140" s="1255">
        <f t="shared" si="364"/>
        <v>0</v>
      </c>
      <c r="AW140" s="343"/>
      <c r="AX140" s="1098"/>
      <c r="AY140" s="345">
        <v>4713.99</v>
      </c>
      <c r="AZ140" s="1098">
        <v>4713.99</v>
      </c>
      <c r="BA140" s="345"/>
      <c r="BB140" s="1120"/>
      <c r="BC140" s="347"/>
      <c r="BD140" s="348"/>
      <c r="BE140" s="349"/>
      <c r="BF140" s="348"/>
      <c r="BG140" s="349"/>
      <c r="BH140" s="350"/>
      <c r="BI140" s="351"/>
      <c r="BJ140" s="352"/>
      <c r="BK140" s="337"/>
      <c r="BL140" s="352"/>
      <c r="BM140" s="337"/>
      <c r="BN140" s="353"/>
      <c r="BO140" s="354"/>
      <c r="BP140" s="355"/>
      <c r="BQ140" s="356"/>
      <c r="BR140" s="355"/>
      <c r="BS140" s="356"/>
      <c r="BT140" s="357"/>
    </row>
    <row r="141" spans="1:72" s="313" customFormat="1" ht="25.5" outlineLevel="2">
      <c r="A141" s="287">
        <v>117</v>
      </c>
      <c r="B141" s="933"/>
      <c r="C141" s="840"/>
      <c r="D141" s="841" t="s">
        <v>273</v>
      </c>
      <c r="E141" s="839"/>
      <c r="F141" s="821" t="s">
        <v>7</v>
      </c>
      <c r="G141" s="314">
        <v>4</v>
      </c>
      <c r="H141" s="739" t="s">
        <v>70</v>
      </c>
      <c r="I141" s="739">
        <v>244</v>
      </c>
      <c r="J141" s="740">
        <v>346</v>
      </c>
      <c r="K141" s="533" t="s">
        <v>562</v>
      </c>
      <c r="L141" s="1025">
        <v>196</v>
      </c>
      <c r="M141" s="318"/>
      <c r="N141" s="318"/>
      <c r="O141" s="1052">
        <f t="shared" si="349"/>
        <v>196</v>
      </c>
      <c r="P141" s="562"/>
      <c r="Q141" s="336"/>
      <c r="R141" s="562"/>
      <c r="S141" s="336"/>
      <c r="T141" s="562"/>
      <c r="U141" s="466"/>
      <c r="V141" s="597" t="s">
        <v>483</v>
      </c>
      <c r="W141" s="597" t="s">
        <v>563</v>
      </c>
      <c r="X141" s="320" t="s">
        <v>557</v>
      </c>
      <c r="Z141" s="336">
        <f t="shared" si="350"/>
        <v>196</v>
      </c>
      <c r="AA141" s="337">
        <f t="shared" si="350"/>
        <v>196</v>
      </c>
      <c r="AB141" s="338">
        <f t="shared" si="351"/>
        <v>0</v>
      </c>
      <c r="AC141" s="336">
        <f t="shared" si="352"/>
        <v>0</v>
      </c>
      <c r="AD141" s="337">
        <f t="shared" si="352"/>
        <v>0</v>
      </c>
      <c r="AE141" s="338">
        <f t="shared" si="353"/>
        <v>0</v>
      </c>
      <c r="AF141" s="336">
        <f t="shared" si="354"/>
        <v>0</v>
      </c>
      <c r="AG141" s="337">
        <f t="shared" si="354"/>
        <v>0</v>
      </c>
      <c r="AH141" s="338">
        <f t="shared" si="355"/>
        <v>0</v>
      </c>
      <c r="AI141" s="336">
        <f t="shared" si="356"/>
        <v>0</v>
      </c>
      <c r="AJ141" s="337">
        <f t="shared" si="356"/>
        <v>0</v>
      </c>
      <c r="AK141" s="338">
        <f t="shared" si="357"/>
        <v>0</v>
      </c>
      <c r="AL141" s="342"/>
      <c r="AM141" s="336">
        <f t="shared" si="358"/>
        <v>196</v>
      </c>
      <c r="AN141" s="339">
        <f t="shared" si="358"/>
        <v>196</v>
      </c>
      <c r="AO141" s="340">
        <f t="shared" si="359"/>
        <v>0</v>
      </c>
      <c r="AP141" s="336">
        <f t="shared" si="360"/>
        <v>196</v>
      </c>
      <c r="AQ141" s="339">
        <f t="shared" si="360"/>
        <v>196</v>
      </c>
      <c r="AR141" s="340">
        <f t="shared" si="361"/>
        <v>0</v>
      </c>
      <c r="AS141" s="341">
        <f t="shared" si="362"/>
        <v>196</v>
      </c>
      <c r="AT141" s="339">
        <f t="shared" si="362"/>
        <v>196</v>
      </c>
      <c r="AU141" s="340">
        <f t="shared" si="363"/>
        <v>0</v>
      </c>
      <c r="AV141" s="1255">
        <f t="shared" si="364"/>
        <v>0</v>
      </c>
      <c r="AW141" s="343"/>
      <c r="AX141" s="1098"/>
      <c r="AY141" s="345">
        <v>196</v>
      </c>
      <c r="AZ141" s="1098">
        <v>196</v>
      </c>
      <c r="BA141" s="345"/>
      <c r="BB141" s="1120"/>
      <c r="BC141" s="347"/>
      <c r="BD141" s="348"/>
      <c r="BE141" s="349"/>
      <c r="BF141" s="348"/>
      <c r="BG141" s="349"/>
      <c r="BH141" s="350"/>
      <c r="BI141" s="351"/>
      <c r="BJ141" s="352"/>
      <c r="BK141" s="337"/>
      <c r="BL141" s="352"/>
      <c r="BM141" s="337"/>
      <c r="BN141" s="353"/>
      <c r="BO141" s="354"/>
      <c r="BP141" s="355"/>
      <c r="BQ141" s="356"/>
      <c r="BR141" s="355"/>
      <c r="BS141" s="356"/>
      <c r="BT141" s="357"/>
    </row>
    <row r="142" spans="1:72" s="313" customFormat="1" ht="25.5" outlineLevel="2">
      <c r="A142" s="287">
        <v>118</v>
      </c>
      <c r="B142" s="933"/>
      <c r="C142" s="840"/>
      <c r="D142" s="841" t="s">
        <v>273</v>
      </c>
      <c r="E142" s="839"/>
      <c r="F142" s="821" t="s">
        <v>7</v>
      </c>
      <c r="G142" s="314">
        <v>4</v>
      </c>
      <c r="H142" s="739" t="s">
        <v>70</v>
      </c>
      <c r="I142" s="739">
        <v>244</v>
      </c>
      <c r="J142" s="740">
        <v>346</v>
      </c>
      <c r="K142" s="533" t="s">
        <v>564</v>
      </c>
      <c r="L142" s="1025">
        <v>598</v>
      </c>
      <c r="M142" s="318"/>
      <c r="N142" s="318"/>
      <c r="O142" s="1052">
        <f t="shared" si="349"/>
        <v>598</v>
      </c>
      <c r="P142" s="562"/>
      <c r="Q142" s="336"/>
      <c r="R142" s="562"/>
      <c r="S142" s="336"/>
      <c r="T142" s="562"/>
      <c r="U142" s="466"/>
      <c r="V142" s="597" t="s">
        <v>483</v>
      </c>
      <c r="W142" s="597" t="s">
        <v>566</v>
      </c>
      <c r="X142" s="320" t="s">
        <v>557</v>
      </c>
      <c r="Z142" s="336">
        <f t="shared" si="350"/>
        <v>598</v>
      </c>
      <c r="AA142" s="337">
        <f t="shared" si="350"/>
        <v>598</v>
      </c>
      <c r="AB142" s="338">
        <f t="shared" si="351"/>
        <v>0</v>
      </c>
      <c r="AC142" s="336">
        <f t="shared" si="352"/>
        <v>0</v>
      </c>
      <c r="AD142" s="337">
        <f t="shared" si="352"/>
        <v>0</v>
      </c>
      <c r="AE142" s="338">
        <f t="shared" si="353"/>
        <v>0</v>
      </c>
      <c r="AF142" s="336">
        <f t="shared" si="354"/>
        <v>0</v>
      </c>
      <c r="AG142" s="337">
        <f t="shared" si="354"/>
        <v>0</v>
      </c>
      <c r="AH142" s="338">
        <f t="shared" si="355"/>
        <v>0</v>
      </c>
      <c r="AI142" s="336">
        <f t="shared" si="356"/>
        <v>0</v>
      </c>
      <c r="AJ142" s="337">
        <f t="shared" si="356"/>
        <v>0</v>
      </c>
      <c r="AK142" s="338">
        <f t="shared" si="357"/>
        <v>0</v>
      </c>
      <c r="AL142" s="342"/>
      <c r="AM142" s="336">
        <f t="shared" si="358"/>
        <v>598</v>
      </c>
      <c r="AN142" s="339">
        <f t="shared" si="358"/>
        <v>598</v>
      </c>
      <c r="AO142" s="340">
        <f t="shared" si="359"/>
        <v>0</v>
      </c>
      <c r="AP142" s="336">
        <f t="shared" si="360"/>
        <v>598</v>
      </c>
      <c r="AQ142" s="339">
        <f t="shared" si="360"/>
        <v>598</v>
      </c>
      <c r="AR142" s="340">
        <f t="shared" si="361"/>
        <v>0</v>
      </c>
      <c r="AS142" s="341">
        <f t="shared" si="362"/>
        <v>598</v>
      </c>
      <c r="AT142" s="339">
        <f t="shared" si="362"/>
        <v>598</v>
      </c>
      <c r="AU142" s="340">
        <f t="shared" si="363"/>
        <v>0</v>
      </c>
      <c r="AV142" s="1255">
        <f t="shared" si="364"/>
        <v>0</v>
      </c>
      <c r="AW142" s="343"/>
      <c r="AX142" s="1098"/>
      <c r="AY142" s="345"/>
      <c r="AZ142" s="1098"/>
      <c r="BA142" s="345">
        <v>598</v>
      </c>
      <c r="BB142" s="1120">
        <v>598</v>
      </c>
      <c r="BC142" s="347"/>
      <c r="BD142" s="348"/>
      <c r="BE142" s="349"/>
      <c r="BF142" s="348"/>
      <c r="BG142" s="349"/>
      <c r="BH142" s="350"/>
      <c r="BI142" s="351"/>
      <c r="BJ142" s="352"/>
      <c r="BK142" s="337"/>
      <c r="BL142" s="352"/>
      <c r="BM142" s="337"/>
      <c r="BN142" s="353"/>
      <c r="BO142" s="354"/>
      <c r="BP142" s="355"/>
      <c r="BQ142" s="356"/>
      <c r="BR142" s="355"/>
      <c r="BS142" s="356"/>
      <c r="BT142" s="357"/>
    </row>
    <row r="143" spans="1:72" s="313" customFormat="1" ht="51" outlineLevel="2">
      <c r="A143" s="287">
        <v>119</v>
      </c>
      <c r="B143" s="933"/>
      <c r="C143" s="840"/>
      <c r="D143" s="841" t="s">
        <v>273</v>
      </c>
      <c r="E143" s="839"/>
      <c r="F143" s="821" t="s">
        <v>7</v>
      </c>
      <c r="G143" s="314">
        <v>4</v>
      </c>
      <c r="H143" s="739" t="s">
        <v>70</v>
      </c>
      <c r="I143" s="739">
        <v>244</v>
      </c>
      <c r="J143" s="740">
        <v>346</v>
      </c>
      <c r="K143" s="533" t="s">
        <v>569</v>
      </c>
      <c r="L143" s="1025">
        <v>3995</v>
      </c>
      <c r="M143" s="318"/>
      <c r="N143" s="318"/>
      <c r="O143" s="1052">
        <f t="shared" si="349"/>
        <v>3995</v>
      </c>
      <c r="P143" s="562"/>
      <c r="Q143" s="336"/>
      <c r="R143" s="562"/>
      <c r="S143" s="336"/>
      <c r="T143" s="562"/>
      <c r="U143" s="466"/>
      <c r="V143" s="597" t="s">
        <v>570</v>
      </c>
      <c r="W143" s="597" t="s">
        <v>571</v>
      </c>
      <c r="X143" s="388" t="s">
        <v>572</v>
      </c>
      <c r="Z143" s="336">
        <f t="shared" si="350"/>
        <v>3995</v>
      </c>
      <c r="AA143" s="337">
        <f t="shared" si="350"/>
        <v>3995</v>
      </c>
      <c r="AB143" s="338">
        <f t="shared" si="351"/>
        <v>0</v>
      </c>
      <c r="AC143" s="336">
        <f t="shared" si="352"/>
        <v>0</v>
      </c>
      <c r="AD143" s="337">
        <f t="shared" si="352"/>
        <v>0</v>
      </c>
      <c r="AE143" s="338">
        <f t="shared" si="353"/>
        <v>0</v>
      </c>
      <c r="AF143" s="336">
        <f t="shared" si="354"/>
        <v>0</v>
      </c>
      <c r="AG143" s="337">
        <f t="shared" si="354"/>
        <v>0</v>
      </c>
      <c r="AH143" s="338">
        <f t="shared" si="355"/>
        <v>0</v>
      </c>
      <c r="AI143" s="336">
        <f t="shared" si="356"/>
        <v>0</v>
      </c>
      <c r="AJ143" s="337">
        <f t="shared" si="356"/>
        <v>0</v>
      </c>
      <c r="AK143" s="338">
        <f t="shared" si="357"/>
        <v>0</v>
      </c>
      <c r="AL143" s="342"/>
      <c r="AM143" s="336">
        <f t="shared" si="358"/>
        <v>3995</v>
      </c>
      <c r="AN143" s="339">
        <f t="shared" si="358"/>
        <v>3995</v>
      </c>
      <c r="AO143" s="340">
        <f t="shared" si="359"/>
        <v>0</v>
      </c>
      <c r="AP143" s="336">
        <f t="shared" si="360"/>
        <v>3995</v>
      </c>
      <c r="AQ143" s="339">
        <f t="shared" si="360"/>
        <v>3995</v>
      </c>
      <c r="AR143" s="340">
        <f t="shared" si="361"/>
        <v>0</v>
      </c>
      <c r="AS143" s="341">
        <f t="shared" si="362"/>
        <v>3995</v>
      </c>
      <c r="AT143" s="339">
        <f t="shared" si="362"/>
        <v>3995</v>
      </c>
      <c r="AU143" s="340">
        <f t="shared" si="363"/>
        <v>0</v>
      </c>
      <c r="AV143" s="1255">
        <f t="shared" si="364"/>
        <v>0</v>
      </c>
      <c r="AW143" s="343"/>
      <c r="AX143" s="1098"/>
      <c r="AY143" s="345"/>
      <c r="AZ143" s="1098"/>
      <c r="BA143" s="345">
        <v>3995</v>
      </c>
      <c r="BB143" s="1120">
        <v>3995</v>
      </c>
      <c r="BC143" s="347"/>
      <c r="BD143" s="348"/>
      <c r="BE143" s="349"/>
      <c r="BF143" s="348"/>
      <c r="BG143" s="349"/>
      <c r="BH143" s="350"/>
      <c r="BI143" s="351"/>
      <c r="BJ143" s="352"/>
      <c r="BK143" s="337"/>
      <c r="BL143" s="352"/>
      <c r="BM143" s="337"/>
      <c r="BN143" s="353"/>
      <c r="BO143" s="354"/>
      <c r="BP143" s="355"/>
      <c r="BQ143" s="356"/>
      <c r="BR143" s="355"/>
      <c r="BS143" s="356"/>
      <c r="BT143" s="357"/>
    </row>
    <row r="144" spans="1:72" s="313" customFormat="1" ht="63.75" outlineLevel="2">
      <c r="A144" s="287">
        <v>120</v>
      </c>
      <c r="B144" s="933"/>
      <c r="C144" s="840"/>
      <c r="D144" s="841" t="s">
        <v>273</v>
      </c>
      <c r="E144" s="839"/>
      <c r="F144" s="821" t="s">
        <v>7</v>
      </c>
      <c r="G144" s="314">
        <v>4</v>
      </c>
      <c r="H144" s="739" t="s">
        <v>70</v>
      </c>
      <c r="I144" s="739">
        <v>244</v>
      </c>
      <c r="J144" s="740">
        <v>346</v>
      </c>
      <c r="K144" s="533" t="s">
        <v>583</v>
      </c>
      <c r="L144" s="1025">
        <v>3977</v>
      </c>
      <c r="M144" s="318"/>
      <c r="N144" s="318"/>
      <c r="O144" s="1052">
        <f t="shared" si="349"/>
        <v>3977</v>
      </c>
      <c r="P144" s="562"/>
      <c r="Q144" s="336"/>
      <c r="R144" s="562"/>
      <c r="S144" s="336"/>
      <c r="T144" s="562"/>
      <c r="U144" s="466"/>
      <c r="V144" s="597" t="s">
        <v>582</v>
      </c>
      <c r="W144" s="597" t="s">
        <v>581</v>
      </c>
      <c r="X144" s="320" t="s">
        <v>557</v>
      </c>
      <c r="Z144" s="336">
        <f t="shared" si="350"/>
        <v>3977</v>
      </c>
      <c r="AA144" s="337">
        <f t="shared" si="350"/>
        <v>3977</v>
      </c>
      <c r="AB144" s="338">
        <f t="shared" si="351"/>
        <v>0</v>
      </c>
      <c r="AC144" s="336">
        <f t="shared" si="352"/>
        <v>0</v>
      </c>
      <c r="AD144" s="337">
        <f t="shared" si="352"/>
        <v>0</v>
      </c>
      <c r="AE144" s="338">
        <f t="shared" si="353"/>
        <v>0</v>
      </c>
      <c r="AF144" s="336">
        <f t="shared" si="354"/>
        <v>0</v>
      </c>
      <c r="AG144" s="337">
        <f t="shared" si="354"/>
        <v>0</v>
      </c>
      <c r="AH144" s="338">
        <f t="shared" si="355"/>
        <v>0</v>
      </c>
      <c r="AI144" s="336">
        <f t="shared" si="356"/>
        <v>0</v>
      </c>
      <c r="AJ144" s="337">
        <f t="shared" si="356"/>
        <v>0</v>
      </c>
      <c r="AK144" s="338">
        <f t="shared" si="357"/>
        <v>0</v>
      </c>
      <c r="AL144" s="342"/>
      <c r="AM144" s="336">
        <f t="shared" si="358"/>
        <v>3977</v>
      </c>
      <c r="AN144" s="339">
        <f t="shared" si="358"/>
        <v>3977</v>
      </c>
      <c r="AO144" s="340">
        <f t="shared" si="359"/>
        <v>0</v>
      </c>
      <c r="AP144" s="336">
        <f t="shared" si="360"/>
        <v>3977</v>
      </c>
      <c r="AQ144" s="339">
        <f t="shared" si="360"/>
        <v>3977</v>
      </c>
      <c r="AR144" s="340">
        <f t="shared" si="361"/>
        <v>0</v>
      </c>
      <c r="AS144" s="341">
        <f t="shared" si="362"/>
        <v>3977</v>
      </c>
      <c r="AT144" s="339">
        <f t="shared" si="362"/>
        <v>3977</v>
      </c>
      <c r="AU144" s="340">
        <f t="shared" si="363"/>
        <v>0</v>
      </c>
      <c r="AV144" s="1255">
        <f t="shared" si="364"/>
        <v>0</v>
      </c>
      <c r="AW144" s="343"/>
      <c r="AX144" s="1098"/>
      <c r="AY144" s="345"/>
      <c r="AZ144" s="1098"/>
      <c r="BA144" s="345">
        <v>3977</v>
      </c>
      <c r="BB144" s="1120">
        <v>3977</v>
      </c>
      <c r="BC144" s="347"/>
      <c r="BD144" s="348"/>
      <c r="BE144" s="349"/>
      <c r="BF144" s="348"/>
      <c r="BG144" s="349"/>
      <c r="BH144" s="350"/>
      <c r="BI144" s="351"/>
      <c r="BJ144" s="352"/>
      <c r="BK144" s="337"/>
      <c r="BL144" s="352"/>
      <c r="BM144" s="337"/>
      <c r="BN144" s="353"/>
      <c r="BO144" s="354"/>
      <c r="BP144" s="355"/>
      <c r="BQ144" s="356"/>
      <c r="BR144" s="355"/>
      <c r="BS144" s="356"/>
      <c r="BT144" s="357"/>
    </row>
    <row r="145" spans="1:72" s="313" customFormat="1" ht="25.5" customHeight="1" outlineLevel="2">
      <c r="A145" s="287">
        <v>121</v>
      </c>
      <c r="B145" s="933"/>
      <c r="C145" s="840"/>
      <c r="D145" s="841" t="s">
        <v>273</v>
      </c>
      <c r="E145" s="839"/>
      <c r="F145" s="821" t="s">
        <v>7</v>
      </c>
      <c r="G145" s="314">
        <v>4</v>
      </c>
      <c r="H145" s="739" t="s">
        <v>70</v>
      </c>
      <c r="I145" s="739">
        <v>244</v>
      </c>
      <c r="J145" s="740">
        <v>346</v>
      </c>
      <c r="K145" s="533" t="s">
        <v>779</v>
      </c>
      <c r="L145" s="1025">
        <v>1174</v>
      </c>
      <c r="M145" s="318"/>
      <c r="N145" s="318"/>
      <c r="O145" s="1052">
        <f>L145+N145</f>
        <v>1174</v>
      </c>
      <c r="P145" s="562"/>
      <c r="Q145" s="336"/>
      <c r="R145" s="562"/>
      <c r="S145" s="336"/>
      <c r="T145" s="562"/>
      <c r="U145" s="466"/>
      <c r="V145" s="597" t="s">
        <v>483</v>
      </c>
      <c r="W145" s="597" t="s">
        <v>617</v>
      </c>
      <c r="X145" s="320" t="s">
        <v>557</v>
      </c>
      <c r="Z145" s="336">
        <f>AW145+AY145+BA145</f>
        <v>1174</v>
      </c>
      <c r="AA145" s="337">
        <f>AX145+AZ145+BB145</f>
        <v>1174</v>
      </c>
      <c r="AB145" s="338">
        <f>Z145-AA145</f>
        <v>0</v>
      </c>
      <c r="AC145" s="336">
        <f>BC145+BE145+BG145</f>
        <v>0</v>
      </c>
      <c r="AD145" s="337">
        <f>BD145+BF145+BH145</f>
        <v>0</v>
      </c>
      <c r="AE145" s="338">
        <f>AC145-AD145</f>
        <v>0</v>
      </c>
      <c r="AF145" s="336">
        <f>BI145+BK145+BM145</f>
        <v>0</v>
      </c>
      <c r="AG145" s="337">
        <f>BJ145+BL145+BN145</f>
        <v>0</v>
      </c>
      <c r="AH145" s="338">
        <f>AF145-AG145</f>
        <v>0</v>
      </c>
      <c r="AI145" s="336">
        <f>BO145+BQ145+BS145</f>
        <v>0</v>
      </c>
      <c r="AJ145" s="337">
        <f>BP145+BR145+BT145</f>
        <v>0</v>
      </c>
      <c r="AK145" s="338">
        <f>AI145-AJ145</f>
        <v>0</v>
      </c>
      <c r="AL145" s="342"/>
      <c r="AM145" s="336">
        <f>Z145+AC145</f>
        <v>1174</v>
      </c>
      <c r="AN145" s="339">
        <f>AA145+AD145</f>
        <v>1174</v>
      </c>
      <c r="AO145" s="340">
        <f>AM145-AN145</f>
        <v>0</v>
      </c>
      <c r="AP145" s="336">
        <f>Z145+AC145+AF145</f>
        <v>1174</v>
      </c>
      <c r="AQ145" s="339">
        <f>AA145+AD145+AG145</f>
        <v>1174</v>
      </c>
      <c r="AR145" s="340">
        <f>AP145-AQ145</f>
        <v>0</v>
      </c>
      <c r="AS145" s="341">
        <f>Z145+AC145+AF145+AI145</f>
        <v>1174</v>
      </c>
      <c r="AT145" s="339">
        <f>AA145+AD145+AG145+AJ145</f>
        <v>1174</v>
      </c>
      <c r="AU145" s="340">
        <f>AS145-AT145</f>
        <v>0</v>
      </c>
      <c r="AV145" s="1255">
        <f>L145-AS145</f>
        <v>0</v>
      </c>
      <c r="AW145" s="343"/>
      <c r="AX145" s="1098"/>
      <c r="AY145" s="345"/>
      <c r="AZ145" s="1098"/>
      <c r="BA145" s="345">
        <v>1174</v>
      </c>
      <c r="BB145" s="1120">
        <v>1174</v>
      </c>
      <c r="BC145" s="347"/>
      <c r="BD145" s="348"/>
      <c r="BE145" s="349"/>
      <c r="BF145" s="348"/>
      <c r="BG145" s="349"/>
      <c r="BH145" s="350"/>
      <c r="BI145" s="351"/>
      <c r="BJ145" s="352"/>
      <c r="BK145" s="337"/>
      <c r="BL145" s="352"/>
      <c r="BM145" s="337"/>
      <c r="BN145" s="353"/>
      <c r="BO145" s="354"/>
      <c r="BP145" s="355"/>
      <c r="BQ145" s="356"/>
      <c r="BR145" s="355"/>
      <c r="BS145" s="356"/>
      <c r="BT145" s="357"/>
    </row>
    <row r="146" spans="1:72" s="313" customFormat="1" ht="25.5" outlineLevel="2">
      <c r="A146" s="287">
        <v>122</v>
      </c>
      <c r="B146" s="933"/>
      <c r="C146" s="840"/>
      <c r="D146" s="841" t="s">
        <v>273</v>
      </c>
      <c r="E146" s="839"/>
      <c r="F146" s="821" t="s">
        <v>7</v>
      </c>
      <c r="G146" s="314">
        <v>4</v>
      </c>
      <c r="H146" s="739" t="s">
        <v>70</v>
      </c>
      <c r="I146" s="739">
        <v>244</v>
      </c>
      <c r="J146" s="740">
        <v>346</v>
      </c>
      <c r="K146" s="533" t="s">
        <v>615</v>
      </c>
      <c r="L146" s="1025">
        <v>19011</v>
      </c>
      <c r="M146" s="318"/>
      <c r="N146" s="318"/>
      <c r="O146" s="1052">
        <f t="shared" ref="O146" si="365">L146+N146</f>
        <v>19011</v>
      </c>
      <c r="P146" s="562"/>
      <c r="Q146" s="336"/>
      <c r="R146" s="562"/>
      <c r="S146" s="336"/>
      <c r="T146" s="562"/>
      <c r="U146" s="466"/>
      <c r="V146" s="597" t="s">
        <v>616</v>
      </c>
      <c r="W146" s="597" t="s">
        <v>656</v>
      </c>
      <c r="X146" s="597" t="s">
        <v>657</v>
      </c>
      <c r="Z146" s="336">
        <f t="shared" ref="Z146:AA146" si="366">AW146+AY146+BA146</f>
        <v>19011</v>
      </c>
      <c r="AA146" s="337">
        <f t="shared" si="366"/>
        <v>19011</v>
      </c>
      <c r="AB146" s="338">
        <f t="shared" ref="AB146" si="367">Z146-AA146</f>
        <v>0</v>
      </c>
      <c r="AC146" s="336">
        <f t="shared" ref="AC146:AD146" si="368">BC146+BE146+BG146</f>
        <v>0</v>
      </c>
      <c r="AD146" s="337">
        <f t="shared" si="368"/>
        <v>0</v>
      </c>
      <c r="AE146" s="338">
        <f t="shared" ref="AE146" si="369">AC146-AD146</f>
        <v>0</v>
      </c>
      <c r="AF146" s="336">
        <f t="shared" ref="AF146:AG146" si="370">BI146+BK146+BM146</f>
        <v>0</v>
      </c>
      <c r="AG146" s="337">
        <f t="shared" si="370"/>
        <v>0</v>
      </c>
      <c r="AH146" s="338">
        <f t="shared" ref="AH146" si="371">AF146-AG146</f>
        <v>0</v>
      </c>
      <c r="AI146" s="336">
        <f t="shared" ref="AI146:AJ146" si="372">BO146+BQ146+BS146</f>
        <v>0</v>
      </c>
      <c r="AJ146" s="337">
        <f t="shared" si="372"/>
        <v>0</v>
      </c>
      <c r="AK146" s="338">
        <f t="shared" ref="AK146" si="373">AI146-AJ146</f>
        <v>0</v>
      </c>
      <c r="AL146" s="342"/>
      <c r="AM146" s="336">
        <f t="shared" ref="AM146:AN146" si="374">Z146+AC146</f>
        <v>19011</v>
      </c>
      <c r="AN146" s="339">
        <f t="shared" si="374"/>
        <v>19011</v>
      </c>
      <c r="AO146" s="340">
        <f t="shared" ref="AO146" si="375">AM146-AN146</f>
        <v>0</v>
      </c>
      <c r="AP146" s="336">
        <f t="shared" ref="AP146:AQ146" si="376">Z146+AC146+AF146</f>
        <v>19011</v>
      </c>
      <c r="AQ146" s="339">
        <f t="shared" si="376"/>
        <v>19011</v>
      </c>
      <c r="AR146" s="340">
        <f t="shared" ref="AR146" si="377">AP146-AQ146</f>
        <v>0</v>
      </c>
      <c r="AS146" s="341">
        <f t="shared" ref="AS146:AT161" si="378">Z146+AC146+AF146+AI146</f>
        <v>19011</v>
      </c>
      <c r="AT146" s="339">
        <f t="shared" si="378"/>
        <v>19011</v>
      </c>
      <c r="AU146" s="340">
        <f t="shared" ref="AU146" si="379">AS146-AT146</f>
        <v>0</v>
      </c>
      <c r="AV146" s="1255">
        <f t="shared" ref="AV146" si="380">L146-AS146</f>
        <v>0</v>
      </c>
      <c r="AW146" s="343"/>
      <c r="AX146" s="1098"/>
      <c r="AY146" s="345"/>
      <c r="AZ146" s="1098"/>
      <c r="BA146" s="345">
        <v>19011</v>
      </c>
      <c r="BB146" s="1120">
        <v>19011</v>
      </c>
      <c r="BC146" s="347"/>
      <c r="BD146" s="348"/>
      <c r="BE146" s="349"/>
      <c r="BF146" s="348"/>
      <c r="BG146" s="349"/>
      <c r="BH146" s="350"/>
      <c r="BI146" s="351"/>
      <c r="BJ146" s="352"/>
      <c r="BK146" s="337"/>
      <c r="BL146" s="352"/>
      <c r="BM146" s="337"/>
      <c r="BN146" s="353"/>
      <c r="BO146" s="354"/>
      <c r="BP146" s="355"/>
      <c r="BQ146" s="356"/>
      <c r="BR146" s="355"/>
      <c r="BS146" s="356"/>
      <c r="BT146" s="357"/>
    </row>
    <row r="147" spans="1:72" s="430" customFormat="1" ht="25.5" customHeight="1" outlineLevel="2">
      <c r="A147" s="287">
        <v>123</v>
      </c>
      <c r="B147" s="933"/>
      <c r="C147" s="743"/>
      <c r="D147" s="856" t="s">
        <v>273</v>
      </c>
      <c r="E147" s="857"/>
      <c r="F147" s="827" t="s">
        <v>7</v>
      </c>
      <c r="G147" s="431">
        <v>4</v>
      </c>
      <c r="H147" s="474" t="s">
        <v>70</v>
      </c>
      <c r="I147" s="743">
        <v>244</v>
      </c>
      <c r="J147" s="744">
        <v>346</v>
      </c>
      <c r="K147" s="536" t="s">
        <v>284</v>
      </c>
      <c r="L147" s="1030"/>
      <c r="M147" s="434"/>
      <c r="N147" s="434"/>
      <c r="O147" s="1064">
        <f t="shared" si="172"/>
        <v>0</v>
      </c>
      <c r="P147" s="563"/>
      <c r="Q147" s="437"/>
      <c r="R147" s="563"/>
      <c r="S147" s="437"/>
      <c r="T147" s="563"/>
      <c r="U147" s="467"/>
      <c r="V147" s="436"/>
      <c r="W147" s="436"/>
      <c r="X147" s="436"/>
      <c r="Z147" s="437">
        <f t="shared" si="245"/>
        <v>0</v>
      </c>
      <c r="AA147" s="438">
        <f t="shared" si="245"/>
        <v>0</v>
      </c>
      <c r="AB147" s="439">
        <f t="shared" si="163"/>
        <v>0</v>
      </c>
      <c r="AC147" s="437">
        <f t="shared" si="246"/>
        <v>0</v>
      </c>
      <c r="AD147" s="438">
        <f t="shared" si="246"/>
        <v>0</v>
      </c>
      <c r="AE147" s="439">
        <f t="shared" si="164"/>
        <v>0</v>
      </c>
      <c r="AF147" s="437">
        <f t="shared" si="247"/>
        <v>0</v>
      </c>
      <c r="AG147" s="438">
        <f t="shared" si="247"/>
        <v>0</v>
      </c>
      <c r="AH147" s="439">
        <f t="shared" si="165"/>
        <v>0</v>
      </c>
      <c r="AI147" s="437">
        <f t="shared" si="248"/>
        <v>0</v>
      </c>
      <c r="AJ147" s="438">
        <f t="shared" si="248"/>
        <v>0</v>
      </c>
      <c r="AK147" s="439">
        <f t="shared" si="166"/>
        <v>0</v>
      </c>
      <c r="AL147" s="440"/>
      <c r="AM147" s="437">
        <f t="shared" si="249"/>
        <v>0</v>
      </c>
      <c r="AN147" s="441">
        <f t="shared" si="249"/>
        <v>0</v>
      </c>
      <c r="AO147" s="442">
        <f t="shared" si="167"/>
        <v>0</v>
      </c>
      <c r="AP147" s="437">
        <f t="shared" si="250"/>
        <v>0</v>
      </c>
      <c r="AQ147" s="441">
        <f t="shared" si="250"/>
        <v>0</v>
      </c>
      <c r="AR147" s="442">
        <f t="shared" si="168"/>
        <v>0</v>
      </c>
      <c r="AS147" s="443">
        <f t="shared" si="378"/>
        <v>0</v>
      </c>
      <c r="AT147" s="441">
        <f t="shared" si="378"/>
        <v>0</v>
      </c>
      <c r="AU147" s="442">
        <f t="shared" si="169"/>
        <v>0</v>
      </c>
      <c r="AV147" s="440">
        <f t="shared" si="170"/>
        <v>0</v>
      </c>
      <c r="AW147" s="444"/>
      <c r="AX147" s="1111"/>
      <c r="AY147" s="446"/>
      <c r="AZ147" s="1111"/>
      <c r="BA147" s="446"/>
      <c r="BB147" s="1129"/>
      <c r="BC147" s="448"/>
      <c r="BD147" s="449"/>
      <c r="BE147" s="450"/>
      <c r="BF147" s="449"/>
      <c r="BG147" s="450"/>
      <c r="BH147" s="451"/>
      <c r="BI147" s="452"/>
      <c r="BJ147" s="453"/>
      <c r="BK147" s="438"/>
      <c r="BL147" s="453"/>
      <c r="BM147" s="438"/>
      <c r="BN147" s="454"/>
      <c r="BO147" s="455"/>
      <c r="BP147" s="456"/>
      <c r="BQ147" s="457"/>
      <c r="BR147" s="456"/>
      <c r="BS147" s="457"/>
      <c r="BT147" s="458"/>
    </row>
    <row r="148" spans="1:72" s="921" customFormat="1" ht="54" customHeight="1" outlineLevel="1">
      <c r="A148" s="287">
        <v>124</v>
      </c>
      <c r="B148" s="933"/>
      <c r="C148" s="850" t="s">
        <v>378</v>
      </c>
      <c r="D148" s="854" t="s">
        <v>807</v>
      </c>
      <c r="E148" s="902"/>
      <c r="F148" s="903" t="s">
        <v>7</v>
      </c>
      <c r="G148" s="904">
        <v>4</v>
      </c>
      <c r="H148" s="905" t="s">
        <v>70</v>
      </c>
      <c r="I148" s="905">
        <v>244</v>
      </c>
      <c r="J148" s="906">
        <v>346</v>
      </c>
      <c r="K148" s="907" t="s">
        <v>687</v>
      </c>
      <c r="L148" s="1033">
        <v>134005.82</v>
      </c>
      <c r="M148" s="909"/>
      <c r="N148" s="909">
        <f>SUM(N149:N166)</f>
        <v>-23980.6</v>
      </c>
      <c r="O148" s="1066">
        <f>L148+N148</f>
        <v>110025.22</v>
      </c>
      <c r="P148" s="910"/>
      <c r="Q148" s="908">
        <f>Q149</f>
        <v>379130.88</v>
      </c>
      <c r="R148" s="910"/>
      <c r="S148" s="908">
        <f>S149</f>
        <v>485710.59</v>
      </c>
      <c r="T148" s="910"/>
      <c r="U148" s="911"/>
      <c r="V148" s="912"/>
      <c r="W148" s="912"/>
      <c r="X148" s="912"/>
      <c r="Y148" s="913"/>
      <c r="Z148" s="914">
        <f t="shared" si="245"/>
        <v>609.20000000000005</v>
      </c>
      <c r="AA148" s="915">
        <f t="shared" si="245"/>
        <v>609.20000000000005</v>
      </c>
      <c r="AB148" s="916">
        <f>Z148-AA148</f>
        <v>0</v>
      </c>
      <c r="AC148" s="914">
        <f t="shared" si="246"/>
        <v>109416.02</v>
      </c>
      <c r="AD148" s="915">
        <f t="shared" si="246"/>
        <v>0</v>
      </c>
      <c r="AE148" s="916">
        <f>AC148-AD148</f>
        <v>109416.02</v>
      </c>
      <c r="AF148" s="914">
        <f t="shared" si="247"/>
        <v>0</v>
      </c>
      <c r="AG148" s="915">
        <f t="shared" si="247"/>
        <v>0</v>
      </c>
      <c r="AH148" s="916">
        <f>AF148-AG148</f>
        <v>0</v>
      </c>
      <c r="AI148" s="914">
        <f t="shared" si="248"/>
        <v>0</v>
      </c>
      <c r="AJ148" s="915">
        <f t="shared" si="248"/>
        <v>0</v>
      </c>
      <c r="AK148" s="916">
        <f>AI148-AJ148</f>
        <v>0</v>
      </c>
      <c r="AL148" s="917"/>
      <c r="AM148" s="908">
        <f t="shared" si="249"/>
        <v>110025.22</v>
      </c>
      <c r="AN148" s="909">
        <f t="shared" si="249"/>
        <v>609.20000000000005</v>
      </c>
      <c r="AO148" s="918">
        <f>AM148-AN148</f>
        <v>109416.02</v>
      </c>
      <c r="AP148" s="908">
        <f t="shared" si="250"/>
        <v>110025.22</v>
      </c>
      <c r="AQ148" s="909">
        <f t="shared" si="250"/>
        <v>609.20000000000005</v>
      </c>
      <c r="AR148" s="918">
        <f>AP148-AQ148</f>
        <v>109416.02</v>
      </c>
      <c r="AS148" s="908">
        <f t="shared" si="378"/>
        <v>110025.22</v>
      </c>
      <c r="AT148" s="909">
        <f t="shared" si="378"/>
        <v>609.20000000000005</v>
      </c>
      <c r="AU148" s="918">
        <f>AS148-AT148</f>
        <v>109416.02</v>
      </c>
      <c r="AV148" s="1264">
        <f>L148-AS148</f>
        <v>23980.6</v>
      </c>
      <c r="AW148" s="908">
        <f t="shared" ref="AW148:BT148" si="381">SUM(AW149:AW166)</f>
        <v>0</v>
      </c>
      <c r="AX148" s="1110">
        <f t="shared" si="381"/>
        <v>0</v>
      </c>
      <c r="AY148" s="909">
        <f t="shared" si="381"/>
        <v>0</v>
      </c>
      <c r="AZ148" s="1110">
        <f t="shared" si="381"/>
        <v>0</v>
      </c>
      <c r="BA148" s="909">
        <f t="shared" si="381"/>
        <v>609.20000000000005</v>
      </c>
      <c r="BB148" s="1128">
        <f t="shared" si="381"/>
        <v>609.20000000000005</v>
      </c>
      <c r="BC148" s="908">
        <f t="shared" si="381"/>
        <v>56563.519999999997</v>
      </c>
      <c r="BD148" s="909">
        <f t="shared" si="381"/>
        <v>0</v>
      </c>
      <c r="BE148" s="909">
        <f t="shared" si="381"/>
        <v>50843.5</v>
      </c>
      <c r="BF148" s="909">
        <f t="shared" si="381"/>
        <v>0</v>
      </c>
      <c r="BG148" s="909">
        <f t="shared" si="381"/>
        <v>2009</v>
      </c>
      <c r="BH148" s="920">
        <f t="shared" si="381"/>
        <v>0</v>
      </c>
      <c r="BI148" s="908">
        <f t="shared" si="381"/>
        <v>0</v>
      </c>
      <c r="BJ148" s="909">
        <f t="shared" si="381"/>
        <v>0</v>
      </c>
      <c r="BK148" s="909">
        <f t="shared" si="381"/>
        <v>0</v>
      </c>
      <c r="BL148" s="909">
        <f t="shared" si="381"/>
        <v>0</v>
      </c>
      <c r="BM148" s="909">
        <f t="shared" si="381"/>
        <v>0</v>
      </c>
      <c r="BN148" s="920">
        <f t="shared" si="381"/>
        <v>0</v>
      </c>
      <c r="BO148" s="908">
        <f t="shared" si="381"/>
        <v>0</v>
      </c>
      <c r="BP148" s="909">
        <f t="shared" si="381"/>
        <v>0</v>
      </c>
      <c r="BQ148" s="909">
        <f t="shared" si="381"/>
        <v>0</v>
      </c>
      <c r="BR148" s="909">
        <f t="shared" si="381"/>
        <v>0</v>
      </c>
      <c r="BS148" s="909">
        <f t="shared" si="381"/>
        <v>0</v>
      </c>
      <c r="BT148" s="918">
        <f t="shared" si="381"/>
        <v>0</v>
      </c>
    </row>
    <row r="149" spans="1:72" s="313" customFormat="1" ht="25.5" customHeight="1" outlineLevel="2">
      <c r="A149" s="287">
        <v>125</v>
      </c>
      <c r="B149" s="933" t="s">
        <v>1058</v>
      </c>
      <c r="C149" s="840"/>
      <c r="D149" s="854" t="s">
        <v>807</v>
      </c>
      <c r="E149" s="839"/>
      <c r="F149" s="821" t="s">
        <v>7</v>
      </c>
      <c r="G149" s="314">
        <v>4</v>
      </c>
      <c r="H149" s="739" t="s">
        <v>70</v>
      </c>
      <c r="I149" s="739">
        <v>244</v>
      </c>
      <c r="J149" s="740">
        <v>346</v>
      </c>
      <c r="K149" s="1005" t="s">
        <v>747</v>
      </c>
      <c r="L149" s="1031">
        <f>134005.82-SUM(L150:L166)</f>
        <v>23980.6</v>
      </c>
      <c r="M149" s="318"/>
      <c r="N149" s="318">
        <f>-4063-6000-5000-8917.6</f>
        <v>-23980.6</v>
      </c>
      <c r="O149" s="1055">
        <f>L149+N149</f>
        <v>0</v>
      </c>
      <c r="P149" s="562"/>
      <c r="Q149" s="336">
        <v>379130.88</v>
      </c>
      <c r="R149" s="562">
        <v>0</v>
      </c>
      <c r="S149" s="336">
        <v>485710.59</v>
      </c>
      <c r="T149" s="562"/>
      <c r="U149" s="466"/>
      <c r="V149" s="320"/>
      <c r="W149" s="320"/>
      <c r="X149" s="320"/>
      <c r="Z149" s="336">
        <f t="shared" si="245"/>
        <v>0</v>
      </c>
      <c r="AA149" s="337">
        <f t="shared" si="245"/>
        <v>0</v>
      </c>
      <c r="AB149" s="338">
        <f>Z149-AA149</f>
        <v>0</v>
      </c>
      <c r="AC149" s="336">
        <f t="shared" si="246"/>
        <v>0</v>
      </c>
      <c r="AD149" s="337">
        <f t="shared" si="246"/>
        <v>0</v>
      </c>
      <c r="AE149" s="338">
        <f>AC149-AD149</f>
        <v>0</v>
      </c>
      <c r="AF149" s="336">
        <f t="shared" si="247"/>
        <v>0</v>
      </c>
      <c r="AG149" s="337">
        <f t="shared" si="247"/>
        <v>0</v>
      </c>
      <c r="AH149" s="338">
        <f>AF149-AG149</f>
        <v>0</v>
      </c>
      <c r="AI149" s="336">
        <f t="shared" si="248"/>
        <v>0</v>
      </c>
      <c r="AJ149" s="337">
        <f t="shared" si="248"/>
        <v>0</v>
      </c>
      <c r="AK149" s="338">
        <f>AI149-AJ149</f>
        <v>0</v>
      </c>
      <c r="AL149" s="342"/>
      <c r="AM149" s="336">
        <f t="shared" si="249"/>
        <v>0</v>
      </c>
      <c r="AN149" s="339">
        <f t="shared" si="249"/>
        <v>0</v>
      </c>
      <c r="AO149" s="340">
        <f>AM149-AN149</f>
        <v>0</v>
      </c>
      <c r="AP149" s="336">
        <f t="shared" si="250"/>
        <v>0</v>
      </c>
      <c r="AQ149" s="339">
        <f t="shared" si="250"/>
        <v>0</v>
      </c>
      <c r="AR149" s="340">
        <f>AP149-AQ149</f>
        <v>0</v>
      </c>
      <c r="AS149" s="341">
        <f t="shared" si="378"/>
        <v>0</v>
      </c>
      <c r="AT149" s="339">
        <f t="shared" si="378"/>
        <v>0</v>
      </c>
      <c r="AU149" s="340">
        <f>AS149-AT149</f>
        <v>0</v>
      </c>
      <c r="AV149" s="1255">
        <f>L149-AS149</f>
        <v>23980.6</v>
      </c>
      <c r="AW149" s="343"/>
      <c r="AX149" s="1098"/>
      <c r="AY149" s="345"/>
      <c r="AZ149" s="1098"/>
      <c r="BA149" s="345"/>
      <c r="BB149" s="1120"/>
      <c r="BC149" s="347"/>
      <c r="BD149" s="348"/>
      <c r="BE149" s="349"/>
      <c r="BF149" s="348"/>
      <c r="BG149" s="349"/>
      <c r="BH149" s="350"/>
      <c r="BI149" s="351"/>
      <c r="BJ149" s="352"/>
      <c r="BK149" s="337"/>
      <c r="BL149" s="352"/>
      <c r="BM149" s="337"/>
      <c r="BN149" s="353"/>
      <c r="BO149" s="354"/>
      <c r="BP149" s="355"/>
      <c r="BQ149" s="356"/>
      <c r="BR149" s="355"/>
      <c r="BS149" s="356"/>
      <c r="BT149" s="357"/>
    </row>
    <row r="150" spans="1:72" s="313" customFormat="1" ht="25.5" outlineLevel="2">
      <c r="A150" s="287">
        <v>126</v>
      </c>
      <c r="B150" s="933"/>
      <c r="C150" s="840"/>
      <c r="D150" s="854" t="s">
        <v>807</v>
      </c>
      <c r="E150" s="839"/>
      <c r="F150" s="821" t="s">
        <v>7</v>
      </c>
      <c r="G150" s="314">
        <v>4</v>
      </c>
      <c r="H150" s="739" t="s">
        <v>70</v>
      </c>
      <c r="I150" s="739">
        <v>244</v>
      </c>
      <c r="J150" s="740">
        <v>346</v>
      </c>
      <c r="K150" s="533" t="s">
        <v>726</v>
      </c>
      <c r="L150" s="1025">
        <v>609.20000000000005</v>
      </c>
      <c r="M150" s="318"/>
      <c r="N150" s="318"/>
      <c r="O150" s="1052">
        <f t="shared" ref="O150:O164" si="382">L150+N150</f>
        <v>609.20000000000005</v>
      </c>
      <c r="P150" s="562"/>
      <c r="Q150" s="336"/>
      <c r="R150" s="562"/>
      <c r="S150" s="336"/>
      <c r="T150" s="562"/>
      <c r="U150" s="466"/>
      <c r="V150" s="597" t="s">
        <v>483</v>
      </c>
      <c r="W150" s="597" t="s">
        <v>614</v>
      </c>
      <c r="X150" s="320" t="s">
        <v>557</v>
      </c>
      <c r="Z150" s="336">
        <f t="shared" si="245"/>
        <v>609.20000000000005</v>
      </c>
      <c r="AA150" s="337">
        <f t="shared" si="245"/>
        <v>609.20000000000005</v>
      </c>
      <c r="AB150" s="338">
        <f t="shared" ref="AB150:AB161" si="383">Z150-AA150</f>
        <v>0</v>
      </c>
      <c r="AC150" s="336">
        <f t="shared" si="246"/>
        <v>0</v>
      </c>
      <c r="AD150" s="337">
        <f t="shared" si="246"/>
        <v>0</v>
      </c>
      <c r="AE150" s="338">
        <f t="shared" ref="AE150:AE161" si="384">AC150-AD150</f>
        <v>0</v>
      </c>
      <c r="AF150" s="336">
        <f t="shared" si="247"/>
        <v>0</v>
      </c>
      <c r="AG150" s="337">
        <f t="shared" si="247"/>
        <v>0</v>
      </c>
      <c r="AH150" s="338">
        <f t="shared" ref="AH150:AH161" si="385">AF150-AG150</f>
        <v>0</v>
      </c>
      <c r="AI150" s="336">
        <f t="shared" si="248"/>
        <v>0</v>
      </c>
      <c r="AJ150" s="337">
        <f t="shared" si="248"/>
        <v>0</v>
      </c>
      <c r="AK150" s="338">
        <f t="shared" ref="AK150:AK161" si="386">AI150-AJ150</f>
        <v>0</v>
      </c>
      <c r="AL150" s="342"/>
      <c r="AM150" s="336">
        <f t="shared" si="249"/>
        <v>609.20000000000005</v>
      </c>
      <c r="AN150" s="339">
        <f t="shared" si="249"/>
        <v>609.20000000000005</v>
      </c>
      <c r="AO150" s="340">
        <f t="shared" ref="AO150:AO161" si="387">AM150-AN150</f>
        <v>0</v>
      </c>
      <c r="AP150" s="336">
        <f t="shared" si="250"/>
        <v>609.20000000000005</v>
      </c>
      <c r="AQ150" s="339">
        <f t="shared" si="250"/>
        <v>609.20000000000005</v>
      </c>
      <c r="AR150" s="340">
        <f t="shared" ref="AR150:AR161" si="388">AP150-AQ150</f>
        <v>0</v>
      </c>
      <c r="AS150" s="341">
        <f t="shared" si="378"/>
        <v>609.20000000000005</v>
      </c>
      <c r="AT150" s="339">
        <f t="shared" si="378"/>
        <v>609.20000000000005</v>
      </c>
      <c r="AU150" s="340">
        <f t="shared" ref="AU150:AU161" si="389">AS150-AT150</f>
        <v>0</v>
      </c>
      <c r="AV150" s="1255">
        <f t="shared" ref="AV150:AV164" si="390">L150-AS150</f>
        <v>0</v>
      </c>
      <c r="AW150" s="343"/>
      <c r="AX150" s="1098"/>
      <c r="AY150" s="345"/>
      <c r="AZ150" s="1098"/>
      <c r="BA150" s="345">
        <v>609.20000000000005</v>
      </c>
      <c r="BB150" s="1120">
        <v>609.20000000000005</v>
      </c>
      <c r="BC150" s="347"/>
      <c r="BD150" s="348"/>
      <c r="BE150" s="349"/>
      <c r="BF150" s="348"/>
      <c r="BG150" s="349"/>
      <c r="BH150" s="350"/>
      <c r="BI150" s="351"/>
      <c r="BJ150" s="352"/>
      <c r="BK150" s="337"/>
      <c r="BL150" s="352"/>
      <c r="BM150" s="337"/>
      <c r="BN150" s="353"/>
      <c r="BO150" s="354"/>
      <c r="BP150" s="355"/>
      <c r="BQ150" s="356"/>
      <c r="BR150" s="355"/>
      <c r="BS150" s="356"/>
      <c r="BT150" s="357"/>
    </row>
    <row r="151" spans="1:72" s="313" customFormat="1" ht="25.5" outlineLevel="2">
      <c r="A151" s="287">
        <v>127</v>
      </c>
      <c r="B151" s="933"/>
      <c r="C151" s="840"/>
      <c r="D151" s="854" t="s">
        <v>807</v>
      </c>
      <c r="E151" s="839"/>
      <c r="F151" s="821" t="s">
        <v>7</v>
      </c>
      <c r="G151" s="314">
        <v>4</v>
      </c>
      <c r="H151" s="739" t="s">
        <v>70</v>
      </c>
      <c r="I151" s="739">
        <v>244</v>
      </c>
      <c r="J151" s="740">
        <v>346</v>
      </c>
      <c r="K151" s="533" t="s">
        <v>727</v>
      </c>
      <c r="L151" s="1025">
        <v>1705</v>
      </c>
      <c r="M151" s="318"/>
      <c r="N151" s="318"/>
      <c r="O151" s="1052">
        <f t="shared" si="382"/>
        <v>1705</v>
      </c>
      <c r="P151" s="562"/>
      <c r="Q151" s="336"/>
      <c r="R151" s="562"/>
      <c r="S151" s="336"/>
      <c r="T151" s="562"/>
      <c r="U151" s="466"/>
      <c r="V151" s="597" t="s">
        <v>728</v>
      </c>
      <c r="W151" s="320" t="s">
        <v>481</v>
      </c>
      <c r="X151" s="320" t="s">
        <v>557</v>
      </c>
      <c r="Z151" s="336">
        <f t="shared" si="245"/>
        <v>0</v>
      </c>
      <c r="AA151" s="337">
        <f t="shared" si="245"/>
        <v>0</v>
      </c>
      <c r="AB151" s="338">
        <f t="shared" si="383"/>
        <v>0</v>
      </c>
      <c r="AC151" s="336">
        <f t="shared" si="246"/>
        <v>1705</v>
      </c>
      <c r="AD151" s="337">
        <f t="shared" si="246"/>
        <v>0</v>
      </c>
      <c r="AE151" s="338">
        <f t="shared" si="384"/>
        <v>1705</v>
      </c>
      <c r="AF151" s="336">
        <f t="shared" si="247"/>
        <v>0</v>
      </c>
      <c r="AG151" s="337">
        <f t="shared" si="247"/>
        <v>0</v>
      </c>
      <c r="AH151" s="338">
        <f t="shared" si="385"/>
        <v>0</v>
      </c>
      <c r="AI151" s="336">
        <f t="shared" si="248"/>
        <v>0</v>
      </c>
      <c r="AJ151" s="337">
        <f t="shared" si="248"/>
        <v>0</v>
      </c>
      <c r="AK151" s="338">
        <f t="shared" si="386"/>
        <v>0</v>
      </c>
      <c r="AL151" s="342"/>
      <c r="AM151" s="336">
        <f t="shared" si="249"/>
        <v>1705</v>
      </c>
      <c r="AN151" s="339">
        <f t="shared" si="249"/>
        <v>0</v>
      </c>
      <c r="AO151" s="340">
        <f t="shared" si="387"/>
        <v>1705</v>
      </c>
      <c r="AP151" s="336">
        <f t="shared" si="250"/>
        <v>1705</v>
      </c>
      <c r="AQ151" s="339">
        <f t="shared" si="250"/>
        <v>0</v>
      </c>
      <c r="AR151" s="340">
        <f t="shared" si="388"/>
        <v>1705</v>
      </c>
      <c r="AS151" s="341">
        <f t="shared" si="378"/>
        <v>1705</v>
      </c>
      <c r="AT151" s="339">
        <f t="shared" si="378"/>
        <v>0</v>
      </c>
      <c r="AU151" s="340">
        <f t="shared" si="389"/>
        <v>1705</v>
      </c>
      <c r="AV151" s="1255">
        <f t="shared" si="390"/>
        <v>0</v>
      </c>
      <c r="AW151" s="343"/>
      <c r="AX151" s="1098"/>
      <c r="AY151" s="345"/>
      <c r="AZ151" s="1098"/>
      <c r="BA151" s="345"/>
      <c r="BB151" s="1120"/>
      <c r="BC151" s="1134">
        <v>1705</v>
      </c>
      <c r="BD151" s="348"/>
      <c r="BE151" s="349"/>
      <c r="BF151" s="348"/>
      <c r="BG151" s="349"/>
      <c r="BH151" s="350"/>
      <c r="BI151" s="351"/>
      <c r="BJ151" s="352"/>
      <c r="BK151" s="337"/>
      <c r="BL151" s="352"/>
      <c r="BM151" s="337"/>
      <c r="BN151" s="353"/>
      <c r="BO151" s="354"/>
      <c r="BP151" s="355"/>
      <c r="BQ151" s="356"/>
      <c r="BR151" s="355"/>
      <c r="BS151" s="356"/>
      <c r="BT151" s="357"/>
    </row>
    <row r="152" spans="1:72" s="313" customFormat="1" ht="89.25" outlineLevel="2">
      <c r="A152" s="287">
        <v>128</v>
      </c>
      <c r="B152" s="933"/>
      <c r="C152" s="840"/>
      <c r="D152" s="854" t="s">
        <v>807</v>
      </c>
      <c r="E152" s="839"/>
      <c r="F152" s="821" t="s">
        <v>7</v>
      </c>
      <c r="G152" s="314">
        <v>4</v>
      </c>
      <c r="H152" s="739" t="s">
        <v>70</v>
      </c>
      <c r="I152" s="739">
        <v>244</v>
      </c>
      <c r="J152" s="740">
        <v>346</v>
      </c>
      <c r="K152" s="533" t="s">
        <v>729</v>
      </c>
      <c r="L152" s="1025">
        <v>13942.02</v>
      </c>
      <c r="M152" s="318"/>
      <c r="N152" s="318"/>
      <c r="O152" s="1052">
        <f t="shared" si="382"/>
        <v>13942.02</v>
      </c>
      <c r="P152" s="562"/>
      <c r="Q152" s="336"/>
      <c r="R152" s="562"/>
      <c r="S152" s="336"/>
      <c r="T152" s="562"/>
      <c r="U152" s="466"/>
      <c r="V152" s="597" t="s">
        <v>730</v>
      </c>
      <c r="W152" s="597" t="s">
        <v>736</v>
      </c>
      <c r="X152" s="1094" t="s">
        <v>737</v>
      </c>
      <c r="Z152" s="336">
        <f t="shared" si="245"/>
        <v>0</v>
      </c>
      <c r="AA152" s="337">
        <f t="shared" si="245"/>
        <v>0</v>
      </c>
      <c r="AB152" s="338">
        <f t="shared" si="383"/>
        <v>0</v>
      </c>
      <c r="AC152" s="336">
        <f t="shared" si="246"/>
        <v>13942.02</v>
      </c>
      <c r="AD152" s="337">
        <f t="shared" si="246"/>
        <v>0</v>
      </c>
      <c r="AE152" s="338">
        <f t="shared" si="384"/>
        <v>13942.02</v>
      </c>
      <c r="AF152" s="336">
        <f t="shared" si="247"/>
        <v>0</v>
      </c>
      <c r="AG152" s="337">
        <f t="shared" si="247"/>
        <v>0</v>
      </c>
      <c r="AH152" s="338">
        <f t="shared" si="385"/>
        <v>0</v>
      </c>
      <c r="AI152" s="336">
        <f t="shared" si="248"/>
        <v>0</v>
      </c>
      <c r="AJ152" s="337">
        <f t="shared" si="248"/>
        <v>0</v>
      </c>
      <c r="AK152" s="338">
        <f t="shared" si="386"/>
        <v>0</v>
      </c>
      <c r="AL152" s="342"/>
      <c r="AM152" s="336">
        <f t="shared" si="249"/>
        <v>13942.02</v>
      </c>
      <c r="AN152" s="339">
        <f t="shared" si="249"/>
        <v>0</v>
      </c>
      <c r="AO152" s="340">
        <f t="shared" si="387"/>
        <v>13942.02</v>
      </c>
      <c r="AP152" s="336">
        <f t="shared" si="250"/>
        <v>13942.02</v>
      </c>
      <c r="AQ152" s="339">
        <f t="shared" si="250"/>
        <v>0</v>
      </c>
      <c r="AR152" s="340">
        <f t="shared" si="388"/>
        <v>13942.02</v>
      </c>
      <c r="AS152" s="341">
        <f t="shared" si="378"/>
        <v>13942.02</v>
      </c>
      <c r="AT152" s="339">
        <f t="shared" si="378"/>
        <v>0</v>
      </c>
      <c r="AU152" s="340">
        <f t="shared" si="389"/>
        <v>13942.02</v>
      </c>
      <c r="AV152" s="1255">
        <f t="shared" si="390"/>
        <v>0</v>
      </c>
      <c r="AW152" s="343"/>
      <c r="AX152" s="1098"/>
      <c r="AY152" s="345"/>
      <c r="AZ152" s="1098"/>
      <c r="BA152" s="345"/>
      <c r="BB152" s="1120"/>
      <c r="BC152" s="1134">
        <v>13942.02</v>
      </c>
      <c r="BD152" s="348"/>
      <c r="BE152" s="349"/>
      <c r="BF152" s="348"/>
      <c r="BG152" s="349"/>
      <c r="BH152" s="350"/>
      <c r="BI152" s="351"/>
      <c r="BJ152" s="352"/>
      <c r="BK152" s="337"/>
      <c r="BL152" s="352"/>
      <c r="BM152" s="337"/>
      <c r="BN152" s="353"/>
      <c r="BO152" s="354"/>
      <c r="BP152" s="355"/>
      <c r="BQ152" s="356"/>
      <c r="BR152" s="355"/>
      <c r="BS152" s="356"/>
      <c r="BT152" s="357"/>
    </row>
    <row r="153" spans="1:72" s="313" customFormat="1" ht="38.25" outlineLevel="2">
      <c r="A153" s="287">
        <v>129</v>
      </c>
      <c r="B153" s="933"/>
      <c r="C153" s="840"/>
      <c r="D153" s="854" t="s">
        <v>807</v>
      </c>
      <c r="E153" s="839"/>
      <c r="F153" s="821" t="s">
        <v>7</v>
      </c>
      <c r="G153" s="314">
        <v>4</v>
      </c>
      <c r="H153" s="739" t="s">
        <v>70</v>
      </c>
      <c r="I153" s="739">
        <v>244</v>
      </c>
      <c r="J153" s="740">
        <v>346</v>
      </c>
      <c r="K153" s="533" t="s">
        <v>731</v>
      </c>
      <c r="L153" s="1025">
        <v>20760</v>
      </c>
      <c r="M153" s="318"/>
      <c r="N153" s="318"/>
      <c r="O153" s="1052">
        <f t="shared" si="382"/>
        <v>20760</v>
      </c>
      <c r="P153" s="562"/>
      <c r="Q153" s="336"/>
      <c r="R153" s="562"/>
      <c r="S153" s="336"/>
      <c r="T153" s="562"/>
      <c r="U153" s="466"/>
      <c r="V153" s="597" t="s">
        <v>555</v>
      </c>
      <c r="W153" s="597" t="s">
        <v>734</v>
      </c>
      <c r="X153" s="811" t="s">
        <v>735</v>
      </c>
      <c r="Z153" s="336">
        <f t="shared" si="245"/>
        <v>0</v>
      </c>
      <c r="AA153" s="337">
        <f t="shared" si="245"/>
        <v>0</v>
      </c>
      <c r="AB153" s="338">
        <f t="shared" si="383"/>
        <v>0</v>
      </c>
      <c r="AC153" s="336">
        <f t="shared" si="246"/>
        <v>20760</v>
      </c>
      <c r="AD153" s="337">
        <f t="shared" si="246"/>
        <v>0</v>
      </c>
      <c r="AE153" s="338">
        <f t="shared" si="384"/>
        <v>20760</v>
      </c>
      <c r="AF153" s="336">
        <f t="shared" si="247"/>
        <v>0</v>
      </c>
      <c r="AG153" s="337">
        <f t="shared" si="247"/>
        <v>0</v>
      </c>
      <c r="AH153" s="338">
        <f t="shared" si="385"/>
        <v>0</v>
      </c>
      <c r="AI153" s="336">
        <f t="shared" si="248"/>
        <v>0</v>
      </c>
      <c r="AJ153" s="337">
        <f t="shared" si="248"/>
        <v>0</v>
      </c>
      <c r="AK153" s="338">
        <f t="shared" si="386"/>
        <v>0</v>
      </c>
      <c r="AL153" s="342"/>
      <c r="AM153" s="336">
        <f t="shared" si="249"/>
        <v>20760</v>
      </c>
      <c r="AN153" s="339">
        <f t="shared" si="249"/>
        <v>0</v>
      </c>
      <c r="AO153" s="340">
        <f t="shared" si="387"/>
        <v>20760</v>
      </c>
      <c r="AP153" s="336">
        <f t="shared" si="250"/>
        <v>20760</v>
      </c>
      <c r="AQ153" s="339">
        <f t="shared" si="250"/>
        <v>0</v>
      </c>
      <c r="AR153" s="340">
        <f t="shared" si="388"/>
        <v>20760</v>
      </c>
      <c r="AS153" s="341">
        <f t="shared" si="378"/>
        <v>20760</v>
      </c>
      <c r="AT153" s="339">
        <f t="shared" si="378"/>
        <v>0</v>
      </c>
      <c r="AU153" s="340">
        <f t="shared" si="389"/>
        <v>20760</v>
      </c>
      <c r="AV153" s="1255">
        <f t="shared" si="390"/>
        <v>0</v>
      </c>
      <c r="AW153" s="343"/>
      <c r="AX153" s="1098"/>
      <c r="AY153" s="345"/>
      <c r="AZ153" s="1098"/>
      <c r="BA153" s="345"/>
      <c r="BB153" s="1120"/>
      <c r="BC153" s="1134">
        <v>20760</v>
      </c>
      <c r="BD153" s="348"/>
      <c r="BE153" s="349"/>
      <c r="BF153" s="348"/>
      <c r="BG153" s="349"/>
      <c r="BH153" s="350"/>
      <c r="BI153" s="351"/>
      <c r="BJ153" s="352"/>
      <c r="BK153" s="337"/>
      <c r="BL153" s="352"/>
      <c r="BM153" s="337"/>
      <c r="BN153" s="353"/>
      <c r="BO153" s="354"/>
      <c r="BP153" s="355"/>
      <c r="BQ153" s="356"/>
      <c r="BR153" s="355"/>
      <c r="BS153" s="356"/>
      <c r="BT153" s="357"/>
    </row>
    <row r="154" spans="1:72" s="313" customFormat="1" ht="38.25" outlineLevel="2">
      <c r="A154" s="287">
        <v>130</v>
      </c>
      <c r="B154" s="933"/>
      <c r="C154" s="840"/>
      <c r="D154" s="854" t="s">
        <v>807</v>
      </c>
      <c r="E154" s="839"/>
      <c r="F154" s="821" t="s">
        <v>7</v>
      </c>
      <c r="G154" s="314">
        <v>4</v>
      </c>
      <c r="H154" s="739" t="s">
        <v>70</v>
      </c>
      <c r="I154" s="739">
        <v>244</v>
      </c>
      <c r="J154" s="740">
        <v>346</v>
      </c>
      <c r="K154" s="533" t="s">
        <v>732</v>
      </c>
      <c r="L154" s="1025">
        <v>2694</v>
      </c>
      <c r="M154" s="318"/>
      <c r="N154" s="318"/>
      <c r="O154" s="1052">
        <f t="shared" si="382"/>
        <v>2694</v>
      </c>
      <c r="P154" s="562"/>
      <c r="Q154" s="336"/>
      <c r="R154" s="562"/>
      <c r="S154" s="336"/>
      <c r="T154" s="562"/>
      <c r="U154" s="466"/>
      <c r="V154" s="597" t="s">
        <v>706</v>
      </c>
      <c r="W154" s="597" t="s">
        <v>733</v>
      </c>
      <c r="X154" s="811" t="s">
        <v>557</v>
      </c>
      <c r="Z154" s="336">
        <f t="shared" si="245"/>
        <v>0</v>
      </c>
      <c r="AA154" s="337">
        <f t="shared" si="245"/>
        <v>0</v>
      </c>
      <c r="AB154" s="338">
        <f t="shared" si="383"/>
        <v>0</v>
      </c>
      <c r="AC154" s="336">
        <f t="shared" si="246"/>
        <v>2694</v>
      </c>
      <c r="AD154" s="337">
        <f t="shared" si="246"/>
        <v>0</v>
      </c>
      <c r="AE154" s="338">
        <f t="shared" si="384"/>
        <v>2694</v>
      </c>
      <c r="AF154" s="336">
        <f t="shared" si="247"/>
        <v>0</v>
      </c>
      <c r="AG154" s="337">
        <f t="shared" si="247"/>
        <v>0</v>
      </c>
      <c r="AH154" s="338">
        <f t="shared" si="385"/>
        <v>0</v>
      </c>
      <c r="AI154" s="336">
        <f t="shared" si="248"/>
        <v>0</v>
      </c>
      <c r="AJ154" s="337">
        <f t="shared" si="248"/>
        <v>0</v>
      </c>
      <c r="AK154" s="338">
        <f t="shared" si="386"/>
        <v>0</v>
      </c>
      <c r="AL154" s="342"/>
      <c r="AM154" s="336">
        <f t="shared" si="249"/>
        <v>2694</v>
      </c>
      <c r="AN154" s="339">
        <f t="shared" si="249"/>
        <v>0</v>
      </c>
      <c r="AO154" s="340">
        <f t="shared" si="387"/>
        <v>2694</v>
      </c>
      <c r="AP154" s="336">
        <f t="shared" si="250"/>
        <v>2694</v>
      </c>
      <c r="AQ154" s="339">
        <f t="shared" si="250"/>
        <v>0</v>
      </c>
      <c r="AR154" s="340">
        <f t="shared" si="388"/>
        <v>2694</v>
      </c>
      <c r="AS154" s="341">
        <f t="shared" si="378"/>
        <v>2694</v>
      </c>
      <c r="AT154" s="339">
        <f t="shared" si="378"/>
        <v>0</v>
      </c>
      <c r="AU154" s="340">
        <f t="shared" si="389"/>
        <v>2694</v>
      </c>
      <c r="AV154" s="1255">
        <f t="shared" si="390"/>
        <v>0</v>
      </c>
      <c r="AW154" s="343"/>
      <c r="AX154" s="1098"/>
      <c r="AY154" s="345"/>
      <c r="AZ154" s="1098"/>
      <c r="BA154" s="345"/>
      <c r="BB154" s="1120"/>
      <c r="BC154" s="1134">
        <v>2694</v>
      </c>
      <c r="BD154" s="348"/>
      <c r="BE154" s="349"/>
      <c r="BF154" s="348"/>
      <c r="BG154" s="349"/>
      <c r="BH154" s="350"/>
      <c r="BI154" s="351"/>
      <c r="BJ154" s="352"/>
      <c r="BK154" s="337"/>
      <c r="BL154" s="352"/>
      <c r="BM154" s="337"/>
      <c r="BN154" s="353"/>
      <c r="BO154" s="354"/>
      <c r="BP154" s="355"/>
      <c r="BQ154" s="356"/>
      <c r="BR154" s="355"/>
      <c r="BS154" s="356"/>
      <c r="BT154" s="357"/>
    </row>
    <row r="155" spans="1:72" s="313" customFormat="1" ht="51" outlineLevel="2">
      <c r="A155" s="287">
        <v>131</v>
      </c>
      <c r="B155" s="933"/>
      <c r="C155" s="840"/>
      <c r="D155" s="854" t="s">
        <v>807</v>
      </c>
      <c r="E155" s="839"/>
      <c r="F155" s="821" t="s">
        <v>7</v>
      </c>
      <c r="G155" s="314">
        <v>4</v>
      </c>
      <c r="H155" s="739" t="s">
        <v>70</v>
      </c>
      <c r="I155" s="739">
        <v>244</v>
      </c>
      <c r="J155" s="740">
        <v>346</v>
      </c>
      <c r="K155" s="533" t="s">
        <v>743</v>
      </c>
      <c r="L155" s="1025">
        <v>8389</v>
      </c>
      <c r="M155" s="318"/>
      <c r="N155" s="318"/>
      <c r="O155" s="1052">
        <f t="shared" si="382"/>
        <v>8389</v>
      </c>
      <c r="P155" s="562"/>
      <c r="Q155" s="336"/>
      <c r="R155" s="562"/>
      <c r="S155" s="336"/>
      <c r="T155" s="562"/>
      <c r="U155" s="466"/>
      <c r="V155" s="597" t="s">
        <v>495</v>
      </c>
      <c r="W155" s="320" t="s">
        <v>481</v>
      </c>
      <c r="X155" s="1094" t="s">
        <v>744</v>
      </c>
      <c r="Z155" s="336">
        <f t="shared" si="245"/>
        <v>0</v>
      </c>
      <c r="AA155" s="337">
        <f t="shared" si="245"/>
        <v>0</v>
      </c>
      <c r="AB155" s="338">
        <f t="shared" si="383"/>
        <v>0</v>
      </c>
      <c r="AC155" s="336">
        <f t="shared" si="246"/>
        <v>8389</v>
      </c>
      <c r="AD155" s="337">
        <f t="shared" si="246"/>
        <v>0</v>
      </c>
      <c r="AE155" s="338">
        <f t="shared" si="384"/>
        <v>8389</v>
      </c>
      <c r="AF155" s="336">
        <f t="shared" si="247"/>
        <v>0</v>
      </c>
      <c r="AG155" s="337">
        <f t="shared" si="247"/>
        <v>0</v>
      </c>
      <c r="AH155" s="338">
        <f t="shared" si="385"/>
        <v>0</v>
      </c>
      <c r="AI155" s="336">
        <f t="shared" si="248"/>
        <v>0</v>
      </c>
      <c r="AJ155" s="337">
        <f t="shared" si="248"/>
        <v>0</v>
      </c>
      <c r="AK155" s="338">
        <f t="shared" si="386"/>
        <v>0</v>
      </c>
      <c r="AL155" s="342"/>
      <c r="AM155" s="336">
        <f t="shared" si="249"/>
        <v>8389</v>
      </c>
      <c r="AN155" s="339">
        <f t="shared" si="249"/>
        <v>0</v>
      </c>
      <c r="AO155" s="340">
        <f t="shared" si="387"/>
        <v>8389</v>
      </c>
      <c r="AP155" s="336">
        <f t="shared" si="250"/>
        <v>8389</v>
      </c>
      <c r="AQ155" s="339">
        <f t="shared" si="250"/>
        <v>0</v>
      </c>
      <c r="AR155" s="340">
        <f t="shared" si="388"/>
        <v>8389</v>
      </c>
      <c r="AS155" s="341">
        <f t="shared" si="378"/>
        <v>8389</v>
      </c>
      <c r="AT155" s="339">
        <f t="shared" si="378"/>
        <v>0</v>
      </c>
      <c r="AU155" s="340">
        <f t="shared" si="389"/>
        <v>8389</v>
      </c>
      <c r="AV155" s="1255">
        <f t="shared" si="390"/>
        <v>0</v>
      </c>
      <c r="AW155" s="343"/>
      <c r="AX155" s="1098"/>
      <c r="AY155" s="345"/>
      <c r="AZ155" s="1098"/>
      <c r="BA155" s="345"/>
      <c r="BB155" s="1120"/>
      <c r="BC155" s="1134">
        <v>8389</v>
      </c>
      <c r="BD155" s="348"/>
      <c r="BE155" s="349"/>
      <c r="BF155" s="348"/>
      <c r="BG155" s="349"/>
      <c r="BH155" s="350"/>
      <c r="BI155" s="351"/>
      <c r="BJ155" s="352"/>
      <c r="BK155" s="337"/>
      <c r="BL155" s="352"/>
      <c r="BM155" s="337"/>
      <c r="BN155" s="353"/>
      <c r="BO155" s="354"/>
      <c r="BP155" s="355"/>
      <c r="BQ155" s="356"/>
      <c r="BR155" s="355"/>
      <c r="BS155" s="356"/>
      <c r="BT155" s="357"/>
    </row>
    <row r="156" spans="1:72" s="313" customFormat="1" ht="25.5" outlineLevel="2">
      <c r="A156" s="287">
        <v>132</v>
      </c>
      <c r="B156" s="933"/>
      <c r="C156" s="840"/>
      <c r="D156" s="854" t="s">
        <v>807</v>
      </c>
      <c r="E156" s="839"/>
      <c r="F156" s="821" t="s">
        <v>7</v>
      </c>
      <c r="G156" s="314">
        <v>4</v>
      </c>
      <c r="H156" s="739" t="s">
        <v>70</v>
      </c>
      <c r="I156" s="739">
        <v>244</v>
      </c>
      <c r="J156" s="740">
        <v>346</v>
      </c>
      <c r="K156" s="533" t="s">
        <v>745</v>
      </c>
      <c r="L156" s="1025">
        <v>8483.5</v>
      </c>
      <c r="M156" s="318"/>
      <c r="N156" s="318"/>
      <c r="O156" s="1052">
        <f t="shared" si="382"/>
        <v>8483.5</v>
      </c>
      <c r="P156" s="562"/>
      <c r="Q156" s="336"/>
      <c r="R156" s="562"/>
      <c r="S156" s="336"/>
      <c r="T156" s="562"/>
      <c r="U156" s="466"/>
      <c r="V156" s="597" t="s">
        <v>582</v>
      </c>
      <c r="W156" s="811" t="s">
        <v>481</v>
      </c>
      <c r="X156" s="320" t="s">
        <v>746</v>
      </c>
      <c r="Z156" s="336">
        <f t="shared" si="245"/>
        <v>0</v>
      </c>
      <c r="AA156" s="337">
        <f t="shared" si="245"/>
        <v>0</v>
      </c>
      <c r="AB156" s="338">
        <f t="shared" si="383"/>
        <v>0</v>
      </c>
      <c r="AC156" s="336">
        <f t="shared" si="246"/>
        <v>8483.5</v>
      </c>
      <c r="AD156" s="337">
        <f t="shared" si="246"/>
        <v>0</v>
      </c>
      <c r="AE156" s="338">
        <f t="shared" si="384"/>
        <v>8483.5</v>
      </c>
      <c r="AF156" s="336">
        <f t="shared" si="247"/>
        <v>0</v>
      </c>
      <c r="AG156" s="337">
        <f t="shared" si="247"/>
        <v>0</v>
      </c>
      <c r="AH156" s="338">
        <f t="shared" si="385"/>
        <v>0</v>
      </c>
      <c r="AI156" s="336">
        <f t="shared" si="248"/>
        <v>0</v>
      </c>
      <c r="AJ156" s="337">
        <f t="shared" si="248"/>
        <v>0</v>
      </c>
      <c r="AK156" s="338">
        <f t="shared" si="386"/>
        <v>0</v>
      </c>
      <c r="AL156" s="342"/>
      <c r="AM156" s="336">
        <f t="shared" si="249"/>
        <v>8483.5</v>
      </c>
      <c r="AN156" s="339">
        <f t="shared" si="249"/>
        <v>0</v>
      </c>
      <c r="AO156" s="340">
        <f t="shared" si="387"/>
        <v>8483.5</v>
      </c>
      <c r="AP156" s="336">
        <f t="shared" si="250"/>
        <v>8483.5</v>
      </c>
      <c r="AQ156" s="339">
        <f t="shared" si="250"/>
        <v>0</v>
      </c>
      <c r="AR156" s="340">
        <f t="shared" si="388"/>
        <v>8483.5</v>
      </c>
      <c r="AS156" s="341">
        <f t="shared" si="378"/>
        <v>8483.5</v>
      </c>
      <c r="AT156" s="339">
        <f t="shared" si="378"/>
        <v>0</v>
      </c>
      <c r="AU156" s="340">
        <f t="shared" si="389"/>
        <v>8483.5</v>
      </c>
      <c r="AV156" s="1255">
        <f t="shared" si="390"/>
        <v>0</v>
      </c>
      <c r="AW156" s="343"/>
      <c r="AX156" s="1098"/>
      <c r="AY156" s="345"/>
      <c r="AZ156" s="1098"/>
      <c r="BA156" s="345"/>
      <c r="BB156" s="1120"/>
      <c r="BC156" s="1134">
        <v>8483.5</v>
      </c>
      <c r="BD156" s="348"/>
      <c r="BE156" s="349"/>
      <c r="BF156" s="348"/>
      <c r="BG156" s="349"/>
      <c r="BH156" s="350"/>
      <c r="BI156" s="351"/>
      <c r="BJ156" s="352"/>
      <c r="BK156" s="337"/>
      <c r="BL156" s="352"/>
      <c r="BM156" s="337"/>
      <c r="BN156" s="353"/>
      <c r="BO156" s="354"/>
      <c r="BP156" s="355"/>
      <c r="BQ156" s="356"/>
      <c r="BR156" s="355"/>
      <c r="BS156" s="356"/>
      <c r="BT156" s="357"/>
    </row>
    <row r="157" spans="1:72" s="313" customFormat="1" ht="38.25" outlineLevel="2">
      <c r="A157" s="287">
        <v>133</v>
      </c>
      <c r="B157" s="933"/>
      <c r="C157" s="840"/>
      <c r="D157" s="854" t="s">
        <v>807</v>
      </c>
      <c r="E157" s="839"/>
      <c r="F157" s="821" t="s">
        <v>7</v>
      </c>
      <c r="G157" s="314">
        <v>4</v>
      </c>
      <c r="H157" s="739" t="s">
        <v>70</v>
      </c>
      <c r="I157" s="739">
        <v>244</v>
      </c>
      <c r="J157" s="740">
        <v>346</v>
      </c>
      <c r="K157" s="533" t="s">
        <v>761</v>
      </c>
      <c r="L157" s="1025">
        <v>590</v>
      </c>
      <c r="M157" s="318"/>
      <c r="N157" s="318"/>
      <c r="O157" s="1052">
        <f t="shared" si="382"/>
        <v>590</v>
      </c>
      <c r="P157" s="562"/>
      <c r="Q157" s="336"/>
      <c r="R157" s="562"/>
      <c r="S157" s="336"/>
      <c r="T157" s="562"/>
      <c r="U157" s="466"/>
      <c r="V157" s="597" t="s">
        <v>706</v>
      </c>
      <c r="W157" s="597" t="s">
        <v>762</v>
      </c>
      <c r="X157" s="811" t="s">
        <v>557</v>
      </c>
      <c r="Z157" s="336">
        <f t="shared" si="245"/>
        <v>0</v>
      </c>
      <c r="AA157" s="337">
        <f t="shared" si="245"/>
        <v>0</v>
      </c>
      <c r="AB157" s="338">
        <f t="shared" si="383"/>
        <v>0</v>
      </c>
      <c r="AC157" s="336">
        <f t="shared" si="246"/>
        <v>590</v>
      </c>
      <c r="AD157" s="337">
        <f t="shared" si="246"/>
        <v>0</v>
      </c>
      <c r="AE157" s="338">
        <f t="shared" si="384"/>
        <v>590</v>
      </c>
      <c r="AF157" s="336">
        <f t="shared" si="247"/>
        <v>0</v>
      </c>
      <c r="AG157" s="337">
        <f t="shared" si="247"/>
        <v>0</v>
      </c>
      <c r="AH157" s="338">
        <f t="shared" si="385"/>
        <v>0</v>
      </c>
      <c r="AI157" s="336">
        <f t="shared" si="248"/>
        <v>0</v>
      </c>
      <c r="AJ157" s="337">
        <f t="shared" si="248"/>
        <v>0</v>
      </c>
      <c r="AK157" s="338">
        <f t="shared" si="386"/>
        <v>0</v>
      </c>
      <c r="AL157" s="342"/>
      <c r="AM157" s="336">
        <f t="shared" si="249"/>
        <v>590</v>
      </c>
      <c r="AN157" s="339">
        <f t="shared" si="249"/>
        <v>0</v>
      </c>
      <c r="AO157" s="340">
        <f t="shared" si="387"/>
        <v>590</v>
      </c>
      <c r="AP157" s="336">
        <f t="shared" si="250"/>
        <v>590</v>
      </c>
      <c r="AQ157" s="339">
        <f t="shared" si="250"/>
        <v>0</v>
      </c>
      <c r="AR157" s="340">
        <f t="shared" si="388"/>
        <v>590</v>
      </c>
      <c r="AS157" s="341">
        <f t="shared" si="378"/>
        <v>590</v>
      </c>
      <c r="AT157" s="339">
        <f t="shared" si="378"/>
        <v>0</v>
      </c>
      <c r="AU157" s="340">
        <f t="shared" si="389"/>
        <v>590</v>
      </c>
      <c r="AV157" s="1255">
        <f t="shared" si="390"/>
        <v>0</v>
      </c>
      <c r="AW157" s="343"/>
      <c r="AX157" s="1098"/>
      <c r="AY157" s="345"/>
      <c r="AZ157" s="1098"/>
      <c r="BA157" s="345"/>
      <c r="BB157" s="1120"/>
      <c r="BC157" s="1134">
        <v>590</v>
      </c>
      <c r="BD157" s="348"/>
      <c r="BE157" s="349"/>
      <c r="BF157" s="348"/>
      <c r="BG157" s="349"/>
      <c r="BH157" s="350"/>
      <c r="BI157" s="351"/>
      <c r="BJ157" s="352"/>
      <c r="BK157" s="337"/>
      <c r="BL157" s="352"/>
      <c r="BM157" s="337"/>
      <c r="BN157" s="353"/>
      <c r="BO157" s="354"/>
      <c r="BP157" s="355"/>
      <c r="BQ157" s="356"/>
      <c r="BR157" s="355"/>
      <c r="BS157" s="356"/>
      <c r="BT157" s="357"/>
    </row>
    <row r="158" spans="1:72" s="313" customFormat="1" ht="25.5" outlineLevel="2">
      <c r="A158" s="287">
        <v>134</v>
      </c>
      <c r="B158" s="933"/>
      <c r="C158" s="840"/>
      <c r="D158" s="854" t="s">
        <v>807</v>
      </c>
      <c r="E158" s="839"/>
      <c r="F158" s="821" t="s">
        <v>7</v>
      </c>
      <c r="G158" s="314">
        <v>4</v>
      </c>
      <c r="H158" s="739" t="s">
        <v>70</v>
      </c>
      <c r="I158" s="739">
        <v>244</v>
      </c>
      <c r="J158" s="740">
        <v>346</v>
      </c>
      <c r="K158" s="533" t="s">
        <v>778</v>
      </c>
      <c r="L158" s="1025">
        <v>32572</v>
      </c>
      <c r="M158" s="318"/>
      <c r="N158" s="318"/>
      <c r="O158" s="1052">
        <f t="shared" si="382"/>
        <v>32572</v>
      </c>
      <c r="P158" s="562"/>
      <c r="Q158" s="336"/>
      <c r="R158" s="562"/>
      <c r="S158" s="336"/>
      <c r="T158" s="562"/>
      <c r="U158" s="466"/>
      <c r="V158" s="597" t="s">
        <v>616</v>
      </c>
      <c r="W158" s="597" t="s">
        <v>803</v>
      </c>
      <c r="X158" s="597" t="s">
        <v>804</v>
      </c>
      <c r="Z158" s="336">
        <f t="shared" si="245"/>
        <v>0</v>
      </c>
      <c r="AA158" s="337">
        <f t="shared" si="245"/>
        <v>0</v>
      </c>
      <c r="AB158" s="338">
        <f t="shared" si="383"/>
        <v>0</v>
      </c>
      <c r="AC158" s="336">
        <f t="shared" si="246"/>
        <v>32572</v>
      </c>
      <c r="AD158" s="337">
        <f t="shared" si="246"/>
        <v>0</v>
      </c>
      <c r="AE158" s="338">
        <f t="shared" si="384"/>
        <v>32572</v>
      </c>
      <c r="AF158" s="336">
        <f t="shared" si="247"/>
        <v>0</v>
      </c>
      <c r="AG158" s="337">
        <f t="shared" si="247"/>
        <v>0</v>
      </c>
      <c r="AH158" s="338">
        <f t="shared" si="385"/>
        <v>0</v>
      </c>
      <c r="AI158" s="336">
        <f t="shared" si="248"/>
        <v>0</v>
      </c>
      <c r="AJ158" s="337">
        <f t="shared" si="248"/>
        <v>0</v>
      </c>
      <c r="AK158" s="338">
        <f t="shared" si="386"/>
        <v>0</v>
      </c>
      <c r="AL158" s="342"/>
      <c r="AM158" s="336">
        <f t="shared" si="249"/>
        <v>32572</v>
      </c>
      <c r="AN158" s="339">
        <f t="shared" si="249"/>
        <v>0</v>
      </c>
      <c r="AO158" s="340">
        <f t="shared" si="387"/>
        <v>32572</v>
      </c>
      <c r="AP158" s="336">
        <f t="shared" si="250"/>
        <v>32572</v>
      </c>
      <c r="AQ158" s="339">
        <f t="shared" si="250"/>
        <v>0</v>
      </c>
      <c r="AR158" s="340">
        <f t="shared" si="388"/>
        <v>32572</v>
      </c>
      <c r="AS158" s="341">
        <f t="shared" si="378"/>
        <v>32572</v>
      </c>
      <c r="AT158" s="339">
        <f t="shared" si="378"/>
        <v>0</v>
      </c>
      <c r="AU158" s="340">
        <f t="shared" si="389"/>
        <v>32572</v>
      </c>
      <c r="AV158" s="1255">
        <f t="shared" si="390"/>
        <v>0</v>
      </c>
      <c r="AW158" s="343"/>
      <c r="AX158" s="1098"/>
      <c r="AY158" s="345"/>
      <c r="AZ158" s="1098"/>
      <c r="BA158" s="345"/>
      <c r="BB158" s="1120"/>
      <c r="BC158" s="1134"/>
      <c r="BD158" s="348"/>
      <c r="BE158" s="1135">
        <v>32572</v>
      </c>
      <c r="BF158" s="348"/>
      <c r="BG158" s="349"/>
      <c r="BH158" s="350"/>
      <c r="BI158" s="351"/>
      <c r="BJ158" s="352"/>
      <c r="BK158" s="337"/>
      <c r="BL158" s="352"/>
      <c r="BM158" s="337"/>
      <c r="BN158" s="353"/>
      <c r="BO158" s="354"/>
      <c r="BP158" s="355"/>
      <c r="BQ158" s="356"/>
      <c r="BR158" s="355"/>
      <c r="BS158" s="356"/>
      <c r="BT158" s="357"/>
    </row>
    <row r="159" spans="1:72" s="313" customFormat="1" ht="38.25" outlineLevel="2">
      <c r="A159" s="287">
        <v>135</v>
      </c>
      <c r="B159" s="933"/>
      <c r="C159" s="840"/>
      <c r="D159" s="854" t="s">
        <v>807</v>
      </c>
      <c r="E159" s="839"/>
      <c r="F159" s="821" t="s">
        <v>7</v>
      </c>
      <c r="G159" s="314">
        <v>4</v>
      </c>
      <c r="H159" s="739" t="s">
        <v>70</v>
      </c>
      <c r="I159" s="739">
        <v>244</v>
      </c>
      <c r="J159" s="740">
        <v>346</v>
      </c>
      <c r="K159" s="533" t="s">
        <v>1039</v>
      </c>
      <c r="L159" s="1025">
        <v>1203</v>
      </c>
      <c r="M159" s="318"/>
      <c r="N159" s="318"/>
      <c r="O159" s="1052">
        <f t="shared" si="382"/>
        <v>1203</v>
      </c>
      <c r="P159" s="562"/>
      <c r="Q159" s="336"/>
      <c r="R159" s="562"/>
      <c r="S159" s="336"/>
      <c r="T159" s="562"/>
      <c r="U159" s="466"/>
      <c r="V159" s="597" t="s">
        <v>495</v>
      </c>
      <c r="W159" s="597" t="s">
        <v>1041</v>
      </c>
      <c r="X159" s="320"/>
      <c r="Z159" s="336">
        <f t="shared" si="245"/>
        <v>0</v>
      </c>
      <c r="AA159" s="337">
        <f t="shared" si="245"/>
        <v>0</v>
      </c>
      <c r="AB159" s="338">
        <f t="shared" si="383"/>
        <v>0</v>
      </c>
      <c r="AC159" s="336">
        <f t="shared" si="246"/>
        <v>1203</v>
      </c>
      <c r="AD159" s="337">
        <f t="shared" si="246"/>
        <v>0</v>
      </c>
      <c r="AE159" s="338">
        <f t="shared" si="384"/>
        <v>1203</v>
      </c>
      <c r="AF159" s="336">
        <f t="shared" si="247"/>
        <v>0</v>
      </c>
      <c r="AG159" s="337">
        <f t="shared" si="247"/>
        <v>0</v>
      </c>
      <c r="AH159" s="338">
        <f t="shared" si="385"/>
        <v>0</v>
      </c>
      <c r="AI159" s="336">
        <f t="shared" si="248"/>
        <v>0</v>
      </c>
      <c r="AJ159" s="337">
        <f t="shared" si="248"/>
        <v>0</v>
      </c>
      <c r="AK159" s="338">
        <f t="shared" si="386"/>
        <v>0</v>
      </c>
      <c r="AL159" s="342"/>
      <c r="AM159" s="336">
        <f t="shared" si="249"/>
        <v>1203</v>
      </c>
      <c r="AN159" s="339">
        <f t="shared" si="249"/>
        <v>0</v>
      </c>
      <c r="AO159" s="340">
        <f t="shared" si="387"/>
        <v>1203</v>
      </c>
      <c r="AP159" s="336">
        <f t="shared" si="250"/>
        <v>1203</v>
      </c>
      <c r="AQ159" s="339">
        <f t="shared" si="250"/>
        <v>0</v>
      </c>
      <c r="AR159" s="340">
        <f t="shared" si="388"/>
        <v>1203</v>
      </c>
      <c r="AS159" s="341">
        <f t="shared" si="378"/>
        <v>1203</v>
      </c>
      <c r="AT159" s="339">
        <f t="shared" si="378"/>
        <v>0</v>
      </c>
      <c r="AU159" s="340">
        <f t="shared" si="389"/>
        <v>1203</v>
      </c>
      <c r="AV159" s="1255">
        <f t="shared" si="390"/>
        <v>0</v>
      </c>
      <c r="AW159" s="343"/>
      <c r="AX159" s="1098"/>
      <c r="AY159" s="345"/>
      <c r="AZ159" s="1098"/>
      <c r="BA159" s="345"/>
      <c r="BB159" s="1120"/>
      <c r="BC159" s="1134"/>
      <c r="BD159" s="348"/>
      <c r="BE159" s="1135">
        <v>1203</v>
      </c>
      <c r="BF159" s="348"/>
      <c r="BG159" s="349"/>
      <c r="BH159" s="350"/>
      <c r="BI159" s="351"/>
      <c r="BJ159" s="352"/>
      <c r="BK159" s="337"/>
      <c r="BL159" s="352"/>
      <c r="BM159" s="337"/>
      <c r="BN159" s="353"/>
      <c r="BO159" s="354"/>
      <c r="BP159" s="355"/>
      <c r="BQ159" s="356"/>
      <c r="BR159" s="355"/>
      <c r="BS159" s="356"/>
      <c r="BT159" s="357"/>
    </row>
    <row r="160" spans="1:72" s="313" customFormat="1" ht="25.5" outlineLevel="2">
      <c r="A160" s="287">
        <v>135</v>
      </c>
      <c r="B160" s="933"/>
      <c r="C160" s="840"/>
      <c r="D160" s="854" t="s">
        <v>807</v>
      </c>
      <c r="E160" s="839"/>
      <c r="F160" s="821" t="s">
        <v>7</v>
      </c>
      <c r="G160" s="314">
        <v>4</v>
      </c>
      <c r="H160" s="739" t="s">
        <v>70</v>
      </c>
      <c r="I160" s="739">
        <v>244</v>
      </c>
      <c r="J160" s="740">
        <v>346</v>
      </c>
      <c r="K160" s="533" t="s">
        <v>1040</v>
      </c>
      <c r="L160" s="1025">
        <v>2475.5</v>
      </c>
      <c r="M160" s="318"/>
      <c r="N160" s="318"/>
      <c r="O160" s="1052">
        <f t="shared" ref="O160" si="391">L160+N160</f>
        <v>2475.5</v>
      </c>
      <c r="P160" s="562"/>
      <c r="Q160" s="336"/>
      <c r="R160" s="562"/>
      <c r="S160" s="336"/>
      <c r="T160" s="562"/>
      <c r="U160" s="466"/>
      <c r="V160" s="597" t="s">
        <v>1043</v>
      </c>
      <c r="W160" s="597" t="s">
        <v>1042</v>
      </c>
      <c r="X160" s="320"/>
      <c r="Z160" s="336">
        <f t="shared" ref="Z160" si="392">AW160+AY160+BA160</f>
        <v>0</v>
      </c>
      <c r="AA160" s="337">
        <f t="shared" ref="AA160" si="393">AX160+AZ160+BB160</f>
        <v>0</v>
      </c>
      <c r="AB160" s="338">
        <f t="shared" ref="AB160" si="394">Z160-AA160</f>
        <v>0</v>
      </c>
      <c r="AC160" s="336">
        <f t="shared" ref="AC160" si="395">BC160+BE160+BG160</f>
        <v>2475.5</v>
      </c>
      <c r="AD160" s="337">
        <f t="shared" ref="AD160" si="396">BD160+BF160+BH160</f>
        <v>0</v>
      </c>
      <c r="AE160" s="338">
        <f t="shared" ref="AE160" si="397">AC160-AD160</f>
        <v>2475.5</v>
      </c>
      <c r="AF160" s="336">
        <f t="shared" ref="AF160" si="398">BI160+BK160+BM160</f>
        <v>0</v>
      </c>
      <c r="AG160" s="337">
        <f t="shared" ref="AG160" si="399">BJ160+BL160+BN160</f>
        <v>0</v>
      </c>
      <c r="AH160" s="338">
        <f t="shared" ref="AH160" si="400">AF160-AG160</f>
        <v>0</v>
      </c>
      <c r="AI160" s="336">
        <f t="shared" ref="AI160" si="401">BO160+BQ160+BS160</f>
        <v>0</v>
      </c>
      <c r="AJ160" s="337">
        <f t="shared" ref="AJ160" si="402">BP160+BR160+BT160</f>
        <v>0</v>
      </c>
      <c r="AK160" s="338">
        <f t="shared" ref="AK160" si="403">AI160-AJ160</f>
        <v>0</v>
      </c>
      <c r="AL160" s="342"/>
      <c r="AM160" s="336">
        <f t="shared" ref="AM160" si="404">Z160+AC160</f>
        <v>2475.5</v>
      </c>
      <c r="AN160" s="339">
        <f t="shared" ref="AN160" si="405">AA160+AD160</f>
        <v>0</v>
      </c>
      <c r="AO160" s="340">
        <f t="shared" ref="AO160" si="406">AM160-AN160</f>
        <v>2475.5</v>
      </c>
      <c r="AP160" s="336">
        <f t="shared" ref="AP160" si="407">Z160+AC160+AF160</f>
        <v>2475.5</v>
      </c>
      <c r="AQ160" s="339">
        <f t="shared" ref="AQ160" si="408">AA160+AD160+AG160</f>
        <v>0</v>
      </c>
      <c r="AR160" s="340">
        <f t="shared" ref="AR160" si="409">AP160-AQ160</f>
        <v>2475.5</v>
      </c>
      <c r="AS160" s="341">
        <f t="shared" ref="AS160" si="410">Z160+AC160+AF160+AI160</f>
        <v>2475.5</v>
      </c>
      <c r="AT160" s="339">
        <f t="shared" ref="AT160" si="411">AA160+AD160+AG160+AJ160</f>
        <v>0</v>
      </c>
      <c r="AU160" s="340">
        <f t="shared" ref="AU160" si="412">AS160-AT160</f>
        <v>2475.5</v>
      </c>
      <c r="AV160" s="1255">
        <f t="shared" ref="AV160" si="413">L160-AS160</f>
        <v>0</v>
      </c>
      <c r="AW160" s="343"/>
      <c r="AX160" s="1098"/>
      <c r="AY160" s="345"/>
      <c r="AZ160" s="1098"/>
      <c r="BA160" s="345"/>
      <c r="BB160" s="1120"/>
      <c r="BC160" s="1134"/>
      <c r="BD160" s="348"/>
      <c r="BE160" s="1135">
        <v>2475.5</v>
      </c>
      <c r="BF160" s="348"/>
      <c r="BG160" s="349"/>
      <c r="BH160" s="350"/>
      <c r="BI160" s="351"/>
      <c r="BJ160" s="352"/>
      <c r="BK160" s="337"/>
      <c r="BL160" s="352"/>
      <c r="BM160" s="337"/>
      <c r="BN160" s="353"/>
      <c r="BO160" s="354"/>
      <c r="BP160" s="355"/>
      <c r="BQ160" s="356"/>
      <c r="BR160" s="355"/>
      <c r="BS160" s="356"/>
      <c r="BT160" s="357"/>
    </row>
    <row r="161" spans="1:72" s="313" customFormat="1" ht="25.5" outlineLevel="2">
      <c r="A161" s="287">
        <v>135</v>
      </c>
      <c r="B161" s="933"/>
      <c r="C161" s="840"/>
      <c r="D161" s="854" t="s">
        <v>807</v>
      </c>
      <c r="E161" s="839"/>
      <c r="F161" s="821" t="s">
        <v>7</v>
      </c>
      <c r="G161" s="314">
        <v>4</v>
      </c>
      <c r="H161" s="739" t="s">
        <v>70</v>
      </c>
      <c r="I161" s="739">
        <v>244</v>
      </c>
      <c r="J161" s="740">
        <v>346</v>
      </c>
      <c r="K161" s="533" t="s">
        <v>643</v>
      </c>
      <c r="L161" s="1025">
        <v>7865</v>
      </c>
      <c r="M161" s="318"/>
      <c r="N161" s="318"/>
      <c r="O161" s="1052">
        <f t="shared" si="382"/>
        <v>7865</v>
      </c>
      <c r="P161" s="562"/>
      <c r="Q161" s="336"/>
      <c r="R161" s="562"/>
      <c r="S161" s="336"/>
      <c r="T161" s="562"/>
      <c r="U161" s="466"/>
      <c r="V161" s="597" t="s">
        <v>644</v>
      </c>
      <c r="W161" s="597" t="s">
        <v>805</v>
      </c>
      <c r="X161" s="597" t="s">
        <v>806</v>
      </c>
      <c r="Z161" s="336">
        <f t="shared" si="245"/>
        <v>0</v>
      </c>
      <c r="AA161" s="337">
        <f t="shared" si="245"/>
        <v>0</v>
      </c>
      <c r="AB161" s="338">
        <f t="shared" si="383"/>
        <v>0</v>
      </c>
      <c r="AC161" s="336">
        <f t="shared" si="246"/>
        <v>7865</v>
      </c>
      <c r="AD161" s="337">
        <f t="shared" si="246"/>
        <v>0</v>
      </c>
      <c r="AE161" s="338">
        <f t="shared" si="384"/>
        <v>7865</v>
      </c>
      <c r="AF161" s="336">
        <f t="shared" si="247"/>
        <v>0</v>
      </c>
      <c r="AG161" s="337">
        <f t="shared" si="247"/>
        <v>0</v>
      </c>
      <c r="AH161" s="338">
        <f t="shared" si="385"/>
        <v>0</v>
      </c>
      <c r="AI161" s="336">
        <f t="shared" si="248"/>
        <v>0</v>
      </c>
      <c r="AJ161" s="337">
        <f t="shared" si="248"/>
        <v>0</v>
      </c>
      <c r="AK161" s="338">
        <f t="shared" si="386"/>
        <v>0</v>
      </c>
      <c r="AL161" s="342"/>
      <c r="AM161" s="336">
        <f t="shared" si="249"/>
        <v>7865</v>
      </c>
      <c r="AN161" s="339">
        <f t="shared" si="249"/>
        <v>0</v>
      </c>
      <c r="AO161" s="340">
        <f t="shared" si="387"/>
        <v>7865</v>
      </c>
      <c r="AP161" s="336">
        <f t="shared" si="250"/>
        <v>7865</v>
      </c>
      <c r="AQ161" s="339">
        <f t="shared" si="250"/>
        <v>0</v>
      </c>
      <c r="AR161" s="340">
        <f t="shared" si="388"/>
        <v>7865</v>
      </c>
      <c r="AS161" s="341">
        <f t="shared" si="378"/>
        <v>7865</v>
      </c>
      <c r="AT161" s="339">
        <f t="shared" si="378"/>
        <v>0</v>
      </c>
      <c r="AU161" s="340">
        <f t="shared" si="389"/>
        <v>7865</v>
      </c>
      <c r="AV161" s="1255">
        <f t="shared" si="390"/>
        <v>0</v>
      </c>
      <c r="AW161" s="343"/>
      <c r="AX161" s="1098"/>
      <c r="AY161" s="345"/>
      <c r="AZ161" s="1098"/>
      <c r="BA161" s="345"/>
      <c r="BB161" s="1120"/>
      <c r="BC161" s="1134"/>
      <c r="BD161" s="348"/>
      <c r="BE161" s="1135">
        <v>7865</v>
      </c>
      <c r="BF161" s="348"/>
      <c r="BG161" s="349"/>
      <c r="BH161" s="350"/>
      <c r="BI161" s="351"/>
      <c r="BJ161" s="352"/>
      <c r="BK161" s="337"/>
      <c r="BL161" s="352"/>
      <c r="BM161" s="337"/>
      <c r="BN161" s="353"/>
      <c r="BO161" s="354"/>
      <c r="BP161" s="355"/>
      <c r="BQ161" s="356"/>
      <c r="BR161" s="355"/>
      <c r="BS161" s="356"/>
      <c r="BT161" s="357"/>
    </row>
    <row r="162" spans="1:72" s="313" customFormat="1" ht="51">
      <c r="A162" s="287">
        <v>136</v>
      </c>
      <c r="B162" s="933"/>
      <c r="C162" s="840"/>
      <c r="D162" s="854" t="s">
        <v>807</v>
      </c>
      <c r="E162" s="839"/>
      <c r="F162" s="821" t="s">
        <v>7</v>
      </c>
      <c r="G162" s="314">
        <v>4</v>
      </c>
      <c r="H162" s="739" t="s">
        <v>70</v>
      </c>
      <c r="I162" s="739">
        <v>244</v>
      </c>
      <c r="J162" s="740">
        <v>346</v>
      </c>
      <c r="K162" s="533" t="s">
        <v>811</v>
      </c>
      <c r="L162" s="1025">
        <v>3830</v>
      </c>
      <c r="M162" s="318"/>
      <c r="N162" s="318"/>
      <c r="O162" s="1052">
        <f t="shared" si="382"/>
        <v>3830</v>
      </c>
      <c r="P162" s="570"/>
      <c r="Q162" s="336"/>
      <c r="R162" s="559"/>
      <c r="S162" s="336"/>
      <c r="T162" s="329"/>
      <c r="U162" s="335"/>
      <c r="V162" s="597" t="s">
        <v>570</v>
      </c>
      <c r="W162" s="597" t="s">
        <v>812</v>
      </c>
      <c r="X162" s="320"/>
      <c r="Z162" s="336">
        <f>AW162+AY162+BA162</f>
        <v>0</v>
      </c>
      <c r="AA162" s="337">
        <f>AX162+AZ162+BB162</f>
        <v>0</v>
      </c>
      <c r="AB162" s="338">
        <f>Z162-AA162</f>
        <v>0</v>
      </c>
      <c r="AC162" s="336">
        <f>BC162+BE162+BG162</f>
        <v>3830</v>
      </c>
      <c r="AD162" s="337">
        <f>BD162+BF162+BH162</f>
        <v>0</v>
      </c>
      <c r="AE162" s="338">
        <f>AC162-AD162</f>
        <v>3830</v>
      </c>
      <c r="AF162" s="336">
        <f>BI162+BK162+BM162</f>
        <v>0</v>
      </c>
      <c r="AG162" s="337">
        <f>BJ162+BL162+BN162</f>
        <v>0</v>
      </c>
      <c r="AH162" s="338">
        <f>AF162-AG162</f>
        <v>0</v>
      </c>
      <c r="AI162" s="336">
        <f>BO162+BQ162+BS162</f>
        <v>0</v>
      </c>
      <c r="AJ162" s="337">
        <f>BP162+BR162+BT162</f>
        <v>0</v>
      </c>
      <c r="AK162" s="338">
        <f>AI162-AJ162</f>
        <v>0</v>
      </c>
      <c r="AL162" s="342"/>
      <c r="AM162" s="336">
        <f>Z162+AC162</f>
        <v>3830</v>
      </c>
      <c r="AN162" s="339">
        <f>AA162+AD162</f>
        <v>0</v>
      </c>
      <c r="AO162" s="340">
        <f>AM162-AN162</f>
        <v>3830</v>
      </c>
      <c r="AP162" s="336">
        <f>Z162+AC162+AF162</f>
        <v>3830</v>
      </c>
      <c r="AQ162" s="339">
        <f>AA162+AD162+AG162</f>
        <v>0</v>
      </c>
      <c r="AR162" s="340">
        <f>AP162-AQ162</f>
        <v>3830</v>
      </c>
      <c r="AS162" s="341">
        <f>Z162+AC162+AF162+AI162</f>
        <v>3830</v>
      </c>
      <c r="AT162" s="339">
        <f>AA162+AD162+AG162+AJ162</f>
        <v>0</v>
      </c>
      <c r="AU162" s="340">
        <f>AS162-AT162</f>
        <v>3830</v>
      </c>
      <c r="AV162" s="1265">
        <f t="shared" si="390"/>
        <v>0</v>
      </c>
      <c r="AW162" s="343"/>
      <c r="AX162" s="1098"/>
      <c r="AY162" s="345"/>
      <c r="AZ162" s="1098"/>
      <c r="BA162" s="345"/>
      <c r="BB162" s="1120"/>
      <c r="BC162" s="347"/>
      <c r="BD162" s="348"/>
      <c r="BE162" s="1135">
        <v>3830</v>
      </c>
      <c r="BF162" s="348"/>
      <c r="BG162" s="349"/>
      <c r="BH162" s="350"/>
      <c r="BI162" s="351"/>
      <c r="BJ162" s="352"/>
      <c r="BK162" s="337"/>
      <c r="BL162" s="352"/>
      <c r="BM162" s="337"/>
      <c r="BN162" s="353"/>
      <c r="BO162" s="354"/>
      <c r="BP162" s="355"/>
      <c r="BQ162" s="356"/>
      <c r="BR162" s="355"/>
      <c r="BS162" s="356"/>
      <c r="BT162" s="357"/>
    </row>
    <row r="163" spans="1:72" s="313" customFormat="1" ht="25.5" outlineLevel="2">
      <c r="A163" s="287">
        <v>137</v>
      </c>
      <c r="B163" s="933"/>
      <c r="C163" s="840"/>
      <c r="D163" s="854" t="s">
        <v>807</v>
      </c>
      <c r="E163" s="839"/>
      <c r="F163" s="821" t="s">
        <v>7</v>
      </c>
      <c r="G163" s="314">
        <v>4</v>
      </c>
      <c r="H163" s="739" t="s">
        <v>70</v>
      </c>
      <c r="I163" s="739">
        <v>244</v>
      </c>
      <c r="J163" s="740">
        <v>346</v>
      </c>
      <c r="K163" s="533" t="s">
        <v>823</v>
      </c>
      <c r="L163" s="1025">
        <v>2100</v>
      </c>
      <c r="M163" s="318"/>
      <c r="N163" s="318"/>
      <c r="O163" s="1052">
        <f t="shared" si="382"/>
        <v>2100</v>
      </c>
      <c r="P163" s="562"/>
      <c r="Q163" s="336"/>
      <c r="R163" s="562"/>
      <c r="S163" s="336"/>
      <c r="T163" s="562"/>
      <c r="U163" s="466"/>
      <c r="V163" s="597" t="s">
        <v>483</v>
      </c>
      <c r="W163" s="597" t="s">
        <v>824</v>
      </c>
      <c r="X163" s="320"/>
      <c r="Z163" s="336">
        <f t="shared" ref="Z163:AA164" si="414">AW163+AY163+BA163</f>
        <v>0</v>
      </c>
      <c r="AA163" s="337">
        <f t="shared" si="414"/>
        <v>0</v>
      </c>
      <c r="AB163" s="338">
        <f t="shared" ref="AB163:AB164" si="415">Z163-AA163</f>
        <v>0</v>
      </c>
      <c r="AC163" s="336">
        <f t="shared" ref="AC163:AD164" si="416">BC163+BE163+BG163</f>
        <v>2100</v>
      </c>
      <c r="AD163" s="337">
        <f t="shared" si="416"/>
        <v>0</v>
      </c>
      <c r="AE163" s="338">
        <f t="shared" ref="AE163:AE164" si="417">AC163-AD163</f>
        <v>2100</v>
      </c>
      <c r="AF163" s="336">
        <f t="shared" ref="AF163:AG164" si="418">BI163+BK163+BM163</f>
        <v>0</v>
      </c>
      <c r="AG163" s="337">
        <f t="shared" si="418"/>
        <v>0</v>
      </c>
      <c r="AH163" s="338">
        <f t="shared" ref="AH163:AH164" si="419">AF163-AG163</f>
        <v>0</v>
      </c>
      <c r="AI163" s="336">
        <f t="shared" ref="AI163:AJ164" si="420">BO163+BQ163+BS163</f>
        <v>0</v>
      </c>
      <c r="AJ163" s="337">
        <f t="shared" si="420"/>
        <v>0</v>
      </c>
      <c r="AK163" s="338">
        <f t="shared" ref="AK163:AK164" si="421">AI163-AJ163</f>
        <v>0</v>
      </c>
      <c r="AL163" s="342"/>
      <c r="AM163" s="336">
        <f t="shared" ref="AM163:AN164" si="422">Z163+AC163</f>
        <v>2100</v>
      </c>
      <c r="AN163" s="339">
        <f t="shared" si="422"/>
        <v>0</v>
      </c>
      <c r="AO163" s="340">
        <f t="shared" ref="AO163:AO164" si="423">AM163-AN163</f>
        <v>2100</v>
      </c>
      <c r="AP163" s="336">
        <f t="shared" ref="AP163:AQ164" si="424">Z163+AC163+AF163</f>
        <v>2100</v>
      </c>
      <c r="AQ163" s="339">
        <f t="shared" si="424"/>
        <v>0</v>
      </c>
      <c r="AR163" s="340">
        <f t="shared" ref="AR163:AR164" si="425">AP163-AQ163</f>
        <v>2100</v>
      </c>
      <c r="AS163" s="341">
        <f t="shared" ref="AS163:AT196" si="426">Z163+AC163+AF163+AI163</f>
        <v>2100</v>
      </c>
      <c r="AT163" s="339">
        <f t="shared" si="426"/>
        <v>0</v>
      </c>
      <c r="AU163" s="340">
        <f t="shared" ref="AU163:AU164" si="427">AS163-AT163</f>
        <v>2100</v>
      </c>
      <c r="AV163" s="1255">
        <f t="shared" si="390"/>
        <v>0</v>
      </c>
      <c r="AW163" s="343"/>
      <c r="AX163" s="1098"/>
      <c r="AY163" s="345"/>
      <c r="AZ163" s="1098"/>
      <c r="BA163" s="345"/>
      <c r="BB163" s="1120"/>
      <c r="BC163" s="347"/>
      <c r="BD163" s="348"/>
      <c r="BE163" s="1135">
        <v>2100</v>
      </c>
      <c r="BF163" s="348"/>
      <c r="BG163" s="349"/>
      <c r="BH163" s="350"/>
      <c r="BI163" s="351"/>
      <c r="BJ163" s="352"/>
      <c r="BK163" s="337"/>
      <c r="BL163" s="352"/>
      <c r="BM163" s="337"/>
      <c r="BN163" s="353"/>
      <c r="BO163" s="354"/>
      <c r="BP163" s="355"/>
      <c r="BQ163" s="356"/>
      <c r="BR163" s="355"/>
      <c r="BS163" s="356"/>
      <c r="BT163" s="357"/>
    </row>
    <row r="164" spans="1:72" s="313" customFormat="1" ht="63.75" outlineLevel="2">
      <c r="A164" s="287">
        <v>138</v>
      </c>
      <c r="B164" s="933"/>
      <c r="C164" s="840"/>
      <c r="D164" s="854" t="s">
        <v>807</v>
      </c>
      <c r="E164" s="839"/>
      <c r="F164" s="821" t="s">
        <v>7</v>
      </c>
      <c r="G164" s="314">
        <v>4</v>
      </c>
      <c r="H164" s="739" t="s">
        <v>70</v>
      </c>
      <c r="I164" s="739">
        <v>244</v>
      </c>
      <c r="J164" s="740">
        <v>346</v>
      </c>
      <c r="K164" s="533" t="s">
        <v>825</v>
      </c>
      <c r="L164" s="1025">
        <v>798</v>
      </c>
      <c r="M164" s="318"/>
      <c r="N164" s="318"/>
      <c r="O164" s="1052">
        <f t="shared" si="382"/>
        <v>798</v>
      </c>
      <c r="P164" s="562"/>
      <c r="Q164" s="336"/>
      <c r="R164" s="562"/>
      <c r="S164" s="336"/>
      <c r="T164" s="562"/>
      <c r="U164" s="466"/>
      <c r="V164" s="597" t="s">
        <v>502</v>
      </c>
      <c r="W164" s="597" t="s">
        <v>826</v>
      </c>
      <c r="X164" s="320"/>
      <c r="Z164" s="336">
        <f t="shared" si="414"/>
        <v>0</v>
      </c>
      <c r="AA164" s="337">
        <f t="shared" si="414"/>
        <v>0</v>
      </c>
      <c r="AB164" s="338">
        <f t="shared" si="415"/>
        <v>0</v>
      </c>
      <c r="AC164" s="336">
        <f t="shared" si="416"/>
        <v>798</v>
      </c>
      <c r="AD164" s="337">
        <f t="shared" si="416"/>
        <v>0</v>
      </c>
      <c r="AE164" s="338">
        <f t="shared" si="417"/>
        <v>798</v>
      </c>
      <c r="AF164" s="336">
        <f t="shared" si="418"/>
        <v>0</v>
      </c>
      <c r="AG164" s="337">
        <f t="shared" si="418"/>
        <v>0</v>
      </c>
      <c r="AH164" s="338">
        <f t="shared" si="419"/>
        <v>0</v>
      </c>
      <c r="AI164" s="336">
        <f t="shared" si="420"/>
        <v>0</v>
      </c>
      <c r="AJ164" s="337">
        <f t="shared" si="420"/>
        <v>0</v>
      </c>
      <c r="AK164" s="338">
        <f t="shared" si="421"/>
        <v>0</v>
      </c>
      <c r="AL164" s="342"/>
      <c r="AM164" s="336">
        <f t="shared" si="422"/>
        <v>798</v>
      </c>
      <c r="AN164" s="339">
        <f t="shared" si="422"/>
        <v>0</v>
      </c>
      <c r="AO164" s="340">
        <f t="shared" si="423"/>
        <v>798</v>
      </c>
      <c r="AP164" s="336">
        <f t="shared" si="424"/>
        <v>798</v>
      </c>
      <c r="AQ164" s="339">
        <f t="shared" si="424"/>
        <v>0</v>
      </c>
      <c r="AR164" s="340">
        <f t="shared" si="425"/>
        <v>798</v>
      </c>
      <c r="AS164" s="341">
        <f t="shared" si="426"/>
        <v>798</v>
      </c>
      <c r="AT164" s="339">
        <f t="shared" si="426"/>
        <v>0</v>
      </c>
      <c r="AU164" s="340">
        <f t="shared" si="427"/>
        <v>798</v>
      </c>
      <c r="AV164" s="1255">
        <f t="shared" si="390"/>
        <v>0</v>
      </c>
      <c r="AW164" s="343"/>
      <c r="AX164" s="1098"/>
      <c r="AY164" s="345"/>
      <c r="AZ164" s="1098"/>
      <c r="BA164" s="345"/>
      <c r="BB164" s="1120"/>
      <c r="BC164" s="347"/>
      <c r="BD164" s="348"/>
      <c r="BE164" s="1135">
        <v>798</v>
      </c>
      <c r="BF164" s="348"/>
      <c r="BG164" s="349"/>
      <c r="BH164" s="350"/>
      <c r="BI164" s="351"/>
      <c r="BJ164" s="352"/>
      <c r="BK164" s="337"/>
      <c r="BL164" s="352"/>
      <c r="BM164" s="337"/>
      <c r="BN164" s="353"/>
      <c r="BO164" s="354"/>
      <c r="BP164" s="355"/>
      <c r="BQ164" s="356"/>
      <c r="BR164" s="355"/>
      <c r="BS164" s="356"/>
      <c r="BT164" s="357"/>
    </row>
    <row r="165" spans="1:72" s="313" customFormat="1" ht="38.25" outlineLevel="2">
      <c r="A165" s="287">
        <v>138</v>
      </c>
      <c r="B165" s="933"/>
      <c r="C165" s="840"/>
      <c r="D165" s="854" t="s">
        <v>807</v>
      </c>
      <c r="E165" s="839"/>
      <c r="F165" s="821" t="s">
        <v>7</v>
      </c>
      <c r="G165" s="314">
        <v>4</v>
      </c>
      <c r="H165" s="739" t="s">
        <v>70</v>
      </c>
      <c r="I165" s="739">
        <v>244</v>
      </c>
      <c r="J165" s="740">
        <v>346</v>
      </c>
      <c r="K165" s="533" t="s">
        <v>880</v>
      </c>
      <c r="L165" s="1025">
        <v>2009</v>
      </c>
      <c r="M165" s="318"/>
      <c r="N165" s="318"/>
      <c r="O165" s="1052">
        <f t="shared" ref="O165" si="428">L165+N165</f>
        <v>2009</v>
      </c>
      <c r="P165" s="562"/>
      <c r="Q165" s="336"/>
      <c r="R165" s="562"/>
      <c r="S165" s="336"/>
      <c r="T165" s="562"/>
      <c r="U165" s="466"/>
      <c r="V165" s="597" t="s">
        <v>495</v>
      </c>
      <c r="W165" s="597" t="s">
        <v>885</v>
      </c>
      <c r="X165" s="320"/>
      <c r="Z165" s="336">
        <f t="shared" ref="Z165" si="429">AW165+AY165+BA165</f>
        <v>0</v>
      </c>
      <c r="AA165" s="337">
        <f t="shared" ref="AA165" si="430">AX165+AZ165+BB165</f>
        <v>0</v>
      </c>
      <c r="AB165" s="338">
        <f t="shared" ref="AB165" si="431">Z165-AA165</f>
        <v>0</v>
      </c>
      <c r="AC165" s="336">
        <f t="shared" ref="AC165" si="432">BC165+BE165+BG165</f>
        <v>2009</v>
      </c>
      <c r="AD165" s="337">
        <f t="shared" ref="AD165" si="433">BD165+BF165+BH165</f>
        <v>0</v>
      </c>
      <c r="AE165" s="338">
        <f t="shared" ref="AE165" si="434">AC165-AD165</f>
        <v>2009</v>
      </c>
      <c r="AF165" s="336">
        <f t="shared" ref="AF165" si="435">BI165+BK165+BM165</f>
        <v>0</v>
      </c>
      <c r="AG165" s="337">
        <f t="shared" ref="AG165" si="436">BJ165+BL165+BN165</f>
        <v>0</v>
      </c>
      <c r="AH165" s="338">
        <f t="shared" ref="AH165" si="437">AF165-AG165</f>
        <v>0</v>
      </c>
      <c r="AI165" s="336">
        <f t="shared" ref="AI165" si="438">BO165+BQ165+BS165</f>
        <v>0</v>
      </c>
      <c r="AJ165" s="337">
        <f t="shared" ref="AJ165" si="439">BP165+BR165+BT165</f>
        <v>0</v>
      </c>
      <c r="AK165" s="338">
        <f t="shared" ref="AK165" si="440">AI165-AJ165</f>
        <v>0</v>
      </c>
      <c r="AL165" s="342"/>
      <c r="AM165" s="336">
        <f t="shared" ref="AM165" si="441">Z165+AC165</f>
        <v>2009</v>
      </c>
      <c r="AN165" s="339">
        <f t="shared" ref="AN165" si="442">AA165+AD165</f>
        <v>0</v>
      </c>
      <c r="AO165" s="340">
        <f t="shared" ref="AO165" si="443">AM165-AN165</f>
        <v>2009</v>
      </c>
      <c r="AP165" s="336">
        <f t="shared" ref="AP165" si="444">Z165+AC165+AF165</f>
        <v>2009</v>
      </c>
      <c r="AQ165" s="339">
        <f t="shared" ref="AQ165" si="445">AA165+AD165+AG165</f>
        <v>0</v>
      </c>
      <c r="AR165" s="340">
        <f t="shared" ref="AR165" si="446">AP165-AQ165</f>
        <v>2009</v>
      </c>
      <c r="AS165" s="341">
        <f t="shared" ref="AS165" si="447">Z165+AC165+AF165+AI165</f>
        <v>2009</v>
      </c>
      <c r="AT165" s="339">
        <f t="shared" ref="AT165" si="448">AA165+AD165+AG165+AJ165</f>
        <v>0</v>
      </c>
      <c r="AU165" s="340">
        <f t="shared" ref="AU165" si="449">AS165-AT165</f>
        <v>2009</v>
      </c>
      <c r="AV165" s="1255">
        <f t="shared" ref="AV165" si="450">L165-AS165</f>
        <v>0</v>
      </c>
      <c r="AW165" s="343"/>
      <c r="AX165" s="1098"/>
      <c r="AY165" s="345"/>
      <c r="AZ165" s="1098"/>
      <c r="BA165" s="345"/>
      <c r="BB165" s="1120"/>
      <c r="BC165" s="347"/>
      <c r="BD165" s="348"/>
      <c r="BE165" s="1135"/>
      <c r="BF165" s="348"/>
      <c r="BG165" s="1135">
        <v>2009</v>
      </c>
      <c r="BH165" s="350"/>
      <c r="BI165" s="351"/>
      <c r="BJ165" s="352"/>
      <c r="BK165" s="337"/>
      <c r="BL165" s="352"/>
      <c r="BM165" s="337"/>
      <c r="BN165" s="353"/>
      <c r="BO165" s="354"/>
      <c r="BP165" s="355"/>
      <c r="BQ165" s="356"/>
      <c r="BR165" s="355"/>
      <c r="BS165" s="356"/>
      <c r="BT165" s="357"/>
    </row>
    <row r="166" spans="1:72" s="430" customFormat="1" ht="25.5" customHeight="1" outlineLevel="2">
      <c r="A166" s="287">
        <v>139</v>
      </c>
      <c r="B166" s="933"/>
      <c r="C166" s="743"/>
      <c r="D166" s="856" t="s">
        <v>807</v>
      </c>
      <c r="E166" s="857"/>
      <c r="F166" s="827" t="s">
        <v>7</v>
      </c>
      <c r="G166" s="431">
        <v>4</v>
      </c>
      <c r="H166" s="474" t="s">
        <v>70</v>
      </c>
      <c r="I166" s="743">
        <v>244</v>
      </c>
      <c r="J166" s="744">
        <v>346</v>
      </c>
      <c r="K166" s="536" t="s">
        <v>284</v>
      </c>
      <c r="L166" s="1030">
        <v>0</v>
      </c>
      <c r="M166" s="434"/>
      <c r="N166" s="434"/>
      <c r="O166" s="1064">
        <f>L166+N166</f>
        <v>0</v>
      </c>
      <c r="P166" s="563"/>
      <c r="Q166" s="437"/>
      <c r="R166" s="563"/>
      <c r="S166" s="437"/>
      <c r="T166" s="563"/>
      <c r="U166" s="467"/>
      <c r="V166" s="436"/>
      <c r="W166" s="436"/>
      <c r="X166" s="436"/>
      <c r="Z166" s="437">
        <f t="shared" si="245"/>
        <v>0</v>
      </c>
      <c r="AA166" s="438">
        <f t="shared" si="245"/>
        <v>0</v>
      </c>
      <c r="AB166" s="439">
        <f>Z166-AA166</f>
        <v>0</v>
      </c>
      <c r="AC166" s="437">
        <f t="shared" si="246"/>
        <v>0</v>
      </c>
      <c r="AD166" s="438">
        <f t="shared" si="246"/>
        <v>0</v>
      </c>
      <c r="AE166" s="439">
        <f>AC166-AD166</f>
        <v>0</v>
      </c>
      <c r="AF166" s="437">
        <f t="shared" si="247"/>
        <v>0</v>
      </c>
      <c r="AG166" s="438">
        <f t="shared" si="247"/>
        <v>0</v>
      </c>
      <c r="AH166" s="439">
        <f>AF166-AG166</f>
        <v>0</v>
      </c>
      <c r="AI166" s="437">
        <f t="shared" si="248"/>
        <v>0</v>
      </c>
      <c r="AJ166" s="438">
        <f t="shared" si="248"/>
        <v>0</v>
      </c>
      <c r="AK166" s="439">
        <f>AI166-AJ166</f>
        <v>0</v>
      </c>
      <c r="AL166" s="440"/>
      <c r="AM166" s="437">
        <f t="shared" si="249"/>
        <v>0</v>
      </c>
      <c r="AN166" s="441">
        <f t="shared" si="249"/>
        <v>0</v>
      </c>
      <c r="AO166" s="442">
        <f>AM166-AN166</f>
        <v>0</v>
      </c>
      <c r="AP166" s="437">
        <f t="shared" si="250"/>
        <v>0</v>
      </c>
      <c r="AQ166" s="441">
        <f t="shared" si="250"/>
        <v>0</v>
      </c>
      <c r="AR166" s="442">
        <f>AP166-AQ166</f>
        <v>0</v>
      </c>
      <c r="AS166" s="443">
        <f t="shared" si="426"/>
        <v>0</v>
      </c>
      <c r="AT166" s="441">
        <f t="shared" si="426"/>
        <v>0</v>
      </c>
      <c r="AU166" s="442">
        <f>AS166-AT166</f>
        <v>0</v>
      </c>
      <c r="AV166" s="440">
        <f>L166-AS166</f>
        <v>0</v>
      </c>
      <c r="AW166" s="444"/>
      <c r="AX166" s="1111"/>
      <c r="AY166" s="446"/>
      <c r="AZ166" s="1111"/>
      <c r="BA166" s="446"/>
      <c r="BB166" s="1129"/>
      <c r="BC166" s="448"/>
      <c r="BD166" s="449"/>
      <c r="BE166" s="450"/>
      <c r="BF166" s="449"/>
      <c r="BG166" s="450"/>
      <c r="BH166" s="451"/>
      <c r="BI166" s="452"/>
      <c r="BJ166" s="453"/>
      <c r="BK166" s="438"/>
      <c r="BL166" s="453"/>
      <c r="BM166" s="438"/>
      <c r="BN166" s="454"/>
      <c r="BO166" s="455"/>
      <c r="BP166" s="456"/>
      <c r="BQ166" s="457"/>
      <c r="BR166" s="456"/>
      <c r="BS166" s="457"/>
      <c r="BT166" s="458"/>
    </row>
    <row r="167" spans="1:72" s="459" customFormat="1" ht="66.75" customHeight="1" outlineLevel="1">
      <c r="A167" s="287">
        <v>140</v>
      </c>
      <c r="B167" s="933"/>
      <c r="C167" s="850" t="s">
        <v>378</v>
      </c>
      <c r="D167" s="854" t="s">
        <v>272</v>
      </c>
      <c r="E167" s="855"/>
      <c r="F167" s="826" t="s">
        <v>7</v>
      </c>
      <c r="G167" s="462">
        <v>4</v>
      </c>
      <c r="H167" s="741" t="s">
        <v>70</v>
      </c>
      <c r="I167" s="741">
        <v>244</v>
      </c>
      <c r="J167" s="742">
        <v>346</v>
      </c>
      <c r="K167" s="535" t="s">
        <v>278</v>
      </c>
      <c r="L167" s="1028">
        <v>27459.5</v>
      </c>
      <c r="M167" s="352"/>
      <c r="N167" s="352">
        <f>SUM(N168:N177)</f>
        <v>15063</v>
      </c>
      <c r="O167" s="1062">
        <f t="shared" si="172"/>
        <v>42522.5</v>
      </c>
      <c r="P167" s="561"/>
      <c r="Q167" s="464"/>
      <c r="R167" s="561"/>
      <c r="S167" s="464"/>
      <c r="T167" s="561"/>
      <c r="U167" s="393"/>
      <c r="V167" s="394"/>
      <c r="W167" s="394"/>
      <c r="X167" s="394"/>
      <c r="Y167" s="392"/>
      <c r="Z167" s="395">
        <f t="shared" si="245"/>
        <v>0</v>
      </c>
      <c r="AA167" s="396">
        <f t="shared" si="245"/>
        <v>0</v>
      </c>
      <c r="AB167" s="397">
        <f t="shared" si="163"/>
        <v>0</v>
      </c>
      <c r="AC167" s="395">
        <f t="shared" si="246"/>
        <v>15750.4</v>
      </c>
      <c r="AD167" s="396">
        <f t="shared" si="246"/>
        <v>0</v>
      </c>
      <c r="AE167" s="397">
        <f t="shared" si="164"/>
        <v>15750.4</v>
      </c>
      <c r="AF167" s="395">
        <f t="shared" si="247"/>
        <v>26772.1</v>
      </c>
      <c r="AG167" s="396">
        <f t="shared" si="247"/>
        <v>0</v>
      </c>
      <c r="AH167" s="397">
        <f t="shared" si="165"/>
        <v>26772.1</v>
      </c>
      <c r="AI167" s="395">
        <f t="shared" si="248"/>
        <v>0</v>
      </c>
      <c r="AJ167" s="396">
        <f t="shared" si="248"/>
        <v>0</v>
      </c>
      <c r="AK167" s="397">
        <f t="shared" si="166"/>
        <v>0</v>
      </c>
      <c r="AL167" s="398"/>
      <c r="AM167" s="464">
        <f t="shared" si="249"/>
        <v>15750.4</v>
      </c>
      <c r="AN167" s="352">
        <f t="shared" si="249"/>
        <v>0</v>
      </c>
      <c r="AO167" s="465">
        <f t="shared" si="167"/>
        <v>15750.4</v>
      </c>
      <c r="AP167" s="464">
        <f t="shared" si="250"/>
        <v>42522.5</v>
      </c>
      <c r="AQ167" s="352">
        <f t="shared" si="250"/>
        <v>0</v>
      </c>
      <c r="AR167" s="465">
        <f t="shared" si="168"/>
        <v>42522.5</v>
      </c>
      <c r="AS167" s="464">
        <f t="shared" si="426"/>
        <v>42522.5</v>
      </c>
      <c r="AT167" s="352">
        <f t="shared" si="426"/>
        <v>0</v>
      </c>
      <c r="AU167" s="465">
        <f t="shared" si="169"/>
        <v>42522.5</v>
      </c>
      <c r="AV167" s="1261">
        <f t="shared" si="170"/>
        <v>-15063</v>
      </c>
      <c r="AW167" s="464">
        <f t="shared" ref="AW167:BT167" si="451">SUM(AW168:AW177)</f>
        <v>0</v>
      </c>
      <c r="AX167" s="1110">
        <f t="shared" si="451"/>
        <v>0</v>
      </c>
      <c r="AY167" s="352">
        <f t="shared" si="451"/>
        <v>0</v>
      </c>
      <c r="AZ167" s="1110">
        <f t="shared" si="451"/>
        <v>0</v>
      </c>
      <c r="BA167" s="352">
        <f t="shared" si="451"/>
        <v>0</v>
      </c>
      <c r="BB167" s="1128">
        <f t="shared" si="451"/>
        <v>0</v>
      </c>
      <c r="BC167" s="464">
        <f t="shared" si="451"/>
        <v>0</v>
      </c>
      <c r="BD167" s="352">
        <f t="shared" si="451"/>
        <v>0</v>
      </c>
      <c r="BE167" s="352">
        <f t="shared" si="451"/>
        <v>0</v>
      </c>
      <c r="BF167" s="352">
        <f t="shared" si="451"/>
        <v>0</v>
      </c>
      <c r="BG167" s="352">
        <f t="shared" si="451"/>
        <v>15750.4</v>
      </c>
      <c r="BH167" s="353">
        <f t="shared" si="451"/>
        <v>0</v>
      </c>
      <c r="BI167" s="464">
        <f t="shared" si="451"/>
        <v>4063</v>
      </c>
      <c r="BJ167" s="352">
        <f t="shared" si="451"/>
        <v>0</v>
      </c>
      <c r="BK167" s="352">
        <f t="shared" si="451"/>
        <v>11709.1</v>
      </c>
      <c r="BL167" s="352">
        <f t="shared" si="451"/>
        <v>0</v>
      </c>
      <c r="BM167" s="352">
        <f t="shared" si="451"/>
        <v>11000</v>
      </c>
      <c r="BN167" s="353">
        <f t="shared" si="451"/>
        <v>0</v>
      </c>
      <c r="BO167" s="464">
        <f t="shared" si="451"/>
        <v>0</v>
      </c>
      <c r="BP167" s="352">
        <f t="shared" si="451"/>
        <v>0</v>
      </c>
      <c r="BQ167" s="352">
        <f t="shared" si="451"/>
        <v>0</v>
      </c>
      <c r="BR167" s="352">
        <f t="shared" si="451"/>
        <v>0</v>
      </c>
      <c r="BS167" s="352">
        <f t="shared" si="451"/>
        <v>0</v>
      </c>
      <c r="BT167" s="465">
        <f t="shared" si="451"/>
        <v>0</v>
      </c>
    </row>
    <row r="168" spans="1:72" s="313" customFormat="1" ht="25.5" customHeight="1" outlineLevel="2">
      <c r="A168" s="287">
        <v>141</v>
      </c>
      <c r="B168" s="933"/>
      <c r="C168" s="840"/>
      <c r="D168" s="841" t="s">
        <v>272</v>
      </c>
      <c r="E168" s="839"/>
      <c r="F168" s="821" t="s">
        <v>7</v>
      </c>
      <c r="G168" s="314">
        <v>4</v>
      </c>
      <c r="H168" s="739" t="s">
        <v>70</v>
      </c>
      <c r="I168" s="739">
        <v>244</v>
      </c>
      <c r="J168" s="740">
        <v>346</v>
      </c>
      <c r="K168" s="1005" t="s">
        <v>833</v>
      </c>
      <c r="L168" s="1031">
        <f>27459.5-SUM(L169:L177)</f>
        <v>0</v>
      </c>
      <c r="M168" s="318"/>
      <c r="N168" s="318"/>
      <c r="O168" s="1055">
        <f t="shared" si="172"/>
        <v>0</v>
      </c>
      <c r="P168" s="562"/>
      <c r="Q168" s="336"/>
      <c r="R168" s="562"/>
      <c r="S168" s="336"/>
      <c r="T168" s="562"/>
      <c r="U168" s="466"/>
      <c r="V168" s="320"/>
      <c r="W168" s="320"/>
      <c r="X168" s="320"/>
      <c r="Z168" s="336">
        <f t="shared" si="245"/>
        <v>0</v>
      </c>
      <c r="AA168" s="337">
        <f t="shared" si="245"/>
        <v>0</v>
      </c>
      <c r="AB168" s="338">
        <f t="shared" si="163"/>
        <v>0</v>
      </c>
      <c r="AC168" s="336">
        <f t="shared" si="246"/>
        <v>0</v>
      </c>
      <c r="AD168" s="337">
        <f t="shared" si="246"/>
        <v>0</v>
      </c>
      <c r="AE168" s="338">
        <f t="shared" si="164"/>
        <v>0</v>
      </c>
      <c r="AF168" s="336">
        <f t="shared" si="247"/>
        <v>0</v>
      </c>
      <c r="AG168" s="337">
        <f t="shared" si="247"/>
        <v>0</v>
      </c>
      <c r="AH168" s="338">
        <f t="shared" si="165"/>
        <v>0</v>
      </c>
      <c r="AI168" s="336">
        <f t="shared" si="248"/>
        <v>0</v>
      </c>
      <c r="AJ168" s="337">
        <f t="shared" si="248"/>
        <v>0</v>
      </c>
      <c r="AK168" s="338">
        <f t="shared" si="166"/>
        <v>0</v>
      </c>
      <c r="AL168" s="342"/>
      <c r="AM168" s="336">
        <f t="shared" si="249"/>
        <v>0</v>
      </c>
      <c r="AN168" s="339">
        <f t="shared" si="249"/>
        <v>0</v>
      </c>
      <c r="AO168" s="340">
        <f t="shared" si="167"/>
        <v>0</v>
      </c>
      <c r="AP168" s="336">
        <f t="shared" si="250"/>
        <v>0</v>
      </c>
      <c r="AQ168" s="339">
        <f t="shared" si="250"/>
        <v>0</v>
      </c>
      <c r="AR168" s="340">
        <f t="shared" si="168"/>
        <v>0</v>
      </c>
      <c r="AS168" s="341">
        <f t="shared" si="426"/>
        <v>0</v>
      </c>
      <c r="AT168" s="339">
        <f t="shared" si="426"/>
        <v>0</v>
      </c>
      <c r="AU168" s="340">
        <f t="shared" si="169"/>
        <v>0</v>
      </c>
      <c r="AV168" s="1255">
        <f t="shared" si="170"/>
        <v>0</v>
      </c>
      <c r="AW168" s="343"/>
      <c r="AX168" s="1098"/>
      <c r="AY168" s="345"/>
      <c r="AZ168" s="1098"/>
      <c r="BA168" s="345"/>
      <c r="BB168" s="1120"/>
      <c r="BC168" s="347"/>
      <c r="BD168" s="348"/>
      <c r="BE168" s="349"/>
      <c r="BF168" s="348"/>
      <c r="BG168" s="349"/>
      <c r="BH168" s="350"/>
      <c r="BI168" s="351"/>
      <c r="BJ168" s="352"/>
      <c r="BK168" s="337"/>
      <c r="BL168" s="352"/>
      <c r="BM168" s="337"/>
      <c r="BN168" s="353"/>
      <c r="BO168" s="354"/>
      <c r="BP168" s="355"/>
      <c r="BQ168" s="356"/>
      <c r="BR168" s="355"/>
      <c r="BS168" s="356"/>
      <c r="BT168" s="357"/>
    </row>
    <row r="169" spans="1:72" s="313" customFormat="1" ht="25.5" customHeight="1" outlineLevel="2">
      <c r="A169" s="287">
        <v>142</v>
      </c>
      <c r="B169" s="933"/>
      <c r="C169" s="840"/>
      <c r="D169" s="841" t="s">
        <v>272</v>
      </c>
      <c r="E169" s="839"/>
      <c r="F169" s="821" t="s">
        <v>7</v>
      </c>
      <c r="G169" s="314">
        <v>4</v>
      </c>
      <c r="H169" s="739" t="s">
        <v>70</v>
      </c>
      <c r="I169" s="739">
        <v>244</v>
      </c>
      <c r="J169" s="740">
        <v>346</v>
      </c>
      <c r="K169" s="533" t="s">
        <v>834</v>
      </c>
      <c r="L169" s="1025">
        <v>9320</v>
      </c>
      <c r="M169" s="318"/>
      <c r="N169" s="318"/>
      <c r="O169" s="1052">
        <f t="shared" si="172"/>
        <v>9320</v>
      </c>
      <c r="P169" s="562"/>
      <c r="Q169" s="336"/>
      <c r="R169" s="562"/>
      <c r="S169" s="336"/>
      <c r="T169" s="562"/>
      <c r="U169" s="466"/>
      <c r="V169" s="597" t="s">
        <v>555</v>
      </c>
      <c r="W169" s="597" t="s">
        <v>854</v>
      </c>
      <c r="X169" s="597" t="s">
        <v>855</v>
      </c>
      <c r="Z169" s="336">
        <f t="shared" si="245"/>
        <v>0</v>
      </c>
      <c r="AA169" s="337">
        <f t="shared" si="245"/>
        <v>0</v>
      </c>
      <c r="AB169" s="338">
        <f t="shared" si="163"/>
        <v>0</v>
      </c>
      <c r="AC169" s="336">
        <f t="shared" si="246"/>
        <v>9320</v>
      </c>
      <c r="AD169" s="337">
        <f t="shared" si="246"/>
        <v>0</v>
      </c>
      <c r="AE169" s="338">
        <f t="shared" si="164"/>
        <v>9320</v>
      </c>
      <c r="AF169" s="336">
        <f t="shared" si="247"/>
        <v>0</v>
      </c>
      <c r="AG169" s="337">
        <f t="shared" si="247"/>
        <v>0</v>
      </c>
      <c r="AH169" s="338">
        <f t="shared" si="165"/>
        <v>0</v>
      </c>
      <c r="AI169" s="336">
        <f t="shared" si="248"/>
        <v>0</v>
      </c>
      <c r="AJ169" s="337">
        <f t="shared" si="248"/>
        <v>0</v>
      </c>
      <c r="AK169" s="338">
        <f t="shared" si="166"/>
        <v>0</v>
      </c>
      <c r="AL169" s="342"/>
      <c r="AM169" s="336">
        <f t="shared" si="249"/>
        <v>9320</v>
      </c>
      <c r="AN169" s="339">
        <f t="shared" si="249"/>
        <v>0</v>
      </c>
      <c r="AO169" s="340">
        <f t="shared" si="167"/>
        <v>9320</v>
      </c>
      <c r="AP169" s="336">
        <f t="shared" si="250"/>
        <v>9320</v>
      </c>
      <c r="AQ169" s="339">
        <f t="shared" si="250"/>
        <v>0</v>
      </c>
      <c r="AR169" s="340">
        <f t="shared" si="168"/>
        <v>9320</v>
      </c>
      <c r="AS169" s="341">
        <f t="shared" si="426"/>
        <v>9320</v>
      </c>
      <c r="AT169" s="339">
        <f t="shared" si="426"/>
        <v>0</v>
      </c>
      <c r="AU169" s="340">
        <f t="shared" si="169"/>
        <v>9320</v>
      </c>
      <c r="AV169" s="1255">
        <f t="shared" si="170"/>
        <v>0</v>
      </c>
      <c r="AW169" s="343"/>
      <c r="AX169" s="1098"/>
      <c r="AY169" s="345"/>
      <c r="AZ169" s="1098"/>
      <c r="BA169" s="345"/>
      <c r="BB169" s="1120"/>
      <c r="BC169" s="347"/>
      <c r="BD169" s="348"/>
      <c r="BE169" s="349"/>
      <c r="BF169" s="348"/>
      <c r="BG169" s="1135">
        <v>9320</v>
      </c>
      <c r="BH169" s="350"/>
      <c r="BI169" s="351"/>
      <c r="BJ169" s="352"/>
      <c r="BK169" s="337"/>
      <c r="BL169" s="352"/>
      <c r="BM169" s="337"/>
      <c r="BN169" s="353"/>
      <c r="BO169" s="354"/>
      <c r="BP169" s="355"/>
      <c r="BQ169" s="356"/>
      <c r="BR169" s="355"/>
      <c r="BS169" s="356"/>
      <c r="BT169" s="357"/>
    </row>
    <row r="170" spans="1:72" s="313" customFormat="1" ht="25.5" customHeight="1" outlineLevel="2">
      <c r="A170" s="1192">
        <v>142.1</v>
      </c>
      <c r="B170" s="933"/>
      <c r="C170" s="840"/>
      <c r="D170" s="841" t="s">
        <v>272</v>
      </c>
      <c r="E170" s="839"/>
      <c r="F170" s="821" t="s">
        <v>7</v>
      </c>
      <c r="G170" s="314">
        <v>4</v>
      </c>
      <c r="H170" s="739" t="s">
        <v>70</v>
      </c>
      <c r="I170" s="739">
        <v>244</v>
      </c>
      <c r="J170" s="740">
        <v>346</v>
      </c>
      <c r="K170" s="533" t="s">
        <v>823</v>
      </c>
      <c r="L170" s="1025">
        <v>2254</v>
      </c>
      <c r="M170" s="318"/>
      <c r="N170" s="318"/>
      <c r="O170" s="1052">
        <f t="shared" si="172"/>
        <v>2254</v>
      </c>
      <c r="P170" s="562"/>
      <c r="Q170" s="336"/>
      <c r="R170" s="562"/>
      <c r="S170" s="336"/>
      <c r="T170" s="562"/>
      <c r="U170" s="466"/>
      <c r="V170" s="597" t="s">
        <v>984</v>
      </c>
      <c r="W170" s="597" t="s">
        <v>869</v>
      </c>
      <c r="X170" s="320"/>
      <c r="Z170" s="336">
        <f t="shared" si="245"/>
        <v>0</v>
      </c>
      <c r="AA170" s="337">
        <f t="shared" si="245"/>
        <v>0</v>
      </c>
      <c r="AB170" s="338">
        <f t="shared" si="163"/>
        <v>0</v>
      </c>
      <c r="AC170" s="336">
        <f t="shared" si="246"/>
        <v>2254</v>
      </c>
      <c r="AD170" s="337">
        <f t="shared" si="246"/>
        <v>0</v>
      </c>
      <c r="AE170" s="338">
        <f t="shared" si="164"/>
        <v>2254</v>
      </c>
      <c r="AF170" s="336">
        <f t="shared" si="247"/>
        <v>0</v>
      </c>
      <c r="AG170" s="337">
        <f t="shared" si="247"/>
        <v>0</v>
      </c>
      <c r="AH170" s="338">
        <f t="shared" si="165"/>
        <v>0</v>
      </c>
      <c r="AI170" s="336">
        <f t="shared" si="248"/>
        <v>0</v>
      </c>
      <c r="AJ170" s="337">
        <f t="shared" si="248"/>
        <v>0</v>
      </c>
      <c r="AK170" s="338">
        <f t="shared" si="166"/>
        <v>0</v>
      </c>
      <c r="AL170" s="342"/>
      <c r="AM170" s="336">
        <f t="shared" si="249"/>
        <v>2254</v>
      </c>
      <c r="AN170" s="339">
        <f t="shared" si="249"/>
        <v>0</v>
      </c>
      <c r="AO170" s="340">
        <f t="shared" si="167"/>
        <v>2254</v>
      </c>
      <c r="AP170" s="336">
        <f t="shared" si="250"/>
        <v>2254</v>
      </c>
      <c r="AQ170" s="339">
        <f t="shared" si="250"/>
        <v>0</v>
      </c>
      <c r="AR170" s="340">
        <f t="shared" si="168"/>
        <v>2254</v>
      </c>
      <c r="AS170" s="341">
        <f t="shared" si="426"/>
        <v>2254</v>
      </c>
      <c r="AT170" s="339">
        <f t="shared" si="426"/>
        <v>0</v>
      </c>
      <c r="AU170" s="340">
        <f t="shared" si="169"/>
        <v>2254</v>
      </c>
      <c r="AV170" s="1255">
        <f t="shared" si="170"/>
        <v>0</v>
      </c>
      <c r="AW170" s="343"/>
      <c r="AX170" s="1098"/>
      <c r="AY170" s="345"/>
      <c r="AZ170" s="1098"/>
      <c r="BA170" s="345"/>
      <c r="BB170" s="1120"/>
      <c r="BC170" s="347"/>
      <c r="BD170" s="348"/>
      <c r="BE170" s="349"/>
      <c r="BF170" s="348"/>
      <c r="BG170" s="1135">
        <v>2254</v>
      </c>
      <c r="BH170" s="350"/>
      <c r="BI170" s="351"/>
      <c r="BJ170" s="352"/>
      <c r="BK170" s="337"/>
      <c r="BL170" s="352"/>
      <c r="BM170" s="337"/>
      <c r="BN170" s="353"/>
      <c r="BO170" s="354"/>
      <c r="BP170" s="355"/>
      <c r="BQ170" s="356"/>
      <c r="BR170" s="355"/>
      <c r="BS170" s="356"/>
      <c r="BT170" s="357"/>
    </row>
    <row r="171" spans="1:72" s="313" customFormat="1" ht="25.5" customHeight="1" outlineLevel="2">
      <c r="A171" s="1192">
        <v>142.19999999999999</v>
      </c>
      <c r="B171" s="933"/>
      <c r="C171" s="840"/>
      <c r="D171" s="841" t="s">
        <v>272</v>
      </c>
      <c r="E171" s="839"/>
      <c r="F171" s="821" t="s">
        <v>7</v>
      </c>
      <c r="G171" s="314">
        <v>4</v>
      </c>
      <c r="H171" s="739" t="s">
        <v>70</v>
      </c>
      <c r="I171" s="739">
        <v>244</v>
      </c>
      <c r="J171" s="740">
        <v>346</v>
      </c>
      <c r="K171" s="533" t="s">
        <v>881</v>
      </c>
      <c r="L171" s="1025">
        <v>1865.4</v>
      </c>
      <c r="M171" s="318"/>
      <c r="N171" s="318"/>
      <c r="O171" s="1052">
        <f t="shared" si="172"/>
        <v>1865.4</v>
      </c>
      <c r="P171" s="562"/>
      <c r="Q171" s="336"/>
      <c r="R171" s="562"/>
      <c r="S171" s="336"/>
      <c r="T171" s="562"/>
      <c r="U171" s="466"/>
      <c r="V171" s="597" t="s">
        <v>730</v>
      </c>
      <c r="W171" s="597" t="s">
        <v>882</v>
      </c>
      <c r="X171" s="320"/>
      <c r="Z171" s="336">
        <f t="shared" si="245"/>
        <v>0</v>
      </c>
      <c r="AA171" s="337">
        <f t="shared" si="245"/>
        <v>0</v>
      </c>
      <c r="AB171" s="338">
        <f t="shared" si="163"/>
        <v>0</v>
      </c>
      <c r="AC171" s="336">
        <f t="shared" si="246"/>
        <v>1865.4</v>
      </c>
      <c r="AD171" s="337">
        <f t="shared" si="246"/>
        <v>0</v>
      </c>
      <c r="AE171" s="338">
        <f t="shared" si="164"/>
        <v>1865.4</v>
      </c>
      <c r="AF171" s="336">
        <f t="shared" si="247"/>
        <v>0</v>
      </c>
      <c r="AG171" s="337">
        <f t="shared" si="247"/>
        <v>0</v>
      </c>
      <c r="AH171" s="338">
        <f t="shared" si="165"/>
        <v>0</v>
      </c>
      <c r="AI171" s="336">
        <f t="shared" si="248"/>
        <v>0</v>
      </c>
      <c r="AJ171" s="337">
        <f t="shared" si="248"/>
        <v>0</v>
      </c>
      <c r="AK171" s="338">
        <f t="shared" si="166"/>
        <v>0</v>
      </c>
      <c r="AL171" s="342"/>
      <c r="AM171" s="336">
        <f t="shared" si="249"/>
        <v>1865.4</v>
      </c>
      <c r="AN171" s="339">
        <f t="shared" si="249"/>
        <v>0</v>
      </c>
      <c r="AO171" s="340">
        <f t="shared" si="167"/>
        <v>1865.4</v>
      </c>
      <c r="AP171" s="336">
        <f t="shared" si="250"/>
        <v>1865.4</v>
      </c>
      <c r="AQ171" s="339">
        <f t="shared" si="250"/>
        <v>0</v>
      </c>
      <c r="AR171" s="340">
        <f t="shared" si="168"/>
        <v>1865.4</v>
      </c>
      <c r="AS171" s="341">
        <f t="shared" si="426"/>
        <v>1865.4</v>
      </c>
      <c r="AT171" s="339">
        <f t="shared" si="426"/>
        <v>0</v>
      </c>
      <c r="AU171" s="340">
        <f t="shared" si="169"/>
        <v>1865.4</v>
      </c>
      <c r="AV171" s="1255">
        <f t="shared" si="170"/>
        <v>0</v>
      </c>
      <c r="AW171" s="343"/>
      <c r="AX171" s="1098"/>
      <c r="AY171" s="345"/>
      <c r="AZ171" s="1098"/>
      <c r="BA171" s="345"/>
      <c r="BB171" s="1120"/>
      <c r="BC171" s="347"/>
      <c r="BD171" s="348"/>
      <c r="BE171" s="349"/>
      <c r="BF171" s="348"/>
      <c r="BG171" s="1135">
        <v>1865.4</v>
      </c>
      <c r="BH171" s="350"/>
      <c r="BI171" s="351"/>
      <c r="BJ171" s="352"/>
      <c r="BK171" s="337"/>
      <c r="BL171" s="352"/>
      <c r="BM171" s="337"/>
      <c r="BN171" s="353"/>
      <c r="BO171" s="354"/>
      <c r="BP171" s="355"/>
      <c r="BQ171" s="356"/>
      <c r="BR171" s="355"/>
      <c r="BS171" s="356"/>
      <c r="BT171" s="357"/>
    </row>
    <row r="172" spans="1:72" s="313" customFormat="1" ht="38.25" outlineLevel="2">
      <c r="A172" s="1192">
        <v>142.30000000000001</v>
      </c>
      <c r="B172" s="933"/>
      <c r="C172" s="840"/>
      <c r="D172" s="841" t="s">
        <v>272</v>
      </c>
      <c r="E172" s="839"/>
      <c r="F172" s="821" t="s">
        <v>7</v>
      </c>
      <c r="G172" s="314">
        <v>4</v>
      </c>
      <c r="H172" s="739" t="s">
        <v>70</v>
      </c>
      <c r="I172" s="739">
        <v>244</v>
      </c>
      <c r="J172" s="740">
        <v>346</v>
      </c>
      <c r="K172" s="533" t="s">
        <v>883</v>
      </c>
      <c r="L172" s="1025">
        <v>2311</v>
      </c>
      <c r="M172" s="318"/>
      <c r="N172" s="318"/>
      <c r="O172" s="1052">
        <f t="shared" ref="O172:O173" si="452">L172+N172</f>
        <v>2311</v>
      </c>
      <c r="P172" s="562"/>
      <c r="Q172" s="336"/>
      <c r="R172" s="562"/>
      <c r="S172" s="336"/>
      <c r="T172" s="562"/>
      <c r="U172" s="466"/>
      <c r="V172" s="597" t="s">
        <v>495</v>
      </c>
      <c r="W172" s="597" t="s">
        <v>884</v>
      </c>
      <c r="X172" s="320"/>
      <c r="Z172" s="336">
        <f t="shared" ref="Z172:Z173" si="453">AW172+AY172+BA172</f>
        <v>0</v>
      </c>
      <c r="AA172" s="337">
        <f t="shared" ref="AA172:AA173" si="454">AX172+AZ172+BB172</f>
        <v>0</v>
      </c>
      <c r="AB172" s="338">
        <f t="shared" ref="AB172:AB173" si="455">Z172-AA172</f>
        <v>0</v>
      </c>
      <c r="AC172" s="336">
        <f t="shared" ref="AC172:AC173" si="456">BC172+BE172+BG172</f>
        <v>2311</v>
      </c>
      <c r="AD172" s="337">
        <f t="shared" ref="AD172:AD173" si="457">BD172+BF172+BH172</f>
        <v>0</v>
      </c>
      <c r="AE172" s="338">
        <f t="shared" ref="AE172:AE173" si="458">AC172-AD172</f>
        <v>2311</v>
      </c>
      <c r="AF172" s="336">
        <f t="shared" ref="AF172:AF173" si="459">BI172+BK172+BM172</f>
        <v>0</v>
      </c>
      <c r="AG172" s="337">
        <f t="shared" ref="AG172:AG173" si="460">BJ172+BL172+BN172</f>
        <v>0</v>
      </c>
      <c r="AH172" s="338">
        <f t="shared" ref="AH172:AH173" si="461">AF172-AG172</f>
        <v>0</v>
      </c>
      <c r="AI172" s="336">
        <f t="shared" ref="AI172:AI173" si="462">BO172+BQ172+BS172</f>
        <v>0</v>
      </c>
      <c r="AJ172" s="337">
        <f t="shared" ref="AJ172:AJ173" si="463">BP172+BR172+BT172</f>
        <v>0</v>
      </c>
      <c r="AK172" s="338">
        <f t="shared" ref="AK172:AK173" si="464">AI172-AJ172</f>
        <v>0</v>
      </c>
      <c r="AL172" s="342"/>
      <c r="AM172" s="336">
        <f t="shared" ref="AM172:AM173" si="465">Z172+AC172</f>
        <v>2311</v>
      </c>
      <c r="AN172" s="339">
        <f t="shared" ref="AN172:AN173" si="466">AA172+AD172</f>
        <v>0</v>
      </c>
      <c r="AO172" s="340">
        <f t="shared" ref="AO172:AO173" si="467">AM172-AN172</f>
        <v>2311</v>
      </c>
      <c r="AP172" s="336">
        <f t="shared" ref="AP172:AP173" si="468">Z172+AC172+AF172</f>
        <v>2311</v>
      </c>
      <c r="AQ172" s="339">
        <f t="shared" ref="AQ172:AQ173" si="469">AA172+AD172+AG172</f>
        <v>0</v>
      </c>
      <c r="AR172" s="340">
        <f t="shared" ref="AR172:AR173" si="470">AP172-AQ172</f>
        <v>2311</v>
      </c>
      <c r="AS172" s="341">
        <f t="shared" ref="AS172:AS173" si="471">Z172+AC172+AF172+AI172</f>
        <v>2311</v>
      </c>
      <c r="AT172" s="339">
        <f t="shared" ref="AT172:AT173" si="472">AA172+AD172+AG172+AJ172</f>
        <v>0</v>
      </c>
      <c r="AU172" s="340">
        <f t="shared" ref="AU172:AU173" si="473">AS172-AT172</f>
        <v>2311</v>
      </c>
      <c r="AV172" s="1255">
        <f t="shared" ref="AV172:AV173" si="474">L172-AS172</f>
        <v>0</v>
      </c>
      <c r="AW172" s="343"/>
      <c r="AX172" s="1098"/>
      <c r="AY172" s="345"/>
      <c r="AZ172" s="1098"/>
      <c r="BA172" s="345"/>
      <c r="BB172" s="1120"/>
      <c r="BC172" s="347"/>
      <c r="BD172" s="348"/>
      <c r="BE172" s="349"/>
      <c r="BF172" s="348"/>
      <c r="BG172" s="1135">
        <v>2311</v>
      </c>
      <c r="BH172" s="350"/>
      <c r="BI172" s="351"/>
      <c r="BJ172" s="352"/>
      <c r="BK172" s="337"/>
      <c r="BL172" s="352"/>
      <c r="BM172" s="337"/>
      <c r="BN172" s="353"/>
      <c r="BO172" s="354"/>
      <c r="BP172" s="355"/>
      <c r="BQ172" s="356"/>
      <c r="BR172" s="355"/>
      <c r="BS172" s="356"/>
      <c r="BT172" s="357"/>
    </row>
    <row r="173" spans="1:72" s="313" customFormat="1" ht="51" outlineLevel="2">
      <c r="A173" s="1192">
        <v>142.4</v>
      </c>
      <c r="B173" s="933" t="s">
        <v>1059</v>
      </c>
      <c r="C173" s="840"/>
      <c r="D173" s="841" t="s">
        <v>272</v>
      </c>
      <c r="E173" s="839"/>
      <c r="F173" s="821" t="s">
        <v>7</v>
      </c>
      <c r="G173" s="314">
        <v>4</v>
      </c>
      <c r="H173" s="739" t="s">
        <v>70</v>
      </c>
      <c r="I173" s="739">
        <v>244</v>
      </c>
      <c r="J173" s="740">
        <v>346</v>
      </c>
      <c r="K173" s="533" t="s">
        <v>888</v>
      </c>
      <c r="L173" s="1025">
        <v>0</v>
      </c>
      <c r="M173" s="318"/>
      <c r="N173" s="318">
        <v>4063</v>
      </c>
      <c r="O173" s="1052">
        <f t="shared" si="452"/>
        <v>4063</v>
      </c>
      <c r="P173" s="562"/>
      <c r="Q173" s="336"/>
      <c r="R173" s="562"/>
      <c r="S173" s="336"/>
      <c r="T173" s="562"/>
      <c r="U173" s="466"/>
      <c r="V173" s="597" t="s">
        <v>886</v>
      </c>
      <c r="W173" s="597" t="s">
        <v>887</v>
      </c>
      <c r="X173" s="320"/>
      <c r="Z173" s="336">
        <f t="shared" si="453"/>
        <v>0</v>
      </c>
      <c r="AA173" s="337">
        <f t="shared" si="454"/>
        <v>0</v>
      </c>
      <c r="AB173" s="338">
        <f t="shared" si="455"/>
        <v>0</v>
      </c>
      <c r="AC173" s="336">
        <f t="shared" si="456"/>
        <v>0</v>
      </c>
      <c r="AD173" s="337">
        <f t="shared" si="457"/>
        <v>0</v>
      </c>
      <c r="AE173" s="338">
        <f t="shared" si="458"/>
        <v>0</v>
      </c>
      <c r="AF173" s="336">
        <f t="shared" si="459"/>
        <v>4063</v>
      </c>
      <c r="AG173" s="337">
        <f t="shared" si="460"/>
        <v>0</v>
      </c>
      <c r="AH173" s="338">
        <f t="shared" si="461"/>
        <v>4063</v>
      </c>
      <c r="AI173" s="336">
        <f t="shared" si="462"/>
        <v>0</v>
      </c>
      <c r="AJ173" s="337">
        <f t="shared" si="463"/>
        <v>0</v>
      </c>
      <c r="AK173" s="338">
        <f t="shared" si="464"/>
        <v>0</v>
      </c>
      <c r="AL173" s="342"/>
      <c r="AM173" s="336">
        <f t="shared" si="465"/>
        <v>0</v>
      </c>
      <c r="AN173" s="339">
        <f t="shared" si="466"/>
        <v>0</v>
      </c>
      <c r="AO173" s="340">
        <f t="shared" si="467"/>
        <v>0</v>
      </c>
      <c r="AP173" s="336">
        <f t="shared" si="468"/>
        <v>4063</v>
      </c>
      <c r="AQ173" s="339">
        <f t="shared" si="469"/>
        <v>0</v>
      </c>
      <c r="AR173" s="340">
        <f t="shared" si="470"/>
        <v>4063</v>
      </c>
      <c r="AS173" s="341">
        <f t="shared" si="471"/>
        <v>4063</v>
      </c>
      <c r="AT173" s="339">
        <f t="shared" si="472"/>
        <v>0</v>
      </c>
      <c r="AU173" s="340">
        <f t="shared" si="473"/>
        <v>4063</v>
      </c>
      <c r="AV173" s="1255">
        <f t="shared" si="474"/>
        <v>-4063</v>
      </c>
      <c r="AW173" s="343"/>
      <c r="AX173" s="1098"/>
      <c r="AY173" s="345"/>
      <c r="AZ173" s="1098"/>
      <c r="BA173" s="345"/>
      <c r="BB173" s="1120"/>
      <c r="BC173" s="347"/>
      <c r="BD173" s="348"/>
      <c r="BE173" s="349"/>
      <c r="BF173" s="348"/>
      <c r="BG173" s="1135"/>
      <c r="BH173" s="350"/>
      <c r="BI173" s="1136">
        <v>4063</v>
      </c>
      <c r="BJ173" s="352"/>
      <c r="BK173" s="337"/>
      <c r="BL173" s="352"/>
      <c r="BM173" s="337"/>
      <c r="BN173" s="353"/>
      <c r="BO173" s="354"/>
      <c r="BP173" s="355"/>
      <c r="BQ173" s="356"/>
      <c r="BR173" s="355"/>
      <c r="BS173" s="356"/>
      <c r="BT173" s="357"/>
    </row>
    <row r="174" spans="1:72" s="313" customFormat="1" ht="25.5" outlineLevel="2">
      <c r="A174" s="1192">
        <v>142.5</v>
      </c>
      <c r="C174" s="840"/>
      <c r="D174" s="841" t="s">
        <v>272</v>
      </c>
      <c r="E174" s="839"/>
      <c r="F174" s="821" t="s">
        <v>7</v>
      </c>
      <c r="G174" s="314">
        <v>4</v>
      </c>
      <c r="H174" s="739" t="s">
        <v>70</v>
      </c>
      <c r="I174" s="739">
        <v>244</v>
      </c>
      <c r="J174" s="740">
        <v>346</v>
      </c>
      <c r="K174" s="533" t="s">
        <v>895</v>
      </c>
      <c r="L174" s="1025">
        <v>11709.1</v>
      </c>
      <c r="M174" s="318"/>
      <c r="N174" s="318"/>
      <c r="O174" s="1052">
        <f t="shared" ref="O174" si="475">L174+N174</f>
        <v>11709.1</v>
      </c>
      <c r="P174" s="562"/>
      <c r="Q174" s="336"/>
      <c r="R174" s="562"/>
      <c r="S174" s="336"/>
      <c r="T174" s="562"/>
      <c r="U174" s="466"/>
      <c r="V174" s="597" t="s">
        <v>616</v>
      </c>
      <c r="W174" s="597" t="s">
        <v>900</v>
      </c>
      <c r="X174" s="597" t="s">
        <v>901</v>
      </c>
      <c r="Z174" s="336">
        <f t="shared" ref="Z174" si="476">AW174+AY174+BA174</f>
        <v>0</v>
      </c>
      <c r="AA174" s="337">
        <f t="shared" ref="AA174" si="477">AX174+AZ174+BB174</f>
        <v>0</v>
      </c>
      <c r="AB174" s="338">
        <f t="shared" ref="AB174" si="478">Z174-AA174</f>
        <v>0</v>
      </c>
      <c r="AC174" s="336">
        <f t="shared" ref="AC174" si="479">BC174+BE174+BG174</f>
        <v>0</v>
      </c>
      <c r="AD174" s="337">
        <f t="shared" ref="AD174" si="480">BD174+BF174+BH174</f>
        <v>0</v>
      </c>
      <c r="AE174" s="338">
        <f t="shared" ref="AE174" si="481">AC174-AD174</f>
        <v>0</v>
      </c>
      <c r="AF174" s="336">
        <f t="shared" ref="AF174" si="482">BI174+BK174+BM174</f>
        <v>11709.1</v>
      </c>
      <c r="AG174" s="337">
        <f t="shared" ref="AG174" si="483">BJ174+BL174+BN174</f>
        <v>0</v>
      </c>
      <c r="AH174" s="338">
        <f t="shared" ref="AH174" si="484">AF174-AG174</f>
        <v>11709.1</v>
      </c>
      <c r="AI174" s="336">
        <f t="shared" ref="AI174" si="485">BO174+BQ174+BS174</f>
        <v>0</v>
      </c>
      <c r="AJ174" s="337">
        <f t="shared" ref="AJ174" si="486">BP174+BR174+BT174</f>
        <v>0</v>
      </c>
      <c r="AK174" s="338">
        <f t="shared" ref="AK174" si="487">AI174-AJ174</f>
        <v>0</v>
      </c>
      <c r="AL174" s="342"/>
      <c r="AM174" s="336">
        <f t="shared" ref="AM174" si="488">Z174+AC174</f>
        <v>0</v>
      </c>
      <c r="AN174" s="339">
        <f t="shared" ref="AN174" si="489">AA174+AD174</f>
        <v>0</v>
      </c>
      <c r="AO174" s="340">
        <f t="shared" ref="AO174" si="490">AM174-AN174</f>
        <v>0</v>
      </c>
      <c r="AP174" s="336">
        <f t="shared" ref="AP174" si="491">Z174+AC174+AF174</f>
        <v>11709.1</v>
      </c>
      <c r="AQ174" s="339">
        <f t="shared" ref="AQ174" si="492">AA174+AD174+AG174</f>
        <v>0</v>
      </c>
      <c r="AR174" s="340">
        <f t="shared" ref="AR174" si="493">AP174-AQ174</f>
        <v>11709.1</v>
      </c>
      <c r="AS174" s="341">
        <f t="shared" ref="AS174" si="494">Z174+AC174+AF174+AI174</f>
        <v>11709.1</v>
      </c>
      <c r="AT174" s="339">
        <f t="shared" ref="AT174" si="495">AA174+AD174+AG174+AJ174</f>
        <v>0</v>
      </c>
      <c r="AU174" s="340">
        <f t="shared" ref="AU174" si="496">AS174-AT174</f>
        <v>11709.1</v>
      </c>
      <c r="AV174" s="1255">
        <f t="shared" ref="AV174" si="497">L174-AS174</f>
        <v>0</v>
      </c>
      <c r="AW174" s="343"/>
      <c r="AX174" s="1098"/>
      <c r="AY174" s="345"/>
      <c r="AZ174" s="1098"/>
      <c r="BA174" s="345"/>
      <c r="BB174" s="1120"/>
      <c r="BC174" s="347"/>
      <c r="BD174" s="348"/>
      <c r="BE174" s="349"/>
      <c r="BF174" s="348"/>
      <c r="BG174" s="1135"/>
      <c r="BH174" s="350"/>
      <c r="BI174" s="1136"/>
      <c r="BJ174" s="352"/>
      <c r="BK174" s="1137">
        <v>11709.1</v>
      </c>
      <c r="BL174" s="352"/>
      <c r="BM174" s="337"/>
      <c r="BN174" s="353"/>
      <c r="BO174" s="354"/>
      <c r="BP174" s="355"/>
      <c r="BQ174" s="356"/>
      <c r="BR174" s="355"/>
      <c r="BS174" s="356"/>
      <c r="BT174" s="357"/>
    </row>
    <row r="175" spans="1:72" s="313" customFormat="1" ht="25.5" outlineLevel="2">
      <c r="A175" s="1192">
        <v>142.6</v>
      </c>
      <c r="B175" s="933" t="s">
        <v>1060</v>
      </c>
      <c r="C175" s="840"/>
      <c r="D175" s="841" t="s">
        <v>272</v>
      </c>
      <c r="E175" s="839"/>
      <c r="F175" s="821" t="s">
        <v>7</v>
      </c>
      <c r="G175" s="314">
        <v>4</v>
      </c>
      <c r="H175" s="739" t="s">
        <v>70</v>
      </c>
      <c r="I175" s="739">
        <v>244</v>
      </c>
      <c r="J175" s="740">
        <v>346</v>
      </c>
      <c r="K175" s="533" t="s">
        <v>967</v>
      </c>
      <c r="L175" s="1025">
        <v>0</v>
      </c>
      <c r="M175" s="318"/>
      <c r="N175" s="1231">
        <v>6000</v>
      </c>
      <c r="O175" s="1052">
        <f t="shared" ref="O175:O176" si="498">L175+N175</f>
        <v>6000</v>
      </c>
      <c r="P175" s="562"/>
      <c r="Q175" s="336"/>
      <c r="R175" s="562"/>
      <c r="S175" s="336"/>
      <c r="T175" s="562"/>
      <c r="U175" s="466"/>
      <c r="V175" s="597" t="s">
        <v>598</v>
      </c>
      <c r="W175" s="597" t="s">
        <v>985</v>
      </c>
      <c r="X175" s="597" t="s">
        <v>986</v>
      </c>
      <c r="Z175" s="336">
        <f t="shared" ref="Z175:Z176" si="499">AW175+AY175+BA175</f>
        <v>0</v>
      </c>
      <c r="AA175" s="337">
        <f t="shared" ref="AA175:AA176" si="500">AX175+AZ175+BB175</f>
        <v>0</v>
      </c>
      <c r="AB175" s="338">
        <f t="shared" ref="AB175:AB176" si="501">Z175-AA175</f>
        <v>0</v>
      </c>
      <c r="AC175" s="336">
        <f t="shared" ref="AC175:AC176" si="502">BC175+BE175+BG175</f>
        <v>0</v>
      </c>
      <c r="AD175" s="337">
        <f t="shared" ref="AD175:AD176" si="503">BD175+BF175+BH175</f>
        <v>0</v>
      </c>
      <c r="AE175" s="338">
        <f t="shared" ref="AE175:AE176" si="504">AC175-AD175</f>
        <v>0</v>
      </c>
      <c r="AF175" s="336">
        <f t="shared" ref="AF175:AF176" si="505">BI175+BK175+BM175</f>
        <v>6000</v>
      </c>
      <c r="AG175" s="337">
        <f t="shared" ref="AG175:AG176" si="506">BJ175+BL175+BN175</f>
        <v>0</v>
      </c>
      <c r="AH175" s="338">
        <f t="shared" ref="AH175:AH176" si="507">AF175-AG175</f>
        <v>6000</v>
      </c>
      <c r="AI175" s="336">
        <f t="shared" ref="AI175:AI176" si="508">BO175+BQ175+BS175</f>
        <v>0</v>
      </c>
      <c r="AJ175" s="337">
        <f t="shared" ref="AJ175:AJ176" si="509">BP175+BR175+BT175</f>
        <v>0</v>
      </c>
      <c r="AK175" s="338">
        <f t="shared" ref="AK175:AK176" si="510">AI175-AJ175</f>
        <v>0</v>
      </c>
      <c r="AL175" s="342"/>
      <c r="AM175" s="336">
        <f t="shared" ref="AM175:AM176" si="511">Z175+AC175</f>
        <v>0</v>
      </c>
      <c r="AN175" s="339">
        <f t="shared" ref="AN175:AN176" si="512">AA175+AD175</f>
        <v>0</v>
      </c>
      <c r="AO175" s="340">
        <f t="shared" ref="AO175:AO176" si="513">AM175-AN175</f>
        <v>0</v>
      </c>
      <c r="AP175" s="336">
        <f t="shared" ref="AP175:AP176" si="514">Z175+AC175+AF175</f>
        <v>6000</v>
      </c>
      <c r="AQ175" s="339">
        <f t="shared" ref="AQ175:AQ176" si="515">AA175+AD175+AG175</f>
        <v>0</v>
      </c>
      <c r="AR175" s="340">
        <f t="shared" ref="AR175:AR176" si="516">AP175-AQ175</f>
        <v>6000</v>
      </c>
      <c r="AS175" s="341">
        <f t="shared" ref="AS175:AS176" si="517">Z175+AC175+AF175+AI175</f>
        <v>6000</v>
      </c>
      <c r="AT175" s="339">
        <f t="shared" ref="AT175:AT176" si="518">AA175+AD175+AG175+AJ175</f>
        <v>0</v>
      </c>
      <c r="AU175" s="340">
        <f t="shared" ref="AU175:AU176" si="519">AS175-AT175</f>
        <v>6000</v>
      </c>
      <c r="AV175" s="1255">
        <f t="shared" ref="AV175:AV176" si="520">L175-AS175</f>
        <v>-6000</v>
      </c>
      <c r="AW175" s="343"/>
      <c r="AX175" s="1098"/>
      <c r="AY175" s="345"/>
      <c r="AZ175" s="1098"/>
      <c r="BA175" s="345"/>
      <c r="BB175" s="1120"/>
      <c r="BC175" s="347"/>
      <c r="BD175" s="348"/>
      <c r="BE175" s="349"/>
      <c r="BF175" s="348"/>
      <c r="BG175" s="1135"/>
      <c r="BH175" s="350"/>
      <c r="BI175" s="1136"/>
      <c r="BJ175" s="352"/>
      <c r="BK175" s="1137"/>
      <c r="BL175" s="352"/>
      <c r="BM175" s="1137">
        <v>6000</v>
      </c>
      <c r="BN175" s="353"/>
      <c r="BO175" s="354"/>
      <c r="BP175" s="355"/>
      <c r="BQ175" s="356"/>
      <c r="BR175" s="355"/>
      <c r="BS175" s="356"/>
      <c r="BT175" s="357"/>
    </row>
    <row r="176" spans="1:72" s="313" customFormat="1" ht="25.5" outlineLevel="2">
      <c r="A176" s="1192">
        <v>142.69999999999999</v>
      </c>
      <c r="B176" s="933" t="s">
        <v>1061</v>
      </c>
      <c r="C176" s="840"/>
      <c r="D176" s="841" t="s">
        <v>272</v>
      </c>
      <c r="E176" s="839"/>
      <c r="F176" s="821" t="s">
        <v>7</v>
      </c>
      <c r="G176" s="314">
        <v>4</v>
      </c>
      <c r="H176" s="739" t="s">
        <v>70</v>
      </c>
      <c r="I176" s="739">
        <v>244</v>
      </c>
      <c r="J176" s="740">
        <v>346</v>
      </c>
      <c r="K176" s="533" t="s">
        <v>895</v>
      </c>
      <c r="L176" s="1025">
        <v>0</v>
      </c>
      <c r="M176" s="318"/>
      <c r="N176" s="1231">
        <v>5000</v>
      </c>
      <c r="O176" s="1052">
        <f t="shared" si="498"/>
        <v>5000</v>
      </c>
      <c r="P176" s="562"/>
      <c r="Q176" s="336"/>
      <c r="R176" s="562"/>
      <c r="S176" s="336"/>
      <c r="T176" s="562"/>
      <c r="U176" s="466"/>
      <c r="V176" s="597" t="s">
        <v>1022</v>
      </c>
      <c r="W176" s="597" t="s">
        <v>1023</v>
      </c>
      <c r="X176" s="597" t="s">
        <v>1024</v>
      </c>
      <c r="Z176" s="336">
        <f t="shared" si="499"/>
        <v>0</v>
      </c>
      <c r="AA176" s="337">
        <f t="shared" si="500"/>
        <v>0</v>
      </c>
      <c r="AB176" s="338">
        <f t="shared" si="501"/>
        <v>0</v>
      </c>
      <c r="AC176" s="336">
        <f t="shared" si="502"/>
        <v>0</v>
      </c>
      <c r="AD176" s="337">
        <f t="shared" si="503"/>
        <v>0</v>
      </c>
      <c r="AE176" s="338">
        <f t="shared" si="504"/>
        <v>0</v>
      </c>
      <c r="AF176" s="336">
        <f t="shared" si="505"/>
        <v>5000</v>
      </c>
      <c r="AG176" s="337">
        <f t="shared" si="506"/>
        <v>0</v>
      </c>
      <c r="AH176" s="338">
        <f t="shared" si="507"/>
        <v>5000</v>
      </c>
      <c r="AI176" s="336">
        <f t="shared" si="508"/>
        <v>0</v>
      </c>
      <c r="AJ176" s="337">
        <f t="shared" si="509"/>
        <v>0</v>
      </c>
      <c r="AK176" s="338">
        <f t="shared" si="510"/>
        <v>0</v>
      </c>
      <c r="AL176" s="342"/>
      <c r="AM176" s="336">
        <f t="shared" si="511"/>
        <v>0</v>
      </c>
      <c r="AN176" s="339">
        <f t="shared" si="512"/>
        <v>0</v>
      </c>
      <c r="AO176" s="340">
        <f t="shared" si="513"/>
        <v>0</v>
      </c>
      <c r="AP176" s="336">
        <f t="shared" si="514"/>
        <v>5000</v>
      </c>
      <c r="AQ176" s="339">
        <f t="shared" si="515"/>
        <v>0</v>
      </c>
      <c r="AR176" s="340">
        <f t="shared" si="516"/>
        <v>5000</v>
      </c>
      <c r="AS176" s="341">
        <f t="shared" si="517"/>
        <v>5000</v>
      </c>
      <c r="AT176" s="339">
        <f t="shared" si="518"/>
        <v>0</v>
      </c>
      <c r="AU176" s="340">
        <f t="shared" si="519"/>
        <v>5000</v>
      </c>
      <c r="AV176" s="1255">
        <f t="shared" si="520"/>
        <v>-5000</v>
      </c>
      <c r="AW176" s="343"/>
      <c r="AX176" s="1098"/>
      <c r="AY176" s="345"/>
      <c r="AZ176" s="1098"/>
      <c r="BA176" s="345"/>
      <c r="BB176" s="1120"/>
      <c r="BC176" s="347"/>
      <c r="BD176" s="348"/>
      <c r="BE176" s="349"/>
      <c r="BF176" s="348"/>
      <c r="BG176" s="1135"/>
      <c r="BH176" s="350"/>
      <c r="BI176" s="351"/>
      <c r="BJ176" s="352"/>
      <c r="BK176" s="337"/>
      <c r="BL176" s="352"/>
      <c r="BM176" s="1137">
        <v>5000</v>
      </c>
      <c r="BN176" s="353"/>
      <c r="BO176" s="354"/>
      <c r="BP176" s="355"/>
      <c r="BQ176" s="356"/>
      <c r="BR176" s="355"/>
      <c r="BS176" s="356"/>
      <c r="BT176" s="357"/>
    </row>
    <row r="177" spans="1:72" s="430" customFormat="1" ht="25.5" customHeight="1" outlineLevel="2">
      <c r="A177" s="287">
        <v>143</v>
      </c>
      <c r="B177" s="933"/>
      <c r="C177" s="743"/>
      <c r="D177" s="856" t="s">
        <v>272</v>
      </c>
      <c r="E177" s="857"/>
      <c r="F177" s="827" t="s">
        <v>7</v>
      </c>
      <c r="G177" s="431">
        <v>4</v>
      </c>
      <c r="H177" s="474" t="s">
        <v>70</v>
      </c>
      <c r="I177" s="743">
        <v>244</v>
      </c>
      <c r="J177" s="744">
        <v>346</v>
      </c>
      <c r="K177" s="536" t="s">
        <v>284</v>
      </c>
      <c r="L177" s="1030">
        <v>0</v>
      </c>
      <c r="M177" s="434"/>
      <c r="N177" s="434"/>
      <c r="O177" s="1064">
        <f t="shared" si="172"/>
        <v>0</v>
      </c>
      <c r="P177" s="563"/>
      <c r="Q177" s="437"/>
      <c r="R177" s="563"/>
      <c r="S177" s="437"/>
      <c r="T177" s="563"/>
      <c r="U177" s="467"/>
      <c r="V177" s="436"/>
      <c r="W177" s="436"/>
      <c r="X177" s="436"/>
      <c r="Z177" s="437">
        <f t="shared" si="245"/>
        <v>0</v>
      </c>
      <c r="AA177" s="438">
        <f t="shared" si="245"/>
        <v>0</v>
      </c>
      <c r="AB177" s="439">
        <f t="shared" si="163"/>
        <v>0</v>
      </c>
      <c r="AC177" s="437">
        <f t="shared" si="246"/>
        <v>0</v>
      </c>
      <c r="AD177" s="438">
        <f t="shared" si="246"/>
        <v>0</v>
      </c>
      <c r="AE177" s="439">
        <f t="shared" si="164"/>
        <v>0</v>
      </c>
      <c r="AF177" s="437">
        <f t="shared" si="247"/>
        <v>0</v>
      </c>
      <c r="AG177" s="438">
        <f t="shared" si="247"/>
        <v>0</v>
      </c>
      <c r="AH177" s="439">
        <f t="shared" si="165"/>
        <v>0</v>
      </c>
      <c r="AI177" s="437">
        <f t="shared" si="248"/>
        <v>0</v>
      </c>
      <c r="AJ177" s="438">
        <f t="shared" si="248"/>
        <v>0</v>
      </c>
      <c r="AK177" s="439">
        <f t="shared" si="166"/>
        <v>0</v>
      </c>
      <c r="AL177" s="440"/>
      <c r="AM177" s="437">
        <f t="shared" si="249"/>
        <v>0</v>
      </c>
      <c r="AN177" s="441">
        <f t="shared" si="249"/>
        <v>0</v>
      </c>
      <c r="AO177" s="442">
        <f t="shared" si="167"/>
        <v>0</v>
      </c>
      <c r="AP177" s="437">
        <f t="shared" si="250"/>
        <v>0</v>
      </c>
      <c r="AQ177" s="441">
        <f t="shared" si="250"/>
        <v>0</v>
      </c>
      <c r="AR177" s="442">
        <f t="shared" si="168"/>
        <v>0</v>
      </c>
      <c r="AS177" s="443">
        <f t="shared" si="426"/>
        <v>0</v>
      </c>
      <c r="AT177" s="441">
        <f t="shared" si="426"/>
        <v>0</v>
      </c>
      <c r="AU177" s="442">
        <f t="shared" si="169"/>
        <v>0</v>
      </c>
      <c r="AV177" s="440">
        <f t="shared" si="170"/>
        <v>0</v>
      </c>
      <c r="AW177" s="444"/>
      <c r="AX177" s="1111"/>
      <c r="AY177" s="446"/>
      <c r="AZ177" s="1111"/>
      <c r="BA177" s="446"/>
      <c r="BB177" s="1129"/>
      <c r="BC177" s="448"/>
      <c r="BD177" s="449"/>
      <c r="BE177" s="450"/>
      <c r="BF177" s="449"/>
      <c r="BG177" s="450"/>
      <c r="BH177" s="451"/>
      <c r="BI177" s="452"/>
      <c r="BJ177" s="453"/>
      <c r="BK177" s="438"/>
      <c r="BL177" s="453"/>
      <c r="BM177" s="438"/>
      <c r="BN177" s="454"/>
      <c r="BO177" s="455"/>
      <c r="BP177" s="456"/>
      <c r="BQ177" s="457"/>
      <c r="BR177" s="456"/>
      <c r="BS177" s="457"/>
      <c r="BT177" s="458"/>
    </row>
    <row r="178" spans="1:72" s="468" customFormat="1" ht="66.75" customHeight="1" outlineLevel="1">
      <c r="A178" s="287">
        <v>144</v>
      </c>
      <c r="B178" s="933"/>
      <c r="C178" s="850" t="s">
        <v>378</v>
      </c>
      <c r="D178" s="854" t="s">
        <v>876</v>
      </c>
      <c r="E178" s="858"/>
      <c r="F178" s="828" t="s">
        <v>7</v>
      </c>
      <c r="G178" s="469">
        <v>4</v>
      </c>
      <c r="H178" s="745" t="s">
        <v>70</v>
      </c>
      <c r="I178" s="745">
        <v>244</v>
      </c>
      <c r="J178" s="746">
        <v>346</v>
      </c>
      <c r="K178" s="537" t="s">
        <v>1103</v>
      </c>
      <c r="L178" s="1032">
        <v>40774.18</v>
      </c>
      <c r="M178" s="422"/>
      <c r="N178" s="352">
        <f>SUM(N179:N185)</f>
        <v>0</v>
      </c>
      <c r="O178" s="1065">
        <f t="shared" si="172"/>
        <v>40774.18</v>
      </c>
      <c r="P178" s="564"/>
      <c r="Q178" s="472"/>
      <c r="R178" s="564"/>
      <c r="S178" s="472"/>
      <c r="T178" s="564"/>
      <c r="U178" s="393"/>
      <c r="V178" s="394"/>
      <c r="W178" s="394"/>
      <c r="X178" s="394"/>
      <c r="Y178" s="392"/>
      <c r="Z178" s="395">
        <f t="shared" si="245"/>
        <v>0</v>
      </c>
      <c r="AA178" s="396">
        <f t="shared" si="245"/>
        <v>0</v>
      </c>
      <c r="AB178" s="397">
        <f t="shared" si="163"/>
        <v>0</v>
      </c>
      <c r="AC178" s="395">
        <f t="shared" si="246"/>
        <v>0</v>
      </c>
      <c r="AD178" s="396">
        <f t="shared" si="246"/>
        <v>0</v>
      </c>
      <c r="AE178" s="397">
        <f t="shared" si="164"/>
        <v>0</v>
      </c>
      <c r="AF178" s="395">
        <f t="shared" si="247"/>
        <v>0</v>
      </c>
      <c r="AG178" s="396">
        <f t="shared" si="247"/>
        <v>0</v>
      </c>
      <c r="AH178" s="397">
        <f t="shared" si="165"/>
        <v>0</v>
      </c>
      <c r="AI178" s="395">
        <f t="shared" si="248"/>
        <v>64046.559999999998</v>
      </c>
      <c r="AJ178" s="396">
        <f t="shared" si="248"/>
        <v>40236.800000000003</v>
      </c>
      <c r="AK178" s="397">
        <f t="shared" si="166"/>
        <v>23809.759999999998</v>
      </c>
      <c r="AL178" s="398"/>
      <c r="AM178" s="472">
        <f t="shared" si="249"/>
        <v>0</v>
      </c>
      <c r="AN178" s="422">
        <f t="shared" si="249"/>
        <v>0</v>
      </c>
      <c r="AO178" s="473">
        <f t="shared" si="167"/>
        <v>0</v>
      </c>
      <c r="AP178" s="472">
        <f t="shared" si="250"/>
        <v>0</v>
      </c>
      <c r="AQ178" s="422">
        <f t="shared" si="250"/>
        <v>0</v>
      </c>
      <c r="AR178" s="473">
        <f t="shared" si="168"/>
        <v>0</v>
      </c>
      <c r="AS178" s="472">
        <f t="shared" si="426"/>
        <v>64046.559999999998</v>
      </c>
      <c r="AT178" s="422">
        <f t="shared" si="426"/>
        <v>40236.800000000003</v>
      </c>
      <c r="AU178" s="473">
        <f t="shared" si="169"/>
        <v>23809.759999999998</v>
      </c>
      <c r="AV178" s="1263">
        <f t="shared" si="170"/>
        <v>-23272.38</v>
      </c>
      <c r="AW178" s="472">
        <f t="shared" ref="AW178:BT178" si="521">SUM(AW179:AW185)</f>
        <v>0</v>
      </c>
      <c r="AX178" s="1110">
        <f t="shared" si="521"/>
        <v>0</v>
      </c>
      <c r="AY178" s="422">
        <f t="shared" si="521"/>
        <v>0</v>
      </c>
      <c r="AZ178" s="1110">
        <f t="shared" si="521"/>
        <v>0</v>
      </c>
      <c r="BA178" s="422">
        <f t="shared" si="521"/>
        <v>0</v>
      </c>
      <c r="BB178" s="1128">
        <f t="shared" si="521"/>
        <v>0</v>
      </c>
      <c r="BC178" s="472">
        <f t="shared" si="521"/>
        <v>0</v>
      </c>
      <c r="BD178" s="422">
        <f t="shared" si="521"/>
        <v>0</v>
      </c>
      <c r="BE178" s="422">
        <f t="shared" si="521"/>
        <v>0</v>
      </c>
      <c r="BF178" s="422">
        <f t="shared" si="521"/>
        <v>0</v>
      </c>
      <c r="BG178" s="422">
        <f t="shared" si="521"/>
        <v>0</v>
      </c>
      <c r="BH178" s="423">
        <f t="shared" si="521"/>
        <v>0</v>
      </c>
      <c r="BI178" s="472">
        <f t="shared" si="521"/>
        <v>0</v>
      </c>
      <c r="BJ178" s="422">
        <f t="shared" si="521"/>
        <v>0</v>
      </c>
      <c r="BK178" s="422">
        <f t="shared" si="521"/>
        <v>0</v>
      </c>
      <c r="BL178" s="422">
        <f t="shared" si="521"/>
        <v>0</v>
      </c>
      <c r="BM178" s="422">
        <f t="shared" si="521"/>
        <v>0</v>
      </c>
      <c r="BN178" s="423">
        <f t="shared" si="521"/>
        <v>0</v>
      </c>
      <c r="BO178" s="472">
        <f t="shared" si="521"/>
        <v>64046.559999999998</v>
      </c>
      <c r="BP178" s="422">
        <f t="shared" si="521"/>
        <v>40236.800000000003</v>
      </c>
      <c r="BQ178" s="422">
        <f t="shared" si="521"/>
        <v>0</v>
      </c>
      <c r="BR178" s="422">
        <f t="shared" si="521"/>
        <v>0</v>
      </c>
      <c r="BS178" s="422">
        <f t="shared" si="521"/>
        <v>0</v>
      </c>
      <c r="BT178" s="473">
        <f t="shared" si="521"/>
        <v>0</v>
      </c>
    </row>
    <row r="179" spans="1:72" s="399" customFormat="1" ht="25.5" customHeight="1" outlineLevel="2">
      <c r="A179" s="287">
        <v>145</v>
      </c>
      <c r="B179" s="933"/>
      <c r="C179" s="859"/>
      <c r="D179" s="854" t="s">
        <v>876</v>
      </c>
      <c r="E179" s="860"/>
      <c r="F179" s="829" t="s">
        <v>7</v>
      </c>
      <c r="G179" s="400">
        <v>4</v>
      </c>
      <c r="H179" s="747" t="s">
        <v>70</v>
      </c>
      <c r="I179" s="747">
        <v>244</v>
      </c>
      <c r="J179" s="748">
        <v>346</v>
      </c>
      <c r="K179" s="1005" t="s">
        <v>833</v>
      </c>
      <c r="L179" s="1031">
        <f>40774.18-SUM(L180:L185)</f>
        <v>0</v>
      </c>
      <c r="M179" s="403"/>
      <c r="N179" s="403"/>
      <c r="O179" s="1063">
        <f t="shared" si="172"/>
        <v>0</v>
      </c>
      <c r="P179" s="565"/>
      <c r="Q179" s="406"/>
      <c r="R179" s="565"/>
      <c r="S179" s="406"/>
      <c r="T179" s="565"/>
      <c r="U179" s="428"/>
      <c r="V179" s="405"/>
      <c r="W179" s="405"/>
      <c r="X179" s="405"/>
      <c r="Z179" s="406">
        <f t="shared" si="245"/>
        <v>0</v>
      </c>
      <c r="AA179" s="407">
        <f t="shared" si="245"/>
        <v>0</v>
      </c>
      <c r="AB179" s="408">
        <f t="shared" si="163"/>
        <v>0</v>
      </c>
      <c r="AC179" s="406">
        <f t="shared" si="246"/>
        <v>0</v>
      </c>
      <c r="AD179" s="407">
        <f t="shared" si="246"/>
        <v>0</v>
      </c>
      <c r="AE179" s="408">
        <f t="shared" si="164"/>
        <v>0</v>
      </c>
      <c r="AF179" s="406">
        <f t="shared" si="247"/>
        <v>0</v>
      </c>
      <c r="AG179" s="407">
        <f t="shared" si="247"/>
        <v>0</v>
      </c>
      <c r="AH179" s="408">
        <f t="shared" si="165"/>
        <v>0</v>
      </c>
      <c r="AI179" s="406">
        <f t="shared" si="248"/>
        <v>23272.38</v>
      </c>
      <c r="AJ179" s="407">
        <f t="shared" si="248"/>
        <v>0</v>
      </c>
      <c r="AK179" s="408">
        <f t="shared" si="166"/>
        <v>23272.38</v>
      </c>
      <c r="AL179" s="409"/>
      <c r="AM179" s="406">
        <f t="shared" si="249"/>
        <v>0</v>
      </c>
      <c r="AN179" s="410">
        <f t="shared" si="249"/>
        <v>0</v>
      </c>
      <c r="AO179" s="411">
        <f t="shared" si="167"/>
        <v>0</v>
      </c>
      <c r="AP179" s="406">
        <f t="shared" si="250"/>
        <v>0</v>
      </c>
      <c r="AQ179" s="410">
        <f t="shared" si="250"/>
        <v>0</v>
      </c>
      <c r="AR179" s="411">
        <f t="shared" si="168"/>
        <v>0</v>
      </c>
      <c r="AS179" s="412">
        <f t="shared" si="426"/>
        <v>23272.38</v>
      </c>
      <c r="AT179" s="410">
        <f t="shared" si="426"/>
        <v>0</v>
      </c>
      <c r="AU179" s="411">
        <f t="shared" si="169"/>
        <v>23272.38</v>
      </c>
      <c r="AV179" s="1262">
        <f t="shared" si="170"/>
        <v>-23272.38</v>
      </c>
      <c r="AW179" s="413"/>
      <c r="AX179" s="1098"/>
      <c r="AY179" s="415"/>
      <c r="AZ179" s="1098"/>
      <c r="BA179" s="415"/>
      <c r="BB179" s="1120"/>
      <c r="BC179" s="417"/>
      <c r="BD179" s="418"/>
      <c r="BE179" s="419"/>
      <c r="BF179" s="418"/>
      <c r="BG179" s="419"/>
      <c r="BH179" s="420"/>
      <c r="BI179" s="421"/>
      <c r="BJ179" s="422"/>
      <c r="BK179" s="407"/>
      <c r="BL179" s="422"/>
      <c r="BM179" s="407"/>
      <c r="BN179" s="423"/>
      <c r="BO179" s="354">
        <v>23272.38</v>
      </c>
      <c r="BP179" s="355"/>
      <c r="BQ179" s="356"/>
      <c r="BR179" s="425"/>
      <c r="BS179" s="426"/>
      <c r="BT179" s="427"/>
    </row>
    <row r="180" spans="1:72" s="399" customFormat="1" ht="38.25" outlineLevel="2">
      <c r="A180" s="1192">
        <v>145.1</v>
      </c>
      <c r="B180" s="933"/>
      <c r="C180" s="859"/>
      <c r="D180" s="854" t="s">
        <v>876</v>
      </c>
      <c r="E180" s="860"/>
      <c r="F180" s="829" t="s">
        <v>7</v>
      </c>
      <c r="G180" s="400">
        <v>4</v>
      </c>
      <c r="H180" s="747" t="s">
        <v>70</v>
      </c>
      <c r="I180" s="747">
        <v>244</v>
      </c>
      <c r="J180" s="748">
        <v>346</v>
      </c>
      <c r="K180" s="533" t="s">
        <v>1032</v>
      </c>
      <c r="L180" s="1025">
        <v>5716</v>
      </c>
      <c r="M180" s="403"/>
      <c r="N180" s="403"/>
      <c r="O180" s="1063">
        <f t="shared" ref="O180" si="522">L180+N180</f>
        <v>5716</v>
      </c>
      <c r="P180" s="565"/>
      <c r="Q180" s="406"/>
      <c r="R180" s="565"/>
      <c r="S180" s="406"/>
      <c r="T180" s="565"/>
      <c r="U180" s="428"/>
      <c r="V180" s="597" t="s">
        <v>1031</v>
      </c>
      <c r="W180" s="597" t="s">
        <v>1030</v>
      </c>
      <c r="X180" s="405"/>
      <c r="Z180" s="406">
        <f t="shared" ref="Z180" si="523">AW180+AY180+BA180</f>
        <v>0</v>
      </c>
      <c r="AA180" s="407">
        <f t="shared" ref="AA180" si="524">AX180+AZ180+BB180</f>
        <v>0</v>
      </c>
      <c r="AB180" s="408">
        <f t="shared" ref="AB180" si="525">Z180-AA180</f>
        <v>0</v>
      </c>
      <c r="AC180" s="406">
        <f t="shared" ref="AC180" si="526">BC180+BE180+BG180</f>
        <v>0</v>
      </c>
      <c r="AD180" s="407">
        <f t="shared" ref="AD180" si="527">BD180+BF180+BH180</f>
        <v>0</v>
      </c>
      <c r="AE180" s="408">
        <f t="shared" ref="AE180" si="528">AC180-AD180</f>
        <v>0</v>
      </c>
      <c r="AF180" s="406">
        <f t="shared" ref="AF180" si="529">BI180+BK180+BM180</f>
        <v>0</v>
      </c>
      <c r="AG180" s="407">
        <f t="shared" ref="AG180" si="530">BJ180+BL180+BN180</f>
        <v>0</v>
      </c>
      <c r="AH180" s="408">
        <f t="shared" ref="AH180" si="531">AF180-AG180</f>
        <v>0</v>
      </c>
      <c r="AI180" s="406">
        <f t="shared" ref="AI180" si="532">BO180+BQ180+BS180</f>
        <v>5716</v>
      </c>
      <c r="AJ180" s="407">
        <f t="shared" ref="AJ180" si="533">BP180+BR180+BT180</f>
        <v>5716</v>
      </c>
      <c r="AK180" s="408">
        <f t="shared" ref="AK180" si="534">AI180-AJ180</f>
        <v>0</v>
      </c>
      <c r="AL180" s="409"/>
      <c r="AM180" s="406">
        <f t="shared" ref="AM180" si="535">Z180+AC180</f>
        <v>0</v>
      </c>
      <c r="AN180" s="410">
        <f t="shared" ref="AN180" si="536">AA180+AD180</f>
        <v>0</v>
      </c>
      <c r="AO180" s="411">
        <f t="shared" ref="AO180" si="537">AM180-AN180</f>
        <v>0</v>
      </c>
      <c r="AP180" s="406">
        <f t="shared" ref="AP180" si="538">Z180+AC180+AF180</f>
        <v>0</v>
      </c>
      <c r="AQ180" s="410">
        <f t="shared" ref="AQ180" si="539">AA180+AD180+AG180</f>
        <v>0</v>
      </c>
      <c r="AR180" s="411">
        <f t="shared" ref="AR180" si="540">AP180-AQ180</f>
        <v>0</v>
      </c>
      <c r="AS180" s="412">
        <f t="shared" ref="AS180" si="541">Z180+AC180+AF180+AI180</f>
        <v>5716</v>
      </c>
      <c r="AT180" s="410">
        <f t="shared" ref="AT180" si="542">AA180+AD180+AG180+AJ180</f>
        <v>5716</v>
      </c>
      <c r="AU180" s="411">
        <f t="shared" ref="AU180" si="543">AS180-AT180</f>
        <v>0</v>
      </c>
      <c r="AV180" s="1262">
        <f t="shared" ref="AV180" si="544">L180-AS180</f>
        <v>0</v>
      </c>
      <c r="AW180" s="413"/>
      <c r="AX180" s="1098"/>
      <c r="AY180" s="415"/>
      <c r="AZ180" s="1098"/>
      <c r="BA180" s="415"/>
      <c r="BB180" s="1120"/>
      <c r="BC180" s="417"/>
      <c r="BD180" s="418"/>
      <c r="BE180" s="419"/>
      <c r="BF180" s="418"/>
      <c r="BG180" s="419"/>
      <c r="BH180" s="420"/>
      <c r="BI180" s="421"/>
      <c r="BJ180" s="422"/>
      <c r="BK180" s="407"/>
      <c r="BL180" s="422"/>
      <c r="BM180" s="407"/>
      <c r="BN180" s="423"/>
      <c r="BO180" s="424">
        <v>5716</v>
      </c>
      <c r="BP180" s="355">
        <v>5716</v>
      </c>
      <c r="BQ180" s="426"/>
      <c r="BR180" s="425"/>
      <c r="BS180" s="426"/>
      <c r="BT180" s="427"/>
    </row>
    <row r="181" spans="1:72" s="399" customFormat="1" ht="38.25" outlineLevel="2">
      <c r="A181" s="1192">
        <v>145.19999999999999</v>
      </c>
      <c r="B181" s="933"/>
      <c r="C181" s="859"/>
      <c r="D181" s="854" t="s">
        <v>876</v>
      </c>
      <c r="E181" s="860"/>
      <c r="F181" s="829" t="s">
        <v>7</v>
      </c>
      <c r="G181" s="400">
        <v>4</v>
      </c>
      <c r="H181" s="747" t="s">
        <v>70</v>
      </c>
      <c r="I181" s="747">
        <v>244</v>
      </c>
      <c r="J181" s="748">
        <v>346</v>
      </c>
      <c r="K181" s="533" t="s">
        <v>1072</v>
      </c>
      <c r="L181" s="1025">
        <v>2808</v>
      </c>
      <c r="M181" s="403"/>
      <c r="N181" s="403"/>
      <c r="O181" s="1063">
        <f t="shared" ref="O181" si="545">L181+N181</f>
        <v>2808</v>
      </c>
      <c r="P181" s="565"/>
      <c r="Q181" s="406"/>
      <c r="R181" s="565"/>
      <c r="S181" s="406"/>
      <c r="T181" s="565"/>
      <c r="U181" s="428"/>
      <c r="V181" s="597" t="s">
        <v>1073</v>
      </c>
      <c r="W181" s="597" t="s">
        <v>1074</v>
      </c>
      <c r="X181" s="405"/>
      <c r="Z181" s="406">
        <f t="shared" ref="Z181" si="546">AW181+AY181+BA181</f>
        <v>0</v>
      </c>
      <c r="AA181" s="407">
        <f t="shared" ref="AA181" si="547">AX181+AZ181+BB181</f>
        <v>0</v>
      </c>
      <c r="AB181" s="408">
        <f t="shared" ref="AB181" si="548">Z181-AA181</f>
        <v>0</v>
      </c>
      <c r="AC181" s="406">
        <f t="shared" ref="AC181" si="549">BC181+BE181+BG181</f>
        <v>0</v>
      </c>
      <c r="AD181" s="407">
        <f t="shared" ref="AD181" si="550">BD181+BF181+BH181</f>
        <v>0</v>
      </c>
      <c r="AE181" s="408">
        <f t="shared" ref="AE181" si="551">AC181-AD181</f>
        <v>0</v>
      </c>
      <c r="AF181" s="406">
        <f t="shared" ref="AF181" si="552">BI181+BK181+BM181</f>
        <v>0</v>
      </c>
      <c r="AG181" s="407">
        <f t="shared" ref="AG181" si="553">BJ181+BL181+BN181</f>
        <v>0</v>
      </c>
      <c r="AH181" s="408">
        <f t="shared" ref="AH181" si="554">AF181-AG181</f>
        <v>0</v>
      </c>
      <c r="AI181" s="406">
        <f t="shared" ref="AI181" si="555">BO181+BQ181+BS181</f>
        <v>2808</v>
      </c>
      <c r="AJ181" s="407">
        <f t="shared" ref="AJ181" si="556">BP181+BR181+BT181</f>
        <v>2808</v>
      </c>
      <c r="AK181" s="408">
        <f t="shared" ref="AK181" si="557">AI181-AJ181</f>
        <v>0</v>
      </c>
      <c r="AL181" s="409"/>
      <c r="AM181" s="406">
        <f t="shared" ref="AM181" si="558">Z181+AC181</f>
        <v>0</v>
      </c>
      <c r="AN181" s="410">
        <f t="shared" ref="AN181" si="559">AA181+AD181</f>
        <v>0</v>
      </c>
      <c r="AO181" s="411">
        <f t="shared" ref="AO181" si="560">AM181-AN181</f>
        <v>0</v>
      </c>
      <c r="AP181" s="406">
        <f t="shared" ref="AP181" si="561">Z181+AC181+AF181</f>
        <v>0</v>
      </c>
      <c r="AQ181" s="410">
        <f t="shared" ref="AQ181" si="562">AA181+AD181+AG181</f>
        <v>0</v>
      </c>
      <c r="AR181" s="411">
        <f t="shared" ref="AR181" si="563">AP181-AQ181</f>
        <v>0</v>
      </c>
      <c r="AS181" s="412">
        <f t="shared" ref="AS181" si="564">Z181+AC181+AF181+AI181</f>
        <v>2808</v>
      </c>
      <c r="AT181" s="410">
        <f t="shared" ref="AT181" si="565">AA181+AD181+AG181+AJ181</f>
        <v>2808</v>
      </c>
      <c r="AU181" s="411">
        <f t="shared" ref="AU181" si="566">AS181-AT181</f>
        <v>0</v>
      </c>
      <c r="AV181" s="1262">
        <f t="shared" ref="AV181" si="567">L181-AS181</f>
        <v>0</v>
      </c>
      <c r="AW181" s="413"/>
      <c r="AX181" s="1098"/>
      <c r="AY181" s="415"/>
      <c r="AZ181" s="1098"/>
      <c r="BA181" s="415"/>
      <c r="BB181" s="1120"/>
      <c r="BC181" s="417"/>
      <c r="BD181" s="418"/>
      <c r="BE181" s="419"/>
      <c r="BF181" s="418"/>
      <c r="BG181" s="419"/>
      <c r="BH181" s="420"/>
      <c r="BI181" s="421"/>
      <c r="BJ181" s="422"/>
      <c r="BK181" s="407"/>
      <c r="BL181" s="422"/>
      <c r="BM181" s="407"/>
      <c r="BN181" s="423"/>
      <c r="BO181" s="424">
        <v>2808</v>
      </c>
      <c r="BP181" s="355">
        <v>2808</v>
      </c>
      <c r="BQ181" s="426"/>
      <c r="BR181" s="425"/>
      <c r="BS181" s="426"/>
      <c r="BT181" s="427"/>
    </row>
    <row r="182" spans="1:72" s="399" customFormat="1" ht="38.25" outlineLevel="2">
      <c r="A182" s="1192">
        <v>145.30000000000001</v>
      </c>
      <c r="B182" s="933"/>
      <c r="C182" s="859"/>
      <c r="D182" s="854" t="s">
        <v>876</v>
      </c>
      <c r="E182" s="860"/>
      <c r="F182" s="829" t="s">
        <v>7</v>
      </c>
      <c r="G182" s="400">
        <v>4</v>
      </c>
      <c r="H182" s="747" t="s">
        <v>70</v>
      </c>
      <c r="I182" s="747">
        <v>244</v>
      </c>
      <c r="J182" s="748">
        <v>346</v>
      </c>
      <c r="K182" s="533" t="s">
        <v>1075</v>
      </c>
      <c r="L182" s="1025">
        <v>8977.7999999999993</v>
      </c>
      <c r="M182" s="403"/>
      <c r="N182" s="403"/>
      <c r="O182" s="1063">
        <f t="shared" ref="O182" si="568">L182+N182</f>
        <v>8977.7999999999993</v>
      </c>
      <c r="P182" s="565"/>
      <c r="Q182" s="406"/>
      <c r="R182" s="565"/>
      <c r="S182" s="406"/>
      <c r="T182" s="565"/>
      <c r="U182" s="428"/>
      <c r="V182" s="597" t="s">
        <v>1073</v>
      </c>
      <c r="W182" s="597" t="s">
        <v>1074</v>
      </c>
      <c r="X182" s="405"/>
      <c r="Z182" s="406">
        <f t="shared" ref="Z182" si="569">AW182+AY182+BA182</f>
        <v>0</v>
      </c>
      <c r="AA182" s="407">
        <f t="shared" ref="AA182" si="570">AX182+AZ182+BB182</f>
        <v>0</v>
      </c>
      <c r="AB182" s="408">
        <f t="shared" ref="AB182" si="571">Z182-AA182</f>
        <v>0</v>
      </c>
      <c r="AC182" s="406">
        <f t="shared" ref="AC182" si="572">BC182+BE182+BG182</f>
        <v>0</v>
      </c>
      <c r="AD182" s="407">
        <f t="shared" ref="AD182" si="573">BD182+BF182+BH182</f>
        <v>0</v>
      </c>
      <c r="AE182" s="408">
        <f t="shared" ref="AE182" si="574">AC182-AD182</f>
        <v>0</v>
      </c>
      <c r="AF182" s="406">
        <f t="shared" ref="AF182" si="575">BI182+BK182+BM182</f>
        <v>0</v>
      </c>
      <c r="AG182" s="407">
        <f t="shared" ref="AG182" si="576">BJ182+BL182+BN182</f>
        <v>0</v>
      </c>
      <c r="AH182" s="408">
        <f t="shared" ref="AH182" si="577">AF182-AG182</f>
        <v>0</v>
      </c>
      <c r="AI182" s="406">
        <f t="shared" ref="AI182" si="578">BO182+BQ182+BS182</f>
        <v>8977.7999999999993</v>
      </c>
      <c r="AJ182" s="407">
        <f t="shared" ref="AJ182" si="579">BP182+BR182+BT182</f>
        <v>8977.7999999999993</v>
      </c>
      <c r="AK182" s="408">
        <f t="shared" ref="AK182" si="580">AI182-AJ182</f>
        <v>0</v>
      </c>
      <c r="AL182" s="409"/>
      <c r="AM182" s="406">
        <f t="shared" ref="AM182" si="581">Z182+AC182</f>
        <v>0</v>
      </c>
      <c r="AN182" s="410">
        <f t="shared" ref="AN182" si="582">AA182+AD182</f>
        <v>0</v>
      </c>
      <c r="AO182" s="411">
        <f t="shared" ref="AO182" si="583">AM182-AN182</f>
        <v>0</v>
      </c>
      <c r="AP182" s="406">
        <f t="shared" ref="AP182" si="584">Z182+AC182+AF182</f>
        <v>0</v>
      </c>
      <c r="AQ182" s="410">
        <f t="shared" ref="AQ182" si="585">AA182+AD182+AG182</f>
        <v>0</v>
      </c>
      <c r="AR182" s="411">
        <f t="shared" ref="AR182" si="586">AP182-AQ182</f>
        <v>0</v>
      </c>
      <c r="AS182" s="412">
        <f t="shared" ref="AS182" si="587">Z182+AC182+AF182+AI182</f>
        <v>8977.7999999999993</v>
      </c>
      <c r="AT182" s="410">
        <f t="shared" ref="AT182" si="588">AA182+AD182+AG182+AJ182</f>
        <v>8977.7999999999993</v>
      </c>
      <c r="AU182" s="411">
        <f t="shared" ref="AU182" si="589">AS182-AT182</f>
        <v>0</v>
      </c>
      <c r="AV182" s="1262">
        <f t="shared" ref="AV182" si="590">L182-AS182</f>
        <v>0</v>
      </c>
      <c r="AW182" s="413"/>
      <c r="AX182" s="1098"/>
      <c r="AY182" s="415"/>
      <c r="AZ182" s="1098"/>
      <c r="BA182" s="415"/>
      <c r="BB182" s="1120"/>
      <c r="BC182" s="417"/>
      <c r="BD182" s="418"/>
      <c r="BE182" s="419"/>
      <c r="BF182" s="418"/>
      <c r="BG182" s="419"/>
      <c r="BH182" s="420"/>
      <c r="BI182" s="421"/>
      <c r="BJ182" s="422"/>
      <c r="BK182" s="407"/>
      <c r="BL182" s="422"/>
      <c r="BM182" s="407"/>
      <c r="BN182" s="423"/>
      <c r="BO182" s="424">
        <v>8977.7999999999993</v>
      </c>
      <c r="BP182" s="355">
        <v>8977.7999999999993</v>
      </c>
      <c r="BQ182" s="426"/>
      <c r="BR182" s="425"/>
      <c r="BS182" s="426"/>
      <c r="BT182" s="427"/>
    </row>
    <row r="183" spans="1:72" s="399" customFormat="1" ht="63.75" outlineLevel="2">
      <c r="A183" s="1192">
        <v>145.4</v>
      </c>
      <c r="B183" s="933"/>
      <c r="C183" s="859"/>
      <c r="D183" s="854" t="s">
        <v>876</v>
      </c>
      <c r="E183" s="860"/>
      <c r="F183" s="829" t="s">
        <v>7</v>
      </c>
      <c r="G183" s="400">
        <v>4</v>
      </c>
      <c r="H183" s="747" t="s">
        <v>70</v>
      </c>
      <c r="I183" s="747">
        <v>244</v>
      </c>
      <c r="J183" s="748">
        <v>346</v>
      </c>
      <c r="K183" s="533" t="s">
        <v>1108</v>
      </c>
      <c r="L183" s="1025">
        <v>16202.38</v>
      </c>
      <c r="M183" s="403"/>
      <c r="N183" s="403"/>
      <c r="O183" s="1063">
        <f t="shared" ref="O183" si="591">L183+N183</f>
        <v>16202.38</v>
      </c>
      <c r="P183" s="565"/>
      <c r="Q183" s="406"/>
      <c r="R183" s="565"/>
      <c r="S183" s="406"/>
      <c r="T183" s="565"/>
      <c r="U183" s="428"/>
      <c r="V183" s="597" t="s">
        <v>582</v>
      </c>
      <c r="W183" s="811" t="s">
        <v>481</v>
      </c>
      <c r="X183" s="405"/>
      <c r="Z183" s="406">
        <f t="shared" ref="Z183" si="592">AW183+AY183+BA183</f>
        <v>0</v>
      </c>
      <c r="AA183" s="407">
        <f t="shared" ref="AA183" si="593">AX183+AZ183+BB183</f>
        <v>0</v>
      </c>
      <c r="AB183" s="408">
        <f t="shared" ref="AB183" si="594">Z183-AA183</f>
        <v>0</v>
      </c>
      <c r="AC183" s="406">
        <f t="shared" ref="AC183" si="595">BC183+BE183+BG183</f>
        <v>0</v>
      </c>
      <c r="AD183" s="407">
        <f t="shared" ref="AD183" si="596">BD183+BF183+BH183</f>
        <v>0</v>
      </c>
      <c r="AE183" s="408">
        <f t="shared" ref="AE183" si="597">AC183-AD183</f>
        <v>0</v>
      </c>
      <c r="AF183" s="406">
        <f t="shared" ref="AF183" si="598">BI183+BK183+BM183</f>
        <v>0</v>
      </c>
      <c r="AG183" s="407">
        <f t="shared" ref="AG183" si="599">BJ183+BL183+BN183</f>
        <v>0</v>
      </c>
      <c r="AH183" s="408">
        <f t="shared" ref="AH183" si="600">AF183-AG183</f>
        <v>0</v>
      </c>
      <c r="AI183" s="406">
        <f t="shared" ref="AI183" si="601">BO183+BQ183+BS183</f>
        <v>16202.38</v>
      </c>
      <c r="AJ183" s="407">
        <f t="shared" ref="AJ183" si="602">BP183+BR183+BT183</f>
        <v>15665</v>
      </c>
      <c r="AK183" s="408">
        <f t="shared" ref="AK183" si="603">AI183-AJ183</f>
        <v>537.38</v>
      </c>
      <c r="AL183" s="409"/>
      <c r="AM183" s="406">
        <f t="shared" ref="AM183" si="604">Z183+AC183</f>
        <v>0</v>
      </c>
      <c r="AN183" s="410">
        <f t="shared" ref="AN183" si="605">AA183+AD183</f>
        <v>0</v>
      </c>
      <c r="AO183" s="411">
        <f t="shared" ref="AO183" si="606">AM183-AN183</f>
        <v>0</v>
      </c>
      <c r="AP183" s="406">
        <f t="shared" ref="AP183" si="607">Z183+AC183+AF183</f>
        <v>0</v>
      </c>
      <c r="AQ183" s="410">
        <f t="shared" ref="AQ183" si="608">AA183+AD183+AG183</f>
        <v>0</v>
      </c>
      <c r="AR183" s="411">
        <f t="shared" ref="AR183" si="609">AP183-AQ183</f>
        <v>0</v>
      </c>
      <c r="AS183" s="412">
        <f t="shared" ref="AS183" si="610">Z183+AC183+AF183+AI183</f>
        <v>16202.38</v>
      </c>
      <c r="AT183" s="410">
        <f t="shared" ref="AT183" si="611">AA183+AD183+AG183+AJ183</f>
        <v>15665</v>
      </c>
      <c r="AU183" s="411">
        <f t="shared" ref="AU183" si="612">AS183-AT183</f>
        <v>537.38</v>
      </c>
      <c r="AV183" s="1262">
        <f t="shared" ref="AV183" si="613">L183-AS183</f>
        <v>0</v>
      </c>
      <c r="AW183" s="413"/>
      <c r="AX183" s="1098"/>
      <c r="AY183" s="415"/>
      <c r="AZ183" s="1098"/>
      <c r="BA183" s="415"/>
      <c r="BB183" s="1120"/>
      <c r="BC183" s="417"/>
      <c r="BD183" s="418"/>
      <c r="BE183" s="419"/>
      <c r="BF183" s="418"/>
      <c r="BG183" s="419"/>
      <c r="BH183" s="420"/>
      <c r="BI183" s="421"/>
      <c r="BJ183" s="422"/>
      <c r="BK183" s="407"/>
      <c r="BL183" s="422"/>
      <c r="BM183" s="407"/>
      <c r="BN183" s="423"/>
      <c r="BO183" s="424">
        <v>16202.38</v>
      </c>
      <c r="BP183" s="355">
        <v>15665</v>
      </c>
      <c r="BQ183" s="426"/>
      <c r="BR183" s="425"/>
      <c r="BS183" s="426"/>
      <c r="BT183" s="427"/>
    </row>
    <row r="184" spans="1:72" s="399" customFormat="1" ht="38.25" outlineLevel="2">
      <c r="A184" s="1192">
        <v>145.5</v>
      </c>
      <c r="B184" s="933"/>
      <c r="C184" s="859"/>
      <c r="D184" s="854" t="s">
        <v>876</v>
      </c>
      <c r="E184" s="860"/>
      <c r="F184" s="829" t="s">
        <v>7</v>
      </c>
      <c r="G184" s="400">
        <v>4</v>
      </c>
      <c r="H184" s="747" t="s">
        <v>70</v>
      </c>
      <c r="I184" s="747">
        <v>244</v>
      </c>
      <c r="J184" s="748">
        <v>346</v>
      </c>
      <c r="K184" s="533" t="s">
        <v>1107</v>
      </c>
      <c r="L184" s="1025">
        <v>7070</v>
      </c>
      <c r="M184" s="403"/>
      <c r="N184" s="403"/>
      <c r="O184" s="1063">
        <f t="shared" ref="O184" si="614">L184+N184</f>
        <v>7070</v>
      </c>
      <c r="P184" s="565"/>
      <c r="Q184" s="406"/>
      <c r="R184" s="565"/>
      <c r="S184" s="406"/>
      <c r="T184" s="565"/>
      <c r="U184" s="428"/>
      <c r="V184" s="597" t="s">
        <v>1022</v>
      </c>
      <c r="W184" s="597" t="s">
        <v>1111</v>
      </c>
      <c r="X184" s="405"/>
      <c r="Z184" s="406">
        <f t="shared" ref="Z184" si="615">AW184+AY184+BA184</f>
        <v>0</v>
      </c>
      <c r="AA184" s="407">
        <f t="shared" ref="AA184" si="616">AX184+AZ184+BB184</f>
        <v>0</v>
      </c>
      <c r="AB184" s="408">
        <f t="shared" ref="AB184" si="617">Z184-AA184</f>
        <v>0</v>
      </c>
      <c r="AC184" s="406">
        <f t="shared" ref="AC184" si="618">BC184+BE184+BG184</f>
        <v>0</v>
      </c>
      <c r="AD184" s="407">
        <f t="shared" ref="AD184" si="619">BD184+BF184+BH184</f>
        <v>0</v>
      </c>
      <c r="AE184" s="408">
        <f t="shared" ref="AE184" si="620">AC184-AD184</f>
        <v>0</v>
      </c>
      <c r="AF184" s="406">
        <f t="shared" ref="AF184" si="621">BI184+BK184+BM184</f>
        <v>0</v>
      </c>
      <c r="AG184" s="407">
        <f t="shared" ref="AG184" si="622">BJ184+BL184+BN184</f>
        <v>0</v>
      </c>
      <c r="AH184" s="408">
        <f t="shared" ref="AH184" si="623">AF184-AG184</f>
        <v>0</v>
      </c>
      <c r="AI184" s="406">
        <f t="shared" ref="AI184" si="624">BO184+BQ184+BS184</f>
        <v>7070</v>
      </c>
      <c r="AJ184" s="407">
        <f t="shared" ref="AJ184" si="625">BP184+BR184+BT184</f>
        <v>7070</v>
      </c>
      <c r="AK184" s="408">
        <f t="shared" ref="AK184" si="626">AI184-AJ184</f>
        <v>0</v>
      </c>
      <c r="AL184" s="409"/>
      <c r="AM184" s="406">
        <f t="shared" ref="AM184" si="627">Z184+AC184</f>
        <v>0</v>
      </c>
      <c r="AN184" s="410">
        <f t="shared" ref="AN184" si="628">AA184+AD184</f>
        <v>0</v>
      </c>
      <c r="AO184" s="411">
        <f t="shared" ref="AO184" si="629">AM184-AN184</f>
        <v>0</v>
      </c>
      <c r="AP184" s="406">
        <f t="shared" ref="AP184" si="630">Z184+AC184+AF184</f>
        <v>0</v>
      </c>
      <c r="AQ184" s="410">
        <f t="shared" ref="AQ184" si="631">AA184+AD184+AG184</f>
        <v>0</v>
      </c>
      <c r="AR184" s="411">
        <f t="shared" ref="AR184" si="632">AP184-AQ184</f>
        <v>0</v>
      </c>
      <c r="AS184" s="412">
        <f t="shared" ref="AS184" si="633">Z184+AC184+AF184+AI184</f>
        <v>7070</v>
      </c>
      <c r="AT184" s="410">
        <f t="shared" ref="AT184" si="634">AA184+AD184+AG184+AJ184</f>
        <v>7070</v>
      </c>
      <c r="AU184" s="411">
        <f t="shared" ref="AU184" si="635">AS184-AT184</f>
        <v>0</v>
      </c>
      <c r="AV184" s="1262">
        <f t="shared" ref="AV184" si="636">L184-AS184</f>
        <v>0</v>
      </c>
      <c r="AW184" s="413"/>
      <c r="AX184" s="1098"/>
      <c r="AY184" s="415"/>
      <c r="AZ184" s="1098"/>
      <c r="BA184" s="415"/>
      <c r="BB184" s="1120"/>
      <c r="BC184" s="417"/>
      <c r="BD184" s="418"/>
      <c r="BE184" s="419"/>
      <c r="BF184" s="418"/>
      <c r="BG184" s="419"/>
      <c r="BH184" s="420"/>
      <c r="BI184" s="421"/>
      <c r="BJ184" s="422"/>
      <c r="BK184" s="407"/>
      <c r="BL184" s="422"/>
      <c r="BM184" s="407"/>
      <c r="BN184" s="423"/>
      <c r="BO184" s="424">
        <v>7070</v>
      </c>
      <c r="BP184" s="355">
        <v>7070</v>
      </c>
      <c r="BQ184" s="426"/>
      <c r="BR184" s="425"/>
      <c r="BS184" s="426"/>
      <c r="BT184" s="427"/>
    </row>
    <row r="185" spans="1:72" s="430" customFormat="1" ht="25.5" customHeight="1" outlineLevel="2">
      <c r="A185" s="287">
        <v>146</v>
      </c>
      <c r="B185" s="933"/>
      <c r="C185" s="743"/>
      <c r="D185" s="854" t="s">
        <v>876</v>
      </c>
      <c r="E185" s="857"/>
      <c r="F185" s="827" t="s">
        <v>7</v>
      </c>
      <c r="G185" s="431">
        <v>4</v>
      </c>
      <c r="H185" s="474" t="s">
        <v>70</v>
      </c>
      <c r="I185" s="743">
        <v>244</v>
      </c>
      <c r="J185" s="744">
        <v>346</v>
      </c>
      <c r="K185" s="536" t="s">
        <v>284</v>
      </c>
      <c r="L185" s="1030"/>
      <c r="M185" s="434"/>
      <c r="N185" s="434"/>
      <c r="O185" s="1064">
        <f t="shared" si="172"/>
        <v>0</v>
      </c>
      <c r="P185" s="563"/>
      <c r="Q185" s="437"/>
      <c r="R185" s="563"/>
      <c r="S185" s="437"/>
      <c r="T185" s="563"/>
      <c r="U185" s="467"/>
      <c r="V185" s="436"/>
      <c r="W185" s="436"/>
      <c r="X185" s="436"/>
      <c r="Z185" s="437">
        <f t="shared" si="245"/>
        <v>0</v>
      </c>
      <c r="AA185" s="438">
        <f t="shared" si="245"/>
        <v>0</v>
      </c>
      <c r="AB185" s="439">
        <f t="shared" si="163"/>
        <v>0</v>
      </c>
      <c r="AC185" s="437">
        <f t="shared" si="246"/>
        <v>0</v>
      </c>
      <c r="AD185" s="438">
        <f t="shared" si="246"/>
        <v>0</v>
      </c>
      <c r="AE185" s="439">
        <f t="shared" si="164"/>
        <v>0</v>
      </c>
      <c r="AF185" s="437">
        <f t="shared" si="247"/>
        <v>0</v>
      </c>
      <c r="AG185" s="438">
        <f t="shared" si="247"/>
        <v>0</v>
      </c>
      <c r="AH185" s="439">
        <f t="shared" si="165"/>
        <v>0</v>
      </c>
      <c r="AI185" s="437">
        <f t="shared" si="248"/>
        <v>0</v>
      </c>
      <c r="AJ185" s="438">
        <f t="shared" si="248"/>
        <v>0</v>
      </c>
      <c r="AK185" s="439">
        <f t="shared" si="166"/>
        <v>0</v>
      </c>
      <c r="AL185" s="440"/>
      <c r="AM185" s="437">
        <f t="shared" si="249"/>
        <v>0</v>
      </c>
      <c r="AN185" s="441">
        <f t="shared" si="249"/>
        <v>0</v>
      </c>
      <c r="AO185" s="442">
        <f t="shared" si="167"/>
        <v>0</v>
      </c>
      <c r="AP185" s="437">
        <f t="shared" si="250"/>
        <v>0</v>
      </c>
      <c r="AQ185" s="441">
        <f t="shared" si="250"/>
        <v>0</v>
      </c>
      <c r="AR185" s="442">
        <f t="shared" si="168"/>
        <v>0</v>
      </c>
      <c r="AS185" s="443">
        <f t="shared" si="426"/>
        <v>0</v>
      </c>
      <c r="AT185" s="441">
        <f t="shared" si="426"/>
        <v>0</v>
      </c>
      <c r="AU185" s="442">
        <f t="shared" si="169"/>
        <v>0</v>
      </c>
      <c r="AV185" s="440">
        <f t="shared" si="170"/>
        <v>0</v>
      </c>
      <c r="AW185" s="444"/>
      <c r="AX185" s="1111"/>
      <c r="AY185" s="446"/>
      <c r="AZ185" s="1111"/>
      <c r="BA185" s="446"/>
      <c r="BB185" s="1129"/>
      <c r="BC185" s="448"/>
      <c r="BD185" s="449"/>
      <c r="BE185" s="450"/>
      <c r="BF185" s="449"/>
      <c r="BG185" s="450"/>
      <c r="BH185" s="451"/>
      <c r="BI185" s="452"/>
      <c r="BJ185" s="453"/>
      <c r="BK185" s="438"/>
      <c r="BL185" s="453"/>
      <c r="BM185" s="438"/>
      <c r="BN185" s="454"/>
      <c r="BO185" s="455"/>
      <c r="BP185" s="456"/>
      <c r="BQ185" s="457"/>
      <c r="BR185" s="456"/>
      <c r="BS185" s="457"/>
      <c r="BT185" s="458"/>
    </row>
    <row r="186" spans="1:72" s="459" customFormat="1" ht="66.75" customHeight="1" outlineLevel="1">
      <c r="A186" s="287">
        <v>147</v>
      </c>
      <c r="B186" s="933"/>
      <c r="C186" s="850" t="s">
        <v>378</v>
      </c>
      <c r="D186" s="854" t="s">
        <v>274</v>
      </c>
      <c r="E186" s="855"/>
      <c r="F186" s="826" t="s">
        <v>7</v>
      </c>
      <c r="G186" s="462">
        <v>4</v>
      </c>
      <c r="H186" s="741" t="s">
        <v>70</v>
      </c>
      <c r="I186" s="741">
        <v>244</v>
      </c>
      <c r="J186" s="742">
        <v>346</v>
      </c>
      <c r="K186" s="535" t="s">
        <v>283</v>
      </c>
      <c r="L186" s="1028">
        <v>58096.959999999999</v>
      </c>
      <c r="M186" s="352"/>
      <c r="N186" s="352">
        <f>SUM(N187:N194)</f>
        <v>8917.6</v>
      </c>
      <c r="O186" s="1062">
        <f t="shared" si="172"/>
        <v>67014.559999999998</v>
      </c>
      <c r="P186" s="561"/>
      <c r="Q186" s="464"/>
      <c r="R186" s="561"/>
      <c r="S186" s="464"/>
      <c r="T186" s="561"/>
      <c r="U186" s="393"/>
      <c r="V186" s="394"/>
      <c r="W186" s="394"/>
      <c r="X186" s="394"/>
      <c r="Y186" s="392"/>
      <c r="Z186" s="395">
        <f t="shared" ref="Z186:AA209" si="637">AW186+AY186+BA186</f>
        <v>0</v>
      </c>
      <c r="AA186" s="396">
        <f t="shared" si="637"/>
        <v>0</v>
      </c>
      <c r="AB186" s="397">
        <f t="shared" si="163"/>
        <v>0</v>
      </c>
      <c r="AC186" s="395">
        <f t="shared" ref="AC186:AD209" si="638">BC186+BE186+BG186</f>
        <v>0</v>
      </c>
      <c r="AD186" s="396">
        <f t="shared" si="638"/>
        <v>0</v>
      </c>
      <c r="AE186" s="397">
        <f t="shared" si="164"/>
        <v>0</v>
      </c>
      <c r="AF186" s="395">
        <f t="shared" ref="AF186:AG209" si="639">BI186+BK186+BM186</f>
        <v>0</v>
      </c>
      <c r="AG186" s="396">
        <f t="shared" si="639"/>
        <v>0</v>
      </c>
      <c r="AH186" s="397">
        <f t="shared" si="165"/>
        <v>0</v>
      </c>
      <c r="AI186" s="395">
        <f t="shared" ref="AI186:AJ209" si="640">BO186+BQ186+BS186</f>
        <v>111652.09</v>
      </c>
      <c r="AJ186" s="396">
        <f t="shared" si="640"/>
        <v>56255.13</v>
      </c>
      <c r="AK186" s="397">
        <f t="shared" si="166"/>
        <v>55396.959999999999</v>
      </c>
      <c r="AL186" s="398"/>
      <c r="AM186" s="464">
        <f t="shared" ref="AM186:AN209" si="641">Z186+AC186</f>
        <v>0</v>
      </c>
      <c r="AN186" s="352">
        <f t="shared" si="641"/>
        <v>0</v>
      </c>
      <c r="AO186" s="465">
        <f t="shared" si="167"/>
        <v>0</v>
      </c>
      <c r="AP186" s="464">
        <f t="shared" ref="AP186:AQ209" si="642">Z186+AC186+AF186</f>
        <v>0</v>
      </c>
      <c r="AQ186" s="352">
        <f t="shared" si="642"/>
        <v>0</v>
      </c>
      <c r="AR186" s="465">
        <f t="shared" si="168"/>
        <v>0</v>
      </c>
      <c r="AS186" s="464">
        <f t="shared" si="426"/>
        <v>111652.09</v>
      </c>
      <c r="AT186" s="352">
        <f t="shared" si="426"/>
        <v>56255.13</v>
      </c>
      <c r="AU186" s="465">
        <f t="shared" si="169"/>
        <v>55396.959999999999</v>
      </c>
      <c r="AV186" s="1261">
        <f t="shared" si="170"/>
        <v>-53555.13</v>
      </c>
      <c r="AW186" s="464">
        <f t="shared" ref="AW186:BT186" si="643">SUM(AW187:AW194)</f>
        <v>0</v>
      </c>
      <c r="AX186" s="1110">
        <f t="shared" si="643"/>
        <v>0</v>
      </c>
      <c r="AY186" s="352">
        <f t="shared" si="643"/>
        <v>0</v>
      </c>
      <c r="AZ186" s="1110">
        <f t="shared" si="643"/>
        <v>0</v>
      </c>
      <c r="BA186" s="352">
        <f t="shared" si="643"/>
        <v>0</v>
      </c>
      <c r="BB186" s="1128">
        <f t="shared" si="643"/>
        <v>0</v>
      </c>
      <c r="BC186" s="464">
        <f t="shared" si="643"/>
        <v>0</v>
      </c>
      <c r="BD186" s="352">
        <f t="shared" si="643"/>
        <v>0</v>
      </c>
      <c r="BE186" s="352">
        <f t="shared" si="643"/>
        <v>0</v>
      </c>
      <c r="BF186" s="352">
        <f t="shared" si="643"/>
        <v>0</v>
      </c>
      <c r="BG186" s="352">
        <f t="shared" si="643"/>
        <v>0</v>
      </c>
      <c r="BH186" s="353">
        <f t="shared" si="643"/>
        <v>0</v>
      </c>
      <c r="BI186" s="464">
        <f t="shared" si="643"/>
        <v>0</v>
      </c>
      <c r="BJ186" s="352">
        <f t="shared" si="643"/>
        <v>0</v>
      </c>
      <c r="BK186" s="352">
        <f t="shared" si="643"/>
        <v>0</v>
      </c>
      <c r="BL186" s="352">
        <f t="shared" si="643"/>
        <v>0</v>
      </c>
      <c r="BM186" s="352">
        <f t="shared" si="643"/>
        <v>0</v>
      </c>
      <c r="BN186" s="353">
        <f t="shared" si="643"/>
        <v>0</v>
      </c>
      <c r="BO186" s="464">
        <f t="shared" si="643"/>
        <v>56255.13</v>
      </c>
      <c r="BP186" s="352">
        <f t="shared" si="643"/>
        <v>56255.13</v>
      </c>
      <c r="BQ186" s="352">
        <f t="shared" si="643"/>
        <v>55396.959999999999</v>
      </c>
      <c r="BR186" s="352">
        <f t="shared" si="643"/>
        <v>0</v>
      </c>
      <c r="BS186" s="352">
        <f t="shared" si="643"/>
        <v>0</v>
      </c>
      <c r="BT186" s="465">
        <f t="shared" si="643"/>
        <v>0</v>
      </c>
    </row>
    <row r="187" spans="1:72" s="313" customFormat="1" ht="25.5" customHeight="1" outlineLevel="2">
      <c r="A187" s="287">
        <v>148</v>
      </c>
      <c r="B187" s="933" t="s">
        <v>1062</v>
      </c>
      <c r="C187" s="840"/>
      <c r="D187" s="841" t="s">
        <v>274</v>
      </c>
      <c r="E187" s="839"/>
      <c r="F187" s="821" t="s">
        <v>7</v>
      </c>
      <c r="G187" s="314">
        <v>4</v>
      </c>
      <c r="H187" s="739" t="s">
        <v>70</v>
      </c>
      <c r="I187" s="739">
        <v>244</v>
      </c>
      <c r="J187" s="740">
        <v>346</v>
      </c>
      <c r="K187" s="1005" t="s">
        <v>833</v>
      </c>
      <c r="L187" s="1031">
        <f>58096.96-SUM(L188:L194)</f>
        <v>1841.83</v>
      </c>
      <c r="M187" s="318"/>
      <c r="N187" s="318">
        <v>8917.6</v>
      </c>
      <c r="O187" s="1052">
        <f t="shared" si="172"/>
        <v>10759.43</v>
      </c>
      <c r="P187" s="562"/>
      <c r="Q187" s="336"/>
      <c r="R187" s="562"/>
      <c r="S187" s="336"/>
      <c r="T187" s="562"/>
      <c r="U187" s="466"/>
      <c r="V187" s="320"/>
      <c r="W187" s="320"/>
      <c r="X187" s="320"/>
      <c r="Z187" s="336">
        <f t="shared" si="637"/>
        <v>0</v>
      </c>
      <c r="AA187" s="337">
        <f t="shared" si="637"/>
        <v>0</v>
      </c>
      <c r="AB187" s="338">
        <f t="shared" si="163"/>
        <v>0</v>
      </c>
      <c r="AC187" s="336">
        <f t="shared" si="638"/>
        <v>0</v>
      </c>
      <c r="AD187" s="337">
        <f t="shared" si="638"/>
        <v>0</v>
      </c>
      <c r="AE187" s="338">
        <f t="shared" si="164"/>
        <v>0</v>
      </c>
      <c r="AF187" s="336">
        <f t="shared" si="639"/>
        <v>0</v>
      </c>
      <c r="AG187" s="337">
        <f t="shared" si="639"/>
        <v>0</v>
      </c>
      <c r="AH187" s="338">
        <f t="shared" si="165"/>
        <v>0</v>
      </c>
      <c r="AI187" s="336">
        <f t="shared" si="640"/>
        <v>55396.959999999999</v>
      </c>
      <c r="AJ187" s="337">
        <f t="shared" si="640"/>
        <v>0</v>
      </c>
      <c r="AK187" s="338">
        <f t="shared" si="166"/>
        <v>55396.959999999999</v>
      </c>
      <c r="AL187" s="342"/>
      <c r="AM187" s="336">
        <f t="shared" si="641"/>
        <v>0</v>
      </c>
      <c r="AN187" s="339">
        <f t="shared" si="641"/>
        <v>0</v>
      </c>
      <c r="AO187" s="340">
        <f t="shared" si="167"/>
        <v>0</v>
      </c>
      <c r="AP187" s="336">
        <f t="shared" si="642"/>
        <v>0</v>
      </c>
      <c r="AQ187" s="339">
        <f t="shared" si="642"/>
        <v>0</v>
      </c>
      <c r="AR187" s="340">
        <f t="shared" si="168"/>
        <v>0</v>
      </c>
      <c r="AS187" s="341">
        <f t="shared" si="426"/>
        <v>55396.959999999999</v>
      </c>
      <c r="AT187" s="339">
        <f t="shared" si="426"/>
        <v>0</v>
      </c>
      <c r="AU187" s="340">
        <f t="shared" si="169"/>
        <v>55396.959999999999</v>
      </c>
      <c r="AV187" s="1255">
        <f t="shared" si="170"/>
        <v>-53555.13</v>
      </c>
      <c r="AW187" s="343"/>
      <c r="AX187" s="1098"/>
      <c r="AY187" s="345"/>
      <c r="AZ187" s="1098"/>
      <c r="BA187" s="345"/>
      <c r="BB187" s="1120"/>
      <c r="BC187" s="347"/>
      <c r="BD187" s="348"/>
      <c r="BE187" s="349"/>
      <c r="BF187" s="348"/>
      <c r="BG187" s="349"/>
      <c r="BH187" s="350"/>
      <c r="BI187" s="351"/>
      <c r="BJ187" s="352"/>
      <c r="BK187" s="337"/>
      <c r="BL187" s="352"/>
      <c r="BM187" s="337"/>
      <c r="BN187" s="353"/>
      <c r="BO187" s="354"/>
      <c r="BP187" s="355"/>
      <c r="BQ187" s="356">
        <f>58096.96-2700</f>
        <v>55396.959999999999</v>
      </c>
      <c r="BR187" s="355"/>
      <c r="BS187" s="356"/>
      <c r="BT187" s="357"/>
    </row>
    <row r="188" spans="1:72" s="313" customFormat="1" ht="38.25" outlineLevel="2">
      <c r="A188" s="287">
        <v>148</v>
      </c>
      <c r="B188" s="933"/>
      <c r="C188" s="840"/>
      <c r="D188" s="841" t="s">
        <v>274</v>
      </c>
      <c r="E188" s="839"/>
      <c r="F188" s="821" t="s">
        <v>7</v>
      </c>
      <c r="G188" s="314">
        <v>4</v>
      </c>
      <c r="H188" s="739" t="s">
        <v>70</v>
      </c>
      <c r="I188" s="739">
        <v>244</v>
      </c>
      <c r="J188" s="740">
        <v>346</v>
      </c>
      <c r="K188" s="533" t="s">
        <v>1065</v>
      </c>
      <c r="L188" s="1025">
        <v>2700</v>
      </c>
      <c r="M188" s="318"/>
      <c r="N188" s="318"/>
      <c r="O188" s="1052">
        <f t="shared" ref="O188" si="644">L188+N188</f>
        <v>2700</v>
      </c>
      <c r="P188" s="562"/>
      <c r="Q188" s="336"/>
      <c r="R188" s="562"/>
      <c r="S188" s="336"/>
      <c r="T188" s="562"/>
      <c r="U188" s="466"/>
      <c r="V188" s="597" t="s">
        <v>706</v>
      </c>
      <c r="W188" s="597" t="s">
        <v>1066</v>
      </c>
      <c r="X188" s="320"/>
      <c r="Z188" s="336">
        <f t="shared" ref="Z188" si="645">AW188+AY188+BA188</f>
        <v>0</v>
      </c>
      <c r="AA188" s="337">
        <f t="shared" ref="AA188" si="646">AX188+AZ188+BB188</f>
        <v>0</v>
      </c>
      <c r="AB188" s="338">
        <f t="shared" ref="AB188" si="647">Z188-AA188</f>
        <v>0</v>
      </c>
      <c r="AC188" s="336">
        <f t="shared" ref="AC188" si="648">BC188+BE188+BG188</f>
        <v>0</v>
      </c>
      <c r="AD188" s="337">
        <f t="shared" ref="AD188" si="649">BD188+BF188+BH188</f>
        <v>0</v>
      </c>
      <c r="AE188" s="338">
        <f t="shared" ref="AE188" si="650">AC188-AD188</f>
        <v>0</v>
      </c>
      <c r="AF188" s="336">
        <f t="shared" ref="AF188" si="651">BI188+BK188+BM188</f>
        <v>0</v>
      </c>
      <c r="AG188" s="337">
        <f t="shared" ref="AG188" si="652">BJ188+BL188+BN188</f>
        <v>0</v>
      </c>
      <c r="AH188" s="338">
        <f t="shared" ref="AH188" si="653">AF188-AG188</f>
        <v>0</v>
      </c>
      <c r="AI188" s="336">
        <f t="shared" ref="AI188" si="654">BO188+BQ188+BS188</f>
        <v>2700</v>
      </c>
      <c r="AJ188" s="337">
        <f t="shared" ref="AJ188" si="655">BP188+BR188+BT188</f>
        <v>2700</v>
      </c>
      <c r="AK188" s="338">
        <f t="shared" ref="AK188" si="656">AI188-AJ188</f>
        <v>0</v>
      </c>
      <c r="AL188" s="342"/>
      <c r="AM188" s="336">
        <f t="shared" ref="AM188" si="657">Z188+AC188</f>
        <v>0</v>
      </c>
      <c r="AN188" s="339">
        <f t="shared" ref="AN188" si="658">AA188+AD188</f>
        <v>0</v>
      </c>
      <c r="AO188" s="340">
        <f t="shared" ref="AO188" si="659">AM188-AN188</f>
        <v>0</v>
      </c>
      <c r="AP188" s="336">
        <f t="shared" ref="AP188" si="660">Z188+AC188+AF188</f>
        <v>0</v>
      </c>
      <c r="AQ188" s="339">
        <f t="shared" ref="AQ188" si="661">AA188+AD188+AG188</f>
        <v>0</v>
      </c>
      <c r="AR188" s="340">
        <f t="shared" ref="AR188" si="662">AP188-AQ188</f>
        <v>0</v>
      </c>
      <c r="AS188" s="341">
        <f t="shared" ref="AS188" si="663">Z188+AC188+AF188+AI188</f>
        <v>2700</v>
      </c>
      <c r="AT188" s="339">
        <f t="shared" ref="AT188" si="664">AA188+AD188+AG188+AJ188</f>
        <v>2700</v>
      </c>
      <c r="AU188" s="340">
        <f t="shared" ref="AU188" si="665">AS188-AT188</f>
        <v>0</v>
      </c>
      <c r="AV188" s="1255">
        <f t="shared" ref="AV188" si="666">L188-AS188</f>
        <v>0</v>
      </c>
      <c r="AW188" s="343"/>
      <c r="AX188" s="1098"/>
      <c r="AY188" s="345"/>
      <c r="AZ188" s="1098"/>
      <c r="BA188" s="345"/>
      <c r="BB188" s="1120"/>
      <c r="BC188" s="347"/>
      <c r="BD188" s="348"/>
      <c r="BE188" s="349"/>
      <c r="BF188" s="348"/>
      <c r="BG188" s="349"/>
      <c r="BH188" s="350"/>
      <c r="BI188" s="351"/>
      <c r="BJ188" s="352"/>
      <c r="BK188" s="337"/>
      <c r="BL188" s="352"/>
      <c r="BM188" s="337"/>
      <c r="BN188" s="353"/>
      <c r="BO188" s="1138">
        <v>2700</v>
      </c>
      <c r="BP188" s="355">
        <v>2700</v>
      </c>
      <c r="BQ188" s="356"/>
      <c r="BR188" s="355"/>
      <c r="BS188" s="356"/>
      <c r="BT188" s="357"/>
    </row>
    <row r="189" spans="1:72" s="313" customFormat="1" ht="38.25" outlineLevel="2">
      <c r="A189" s="287">
        <v>148</v>
      </c>
      <c r="B189" s="933"/>
      <c r="C189" s="840"/>
      <c r="D189" s="841" t="s">
        <v>274</v>
      </c>
      <c r="E189" s="839"/>
      <c r="F189" s="821" t="s">
        <v>7</v>
      </c>
      <c r="G189" s="314">
        <v>4</v>
      </c>
      <c r="H189" s="739" t="s">
        <v>70</v>
      </c>
      <c r="I189" s="739">
        <v>244</v>
      </c>
      <c r="J189" s="740">
        <v>346</v>
      </c>
      <c r="K189" s="533" t="s">
        <v>1097</v>
      </c>
      <c r="L189" s="1025">
        <v>620</v>
      </c>
      <c r="M189" s="318"/>
      <c r="N189" s="318"/>
      <c r="O189" s="1052">
        <f t="shared" ref="O189" si="667">L189+N189</f>
        <v>620</v>
      </c>
      <c r="P189" s="562"/>
      <c r="Q189" s="336"/>
      <c r="R189" s="562"/>
      <c r="S189" s="336"/>
      <c r="T189" s="562"/>
      <c r="U189" s="466"/>
      <c r="V189" s="597" t="s">
        <v>1095</v>
      </c>
      <c r="W189" s="597" t="s">
        <v>1096</v>
      </c>
      <c r="X189" s="405"/>
      <c r="Z189" s="336">
        <f t="shared" ref="Z189" si="668">AW189+AY189+BA189</f>
        <v>0</v>
      </c>
      <c r="AA189" s="337">
        <f t="shared" ref="AA189" si="669">AX189+AZ189+BB189</f>
        <v>0</v>
      </c>
      <c r="AB189" s="338">
        <f t="shared" ref="AB189" si="670">Z189-AA189</f>
        <v>0</v>
      </c>
      <c r="AC189" s="336">
        <f t="shared" ref="AC189" si="671">BC189+BE189+BG189</f>
        <v>0</v>
      </c>
      <c r="AD189" s="337">
        <f t="shared" ref="AD189" si="672">BD189+BF189+BH189</f>
        <v>0</v>
      </c>
      <c r="AE189" s="338">
        <f t="shared" ref="AE189" si="673">AC189-AD189</f>
        <v>0</v>
      </c>
      <c r="AF189" s="336">
        <f t="shared" ref="AF189" si="674">BI189+BK189+BM189</f>
        <v>0</v>
      </c>
      <c r="AG189" s="337">
        <f t="shared" ref="AG189" si="675">BJ189+BL189+BN189</f>
        <v>0</v>
      </c>
      <c r="AH189" s="338">
        <f t="shared" ref="AH189" si="676">AF189-AG189</f>
        <v>0</v>
      </c>
      <c r="AI189" s="336">
        <f t="shared" ref="AI189" si="677">BO189+BQ189+BS189</f>
        <v>620</v>
      </c>
      <c r="AJ189" s="337">
        <f t="shared" ref="AJ189" si="678">BP189+BR189+BT189</f>
        <v>620</v>
      </c>
      <c r="AK189" s="338">
        <f t="shared" ref="AK189" si="679">AI189-AJ189</f>
        <v>0</v>
      </c>
      <c r="AL189" s="342"/>
      <c r="AM189" s="336">
        <f t="shared" ref="AM189" si="680">Z189+AC189</f>
        <v>0</v>
      </c>
      <c r="AN189" s="339">
        <f t="shared" ref="AN189" si="681">AA189+AD189</f>
        <v>0</v>
      </c>
      <c r="AO189" s="340">
        <f t="shared" ref="AO189" si="682">AM189-AN189</f>
        <v>0</v>
      </c>
      <c r="AP189" s="336">
        <f t="shared" ref="AP189" si="683">Z189+AC189+AF189</f>
        <v>0</v>
      </c>
      <c r="AQ189" s="339">
        <f t="shared" ref="AQ189" si="684">AA189+AD189+AG189</f>
        <v>0</v>
      </c>
      <c r="AR189" s="340">
        <f t="shared" ref="AR189" si="685">AP189-AQ189</f>
        <v>0</v>
      </c>
      <c r="AS189" s="341">
        <f t="shared" ref="AS189" si="686">Z189+AC189+AF189+AI189</f>
        <v>620</v>
      </c>
      <c r="AT189" s="339">
        <f t="shared" ref="AT189" si="687">AA189+AD189+AG189+AJ189</f>
        <v>620</v>
      </c>
      <c r="AU189" s="340">
        <f t="shared" ref="AU189" si="688">AS189-AT189</f>
        <v>0</v>
      </c>
      <c r="AV189" s="1255">
        <f t="shared" ref="AV189" si="689">L189-AS189</f>
        <v>0</v>
      </c>
      <c r="AW189" s="343"/>
      <c r="AX189" s="1098"/>
      <c r="AY189" s="345"/>
      <c r="AZ189" s="1098"/>
      <c r="BA189" s="345"/>
      <c r="BB189" s="1120"/>
      <c r="BC189" s="347"/>
      <c r="BD189" s="348"/>
      <c r="BE189" s="349"/>
      <c r="BF189" s="348"/>
      <c r="BG189" s="349"/>
      <c r="BH189" s="350"/>
      <c r="BI189" s="351"/>
      <c r="BJ189" s="352"/>
      <c r="BK189" s="337"/>
      <c r="BL189" s="352"/>
      <c r="BM189" s="337"/>
      <c r="BN189" s="353"/>
      <c r="BO189" s="1138">
        <v>620</v>
      </c>
      <c r="BP189" s="355">
        <v>620</v>
      </c>
      <c r="BQ189" s="356"/>
      <c r="BR189" s="355"/>
      <c r="BS189" s="356"/>
      <c r="BT189" s="357"/>
    </row>
    <row r="190" spans="1:72" s="313" customFormat="1" ht="43.5" customHeight="1" outlineLevel="2">
      <c r="A190" s="287">
        <v>148</v>
      </c>
      <c r="B190" s="933"/>
      <c r="C190" s="840"/>
      <c r="D190" s="841" t="s">
        <v>274</v>
      </c>
      <c r="E190" s="839"/>
      <c r="F190" s="821" t="s">
        <v>7</v>
      </c>
      <c r="G190" s="314">
        <v>4</v>
      </c>
      <c r="H190" s="739" t="s">
        <v>70</v>
      </c>
      <c r="I190" s="739">
        <v>244</v>
      </c>
      <c r="J190" s="740">
        <v>346</v>
      </c>
      <c r="K190" s="533" t="s">
        <v>1098</v>
      </c>
      <c r="L190" s="1025">
        <v>7599</v>
      </c>
      <c r="M190" s="318"/>
      <c r="N190" s="318"/>
      <c r="O190" s="1052">
        <f t="shared" ref="O190" si="690">L190+N190</f>
        <v>7599</v>
      </c>
      <c r="P190" s="562"/>
      <c r="Q190" s="336"/>
      <c r="R190" s="562"/>
      <c r="S190" s="336"/>
      <c r="T190" s="562"/>
      <c r="U190" s="466"/>
      <c r="V190" s="597" t="s">
        <v>495</v>
      </c>
      <c r="W190" s="811" t="s">
        <v>481</v>
      </c>
      <c r="X190" s="405"/>
      <c r="Z190" s="336">
        <f t="shared" ref="Z190" si="691">AW190+AY190+BA190</f>
        <v>0</v>
      </c>
      <c r="AA190" s="337">
        <f t="shared" ref="AA190" si="692">AX190+AZ190+BB190</f>
        <v>0</v>
      </c>
      <c r="AB190" s="338">
        <f t="shared" ref="AB190" si="693">Z190-AA190</f>
        <v>0</v>
      </c>
      <c r="AC190" s="336">
        <f t="shared" ref="AC190" si="694">BC190+BE190+BG190</f>
        <v>0</v>
      </c>
      <c r="AD190" s="337">
        <f t="shared" ref="AD190" si="695">BD190+BF190+BH190</f>
        <v>0</v>
      </c>
      <c r="AE190" s="338">
        <f t="shared" ref="AE190" si="696">AC190-AD190</f>
        <v>0</v>
      </c>
      <c r="AF190" s="336">
        <f t="shared" ref="AF190" si="697">BI190+BK190+BM190</f>
        <v>0</v>
      </c>
      <c r="AG190" s="337">
        <f t="shared" ref="AG190" si="698">BJ190+BL190+BN190</f>
        <v>0</v>
      </c>
      <c r="AH190" s="338">
        <f t="shared" ref="AH190" si="699">AF190-AG190</f>
        <v>0</v>
      </c>
      <c r="AI190" s="336">
        <f t="shared" ref="AI190" si="700">BO190+BQ190+BS190</f>
        <v>7599</v>
      </c>
      <c r="AJ190" s="337">
        <f t="shared" ref="AJ190" si="701">BP190+BR190+BT190</f>
        <v>7599</v>
      </c>
      <c r="AK190" s="338">
        <f t="shared" ref="AK190" si="702">AI190-AJ190</f>
        <v>0</v>
      </c>
      <c r="AL190" s="342"/>
      <c r="AM190" s="336">
        <f t="shared" ref="AM190" si="703">Z190+AC190</f>
        <v>0</v>
      </c>
      <c r="AN190" s="339">
        <f t="shared" ref="AN190" si="704">AA190+AD190</f>
        <v>0</v>
      </c>
      <c r="AO190" s="340">
        <f t="shared" ref="AO190" si="705">AM190-AN190</f>
        <v>0</v>
      </c>
      <c r="AP190" s="336">
        <f t="shared" ref="AP190" si="706">Z190+AC190+AF190</f>
        <v>0</v>
      </c>
      <c r="AQ190" s="339">
        <f t="shared" ref="AQ190" si="707">AA190+AD190+AG190</f>
        <v>0</v>
      </c>
      <c r="AR190" s="340">
        <f t="shared" ref="AR190" si="708">AP190-AQ190</f>
        <v>0</v>
      </c>
      <c r="AS190" s="341">
        <f t="shared" ref="AS190" si="709">Z190+AC190+AF190+AI190</f>
        <v>7599</v>
      </c>
      <c r="AT190" s="339">
        <f t="shared" ref="AT190" si="710">AA190+AD190+AG190+AJ190</f>
        <v>7599</v>
      </c>
      <c r="AU190" s="340">
        <f t="shared" ref="AU190" si="711">AS190-AT190</f>
        <v>0</v>
      </c>
      <c r="AV190" s="1255">
        <f t="shared" ref="AV190" si="712">L190-AS190</f>
        <v>0</v>
      </c>
      <c r="AW190" s="343"/>
      <c r="AX190" s="1098"/>
      <c r="AY190" s="345"/>
      <c r="AZ190" s="1098"/>
      <c r="BA190" s="345"/>
      <c r="BB190" s="1120"/>
      <c r="BC190" s="347"/>
      <c r="BD190" s="348"/>
      <c r="BE190" s="349"/>
      <c r="BF190" s="348"/>
      <c r="BG190" s="349"/>
      <c r="BH190" s="350"/>
      <c r="BI190" s="351"/>
      <c r="BJ190" s="352"/>
      <c r="BK190" s="337"/>
      <c r="BL190" s="352"/>
      <c r="BM190" s="337"/>
      <c r="BN190" s="353"/>
      <c r="BO190" s="1138">
        <v>7599</v>
      </c>
      <c r="BP190" s="355">
        <v>7599</v>
      </c>
      <c r="BQ190" s="356"/>
      <c r="BR190" s="355"/>
      <c r="BS190" s="356"/>
      <c r="BT190" s="357"/>
    </row>
    <row r="191" spans="1:72" s="313" customFormat="1" ht="38.25" outlineLevel="2">
      <c r="A191" s="287">
        <v>148</v>
      </c>
      <c r="B191" s="933"/>
      <c r="C191" s="840"/>
      <c r="D191" s="841" t="s">
        <v>274</v>
      </c>
      <c r="E191" s="839"/>
      <c r="F191" s="821" t="s">
        <v>7</v>
      </c>
      <c r="G191" s="314">
        <v>4</v>
      </c>
      <c r="H191" s="739" t="s">
        <v>70</v>
      </c>
      <c r="I191" s="739">
        <v>244</v>
      </c>
      <c r="J191" s="740">
        <v>346</v>
      </c>
      <c r="K191" s="533" t="s">
        <v>1099</v>
      </c>
      <c r="L191" s="1025">
        <v>3429.93</v>
      </c>
      <c r="M191" s="318"/>
      <c r="N191" s="318"/>
      <c r="O191" s="1052">
        <f t="shared" ref="O191" si="713">L191+N191</f>
        <v>3429.93</v>
      </c>
      <c r="P191" s="562"/>
      <c r="Q191" s="336"/>
      <c r="R191" s="562"/>
      <c r="S191" s="336"/>
      <c r="T191" s="562"/>
      <c r="U191" s="466"/>
      <c r="V191" s="597" t="s">
        <v>730</v>
      </c>
      <c r="W191" s="811" t="s">
        <v>481</v>
      </c>
      <c r="X191" s="405"/>
      <c r="Z191" s="336">
        <f t="shared" ref="Z191" si="714">AW191+AY191+BA191</f>
        <v>0</v>
      </c>
      <c r="AA191" s="337">
        <f t="shared" ref="AA191" si="715">AX191+AZ191+BB191</f>
        <v>0</v>
      </c>
      <c r="AB191" s="338">
        <f t="shared" ref="AB191" si="716">Z191-AA191</f>
        <v>0</v>
      </c>
      <c r="AC191" s="336">
        <f t="shared" ref="AC191" si="717">BC191+BE191+BG191</f>
        <v>0</v>
      </c>
      <c r="AD191" s="337">
        <f t="shared" ref="AD191" si="718">BD191+BF191+BH191</f>
        <v>0</v>
      </c>
      <c r="AE191" s="338">
        <f t="shared" ref="AE191" si="719">AC191-AD191</f>
        <v>0</v>
      </c>
      <c r="AF191" s="336">
        <f t="shared" ref="AF191" si="720">BI191+BK191+BM191</f>
        <v>0</v>
      </c>
      <c r="AG191" s="337">
        <f t="shared" ref="AG191" si="721">BJ191+BL191+BN191</f>
        <v>0</v>
      </c>
      <c r="AH191" s="338">
        <f t="shared" ref="AH191" si="722">AF191-AG191</f>
        <v>0</v>
      </c>
      <c r="AI191" s="336">
        <f t="shared" ref="AI191" si="723">BO191+BQ191+BS191</f>
        <v>3429.93</v>
      </c>
      <c r="AJ191" s="337">
        <f t="shared" ref="AJ191" si="724">BP191+BR191+BT191</f>
        <v>3429.93</v>
      </c>
      <c r="AK191" s="338">
        <f t="shared" ref="AK191" si="725">AI191-AJ191</f>
        <v>0</v>
      </c>
      <c r="AL191" s="342"/>
      <c r="AM191" s="336">
        <f t="shared" ref="AM191" si="726">Z191+AC191</f>
        <v>0</v>
      </c>
      <c r="AN191" s="339">
        <f t="shared" ref="AN191" si="727">AA191+AD191</f>
        <v>0</v>
      </c>
      <c r="AO191" s="340">
        <f t="shared" ref="AO191" si="728">AM191-AN191</f>
        <v>0</v>
      </c>
      <c r="AP191" s="336">
        <f t="shared" ref="AP191" si="729">Z191+AC191+AF191</f>
        <v>0</v>
      </c>
      <c r="AQ191" s="339">
        <f t="shared" ref="AQ191" si="730">AA191+AD191+AG191</f>
        <v>0</v>
      </c>
      <c r="AR191" s="340">
        <f t="shared" ref="AR191" si="731">AP191-AQ191</f>
        <v>0</v>
      </c>
      <c r="AS191" s="341">
        <f t="shared" ref="AS191" si="732">Z191+AC191+AF191+AI191</f>
        <v>3429.93</v>
      </c>
      <c r="AT191" s="339">
        <f t="shared" ref="AT191" si="733">AA191+AD191+AG191+AJ191</f>
        <v>3429.93</v>
      </c>
      <c r="AU191" s="340">
        <f t="shared" ref="AU191" si="734">AS191-AT191</f>
        <v>0</v>
      </c>
      <c r="AV191" s="1255">
        <f t="shared" ref="AV191" si="735">L191-AS191</f>
        <v>0</v>
      </c>
      <c r="AW191" s="343"/>
      <c r="AX191" s="1098"/>
      <c r="AY191" s="345"/>
      <c r="AZ191" s="1098"/>
      <c r="BA191" s="345"/>
      <c r="BB191" s="1120"/>
      <c r="BC191" s="347"/>
      <c r="BD191" s="348"/>
      <c r="BE191" s="349"/>
      <c r="BF191" s="348"/>
      <c r="BG191" s="349"/>
      <c r="BH191" s="350"/>
      <c r="BI191" s="351"/>
      <c r="BJ191" s="352"/>
      <c r="BK191" s="337"/>
      <c r="BL191" s="352"/>
      <c r="BM191" s="337"/>
      <c r="BN191" s="353"/>
      <c r="BO191" s="1138">
        <v>3429.93</v>
      </c>
      <c r="BP191" s="355">
        <v>3429.93</v>
      </c>
      <c r="BQ191" s="356"/>
      <c r="BR191" s="355"/>
      <c r="BS191" s="356"/>
      <c r="BT191" s="357"/>
    </row>
    <row r="192" spans="1:72" s="313" customFormat="1" ht="51" outlineLevel="2">
      <c r="A192" s="287">
        <v>148</v>
      </c>
      <c r="B192" s="933"/>
      <c r="C192" s="840"/>
      <c r="D192" s="841" t="s">
        <v>274</v>
      </c>
      <c r="E192" s="839"/>
      <c r="F192" s="821" t="s">
        <v>7</v>
      </c>
      <c r="G192" s="314">
        <v>4</v>
      </c>
      <c r="H192" s="739" t="s">
        <v>70</v>
      </c>
      <c r="I192" s="739">
        <v>244</v>
      </c>
      <c r="J192" s="740">
        <v>346</v>
      </c>
      <c r="K192" s="533" t="s">
        <v>1100</v>
      </c>
      <c r="L192" s="1025">
        <v>30251.200000000001</v>
      </c>
      <c r="M192" s="318"/>
      <c r="N192" s="318"/>
      <c r="O192" s="1052">
        <f t="shared" ref="O192" si="736">L192+N192</f>
        <v>30251.200000000001</v>
      </c>
      <c r="P192" s="562"/>
      <c r="Q192" s="336"/>
      <c r="R192" s="562"/>
      <c r="S192" s="336"/>
      <c r="T192" s="562"/>
      <c r="U192" s="466"/>
      <c r="V192" s="597" t="s">
        <v>555</v>
      </c>
      <c r="W192" s="811" t="s">
        <v>481</v>
      </c>
      <c r="X192" s="405"/>
      <c r="Z192" s="336">
        <f t="shared" ref="Z192" si="737">AW192+AY192+BA192</f>
        <v>0</v>
      </c>
      <c r="AA192" s="337">
        <f t="shared" ref="AA192" si="738">AX192+AZ192+BB192</f>
        <v>0</v>
      </c>
      <c r="AB192" s="338">
        <f t="shared" ref="AB192" si="739">Z192-AA192</f>
        <v>0</v>
      </c>
      <c r="AC192" s="336">
        <f t="shared" ref="AC192" si="740">BC192+BE192+BG192</f>
        <v>0</v>
      </c>
      <c r="AD192" s="337">
        <f t="shared" ref="AD192" si="741">BD192+BF192+BH192</f>
        <v>0</v>
      </c>
      <c r="AE192" s="338">
        <f t="shared" ref="AE192" si="742">AC192-AD192</f>
        <v>0</v>
      </c>
      <c r="AF192" s="336">
        <f t="shared" ref="AF192" si="743">BI192+BK192+BM192</f>
        <v>0</v>
      </c>
      <c r="AG192" s="337">
        <f t="shared" ref="AG192" si="744">BJ192+BL192+BN192</f>
        <v>0</v>
      </c>
      <c r="AH192" s="338">
        <f t="shared" ref="AH192" si="745">AF192-AG192</f>
        <v>0</v>
      </c>
      <c r="AI192" s="336">
        <f t="shared" ref="AI192" si="746">BO192+BQ192+BS192</f>
        <v>30251.200000000001</v>
      </c>
      <c r="AJ192" s="337">
        <f t="shared" ref="AJ192" si="747">BP192+BR192+BT192</f>
        <v>30251.200000000001</v>
      </c>
      <c r="AK192" s="338">
        <f t="shared" ref="AK192" si="748">AI192-AJ192</f>
        <v>0</v>
      </c>
      <c r="AL192" s="342"/>
      <c r="AM192" s="336">
        <f t="shared" ref="AM192" si="749">Z192+AC192</f>
        <v>0</v>
      </c>
      <c r="AN192" s="339">
        <f t="shared" ref="AN192" si="750">AA192+AD192</f>
        <v>0</v>
      </c>
      <c r="AO192" s="340">
        <f t="shared" ref="AO192" si="751">AM192-AN192</f>
        <v>0</v>
      </c>
      <c r="AP192" s="336">
        <f t="shared" ref="AP192" si="752">Z192+AC192+AF192</f>
        <v>0</v>
      </c>
      <c r="AQ192" s="339">
        <f t="shared" ref="AQ192" si="753">AA192+AD192+AG192</f>
        <v>0</v>
      </c>
      <c r="AR192" s="340">
        <f t="shared" ref="AR192" si="754">AP192-AQ192</f>
        <v>0</v>
      </c>
      <c r="AS192" s="341">
        <f t="shared" ref="AS192" si="755">Z192+AC192+AF192+AI192</f>
        <v>30251.200000000001</v>
      </c>
      <c r="AT192" s="339">
        <f t="shared" ref="AT192" si="756">AA192+AD192+AG192+AJ192</f>
        <v>30251.200000000001</v>
      </c>
      <c r="AU192" s="340">
        <f t="shared" ref="AU192" si="757">AS192-AT192</f>
        <v>0</v>
      </c>
      <c r="AV192" s="1255">
        <f t="shared" ref="AV192" si="758">L192-AS192</f>
        <v>0</v>
      </c>
      <c r="AW192" s="343"/>
      <c r="AX192" s="1098"/>
      <c r="AY192" s="345"/>
      <c r="AZ192" s="1098"/>
      <c r="BA192" s="345"/>
      <c r="BB192" s="1120"/>
      <c r="BC192" s="347"/>
      <c r="BD192" s="348"/>
      <c r="BE192" s="349"/>
      <c r="BF192" s="348"/>
      <c r="BG192" s="349"/>
      <c r="BH192" s="350"/>
      <c r="BI192" s="351"/>
      <c r="BJ192" s="352"/>
      <c r="BK192" s="337"/>
      <c r="BL192" s="352"/>
      <c r="BM192" s="337"/>
      <c r="BN192" s="353"/>
      <c r="BO192" s="1138">
        <v>30251.200000000001</v>
      </c>
      <c r="BP192" s="355">
        <v>30251.200000000001</v>
      </c>
      <c r="BQ192" s="356"/>
      <c r="BR192" s="355"/>
      <c r="BS192" s="356"/>
      <c r="BT192" s="357"/>
    </row>
    <row r="193" spans="1:72" s="313" customFormat="1" ht="25.5" outlineLevel="2">
      <c r="A193" s="287">
        <v>148</v>
      </c>
      <c r="B193" s="933"/>
      <c r="C193" s="840"/>
      <c r="D193" s="841" t="s">
        <v>274</v>
      </c>
      <c r="E193" s="839"/>
      <c r="F193" s="821" t="s">
        <v>7</v>
      </c>
      <c r="G193" s="314">
        <v>4</v>
      </c>
      <c r="H193" s="739" t="s">
        <v>70</v>
      </c>
      <c r="I193" s="739">
        <v>244</v>
      </c>
      <c r="J193" s="740">
        <v>346</v>
      </c>
      <c r="K193" s="533" t="s">
        <v>1114</v>
      </c>
      <c r="L193" s="1025">
        <v>11655</v>
      </c>
      <c r="M193" s="318"/>
      <c r="N193" s="318"/>
      <c r="O193" s="1052">
        <f t="shared" ref="O193" si="759">L193+N193</f>
        <v>11655</v>
      </c>
      <c r="P193" s="562"/>
      <c r="Q193" s="336"/>
      <c r="R193" s="562"/>
      <c r="S193" s="336"/>
      <c r="T193" s="562"/>
      <c r="U193" s="466"/>
      <c r="V193" s="597" t="s">
        <v>1115</v>
      </c>
      <c r="W193" s="811" t="s">
        <v>481</v>
      </c>
      <c r="X193" s="405"/>
      <c r="Z193" s="336">
        <f t="shared" ref="Z193" si="760">AW193+AY193+BA193</f>
        <v>0</v>
      </c>
      <c r="AA193" s="337">
        <f t="shared" ref="AA193" si="761">AX193+AZ193+BB193</f>
        <v>0</v>
      </c>
      <c r="AB193" s="338">
        <f t="shared" ref="AB193" si="762">Z193-AA193</f>
        <v>0</v>
      </c>
      <c r="AC193" s="336">
        <f t="shared" ref="AC193" si="763">BC193+BE193+BG193</f>
        <v>0</v>
      </c>
      <c r="AD193" s="337">
        <f t="shared" ref="AD193" si="764">BD193+BF193+BH193</f>
        <v>0</v>
      </c>
      <c r="AE193" s="338">
        <f t="shared" ref="AE193" si="765">AC193-AD193</f>
        <v>0</v>
      </c>
      <c r="AF193" s="336">
        <f t="shared" ref="AF193" si="766">BI193+BK193+BM193</f>
        <v>0</v>
      </c>
      <c r="AG193" s="337">
        <f t="shared" ref="AG193" si="767">BJ193+BL193+BN193</f>
        <v>0</v>
      </c>
      <c r="AH193" s="338">
        <f t="shared" ref="AH193" si="768">AF193-AG193</f>
        <v>0</v>
      </c>
      <c r="AI193" s="336">
        <f t="shared" ref="AI193" si="769">BO193+BQ193+BS193</f>
        <v>11655</v>
      </c>
      <c r="AJ193" s="337">
        <f t="shared" ref="AJ193" si="770">BP193+BR193+BT193</f>
        <v>11655</v>
      </c>
      <c r="AK193" s="338">
        <f t="shared" ref="AK193" si="771">AI193-AJ193</f>
        <v>0</v>
      </c>
      <c r="AL193" s="342"/>
      <c r="AM193" s="336">
        <f t="shared" ref="AM193" si="772">Z193+AC193</f>
        <v>0</v>
      </c>
      <c r="AN193" s="339">
        <f t="shared" ref="AN193" si="773">AA193+AD193</f>
        <v>0</v>
      </c>
      <c r="AO193" s="340">
        <f t="shared" ref="AO193" si="774">AM193-AN193</f>
        <v>0</v>
      </c>
      <c r="AP193" s="336">
        <f t="shared" ref="AP193" si="775">Z193+AC193+AF193</f>
        <v>0</v>
      </c>
      <c r="AQ193" s="339">
        <f t="shared" ref="AQ193" si="776">AA193+AD193+AG193</f>
        <v>0</v>
      </c>
      <c r="AR193" s="340">
        <f t="shared" ref="AR193" si="777">AP193-AQ193</f>
        <v>0</v>
      </c>
      <c r="AS193" s="341">
        <f t="shared" ref="AS193" si="778">Z193+AC193+AF193+AI193</f>
        <v>11655</v>
      </c>
      <c r="AT193" s="339">
        <f t="shared" ref="AT193" si="779">AA193+AD193+AG193+AJ193</f>
        <v>11655</v>
      </c>
      <c r="AU193" s="340">
        <f t="shared" ref="AU193" si="780">AS193-AT193</f>
        <v>0</v>
      </c>
      <c r="AV193" s="1255">
        <f t="shared" ref="AV193" si="781">L193-AS193</f>
        <v>0</v>
      </c>
      <c r="AW193" s="343"/>
      <c r="AX193" s="1098"/>
      <c r="AY193" s="345"/>
      <c r="AZ193" s="1098"/>
      <c r="BA193" s="345"/>
      <c r="BB193" s="1120"/>
      <c r="BC193" s="347"/>
      <c r="BD193" s="348"/>
      <c r="BE193" s="349"/>
      <c r="BF193" s="348"/>
      <c r="BG193" s="349"/>
      <c r="BH193" s="350"/>
      <c r="BI193" s="351"/>
      <c r="BJ193" s="352"/>
      <c r="BK193" s="337"/>
      <c r="BL193" s="352"/>
      <c r="BM193" s="337"/>
      <c r="BN193" s="353"/>
      <c r="BO193" s="1138">
        <v>11655</v>
      </c>
      <c r="BP193" s="355">
        <v>11655</v>
      </c>
      <c r="BQ193" s="356"/>
      <c r="BR193" s="355"/>
      <c r="BS193" s="356"/>
      <c r="BT193" s="357"/>
    </row>
    <row r="194" spans="1:72" s="430" customFormat="1" ht="25.5" customHeight="1" outlineLevel="2">
      <c r="A194" s="287">
        <v>149</v>
      </c>
      <c r="B194" s="933"/>
      <c r="C194" s="743"/>
      <c r="D194" s="856" t="s">
        <v>274</v>
      </c>
      <c r="E194" s="857"/>
      <c r="F194" s="827" t="s">
        <v>7</v>
      </c>
      <c r="G194" s="431">
        <v>4</v>
      </c>
      <c r="H194" s="474" t="s">
        <v>70</v>
      </c>
      <c r="I194" s="743">
        <v>244</v>
      </c>
      <c r="J194" s="744">
        <v>346</v>
      </c>
      <c r="K194" s="536" t="s">
        <v>284</v>
      </c>
      <c r="L194" s="1030"/>
      <c r="M194" s="434"/>
      <c r="N194" s="434"/>
      <c r="O194" s="1064">
        <f t="shared" si="172"/>
        <v>0</v>
      </c>
      <c r="P194" s="563"/>
      <c r="Q194" s="437"/>
      <c r="R194" s="563"/>
      <c r="S194" s="437"/>
      <c r="T194" s="563"/>
      <c r="U194" s="467"/>
      <c r="V194" s="436"/>
      <c r="W194" s="436"/>
      <c r="X194" s="436"/>
      <c r="Z194" s="437">
        <f t="shared" si="637"/>
        <v>0</v>
      </c>
      <c r="AA194" s="438">
        <f t="shared" si="637"/>
        <v>0</v>
      </c>
      <c r="AB194" s="439">
        <f t="shared" si="163"/>
        <v>0</v>
      </c>
      <c r="AC194" s="437">
        <f t="shared" si="638"/>
        <v>0</v>
      </c>
      <c r="AD194" s="438">
        <f t="shared" si="638"/>
        <v>0</v>
      </c>
      <c r="AE194" s="439">
        <f t="shared" si="164"/>
        <v>0</v>
      </c>
      <c r="AF194" s="437">
        <f t="shared" si="639"/>
        <v>0</v>
      </c>
      <c r="AG194" s="438">
        <f t="shared" si="639"/>
        <v>0</v>
      </c>
      <c r="AH194" s="439">
        <f t="shared" si="165"/>
        <v>0</v>
      </c>
      <c r="AI194" s="437">
        <f t="shared" si="640"/>
        <v>0</v>
      </c>
      <c r="AJ194" s="438">
        <f t="shared" si="640"/>
        <v>0</v>
      </c>
      <c r="AK194" s="439">
        <f t="shared" si="166"/>
        <v>0</v>
      </c>
      <c r="AL194" s="440"/>
      <c r="AM194" s="437">
        <f t="shared" si="641"/>
        <v>0</v>
      </c>
      <c r="AN194" s="441">
        <f t="shared" si="641"/>
        <v>0</v>
      </c>
      <c r="AO194" s="442">
        <f t="shared" si="167"/>
        <v>0</v>
      </c>
      <c r="AP194" s="437">
        <f t="shared" si="642"/>
        <v>0</v>
      </c>
      <c r="AQ194" s="441">
        <f t="shared" si="642"/>
        <v>0</v>
      </c>
      <c r="AR194" s="442">
        <f t="shared" si="168"/>
        <v>0</v>
      </c>
      <c r="AS194" s="443">
        <f t="shared" si="426"/>
        <v>0</v>
      </c>
      <c r="AT194" s="441">
        <f t="shared" si="426"/>
        <v>0</v>
      </c>
      <c r="AU194" s="442">
        <f t="shared" si="169"/>
        <v>0</v>
      </c>
      <c r="AV194" s="440">
        <f t="shared" si="170"/>
        <v>0</v>
      </c>
      <c r="AW194" s="444"/>
      <c r="AX194" s="1111"/>
      <c r="AY194" s="446"/>
      <c r="AZ194" s="1111"/>
      <c r="BA194" s="446"/>
      <c r="BB194" s="1129"/>
      <c r="BC194" s="448"/>
      <c r="BD194" s="449"/>
      <c r="BE194" s="450"/>
      <c r="BF194" s="449"/>
      <c r="BG194" s="450"/>
      <c r="BH194" s="451"/>
      <c r="BI194" s="452"/>
      <c r="BJ194" s="453"/>
      <c r="BK194" s="438"/>
      <c r="BL194" s="453"/>
      <c r="BM194" s="438"/>
      <c r="BN194" s="454"/>
      <c r="BO194" s="455"/>
      <c r="BP194" s="456"/>
      <c r="BQ194" s="457"/>
      <c r="BR194" s="456"/>
      <c r="BS194" s="457"/>
      <c r="BT194" s="458"/>
    </row>
    <row r="195" spans="1:72" s="468" customFormat="1" ht="72.75" customHeight="1" outlineLevel="1">
      <c r="A195" s="287">
        <v>150</v>
      </c>
      <c r="B195" s="933"/>
      <c r="C195" s="850" t="s">
        <v>378</v>
      </c>
      <c r="D195" s="854" t="s">
        <v>277</v>
      </c>
      <c r="E195" s="858"/>
      <c r="F195" s="828" t="s">
        <v>7</v>
      </c>
      <c r="G195" s="469">
        <v>4</v>
      </c>
      <c r="H195" s="745" t="s">
        <v>70</v>
      </c>
      <c r="I195" s="745">
        <v>244</v>
      </c>
      <c r="J195" s="746">
        <v>346</v>
      </c>
      <c r="K195" s="537" t="s">
        <v>282</v>
      </c>
      <c r="L195" s="1032">
        <v>34083.300000000003</v>
      </c>
      <c r="M195" s="422"/>
      <c r="N195" s="352">
        <f>SUM(N196:N197)</f>
        <v>0</v>
      </c>
      <c r="O195" s="1065">
        <f t="shared" si="172"/>
        <v>34083.300000000003</v>
      </c>
      <c r="P195" s="564"/>
      <c r="Q195" s="472"/>
      <c r="R195" s="564"/>
      <c r="S195" s="472"/>
      <c r="T195" s="564"/>
      <c r="U195" s="393"/>
      <c r="V195" s="394"/>
      <c r="W195" s="394"/>
      <c r="X195" s="394"/>
      <c r="Y195" s="392"/>
      <c r="Z195" s="395">
        <f t="shared" si="637"/>
        <v>0</v>
      </c>
      <c r="AA195" s="396">
        <f t="shared" si="637"/>
        <v>0</v>
      </c>
      <c r="AB195" s="397">
        <f t="shared" si="163"/>
        <v>0</v>
      </c>
      <c r="AC195" s="395">
        <f t="shared" si="638"/>
        <v>0</v>
      </c>
      <c r="AD195" s="396">
        <f t="shared" si="638"/>
        <v>0</v>
      </c>
      <c r="AE195" s="397">
        <f t="shared" si="164"/>
        <v>0</v>
      </c>
      <c r="AF195" s="395">
        <f t="shared" si="639"/>
        <v>0</v>
      </c>
      <c r="AG195" s="396">
        <f t="shared" si="639"/>
        <v>0</v>
      </c>
      <c r="AH195" s="397">
        <f t="shared" si="165"/>
        <v>0</v>
      </c>
      <c r="AI195" s="395">
        <f t="shared" si="640"/>
        <v>34083.300000000003</v>
      </c>
      <c r="AJ195" s="396">
        <f t="shared" si="640"/>
        <v>0</v>
      </c>
      <c r="AK195" s="397">
        <f t="shared" si="166"/>
        <v>34083.300000000003</v>
      </c>
      <c r="AL195" s="398"/>
      <c r="AM195" s="472">
        <f t="shared" si="641"/>
        <v>0</v>
      </c>
      <c r="AN195" s="422">
        <f t="shared" si="641"/>
        <v>0</v>
      </c>
      <c r="AO195" s="473">
        <f t="shared" si="167"/>
        <v>0</v>
      </c>
      <c r="AP195" s="472">
        <f t="shared" si="642"/>
        <v>0</v>
      </c>
      <c r="AQ195" s="422">
        <f t="shared" si="642"/>
        <v>0</v>
      </c>
      <c r="AR195" s="473">
        <f t="shared" si="168"/>
        <v>0</v>
      </c>
      <c r="AS195" s="472">
        <f t="shared" si="426"/>
        <v>34083.300000000003</v>
      </c>
      <c r="AT195" s="422">
        <f t="shared" si="426"/>
        <v>0</v>
      </c>
      <c r="AU195" s="473">
        <f t="shared" si="169"/>
        <v>34083.300000000003</v>
      </c>
      <c r="AV195" s="1263">
        <f t="shared" si="170"/>
        <v>0</v>
      </c>
      <c r="AW195" s="472">
        <f t="shared" ref="AW195:BT195" si="782">SUM(AW196:AW197)</f>
        <v>0</v>
      </c>
      <c r="AX195" s="1110">
        <f t="shared" si="782"/>
        <v>0</v>
      </c>
      <c r="AY195" s="422">
        <f t="shared" si="782"/>
        <v>0</v>
      </c>
      <c r="AZ195" s="1110">
        <f t="shared" si="782"/>
        <v>0</v>
      </c>
      <c r="BA195" s="422">
        <f t="shared" si="782"/>
        <v>0</v>
      </c>
      <c r="BB195" s="1128">
        <f t="shared" si="782"/>
        <v>0</v>
      </c>
      <c r="BC195" s="472">
        <f t="shared" si="782"/>
        <v>0</v>
      </c>
      <c r="BD195" s="422">
        <f t="shared" si="782"/>
        <v>0</v>
      </c>
      <c r="BE195" s="422">
        <f t="shared" si="782"/>
        <v>0</v>
      </c>
      <c r="BF195" s="422">
        <f t="shared" si="782"/>
        <v>0</v>
      </c>
      <c r="BG195" s="422">
        <f t="shared" si="782"/>
        <v>0</v>
      </c>
      <c r="BH195" s="423">
        <f t="shared" si="782"/>
        <v>0</v>
      </c>
      <c r="BI195" s="472">
        <f t="shared" si="782"/>
        <v>0</v>
      </c>
      <c r="BJ195" s="422">
        <f t="shared" si="782"/>
        <v>0</v>
      </c>
      <c r="BK195" s="422">
        <f t="shared" si="782"/>
        <v>0</v>
      </c>
      <c r="BL195" s="422">
        <f t="shared" si="782"/>
        <v>0</v>
      </c>
      <c r="BM195" s="422">
        <f t="shared" si="782"/>
        <v>0</v>
      </c>
      <c r="BN195" s="423">
        <f t="shared" si="782"/>
        <v>0</v>
      </c>
      <c r="BO195" s="472">
        <f t="shared" si="782"/>
        <v>0</v>
      </c>
      <c r="BP195" s="422">
        <f t="shared" si="782"/>
        <v>0</v>
      </c>
      <c r="BQ195" s="422">
        <f t="shared" si="782"/>
        <v>0</v>
      </c>
      <c r="BR195" s="422">
        <f t="shared" si="782"/>
        <v>0</v>
      </c>
      <c r="BS195" s="422">
        <f t="shared" si="782"/>
        <v>34083.300000000003</v>
      </c>
      <c r="BT195" s="473">
        <f t="shared" si="782"/>
        <v>0</v>
      </c>
    </row>
    <row r="196" spans="1:72" s="399" customFormat="1" ht="25.5" customHeight="1" outlineLevel="2">
      <c r="A196" s="287">
        <v>151</v>
      </c>
      <c r="B196" s="933"/>
      <c r="C196" s="859"/>
      <c r="D196" s="841" t="s">
        <v>277</v>
      </c>
      <c r="E196" s="860"/>
      <c r="F196" s="829" t="s">
        <v>7</v>
      </c>
      <c r="G196" s="400">
        <v>4</v>
      </c>
      <c r="H196" s="747" t="s">
        <v>70</v>
      </c>
      <c r="I196" s="747">
        <v>244</v>
      </c>
      <c r="J196" s="748">
        <v>346</v>
      </c>
      <c r="K196" s="538" t="s">
        <v>301</v>
      </c>
      <c r="L196" s="1031">
        <v>34083.300000000003</v>
      </c>
      <c r="M196" s="403"/>
      <c r="N196" s="403"/>
      <c r="O196" s="1063">
        <f t="shared" si="172"/>
        <v>34083.300000000003</v>
      </c>
      <c r="P196" s="566"/>
      <c r="Q196" s="406"/>
      <c r="R196" s="566"/>
      <c r="S196" s="406"/>
      <c r="T196" s="566"/>
      <c r="U196" s="404"/>
      <c r="V196" s="405"/>
      <c r="W196" s="405"/>
      <c r="X196" s="405"/>
      <c r="Z196" s="406">
        <f t="shared" si="637"/>
        <v>0</v>
      </c>
      <c r="AA196" s="407">
        <f t="shared" si="637"/>
        <v>0</v>
      </c>
      <c r="AB196" s="408">
        <f t="shared" si="163"/>
        <v>0</v>
      </c>
      <c r="AC196" s="406">
        <f t="shared" si="638"/>
        <v>0</v>
      </c>
      <c r="AD196" s="407">
        <f t="shared" si="638"/>
        <v>0</v>
      </c>
      <c r="AE196" s="408">
        <f t="shared" si="164"/>
        <v>0</v>
      </c>
      <c r="AF196" s="406">
        <f t="shared" si="639"/>
        <v>0</v>
      </c>
      <c r="AG196" s="407">
        <f t="shared" si="639"/>
        <v>0</v>
      </c>
      <c r="AH196" s="408">
        <f t="shared" si="165"/>
        <v>0</v>
      </c>
      <c r="AI196" s="406">
        <f t="shared" si="640"/>
        <v>34083.300000000003</v>
      </c>
      <c r="AJ196" s="407">
        <f t="shared" si="640"/>
        <v>0</v>
      </c>
      <c r="AK196" s="408">
        <f t="shared" si="166"/>
        <v>34083.300000000003</v>
      </c>
      <c r="AL196" s="409"/>
      <c r="AM196" s="406">
        <f t="shared" si="641"/>
        <v>0</v>
      </c>
      <c r="AN196" s="410">
        <f t="shared" si="641"/>
        <v>0</v>
      </c>
      <c r="AO196" s="411">
        <f t="shared" si="167"/>
        <v>0</v>
      </c>
      <c r="AP196" s="406">
        <f t="shared" si="642"/>
        <v>0</v>
      </c>
      <c r="AQ196" s="410">
        <f t="shared" si="642"/>
        <v>0</v>
      </c>
      <c r="AR196" s="411">
        <f t="shared" si="168"/>
        <v>0</v>
      </c>
      <c r="AS196" s="412">
        <f t="shared" si="426"/>
        <v>34083.300000000003</v>
      </c>
      <c r="AT196" s="410">
        <f t="shared" si="426"/>
        <v>0</v>
      </c>
      <c r="AU196" s="411">
        <f t="shared" si="169"/>
        <v>34083.300000000003</v>
      </c>
      <c r="AV196" s="1262">
        <f t="shared" si="170"/>
        <v>0</v>
      </c>
      <c r="AW196" s="413"/>
      <c r="AX196" s="1098"/>
      <c r="AY196" s="415"/>
      <c r="AZ196" s="1098"/>
      <c r="BA196" s="415"/>
      <c r="BB196" s="1120"/>
      <c r="BC196" s="417"/>
      <c r="BD196" s="418"/>
      <c r="BE196" s="419"/>
      <c r="BF196" s="418"/>
      <c r="BG196" s="419"/>
      <c r="BH196" s="420"/>
      <c r="BI196" s="421"/>
      <c r="BJ196" s="422"/>
      <c r="BK196" s="407"/>
      <c r="BL196" s="422"/>
      <c r="BM196" s="407"/>
      <c r="BN196" s="423"/>
      <c r="BO196" s="424"/>
      <c r="BP196" s="425"/>
      <c r="BQ196" s="426"/>
      <c r="BR196" s="425"/>
      <c r="BS196" s="426">
        <v>34083.300000000003</v>
      </c>
      <c r="BT196" s="427"/>
    </row>
    <row r="197" spans="1:72" s="430" customFormat="1" ht="25.5" customHeight="1" outlineLevel="2">
      <c r="A197" s="287">
        <v>152</v>
      </c>
      <c r="B197" s="933"/>
      <c r="C197" s="743"/>
      <c r="D197" s="856" t="s">
        <v>277</v>
      </c>
      <c r="E197" s="857"/>
      <c r="F197" s="827" t="s">
        <v>7</v>
      </c>
      <c r="G197" s="431">
        <v>4</v>
      </c>
      <c r="H197" s="474" t="s">
        <v>70</v>
      </c>
      <c r="I197" s="743">
        <v>244</v>
      </c>
      <c r="J197" s="744">
        <v>346</v>
      </c>
      <c r="K197" s="536" t="s">
        <v>284</v>
      </c>
      <c r="L197" s="1030"/>
      <c r="M197" s="434"/>
      <c r="N197" s="434"/>
      <c r="O197" s="1064">
        <f t="shared" si="172"/>
        <v>0</v>
      </c>
      <c r="P197" s="567"/>
      <c r="Q197" s="437"/>
      <c r="R197" s="567"/>
      <c r="S197" s="437"/>
      <c r="T197" s="567"/>
      <c r="U197" s="435"/>
      <c r="V197" s="436"/>
      <c r="W197" s="436"/>
      <c r="X197" s="436"/>
      <c r="Z197" s="437">
        <f t="shared" si="637"/>
        <v>0</v>
      </c>
      <c r="AA197" s="438">
        <f t="shared" si="637"/>
        <v>0</v>
      </c>
      <c r="AB197" s="439">
        <f t="shared" si="163"/>
        <v>0</v>
      </c>
      <c r="AC197" s="437">
        <f t="shared" si="638"/>
        <v>0</v>
      </c>
      <c r="AD197" s="438">
        <f t="shared" si="638"/>
        <v>0</v>
      </c>
      <c r="AE197" s="439">
        <f t="shared" si="164"/>
        <v>0</v>
      </c>
      <c r="AF197" s="437">
        <f t="shared" si="639"/>
        <v>0</v>
      </c>
      <c r="AG197" s="438">
        <f t="shared" si="639"/>
        <v>0</v>
      </c>
      <c r="AH197" s="439">
        <f t="shared" si="165"/>
        <v>0</v>
      </c>
      <c r="AI197" s="437">
        <f t="shared" si="640"/>
        <v>0</v>
      </c>
      <c r="AJ197" s="438">
        <f t="shared" si="640"/>
        <v>0</v>
      </c>
      <c r="AK197" s="439">
        <f t="shared" si="166"/>
        <v>0</v>
      </c>
      <c r="AL197" s="440"/>
      <c r="AM197" s="437">
        <f t="shared" si="641"/>
        <v>0</v>
      </c>
      <c r="AN197" s="441">
        <f t="shared" si="641"/>
        <v>0</v>
      </c>
      <c r="AO197" s="442">
        <f t="shared" si="167"/>
        <v>0</v>
      </c>
      <c r="AP197" s="437">
        <f t="shared" si="642"/>
        <v>0</v>
      </c>
      <c r="AQ197" s="441">
        <f t="shared" si="642"/>
        <v>0</v>
      </c>
      <c r="AR197" s="442">
        <f t="shared" si="168"/>
        <v>0</v>
      </c>
      <c r="AS197" s="443">
        <f t="shared" ref="AS197:AT210" si="783">Z197+AC197+AF197+AI197</f>
        <v>0</v>
      </c>
      <c r="AT197" s="441">
        <f t="shared" si="783"/>
        <v>0</v>
      </c>
      <c r="AU197" s="442">
        <f t="shared" si="169"/>
        <v>0</v>
      </c>
      <c r="AV197" s="440">
        <f t="shared" si="170"/>
        <v>0</v>
      </c>
      <c r="AW197" s="444"/>
      <c r="AX197" s="1111"/>
      <c r="AY197" s="446"/>
      <c r="AZ197" s="1111"/>
      <c r="BA197" s="446"/>
      <c r="BB197" s="1129"/>
      <c r="BC197" s="448"/>
      <c r="BD197" s="449"/>
      <c r="BE197" s="450"/>
      <c r="BF197" s="449"/>
      <c r="BG197" s="450"/>
      <c r="BH197" s="451"/>
      <c r="BI197" s="452"/>
      <c r="BJ197" s="453"/>
      <c r="BK197" s="438"/>
      <c r="BL197" s="453"/>
      <c r="BM197" s="438"/>
      <c r="BN197" s="454"/>
      <c r="BO197" s="455"/>
      <c r="BP197" s="456"/>
      <c r="BQ197" s="457"/>
      <c r="BR197" s="456"/>
      <c r="BS197" s="457"/>
      <c r="BT197" s="458"/>
    </row>
    <row r="198" spans="1:72" s="358" customFormat="1" ht="31.5" customHeight="1">
      <c r="A198" s="287">
        <v>153</v>
      </c>
      <c r="B198" s="933"/>
      <c r="C198" s="850" t="s">
        <v>377</v>
      </c>
      <c r="D198" s="838"/>
      <c r="E198" s="836" t="s">
        <v>201</v>
      </c>
      <c r="F198" s="820" t="s">
        <v>7</v>
      </c>
      <c r="G198" s="360">
        <v>4</v>
      </c>
      <c r="H198" s="360" t="s">
        <v>71</v>
      </c>
      <c r="I198" s="360">
        <v>244</v>
      </c>
      <c r="J198" s="361">
        <v>346</v>
      </c>
      <c r="K198" s="532" t="s">
        <v>16</v>
      </c>
      <c r="L198" s="1023">
        <f>SUM(L199:L200)</f>
        <v>65398.55</v>
      </c>
      <c r="M198" s="363"/>
      <c r="N198" s="1023">
        <f>SUM(N199:N200)</f>
        <v>0</v>
      </c>
      <c r="O198" s="1051">
        <f t="shared" si="172"/>
        <v>65398.55</v>
      </c>
      <c r="P198" s="557"/>
      <c r="Q198" s="367">
        <f>Q200</f>
        <v>0</v>
      </c>
      <c r="R198" s="557">
        <f t="shared" ref="R198:S198" si="784">R200</f>
        <v>0</v>
      </c>
      <c r="S198" s="367">
        <f t="shared" si="784"/>
        <v>0</v>
      </c>
      <c r="T198" s="557"/>
      <c r="U198" s="365"/>
      <c r="V198" s="366"/>
      <c r="W198" s="366"/>
      <c r="X198" s="366"/>
      <c r="Z198" s="367">
        <f t="shared" si="637"/>
        <v>32690</v>
      </c>
      <c r="AA198" s="363">
        <f t="shared" si="637"/>
        <v>32690</v>
      </c>
      <c r="AB198" s="280">
        <f t="shared" si="163"/>
        <v>0</v>
      </c>
      <c r="AC198" s="367">
        <f t="shared" si="638"/>
        <v>12962.5</v>
      </c>
      <c r="AD198" s="363">
        <f t="shared" si="638"/>
        <v>12962.5</v>
      </c>
      <c r="AE198" s="280">
        <f t="shared" si="164"/>
        <v>0</v>
      </c>
      <c r="AF198" s="367">
        <f t="shared" si="639"/>
        <v>19745.759999999998</v>
      </c>
      <c r="AG198" s="363">
        <f t="shared" si="639"/>
        <v>19745.759999999998</v>
      </c>
      <c r="AH198" s="280">
        <f t="shared" si="165"/>
        <v>0</v>
      </c>
      <c r="AI198" s="367">
        <f t="shared" si="640"/>
        <v>0</v>
      </c>
      <c r="AJ198" s="363">
        <f t="shared" si="640"/>
        <v>0</v>
      </c>
      <c r="AK198" s="280">
        <f t="shared" si="166"/>
        <v>0</v>
      </c>
      <c r="AL198" s="368"/>
      <c r="AM198" s="367">
        <f t="shared" si="641"/>
        <v>45652.5</v>
      </c>
      <c r="AN198" s="363">
        <f t="shared" si="641"/>
        <v>45652.5</v>
      </c>
      <c r="AO198" s="280">
        <f t="shared" si="167"/>
        <v>0</v>
      </c>
      <c r="AP198" s="367">
        <f t="shared" si="642"/>
        <v>65398.26</v>
      </c>
      <c r="AQ198" s="363">
        <f t="shared" si="642"/>
        <v>65398.26</v>
      </c>
      <c r="AR198" s="280">
        <f t="shared" si="168"/>
        <v>0</v>
      </c>
      <c r="AS198" s="367">
        <f t="shared" si="783"/>
        <v>65398.26</v>
      </c>
      <c r="AT198" s="363">
        <f t="shared" si="783"/>
        <v>65398.26</v>
      </c>
      <c r="AU198" s="280">
        <f t="shared" si="169"/>
        <v>0</v>
      </c>
      <c r="AV198" s="1253">
        <f t="shared" si="170"/>
        <v>0.28999999999999998</v>
      </c>
      <c r="AW198" s="367">
        <f t="shared" ref="AW198:BS198" si="785">SUM(AW199:AW200)</f>
        <v>1050</v>
      </c>
      <c r="AX198" s="1097">
        <f t="shared" si="785"/>
        <v>1050</v>
      </c>
      <c r="AY198" s="363">
        <f t="shared" si="785"/>
        <v>31640</v>
      </c>
      <c r="AZ198" s="1097">
        <f t="shared" si="785"/>
        <v>31640</v>
      </c>
      <c r="BA198" s="363">
        <f t="shared" si="785"/>
        <v>0</v>
      </c>
      <c r="BB198" s="1119">
        <f t="shared" si="785"/>
        <v>0</v>
      </c>
      <c r="BC198" s="367">
        <f t="shared" si="785"/>
        <v>12962.5</v>
      </c>
      <c r="BD198" s="363">
        <f t="shared" si="785"/>
        <v>12962.5</v>
      </c>
      <c r="BE198" s="363">
        <f t="shared" si="785"/>
        <v>0</v>
      </c>
      <c r="BF198" s="363">
        <f t="shared" si="785"/>
        <v>0</v>
      </c>
      <c r="BG198" s="363">
        <f t="shared" si="785"/>
        <v>0</v>
      </c>
      <c r="BH198" s="369">
        <f t="shared" si="785"/>
        <v>0</v>
      </c>
      <c r="BI198" s="367">
        <f t="shared" si="785"/>
        <v>19745.759999999998</v>
      </c>
      <c r="BJ198" s="363">
        <f t="shared" si="785"/>
        <v>19745.759999999998</v>
      </c>
      <c r="BK198" s="363">
        <f t="shared" si="785"/>
        <v>0</v>
      </c>
      <c r="BL198" s="363">
        <f t="shared" si="785"/>
        <v>0</v>
      </c>
      <c r="BM198" s="363">
        <f t="shared" si="785"/>
        <v>0</v>
      </c>
      <c r="BN198" s="369">
        <f t="shared" si="785"/>
        <v>0</v>
      </c>
      <c r="BO198" s="367">
        <f t="shared" si="785"/>
        <v>0</v>
      </c>
      <c r="BP198" s="363">
        <f t="shared" si="785"/>
        <v>0</v>
      </c>
      <c r="BQ198" s="363">
        <f t="shared" si="785"/>
        <v>0</v>
      </c>
      <c r="BR198" s="363">
        <f t="shared" si="785"/>
        <v>0</v>
      </c>
      <c r="BS198" s="363">
        <f t="shared" si="785"/>
        <v>0</v>
      </c>
      <c r="BT198" s="280">
        <f t="shared" ref="BT198" si="786">SUM(BT200:BT200)</f>
        <v>0</v>
      </c>
    </row>
    <row r="199" spans="1:72" s="313" customFormat="1" ht="123.75" customHeight="1" outlineLevel="1">
      <c r="A199" s="287">
        <v>154</v>
      </c>
      <c r="B199" s="1176"/>
      <c r="C199" s="840"/>
      <c r="D199" s="841"/>
      <c r="E199" s="839"/>
      <c r="F199" s="821" t="s">
        <v>7</v>
      </c>
      <c r="G199" s="314">
        <v>4</v>
      </c>
      <c r="H199" s="739" t="s">
        <v>71</v>
      </c>
      <c r="I199" s="739">
        <v>244</v>
      </c>
      <c r="J199" s="740">
        <v>346</v>
      </c>
      <c r="K199" s="533" t="s">
        <v>312</v>
      </c>
      <c r="L199" s="1025">
        <f>65398.55-1050</f>
        <v>64348.55</v>
      </c>
      <c r="M199" s="318"/>
      <c r="N199" s="1069"/>
      <c r="O199" s="1052">
        <f t="shared" si="172"/>
        <v>64348.55</v>
      </c>
      <c r="P199" s="559"/>
      <c r="Q199" s="341">
        <v>0</v>
      </c>
      <c r="R199" s="559"/>
      <c r="S199" s="341">
        <v>0</v>
      </c>
      <c r="T199" s="559"/>
      <c r="U199" s="335"/>
      <c r="V199" s="1227" t="s">
        <v>456</v>
      </c>
      <c r="W199" s="811" t="s">
        <v>874</v>
      </c>
      <c r="X199" s="1227" t="s">
        <v>860</v>
      </c>
      <c r="Z199" s="336">
        <f t="shared" si="637"/>
        <v>31640</v>
      </c>
      <c r="AA199" s="337">
        <f t="shared" si="637"/>
        <v>31640</v>
      </c>
      <c r="AB199" s="338">
        <f t="shared" si="163"/>
        <v>0</v>
      </c>
      <c r="AC199" s="336">
        <f t="shared" si="638"/>
        <v>12962.5</v>
      </c>
      <c r="AD199" s="337">
        <f t="shared" si="638"/>
        <v>12962.5</v>
      </c>
      <c r="AE199" s="338">
        <f t="shared" si="164"/>
        <v>0</v>
      </c>
      <c r="AF199" s="336">
        <f t="shared" si="639"/>
        <v>19745.759999999998</v>
      </c>
      <c r="AG199" s="337">
        <f t="shared" si="639"/>
        <v>19745.759999999998</v>
      </c>
      <c r="AH199" s="338">
        <f t="shared" si="165"/>
        <v>0</v>
      </c>
      <c r="AI199" s="336">
        <f t="shared" si="640"/>
        <v>0</v>
      </c>
      <c r="AJ199" s="337">
        <f t="shared" si="640"/>
        <v>0</v>
      </c>
      <c r="AK199" s="338">
        <f t="shared" si="166"/>
        <v>0</v>
      </c>
      <c r="AL199" s="342"/>
      <c r="AM199" s="336">
        <f t="shared" si="641"/>
        <v>44602.5</v>
      </c>
      <c r="AN199" s="339">
        <f t="shared" si="641"/>
        <v>44602.5</v>
      </c>
      <c r="AO199" s="340">
        <f t="shared" si="167"/>
        <v>0</v>
      </c>
      <c r="AP199" s="336">
        <f t="shared" si="642"/>
        <v>64348.26</v>
      </c>
      <c r="AQ199" s="339">
        <f t="shared" si="642"/>
        <v>64348.26</v>
      </c>
      <c r="AR199" s="340">
        <f t="shared" si="168"/>
        <v>0</v>
      </c>
      <c r="AS199" s="341">
        <f t="shared" si="783"/>
        <v>64348.26</v>
      </c>
      <c r="AT199" s="339">
        <f t="shared" si="783"/>
        <v>64348.26</v>
      </c>
      <c r="AU199" s="340">
        <f t="shared" si="169"/>
        <v>0</v>
      </c>
      <c r="AV199" s="1258">
        <f t="shared" si="170"/>
        <v>0.28999999999999998</v>
      </c>
      <c r="AW199" s="343"/>
      <c r="AX199" s="1098"/>
      <c r="AY199" s="1217">
        <v>31640</v>
      </c>
      <c r="AZ199" s="1218">
        <v>31640</v>
      </c>
      <c r="BA199" s="345"/>
      <c r="BB199" s="1120"/>
      <c r="BC199" s="1220">
        <f>12962.5</f>
        <v>12962.5</v>
      </c>
      <c r="BD199" s="1221">
        <v>12962.5</v>
      </c>
      <c r="BE199" s="419"/>
      <c r="BF199" s="348"/>
      <c r="BG199" s="1135"/>
      <c r="BH199" s="350"/>
      <c r="BI199" s="1224">
        <v>19745.759999999998</v>
      </c>
      <c r="BJ199" s="1225">
        <v>19745.759999999998</v>
      </c>
      <c r="BK199" s="337"/>
      <c r="BL199" s="352"/>
      <c r="BM199" s="337"/>
      <c r="BN199" s="353"/>
      <c r="BO199" s="354"/>
      <c r="BP199" s="355"/>
      <c r="BQ199" s="356"/>
      <c r="BR199" s="355"/>
      <c r="BS199" s="356"/>
      <c r="BT199" s="357"/>
    </row>
    <row r="200" spans="1:72" s="313" customFormat="1" ht="25.5" outlineLevel="1">
      <c r="A200" s="287">
        <v>156</v>
      </c>
      <c r="B200" s="1148"/>
      <c r="C200" s="840"/>
      <c r="D200" s="841"/>
      <c r="E200" s="839"/>
      <c r="F200" s="821" t="s">
        <v>7</v>
      </c>
      <c r="G200" s="314">
        <v>4</v>
      </c>
      <c r="H200" s="739" t="s">
        <v>71</v>
      </c>
      <c r="I200" s="739">
        <v>244</v>
      </c>
      <c r="J200" s="740">
        <v>346</v>
      </c>
      <c r="K200" s="533" t="s">
        <v>667</v>
      </c>
      <c r="L200" s="1025">
        <v>1050</v>
      </c>
      <c r="M200" s="318"/>
      <c r="N200" s="1069"/>
      <c r="O200" s="1052">
        <f t="shared" si="172"/>
        <v>1050</v>
      </c>
      <c r="P200" s="559"/>
      <c r="Q200" s="341">
        <v>0</v>
      </c>
      <c r="R200" s="559"/>
      <c r="S200" s="341">
        <v>0</v>
      </c>
      <c r="T200" s="559"/>
      <c r="U200" s="335"/>
      <c r="V200" s="597" t="s">
        <v>665</v>
      </c>
      <c r="W200" s="597" t="s">
        <v>666</v>
      </c>
      <c r="X200" s="597"/>
      <c r="Z200" s="336">
        <f t="shared" si="637"/>
        <v>1050</v>
      </c>
      <c r="AA200" s="337">
        <f t="shared" si="637"/>
        <v>1050</v>
      </c>
      <c r="AB200" s="338">
        <f t="shared" si="163"/>
        <v>0</v>
      </c>
      <c r="AC200" s="336">
        <f t="shared" si="638"/>
        <v>0</v>
      </c>
      <c r="AD200" s="337">
        <f t="shared" si="638"/>
        <v>0</v>
      </c>
      <c r="AE200" s="338">
        <f t="shared" si="164"/>
        <v>0</v>
      </c>
      <c r="AF200" s="336">
        <f t="shared" si="639"/>
        <v>0</v>
      </c>
      <c r="AG200" s="337">
        <f t="shared" si="639"/>
        <v>0</v>
      </c>
      <c r="AH200" s="338">
        <f t="shared" si="165"/>
        <v>0</v>
      </c>
      <c r="AI200" s="336">
        <f t="shared" si="640"/>
        <v>0</v>
      </c>
      <c r="AJ200" s="337">
        <f t="shared" si="640"/>
        <v>0</v>
      </c>
      <c r="AK200" s="338">
        <f t="shared" si="166"/>
        <v>0</v>
      </c>
      <c r="AL200" s="342"/>
      <c r="AM200" s="336">
        <f t="shared" si="641"/>
        <v>1050</v>
      </c>
      <c r="AN200" s="339">
        <f t="shared" si="641"/>
        <v>1050</v>
      </c>
      <c r="AO200" s="340">
        <f t="shared" si="167"/>
        <v>0</v>
      </c>
      <c r="AP200" s="336">
        <f t="shared" si="642"/>
        <v>1050</v>
      </c>
      <c r="AQ200" s="339">
        <f t="shared" si="642"/>
        <v>1050</v>
      </c>
      <c r="AR200" s="340">
        <f t="shared" si="168"/>
        <v>0</v>
      </c>
      <c r="AS200" s="341">
        <f t="shared" si="783"/>
        <v>1050</v>
      </c>
      <c r="AT200" s="339">
        <f t="shared" si="783"/>
        <v>1050</v>
      </c>
      <c r="AU200" s="340">
        <f t="shared" si="169"/>
        <v>0</v>
      </c>
      <c r="AV200" s="1255">
        <f t="shared" si="170"/>
        <v>0</v>
      </c>
      <c r="AW200" s="343">
        <v>1050</v>
      </c>
      <c r="AX200" s="1098">
        <v>1050</v>
      </c>
      <c r="AY200" s="345"/>
      <c r="AZ200" s="1098"/>
      <c r="BA200" s="345"/>
      <c r="BB200" s="1120"/>
      <c r="BC200" s="347"/>
      <c r="BD200" s="348"/>
      <c r="BE200" s="349"/>
      <c r="BF200" s="348"/>
      <c r="BG200" s="349"/>
      <c r="BH200" s="350"/>
      <c r="BI200" s="351"/>
      <c r="BJ200" s="352"/>
      <c r="BK200" s="337"/>
      <c r="BL200" s="352"/>
      <c r="BM200" s="337"/>
      <c r="BN200" s="353"/>
      <c r="BO200" s="354"/>
      <c r="BP200" s="355"/>
      <c r="BQ200" s="356"/>
      <c r="BR200" s="355"/>
      <c r="BS200" s="356"/>
      <c r="BT200" s="357"/>
    </row>
    <row r="201" spans="1:72" s="358" customFormat="1" ht="31.5">
      <c r="A201" s="287">
        <v>157</v>
      </c>
      <c r="B201" s="933"/>
      <c r="C201" s="837"/>
      <c r="D201" s="838"/>
      <c r="E201" s="836" t="s">
        <v>201</v>
      </c>
      <c r="F201" s="820" t="s">
        <v>7</v>
      </c>
      <c r="G201" s="360">
        <v>4</v>
      </c>
      <c r="H201" s="360" t="s">
        <v>71</v>
      </c>
      <c r="I201" s="360">
        <v>244</v>
      </c>
      <c r="J201" s="489">
        <v>345</v>
      </c>
      <c r="K201" s="532" t="s">
        <v>311</v>
      </c>
      <c r="L201" s="1023">
        <v>12502</v>
      </c>
      <c r="M201" s="363"/>
      <c r="N201" s="363"/>
      <c r="O201" s="1051">
        <f t="shared" si="172"/>
        <v>12502</v>
      </c>
      <c r="P201" s="557"/>
      <c r="Q201" s="367">
        <v>0</v>
      </c>
      <c r="R201" s="557"/>
      <c r="S201" s="367">
        <v>0</v>
      </c>
      <c r="T201" s="557"/>
      <c r="U201" s="365"/>
      <c r="V201" s="320"/>
      <c r="W201" s="320"/>
      <c r="X201" s="320"/>
      <c r="Z201" s="367">
        <f t="shared" si="637"/>
        <v>0</v>
      </c>
      <c r="AA201" s="363">
        <f t="shared" si="637"/>
        <v>0</v>
      </c>
      <c r="AB201" s="280">
        <f t="shared" si="163"/>
        <v>0</v>
      </c>
      <c r="AC201" s="367">
        <f t="shared" si="638"/>
        <v>0</v>
      </c>
      <c r="AD201" s="363">
        <f t="shared" si="638"/>
        <v>0</v>
      </c>
      <c r="AE201" s="280">
        <f t="shared" si="164"/>
        <v>0</v>
      </c>
      <c r="AF201" s="367">
        <f t="shared" si="639"/>
        <v>0</v>
      </c>
      <c r="AG201" s="363">
        <f t="shared" si="639"/>
        <v>0</v>
      </c>
      <c r="AH201" s="280">
        <f t="shared" si="165"/>
        <v>0</v>
      </c>
      <c r="AI201" s="367">
        <f t="shared" si="640"/>
        <v>12502</v>
      </c>
      <c r="AJ201" s="363">
        <f t="shared" si="640"/>
        <v>0</v>
      </c>
      <c r="AK201" s="280">
        <f t="shared" si="166"/>
        <v>12502</v>
      </c>
      <c r="AL201" s="368"/>
      <c r="AM201" s="367">
        <f t="shared" si="641"/>
        <v>0</v>
      </c>
      <c r="AN201" s="363">
        <f t="shared" si="641"/>
        <v>0</v>
      </c>
      <c r="AO201" s="280">
        <f t="shared" si="167"/>
        <v>0</v>
      </c>
      <c r="AP201" s="367">
        <f t="shared" si="642"/>
        <v>0</v>
      </c>
      <c r="AQ201" s="363">
        <f t="shared" si="642"/>
        <v>0</v>
      </c>
      <c r="AR201" s="280">
        <f t="shared" si="168"/>
        <v>0</v>
      </c>
      <c r="AS201" s="367">
        <f t="shared" si="783"/>
        <v>12502</v>
      </c>
      <c r="AT201" s="363">
        <f t="shared" si="783"/>
        <v>0</v>
      </c>
      <c r="AU201" s="280">
        <f t="shared" si="169"/>
        <v>12502</v>
      </c>
      <c r="AV201" s="1253">
        <f t="shared" si="170"/>
        <v>0</v>
      </c>
      <c r="AW201" s="367"/>
      <c r="AX201" s="1097"/>
      <c r="AY201" s="363"/>
      <c r="AZ201" s="1097"/>
      <c r="BA201" s="363"/>
      <c r="BB201" s="1119"/>
      <c r="BC201" s="367"/>
      <c r="BD201" s="363"/>
      <c r="BE201" s="363"/>
      <c r="BF201" s="363"/>
      <c r="BG201" s="363"/>
      <c r="BH201" s="369"/>
      <c r="BI201" s="367"/>
      <c r="BJ201" s="363"/>
      <c r="BK201" s="363"/>
      <c r="BL201" s="363"/>
      <c r="BM201" s="363"/>
      <c r="BN201" s="369"/>
      <c r="BO201" s="367"/>
      <c r="BP201" s="363"/>
      <c r="BQ201" s="363">
        <v>12502</v>
      </c>
      <c r="BR201" s="363"/>
      <c r="BS201" s="363"/>
      <c r="BT201" s="280"/>
    </row>
    <row r="202" spans="1:72" s="358" customFormat="1" ht="31.5">
      <c r="A202" s="287">
        <v>158</v>
      </c>
      <c r="B202" s="933"/>
      <c r="C202" s="837"/>
      <c r="D202" s="853" t="s">
        <v>216</v>
      </c>
      <c r="E202" s="836" t="s">
        <v>201</v>
      </c>
      <c r="F202" s="820" t="s">
        <v>7</v>
      </c>
      <c r="G202" s="360">
        <v>4</v>
      </c>
      <c r="H202" s="360" t="s">
        <v>71</v>
      </c>
      <c r="I202" s="360">
        <v>851</v>
      </c>
      <c r="J202" s="361">
        <v>291</v>
      </c>
      <c r="K202" s="532" t="s">
        <v>28</v>
      </c>
      <c r="L202" s="1023">
        <f>119325-19888</f>
        <v>99437</v>
      </c>
      <c r="M202" s="363"/>
      <c r="N202" s="363"/>
      <c r="O202" s="1051">
        <f t="shared" ref="O202:O210" si="787">L202+N202</f>
        <v>99437</v>
      </c>
      <c r="P202" s="557"/>
      <c r="Q202" s="367">
        <v>0</v>
      </c>
      <c r="R202" s="557"/>
      <c r="S202" s="367">
        <v>0</v>
      </c>
      <c r="T202" s="557"/>
      <c r="U202" s="365"/>
      <c r="V202" s="366"/>
      <c r="W202" s="366"/>
      <c r="X202" s="366"/>
      <c r="Z202" s="367">
        <f t="shared" si="637"/>
        <v>99437</v>
      </c>
      <c r="AA202" s="363">
        <f t="shared" si="637"/>
        <v>99437</v>
      </c>
      <c r="AB202" s="280">
        <f t="shared" si="163"/>
        <v>0</v>
      </c>
      <c r="AC202" s="367">
        <f t="shared" si="638"/>
        <v>0</v>
      </c>
      <c r="AD202" s="363">
        <f t="shared" si="638"/>
        <v>0</v>
      </c>
      <c r="AE202" s="280">
        <f t="shared" si="164"/>
        <v>0</v>
      </c>
      <c r="AF202" s="367">
        <f t="shared" si="639"/>
        <v>0</v>
      </c>
      <c r="AG202" s="363">
        <f t="shared" si="639"/>
        <v>0</v>
      </c>
      <c r="AH202" s="280">
        <f t="shared" si="165"/>
        <v>0</v>
      </c>
      <c r="AI202" s="367">
        <f t="shared" si="640"/>
        <v>0</v>
      </c>
      <c r="AJ202" s="363">
        <f t="shared" si="640"/>
        <v>0</v>
      </c>
      <c r="AK202" s="280">
        <f t="shared" si="166"/>
        <v>0</v>
      </c>
      <c r="AL202" s="368"/>
      <c r="AM202" s="367">
        <f t="shared" si="641"/>
        <v>99437</v>
      </c>
      <c r="AN202" s="363">
        <f t="shared" si="641"/>
        <v>99437</v>
      </c>
      <c r="AO202" s="280">
        <f t="shared" si="167"/>
        <v>0</v>
      </c>
      <c r="AP202" s="367">
        <f t="shared" si="642"/>
        <v>99437</v>
      </c>
      <c r="AQ202" s="363">
        <f t="shared" si="642"/>
        <v>99437</v>
      </c>
      <c r="AR202" s="280">
        <f t="shared" si="168"/>
        <v>0</v>
      </c>
      <c r="AS202" s="367">
        <f t="shared" si="783"/>
        <v>99437</v>
      </c>
      <c r="AT202" s="363">
        <f t="shared" si="783"/>
        <v>99437</v>
      </c>
      <c r="AU202" s="280">
        <f t="shared" si="169"/>
        <v>0</v>
      </c>
      <c r="AV202" s="1253">
        <f t="shared" si="170"/>
        <v>0</v>
      </c>
      <c r="AW202" s="367"/>
      <c r="AX202" s="1097"/>
      <c r="AY202" s="363"/>
      <c r="AZ202" s="1097"/>
      <c r="BA202" s="363">
        <v>99437</v>
      </c>
      <c r="BB202" s="1119">
        <v>99437</v>
      </c>
      <c r="BC202" s="367"/>
      <c r="BD202" s="363"/>
      <c r="BE202" s="363"/>
      <c r="BF202" s="363"/>
      <c r="BG202" s="363"/>
      <c r="BH202" s="369"/>
      <c r="BI202" s="367"/>
      <c r="BJ202" s="363"/>
      <c r="BK202" s="363"/>
      <c r="BL202" s="363"/>
      <c r="BM202" s="363"/>
      <c r="BN202" s="369"/>
      <c r="BO202" s="367"/>
      <c r="BP202" s="363"/>
      <c r="BQ202" s="363"/>
      <c r="BR202" s="363"/>
      <c r="BS202" s="363"/>
      <c r="BT202" s="280"/>
    </row>
    <row r="203" spans="1:72" s="358" customFormat="1" ht="47.25">
      <c r="A203" s="1277">
        <v>158.1</v>
      </c>
      <c r="B203" s="933"/>
      <c r="C203" s="837"/>
      <c r="D203" s="853"/>
      <c r="E203" s="836" t="s">
        <v>201</v>
      </c>
      <c r="F203" s="820" t="s">
        <v>7</v>
      </c>
      <c r="G203" s="360">
        <v>4</v>
      </c>
      <c r="H203" s="360" t="s">
        <v>71</v>
      </c>
      <c r="I203" s="360">
        <v>852</v>
      </c>
      <c r="J203" s="361">
        <v>291</v>
      </c>
      <c r="K203" s="532" t="s">
        <v>1011</v>
      </c>
      <c r="L203" s="1023">
        <v>800</v>
      </c>
      <c r="M203" s="363"/>
      <c r="N203" s="363"/>
      <c r="O203" s="1051">
        <f t="shared" ref="O203" si="788">L203+N203</f>
        <v>800</v>
      </c>
      <c r="P203" s="557"/>
      <c r="Q203" s="367">
        <v>0</v>
      </c>
      <c r="R203" s="557"/>
      <c r="S203" s="367">
        <v>0</v>
      </c>
      <c r="T203" s="557"/>
      <c r="U203" s="365"/>
      <c r="V203" s="320"/>
      <c r="W203" s="320"/>
      <c r="X203" s="320"/>
      <c r="Z203" s="367">
        <f t="shared" ref="Z203" si="789">AW203+AY203+BA203</f>
        <v>0</v>
      </c>
      <c r="AA203" s="363">
        <f t="shared" ref="AA203" si="790">AX203+AZ203+BB203</f>
        <v>0</v>
      </c>
      <c r="AB203" s="280">
        <f t="shared" ref="AB203" si="791">Z203-AA203</f>
        <v>0</v>
      </c>
      <c r="AC203" s="367">
        <f t="shared" ref="AC203" si="792">BC203+BE203+BG203</f>
        <v>0</v>
      </c>
      <c r="AD203" s="363">
        <f t="shared" ref="AD203" si="793">BD203+BF203+BH203</f>
        <v>0</v>
      </c>
      <c r="AE203" s="280">
        <f t="shared" ref="AE203" si="794">AC203-AD203</f>
        <v>0</v>
      </c>
      <c r="AF203" s="367">
        <f t="shared" ref="AF203" si="795">BI203+BK203+BM203</f>
        <v>0</v>
      </c>
      <c r="AG203" s="363">
        <f t="shared" ref="AG203" si="796">BJ203+BL203+BN203</f>
        <v>0</v>
      </c>
      <c r="AH203" s="280">
        <f t="shared" ref="AH203" si="797">AF203-AG203</f>
        <v>0</v>
      </c>
      <c r="AI203" s="367">
        <f t="shared" ref="AI203" si="798">BO203+BQ203+BS203</f>
        <v>800</v>
      </c>
      <c r="AJ203" s="363">
        <f t="shared" ref="AJ203" si="799">BP203+BR203+BT203</f>
        <v>0</v>
      </c>
      <c r="AK203" s="280">
        <f t="shared" ref="AK203" si="800">AI203-AJ203</f>
        <v>800</v>
      </c>
      <c r="AL203" s="368"/>
      <c r="AM203" s="367">
        <f t="shared" ref="AM203" si="801">Z203+AC203</f>
        <v>0</v>
      </c>
      <c r="AN203" s="363">
        <f t="shared" ref="AN203" si="802">AA203+AD203</f>
        <v>0</v>
      </c>
      <c r="AO203" s="280">
        <f t="shared" ref="AO203" si="803">AM203-AN203</f>
        <v>0</v>
      </c>
      <c r="AP203" s="367">
        <f t="shared" ref="AP203" si="804">Z203+AC203+AF203</f>
        <v>0</v>
      </c>
      <c r="AQ203" s="363">
        <f t="shared" ref="AQ203" si="805">AA203+AD203+AG203</f>
        <v>0</v>
      </c>
      <c r="AR203" s="280">
        <f t="shared" ref="AR203" si="806">AP203-AQ203</f>
        <v>0</v>
      </c>
      <c r="AS203" s="367">
        <f t="shared" ref="AS203" si="807">Z203+AC203+AF203+AI203</f>
        <v>800</v>
      </c>
      <c r="AT203" s="363">
        <f t="shared" ref="AT203" si="808">AA203+AD203+AG203+AJ203</f>
        <v>0</v>
      </c>
      <c r="AU203" s="280">
        <f t="shared" ref="AU203" si="809">AS203-AT203</f>
        <v>800</v>
      </c>
      <c r="AV203" s="1253">
        <f t="shared" ref="AV203" si="810">L203-AS203</f>
        <v>0</v>
      </c>
      <c r="AW203" s="367"/>
      <c r="AX203" s="1097"/>
      <c r="AY203" s="363"/>
      <c r="AZ203" s="1097"/>
      <c r="BA203" s="363"/>
      <c r="BB203" s="1119"/>
      <c r="BC203" s="367"/>
      <c r="BD203" s="363"/>
      <c r="BE203" s="363"/>
      <c r="BF203" s="363"/>
      <c r="BG203" s="363"/>
      <c r="BH203" s="369"/>
      <c r="BI203" s="367"/>
      <c r="BJ203" s="363"/>
      <c r="BK203" s="363"/>
      <c r="BL203" s="363"/>
      <c r="BM203" s="363"/>
      <c r="BN203" s="369"/>
      <c r="BO203" s="1278">
        <v>800</v>
      </c>
      <c r="BP203" s="363"/>
      <c r="BQ203" s="363"/>
      <c r="BR203" s="363"/>
      <c r="BS203" s="363"/>
      <c r="BT203" s="280"/>
    </row>
    <row r="204" spans="1:72" s="358" customFormat="1" ht="31.5">
      <c r="A204" s="287">
        <v>159</v>
      </c>
      <c r="B204" s="933"/>
      <c r="C204" s="837"/>
      <c r="D204" s="838"/>
      <c r="E204" s="836" t="s">
        <v>201</v>
      </c>
      <c r="F204" s="820" t="s">
        <v>7</v>
      </c>
      <c r="G204" s="360">
        <v>4</v>
      </c>
      <c r="H204" s="360" t="s">
        <v>71</v>
      </c>
      <c r="I204" s="360">
        <v>853</v>
      </c>
      <c r="J204" s="361">
        <v>297</v>
      </c>
      <c r="K204" s="532" t="s">
        <v>38</v>
      </c>
      <c r="L204" s="1042">
        <v>47779.58</v>
      </c>
      <c r="M204" s="363"/>
      <c r="N204" s="363"/>
      <c r="O204" s="1051">
        <f t="shared" si="787"/>
        <v>47779.58</v>
      </c>
      <c r="P204" s="557">
        <f>62938.83-L204-L315</f>
        <v>7733.24</v>
      </c>
      <c r="Q204" s="585">
        <v>26356.95</v>
      </c>
      <c r="R204" s="585"/>
      <c r="S204" s="585">
        <v>26256.63</v>
      </c>
      <c r="T204" s="557"/>
      <c r="U204" s="365"/>
      <c r="V204" s="366"/>
      <c r="W204" s="366"/>
      <c r="X204" s="366"/>
      <c r="Z204" s="367">
        <f t="shared" si="637"/>
        <v>0</v>
      </c>
      <c r="AA204" s="363">
        <f t="shared" si="637"/>
        <v>0</v>
      </c>
      <c r="AB204" s="280">
        <f t="shared" si="163"/>
        <v>0</v>
      </c>
      <c r="AC204" s="367">
        <f t="shared" si="638"/>
        <v>0</v>
      </c>
      <c r="AD204" s="363">
        <f t="shared" si="638"/>
        <v>0</v>
      </c>
      <c r="AE204" s="280">
        <f t="shared" si="164"/>
        <v>0</v>
      </c>
      <c r="AF204" s="367">
        <f t="shared" si="639"/>
        <v>0</v>
      </c>
      <c r="AG204" s="363">
        <f t="shared" si="639"/>
        <v>0</v>
      </c>
      <c r="AH204" s="280">
        <f t="shared" si="165"/>
        <v>0</v>
      </c>
      <c r="AI204" s="367">
        <f t="shared" si="640"/>
        <v>47779.58</v>
      </c>
      <c r="AJ204" s="363">
        <f t="shared" si="640"/>
        <v>0</v>
      </c>
      <c r="AK204" s="280">
        <f t="shared" si="166"/>
        <v>47779.58</v>
      </c>
      <c r="AL204" s="368"/>
      <c r="AM204" s="367">
        <f t="shared" si="641"/>
        <v>0</v>
      </c>
      <c r="AN204" s="363">
        <f t="shared" si="641"/>
        <v>0</v>
      </c>
      <c r="AO204" s="280">
        <f t="shared" si="167"/>
        <v>0</v>
      </c>
      <c r="AP204" s="367">
        <f t="shared" si="642"/>
        <v>0</v>
      </c>
      <c r="AQ204" s="363">
        <f t="shared" si="642"/>
        <v>0</v>
      </c>
      <c r="AR204" s="280">
        <f t="shared" si="168"/>
        <v>0</v>
      </c>
      <c r="AS204" s="367">
        <f t="shared" si="783"/>
        <v>47779.58</v>
      </c>
      <c r="AT204" s="363">
        <f t="shared" si="783"/>
        <v>0</v>
      </c>
      <c r="AU204" s="280">
        <f t="shared" si="169"/>
        <v>47779.58</v>
      </c>
      <c r="AV204" s="1253">
        <f t="shared" si="170"/>
        <v>0</v>
      </c>
      <c r="AW204" s="367"/>
      <c r="AX204" s="1097"/>
      <c r="AY204" s="363"/>
      <c r="AZ204" s="1097"/>
      <c r="BA204" s="363"/>
      <c r="BB204" s="1119"/>
      <c r="BC204" s="367"/>
      <c r="BD204" s="363"/>
      <c r="BE204" s="363"/>
      <c r="BF204" s="363"/>
      <c r="BG204" s="363"/>
      <c r="BH204" s="369"/>
      <c r="BI204" s="367"/>
      <c r="BJ204" s="363"/>
      <c r="BK204" s="363"/>
      <c r="BL204" s="363"/>
      <c r="BM204" s="363"/>
      <c r="BN204" s="369"/>
      <c r="BO204" s="367"/>
      <c r="BP204" s="363"/>
      <c r="BQ204" s="363"/>
      <c r="BR204" s="363"/>
      <c r="BS204" s="363">
        <v>47779.58</v>
      </c>
      <c r="BT204" s="280"/>
    </row>
    <row r="205" spans="1:72" s="358" customFormat="1" ht="63">
      <c r="A205" s="287">
        <v>160</v>
      </c>
      <c r="B205" s="933"/>
      <c r="C205" s="837" t="s">
        <v>377</v>
      </c>
      <c r="D205" s="838"/>
      <c r="E205" s="836" t="s">
        <v>201</v>
      </c>
      <c r="F205" s="830" t="s">
        <v>30</v>
      </c>
      <c r="G205" s="360">
        <v>4</v>
      </c>
      <c r="H205" s="506" t="s">
        <v>47</v>
      </c>
      <c r="I205" s="360">
        <v>244</v>
      </c>
      <c r="J205" s="361">
        <v>310</v>
      </c>
      <c r="K205" s="362" t="s">
        <v>790</v>
      </c>
      <c r="L205" s="1023">
        <f>L206</f>
        <v>340900</v>
      </c>
      <c r="M205" s="363"/>
      <c r="N205" s="363">
        <f>N206</f>
        <v>0</v>
      </c>
      <c r="O205" s="1051">
        <f t="shared" si="787"/>
        <v>340900</v>
      </c>
      <c r="P205" s="557"/>
      <c r="Q205" s="367">
        <v>0</v>
      </c>
      <c r="R205" s="557"/>
      <c r="S205" s="367">
        <v>0</v>
      </c>
      <c r="T205" s="557"/>
      <c r="U205" s="365"/>
      <c r="V205" s="366"/>
      <c r="W205" s="366"/>
      <c r="X205" s="366"/>
      <c r="Z205" s="367">
        <f t="shared" si="637"/>
        <v>0</v>
      </c>
      <c r="AA205" s="363">
        <f t="shared" si="637"/>
        <v>0</v>
      </c>
      <c r="AB205" s="280">
        <f t="shared" si="163"/>
        <v>0</v>
      </c>
      <c r="AC205" s="367">
        <f t="shared" si="638"/>
        <v>306800</v>
      </c>
      <c r="AD205" s="363">
        <f t="shared" si="638"/>
        <v>0</v>
      </c>
      <c r="AE205" s="280">
        <f t="shared" si="164"/>
        <v>306800</v>
      </c>
      <c r="AF205" s="367">
        <f t="shared" si="639"/>
        <v>0</v>
      </c>
      <c r="AG205" s="363">
        <f t="shared" si="639"/>
        <v>0</v>
      </c>
      <c r="AH205" s="280">
        <f t="shared" si="165"/>
        <v>0</v>
      </c>
      <c r="AI205" s="367">
        <f t="shared" si="640"/>
        <v>0</v>
      </c>
      <c r="AJ205" s="363">
        <f t="shared" si="640"/>
        <v>0</v>
      </c>
      <c r="AK205" s="280">
        <f t="shared" si="166"/>
        <v>0</v>
      </c>
      <c r="AL205" s="368"/>
      <c r="AM205" s="367">
        <f t="shared" si="641"/>
        <v>306800</v>
      </c>
      <c r="AN205" s="363">
        <f t="shared" si="641"/>
        <v>0</v>
      </c>
      <c r="AO205" s="280">
        <f t="shared" si="167"/>
        <v>306800</v>
      </c>
      <c r="AP205" s="367">
        <f t="shared" si="642"/>
        <v>306800</v>
      </c>
      <c r="AQ205" s="363">
        <f t="shared" si="642"/>
        <v>0</v>
      </c>
      <c r="AR205" s="280">
        <f t="shared" si="168"/>
        <v>306800</v>
      </c>
      <c r="AS205" s="367">
        <f t="shared" si="783"/>
        <v>306800</v>
      </c>
      <c r="AT205" s="363">
        <f t="shared" si="783"/>
        <v>0</v>
      </c>
      <c r="AU205" s="280">
        <f t="shared" si="169"/>
        <v>306800</v>
      </c>
      <c r="AV205" s="1253">
        <f t="shared" si="170"/>
        <v>34100</v>
      </c>
      <c r="AW205" s="367">
        <f t="shared" ref="AW205:BT205" si="811">SUM(AW206:AW206)</f>
        <v>0</v>
      </c>
      <c r="AX205" s="1097">
        <f t="shared" si="811"/>
        <v>0</v>
      </c>
      <c r="AY205" s="363">
        <f t="shared" si="811"/>
        <v>0</v>
      </c>
      <c r="AZ205" s="1097">
        <f t="shared" si="811"/>
        <v>0</v>
      </c>
      <c r="BA205" s="363">
        <f t="shared" si="811"/>
        <v>0</v>
      </c>
      <c r="BB205" s="1119">
        <f t="shared" si="811"/>
        <v>0</v>
      </c>
      <c r="BC205" s="367">
        <f t="shared" si="811"/>
        <v>0</v>
      </c>
      <c r="BD205" s="363">
        <f t="shared" si="811"/>
        <v>0</v>
      </c>
      <c r="BE205" s="363">
        <f t="shared" si="811"/>
        <v>0</v>
      </c>
      <c r="BF205" s="363">
        <f t="shared" si="811"/>
        <v>0</v>
      </c>
      <c r="BG205" s="363">
        <f t="shared" si="811"/>
        <v>306800</v>
      </c>
      <c r="BH205" s="369">
        <f t="shared" si="811"/>
        <v>0</v>
      </c>
      <c r="BI205" s="367">
        <f t="shared" si="811"/>
        <v>0</v>
      </c>
      <c r="BJ205" s="363">
        <f t="shared" si="811"/>
        <v>0</v>
      </c>
      <c r="BK205" s="363">
        <f t="shared" si="811"/>
        <v>0</v>
      </c>
      <c r="BL205" s="363">
        <f t="shared" si="811"/>
        <v>0</v>
      </c>
      <c r="BM205" s="363">
        <f t="shared" si="811"/>
        <v>0</v>
      </c>
      <c r="BN205" s="369">
        <f t="shared" si="811"/>
        <v>0</v>
      </c>
      <c r="BO205" s="367">
        <f t="shared" si="811"/>
        <v>0</v>
      </c>
      <c r="BP205" s="363">
        <f t="shared" si="811"/>
        <v>0</v>
      </c>
      <c r="BQ205" s="363">
        <f t="shared" si="811"/>
        <v>0</v>
      </c>
      <c r="BR205" s="363">
        <f t="shared" si="811"/>
        <v>0</v>
      </c>
      <c r="BS205" s="363">
        <f t="shared" si="811"/>
        <v>0</v>
      </c>
      <c r="BT205" s="280">
        <f t="shared" si="811"/>
        <v>0</v>
      </c>
    </row>
    <row r="206" spans="1:72" s="313" customFormat="1" ht="76.5" outlineLevel="1">
      <c r="A206" s="287">
        <v>161</v>
      </c>
      <c r="B206" s="940"/>
      <c r="C206" s="840"/>
      <c r="D206" s="841"/>
      <c r="E206" s="839"/>
      <c r="F206" s="821" t="s">
        <v>30</v>
      </c>
      <c r="G206" s="314">
        <v>4</v>
      </c>
      <c r="H206" s="739" t="s">
        <v>47</v>
      </c>
      <c r="I206" s="739">
        <v>244</v>
      </c>
      <c r="J206" s="740">
        <v>310</v>
      </c>
      <c r="K206" s="317" t="s">
        <v>303</v>
      </c>
      <c r="L206" s="1029">
        <v>340900</v>
      </c>
      <c r="M206" s="403"/>
      <c r="N206" s="403"/>
      <c r="O206" s="1063">
        <f t="shared" si="787"/>
        <v>340900</v>
      </c>
      <c r="P206" s="566"/>
      <c r="Q206" s="406">
        <v>0</v>
      </c>
      <c r="R206" s="566"/>
      <c r="S206" s="406">
        <v>0</v>
      </c>
      <c r="T206" s="566"/>
      <c r="U206" s="335"/>
      <c r="V206" s="597" t="s">
        <v>879</v>
      </c>
      <c r="W206" s="597" t="s">
        <v>890</v>
      </c>
      <c r="X206" s="597" t="s">
        <v>889</v>
      </c>
      <c r="Z206" s="336">
        <f t="shared" si="637"/>
        <v>0</v>
      </c>
      <c r="AA206" s="337">
        <f t="shared" si="637"/>
        <v>0</v>
      </c>
      <c r="AB206" s="338">
        <f t="shared" si="163"/>
        <v>0</v>
      </c>
      <c r="AC206" s="336">
        <f t="shared" si="638"/>
        <v>306800</v>
      </c>
      <c r="AD206" s="337">
        <f t="shared" si="638"/>
        <v>0</v>
      </c>
      <c r="AE206" s="338">
        <f t="shared" si="164"/>
        <v>306800</v>
      </c>
      <c r="AF206" s="336">
        <f t="shared" si="639"/>
        <v>0</v>
      </c>
      <c r="AG206" s="337">
        <f t="shared" si="639"/>
        <v>0</v>
      </c>
      <c r="AH206" s="338">
        <f t="shared" si="165"/>
        <v>0</v>
      </c>
      <c r="AI206" s="336">
        <f t="shared" si="640"/>
        <v>0</v>
      </c>
      <c r="AJ206" s="337">
        <f t="shared" si="640"/>
        <v>0</v>
      </c>
      <c r="AK206" s="338">
        <f t="shared" si="166"/>
        <v>0</v>
      </c>
      <c r="AL206" s="342"/>
      <c r="AM206" s="336">
        <f t="shared" si="641"/>
        <v>306800</v>
      </c>
      <c r="AN206" s="339">
        <f t="shared" si="641"/>
        <v>0</v>
      </c>
      <c r="AO206" s="340">
        <f t="shared" si="167"/>
        <v>306800</v>
      </c>
      <c r="AP206" s="336">
        <f t="shared" si="642"/>
        <v>306800</v>
      </c>
      <c r="AQ206" s="339">
        <f t="shared" si="642"/>
        <v>0</v>
      </c>
      <c r="AR206" s="340">
        <f t="shared" si="168"/>
        <v>306800</v>
      </c>
      <c r="AS206" s="341">
        <f t="shared" si="783"/>
        <v>306800</v>
      </c>
      <c r="AT206" s="339">
        <f t="shared" si="783"/>
        <v>0</v>
      </c>
      <c r="AU206" s="340">
        <f t="shared" si="169"/>
        <v>306800</v>
      </c>
      <c r="AV206" s="1255">
        <f t="shared" si="170"/>
        <v>34100</v>
      </c>
      <c r="AW206" s="343"/>
      <c r="AX206" s="1098"/>
      <c r="AY206" s="345"/>
      <c r="AZ206" s="1098"/>
      <c r="BA206" s="345"/>
      <c r="BB206" s="1120"/>
      <c r="BC206" s="347"/>
      <c r="BD206" s="348"/>
      <c r="BE206" s="349"/>
      <c r="BF206" s="348"/>
      <c r="BG206" s="349">
        <v>306800</v>
      </c>
      <c r="BH206" s="350"/>
      <c r="BI206" s="351"/>
      <c r="BJ206" s="352"/>
      <c r="BK206" s="337"/>
      <c r="BL206" s="352"/>
      <c r="BM206" s="337"/>
      <c r="BN206" s="353"/>
      <c r="BO206" s="354"/>
      <c r="BP206" s="355"/>
      <c r="BQ206" s="356"/>
      <c r="BR206" s="355"/>
      <c r="BS206" s="356"/>
      <c r="BT206" s="357"/>
    </row>
    <row r="207" spans="1:72" s="358" customFormat="1" ht="63">
      <c r="A207" s="287">
        <v>162</v>
      </c>
      <c r="B207" s="933"/>
      <c r="C207" s="837" t="s">
        <v>377</v>
      </c>
      <c r="D207" s="838"/>
      <c r="E207" s="836" t="s">
        <v>201</v>
      </c>
      <c r="F207" s="830" t="s">
        <v>31</v>
      </c>
      <c r="G207" s="360">
        <v>4</v>
      </c>
      <c r="H207" s="506" t="s">
        <v>47</v>
      </c>
      <c r="I207" s="360">
        <v>244</v>
      </c>
      <c r="J207" s="361">
        <v>310</v>
      </c>
      <c r="K207" s="362" t="s">
        <v>790</v>
      </c>
      <c r="L207" s="1023">
        <f>L208</f>
        <v>795400</v>
      </c>
      <c r="M207" s="363"/>
      <c r="N207" s="363">
        <f>N208</f>
        <v>0</v>
      </c>
      <c r="O207" s="1051">
        <f t="shared" si="787"/>
        <v>795400</v>
      </c>
      <c r="P207" s="557"/>
      <c r="Q207" s="367">
        <v>0</v>
      </c>
      <c r="R207" s="557"/>
      <c r="S207" s="367">
        <v>0</v>
      </c>
      <c r="T207" s="557"/>
      <c r="U207" s="365"/>
      <c r="V207" s="366"/>
      <c r="W207" s="366"/>
      <c r="X207" s="366"/>
      <c r="Z207" s="367">
        <f t="shared" si="637"/>
        <v>0</v>
      </c>
      <c r="AA207" s="363">
        <f t="shared" si="637"/>
        <v>0</v>
      </c>
      <c r="AB207" s="280">
        <f t="shared" si="163"/>
        <v>0</v>
      </c>
      <c r="AC207" s="367">
        <f t="shared" si="638"/>
        <v>715900</v>
      </c>
      <c r="AD207" s="363">
        <f t="shared" si="638"/>
        <v>0</v>
      </c>
      <c r="AE207" s="280">
        <f t="shared" si="164"/>
        <v>715900</v>
      </c>
      <c r="AF207" s="367">
        <f t="shared" si="639"/>
        <v>0</v>
      </c>
      <c r="AG207" s="363">
        <f t="shared" si="639"/>
        <v>0</v>
      </c>
      <c r="AH207" s="280">
        <f t="shared" si="165"/>
        <v>0</v>
      </c>
      <c r="AI207" s="367">
        <f t="shared" si="640"/>
        <v>0</v>
      </c>
      <c r="AJ207" s="363">
        <f t="shared" si="640"/>
        <v>0</v>
      </c>
      <c r="AK207" s="280">
        <f t="shared" si="166"/>
        <v>0</v>
      </c>
      <c r="AL207" s="368"/>
      <c r="AM207" s="367">
        <f t="shared" si="641"/>
        <v>715900</v>
      </c>
      <c r="AN207" s="363">
        <f t="shared" si="641"/>
        <v>0</v>
      </c>
      <c r="AO207" s="280">
        <f t="shared" si="167"/>
        <v>715900</v>
      </c>
      <c r="AP207" s="367">
        <f t="shared" si="642"/>
        <v>715900</v>
      </c>
      <c r="AQ207" s="363">
        <f t="shared" si="642"/>
        <v>0</v>
      </c>
      <c r="AR207" s="280">
        <f t="shared" si="168"/>
        <v>715900</v>
      </c>
      <c r="AS207" s="367">
        <f t="shared" si="783"/>
        <v>715900</v>
      </c>
      <c r="AT207" s="363">
        <f t="shared" si="783"/>
        <v>0</v>
      </c>
      <c r="AU207" s="280">
        <f t="shared" si="169"/>
        <v>715900</v>
      </c>
      <c r="AV207" s="1253">
        <f t="shared" si="170"/>
        <v>79500</v>
      </c>
      <c r="AW207" s="367">
        <f t="shared" ref="AW207:BT207" si="812">SUM(AW208:AW208)</f>
        <v>0</v>
      </c>
      <c r="AX207" s="1097">
        <f t="shared" si="812"/>
        <v>0</v>
      </c>
      <c r="AY207" s="363">
        <f t="shared" si="812"/>
        <v>0</v>
      </c>
      <c r="AZ207" s="1097">
        <f t="shared" si="812"/>
        <v>0</v>
      </c>
      <c r="BA207" s="363">
        <f t="shared" si="812"/>
        <v>0</v>
      </c>
      <c r="BB207" s="1119">
        <f t="shared" si="812"/>
        <v>0</v>
      </c>
      <c r="BC207" s="367">
        <f t="shared" si="812"/>
        <v>0</v>
      </c>
      <c r="BD207" s="363">
        <f t="shared" si="812"/>
        <v>0</v>
      </c>
      <c r="BE207" s="363">
        <f t="shared" si="812"/>
        <v>0</v>
      </c>
      <c r="BF207" s="363">
        <f t="shared" si="812"/>
        <v>0</v>
      </c>
      <c r="BG207" s="363">
        <f t="shared" si="812"/>
        <v>715900</v>
      </c>
      <c r="BH207" s="369">
        <f t="shared" si="812"/>
        <v>0</v>
      </c>
      <c r="BI207" s="367">
        <f t="shared" si="812"/>
        <v>0</v>
      </c>
      <c r="BJ207" s="363">
        <f t="shared" si="812"/>
        <v>0</v>
      </c>
      <c r="BK207" s="363">
        <f t="shared" si="812"/>
        <v>0</v>
      </c>
      <c r="BL207" s="363">
        <f t="shared" si="812"/>
        <v>0</v>
      </c>
      <c r="BM207" s="363">
        <f t="shared" si="812"/>
        <v>0</v>
      </c>
      <c r="BN207" s="369">
        <f t="shared" si="812"/>
        <v>0</v>
      </c>
      <c r="BO207" s="367">
        <f t="shared" si="812"/>
        <v>0</v>
      </c>
      <c r="BP207" s="363">
        <f t="shared" si="812"/>
        <v>0</v>
      </c>
      <c r="BQ207" s="363">
        <f t="shared" si="812"/>
        <v>0</v>
      </c>
      <c r="BR207" s="363">
        <f t="shared" si="812"/>
        <v>0</v>
      </c>
      <c r="BS207" s="363">
        <f t="shared" si="812"/>
        <v>0</v>
      </c>
      <c r="BT207" s="280">
        <f t="shared" si="812"/>
        <v>0</v>
      </c>
    </row>
    <row r="208" spans="1:72" s="313" customFormat="1" ht="76.5" outlineLevel="1">
      <c r="A208" s="287">
        <v>163</v>
      </c>
      <c r="B208" s="940"/>
      <c r="C208" s="840"/>
      <c r="D208" s="841"/>
      <c r="E208" s="839"/>
      <c r="F208" s="821" t="s">
        <v>31</v>
      </c>
      <c r="G208" s="314">
        <v>4</v>
      </c>
      <c r="H208" s="739" t="s">
        <v>47</v>
      </c>
      <c r="I208" s="739">
        <v>244</v>
      </c>
      <c r="J208" s="740">
        <v>310</v>
      </c>
      <c r="K208" s="317" t="s">
        <v>303</v>
      </c>
      <c r="L208" s="1029">
        <v>795400</v>
      </c>
      <c r="M208" s="403"/>
      <c r="N208" s="403"/>
      <c r="O208" s="1063">
        <f t="shared" si="787"/>
        <v>795400</v>
      </c>
      <c r="P208" s="566"/>
      <c r="Q208" s="406">
        <v>0</v>
      </c>
      <c r="R208" s="566"/>
      <c r="S208" s="406">
        <v>0</v>
      </c>
      <c r="T208" s="566"/>
      <c r="U208" s="335"/>
      <c r="V208" s="597" t="s">
        <v>879</v>
      </c>
      <c r="W208" s="597" t="s">
        <v>890</v>
      </c>
      <c r="X208" s="597" t="s">
        <v>889</v>
      </c>
      <c r="Z208" s="336">
        <f t="shared" si="637"/>
        <v>0</v>
      </c>
      <c r="AA208" s="337">
        <f t="shared" si="637"/>
        <v>0</v>
      </c>
      <c r="AB208" s="338">
        <f t="shared" si="163"/>
        <v>0</v>
      </c>
      <c r="AC208" s="336">
        <f t="shared" si="638"/>
        <v>715900</v>
      </c>
      <c r="AD208" s="337">
        <f t="shared" si="638"/>
        <v>0</v>
      </c>
      <c r="AE208" s="338">
        <f t="shared" si="164"/>
        <v>715900</v>
      </c>
      <c r="AF208" s="336">
        <f t="shared" si="639"/>
        <v>0</v>
      </c>
      <c r="AG208" s="337">
        <f t="shared" si="639"/>
        <v>0</v>
      </c>
      <c r="AH208" s="338">
        <f t="shared" si="165"/>
        <v>0</v>
      </c>
      <c r="AI208" s="336">
        <f t="shared" si="640"/>
        <v>0</v>
      </c>
      <c r="AJ208" s="337">
        <f t="shared" si="640"/>
        <v>0</v>
      </c>
      <c r="AK208" s="338">
        <f t="shared" si="166"/>
        <v>0</v>
      </c>
      <c r="AL208" s="342"/>
      <c r="AM208" s="336">
        <f t="shared" si="641"/>
        <v>715900</v>
      </c>
      <c r="AN208" s="339">
        <f t="shared" si="641"/>
        <v>0</v>
      </c>
      <c r="AO208" s="340">
        <f t="shared" si="167"/>
        <v>715900</v>
      </c>
      <c r="AP208" s="336">
        <f t="shared" si="642"/>
        <v>715900</v>
      </c>
      <c r="AQ208" s="339">
        <f t="shared" si="642"/>
        <v>0</v>
      </c>
      <c r="AR208" s="340">
        <f t="shared" si="168"/>
        <v>715900</v>
      </c>
      <c r="AS208" s="341">
        <f t="shared" si="783"/>
        <v>715900</v>
      </c>
      <c r="AT208" s="339">
        <f t="shared" si="783"/>
        <v>0</v>
      </c>
      <c r="AU208" s="340">
        <f t="shared" si="169"/>
        <v>715900</v>
      </c>
      <c r="AV208" s="1255">
        <f t="shared" si="170"/>
        <v>79500</v>
      </c>
      <c r="AW208" s="343"/>
      <c r="AX208" s="1098"/>
      <c r="AY208" s="345"/>
      <c r="AZ208" s="1098"/>
      <c r="BA208" s="345"/>
      <c r="BB208" s="1120"/>
      <c r="BC208" s="347"/>
      <c r="BD208" s="348"/>
      <c r="BE208" s="349"/>
      <c r="BF208" s="348"/>
      <c r="BG208" s="349">
        <v>715900</v>
      </c>
      <c r="BH208" s="350"/>
      <c r="BI208" s="351"/>
      <c r="BJ208" s="352"/>
      <c r="BK208" s="337"/>
      <c r="BL208" s="352"/>
      <c r="BM208" s="337"/>
      <c r="BN208" s="353"/>
      <c r="BO208" s="354"/>
      <c r="BP208" s="355"/>
      <c r="BQ208" s="356"/>
      <c r="BR208" s="355"/>
      <c r="BS208" s="356"/>
      <c r="BT208" s="357"/>
    </row>
    <row r="209" spans="1:72" s="358" customFormat="1" ht="63">
      <c r="A209" s="287">
        <v>164</v>
      </c>
      <c r="B209" s="933"/>
      <c r="C209" s="837" t="s">
        <v>377</v>
      </c>
      <c r="D209" s="838"/>
      <c r="E209" s="836" t="s">
        <v>201</v>
      </c>
      <c r="F209" s="830" t="s">
        <v>7</v>
      </c>
      <c r="G209" s="360">
        <v>4</v>
      </c>
      <c r="H209" s="506" t="s">
        <v>47</v>
      </c>
      <c r="I209" s="360">
        <v>244</v>
      </c>
      <c r="J209" s="361">
        <v>310</v>
      </c>
      <c r="K209" s="362" t="s">
        <v>790</v>
      </c>
      <c r="L209" s="1023">
        <f>L210</f>
        <v>59805.26</v>
      </c>
      <c r="M209" s="363"/>
      <c r="N209" s="363">
        <f>N210</f>
        <v>0</v>
      </c>
      <c r="O209" s="1051">
        <f t="shared" si="787"/>
        <v>59805.26</v>
      </c>
      <c r="P209" s="557"/>
      <c r="Q209" s="367">
        <v>0</v>
      </c>
      <c r="R209" s="557"/>
      <c r="S209" s="367">
        <v>0</v>
      </c>
      <c r="T209" s="557"/>
      <c r="U209" s="365"/>
      <c r="V209" s="366"/>
      <c r="W209" s="366"/>
      <c r="X209" s="366"/>
      <c r="Z209" s="367">
        <f t="shared" si="637"/>
        <v>0</v>
      </c>
      <c r="AA209" s="363">
        <f t="shared" si="637"/>
        <v>0</v>
      </c>
      <c r="AB209" s="280">
        <f t="shared" si="163"/>
        <v>0</v>
      </c>
      <c r="AC209" s="367">
        <f t="shared" si="638"/>
        <v>53826.32</v>
      </c>
      <c r="AD209" s="363">
        <f t="shared" si="638"/>
        <v>0</v>
      </c>
      <c r="AE209" s="280">
        <f t="shared" si="164"/>
        <v>53826.32</v>
      </c>
      <c r="AF209" s="367">
        <f t="shared" si="639"/>
        <v>0</v>
      </c>
      <c r="AG209" s="363">
        <f t="shared" si="639"/>
        <v>0</v>
      </c>
      <c r="AH209" s="280">
        <f t="shared" si="165"/>
        <v>0</v>
      </c>
      <c r="AI209" s="367">
        <f t="shared" si="640"/>
        <v>0</v>
      </c>
      <c r="AJ209" s="363">
        <f t="shared" si="640"/>
        <v>0</v>
      </c>
      <c r="AK209" s="280">
        <f t="shared" si="166"/>
        <v>0</v>
      </c>
      <c r="AL209" s="368"/>
      <c r="AM209" s="367">
        <f t="shared" si="641"/>
        <v>53826.32</v>
      </c>
      <c r="AN209" s="363">
        <f t="shared" si="641"/>
        <v>0</v>
      </c>
      <c r="AO209" s="280">
        <f t="shared" si="167"/>
        <v>53826.32</v>
      </c>
      <c r="AP209" s="367">
        <f t="shared" si="642"/>
        <v>53826.32</v>
      </c>
      <c r="AQ209" s="363">
        <f t="shared" si="642"/>
        <v>0</v>
      </c>
      <c r="AR209" s="280">
        <f t="shared" si="168"/>
        <v>53826.32</v>
      </c>
      <c r="AS209" s="367">
        <f t="shared" si="783"/>
        <v>53826.32</v>
      </c>
      <c r="AT209" s="363">
        <f t="shared" si="783"/>
        <v>0</v>
      </c>
      <c r="AU209" s="280">
        <f t="shared" si="169"/>
        <v>53826.32</v>
      </c>
      <c r="AV209" s="1253">
        <f t="shared" si="170"/>
        <v>5978.94</v>
      </c>
      <c r="AW209" s="367">
        <f t="shared" ref="AW209:BT209" si="813">SUM(AW210:AW210)</f>
        <v>0</v>
      </c>
      <c r="AX209" s="1097">
        <f t="shared" si="813"/>
        <v>0</v>
      </c>
      <c r="AY209" s="363">
        <f t="shared" si="813"/>
        <v>0</v>
      </c>
      <c r="AZ209" s="1097">
        <f t="shared" si="813"/>
        <v>0</v>
      </c>
      <c r="BA209" s="363">
        <f t="shared" si="813"/>
        <v>0</v>
      </c>
      <c r="BB209" s="1119">
        <f t="shared" si="813"/>
        <v>0</v>
      </c>
      <c r="BC209" s="367">
        <f t="shared" si="813"/>
        <v>0</v>
      </c>
      <c r="BD209" s="363">
        <f t="shared" si="813"/>
        <v>0</v>
      </c>
      <c r="BE209" s="363">
        <f t="shared" si="813"/>
        <v>0</v>
      </c>
      <c r="BF209" s="363">
        <f t="shared" si="813"/>
        <v>0</v>
      </c>
      <c r="BG209" s="363">
        <f t="shared" si="813"/>
        <v>53826.32</v>
      </c>
      <c r="BH209" s="369">
        <f t="shared" si="813"/>
        <v>0</v>
      </c>
      <c r="BI209" s="367">
        <f t="shared" si="813"/>
        <v>0</v>
      </c>
      <c r="BJ209" s="363">
        <f t="shared" si="813"/>
        <v>0</v>
      </c>
      <c r="BK209" s="363">
        <f t="shared" si="813"/>
        <v>0</v>
      </c>
      <c r="BL209" s="363">
        <f t="shared" si="813"/>
        <v>0</v>
      </c>
      <c r="BM209" s="363">
        <f t="shared" si="813"/>
        <v>0</v>
      </c>
      <c r="BN209" s="369">
        <f t="shared" si="813"/>
        <v>0</v>
      </c>
      <c r="BO209" s="367">
        <f t="shared" si="813"/>
        <v>0</v>
      </c>
      <c r="BP209" s="363">
        <f t="shared" si="813"/>
        <v>0</v>
      </c>
      <c r="BQ209" s="363">
        <f t="shared" si="813"/>
        <v>0</v>
      </c>
      <c r="BR209" s="363">
        <f t="shared" si="813"/>
        <v>0</v>
      </c>
      <c r="BS209" s="363">
        <f t="shared" si="813"/>
        <v>0</v>
      </c>
      <c r="BT209" s="280">
        <f t="shared" si="813"/>
        <v>0</v>
      </c>
    </row>
    <row r="210" spans="1:72" s="313" customFormat="1" ht="76.5" outlineLevel="1">
      <c r="A210" s="287">
        <v>165</v>
      </c>
      <c r="B210" s="940"/>
      <c r="C210" s="840"/>
      <c r="D210" s="841"/>
      <c r="E210" s="839"/>
      <c r="F210" s="821" t="s">
        <v>7</v>
      </c>
      <c r="G210" s="314">
        <v>4</v>
      </c>
      <c r="H210" s="739" t="s">
        <v>47</v>
      </c>
      <c r="I210" s="739">
        <v>244</v>
      </c>
      <c r="J210" s="740">
        <v>310</v>
      </c>
      <c r="K210" s="317" t="s">
        <v>303</v>
      </c>
      <c r="L210" s="1029">
        <v>59805.26</v>
      </c>
      <c r="M210" s="403"/>
      <c r="N210" s="403"/>
      <c r="O210" s="1063">
        <f t="shared" si="787"/>
        <v>59805.26</v>
      </c>
      <c r="P210" s="566"/>
      <c r="Q210" s="406">
        <v>0</v>
      </c>
      <c r="R210" s="566"/>
      <c r="S210" s="406">
        <v>0</v>
      </c>
      <c r="T210" s="566"/>
      <c r="U210" s="335"/>
      <c r="V210" s="597" t="s">
        <v>879</v>
      </c>
      <c r="W210" s="597" t="s">
        <v>890</v>
      </c>
      <c r="X210" s="597" t="s">
        <v>889</v>
      </c>
      <c r="Z210" s="336">
        <f t="shared" ref="Z210:AA210" si="814">AW210+AY210+BA210</f>
        <v>0</v>
      </c>
      <c r="AA210" s="337">
        <f t="shared" si="814"/>
        <v>0</v>
      </c>
      <c r="AB210" s="338">
        <f t="shared" si="163"/>
        <v>0</v>
      </c>
      <c r="AC210" s="336">
        <f t="shared" ref="AC210:AD210" si="815">BC210+BE210+BG210</f>
        <v>53826.32</v>
      </c>
      <c r="AD210" s="337">
        <f t="shared" si="815"/>
        <v>0</v>
      </c>
      <c r="AE210" s="338">
        <f t="shared" si="164"/>
        <v>53826.32</v>
      </c>
      <c r="AF210" s="336">
        <f t="shared" ref="AF210:AG210" si="816">BI210+BK210+BM210</f>
        <v>0</v>
      </c>
      <c r="AG210" s="337">
        <f t="shared" si="816"/>
        <v>0</v>
      </c>
      <c r="AH210" s="338">
        <f t="shared" si="165"/>
        <v>0</v>
      </c>
      <c r="AI210" s="336">
        <f t="shared" ref="AI210:AJ210" si="817">BO210+BQ210+BS210</f>
        <v>0</v>
      </c>
      <c r="AJ210" s="337">
        <f t="shared" si="817"/>
        <v>0</v>
      </c>
      <c r="AK210" s="338">
        <f t="shared" si="166"/>
        <v>0</v>
      </c>
      <c r="AL210" s="342"/>
      <c r="AM210" s="336">
        <f t="shared" ref="AM210:AN210" si="818">Z210+AC210</f>
        <v>53826.32</v>
      </c>
      <c r="AN210" s="339">
        <f t="shared" si="818"/>
        <v>0</v>
      </c>
      <c r="AO210" s="340">
        <f t="shared" si="167"/>
        <v>53826.32</v>
      </c>
      <c r="AP210" s="336">
        <f t="shared" ref="AP210:AQ210" si="819">Z210+AC210+AF210</f>
        <v>53826.32</v>
      </c>
      <c r="AQ210" s="339">
        <f t="shared" si="819"/>
        <v>0</v>
      </c>
      <c r="AR210" s="340">
        <f t="shared" si="168"/>
        <v>53826.32</v>
      </c>
      <c r="AS210" s="341">
        <f t="shared" si="783"/>
        <v>53826.32</v>
      </c>
      <c r="AT210" s="339">
        <f t="shared" si="783"/>
        <v>0</v>
      </c>
      <c r="AU210" s="340">
        <f t="shared" si="169"/>
        <v>53826.32</v>
      </c>
      <c r="AV210" s="1255">
        <f t="shared" si="170"/>
        <v>5978.94</v>
      </c>
      <c r="AW210" s="343"/>
      <c r="AX210" s="1098"/>
      <c r="AY210" s="345"/>
      <c r="AZ210" s="1098"/>
      <c r="BA210" s="345"/>
      <c r="BB210" s="1120"/>
      <c r="BC210" s="347"/>
      <c r="BD210" s="348"/>
      <c r="BE210" s="349"/>
      <c r="BF210" s="348"/>
      <c r="BG210" s="349">
        <v>53826.32</v>
      </c>
      <c r="BH210" s="350"/>
      <c r="BI210" s="351"/>
      <c r="BJ210" s="352"/>
      <c r="BK210" s="337"/>
      <c r="BL210" s="352"/>
      <c r="BM210" s="337"/>
      <c r="BN210" s="353"/>
      <c r="BO210" s="354"/>
      <c r="BP210" s="355"/>
      <c r="BQ210" s="356"/>
      <c r="BR210" s="355"/>
      <c r="BS210" s="356"/>
      <c r="BT210" s="357"/>
    </row>
    <row r="211" spans="1:72" s="86" customFormat="1" ht="15.75" customHeight="1" thickBot="1">
      <c r="A211" s="287">
        <v>166</v>
      </c>
      <c r="B211" s="933"/>
      <c r="C211" s="861"/>
      <c r="D211" s="862"/>
      <c r="E211" s="287" t="s">
        <v>201</v>
      </c>
      <c r="F211" s="521" t="s">
        <v>17</v>
      </c>
      <c r="G211" s="521"/>
      <c r="H211" s="521"/>
      <c r="I211" s="521"/>
      <c r="J211" s="521"/>
      <c r="K211" s="1191" t="s">
        <v>17</v>
      </c>
      <c r="L211" s="1034">
        <f t="shared" ref="L211:U211" si="820">SUM(L12,L13,L14,L15,L16,L17,L23,L27,L28,L33,L34,L35,L38,L39,L45,L48,L51,L53,L57,L62,L67,L70,L72,L86,L133,L198,L201,L202,L203,L204,L205,L207,L209)</f>
        <v>61100183.990000002</v>
      </c>
      <c r="M211" s="550">
        <f t="shared" si="820"/>
        <v>0</v>
      </c>
      <c r="N211" s="550">
        <f t="shared" si="820"/>
        <v>-3379.25</v>
      </c>
      <c r="O211" s="550">
        <f t="shared" si="820"/>
        <v>61096804.740000002</v>
      </c>
      <c r="P211" s="568">
        <f t="shared" si="820"/>
        <v>9370294.1600000001</v>
      </c>
      <c r="Q211" s="549">
        <f t="shared" si="820"/>
        <v>42206072.039999999</v>
      </c>
      <c r="R211" s="568">
        <f t="shared" si="820"/>
        <v>0</v>
      </c>
      <c r="S211" s="549">
        <f t="shared" si="820"/>
        <v>41798874.439999998</v>
      </c>
      <c r="T211" s="568">
        <f t="shared" si="820"/>
        <v>0</v>
      </c>
      <c r="U211" s="334">
        <f t="shared" si="820"/>
        <v>0</v>
      </c>
      <c r="V211" s="305"/>
      <c r="W211" s="305"/>
      <c r="X211" s="305"/>
      <c r="Z211" s="264">
        <f t="shared" ref="Z211:AK211" si="821">SUM(Z12,Z13,Z14,Z15,Z16,Z17,Z23,Z27,Z28,Z33,Z34,Z35,Z38,Z39,Z45,Z48,Z51,Z53,Z57,Z62,Z67,Z70,Z72,Z86,Z133,Z198,Z201,Z202,Z204,Z205,Z207,Z209)</f>
        <v>13575646.43</v>
      </c>
      <c r="AA211" s="13">
        <f t="shared" si="821"/>
        <v>12894956.65</v>
      </c>
      <c r="AB211" s="258">
        <f t="shared" si="821"/>
        <v>680689.78</v>
      </c>
      <c r="AC211" s="264">
        <f t="shared" si="821"/>
        <v>22636431.25</v>
      </c>
      <c r="AD211" s="13">
        <f t="shared" si="821"/>
        <v>530133.43000000005</v>
      </c>
      <c r="AE211" s="258">
        <f t="shared" si="821"/>
        <v>22106297.82</v>
      </c>
      <c r="AF211" s="264">
        <f t="shared" si="821"/>
        <v>13648086.26</v>
      </c>
      <c r="AG211" s="13">
        <f t="shared" si="821"/>
        <v>350201.71</v>
      </c>
      <c r="AH211" s="258">
        <f t="shared" si="821"/>
        <v>13297884.550000001</v>
      </c>
      <c r="AI211" s="264">
        <f t="shared" si="821"/>
        <v>13235795.41</v>
      </c>
      <c r="AJ211" s="13">
        <f t="shared" si="821"/>
        <v>380171</v>
      </c>
      <c r="AK211" s="258">
        <f t="shared" si="821"/>
        <v>12855624.41</v>
      </c>
      <c r="AL211" s="278">
        <f t="shared" ref="AL211:BT211" si="822">SUM(AL12,AL13,AL14,AL15,AL16,AL17,AL23,AL27,AL28,AL33,AL34,AL35,AL38,AL39,AL45,AL48,AL51,AL53,AL57,AL62,AL67,AL70,AL72,AL86,AL133,AL198,AL201,AL202,AL203,AL204,AL205,AL207,AL209)</f>
        <v>0</v>
      </c>
      <c r="AM211" s="264">
        <f t="shared" si="822"/>
        <v>36212077.68</v>
      </c>
      <c r="AN211" s="13">
        <f t="shared" si="822"/>
        <v>13425090.08</v>
      </c>
      <c r="AO211" s="258">
        <f t="shared" si="822"/>
        <v>22786987.600000001</v>
      </c>
      <c r="AP211" s="264">
        <f t="shared" si="822"/>
        <v>49860163.939999998</v>
      </c>
      <c r="AQ211" s="13">
        <f t="shared" si="822"/>
        <v>13775291.789999999</v>
      </c>
      <c r="AR211" s="258">
        <f t="shared" si="822"/>
        <v>36084872.149999999</v>
      </c>
      <c r="AS211" s="549">
        <f t="shared" si="822"/>
        <v>63096759.350000001</v>
      </c>
      <c r="AT211" s="549">
        <f t="shared" si="822"/>
        <v>14155462.789999999</v>
      </c>
      <c r="AU211" s="258">
        <f t="shared" si="822"/>
        <v>48941296.560000002</v>
      </c>
      <c r="AV211" s="1266">
        <f t="shared" si="822"/>
        <v>-1996575.36</v>
      </c>
      <c r="AW211" s="278">
        <f t="shared" si="822"/>
        <v>1401290.21</v>
      </c>
      <c r="AX211" s="1113">
        <f t="shared" si="822"/>
        <v>961918.91</v>
      </c>
      <c r="AY211" s="278">
        <f t="shared" si="822"/>
        <v>4289163.8899999997</v>
      </c>
      <c r="AZ211" s="1113">
        <f t="shared" si="822"/>
        <v>5357594.72</v>
      </c>
      <c r="BA211" s="278">
        <f t="shared" si="822"/>
        <v>7885192.3300000001</v>
      </c>
      <c r="BB211" s="1113">
        <f t="shared" si="822"/>
        <v>6575443.0199999996</v>
      </c>
      <c r="BC211" s="278">
        <f t="shared" si="822"/>
        <v>4880071.5599999996</v>
      </c>
      <c r="BD211" s="278">
        <f t="shared" si="822"/>
        <v>192421.54</v>
      </c>
      <c r="BE211" s="278">
        <f t="shared" si="822"/>
        <v>4498454.96</v>
      </c>
      <c r="BF211" s="278">
        <f t="shared" si="822"/>
        <v>173420.95</v>
      </c>
      <c r="BG211" s="278">
        <f t="shared" si="822"/>
        <v>13257904.73</v>
      </c>
      <c r="BH211" s="278">
        <f t="shared" si="822"/>
        <v>164290.94</v>
      </c>
      <c r="BI211" s="278">
        <f t="shared" si="822"/>
        <v>7491265.6200000001</v>
      </c>
      <c r="BJ211" s="278">
        <f t="shared" si="822"/>
        <v>203948.99</v>
      </c>
      <c r="BK211" s="278">
        <f t="shared" si="822"/>
        <v>3082695.08</v>
      </c>
      <c r="BL211" s="278">
        <f t="shared" si="822"/>
        <v>86603.25</v>
      </c>
      <c r="BM211" s="278">
        <f t="shared" si="822"/>
        <v>3074125.56</v>
      </c>
      <c r="BN211" s="278">
        <f t="shared" si="822"/>
        <v>59649.47</v>
      </c>
      <c r="BO211" s="278">
        <f t="shared" si="822"/>
        <v>4127283.53</v>
      </c>
      <c r="BP211" s="278">
        <f t="shared" si="822"/>
        <v>200452.2</v>
      </c>
      <c r="BQ211" s="278">
        <f t="shared" si="822"/>
        <v>4078565.16</v>
      </c>
      <c r="BR211" s="278">
        <f t="shared" si="822"/>
        <v>179718.8</v>
      </c>
      <c r="BS211" s="278">
        <f t="shared" si="822"/>
        <v>5030746.72</v>
      </c>
      <c r="BT211" s="278">
        <f t="shared" si="822"/>
        <v>0</v>
      </c>
    </row>
    <row r="212" spans="1:72" s="32" customFormat="1" ht="15.75" customHeight="1">
      <c r="A212" s="287">
        <v>167</v>
      </c>
      <c r="B212" s="943"/>
      <c r="C212" s="55"/>
      <c r="D212" s="944"/>
      <c r="E212" s="942"/>
      <c r="F212" s="209"/>
      <c r="G212" s="209"/>
      <c r="H212" s="209"/>
      <c r="I212" s="209"/>
      <c r="J212" s="209"/>
      <c r="K212" s="209" t="s">
        <v>204</v>
      </c>
      <c r="L212" s="1035">
        <v>61100183.990000002</v>
      </c>
      <c r="M212" s="917"/>
      <c r="N212" s="917"/>
      <c r="O212" s="998">
        <v>61100183.990000002</v>
      </c>
      <c r="P212" s="945"/>
      <c r="Q212" s="996">
        <v>42206072.039999999</v>
      </c>
      <c r="R212" s="945"/>
      <c r="S212" s="996">
        <v>41798874.439999998</v>
      </c>
      <c r="T212" s="945"/>
      <c r="U212" s="946"/>
      <c r="V212" s="14"/>
      <c r="W212" s="14"/>
      <c r="X212" s="14"/>
      <c r="Z212" s="947">
        <f>AW212+AY212+BA212</f>
        <v>12910420.439999999</v>
      </c>
      <c r="AA212" s="917">
        <f>AX212+AZ212+BB212</f>
        <v>0</v>
      </c>
      <c r="AB212" s="948">
        <f t="shared" si="163"/>
        <v>12910420.439999999</v>
      </c>
      <c r="AC212" s="947">
        <f>BC212+BE212+BG212</f>
        <v>22170227.27</v>
      </c>
      <c r="AD212" s="917">
        <f>BD212+BF212+BH212</f>
        <v>0</v>
      </c>
      <c r="AE212" s="948">
        <f t="shared" si="164"/>
        <v>22170227.27</v>
      </c>
      <c r="AF212" s="947">
        <f>BI212+BK212+BM212</f>
        <v>9451200.7699999996</v>
      </c>
      <c r="AG212" s="917">
        <f>BJ212+BL212+BN212</f>
        <v>0</v>
      </c>
      <c r="AH212" s="948">
        <f t="shared" si="165"/>
        <v>9451200.7699999996</v>
      </c>
      <c r="AI212" s="947">
        <f>BO212+BQ212+BS212</f>
        <v>6043144.4100000001</v>
      </c>
      <c r="AJ212" s="917">
        <f>BP212+BR212+BT212</f>
        <v>0</v>
      </c>
      <c r="AK212" s="948">
        <f t="shared" si="166"/>
        <v>6043144.4100000001</v>
      </c>
      <c r="AL212" s="917"/>
      <c r="AM212" s="947">
        <f>Z212+AC212</f>
        <v>35080647.710000001</v>
      </c>
      <c r="AN212" s="917">
        <f>AA212+AD212</f>
        <v>0</v>
      </c>
      <c r="AO212" s="948">
        <f t="shared" si="167"/>
        <v>35080647.710000001</v>
      </c>
      <c r="AP212" s="947">
        <f>Z212+AC212+AF212</f>
        <v>44531848.479999997</v>
      </c>
      <c r="AQ212" s="917">
        <f>AA212+AD212+AG212</f>
        <v>0</v>
      </c>
      <c r="AR212" s="948">
        <f t="shared" si="168"/>
        <v>44531848.479999997</v>
      </c>
      <c r="AS212" s="947">
        <f>Z212+AC212+AF212+AI212</f>
        <v>50574992.890000001</v>
      </c>
      <c r="AT212" s="917">
        <f t="shared" ref="AT212:AU212" si="823">AA212+AD212+AG212+AJ212</f>
        <v>0</v>
      </c>
      <c r="AU212" s="948">
        <f t="shared" si="823"/>
        <v>50574992.890000001</v>
      </c>
      <c r="AV212" s="1266"/>
      <c r="AW212" s="277">
        <v>1498437</v>
      </c>
      <c r="AX212" s="1114"/>
      <c r="AY212" s="277">
        <v>4852718.38</v>
      </c>
      <c r="AZ212" s="1114"/>
      <c r="BA212" s="277">
        <v>6559265.0599999996</v>
      </c>
      <c r="BB212" s="1114"/>
      <c r="BC212" s="277">
        <v>5725270.2599999998</v>
      </c>
      <c r="BD212" s="277"/>
      <c r="BE212" s="277">
        <v>4459231.41</v>
      </c>
      <c r="BF212" s="277"/>
      <c r="BG212" s="277">
        <v>11985725.6</v>
      </c>
      <c r="BH212" s="277"/>
      <c r="BI212" s="277">
        <v>4519128.5199999996</v>
      </c>
      <c r="BJ212" s="277"/>
      <c r="BK212" s="277">
        <v>2646468.16</v>
      </c>
      <c r="BL212" s="277"/>
      <c r="BM212" s="277">
        <v>2285604.09</v>
      </c>
      <c r="BN212" s="277"/>
      <c r="BO212" s="277">
        <v>1514774.59</v>
      </c>
      <c r="BP212" s="277"/>
      <c r="BQ212" s="277">
        <v>1923859.03</v>
      </c>
      <c r="BR212" s="277"/>
      <c r="BS212" s="277">
        <v>2604510.79</v>
      </c>
      <c r="BT212" s="917"/>
    </row>
    <row r="213" spans="1:72" s="31" customFormat="1" ht="15.75" customHeight="1" thickBot="1">
      <c r="A213" s="287">
        <v>168</v>
      </c>
      <c r="B213" s="933"/>
      <c r="C213" s="845"/>
      <c r="D213" s="849"/>
      <c r="E213" s="287"/>
      <c r="F213" s="209"/>
      <c r="G213" s="209"/>
      <c r="H213" s="209"/>
      <c r="I213" s="209"/>
      <c r="J213" s="209"/>
      <c r="K213" s="209" t="s">
        <v>368</v>
      </c>
      <c r="L213" s="1036">
        <f>L212-L211</f>
        <v>0</v>
      </c>
      <c r="M213" s="211"/>
      <c r="N213" s="211"/>
      <c r="O213" s="970">
        <f>O212-O211</f>
        <v>3379.25</v>
      </c>
      <c r="P213" s="330"/>
      <c r="Q213" s="277">
        <f>Q212-Q211</f>
        <v>0</v>
      </c>
      <c r="R213" s="330"/>
      <c r="S213" s="277">
        <f>S212-S211</f>
        <v>0</v>
      </c>
      <c r="T213" s="330"/>
      <c r="U213" s="334"/>
      <c r="V213" s="611" t="s">
        <v>385</v>
      </c>
      <c r="W213" s="7"/>
      <c r="X213" s="613">
        <f>Z213+AC213+AF213+AI213</f>
        <v>50522159.640000001</v>
      </c>
      <c r="Z213" s="612">
        <v>13660420.439999999</v>
      </c>
      <c r="AA213" s="264"/>
      <c r="AB213" s="264"/>
      <c r="AC213" s="612">
        <v>22920227.27</v>
      </c>
      <c r="AD213" s="264"/>
      <c r="AE213" s="264"/>
      <c r="AF213" s="612">
        <v>7951200.7699999996</v>
      </c>
      <c r="AG213" s="264"/>
      <c r="AH213" s="264"/>
      <c r="AI213" s="612">
        <v>5990311.1600000001</v>
      </c>
      <c r="AJ213" s="264"/>
      <c r="AK213" s="264"/>
      <c r="AL213" s="211"/>
      <c r="AM213" s="265"/>
      <c r="AN213" s="211"/>
      <c r="AO213" s="259"/>
      <c r="AP213" s="265"/>
      <c r="AQ213" s="211"/>
      <c r="AR213" s="259"/>
      <c r="AS213" s="265"/>
      <c r="AT213" s="211"/>
      <c r="AU213" s="259"/>
      <c r="AV213" s="1266"/>
      <c r="AW213" s="951">
        <f>AW212-AW211</f>
        <v>97146.79</v>
      </c>
      <c r="AX213" s="1115">
        <f t="shared" ref="AX213:BS213" si="824">AX212-AX211</f>
        <v>-961918.91</v>
      </c>
      <c r="AY213" s="951">
        <f t="shared" si="824"/>
        <v>563554.49</v>
      </c>
      <c r="AZ213" s="1115">
        <f t="shared" si="824"/>
        <v>-5357594.72</v>
      </c>
      <c r="BA213" s="951">
        <f t="shared" si="824"/>
        <v>-1325927.27</v>
      </c>
      <c r="BB213" s="1115">
        <f t="shared" si="824"/>
        <v>-6575443.0199999996</v>
      </c>
      <c r="BC213" s="951">
        <f t="shared" si="824"/>
        <v>845198.7</v>
      </c>
      <c r="BD213" s="951">
        <f t="shared" si="824"/>
        <v>-192421.54</v>
      </c>
      <c r="BE213" s="951">
        <f t="shared" si="824"/>
        <v>-39223.550000000003</v>
      </c>
      <c r="BF213" s="951">
        <f t="shared" si="824"/>
        <v>-173420.95</v>
      </c>
      <c r="BG213" s="951">
        <f t="shared" si="824"/>
        <v>-1272179.1299999999</v>
      </c>
      <c r="BH213" s="951">
        <f t="shared" si="824"/>
        <v>-164290.94</v>
      </c>
      <c r="BI213" s="951">
        <f t="shared" si="824"/>
        <v>-2972137.1</v>
      </c>
      <c r="BJ213" s="951">
        <f t="shared" si="824"/>
        <v>-203948.99</v>
      </c>
      <c r="BK213" s="951">
        <f t="shared" si="824"/>
        <v>-436226.92</v>
      </c>
      <c r="BL213" s="951">
        <f t="shared" si="824"/>
        <v>-86603.25</v>
      </c>
      <c r="BM213" s="951">
        <f t="shared" si="824"/>
        <v>-788521.47</v>
      </c>
      <c r="BN213" s="951">
        <f t="shared" si="824"/>
        <v>-59649.47</v>
      </c>
      <c r="BO213" s="951">
        <f t="shared" si="824"/>
        <v>-2612508.94</v>
      </c>
      <c r="BP213" s="951">
        <f t="shared" si="824"/>
        <v>-200452.2</v>
      </c>
      <c r="BQ213" s="951">
        <f t="shared" si="824"/>
        <v>-2154706.13</v>
      </c>
      <c r="BR213" s="951">
        <f t="shared" si="824"/>
        <v>-179718.8</v>
      </c>
      <c r="BS213" s="951">
        <f t="shared" si="824"/>
        <v>-2426235.9300000002</v>
      </c>
      <c r="BT213" s="211"/>
    </row>
    <row r="214" spans="1:72" s="31" customFormat="1" ht="15.75" customHeight="1">
      <c r="A214" s="287">
        <v>169</v>
      </c>
      <c r="B214" s="933"/>
      <c r="C214" s="845"/>
      <c r="D214" s="849"/>
      <c r="E214" s="287" t="s">
        <v>201</v>
      </c>
      <c r="F214" s="209"/>
      <c r="G214" s="209"/>
      <c r="H214" s="209"/>
      <c r="I214" s="209"/>
      <c r="J214" s="209"/>
      <c r="K214" s="209"/>
      <c r="L214" s="1036"/>
      <c r="M214" s="211"/>
      <c r="N214" s="211"/>
      <c r="O214" s="211"/>
      <c r="P214" s="330"/>
      <c r="Q214" s="211"/>
      <c r="R214" s="330"/>
      <c r="S214" s="211"/>
      <c r="T214" s="330"/>
      <c r="U214" s="334"/>
      <c r="V214" s="611"/>
      <c r="W214" s="7"/>
      <c r="X214" s="613"/>
      <c r="Z214" s="730"/>
      <c r="AA214" s="278"/>
      <c r="AB214" s="278"/>
      <c r="AC214" s="730"/>
      <c r="AD214" s="278"/>
      <c r="AE214" s="278"/>
      <c r="AF214" s="730"/>
      <c r="AG214" s="278"/>
      <c r="AH214" s="278"/>
      <c r="AI214" s="730"/>
      <c r="AJ214" s="278"/>
      <c r="AK214" s="278"/>
      <c r="AL214" s="211"/>
      <c r="AM214" s="265"/>
      <c r="AN214" s="211"/>
      <c r="AO214" s="259"/>
      <c r="AP214" s="265"/>
      <c r="AQ214" s="211"/>
      <c r="AR214" s="259"/>
      <c r="AS214" s="265"/>
      <c r="AT214" s="211"/>
      <c r="AU214" s="259"/>
      <c r="AV214" s="1266"/>
      <c r="AW214" s="211"/>
      <c r="AX214" s="1116"/>
      <c r="AY214" s="211"/>
      <c r="AZ214" s="1116"/>
      <c r="BA214" s="211"/>
      <c r="BB214" s="1116"/>
      <c r="BC214" s="211"/>
      <c r="BD214" s="211"/>
      <c r="BE214" s="211"/>
      <c r="BF214" s="211"/>
      <c r="BG214" s="211"/>
      <c r="BH214" s="211"/>
      <c r="BI214" s="211"/>
      <c r="BJ214" s="211"/>
      <c r="BK214" s="211"/>
      <c r="BL214" s="211"/>
      <c r="BM214" s="211"/>
      <c r="BN214" s="211"/>
      <c r="BO214" s="211"/>
      <c r="BP214" s="211"/>
      <c r="BQ214" s="211"/>
      <c r="BR214" s="211"/>
      <c r="BS214" s="211"/>
      <c r="BT214" s="211"/>
    </row>
    <row r="215" spans="1:72" s="31" customFormat="1" ht="23.25" customHeight="1" thickBot="1">
      <c r="A215" s="287">
        <v>170</v>
      </c>
      <c r="B215" s="933"/>
      <c r="C215" s="845"/>
      <c r="D215" s="849"/>
      <c r="E215" s="287" t="s">
        <v>201</v>
      </c>
      <c r="F215" s="372" t="s">
        <v>218</v>
      </c>
      <c r="G215" s="309"/>
      <c r="H215" s="309"/>
      <c r="I215" s="309"/>
      <c r="J215" s="309"/>
      <c r="K215" s="309"/>
      <c r="L215" s="1037"/>
      <c r="M215" s="216"/>
      <c r="N215" s="216"/>
      <c r="O215" s="216"/>
      <c r="P215" s="331"/>
      <c r="Q215" s="216"/>
      <c r="R215" s="331"/>
      <c r="S215" s="216"/>
      <c r="T215" s="331"/>
      <c r="U215" s="334"/>
      <c r="V215" s="614"/>
      <c r="W215" s="7"/>
      <c r="X215" s="7">
        <f>Z215+AC215+AF215+AI215</f>
        <v>-12573799.710000001</v>
      </c>
      <c r="Y215" s="215"/>
      <c r="Z215" s="267">
        <f>Z213-Z211</f>
        <v>84774.01</v>
      </c>
      <c r="AA215" s="216"/>
      <c r="AB215" s="260"/>
      <c r="AC215" s="267">
        <f>AC213-AC211</f>
        <v>283796.02</v>
      </c>
      <c r="AD215" s="216"/>
      <c r="AE215" s="260"/>
      <c r="AF215" s="267">
        <f>AF213-AF211</f>
        <v>-5696885.4900000002</v>
      </c>
      <c r="AG215" s="216"/>
      <c r="AH215" s="260"/>
      <c r="AI215" s="267">
        <f>AI213-AI211</f>
        <v>-7245484.25</v>
      </c>
      <c r="AJ215" s="216"/>
      <c r="AK215" s="260"/>
      <c r="AL215" s="216"/>
      <c r="AM215" s="266"/>
      <c r="AN215" s="216"/>
      <c r="AO215" s="260"/>
      <c r="AP215" s="266"/>
      <c r="AQ215" s="216"/>
      <c r="AR215" s="260"/>
      <c r="AS215" s="266">
        <v>0</v>
      </c>
      <c r="AT215" s="216"/>
      <c r="AU215" s="260"/>
      <c r="AV215" s="1267">
        <f t="shared" si="170"/>
        <v>0</v>
      </c>
      <c r="AW215" s="216"/>
      <c r="AX215" s="1117"/>
      <c r="AY215" s="216"/>
      <c r="AZ215" s="1117"/>
      <c r="BA215" s="216"/>
      <c r="BB215" s="1117"/>
      <c r="BC215" s="216"/>
      <c r="BD215" s="216"/>
      <c r="BE215" s="216"/>
      <c r="BF215" s="216"/>
      <c r="BG215" s="216"/>
      <c r="BH215" s="216"/>
      <c r="BI215" s="216"/>
      <c r="BJ215" s="216"/>
      <c r="BK215" s="216"/>
      <c r="BL215" s="216"/>
      <c r="BM215" s="216"/>
      <c r="BN215" s="216"/>
      <c r="BO215" s="216"/>
      <c r="BP215" s="216"/>
      <c r="BQ215" s="216"/>
      <c r="BR215" s="216"/>
      <c r="BS215" s="216"/>
      <c r="BT215" s="216"/>
    </row>
    <row r="216" spans="1:72" s="358" customFormat="1" ht="31.5" customHeight="1">
      <c r="A216" s="287">
        <v>171</v>
      </c>
      <c r="B216" s="933"/>
      <c r="C216" s="850" t="s">
        <v>377</v>
      </c>
      <c r="D216" s="838"/>
      <c r="E216" s="836" t="s">
        <v>201</v>
      </c>
      <c r="F216" s="820" t="s">
        <v>415</v>
      </c>
      <c r="G216" s="360">
        <v>5</v>
      </c>
      <c r="H216" s="360" t="s">
        <v>72</v>
      </c>
      <c r="I216" s="360">
        <v>244</v>
      </c>
      <c r="J216" s="361">
        <v>226</v>
      </c>
      <c r="K216" s="532" t="s">
        <v>15</v>
      </c>
      <c r="L216" s="1038">
        <v>52833.25</v>
      </c>
      <c r="M216" s="552"/>
      <c r="N216" s="552"/>
      <c r="O216" s="1056">
        <f t="shared" ref="O216:O217" si="825">L216+N216</f>
        <v>52833.25</v>
      </c>
      <c r="P216" s="569"/>
      <c r="Q216" s="551">
        <v>0</v>
      </c>
      <c r="R216" s="573"/>
      <c r="S216" s="553">
        <v>0</v>
      </c>
      <c r="T216" s="573"/>
      <c r="U216" s="365"/>
      <c r="V216" s="366"/>
      <c r="W216" s="366"/>
      <c r="X216" s="366"/>
      <c r="Z216" s="367">
        <f t="shared" ref="Z216:AA239" si="826">AW216+AY216+BA216</f>
        <v>0</v>
      </c>
      <c r="AA216" s="363">
        <f t="shared" si="826"/>
        <v>0</v>
      </c>
      <c r="AB216" s="280">
        <f t="shared" ref="AB216:AB239" si="827">Z216-AA216</f>
        <v>0</v>
      </c>
      <c r="AC216" s="367">
        <f t="shared" ref="AC216:AD239" si="828">BC216+BE216+BG216</f>
        <v>40526.31</v>
      </c>
      <c r="AD216" s="363">
        <f t="shared" si="828"/>
        <v>0</v>
      </c>
      <c r="AE216" s="280">
        <f t="shared" ref="AE216:AE239" si="829">AC216-AD216</f>
        <v>40526.31</v>
      </c>
      <c r="AF216" s="367">
        <f t="shared" ref="AF216:AG239" si="830">BI216+BK216+BM216</f>
        <v>0</v>
      </c>
      <c r="AG216" s="363">
        <f t="shared" si="830"/>
        <v>0</v>
      </c>
      <c r="AH216" s="280">
        <f t="shared" ref="AH216:AH239" si="831">AF216-AG216</f>
        <v>0</v>
      </c>
      <c r="AI216" s="367">
        <f t="shared" ref="AI216:AJ239" si="832">BO216+BQ216+BS216</f>
        <v>0</v>
      </c>
      <c r="AJ216" s="363">
        <f t="shared" si="832"/>
        <v>0</v>
      </c>
      <c r="AK216" s="280">
        <f t="shared" ref="AK216:AK239" si="833">AI216-AJ216</f>
        <v>0</v>
      </c>
      <c r="AL216" s="368"/>
      <c r="AM216" s="367">
        <f t="shared" ref="AM216:AN239" si="834">Z216+AC216</f>
        <v>40526.31</v>
      </c>
      <c r="AN216" s="363">
        <f t="shared" si="834"/>
        <v>0</v>
      </c>
      <c r="AO216" s="280">
        <f t="shared" ref="AO216:AO239" si="835">AM216-AN216</f>
        <v>40526.31</v>
      </c>
      <c r="AP216" s="367">
        <f t="shared" ref="AP216:AQ239" si="836">Z216+AC216+AF216</f>
        <v>40526.31</v>
      </c>
      <c r="AQ216" s="363">
        <f t="shared" si="836"/>
        <v>0</v>
      </c>
      <c r="AR216" s="280">
        <f t="shared" ref="AR216:AR239" si="837">AP216-AQ216</f>
        <v>40526.31</v>
      </c>
      <c r="AS216" s="367">
        <f t="shared" ref="AS216:AT239" si="838">Z216+AC216+AF216+AI216</f>
        <v>40526.31</v>
      </c>
      <c r="AT216" s="363">
        <f t="shared" si="838"/>
        <v>0</v>
      </c>
      <c r="AU216" s="280">
        <f t="shared" ref="AU216:AU239" si="839">AS216-AT216</f>
        <v>40526.31</v>
      </c>
      <c r="AV216" s="1253">
        <f t="shared" si="170"/>
        <v>12306.94</v>
      </c>
      <c r="AW216" s="367">
        <f t="shared" ref="AW216:BT216" si="840">SUM(AW217:AW217)</f>
        <v>0</v>
      </c>
      <c r="AX216" s="1097">
        <f t="shared" si="840"/>
        <v>0</v>
      </c>
      <c r="AY216" s="363">
        <f t="shared" si="840"/>
        <v>0</v>
      </c>
      <c r="AZ216" s="1097">
        <f t="shared" si="840"/>
        <v>0</v>
      </c>
      <c r="BA216" s="363">
        <f t="shared" si="840"/>
        <v>0</v>
      </c>
      <c r="BB216" s="1119">
        <f t="shared" si="840"/>
        <v>0</v>
      </c>
      <c r="BC216" s="367">
        <f t="shared" si="840"/>
        <v>0</v>
      </c>
      <c r="BD216" s="363">
        <f t="shared" si="840"/>
        <v>0</v>
      </c>
      <c r="BE216" s="363">
        <f t="shared" si="840"/>
        <v>0</v>
      </c>
      <c r="BF216" s="363">
        <f t="shared" si="840"/>
        <v>0</v>
      </c>
      <c r="BG216" s="363">
        <f t="shared" si="840"/>
        <v>40526.31</v>
      </c>
      <c r="BH216" s="369">
        <f t="shared" si="840"/>
        <v>0</v>
      </c>
      <c r="BI216" s="367">
        <f t="shared" si="840"/>
        <v>0</v>
      </c>
      <c r="BJ216" s="363">
        <f t="shared" si="840"/>
        <v>0</v>
      </c>
      <c r="BK216" s="363">
        <f t="shared" si="840"/>
        <v>0</v>
      </c>
      <c r="BL216" s="363">
        <f t="shared" si="840"/>
        <v>0</v>
      </c>
      <c r="BM216" s="363">
        <f t="shared" si="840"/>
        <v>0</v>
      </c>
      <c r="BN216" s="369">
        <f t="shared" si="840"/>
        <v>0</v>
      </c>
      <c r="BO216" s="367">
        <f t="shared" si="840"/>
        <v>0</v>
      </c>
      <c r="BP216" s="363">
        <f t="shared" si="840"/>
        <v>0</v>
      </c>
      <c r="BQ216" s="363">
        <f t="shared" si="840"/>
        <v>0</v>
      </c>
      <c r="BR216" s="363">
        <f t="shared" si="840"/>
        <v>0</v>
      </c>
      <c r="BS216" s="363">
        <f t="shared" si="840"/>
        <v>0</v>
      </c>
      <c r="BT216" s="280">
        <f t="shared" si="840"/>
        <v>0</v>
      </c>
    </row>
    <row r="217" spans="1:72" s="313" customFormat="1" ht="158.25" customHeight="1" outlineLevel="1" thickBot="1">
      <c r="A217" s="1192">
        <v>171.1</v>
      </c>
      <c r="B217" s="933"/>
      <c r="C217" s="840"/>
      <c r="D217" s="841"/>
      <c r="E217" s="839"/>
      <c r="F217" s="821" t="s">
        <v>415</v>
      </c>
      <c r="G217" s="314">
        <v>5</v>
      </c>
      <c r="H217" s="739" t="s">
        <v>72</v>
      </c>
      <c r="I217" s="739">
        <v>244</v>
      </c>
      <c r="J217" s="740">
        <v>226</v>
      </c>
      <c r="K217" s="533" t="s">
        <v>367</v>
      </c>
      <c r="L217" s="1025">
        <v>52833.25</v>
      </c>
      <c r="M217" s="318"/>
      <c r="N217" s="318"/>
      <c r="O217" s="1052">
        <f t="shared" si="825"/>
        <v>52833.25</v>
      </c>
      <c r="P217" s="570"/>
      <c r="Q217" s="336">
        <v>0</v>
      </c>
      <c r="R217" s="559"/>
      <c r="S217" s="541">
        <v>0</v>
      </c>
      <c r="T217" s="559"/>
      <c r="U217" s="335"/>
      <c r="V217" s="597" t="s">
        <v>670</v>
      </c>
      <c r="W217" s="597" t="s">
        <v>839</v>
      </c>
      <c r="X217" s="597" t="s">
        <v>669</v>
      </c>
      <c r="Z217" s="336">
        <f>AW217+AY217+BA217</f>
        <v>0</v>
      </c>
      <c r="AA217" s="337">
        <f>AX217+AZ217+BB217</f>
        <v>0</v>
      </c>
      <c r="AB217" s="338">
        <f>Z217-AA217</f>
        <v>0</v>
      </c>
      <c r="AC217" s="336">
        <f>BC217+BE217+BG217</f>
        <v>40526.31</v>
      </c>
      <c r="AD217" s="337">
        <f>BD217+BF217+BH217</f>
        <v>0</v>
      </c>
      <c r="AE217" s="338">
        <f>AC217-AD217</f>
        <v>40526.31</v>
      </c>
      <c r="AF217" s="336">
        <f>BI217+BK217+BM217</f>
        <v>0</v>
      </c>
      <c r="AG217" s="337">
        <f>BJ217+BL217+BN217</f>
        <v>0</v>
      </c>
      <c r="AH217" s="338">
        <f>AF217-AG217</f>
        <v>0</v>
      </c>
      <c r="AI217" s="336">
        <f>BO217+BQ217+BS217</f>
        <v>0</v>
      </c>
      <c r="AJ217" s="337">
        <f>BP217+BR217+BT217</f>
        <v>0</v>
      </c>
      <c r="AK217" s="338">
        <f>AI217-AJ217</f>
        <v>0</v>
      </c>
      <c r="AL217" s="342"/>
      <c r="AM217" s="336">
        <f>Z217+AC217</f>
        <v>40526.31</v>
      </c>
      <c r="AN217" s="339">
        <f>AA217+AD217</f>
        <v>0</v>
      </c>
      <c r="AO217" s="340">
        <f>AM217-AN217</f>
        <v>40526.31</v>
      </c>
      <c r="AP217" s="336">
        <f>Z217+AC217+AF217</f>
        <v>40526.31</v>
      </c>
      <c r="AQ217" s="339">
        <f>AA217+AD217+AG217</f>
        <v>0</v>
      </c>
      <c r="AR217" s="340">
        <f>AP217-AQ217</f>
        <v>40526.31</v>
      </c>
      <c r="AS217" s="341">
        <f>Z217+AC217+AF217+AI217</f>
        <v>40526.31</v>
      </c>
      <c r="AT217" s="339">
        <f>AA217+AD217+AG217+AJ217</f>
        <v>0</v>
      </c>
      <c r="AU217" s="340">
        <f>AS217-AT217</f>
        <v>40526.31</v>
      </c>
      <c r="AV217" s="1255">
        <f t="shared" si="170"/>
        <v>12306.94</v>
      </c>
      <c r="AW217" s="343"/>
      <c r="AX217" s="1098"/>
      <c r="AY217" s="345"/>
      <c r="AZ217" s="1098"/>
      <c r="BA217" s="345"/>
      <c r="BB217" s="1120"/>
      <c r="BC217" s="347"/>
      <c r="BD217" s="348"/>
      <c r="BE217" s="349"/>
      <c r="BF217" s="348"/>
      <c r="BG217" s="1135">
        <v>40526.31</v>
      </c>
      <c r="BH217" s="350"/>
      <c r="BI217" s="351"/>
      <c r="BJ217" s="352"/>
      <c r="BK217" s="337"/>
      <c r="BL217" s="352"/>
      <c r="BM217" s="337"/>
      <c r="BN217" s="353"/>
      <c r="BO217" s="354"/>
      <c r="BP217" s="355"/>
      <c r="BQ217" s="356"/>
      <c r="BR217" s="355"/>
      <c r="BS217" s="356"/>
      <c r="BT217" s="357"/>
    </row>
    <row r="218" spans="1:72" s="512" customFormat="1" ht="57.75" customHeight="1" thickBot="1">
      <c r="A218" s="1207">
        <v>171.3</v>
      </c>
      <c r="B218" s="1208"/>
      <c r="C218" s="863" t="s">
        <v>377</v>
      </c>
      <c r="D218" s="864"/>
      <c r="E218" s="865" t="s">
        <v>201</v>
      </c>
      <c r="F218" s="831" t="s">
        <v>877</v>
      </c>
      <c r="G218" s="514">
        <v>5</v>
      </c>
      <c r="H218" s="514" t="s">
        <v>136</v>
      </c>
      <c r="I218" s="1209">
        <v>244</v>
      </c>
      <c r="J218" s="1281" t="s">
        <v>947</v>
      </c>
      <c r="K218" s="1282" t="s">
        <v>987</v>
      </c>
      <c r="L218" s="1041">
        <f>L219+L222+L226+L231</f>
        <v>700000</v>
      </c>
      <c r="M218" s="1210"/>
      <c r="N218" s="1210">
        <f>N219+N222+N226+N231</f>
        <v>0</v>
      </c>
      <c r="O218" s="1211">
        <f t="shared" ref="O218" si="841">L218+N218</f>
        <v>700000</v>
      </c>
      <c r="P218" s="1212"/>
      <c r="Q218" s="1213">
        <f>Q219+Q222+Q226+Q231</f>
        <v>0</v>
      </c>
      <c r="R218" s="574"/>
      <c r="S218" s="1214">
        <f>S219+S222+S226+S231</f>
        <v>0</v>
      </c>
      <c r="T218" s="574"/>
      <c r="U218" s="516"/>
      <c r="V218" s="517"/>
      <c r="W218" s="517"/>
      <c r="X218" s="517"/>
      <c r="Z218" s="518">
        <f t="shared" ref="Z218:Z232" si="842">AW218+AY218+BA218</f>
        <v>0</v>
      </c>
      <c r="AA218" s="251">
        <f t="shared" ref="AA218:AA232" si="843">AX218+AZ218+BB218</f>
        <v>0</v>
      </c>
      <c r="AB218" s="519">
        <f t="shared" ref="AB218:AB232" si="844">Z218-AA218</f>
        <v>0</v>
      </c>
      <c r="AC218" s="518">
        <f t="shared" ref="AC218:AC232" si="845">BC218+BE218+BG218</f>
        <v>0</v>
      </c>
      <c r="AD218" s="251">
        <f t="shared" ref="AD218:AD232" si="846">BD218+BF218+BH218</f>
        <v>0</v>
      </c>
      <c r="AE218" s="519">
        <f t="shared" ref="AE218:AE232" si="847">AC218-AD218</f>
        <v>0</v>
      </c>
      <c r="AF218" s="518">
        <f t="shared" ref="AF218:AF232" si="848">BI218+BK218+BM218</f>
        <v>640000</v>
      </c>
      <c r="AG218" s="251">
        <f t="shared" ref="AG218:AG232" si="849">BJ218+BL218+BN218</f>
        <v>0</v>
      </c>
      <c r="AH218" s="519">
        <f t="shared" ref="AH218:AH232" si="850">AF218-AG218</f>
        <v>640000</v>
      </c>
      <c r="AI218" s="518">
        <f t="shared" ref="AI218:AI232" si="851">BO218+BQ218+BS218</f>
        <v>0</v>
      </c>
      <c r="AJ218" s="251">
        <f t="shared" ref="AJ218:AJ232" si="852">BP218+BR218+BT218</f>
        <v>0</v>
      </c>
      <c r="AK218" s="519">
        <f t="shared" ref="AK218:AK232" si="853">AI218-AJ218</f>
        <v>0</v>
      </c>
      <c r="AL218" s="520"/>
      <c r="AM218" s="518">
        <f t="shared" ref="AM218:AN218" si="854">Z218+AC218</f>
        <v>0</v>
      </c>
      <c r="AN218" s="251">
        <f t="shared" si="854"/>
        <v>0</v>
      </c>
      <c r="AO218" s="519">
        <f t="shared" ref="AO218" si="855">AM218-AN218</f>
        <v>0</v>
      </c>
      <c r="AP218" s="518">
        <f t="shared" ref="AP218:AQ218" si="856">Z218+AC218+AF218</f>
        <v>640000</v>
      </c>
      <c r="AQ218" s="251">
        <f t="shared" si="856"/>
        <v>0</v>
      </c>
      <c r="AR218" s="519">
        <f t="shared" ref="AR218" si="857">AP218-AQ218</f>
        <v>640000</v>
      </c>
      <c r="AS218" s="518">
        <f t="shared" ref="AS218:AS232" si="858">Z218+AC218+AF218+AI218</f>
        <v>640000</v>
      </c>
      <c r="AT218" s="251">
        <f t="shared" ref="AT218:AT232" si="859">AA218+AD218+AG218+AJ218</f>
        <v>0</v>
      </c>
      <c r="AU218" s="519">
        <f t="shared" ref="AU218:AU232" si="860">AS218-AT218</f>
        <v>640000</v>
      </c>
      <c r="AV218" s="1268">
        <f t="shared" ref="AV218" si="861">L218-AS218</f>
        <v>60000</v>
      </c>
      <c r="AW218" s="518">
        <f t="shared" ref="AW218:BT218" si="862">AW219+AW222+AW226+AW231</f>
        <v>0</v>
      </c>
      <c r="AX218" s="1215">
        <f t="shared" si="862"/>
        <v>0</v>
      </c>
      <c r="AY218" s="251">
        <f t="shared" si="862"/>
        <v>0</v>
      </c>
      <c r="AZ218" s="1215">
        <f t="shared" si="862"/>
        <v>0</v>
      </c>
      <c r="BA218" s="251">
        <f t="shared" si="862"/>
        <v>0</v>
      </c>
      <c r="BB218" s="1216">
        <f t="shared" si="862"/>
        <v>0</v>
      </c>
      <c r="BC218" s="518">
        <f t="shared" si="862"/>
        <v>0</v>
      </c>
      <c r="BD218" s="251">
        <f t="shared" si="862"/>
        <v>0</v>
      </c>
      <c r="BE218" s="251">
        <f t="shared" si="862"/>
        <v>0</v>
      </c>
      <c r="BF218" s="251">
        <f t="shared" si="862"/>
        <v>0</v>
      </c>
      <c r="BG218" s="251">
        <f t="shared" si="862"/>
        <v>0</v>
      </c>
      <c r="BH218" s="301">
        <f t="shared" si="862"/>
        <v>0</v>
      </c>
      <c r="BI218" s="518">
        <f t="shared" si="862"/>
        <v>0</v>
      </c>
      <c r="BJ218" s="251">
        <f t="shared" si="862"/>
        <v>0</v>
      </c>
      <c r="BK218" s="251">
        <f t="shared" si="862"/>
        <v>0</v>
      </c>
      <c r="BL218" s="251">
        <f t="shared" si="862"/>
        <v>0</v>
      </c>
      <c r="BM218" s="251">
        <f t="shared" si="862"/>
        <v>640000</v>
      </c>
      <c r="BN218" s="301">
        <f t="shared" si="862"/>
        <v>0</v>
      </c>
      <c r="BO218" s="518">
        <f t="shared" si="862"/>
        <v>0</v>
      </c>
      <c r="BP218" s="251">
        <f t="shared" si="862"/>
        <v>0</v>
      </c>
      <c r="BQ218" s="251">
        <f t="shared" si="862"/>
        <v>0</v>
      </c>
      <c r="BR218" s="251">
        <f t="shared" si="862"/>
        <v>0</v>
      </c>
      <c r="BS218" s="251">
        <f t="shared" si="862"/>
        <v>0</v>
      </c>
      <c r="BT218" s="519">
        <f t="shared" si="862"/>
        <v>0</v>
      </c>
    </row>
    <row r="219" spans="1:72" s="358" customFormat="1" ht="51">
      <c r="A219" s="1192" t="s">
        <v>934</v>
      </c>
      <c r="B219" s="933"/>
      <c r="C219" s="850" t="s">
        <v>378</v>
      </c>
      <c r="D219" s="838"/>
      <c r="E219" s="836" t="s">
        <v>201</v>
      </c>
      <c r="F219" s="1193" t="s">
        <v>877</v>
      </c>
      <c r="G219" s="360">
        <v>5</v>
      </c>
      <c r="H219" s="360" t="s">
        <v>136</v>
      </c>
      <c r="I219" s="374">
        <v>244</v>
      </c>
      <c r="J219" s="361">
        <v>226</v>
      </c>
      <c r="K219" s="1206" t="s">
        <v>988</v>
      </c>
      <c r="L219" s="1289">
        <f>SUM(L220:L221)</f>
        <v>264510.61</v>
      </c>
      <c r="M219" s="552"/>
      <c r="N219" s="552">
        <f>SUM(N220:N221)</f>
        <v>0</v>
      </c>
      <c r="O219" s="1056">
        <f t="shared" ref="O219" si="863">L219+N219</f>
        <v>264510.61</v>
      </c>
      <c r="P219" s="569"/>
      <c r="Q219" s="551">
        <f>SUM(Q220:Q221)</f>
        <v>0</v>
      </c>
      <c r="R219" s="573"/>
      <c r="S219" s="553">
        <f>SUM(S220:S221)</f>
        <v>0</v>
      </c>
      <c r="T219" s="573"/>
      <c r="U219" s="365"/>
      <c r="V219" s="366"/>
      <c r="W219" s="366"/>
      <c r="X219" s="366"/>
      <c r="Z219" s="367">
        <f t="shared" si="842"/>
        <v>0</v>
      </c>
      <c r="AA219" s="363">
        <f t="shared" si="843"/>
        <v>0</v>
      </c>
      <c r="AB219" s="280">
        <f t="shared" si="844"/>
        <v>0</v>
      </c>
      <c r="AC219" s="367">
        <f t="shared" si="845"/>
        <v>0</v>
      </c>
      <c r="AD219" s="363">
        <f t="shared" si="846"/>
        <v>0</v>
      </c>
      <c r="AE219" s="280">
        <f t="shared" si="847"/>
        <v>0</v>
      </c>
      <c r="AF219" s="367">
        <f t="shared" si="848"/>
        <v>264510.61</v>
      </c>
      <c r="AG219" s="363">
        <f t="shared" si="849"/>
        <v>0</v>
      </c>
      <c r="AH219" s="280">
        <f t="shared" si="850"/>
        <v>264510.61</v>
      </c>
      <c r="AI219" s="367">
        <f t="shared" si="851"/>
        <v>0</v>
      </c>
      <c r="AJ219" s="363">
        <f t="shared" si="852"/>
        <v>0</v>
      </c>
      <c r="AK219" s="280">
        <f t="shared" si="853"/>
        <v>0</v>
      </c>
      <c r="AL219" s="368"/>
      <c r="AM219" s="367">
        <f t="shared" ref="AM219" si="864">Z219+AC219</f>
        <v>0</v>
      </c>
      <c r="AN219" s="363">
        <f t="shared" ref="AN219" si="865">AA219+AD219</f>
        <v>0</v>
      </c>
      <c r="AO219" s="280">
        <f t="shared" ref="AO219" si="866">AM219-AN219</f>
        <v>0</v>
      </c>
      <c r="AP219" s="367">
        <f t="shared" ref="AP219" si="867">Z219+AC219+AF219</f>
        <v>264510.61</v>
      </c>
      <c r="AQ219" s="363">
        <f t="shared" ref="AQ219" si="868">AA219+AD219+AG219</f>
        <v>0</v>
      </c>
      <c r="AR219" s="280">
        <f t="shared" ref="AR219" si="869">AP219-AQ219</f>
        <v>264510.61</v>
      </c>
      <c r="AS219" s="367">
        <f t="shared" si="858"/>
        <v>264510.61</v>
      </c>
      <c r="AT219" s="363">
        <f t="shared" si="859"/>
        <v>0</v>
      </c>
      <c r="AU219" s="280">
        <f t="shared" si="860"/>
        <v>264510.61</v>
      </c>
      <c r="AV219" s="1253">
        <f t="shared" ref="AV219" si="870">L219-AS219</f>
        <v>0</v>
      </c>
      <c r="AW219" s="367">
        <f t="shared" ref="AW219:BT219" si="871">SUM(AW220:AW221)</f>
        <v>0</v>
      </c>
      <c r="AX219" s="1097">
        <f t="shared" si="871"/>
        <v>0</v>
      </c>
      <c r="AY219" s="363">
        <f t="shared" si="871"/>
        <v>0</v>
      </c>
      <c r="AZ219" s="1097">
        <f t="shared" si="871"/>
        <v>0</v>
      </c>
      <c r="BA219" s="363">
        <f t="shared" si="871"/>
        <v>0</v>
      </c>
      <c r="BB219" s="1119">
        <f t="shared" si="871"/>
        <v>0</v>
      </c>
      <c r="BC219" s="367">
        <f t="shared" si="871"/>
        <v>0</v>
      </c>
      <c r="BD219" s="363">
        <f t="shared" si="871"/>
        <v>0</v>
      </c>
      <c r="BE219" s="363">
        <f t="shared" si="871"/>
        <v>0</v>
      </c>
      <c r="BF219" s="363">
        <f t="shared" si="871"/>
        <v>0</v>
      </c>
      <c r="BG219" s="363">
        <f t="shared" si="871"/>
        <v>0</v>
      </c>
      <c r="BH219" s="369">
        <f t="shared" si="871"/>
        <v>0</v>
      </c>
      <c r="BI219" s="367">
        <f t="shared" si="871"/>
        <v>0</v>
      </c>
      <c r="BJ219" s="363">
        <f t="shared" si="871"/>
        <v>0</v>
      </c>
      <c r="BK219" s="363">
        <f t="shared" si="871"/>
        <v>0</v>
      </c>
      <c r="BL219" s="363">
        <f t="shared" si="871"/>
        <v>0</v>
      </c>
      <c r="BM219" s="363">
        <f t="shared" si="871"/>
        <v>264510.61</v>
      </c>
      <c r="BN219" s="369">
        <f t="shared" si="871"/>
        <v>0</v>
      </c>
      <c r="BO219" s="367">
        <f t="shared" si="871"/>
        <v>0</v>
      </c>
      <c r="BP219" s="363">
        <f t="shared" si="871"/>
        <v>0</v>
      </c>
      <c r="BQ219" s="363">
        <f t="shared" si="871"/>
        <v>0</v>
      </c>
      <c r="BR219" s="363">
        <f t="shared" si="871"/>
        <v>0</v>
      </c>
      <c r="BS219" s="363">
        <f t="shared" si="871"/>
        <v>0</v>
      </c>
      <c r="BT219" s="280">
        <f t="shared" si="871"/>
        <v>0</v>
      </c>
    </row>
    <row r="220" spans="1:72" s="313" customFormat="1" ht="63.75" outlineLevel="1">
      <c r="A220" s="1192" t="s">
        <v>956</v>
      </c>
      <c r="B220" s="933"/>
      <c r="C220" s="840"/>
      <c r="D220" s="841"/>
      <c r="E220" s="839"/>
      <c r="F220" s="825" t="s">
        <v>877</v>
      </c>
      <c r="G220" s="314">
        <v>5</v>
      </c>
      <c r="H220" s="739" t="s">
        <v>136</v>
      </c>
      <c r="I220" s="739">
        <v>244</v>
      </c>
      <c r="J220" s="740" t="s">
        <v>902</v>
      </c>
      <c r="K220" s="533" t="s">
        <v>941</v>
      </c>
      <c r="L220" s="1025">
        <v>248018.41</v>
      </c>
      <c r="M220" s="318"/>
      <c r="N220" s="318"/>
      <c r="O220" s="1052">
        <f>L220+N220</f>
        <v>248018.41</v>
      </c>
      <c r="P220" s="570"/>
      <c r="Q220" s="336">
        <v>0</v>
      </c>
      <c r="R220" s="559"/>
      <c r="S220" s="541">
        <v>0</v>
      </c>
      <c r="T220" s="559"/>
      <c r="U220" s="335"/>
      <c r="V220" s="597" t="s">
        <v>494</v>
      </c>
      <c r="W220" s="610" t="s">
        <v>976</v>
      </c>
      <c r="X220" s="597" t="s">
        <v>977</v>
      </c>
      <c r="Z220" s="336">
        <f t="shared" si="842"/>
        <v>0</v>
      </c>
      <c r="AA220" s="337">
        <f t="shared" si="843"/>
        <v>0</v>
      </c>
      <c r="AB220" s="338">
        <f t="shared" si="844"/>
        <v>0</v>
      </c>
      <c r="AC220" s="336">
        <f t="shared" si="845"/>
        <v>0</v>
      </c>
      <c r="AD220" s="337">
        <f t="shared" si="846"/>
        <v>0</v>
      </c>
      <c r="AE220" s="338">
        <f t="shared" si="847"/>
        <v>0</v>
      </c>
      <c r="AF220" s="336">
        <f t="shared" si="848"/>
        <v>248018.41</v>
      </c>
      <c r="AG220" s="337">
        <f t="shared" si="849"/>
        <v>0</v>
      </c>
      <c r="AH220" s="338">
        <f t="shared" si="850"/>
        <v>248018.41</v>
      </c>
      <c r="AI220" s="336">
        <f t="shared" si="851"/>
        <v>0</v>
      </c>
      <c r="AJ220" s="337">
        <f t="shared" si="852"/>
        <v>0</v>
      </c>
      <c r="AK220" s="338">
        <f t="shared" si="853"/>
        <v>0</v>
      </c>
      <c r="AL220" s="342"/>
      <c r="AM220" s="336">
        <f>Z220+AC220</f>
        <v>0</v>
      </c>
      <c r="AN220" s="339">
        <f>AA220+AD220</f>
        <v>0</v>
      </c>
      <c r="AO220" s="340">
        <f>AM220-AN220</f>
        <v>0</v>
      </c>
      <c r="AP220" s="336">
        <f>Z220+AC220+AF220</f>
        <v>248018.41</v>
      </c>
      <c r="AQ220" s="339">
        <f>AA220+AD220+AG220</f>
        <v>0</v>
      </c>
      <c r="AR220" s="340">
        <f>AP220-AQ220</f>
        <v>248018.41</v>
      </c>
      <c r="AS220" s="341">
        <f t="shared" si="858"/>
        <v>248018.41</v>
      </c>
      <c r="AT220" s="339">
        <f t="shared" si="859"/>
        <v>0</v>
      </c>
      <c r="AU220" s="340">
        <f t="shared" si="860"/>
        <v>248018.41</v>
      </c>
      <c r="AV220" s="1255">
        <f>L220-AS220</f>
        <v>0</v>
      </c>
      <c r="AW220" s="343"/>
      <c r="AX220" s="1098"/>
      <c r="AY220" s="345"/>
      <c r="AZ220" s="1098"/>
      <c r="BA220" s="345"/>
      <c r="BB220" s="1120"/>
      <c r="BC220" s="347"/>
      <c r="BD220" s="348"/>
      <c r="BE220" s="349"/>
      <c r="BF220" s="348"/>
      <c r="BG220" s="1135"/>
      <c r="BH220" s="350"/>
      <c r="BI220" s="351"/>
      <c r="BJ220" s="352"/>
      <c r="BK220" s="1137"/>
      <c r="BL220" s="352"/>
      <c r="BM220" s="1137">
        <v>248018.41</v>
      </c>
      <c r="BN220" s="353"/>
      <c r="BO220" s="354"/>
      <c r="BP220" s="355"/>
      <c r="BQ220" s="356"/>
      <c r="BR220" s="355"/>
      <c r="BS220" s="356"/>
      <c r="BT220" s="357"/>
    </row>
    <row r="221" spans="1:72" s="313" customFormat="1" ht="39" outlineLevel="1" thickBot="1">
      <c r="A221" s="1192" t="s">
        <v>957</v>
      </c>
      <c r="B221" s="933"/>
      <c r="C221" s="840"/>
      <c r="D221" s="841"/>
      <c r="E221" s="839"/>
      <c r="F221" s="825" t="s">
        <v>877</v>
      </c>
      <c r="G221" s="314">
        <v>5</v>
      </c>
      <c r="H221" s="739" t="s">
        <v>136</v>
      </c>
      <c r="I221" s="739">
        <v>244</v>
      </c>
      <c r="J221" s="740" t="s">
        <v>902</v>
      </c>
      <c r="K221" s="533" t="s">
        <v>981</v>
      </c>
      <c r="L221" s="1025">
        <v>16492.2</v>
      </c>
      <c r="M221" s="318"/>
      <c r="N221" s="318"/>
      <c r="O221" s="1052">
        <f>L221+N221</f>
        <v>16492.2</v>
      </c>
      <c r="P221" s="570"/>
      <c r="Q221" s="336">
        <v>0</v>
      </c>
      <c r="R221" s="559"/>
      <c r="S221" s="541">
        <v>0</v>
      </c>
      <c r="T221" s="559"/>
      <c r="U221" s="335"/>
      <c r="V221" s="597" t="s">
        <v>494</v>
      </c>
      <c r="W221" s="610" t="s">
        <v>980</v>
      </c>
      <c r="X221" s="597" t="s">
        <v>977</v>
      </c>
      <c r="Z221" s="336">
        <f t="shared" si="842"/>
        <v>0</v>
      </c>
      <c r="AA221" s="337">
        <f t="shared" si="843"/>
        <v>0</v>
      </c>
      <c r="AB221" s="338">
        <f t="shared" si="844"/>
        <v>0</v>
      </c>
      <c r="AC221" s="336">
        <f t="shared" si="845"/>
        <v>0</v>
      </c>
      <c r="AD221" s="337">
        <f t="shared" si="846"/>
        <v>0</v>
      </c>
      <c r="AE221" s="338">
        <f t="shared" si="847"/>
        <v>0</v>
      </c>
      <c r="AF221" s="336">
        <f t="shared" si="848"/>
        <v>16492.2</v>
      </c>
      <c r="AG221" s="337">
        <f t="shared" si="849"/>
        <v>0</v>
      </c>
      <c r="AH221" s="338">
        <f t="shared" si="850"/>
        <v>16492.2</v>
      </c>
      <c r="AI221" s="336">
        <f t="shared" si="851"/>
        <v>0</v>
      </c>
      <c r="AJ221" s="337">
        <f t="shared" si="852"/>
        <v>0</v>
      </c>
      <c r="AK221" s="338">
        <f t="shared" si="853"/>
        <v>0</v>
      </c>
      <c r="AL221" s="342"/>
      <c r="AM221" s="336">
        <f>Z221+AC221</f>
        <v>0</v>
      </c>
      <c r="AN221" s="339">
        <f>AA221+AD221</f>
        <v>0</v>
      </c>
      <c r="AO221" s="340">
        <f>AM221-AN221</f>
        <v>0</v>
      </c>
      <c r="AP221" s="336">
        <f>Z221+AC221+AF221</f>
        <v>16492.2</v>
      </c>
      <c r="AQ221" s="339">
        <f>AA221+AD221+AG221</f>
        <v>0</v>
      </c>
      <c r="AR221" s="340">
        <f>AP221-AQ221</f>
        <v>16492.2</v>
      </c>
      <c r="AS221" s="341">
        <f t="shared" si="858"/>
        <v>16492.2</v>
      </c>
      <c r="AT221" s="339">
        <f t="shared" si="859"/>
        <v>0</v>
      </c>
      <c r="AU221" s="340">
        <f t="shared" si="860"/>
        <v>16492.2</v>
      </c>
      <c r="AV221" s="1255">
        <f>L221-AS221</f>
        <v>0</v>
      </c>
      <c r="AW221" s="343"/>
      <c r="AX221" s="1098"/>
      <c r="AY221" s="345"/>
      <c r="AZ221" s="1098"/>
      <c r="BA221" s="345"/>
      <c r="BB221" s="1120"/>
      <c r="BC221" s="347"/>
      <c r="BD221" s="348"/>
      <c r="BE221" s="349"/>
      <c r="BF221" s="348"/>
      <c r="BG221" s="1135"/>
      <c r="BH221" s="350"/>
      <c r="BI221" s="351"/>
      <c r="BJ221" s="352"/>
      <c r="BK221" s="1137"/>
      <c r="BL221" s="352"/>
      <c r="BM221" s="1137">
        <v>16492.2</v>
      </c>
      <c r="BN221" s="353"/>
      <c r="BO221" s="354"/>
      <c r="BP221" s="355"/>
      <c r="BQ221" s="356"/>
      <c r="BR221" s="355"/>
      <c r="BS221" s="356"/>
      <c r="BT221" s="357"/>
    </row>
    <row r="222" spans="1:72" s="358" customFormat="1" ht="51">
      <c r="A222" s="1192" t="s">
        <v>935</v>
      </c>
      <c r="B222" s="933"/>
      <c r="C222" s="850" t="s">
        <v>378</v>
      </c>
      <c r="D222" s="838"/>
      <c r="E222" s="836" t="s">
        <v>201</v>
      </c>
      <c r="F222" s="1193" t="s">
        <v>877</v>
      </c>
      <c r="G222" s="360">
        <v>5</v>
      </c>
      <c r="H222" s="360" t="s">
        <v>136</v>
      </c>
      <c r="I222" s="374">
        <v>244</v>
      </c>
      <c r="J222" s="361">
        <v>346</v>
      </c>
      <c r="K222" s="1206" t="s">
        <v>989</v>
      </c>
      <c r="L222" s="1289">
        <f>SUM(L223:L225)</f>
        <v>182587.93</v>
      </c>
      <c r="M222" s="552"/>
      <c r="N222" s="552">
        <f>SUM(N223:N225)</f>
        <v>0</v>
      </c>
      <c r="O222" s="1056">
        <f t="shared" ref="O222" si="872">L222+N222</f>
        <v>182587.93</v>
      </c>
      <c r="P222" s="569"/>
      <c r="Q222" s="551">
        <f>SUM(Q223:Q225)</f>
        <v>0</v>
      </c>
      <c r="R222" s="573"/>
      <c r="S222" s="553">
        <f>SUM(S223:S225)</f>
        <v>0</v>
      </c>
      <c r="T222" s="573"/>
      <c r="U222" s="365"/>
      <c r="V222" s="366"/>
      <c r="W222" s="366"/>
      <c r="X222" s="366"/>
      <c r="Z222" s="367">
        <f t="shared" si="842"/>
        <v>0</v>
      </c>
      <c r="AA222" s="363">
        <f t="shared" si="843"/>
        <v>0</v>
      </c>
      <c r="AB222" s="280">
        <f t="shared" si="844"/>
        <v>0</v>
      </c>
      <c r="AC222" s="367">
        <f t="shared" si="845"/>
        <v>0</v>
      </c>
      <c r="AD222" s="363">
        <f t="shared" si="846"/>
        <v>0</v>
      </c>
      <c r="AE222" s="280">
        <f t="shared" si="847"/>
        <v>0</v>
      </c>
      <c r="AF222" s="367">
        <f t="shared" si="848"/>
        <v>182587.93</v>
      </c>
      <c r="AG222" s="363">
        <f t="shared" si="849"/>
        <v>0</v>
      </c>
      <c r="AH222" s="280">
        <f t="shared" si="850"/>
        <v>182587.93</v>
      </c>
      <c r="AI222" s="367">
        <f t="shared" si="851"/>
        <v>0</v>
      </c>
      <c r="AJ222" s="363">
        <f t="shared" si="852"/>
        <v>0</v>
      </c>
      <c r="AK222" s="280">
        <f t="shared" si="853"/>
        <v>0</v>
      </c>
      <c r="AL222" s="368"/>
      <c r="AM222" s="367">
        <f t="shared" ref="AM222" si="873">Z222+AC222</f>
        <v>0</v>
      </c>
      <c r="AN222" s="363">
        <f t="shared" ref="AN222" si="874">AA222+AD222</f>
        <v>0</v>
      </c>
      <c r="AO222" s="280">
        <f t="shared" ref="AO222" si="875">AM222-AN222</f>
        <v>0</v>
      </c>
      <c r="AP222" s="367">
        <f t="shared" ref="AP222" si="876">Z222+AC222+AF222</f>
        <v>182587.93</v>
      </c>
      <c r="AQ222" s="363">
        <f t="shared" ref="AQ222" si="877">AA222+AD222+AG222</f>
        <v>0</v>
      </c>
      <c r="AR222" s="280">
        <f t="shared" ref="AR222" si="878">AP222-AQ222</f>
        <v>182587.93</v>
      </c>
      <c r="AS222" s="367">
        <f t="shared" si="858"/>
        <v>182587.93</v>
      </c>
      <c r="AT222" s="363">
        <f t="shared" si="859"/>
        <v>0</v>
      </c>
      <c r="AU222" s="280">
        <f t="shared" si="860"/>
        <v>182587.93</v>
      </c>
      <c r="AV222" s="1253">
        <f t="shared" ref="AV222" si="879">L222-AS222</f>
        <v>0</v>
      </c>
      <c r="AW222" s="367">
        <f t="shared" ref="AW222:BT222" si="880">SUM(AW223:AW225)</f>
        <v>0</v>
      </c>
      <c r="AX222" s="1097">
        <f t="shared" si="880"/>
        <v>0</v>
      </c>
      <c r="AY222" s="363">
        <f t="shared" si="880"/>
        <v>0</v>
      </c>
      <c r="AZ222" s="1097">
        <f t="shared" si="880"/>
        <v>0</v>
      </c>
      <c r="BA222" s="363">
        <f t="shared" si="880"/>
        <v>0</v>
      </c>
      <c r="BB222" s="1119">
        <f t="shared" si="880"/>
        <v>0</v>
      </c>
      <c r="BC222" s="367">
        <f t="shared" si="880"/>
        <v>0</v>
      </c>
      <c r="BD222" s="363">
        <f t="shared" si="880"/>
        <v>0</v>
      </c>
      <c r="BE222" s="363">
        <f t="shared" si="880"/>
        <v>0</v>
      </c>
      <c r="BF222" s="363">
        <f t="shared" si="880"/>
        <v>0</v>
      </c>
      <c r="BG222" s="363">
        <f t="shared" si="880"/>
        <v>0</v>
      </c>
      <c r="BH222" s="369">
        <f t="shared" si="880"/>
        <v>0</v>
      </c>
      <c r="BI222" s="367">
        <f t="shared" si="880"/>
        <v>0</v>
      </c>
      <c r="BJ222" s="363">
        <f t="shared" si="880"/>
        <v>0</v>
      </c>
      <c r="BK222" s="363">
        <f t="shared" si="880"/>
        <v>0</v>
      </c>
      <c r="BL222" s="363">
        <f t="shared" si="880"/>
        <v>0</v>
      </c>
      <c r="BM222" s="363">
        <f t="shared" si="880"/>
        <v>182587.93</v>
      </c>
      <c r="BN222" s="369">
        <f t="shared" si="880"/>
        <v>0</v>
      </c>
      <c r="BO222" s="367">
        <f t="shared" si="880"/>
        <v>0</v>
      </c>
      <c r="BP222" s="363">
        <f t="shared" si="880"/>
        <v>0</v>
      </c>
      <c r="BQ222" s="363">
        <f t="shared" si="880"/>
        <v>0</v>
      </c>
      <c r="BR222" s="363">
        <f t="shared" si="880"/>
        <v>0</v>
      </c>
      <c r="BS222" s="363">
        <f t="shared" si="880"/>
        <v>0</v>
      </c>
      <c r="BT222" s="280">
        <f t="shared" si="880"/>
        <v>0</v>
      </c>
    </row>
    <row r="223" spans="1:72" s="313" customFormat="1" ht="63.75" outlineLevel="1">
      <c r="A223" s="1192" t="s">
        <v>948</v>
      </c>
      <c r="B223" s="933"/>
      <c r="C223" s="840"/>
      <c r="D223" s="841"/>
      <c r="E223" s="839"/>
      <c r="F223" s="825" t="s">
        <v>877</v>
      </c>
      <c r="G223" s="314">
        <v>5</v>
      </c>
      <c r="H223" s="739" t="s">
        <v>136</v>
      </c>
      <c r="I223" s="739">
        <v>244</v>
      </c>
      <c r="J223" s="740" t="s">
        <v>903</v>
      </c>
      <c r="K223" s="533" t="s">
        <v>940</v>
      </c>
      <c r="L223" s="1025">
        <v>20087.93</v>
      </c>
      <c r="M223" s="318"/>
      <c r="N223" s="318"/>
      <c r="O223" s="1052">
        <f>L223+N223</f>
        <v>20087.93</v>
      </c>
      <c r="P223" s="570"/>
      <c r="Q223" s="336">
        <v>0</v>
      </c>
      <c r="R223" s="559"/>
      <c r="S223" s="541">
        <v>0</v>
      </c>
      <c r="T223" s="559"/>
      <c r="U223" s="335"/>
      <c r="V223" s="597" t="s">
        <v>982</v>
      </c>
      <c r="W223" s="388" t="s">
        <v>481</v>
      </c>
      <c r="X223" s="597" t="s">
        <v>977</v>
      </c>
      <c r="Z223" s="336">
        <f t="shared" si="842"/>
        <v>0</v>
      </c>
      <c r="AA223" s="337">
        <f t="shared" si="843"/>
        <v>0</v>
      </c>
      <c r="AB223" s="338">
        <f t="shared" si="844"/>
        <v>0</v>
      </c>
      <c r="AC223" s="336">
        <f t="shared" si="845"/>
        <v>0</v>
      </c>
      <c r="AD223" s="337">
        <f t="shared" si="846"/>
        <v>0</v>
      </c>
      <c r="AE223" s="338">
        <f t="shared" si="847"/>
        <v>0</v>
      </c>
      <c r="AF223" s="336">
        <f t="shared" si="848"/>
        <v>20087.93</v>
      </c>
      <c r="AG223" s="337">
        <f t="shared" si="849"/>
        <v>0</v>
      </c>
      <c r="AH223" s="338">
        <f t="shared" si="850"/>
        <v>20087.93</v>
      </c>
      <c r="AI223" s="336">
        <f t="shared" si="851"/>
        <v>0</v>
      </c>
      <c r="AJ223" s="337">
        <f t="shared" si="852"/>
        <v>0</v>
      </c>
      <c r="AK223" s="338">
        <f t="shared" si="853"/>
        <v>0</v>
      </c>
      <c r="AL223" s="342"/>
      <c r="AM223" s="336">
        <f t="shared" ref="AM223" si="881">Z223+AC223</f>
        <v>0</v>
      </c>
      <c r="AN223" s="339">
        <f t="shared" ref="AN223" si="882">AA223+AD223</f>
        <v>0</v>
      </c>
      <c r="AO223" s="340">
        <f>AM223-AN223</f>
        <v>0</v>
      </c>
      <c r="AP223" s="336">
        <f t="shared" ref="AP223" si="883">Z223+AC223+AF223</f>
        <v>20087.93</v>
      </c>
      <c r="AQ223" s="339">
        <f t="shared" ref="AQ223" si="884">AA223+AD223+AG223</f>
        <v>0</v>
      </c>
      <c r="AR223" s="340">
        <f>AP223-AQ223</f>
        <v>20087.93</v>
      </c>
      <c r="AS223" s="341">
        <f t="shared" si="858"/>
        <v>20087.93</v>
      </c>
      <c r="AT223" s="339">
        <f t="shared" si="859"/>
        <v>0</v>
      </c>
      <c r="AU223" s="340">
        <f t="shared" si="860"/>
        <v>20087.93</v>
      </c>
      <c r="AV223" s="1255">
        <f>L223-AS223</f>
        <v>0</v>
      </c>
      <c r="AW223" s="343"/>
      <c r="AX223" s="1098"/>
      <c r="AY223" s="345"/>
      <c r="AZ223" s="1098"/>
      <c r="BA223" s="345"/>
      <c r="BB223" s="1120"/>
      <c r="BC223" s="347"/>
      <c r="BD223" s="348"/>
      <c r="BE223" s="349"/>
      <c r="BF223" s="348"/>
      <c r="BG223" s="1135"/>
      <c r="BH223" s="350"/>
      <c r="BI223" s="351"/>
      <c r="BJ223" s="352"/>
      <c r="BK223" s="1137"/>
      <c r="BL223" s="352"/>
      <c r="BM223" s="1137">
        <v>20087.93</v>
      </c>
      <c r="BN223" s="353"/>
      <c r="BO223" s="354"/>
      <c r="BP223" s="355"/>
      <c r="BQ223" s="356"/>
      <c r="BR223" s="355"/>
      <c r="BS223" s="356"/>
      <c r="BT223" s="357"/>
    </row>
    <row r="224" spans="1:72" s="313" customFormat="1" ht="25.5" outlineLevel="1">
      <c r="A224" s="1192" t="s">
        <v>949</v>
      </c>
      <c r="B224" s="933"/>
      <c r="C224" s="840"/>
      <c r="D224" s="841"/>
      <c r="E224" s="839"/>
      <c r="F224" s="825" t="s">
        <v>877</v>
      </c>
      <c r="G224" s="314">
        <v>5</v>
      </c>
      <c r="H224" s="739" t="s">
        <v>136</v>
      </c>
      <c r="I224" s="739">
        <v>244</v>
      </c>
      <c r="J224" s="740" t="s">
        <v>903</v>
      </c>
      <c r="K224" s="533" t="s">
        <v>958</v>
      </c>
      <c r="L224" s="1025">
        <v>65000</v>
      </c>
      <c r="M224" s="318"/>
      <c r="N224" s="318"/>
      <c r="O224" s="1052">
        <f>L224+N224</f>
        <v>65000</v>
      </c>
      <c r="P224" s="570"/>
      <c r="Q224" s="336">
        <v>0</v>
      </c>
      <c r="R224" s="559"/>
      <c r="S224" s="541">
        <v>0</v>
      </c>
      <c r="T224" s="559"/>
      <c r="U224" s="335"/>
      <c r="V224" s="597" t="s">
        <v>959</v>
      </c>
      <c r="W224" s="388" t="s">
        <v>960</v>
      </c>
      <c r="X224" s="597" t="s">
        <v>977</v>
      </c>
      <c r="Z224" s="336">
        <f t="shared" si="842"/>
        <v>0</v>
      </c>
      <c r="AA224" s="337">
        <f t="shared" si="843"/>
        <v>0</v>
      </c>
      <c r="AB224" s="338">
        <f t="shared" si="844"/>
        <v>0</v>
      </c>
      <c r="AC224" s="336">
        <f t="shared" si="845"/>
        <v>0</v>
      </c>
      <c r="AD224" s="337">
        <f t="shared" si="846"/>
        <v>0</v>
      </c>
      <c r="AE224" s="338">
        <f t="shared" si="847"/>
        <v>0</v>
      </c>
      <c r="AF224" s="336">
        <f t="shared" si="848"/>
        <v>65000</v>
      </c>
      <c r="AG224" s="337">
        <f t="shared" si="849"/>
        <v>0</v>
      </c>
      <c r="AH224" s="338">
        <f t="shared" si="850"/>
        <v>65000</v>
      </c>
      <c r="AI224" s="336">
        <f t="shared" si="851"/>
        <v>0</v>
      </c>
      <c r="AJ224" s="337">
        <f t="shared" si="852"/>
        <v>0</v>
      </c>
      <c r="AK224" s="338">
        <f t="shared" si="853"/>
        <v>0</v>
      </c>
      <c r="AL224" s="342"/>
      <c r="AM224" s="336">
        <f>Z224+AC224</f>
        <v>0</v>
      </c>
      <c r="AN224" s="339">
        <f>AA224+AD224</f>
        <v>0</v>
      </c>
      <c r="AO224" s="340">
        <f>AM224-AN224</f>
        <v>0</v>
      </c>
      <c r="AP224" s="336">
        <f>Z224+AC224+AF224</f>
        <v>65000</v>
      </c>
      <c r="AQ224" s="339">
        <f>AA224+AD224+AG224</f>
        <v>0</v>
      </c>
      <c r="AR224" s="340">
        <f>AP224-AQ224</f>
        <v>65000</v>
      </c>
      <c r="AS224" s="341">
        <f t="shared" si="858"/>
        <v>65000</v>
      </c>
      <c r="AT224" s="339">
        <f t="shared" si="859"/>
        <v>0</v>
      </c>
      <c r="AU224" s="340">
        <f t="shared" si="860"/>
        <v>65000</v>
      </c>
      <c r="AV224" s="1255">
        <f>L224-AS224</f>
        <v>0</v>
      </c>
      <c r="AW224" s="343"/>
      <c r="AX224" s="1098"/>
      <c r="AY224" s="345"/>
      <c r="AZ224" s="1098"/>
      <c r="BA224" s="345"/>
      <c r="BB224" s="1120"/>
      <c r="BC224" s="347"/>
      <c r="BD224" s="348"/>
      <c r="BE224" s="349"/>
      <c r="BF224" s="348"/>
      <c r="BG224" s="1135"/>
      <c r="BH224" s="350"/>
      <c r="BI224" s="351"/>
      <c r="BJ224" s="352"/>
      <c r="BK224" s="1137"/>
      <c r="BL224" s="352"/>
      <c r="BM224" s="1137">
        <v>65000</v>
      </c>
      <c r="BN224" s="353"/>
      <c r="BO224" s="354"/>
      <c r="BP224" s="355"/>
      <c r="BQ224" s="356"/>
      <c r="BR224" s="355"/>
      <c r="BS224" s="356"/>
      <c r="BT224" s="357"/>
    </row>
    <row r="225" spans="1:72" s="313" customFormat="1" ht="26.25" outlineLevel="1" thickBot="1">
      <c r="A225" s="1192" t="s">
        <v>950</v>
      </c>
      <c r="B225" s="933"/>
      <c r="C225" s="840"/>
      <c r="D225" s="841"/>
      <c r="E225" s="839"/>
      <c r="F225" s="825" t="s">
        <v>877</v>
      </c>
      <c r="G225" s="314">
        <v>5</v>
      </c>
      <c r="H225" s="739" t="s">
        <v>136</v>
      </c>
      <c r="I225" s="739">
        <v>244</v>
      </c>
      <c r="J225" s="740" t="s">
        <v>903</v>
      </c>
      <c r="K225" s="533" t="s">
        <v>946</v>
      </c>
      <c r="L225" s="1025">
        <v>97500</v>
      </c>
      <c r="M225" s="318"/>
      <c r="N225" s="318"/>
      <c r="O225" s="1052">
        <f>L225+N225</f>
        <v>97500</v>
      </c>
      <c r="P225" s="570"/>
      <c r="Q225" s="336">
        <v>0</v>
      </c>
      <c r="R225" s="559"/>
      <c r="S225" s="541">
        <v>0</v>
      </c>
      <c r="T225" s="559"/>
      <c r="U225" s="335"/>
      <c r="V225" s="597" t="s">
        <v>959</v>
      </c>
      <c r="W225" s="388" t="s">
        <v>961</v>
      </c>
      <c r="X225" s="597" t="s">
        <v>977</v>
      </c>
      <c r="Z225" s="336">
        <f t="shared" si="842"/>
        <v>0</v>
      </c>
      <c r="AA225" s="337">
        <f t="shared" si="843"/>
        <v>0</v>
      </c>
      <c r="AB225" s="338">
        <f t="shared" si="844"/>
        <v>0</v>
      </c>
      <c r="AC225" s="336">
        <f t="shared" si="845"/>
        <v>0</v>
      </c>
      <c r="AD225" s="337">
        <f t="shared" si="846"/>
        <v>0</v>
      </c>
      <c r="AE225" s="338">
        <f t="shared" si="847"/>
        <v>0</v>
      </c>
      <c r="AF225" s="336">
        <f t="shared" si="848"/>
        <v>97500</v>
      </c>
      <c r="AG225" s="337">
        <f t="shared" si="849"/>
        <v>0</v>
      </c>
      <c r="AH225" s="338">
        <f t="shared" si="850"/>
        <v>97500</v>
      </c>
      <c r="AI225" s="336">
        <f t="shared" si="851"/>
        <v>0</v>
      </c>
      <c r="AJ225" s="337">
        <f t="shared" si="852"/>
        <v>0</v>
      </c>
      <c r="AK225" s="338">
        <f t="shared" si="853"/>
        <v>0</v>
      </c>
      <c r="AL225" s="342"/>
      <c r="AM225" s="336">
        <f>Z225+AC225</f>
        <v>0</v>
      </c>
      <c r="AN225" s="339">
        <f>AA225+AD225</f>
        <v>0</v>
      </c>
      <c r="AO225" s="340">
        <f>AM225-AN225</f>
        <v>0</v>
      </c>
      <c r="AP225" s="336">
        <f>Z225+AC225+AF225</f>
        <v>97500</v>
      </c>
      <c r="AQ225" s="339">
        <f>AA225+AD225+AG225</f>
        <v>0</v>
      </c>
      <c r="AR225" s="340">
        <f>AP225-AQ225</f>
        <v>97500</v>
      </c>
      <c r="AS225" s="341">
        <f t="shared" si="858"/>
        <v>97500</v>
      </c>
      <c r="AT225" s="339">
        <f t="shared" si="859"/>
        <v>0</v>
      </c>
      <c r="AU225" s="340">
        <f t="shared" si="860"/>
        <v>97500</v>
      </c>
      <c r="AV225" s="1255">
        <f>L225-AS225</f>
        <v>0</v>
      </c>
      <c r="AW225" s="343"/>
      <c r="AX225" s="1098"/>
      <c r="AY225" s="345"/>
      <c r="AZ225" s="1098"/>
      <c r="BA225" s="345"/>
      <c r="BB225" s="1120"/>
      <c r="BC225" s="347"/>
      <c r="BD225" s="348"/>
      <c r="BE225" s="349"/>
      <c r="BF225" s="348"/>
      <c r="BG225" s="1135"/>
      <c r="BH225" s="350"/>
      <c r="BI225" s="351"/>
      <c r="BJ225" s="352"/>
      <c r="BK225" s="1137"/>
      <c r="BL225" s="352"/>
      <c r="BM225" s="1137">
        <v>97500</v>
      </c>
      <c r="BN225" s="353"/>
      <c r="BO225" s="354"/>
      <c r="BP225" s="355"/>
      <c r="BQ225" s="356"/>
      <c r="BR225" s="355"/>
      <c r="BS225" s="356"/>
      <c r="BT225" s="357"/>
    </row>
    <row r="226" spans="1:72" s="358" customFormat="1" ht="63">
      <c r="A226" s="1192" t="s">
        <v>936</v>
      </c>
      <c r="B226" s="933"/>
      <c r="C226" s="850" t="s">
        <v>378</v>
      </c>
      <c r="D226" s="838"/>
      <c r="E226" s="836" t="s">
        <v>201</v>
      </c>
      <c r="F226" s="1193" t="s">
        <v>877</v>
      </c>
      <c r="G226" s="360">
        <v>5</v>
      </c>
      <c r="H226" s="360" t="s">
        <v>136</v>
      </c>
      <c r="I226" s="374">
        <v>244</v>
      </c>
      <c r="J226" s="361">
        <v>349</v>
      </c>
      <c r="K226" s="1206" t="s">
        <v>990</v>
      </c>
      <c r="L226" s="1289">
        <f>SUM(L227:L230)</f>
        <v>171156.8</v>
      </c>
      <c r="M226" s="552"/>
      <c r="N226" s="552">
        <f>SUM(N227:N230)</f>
        <v>0</v>
      </c>
      <c r="O226" s="1056">
        <f t="shared" ref="O226" si="885">L226+N226</f>
        <v>171156.8</v>
      </c>
      <c r="P226" s="569"/>
      <c r="Q226" s="551">
        <f>SUM(Q227:Q230)</f>
        <v>0</v>
      </c>
      <c r="R226" s="573"/>
      <c r="S226" s="553">
        <f>SUM(S227:S230)</f>
        <v>0</v>
      </c>
      <c r="T226" s="573"/>
      <c r="U226" s="365"/>
      <c r="V226" s="366"/>
      <c r="W226" s="366"/>
      <c r="X226" s="366"/>
      <c r="Z226" s="367">
        <f t="shared" si="842"/>
        <v>0</v>
      </c>
      <c r="AA226" s="363">
        <f t="shared" si="843"/>
        <v>0</v>
      </c>
      <c r="AB226" s="280">
        <f t="shared" si="844"/>
        <v>0</v>
      </c>
      <c r="AC226" s="367">
        <f t="shared" si="845"/>
        <v>0</v>
      </c>
      <c r="AD226" s="363">
        <f t="shared" si="846"/>
        <v>0</v>
      </c>
      <c r="AE226" s="280">
        <f t="shared" si="847"/>
        <v>0</v>
      </c>
      <c r="AF226" s="367">
        <f t="shared" si="848"/>
        <v>111156.8</v>
      </c>
      <c r="AG226" s="363">
        <f t="shared" si="849"/>
        <v>0</v>
      </c>
      <c r="AH226" s="280">
        <f t="shared" si="850"/>
        <v>111156.8</v>
      </c>
      <c r="AI226" s="367">
        <f t="shared" si="851"/>
        <v>0</v>
      </c>
      <c r="AJ226" s="363">
        <f t="shared" si="852"/>
        <v>0</v>
      </c>
      <c r="AK226" s="280">
        <f t="shared" si="853"/>
        <v>0</v>
      </c>
      <c r="AL226" s="368"/>
      <c r="AM226" s="367">
        <f t="shared" ref="AM226" si="886">Z226+AC226</f>
        <v>0</v>
      </c>
      <c r="AN226" s="363">
        <f t="shared" ref="AN226" si="887">AA226+AD226</f>
        <v>0</v>
      </c>
      <c r="AO226" s="280">
        <f t="shared" ref="AO226" si="888">AM226-AN226</f>
        <v>0</v>
      </c>
      <c r="AP226" s="367">
        <f t="shared" ref="AP226" si="889">Z226+AC226+AF226</f>
        <v>111156.8</v>
      </c>
      <c r="AQ226" s="363">
        <f t="shared" ref="AQ226" si="890">AA226+AD226+AG226</f>
        <v>0</v>
      </c>
      <c r="AR226" s="280">
        <f t="shared" ref="AR226" si="891">AP226-AQ226</f>
        <v>111156.8</v>
      </c>
      <c r="AS226" s="367">
        <f t="shared" si="858"/>
        <v>111156.8</v>
      </c>
      <c r="AT226" s="363">
        <f t="shared" si="859"/>
        <v>0</v>
      </c>
      <c r="AU226" s="280">
        <f t="shared" si="860"/>
        <v>111156.8</v>
      </c>
      <c r="AV226" s="1253">
        <f t="shared" ref="AV226" si="892">L226-AS226</f>
        <v>60000</v>
      </c>
      <c r="AW226" s="367">
        <f t="shared" ref="AW226:BT226" si="893">SUM(AW227:AW230)</f>
        <v>0</v>
      </c>
      <c r="AX226" s="1097">
        <f t="shared" si="893"/>
        <v>0</v>
      </c>
      <c r="AY226" s="363">
        <f t="shared" si="893"/>
        <v>0</v>
      </c>
      <c r="AZ226" s="1097">
        <f t="shared" si="893"/>
        <v>0</v>
      </c>
      <c r="BA226" s="363">
        <f t="shared" si="893"/>
        <v>0</v>
      </c>
      <c r="BB226" s="1119">
        <f t="shared" si="893"/>
        <v>0</v>
      </c>
      <c r="BC226" s="367">
        <f t="shared" si="893"/>
        <v>0</v>
      </c>
      <c r="BD226" s="363">
        <f t="shared" si="893"/>
        <v>0</v>
      </c>
      <c r="BE226" s="363">
        <f t="shared" si="893"/>
        <v>0</v>
      </c>
      <c r="BF226" s="363">
        <f t="shared" si="893"/>
        <v>0</v>
      </c>
      <c r="BG226" s="363">
        <f t="shared" si="893"/>
        <v>0</v>
      </c>
      <c r="BH226" s="369">
        <f t="shared" si="893"/>
        <v>0</v>
      </c>
      <c r="BI226" s="367">
        <f t="shared" si="893"/>
        <v>0</v>
      </c>
      <c r="BJ226" s="363">
        <f t="shared" si="893"/>
        <v>0</v>
      </c>
      <c r="BK226" s="363">
        <f t="shared" si="893"/>
        <v>0</v>
      </c>
      <c r="BL226" s="363">
        <f t="shared" si="893"/>
        <v>0</v>
      </c>
      <c r="BM226" s="363">
        <f t="shared" si="893"/>
        <v>111156.8</v>
      </c>
      <c r="BN226" s="369">
        <f t="shared" si="893"/>
        <v>0</v>
      </c>
      <c r="BO226" s="367">
        <f t="shared" si="893"/>
        <v>0</v>
      </c>
      <c r="BP226" s="363">
        <f t="shared" si="893"/>
        <v>0</v>
      </c>
      <c r="BQ226" s="363">
        <f t="shared" si="893"/>
        <v>0</v>
      </c>
      <c r="BR226" s="363">
        <f t="shared" si="893"/>
        <v>0</v>
      </c>
      <c r="BS226" s="363">
        <f t="shared" si="893"/>
        <v>0</v>
      </c>
      <c r="BT226" s="363">
        <f t="shared" si="893"/>
        <v>0</v>
      </c>
    </row>
    <row r="227" spans="1:72" s="313" customFormat="1" ht="80.25" customHeight="1" outlineLevel="1">
      <c r="A227" s="1192" t="s">
        <v>951</v>
      </c>
      <c r="B227" s="933"/>
      <c r="C227" s="840"/>
      <c r="D227" s="841"/>
      <c r="E227" s="839"/>
      <c r="F227" s="825" t="s">
        <v>877</v>
      </c>
      <c r="G227" s="314">
        <v>5</v>
      </c>
      <c r="H227" s="739" t="s">
        <v>136</v>
      </c>
      <c r="I227" s="739">
        <v>244</v>
      </c>
      <c r="J227" s="740" t="s">
        <v>904</v>
      </c>
      <c r="K227" s="533" t="s">
        <v>942</v>
      </c>
      <c r="L227" s="1025">
        <v>48200</v>
      </c>
      <c r="M227" s="318"/>
      <c r="N227" s="318"/>
      <c r="O227" s="1052">
        <f>L227+N227</f>
        <v>48200</v>
      </c>
      <c r="P227" s="570"/>
      <c r="Q227" s="336">
        <v>0</v>
      </c>
      <c r="R227" s="559"/>
      <c r="S227" s="541">
        <v>0</v>
      </c>
      <c r="T227" s="559"/>
      <c r="U227" s="335"/>
      <c r="V227" s="597" t="s">
        <v>943</v>
      </c>
      <c r="W227" s="388" t="s">
        <v>944</v>
      </c>
      <c r="X227" s="811"/>
      <c r="Z227" s="336">
        <f t="shared" si="842"/>
        <v>0</v>
      </c>
      <c r="AA227" s="337">
        <f t="shared" si="843"/>
        <v>0</v>
      </c>
      <c r="AB227" s="338">
        <f t="shared" si="844"/>
        <v>0</v>
      </c>
      <c r="AC227" s="336">
        <f t="shared" si="845"/>
        <v>0</v>
      </c>
      <c r="AD227" s="337">
        <f t="shared" si="846"/>
        <v>0</v>
      </c>
      <c r="AE227" s="338">
        <f t="shared" si="847"/>
        <v>0</v>
      </c>
      <c r="AF227" s="336">
        <f t="shared" si="848"/>
        <v>48200</v>
      </c>
      <c r="AG227" s="337">
        <f t="shared" si="849"/>
        <v>0</v>
      </c>
      <c r="AH227" s="338">
        <f t="shared" si="850"/>
        <v>48200</v>
      </c>
      <c r="AI227" s="336">
        <f t="shared" si="851"/>
        <v>0</v>
      </c>
      <c r="AJ227" s="337">
        <f t="shared" si="852"/>
        <v>0</v>
      </c>
      <c r="AK227" s="338">
        <f t="shared" si="853"/>
        <v>0</v>
      </c>
      <c r="AL227" s="342"/>
      <c r="AM227" s="336">
        <f t="shared" ref="AM227:AN230" si="894">Z227+AC227</f>
        <v>0</v>
      </c>
      <c r="AN227" s="339">
        <f t="shared" si="894"/>
        <v>0</v>
      </c>
      <c r="AO227" s="340">
        <f>AM227-AN227</f>
        <v>0</v>
      </c>
      <c r="AP227" s="336">
        <f t="shared" ref="AP227:AQ230" si="895">Z227+AC227+AF227</f>
        <v>48200</v>
      </c>
      <c r="AQ227" s="339">
        <f t="shared" si="895"/>
        <v>0</v>
      </c>
      <c r="AR227" s="340">
        <f>AP227-AQ227</f>
        <v>48200</v>
      </c>
      <c r="AS227" s="341">
        <f t="shared" si="858"/>
        <v>48200</v>
      </c>
      <c r="AT227" s="339">
        <f t="shared" si="859"/>
        <v>0</v>
      </c>
      <c r="AU227" s="340">
        <f t="shared" si="860"/>
        <v>48200</v>
      </c>
      <c r="AV227" s="1255">
        <f>L227-AS227</f>
        <v>0</v>
      </c>
      <c r="AW227" s="343"/>
      <c r="AX227" s="1098"/>
      <c r="AY227" s="345"/>
      <c r="AZ227" s="1098"/>
      <c r="BA227" s="345"/>
      <c r="BB227" s="1120"/>
      <c r="BC227" s="347"/>
      <c r="BD227" s="348"/>
      <c r="BE227" s="349"/>
      <c r="BF227" s="348"/>
      <c r="BG227" s="1135"/>
      <c r="BH227" s="350"/>
      <c r="BI227" s="351"/>
      <c r="BJ227" s="352"/>
      <c r="BK227" s="1137"/>
      <c r="BL227" s="352"/>
      <c r="BM227" s="1137">
        <v>48200</v>
      </c>
      <c r="BN227" s="353"/>
      <c r="BO227" s="354"/>
      <c r="BP227" s="355"/>
      <c r="BQ227" s="356"/>
      <c r="BR227" s="355"/>
      <c r="BS227" s="356"/>
      <c r="BT227" s="357"/>
    </row>
    <row r="228" spans="1:72" s="313" customFormat="1" ht="25.5" outlineLevel="1">
      <c r="A228" s="1192" t="s">
        <v>952</v>
      </c>
      <c r="B228" s="933"/>
      <c r="C228" s="840"/>
      <c r="D228" s="841"/>
      <c r="E228" s="839"/>
      <c r="F228" s="825" t="s">
        <v>877</v>
      </c>
      <c r="G228" s="314">
        <v>5</v>
      </c>
      <c r="H228" s="739" t="s">
        <v>136</v>
      </c>
      <c r="I228" s="739">
        <v>244</v>
      </c>
      <c r="J228" s="740" t="s">
        <v>904</v>
      </c>
      <c r="K228" s="533" t="s">
        <v>937</v>
      </c>
      <c r="L228" s="1025">
        <v>26949</v>
      </c>
      <c r="M228" s="318"/>
      <c r="N228" s="318"/>
      <c r="O228" s="1052">
        <f>L228+N228</f>
        <v>26949</v>
      </c>
      <c r="P228" s="570"/>
      <c r="Q228" s="336">
        <v>0</v>
      </c>
      <c r="R228" s="559"/>
      <c r="S228" s="541">
        <v>0</v>
      </c>
      <c r="T228" s="559"/>
      <c r="U228" s="335"/>
      <c r="V228" s="597" t="s">
        <v>959</v>
      </c>
      <c r="W228" s="388" t="s">
        <v>964</v>
      </c>
      <c r="X228" s="597" t="s">
        <v>977</v>
      </c>
      <c r="Z228" s="336">
        <f t="shared" si="842"/>
        <v>0</v>
      </c>
      <c r="AA228" s="337">
        <f t="shared" si="843"/>
        <v>0</v>
      </c>
      <c r="AB228" s="338">
        <f t="shared" si="844"/>
        <v>0</v>
      </c>
      <c r="AC228" s="336">
        <f t="shared" si="845"/>
        <v>0</v>
      </c>
      <c r="AD228" s="337">
        <f t="shared" si="846"/>
        <v>0</v>
      </c>
      <c r="AE228" s="338">
        <f t="shared" si="847"/>
        <v>0</v>
      </c>
      <c r="AF228" s="336">
        <f t="shared" si="848"/>
        <v>26949</v>
      </c>
      <c r="AG228" s="337">
        <f t="shared" si="849"/>
        <v>0</v>
      </c>
      <c r="AH228" s="338">
        <f t="shared" si="850"/>
        <v>26949</v>
      </c>
      <c r="AI228" s="336">
        <f t="shared" si="851"/>
        <v>0</v>
      </c>
      <c r="AJ228" s="337">
        <f t="shared" si="852"/>
        <v>0</v>
      </c>
      <c r="AK228" s="338">
        <f t="shared" si="853"/>
        <v>0</v>
      </c>
      <c r="AL228" s="342"/>
      <c r="AM228" s="336">
        <f t="shared" si="894"/>
        <v>0</v>
      </c>
      <c r="AN228" s="339">
        <f t="shared" si="894"/>
        <v>0</v>
      </c>
      <c r="AO228" s="340">
        <f>AM228-AN228</f>
        <v>0</v>
      </c>
      <c r="AP228" s="336">
        <f t="shared" si="895"/>
        <v>26949</v>
      </c>
      <c r="AQ228" s="339">
        <f t="shared" si="895"/>
        <v>0</v>
      </c>
      <c r="AR228" s="340">
        <f>AP228-AQ228</f>
        <v>26949</v>
      </c>
      <c r="AS228" s="341">
        <f t="shared" si="858"/>
        <v>26949</v>
      </c>
      <c r="AT228" s="339">
        <f t="shared" si="859"/>
        <v>0</v>
      </c>
      <c r="AU228" s="340">
        <f t="shared" si="860"/>
        <v>26949</v>
      </c>
      <c r="AV228" s="1255">
        <f>L228-AS228</f>
        <v>0</v>
      </c>
      <c r="AW228" s="343"/>
      <c r="AX228" s="1098"/>
      <c r="AY228" s="345"/>
      <c r="AZ228" s="1098"/>
      <c r="BA228" s="345"/>
      <c r="BB228" s="1120"/>
      <c r="BC228" s="347"/>
      <c r="BD228" s="348"/>
      <c r="BE228" s="349"/>
      <c r="BF228" s="348"/>
      <c r="BG228" s="1135"/>
      <c r="BH228" s="350"/>
      <c r="BI228" s="351"/>
      <c r="BJ228" s="352"/>
      <c r="BK228" s="1137"/>
      <c r="BL228" s="352"/>
      <c r="BM228" s="1137">
        <v>26949</v>
      </c>
      <c r="BN228" s="353"/>
      <c r="BO228" s="354"/>
      <c r="BP228" s="355"/>
      <c r="BQ228" s="356"/>
      <c r="BR228" s="355"/>
      <c r="BS228" s="356"/>
      <c r="BT228" s="357"/>
    </row>
    <row r="229" spans="1:72" s="313" customFormat="1" ht="51" outlineLevel="1">
      <c r="A229" s="1192" t="s">
        <v>953</v>
      </c>
      <c r="B229" s="933"/>
      <c r="C229" s="840"/>
      <c r="D229" s="841"/>
      <c r="E229" s="839"/>
      <c r="F229" s="825" t="s">
        <v>877</v>
      </c>
      <c r="G229" s="314">
        <v>5</v>
      </c>
      <c r="H229" s="739" t="s">
        <v>136</v>
      </c>
      <c r="I229" s="739">
        <v>244</v>
      </c>
      <c r="J229" s="740" t="s">
        <v>904</v>
      </c>
      <c r="K229" s="533" t="s">
        <v>938</v>
      </c>
      <c r="L229" s="1025">
        <v>36007.800000000003</v>
      </c>
      <c r="M229" s="318"/>
      <c r="N229" s="318"/>
      <c r="O229" s="1052">
        <f>L229+N229</f>
        <v>36007.800000000003</v>
      </c>
      <c r="P229" s="570"/>
      <c r="Q229" s="336">
        <v>0</v>
      </c>
      <c r="R229" s="559"/>
      <c r="S229" s="541">
        <v>0</v>
      </c>
      <c r="T229" s="559"/>
      <c r="U229" s="335"/>
      <c r="V229" s="597" t="s">
        <v>972</v>
      </c>
      <c r="W229" s="388" t="s">
        <v>481</v>
      </c>
      <c r="X229" s="597" t="s">
        <v>977</v>
      </c>
      <c r="Z229" s="336">
        <f t="shared" si="842"/>
        <v>0</v>
      </c>
      <c r="AA229" s="337">
        <f t="shared" si="843"/>
        <v>0</v>
      </c>
      <c r="AB229" s="338">
        <f t="shared" si="844"/>
        <v>0</v>
      </c>
      <c r="AC229" s="336">
        <f t="shared" si="845"/>
        <v>0</v>
      </c>
      <c r="AD229" s="337">
        <f t="shared" si="846"/>
        <v>0</v>
      </c>
      <c r="AE229" s="338">
        <f t="shared" si="847"/>
        <v>0</v>
      </c>
      <c r="AF229" s="336">
        <f t="shared" si="848"/>
        <v>36007.800000000003</v>
      </c>
      <c r="AG229" s="337">
        <f t="shared" si="849"/>
        <v>0</v>
      </c>
      <c r="AH229" s="338">
        <f t="shared" si="850"/>
        <v>36007.800000000003</v>
      </c>
      <c r="AI229" s="336">
        <f t="shared" si="851"/>
        <v>0</v>
      </c>
      <c r="AJ229" s="337">
        <f t="shared" si="852"/>
        <v>0</v>
      </c>
      <c r="AK229" s="338">
        <f t="shared" si="853"/>
        <v>0</v>
      </c>
      <c r="AL229" s="342"/>
      <c r="AM229" s="336">
        <f t="shared" si="894"/>
        <v>0</v>
      </c>
      <c r="AN229" s="339">
        <f t="shared" si="894"/>
        <v>0</v>
      </c>
      <c r="AO229" s="340">
        <f>AM229-AN229</f>
        <v>0</v>
      </c>
      <c r="AP229" s="336">
        <f t="shared" si="895"/>
        <v>36007.800000000003</v>
      </c>
      <c r="AQ229" s="339">
        <f t="shared" si="895"/>
        <v>0</v>
      </c>
      <c r="AR229" s="340">
        <f>AP229-AQ229</f>
        <v>36007.800000000003</v>
      </c>
      <c r="AS229" s="341">
        <f t="shared" si="858"/>
        <v>36007.800000000003</v>
      </c>
      <c r="AT229" s="339">
        <f t="shared" si="859"/>
        <v>0</v>
      </c>
      <c r="AU229" s="340">
        <f t="shared" si="860"/>
        <v>36007.800000000003</v>
      </c>
      <c r="AV229" s="1255">
        <f>L229-AS229</f>
        <v>0</v>
      </c>
      <c r="AW229" s="343"/>
      <c r="AX229" s="1098"/>
      <c r="AY229" s="345"/>
      <c r="AZ229" s="1098"/>
      <c r="BA229" s="345"/>
      <c r="BB229" s="1120"/>
      <c r="BC229" s="347"/>
      <c r="BD229" s="348"/>
      <c r="BE229" s="349"/>
      <c r="BF229" s="348"/>
      <c r="BG229" s="1135"/>
      <c r="BH229" s="350"/>
      <c r="BI229" s="351"/>
      <c r="BJ229" s="352"/>
      <c r="BK229" s="1137"/>
      <c r="BL229" s="352"/>
      <c r="BM229" s="1137">
        <v>36007.800000000003</v>
      </c>
      <c r="BN229" s="353"/>
      <c r="BO229" s="354"/>
      <c r="BP229" s="355"/>
      <c r="BQ229" s="356"/>
      <c r="BR229" s="355"/>
      <c r="BS229" s="356"/>
      <c r="BT229" s="357"/>
    </row>
    <row r="230" spans="1:72" s="313" customFormat="1" ht="26.25" outlineLevel="1" thickBot="1">
      <c r="A230" s="1192" t="s">
        <v>954</v>
      </c>
      <c r="B230" s="933"/>
      <c r="C230" s="840"/>
      <c r="D230" s="841"/>
      <c r="E230" s="839"/>
      <c r="F230" s="825" t="s">
        <v>877</v>
      </c>
      <c r="G230" s="314">
        <v>5</v>
      </c>
      <c r="H230" s="739" t="s">
        <v>136</v>
      </c>
      <c r="I230" s="739">
        <v>244</v>
      </c>
      <c r="J230" s="740" t="s">
        <v>904</v>
      </c>
      <c r="K230" s="533" t="s">
        <v>939</v>
      </c>
      <c r="L230" s="1025">
        <v>60000</v>
      </c>
      <c r="M230" s="318"/>
      <c r="N230" s="318"/>
      <c r="O230" s="1052">
        <f>L230+N230</f>
        <v>60000</v>
      </c>
      <c r="P230" s="570"/>
      <c r="Q230" s="336">
        <v>0</v>
      </c>
      <c r="R230" s="559"/>
      <c r="S230" s="541">
        <v>0</v>
      </c>
      <c r="T230" s="559"/>
      <c r="U230" s="335"/>
      <c r="V230" s="811"/>
      <c r="W230" s="597"/>
      <c r="X230" s="811"/>
      <c r="Z230" s="336">
        <f t="shared" si="842"/>
        <v>0</v>
      </c>
      <c r="AA230" s="337">
        <f t="shared" si="843"/>
        <v>0</v>
      </c>
      <c r="AB230" s="338">
        <f t="shared" si="844"/>
        <v>0</v>
      </c>
      <c r="AC230" s="336">
        <f t="shared" si="845"/>
        <v>0</v>
      </c>
      <c r="AD230" s="337">
        <f t="shared" si="846"/>
        <v>0</v>
      </c>
      <c r="AE230" s="338">
        <f t="shared" si="847"/>
        <v>0</v>
      </c>
      <c r="AF230" s="336">
        <f t="shared" si="848"/>
        <v>0</v>
      </c>
      <c r="AG230" s="337">
        <f t="shared" si="849"/>
        <v>0</v>
      </c>
      <c r="AH230" s="338">
        <f t="shared" si="850"/>
        <v>0</v>
      </c>
      <c r="AI230" s="336">
        <f t="shared" si="851"/>
        <v>0</v>
      </c>
      <c r="AJ230" s="337">
        <f t="shared" si="852"/>
        <v>0</v>
      </c>
      <c r="AK230" s="338">
        <f t="shared" si="853"/>
        <v>0</v>
      </c>
      <c r="AL230" s="342"/>
      <c r="AM230" s="336">
        <f t="shared" si="894"/>
        <v>0</v>
      </c>
      <c r="AN230" s="339">
        <f t="shared" si="894"/>
        <v>0</v>
      </c>
      <c r="AO230" s="340">
        <f>AM230-AN230</f>
        <v>0</v>
      </c>
      <c r="AP230" s="336">
        <f t="shared" si="895"/>
        <v>0</v>
      </c>
      <c r="AQ230" s="339">
        <f t="shared" si="895"/>
        <v>0</v>
      </c>
      <c r="AR230" s="340">
        <f>AP230-AQ230</f>
        <v>0</v>
      </c>
      <c r="AS230" s="341">
        <f t="shared" si="858"/>
        <v>0</v>
      </c>
      <c r="AT230" s="339">
        <f t="shared" si="859"/>
        <v>0</v>
      </c>
      <c r="AU230" s="340">
        <f t="shared" si="860"/>
        <v>0</v>
      </c>
      <c r="AV230" s="1255">
        <f>L230-AS230</f>
        <v>60000</v>
      </c>
      <c r="AW230" s="343"/>
      <c r="AX230" s="1098"/>
      <c r="AY230" s="345"/>
      <c r="AZ230" s="1098"/>
      <c r="BA230" s="345"/>
      <c r="BB230" s="1120"/>
      <c r="BC230" s="347"/>
      <c r="BD230" s="348"/>
      <c r="BE230" s="349"/>
      <c r="BF230" s="348"/>
      <c r="BG230" s="1135"/>
      <c r="BH230" s="350"/>
      <c r="BI230" s="351"/>
      <c r="BJ230" s="352"/>
      <c r="BK230" s="1137"/>
      <c r="BL230" s="352"/>
      <c r="BM230" s="1137"/>
      <c r="BN230" s="353"/>
      <c r="BO230" s="354"/>
      <c r="BP230" s="355"/>
      <c r="BQ230" s="356"/>
      <c r="BR230" s="355"/>
      <c r="BS230" s="356"/>
      <c r="BT230" s="357"/>
    </row>
    <row r="231" spans="1:72" s="358" customFormat="1" ht="51">
      <c r="A231" s="1192" t="s">
        <v>945</v>
      </c>
      <c r="B231" s="933"/>
      <c r="C231" s="850" t="s">
        <v>378</v>
      </c>
      <c r="D231" s="838"/>
      <c r="E231" s="836" t="s">
        <v>201</v>
      </c>
      <c r="F231" s="1193" t="s">
        <v>877</v>
      </c>
      <c r="G231" s="360">
        <v>5</v>
      </c>
      <c r="H231" s="360" t="s">
        <v>136</v>
      </c>
      <c r="I231" s="374">
        <v>244</v>
      </c>
      <c r="J231" s="361">
        <v>310</v>
      </c>
      <c r="K231" s="1206" t="s">
        <v>991</v>
      </c>
      <c r="L231" s="1289">
        <f>SUM(L232:L232)</f>
        <v>81744.66</v>
      </c>
      <c r="M231" s="552"/>
      <c r="N231" s="552">
        <f>SUM(N232)</f>
        <v>0</v>
      </c>
      <c r="O231" s="1056">
        <f t="shared" ref="O231" si="896">L231+N231</f>
        <v>81744.66</v>
      </c>
      <c r="P231" s="569"/>
      <c r="Q231" s="551">
        <f>SUM(Q232:Q232)</f>
        <v>0</v>
      </c>
      <c r="R231" s="573"/>
      <c r="S231" s="553">
        <f>SUM(S232:S232)</f>
        <v>0</v>
      </c>
      <c r="T231" s="573"/>
      <c r="U231" s="365"/>
      <c r="V231" s="366"/>
      <c r="W231" s="366"/>
      <c r="X231" s="366"/>
      <c r="Z231" s="367">
        <f t="shared" si="842"/>
        <v>0</v>
      </c>
      <c r="AA231" s="363">
        <f t="shared" si="843"/>
        <v>0</v>
      </c>
      <c r="AB231" s="280">
        <f t="shared" si="844"/>
        <v>0</v>
      </c>
      <c r="AC231" s="367">
        <f t="shared" si="845"/>
        <v>0</v>
      </c>
      <c r="AD231" s="363">
        <f t="shared" si="846"/>
        <v>0</v>
      </c>
      <c r="AE231" s="280">
        <f t="shared" si="847"/>
        <v>0</v>
      </c>
      <c r="AF231" s="367">
        <f t="shared" si="848"/>
        <v>81744.66</v>
      </c>
      <c r="AG231" s="363">
        <f t="shared" si="849"/>
        <v>0</v>
      </c>
      <c r="AH231" s="280">
        <f t="shared" si="850"/>
        <v>81744.66</v>
      </c>
      <c r="AI231" s="367">
        <f t="shared" si="851"/>
        <v>0</v>
      </c>
      <c r="AJ231" s="363">
        <f>BP231+BR231+BT231</f>
        <v>0</v>
      </c>
      <c r="AK231" s="280">
        <f t="shared" si="853"/>
        <v>0</v>
      </c>
      <c r="AL231" s="368"/>
      <c r="AM231" s="367">
        <f t="shared" ref="AM231" si="897">Z231+AC231</f>
        <v>0</v>
      </c>
      <c r="AN231" s="363">
        <f t="shared" ref="AN231" si="898">AA231+AD231</f>
        <v>0</v>
      </c>
      <c r="AO231" s="280">
        <f t="shared" ref="AO231" si="899">AM231-AN231</f>
        <v>0</v>
      </c>
      <c r="AP231" s="367">
        <f t="shared" ref="AP231" si="900">Z231+AC231+AF231</f>
        <v>81744.66</v>
      </c>
      <c r="AQ231" s="363">
        <f t="shared" ref="AQ231" si="901">AA231+AD231+AG231</f>
        <v>0</v>
      </c>
      <c r="AR231" s="280">
        <f t="shared" ref="AR231" si="902">AP231-AQ231</f>
        <v>81744.66</v>
      </c>
      <c r="AS231" s="367">
        <f t="shared" si="858"/>
        <v>81744.66</v>
      </c>
      <c r="AT231" s="363">
        <f t="shared" si="859"/>
        <v>0</v>
      </c>
      <c r="AU231" s="280">
        <f t="shared" si="860"/>
        <v>81744.66</v>
      </c>
      <c r="AV231" s="1253">
        <f t="shared" ref="AV231" si="903">L231-AS231</f>
        <v>0</v>
      </c>
      <c r="AW231" s="367">
        <f t="shared" ref="AW231:BJ231" si="904">SUM(AW232)</f>
        <v>0</v>
      </c>
      <c r="AX231" s="1097">
        <f t="shared" si="904"/>
        <v>0</v>
      </c>
      <c r="AY231" s="363">
        <f t="shared" si="904"/>
        <v>0</v>
      </c>
      <c r="AZ231" s="1097">
        <f t="shared" si="904"/>
        <v>0</v>
      </c>
      <c r="BA231" s="363">
        <f t="shared" si="904"/>
        <v>0</v>
      </c>
      <c r="BB231" s="1119">
        <f t="shared" si="904"/>
        <v>0</v>
      </c>
      <c r="BC231" s="367">
        <f t="shared" si="904"/>
        <v>0</v>
      </c>
      <c r="BD231" s="363">
        <f t="shared" si="904"/>
        <v>0</v>
      </c>
      <c r="BE231" s="363">
        <f t="shared" si="904"/>
        <v>0</v>
      </c>
      <c r="BF231" s="363">
        <f t="shared" si="904"/>
        <v>0</v>
      </c>
      <c r="BG231" s="363">
        <f t="shared" si="904"/>
        <v>0</v>
      </c>
      <c r="BH231" s="369">
        <f t="shared" si="904"/>
        <v>0</v>
      </c>
      <c r="BI231" s="367">
        <f t="shared" si="904"/>
        <v>0</v>
      </c>
      <c r="BJ231" s="363">
        <f t="shared" si="904"/>
        <v>0</v>
      </c>
      <c r="BK231" s="363">
        <f t="shared" ref="BK231:BT231" si="905">SUM(BK232:BK232)</f>
        <v>0</v>
      </c>
      <c r="BL231" s="363">
        <f t="shared" si="905"/>
        <v>0</v>
      </c>
      <c r="BM231" s="363">
        <f t="shared" si="905"/>
        <v>81744.66</v>
      </c>
      <c r="BN231" s="369">
        <f t="shared" si="905"/>
        <v>0</v>
      </c>
      <c r="BO231" s="367">
        <f t="shared" si="905"/>
        <v>0</v>
      </c>
      <c r="BP231" s="363">
        <f t="shared" si="905"/>
        <v>0</v>
      </c>
      <c r="BQ231" s="363">
        <f t="shared" si="905"/>
        <v>0</v>
      </c>
      <c r="BR231" s="363">
        <f t="shared" si="905"/>
        <v>0</v>
      </c>
      <c r="BS231" s="363">
        <f t="shared" si="905"/>
        <v>0</v>
      </c>
      <c r="BT231" s="280">
        <f t="shared" si="905"/>
        <v>0</v>
      </c>
    </row>
    <row r="232" spans="1:72" s="313" customFormat="1" ht="51.75" outlineLevel="1" thickBot="1">
      <c r="A232" s="1192" t="s">
        <v>955</v>
      </c>
      <c r="B232" s="933"/>
      <c r="C232" s="840"/>
      <c r="D232" s="841"/>
      <c r="E232" s="839"/>
      <c r="F232" s="825" t="s">
        <v>877</v>
      </c>
      <c r="G232" s="314">
        <v>5</v>
      </c>
      <c r="H232" s="739" t="s">
        <v>136</v>
      </c>
      <c r="I232" s="739">
        <v>244</v>
      </c>
      <c r="J232" s="740">
        <v>310</v>
      </c>
      <c r="K232" s="533" t="s">
        <v>962</v>
      </c>
      <c r="L232" s="1025">
        <v>81744.66</v>
      </c>
      <c r="M232" s="318"/>
      <c r="N232" s="318"/>
      <c r="O232" s="1052">
        <f t="shared" ref="O232" si="906">L232+N232</f>
        <v>81744.66</v>
      </c>
      <c r="P232" s="570"/>
      <c r="Q232" s="336">
        <v>0</v>
      </c>
      <c r="R232" s="559"/>
      <c r="S232" s="541">
        <v>0</v>
      </c>
      <c r="T232" s="559"/>
      <c r="U232" s="335"/>
      <c r="V232" s="597" t="s">
        <v>963</v>
      </c>
      <c r="W232" s="597" t="s">
        <v>1101</v>
      </c>
      <c r="X232" s="597" t="s">
        <v>1102</v>
      </c>
      <c r="Z232" s="336">
        <f t="shared" si="842"/>
        <v>0</v>
      </c>
      <c r="AA232" s="337">
        <f t="shared" si="843"/>
        <v>0</v>
      </c>
      <c r="AB232" s="338">
        <f t="shared" si="844"/>
        <v>0</v>
      </c>
      <c r="AC232" s="336">
        <f t="shared" si="845"/>
        <v>0</v>
      </c>
      <c r="AD232" s="337">
        <f t="shared" si="846"/>
        <v>0</v>
      </c>
      <c r="AE232" s="338">
        <f t="shared" si="847"/>
        <v>0</v>
      </c>
      <c r="AF232" s="336">
        <f t="shared" si="848"/>
        <v>81744.66</v>
      </c>
      <c r="AG232" s="337">
        <f t="shared" si="849"/>
        <v>0</v>
      </c>
      <c r="AH232" s="338">
        <f t="shared" si="850"/>
        <v>81744.66</v>
      </c>
      <c r="AI232" s="336">
        <f t="shared" si="851"/>
        <v>0</v>
      </c>
      <c r="AJ232" s="337">
        <f t="shared" si="852"/>
        <v>0</v>
      </c>
      <c r="AK232" s="338">
        <f t="shared" si="853"/>
        <v>0</v>
      </c>
      <c r="AL232" s="342"/>
      <c r="AM232" s="336">
        <f t="shared" ref="AM232" si="907">Z232+AC232</f>
        <v>0</v>
      </c>
      <c r="AN232" s="339">
        <f t="shared" ref="AN232" si="908">AA232+AD232</f>
        <v>0</v>
      </c>
      <c r="AO232" s="340">
        <f t="shared" ref="AO232" si="909">AM232-AN232</f>
        <v>0</v>
      </c>
      <c r="AP232" s="336">
        <f t="shared" ref="AP232" si="910">Z232+AC232+AF232</f>
        <v>81744.66</v>
      </c>
      <c r="AQ232" s="339">
        <f t="shared" ref="AQ232" si="911">AA232+AD232+AG232</f>
        <v>0</v>
      </c>
      <c r="AR232" s="340">
        <f t="shared" ref="AR232" si="912">AP232-AQ232</f>
        <v>81744.66</v>
      </c>
      <c r="AS232" s="341">
        <f t="shared" si="858"/>
        <v>81744.66</v>
      </c>
      <c r="AT232" s="339">
        <f t="shared" si="859"/>
        <v>0</v>
      </c>
      <c r="AU232" s="340">
        <f t="shared" si="860"/>
        <v>81744.66</v>
      </c>
      <c r="AV232" s="1255">
        <f t="shared" ref="AV232" si="913">L232-AS232</f>
        <v>0</v>
      </c>
      <c r="AW232" s="343"/>
      <c r="AX232" s="1098"/>
      <c r="AY232" s="345"/>
      <c r="AZ232" s="1098"/>
      <c r="BA232" s="345"/>
      <c r="BB232" s="1120"/>
      <c r="BC232" s="347"/>
      <c r="BD232" s="348"/>
      <c r="BE232" s="349"/>
      <c r="BF232" s="348"/>
      <c r="BG232" s="1135"/>
      <c r="BH232" s="350"/>
      <c r="BI232" s="351"/>
      <c r="BJ232" s="352"/>
      <c r="BK232" s="1137"/>
      <c r="BL232" s="352"/>
      <c r="BM232" s="1137">
        <v>81744.66</v>
      </c>
      <c r="BN232" s="353"/>
      <c r="BO232" s="354"/>
      <c r="BP232" s="355"/>
      <c r="BQ232" s="356"/>
      <c r="BR232" s="355"/>
      <c r="BS232" s="356"/>
      <c r="BT232" s="357"/>
    </row>
    <row r="233" spans="1:72" s="358" customFormat="1" ht="31.5" customHeight="1">
      <c r="A233" s="1192">
        <v>171.2</v>
      </c>
      <c r="B233" s="933"/>
      <c r="C233" s="850" t="s">
        <v>377</v>
      </c>
      <c r="D233" s="838"/>
      <c r="E233" s="836" t="s">
        <v>201</v>
      </c>
      <c r="F233" s="1193" t="s">
        <v>877</v>
      </c>
      <c r="G233" s="360">
        <v>5</v>
      </c>
      <c r="H233" s="360" t="s">
        <v>136</v>
      </c>
      <c r="I233" s="360">
        <v>244</v>
      </c>
      <c r="J233" s="361">
        <v>310</v>
      </c>
      <c r="K233" s="1206" t="s">
        <v>532</v>
      </c>
      <c r="L233" s="1038">
        <f>SUM(L234:L236)</f>
        <v>1476439</v>
      </c>
      <c r="M233" s="552"/>
      <c r="N233" s="552">
        <f>SUM(N234:N236)</f>
        <v>0</v>
      </c>
      <c r="O233" s="1056">
        <f t="shared" ref="O233:O236" si="914">L233+N233</f>
        <v>1476439</v>
      </c>
      <c r="P233" s="569"/>
      <c r="Q233" s="551">
        <f>SUM(Q234:Q236)</f>
        <v>0</v>
      </c>
      <c r="R233" s="573"/>
      <c r="S233" s="553">
        <f>SUM(S234:S236)</f>
        <v>0</v>
      </c>
      <c r="T233" s="573"/>
      <c r="U233" s="365"/>
      <c r="V233" s="366"/>
      <c r="W233" s="366"/>
      <c r="X233" s="366"/>
      <c r="Z233" s="367">
        <f t="shared" ref="Z233:AA236" si="915">AW233+AY233+BA233</f>
        <v>0</v>
      </c>
      <c r="AA233" s="363">
        <f t="shared" si="915"/>
        <v>0</v>
      </c>
      <c r="AB233" s="280">
        <f>Z233-AA233</f>
        <v>0</v>
      </c>
      <c r="AC233" s="367">
        <f t="shared" ref="AC233:AD236" si="916">BC233+BE233+BG233</f>
        <v>0</v>
      </c>
      <c r="AD233" s="363">
        <f t="shared" si="916"/>
        <v>0</v>
      </c>
      <c r="AE233" s="280">
        <f>AC233-AD233</f>
        <v>0</v>
      </c>
      <c r="AF233" s="367">
        <f t="shared" ref="AF233:AG236" si="917">BI233+BK233+BM233</f>
        <v>1476439</v>
      </c>
      <c r="AG233" s="363">
        <f t="shared" si="917"/>
        <v>0</v>
      </c>
      <c r="AH233" s="280">
        <f>AF233-AG233</f>
        <v>1476439</v>
      </c>
      <c r="AI233" s="367">
        <f t="shared" ref="AI233:AJ236" si="918">BO233+BQ233+BS233</f>
        <v>0</v>
      </c>
      <c r="AJ233" s="363">
        <f t="shared" si="918"/>
        <v>0</v>
      </c>
      <c r="AK233" s="280">
        <f>AI233-AJ233</f>
        <v>0</v>
      </c>
      <c r="AL233" s="368"/>
      <c r="AM233" s="367">
        <f t="shared" ref="AM233" si="919">Z233+AC233</f>
        <v>0</v>
      </c>
      <c r="AN233" s="363">
        <f t="shared" ref="AN233" si="920">AA233+AD233</f>
        <v>0</v>
      </c>
      <c r="AO233" s="280">
        <f t="shared" ref="AO233" si="921">AM233-AN233</f>
        <v>0</v>
      </c>
      <c r="AP233" s="367">
        <f t="shared" ref="AP233" si="922">Z233+AC233+AF233</f>
        <v>1476439</v>
      </c>
      <c r="AQ233" s="363">
        <f t="shared" ref="AQ233" si="923">AA233+AD233+AG233</f>
        <v>0</v>
      </c>
      <c r="AR233" s="280">
        <f t="shared" ref="AR233" si="924">AP233-AQ233</f>
        <v>1476439</v>
      </c>
      <c r="AS233" s="367">
        <f t="shared" ref="AS233" si="925">Z233+AC233+AF233+AI233</f>
        <v>1476439</v>
      </c>
      <c r="AT233" s="363">
        <f t="shared" ref="AT233" si="926">AA233+AD233+AG233+AJ233</f>
        <v>0</v>
      </c>
      <c r="AU233" s="280">
        <f t="shared" ref="AU233" si="927">AS233-AT233</f>
        <v>1476439</v>
      </c>
      <c r="AV233" s="1253">
        <f t="shared" ref="AV233:AV236" si="928">L233-AS233</f>
        <v>0</v>
      </c>
      <c r="AW233" s="367">
        <f t="shared" ref="AW233:BS233" si="929">SUM(AW234:AW236)</f>
        <v>0</v>
      </c>
      <c r="AX233" s="1097">
        <f t="shared" si="929"/>
        <v>0</v>
      </c>
      <c r="AY233" s="363">
        <f t="shared" si="929"/>
        <v>0</v>
      </c>
      <c r="AZ233" s="1097">
        <f t="shared" si="929"/>
        <v>0</v>
      </c>
      <c r="BA233" s="363">
        <f t="shared" si="929"/>
        <v>0</v>
      </c>
      <c r="BB233" s="1119">
        <f t="shared" si="929"/>
        <v>0</v>
      </c>
      <c r="BC233" s="367">
        <f t="shared" si="929"/>
        <v>0</v>
      </c>
      <c r="BD233" s="363">
        <f t="shared" si="929"/>
        <v>0</v>
      </c>
      <c r="BE233" s="363">
        <f t="shared" si="929"/>
        <v>0</v>
      </c>
      <c r="BF233" s="363">
        <f t="shared" si="929"/>
        <v>0</v>
      </c>
      <c r="BG233" s="363">
        <f t="shared" si="929"/>
        <v>0</v>
      </c>
      <c r="BH233" s="369">
        <f t="shared" si="929"/>
        <v>0</v>
      </c>
      <c r="BI233" s="367">
        <f t="shared" si="929"/>
        <v>0</v>
      </c>
      <c r="BJ233" s="363">
        <f t="shared" si="929"/>
        <v>0</v>
      </c>
      <c r="BK233" s="363">
        <f t="shared" si="929"/>
        <v>0</v>
      </c>
      <c r="BL233" s="363">
        <f t="shared" si="929"/>
        <v>0</v>
      </c>
      <c r="BM233" s="363">
        <f t="shared" si="929"/>
        <v>1476439</v>
      </c>
      <c r="BN233" s="369">
        <f t="shared" si="929"/>
        <v>0</v>
      </c>
      <c r="BO233" s="367">
        <f t="shared" si="929"/>
        <v>0</v>
      </c>
      <c r="BP233" s="363">
        <f t="shared" si="929"/>
        <v>0</v>
      </c>
      <c r="BQ233" s="363">
        <f t="shared" si="929"/>
        <v>0</v>
      </c>
      <c r="BR233" s="363">
        <f t="shared" si="929"/>
        <v>0</v>
      </c>
      <c r="BS233" s="363">
        <f t="shared" si="929"/>
        <v>0</v>
      </c>
      <c r="BT233" s="280">
        <f>SUM(BT236:BT236)</f>
        <v>0</v>
      </c>
    </row>
    <row r="234" spans="1:72" s="313" customFormat="1" ht="25.5" outlineLevel="1">
      <c r="A234" s="1192" t="s">
        <v>931</v>
      </c>
      <c r="B234" s="933"/>
      <c r="C234" s="840"/>
      <c r="D234" s="841"/>
      <c r="E234" s="839"/>
      <c r="F234" s="821" t="s">
        <v>877</v>
      </c>
      <c r="G234" s="314">
        <v>5</v>
      </c>
      <c r="H234" s="739" t="s">
        <v>136</v>
      </c>
      <c r="I234" s="739">
        <v>244</v>
      </c>
      <c r="J234" s="740">
        <v>310</v>
      </c>
      <c r="K234" s="533" t="s">
        <v>924</v>
      </c>
      <c r="L234" s="1025">
        <v>1126439</v>
      </c>
      <c r="M234" s="318"/>
      <c r="N234" s="318"/>
      <c r="O234" s="1052">
        <f t="shared" ref="O234:O235" si="930">L234+N234</f>
        <v>1126439</v>
      </c>
      <c r="P234" s="570"/>
      <c r="Q234" s="336">
        <v>0</v>
      </c>
      <c r="R234" s="559"/>
      <c r="S234" s="541">
        <v>0</v>
      </c>
      <c r="T234" s="559"/>
      <c r="U234" s="335"/>
      <c r="V234" s="597" t="s">
        <v>674</v>
      </c>
      <c r="W234" s="597" t="s">
        <v>970</v>
      </c>
      <c r="X234" s="597" t="s">
        <v>971</v>
      </c>
      <c r="Z234" s="336">
        <f t="shared" si="915"/>
        <v>0</v>
      </c>
      <c r="AA234" s="337">
        <f t="shared" si="915"/>
        <v>0</v>
      </c>
      <c r="AB234" s="338">
        <f>Z234-AA234</f>
        <v>0</v>
      </c>
      <c r="AC234" s="336">
        <f t="shared" si="916"/>
        <v>0</v>
      </c>
      <c r="AD234" s="337">
        <f t="shared" si="916"/>
        <v>0</v>
      </c>
      <c r="AE234" s="338">
        <f>AC234-AD234</f>
        <v>0</v>
      </c>
      <c r="AF234" s="336">
        <f t="shared" si="917"/>
        <v>1126439</v>
      </c>
      <c r="AG234" s="337">
        <f t="shared" si="917"/>
        <v>0</v>
      </c>
      <c r="AH234" s="338">
        <f>AF234-AG234</f>
        <v>1126439</v>
      </c>
      <c r="AI234" s="336">
        <f t="shared" si="918"/>
        <v>0</v>
      </c>
      <c r="AJ234" s="337">
        <f t="shared" si="918"/>
        <v>0</v>
      </c>
      <c r="AK234" s="338">
        <f>AI234-AJ234</f>
        <v>0</v>
      </c>
      <c r="AL234" s="342"/>
      <c r="AM234" s="336">
        <f t="shared" ref="AM234:AN236" si="931">Z234+AC234</f>
        <v>0</v>
      </c>
      <c r="AN234" s="339">
        <f t="shared" si="931"/>
        <v>0</v>
      </c>
      <c r="AO234" s="340">
        <f>AM234-AN234</f>
        <v>0</v>
      </c>
      <c r="AP234" s="336">
        <f t="shared" ref="AP234:AQ236" si="932">Z234+AC234+AF234</f>
        <v>1126439</v>
      </c>
      <c r="AQ234" s="339">
        <f t="shared" si="932"/>
        <v>0</v>
      </c>
      <c r="AR234" s="340">
        <f>AP234-AQ234</f>
        <v>1126439</v>
      </c>
      <c r="AS234" s="341">
        <f t="shared" ref="AS234:AT236" si="933">Z234+AC234+AF234+AI234</f>
        <v>1126439</v>
      </c>
      <c r="AT234" s="339">
        <f t="shared" si="933"/>
        <v>0</v>
      </c>
      <c r="AU234" s="340">
        <f>AS234-AT234</f>
        <v>1126439</v>
      </c>
      <c r="AV234" s="1255">
        <f t="shared" ref="AV234:AV235" si="934">L234-AS234</f>
        <v>0</v>
      </c>
      <c r="AW234" s="343"/>
      <c r="AX234" s="1098"/>
      <c r="AY234" s="345"/>
      <c r="AZ234" s="1098"/>
      <c r="BA234" s="345"/>
      <c r="BB234" s="1120"/>
      <c r="BC234" s="347"/>
      <c r="BD234" s="348"/>
      <c r="BE234" s="349"/>
      <c r="BF234" s="348"/>
      <c r="BG234" s="1135"/>
      <c r="BH234" s="350"/>
      <c r="BI234" s="351"/>
      <c r="BJ234" s="352"/>
      <c r="BK234" s="1137"/>
      <c r="BL234" s="352"/>
      <c r="BM234" s="1137">
        <v>1126439</v>
      </c>
      <c r="BN234" s="353"/>
      <c r="BO234" s="354"/>
      <c r="BP234" s="355"/>
      <c r="BQ234" s="356"/>
      <c r="BR234" s="355"/>
      <c r="BS234" s="356"/>
      <c r="BT234" s="357"/>
    </row>
    <row r="235" spans="1:72" s="313" customFormat="1" ht="25.5" outlineLevel="1">
      <c r="A235" s="1192" t="s">
        <v>932</v>
      </c>
      <c r="B235" s="933"/>
      <c r="C235" s="840"/>
      <c r="D235" s="841"/>
      <c r="E235" s="839"/>
      <c r="F235" s="821" t="s">
        <v>877</v>
      </c>
      <c r="G235" s="314">
        <v>5</v>
      </c>
      <c r="H235" s="739" t="s">
        <v>136</v>
      </c>
      <c r="I235" s="739">
        <v>244</v>
      </c>
      <c r="J235" s="740">
        <v>310</v>
      </c>
      <c r="K235" s="533" t="s">
        <v>922</v>
      </c>
      <c r="L235" s="1025">
        <v>285720</v>
      </c>
      <c r="M235" s="318"/>
      <c r="N235" s="318"/>
      <c r="O235" s="1052">
        <f t="shared" si="930"/>
        <v>285720</v>
      </c>
      <c r="P235" s="570"/>
      <c r="Q235" s="336">
        <v>0</v>
      </c>
      <c r="R235" s="559"/>
      <c r="S235" s="541">
        <v>0</v>
      </c>
      <c r="T235" s="559"/>
      <c r="U235" s="335"/>
      <c r="V235" s="597" t="s">
        <v>928</v>
      </c>
      <c r="W235" s="597" t="s">
        <v>930</v>
      </c>
      <c r="X235" s="597" t="s">
        <v>929</v>
      </c>
      <c r="Z235" s="336">
        <f t="shared" si="915"/>
        <v>0</v>
      </c>
      <c r="AA235" s="337">
        <f t="shared" si="915"/>
        <v>0</v>
      </c>
      <c r="AB235" s="338">
        <f>Z235-AA235</f>
        <v>0</v>
      </c>
      <c r="AC235" s="336">
        <f t="shared" si="916"/>
        <v>0</v>
      </c>
      <c r="AD235" s="337">
        <f t="shared" si="916"/>
        <v>0</v>
      </c>
      <c r="AE235" s="338">
        <f>AC235-AD235</f>
        <v>0</v>
      </c>
      <c r="AF235" s="336">
        <f t="shared" si="917"/>
        <v>285720</v>
      </c>
      <c r="AG235" s="337">
        <f t="shared" si="917"/>
        <v>0</v>
      </c>
      <c r="AH235" s="338">
        <f>AF235-AG235</f>
        <v>285720</v>
      </c>
      <c r="AI235" s="336">
        <f t="shared" si="918"/>
        <v>0</v>
      </c>
      <c r="AJ235" s="337">
        <f t="shared" si="918"/>
        <v>0</v>
      </c>
      <c r="AK235" s="338">
        <f>AI235-AJ235</f>
        <v>0</v>
      </c>
      <c r="AL235" s="342"/>
      <c r="AM235" s="336">
        <f t="shared" si="931"/>
        <v>0</v>
      </c>
      <c r="AN235" s="339">
        <f t="shared" si="931"/>
        <v>0</v>
      </c>
      <c r="AO235" s="340">
        <f>AM235-AN235</f>
        <v>0</v>
      </c>
      <c r="AP235" s="336">
        <f t="shared" si="932"/>
        <v>285720</v>
      </c>
      <c r="AQ235" s="339">
        <f t="shared" si="932"/>
        <v>0</v>
      </c>
      <c r="AR235" s="340">
        <f>AP235-AQ235</f>
        <v>285720</v>
      </c>
      <c r="AS235" s="341">
        <f t="shared" si="933"/>
        <v>285720</v>
      </c>
      <c r="AT235" s="339">
        <f t="shared" si="933"/>
        <v>0</v>
      </c>
      <c r="AU235" s="340">
        <f>AS235-AT235</f>
        <v>285720</v>
      </c>
      <c r="AV235" s="1255">
        <f t="shared" si="934"/>
        <v>0</v>
      </c>
      <c r="AW235" s="343"/>
      <c r="AX235" s="1098"/>
      <c r="AY235" s="345"/>
      <c r="AZ235" s="1098"/>
      <c r="BA235" s="345"/>
      <c r="BB235" s="1120"/>
      <c r="BC235" s="347"/>
      <c r="BD235" s="348"/>
      <c r="BE235" s="349"/>
      <c r="BF235" s="348"/>
      <c r="BG235" s="1135"/>
      <c r="BH235" s="350"/>
      <c r="BI235" s="351"/>
      <c r="BJ235" s="352"/>
      <c r="BK235" s="1137"/>
      <c r="BL235" s="352"/>
      <c r="BM235" s="1137">
        <v>285720</v>
      </c>
      <c r="BN235" s="353"/>
      <c r="BO235" s="354"/>
      <c r="BP235" s="355"/>
      <c r="BQ235" s="356"/>
      <c r="BR235" s="355"/>
      <c r="BS235" s="356"/>
      <c r="BT235" s="357"/>
    </row>
    <row r="236" spans="1:72" s="313" customFormat="1" ht="25.5" outlineLevel="1">
      <c r="A236" s="1192" t="s">
        <v>933</v>
      </c>
      <c r="B236" s="933"/>
      <c r="C236" s="840"/>
      <c r="D236" s="841"/>
      <c r="E236" s="839"/>
      <c r="F236" s="821" t="s">
        <v>877</v>
      </c>
      <c r="G236" s="314">
        <v>5</v>
      </c>
      <c r="H236" s="739" t="s">
        <v>136</v>
      </c>
      <c r="I236" s="739">
        <v>244</v>
      </c>
      <c r="J236" s="740">
        <v>310</v>
      </c>
      <c r="K236" s="533" t="s">
        <v>923</v>
      </c>
      <c r="L236" s="1025">
        <v>64280</v>
      </c>
      <c r="M236" s="318"/>
      <c r="N236" s="318"/>
      <c r="O236" s="1052">
        <f t="shared" si="914"/>
        <v>64280</v>
      </c>
      <c r="P236" s="570"/>
      <c r="Q236" s="336">
        <v>0</v>
      </c>
      <c r="R236" s="559"/>
      <c r="S236" s="541">
        <v>0</v>
      </c>
      <c r="T236" s="559"/>
      <c r="U236" s="335"/>
      <c r="V236" s="597" t="s">
        <v>925</v>
      </c>
      <c r="W236" s="597" t="s">
        <v>926</v>
      </c>
      <c r="X236" s="1227" t="s">
        <v>927</v>
      </c>
      <c r="Z236" s="336">
        <f t="shared" si="915"/>
        <v>0</v>
      </c>
      <c r="AA236" s="337">
        <f t="shared" si="915"/>
        <v>0</v>
      </c>
      <c r="AB236" s="338">
        <f>Z236-AA236</f>
        <v>0</v>
      </c>
      <c r="AC236" s="336">
        <f t="shared" si="916"/>
        <v>0</v>
      </c>
      <c r="AD236" s="337">
        <f t="shared" si="916"/>
        <v>0</v>
      </c>
      <c r="AE236" s="338">
        <f>AC236-AD236</f>
        <v>0</v>
      </c>
      <c r="AF236" s="336">
        <f t="shared" si="917"/>
        <v>64280</v>
      </c>
      <c r="AG236" s="337">
        <f t="shared" si="917"/>
        <v>0</v>
      </c>
      <c r="AH236" s="338">
        <f>AF236-AG236</f>
        <v>64280</v>
      </c>
      <c r="AI236" s="336">
        <f t="shared" si="918"/>
        <v>0</v>
      </c>
      <c r="AJ236" s="337">
        <f t="shared" si="918"/>
        <v>0</v>
      </c>
      <c r="AK236" s="338">
        <f>AI236-AJ236</f>
        <v>0</v>
      </c>
      <c r="AL236" s="342"/>
      <c r="AM236" s="336">
        <f t="shared" si="931"/>
        <v>0</v>
      </c>
      <c r="AN236" s="339">
        <f t="shared" si="931"/>
        <v>0</v>
      </c>
      <c r="AO236" s="340">
        <f>AM236-AN236</f>
        <v>0</v>
      </c>
      <c r="AP236" s="336">
        <f t="shared" si="932"/>
        <v>64280</v>
      </c>
      <c r="AQ236" s="339">
        <f t="shared" si="932"/>
        <v>0</v>
      </c>
      <c r="AR236" s="340">
        <f>AP236-AQ236</f>
        <v>64280</v>
      </c>
      <c r="AS236" s="341">
        <f t="shared" si="933"/>
        <v>64280</v>
      </c>
      <c r="AT236" s="339">
        <f t="shared" si="933"/>
        <v>0</v>
      </c>
      <c r="AU236" s="340">
        <f>AS236-AT236</f>
        <v>64280</v>
      </c>
      <c r="AV236" s="1255">
        <f t="shared" si="928"/>
        <v>0</v>
      </c>
      <c r="AW236" s="343"/>
      <c r="AX236" s="1098"/>
      <c r="AY236" s="345"/>
      <c r="AZ236" s="1098"/>
      <c r="BA236" s="345"/>
      <c r="BB236" s="1120"/>
      <c r="BC236" s="347"/>
      <c r="BD236" s="348"/>
      <c r="BE236" s="349"/>
      <c r="BF236" s="348"/>
      <c r="BG236" s="1135"/>
      <c r="BH236" s="350"/>
      <c r="BI236" s="351"/>
      <c r="BJ236" s="352"/>
      <c r="BK236" s="1137"/>
      <c r="BL236" s="352"/>
      <c r="BM236" s="1137">
        <v>64280</v>
      </c>
      <c r="BN236" s="353"/>
      <c r="BO236" s="354"/>
      <c r="BP236" s="355"/>
      <c r="BQ236" s="356"/>
      <c r="BR236" s="355"/>
      <c r="BS236" s="356"/>
      <c r="BT236" s="357"/>
    </row>
    <row r="237" spans="1:72" s="31" customFormat="1" ht="15.75">
      <c r="A237" s="287">
        <v>173</v>
      </c>
      <c r="B237" s="933"/>
      <c r="C237" s="845"/>
      <c r="D237" s="849"/>
      <c r="E237" s="287" t="s">
        <v>201</v>
      </c>
      <c r="F237" s="521"/>
      <c r="G237" s="521"/>
      <c r="H237" s="521"/>
      <c r="I237" s="521"/>
      <c r="J237" s="521"/>
      <c r="K237" s="1191" t="s">
        <v>17</v>
      </c>
      <c r="L237" s="1039">
        <f t="shared" ref="L237:AQ237" si="935">L216+L233+L218</f>
        <v>2229272.25</v>
      </c>
      <c r="M237" s="13">
        <f t="shared" si="935"/>
        <v>0</v>
      </c>
      <c r="N237" s="13">
        <f t="shared" si="935"/>
        <v>0</v>
      </c>
      <c r="O237" s="13">
        <f t="shared" si="935"/>
        <v>2229272.25</v>
      </c>
      <c r="P237" s="13">
        <f t="shared" si="935"/>
        <v>0</v>
      </c>
      <c r="Q237" s="13">
        <f t="shared" si="935"/>
        <v>0</v>
      </c>
      <c r="R237" s="13">
        <f t="shared" si="935"/>
        <v>0</v>
      </c>
      <c r="S237" s="13">
        <f t="shared" si="935"/>
        <v>0</v>
      </c>
      <c r="T237" s="559">
        <f t="shared" si="935"/>
        <v>0</v>
      </c>
      <c r="U237" s="334">
        <f t="shared" si="935"/>
        <v>0</v>
      </c>
      <c r="V237" s="7">
        <f t="shared" si="935"/>
        <v>0</v>
      </c>
      <c r="W237" s="7">
        <f t="shared" si="935"/>
        <v>0</v>
      </c>
      <c r="X237" s="7">
        <f t="shared" si="935"/>
        <v>0</v>
      </c>
      <c r="Y237" s="31">
        <f t="shared" si="935"/>
        <v>0</v>
      </c>
      <c r="Z237" s="264">
        <f t="shared" si="935"/>
        <v>0</v>
      </c>
      <c r="AA237" s="254">
        <f t="shared" si="935"/>
        <v>0</v>
      </c>
      <c r="AB237" s="270">
        <f t="shared" si="935"/>
        <v>0</v>
      </c>
      <c r="AC237" s="264">
        <f t="shared" si="935"/>
        <v>40526.31</v>
      </c>
      <c r="AD237" s="254">
        <f t="shared" si="935"/>
        <v>0</v>
      </c>
      <c r="AE237" s="270">
        <f t="shared" si="935"/>
        <v>40526.31</v>
      </c>
      <c r="AF237" s="264">
        <f t="shared" si="935"/>
        <v>2116439</v>
      </c>
      <c r="AG237" s="254">
        <f t="shared" si="935"/>
        <v>0</v>
      </c>
      <c r="AH237" s="270">
        <f t="shared" si="935"/>
        <v>2116439</v>
      </c>
      <c r="AI237" s="264">
        <f t="shared" si="935"/>
        <v>0</v>
      </c>
      <c r="AJ237" s="254">
        <f t="shared" si="935"/>
        <v>0</v>
      </c>
      <c r="AK237" s="270">
        <f t="shared" si="935"/>
        <v>0</v>
      </c>
      <c r="AL237" s="278">
        <f t="shared" si="935"/>
        <v>0</v>
      </c>
      <c r="AM237" s="264">
        <f t="shared" si="935"/>
        <v>40526.31</v>
      </c>
      <c r="AN237" s="248">
        <f t="shared" si="935"/>
        <v>0</v>
      </c>
      <c r="AO237" s="281">
        <f t="shared" si="935"/>
        <v>40526.31</v>
      </c>
      <c r="AP237" s="264">
        <f t="shared" si="935"/>
        <v>2156965.31</v>
      </c>
      <c r="AQ237" s="248">
        <f t="shared" si="935"/>
        <v>0</v>
      </c>
      <c r="AR237" s="281">
        <f t="shared" ref="AR237:BS237" si="936">AR216+AR233+AR218</f>
        <v>2156965.31</v>
      </c>
      <c r="AS237" s="263">
        <f t="shared" si="936"/>
        <v>2156965.31</v>
      </c>
      <c r="AT237" s="248">
        <f t="shared" si="936"/>
        <v>0</v>
      </c>
      <c r="AU237" s="281">
        <f t="shared" si="936"/>
        <v>2156965.31</v>
      </c>
      <c r="AV237" s="1266">
        <f t="shared" si="936"/>
        <v>72306.94</v>
      </c>
      <c r="AW237" s="278">
        <f t="shared" si="936"/>
        <v>0</v>
      </c>
      <c r="AX237" s="1113">
        <f t="shared" si="936"/>
        <v>0</v>
      </c>
      <c r="AY237" s="278">
        <f t="shared" si="936"/>
        <v>0</v>
      </c>
      <c r="AZ237" s="1113">
        <f t="shared" si="936"/>
        <v>0</v>
      </c>
      <c r="BA237" s="278">
        <f t="shared" si="936"/>
        <v>0</v>
      </c>
      <c r="BB237" s="1113">
        <f t="shared" si="936"/>
        <v>0</v>
      </c>
      <c r="BC237" s="278">
        <f t="shared" si="936"/>
        <v>0</v>
      </c>
      <c r="BD237" s="278">
        <f t="shared" si="936"/>
        <v>0</v>
      </c>
      <c r="BE237" s="278">
        <f t="shared" si="936"/>
        <v>0</v>
      </c>
      <c r="BF237" s="278">
        <f t="shared" si="936"/>
        <v>0</v>
      </c>
      <c r="BG237" s="278">
        <f t="shared" si="936"/>
        <v>40526.31</v>
      </c>
      <c r="BH237" s="278">
        <f t="shared" si="936"/>
        <v>0</v>
      </c>
      <c r="BI237" s="278">
        <f t="shared" si="936"/>
        <v>0</v>
      </c>
      <c r="BJ237" s="278">
        <f t="shared" si="936"/>
        <v>0</v>
      </c>
      <c r="BK237" s="278">
        <f t="shared" si="936"/>
        <v>0</v>
      </c>
      <c r="BL237" s="278">
        <f t="shared" si="936"/>
        <v>0</v>
      </c>
      <c r="BM237" s="278">
        <f t="shared" si="936"/>
        <v>2116439</v>
      </c>
      <c r="BN237" s="278">
        <f t="shared" si="936"/>
        <v>0</v>
      </c>
      <c r="BO237" s="278">
        <f t="shared" si="936"/>
        <v>0</v>
      </c>
      <c r="BP237" s="278">
        <f t="shared" si="936"/>
        <v>0</v>
      </c>
      <c r="BQ237" s="278">
        <f t="shared" si="936"/>
        <v>0</v>
      </c>
      <c r="BR237" s="278">
        <f t="shared" si="936"/>
        <v>0</v>
      </c>
      <c r="BS237" s="278">
        <f t="shared" si="936"/>
        <v>0</v>
      </c>
      <c r="BT237" s="278"/>
    </row>
    <row r="238" spans="1:72" s="31" customFormat="1" ht="16.5" customHeight="1" thickBot="1">
      <c r="A238" s="287">
        <v>174</v>
      </c>
      <c r="B238" s="933"/>
      <c r="C238" s="845"/>
      <c r="D238" s="849"/>
      <c r="E238" s="287" t="s">
        <v>201</v>
      </c>
      <c r="F238" s="521"/>
      <c r="G238" s="521"/>
      <c r="H238" s="521"/>
      <c r="I238" s="521"/>
      <c r="J238" s="521"/>
      <c r="K238" s="1191" t="s">
        <v>21</v>
      </c>
      <c r="L238" s="1040">
        <f t="shared" ref="L238:T238" si="937">L211+L237</f>
        <v>63329456.240000002</v>
      </c>
      <c r="M238" s="546">
        <f t="shared" si="937"/>
        <v>0</v>
      </c>
      <c r="N238" s="546">
        <f t="shared" si="937"/>
        <v>-3379.25</v>
      </c>
      <c r="O238" s="546">
        <f t="shared" si="937"/>
        <v>63326076.990000002</v>
      </c>
      <c r="P238" s="572">
        <f t="shared" si="937"/>
        <v>9370294.1600000001</v>
      </c>
      <c r="Q238" s="545">
        <f t="shared" si="937"/>
        <v>42206072.039999999</v>
      </c>
      <c r="R238" s="545">
        <f t="shared" si="937"/>
        <v>0</v>
      </c>
      <c r="S238" s="545">
        <f t="shared" si="937"/>
        <v>41798874.439999998</v>
      </c>
      <c r="T238" s="568">
        <f t="shared" si="937"/>
        <v>0</v>
      </c>
      <c r="U238" s="334"/>
      <c r="V238" s="7"/>
      <c r="W238" s="7"/>
      <c r="X238" s="7"/>
      <c r="Z238" s="263">
        <f t="shared" ref="Z238:AK238" si="938">Z211+Z237</f>
        <v>13575646.43</v>
      </c>
      <c r="AA238" s="253">
        <f t="shared" si="938"/>
        <v>12894956.65</v>
      </c>
      <c r="AB238" s="269">
        <f t="shared" si="938"/>
        <v>680689.78</v>
      </c>
      <c r="AC238" s="263">
        <f t="shared" si="938"/>
        <v>22676957.559999999</v>
      </c>
      <c r="AD238" s="253">
        <f t="shared" si="938"/>
        <v>530133.43000000005</v>
      </c>
      <c r="AE238" s="269">
        <f t="shared" si="938"/>
        <v>22146824.129999999</v>
      </c>
      <c r="AF238" s="263">
        <f t="shared" si="938"/>
        <v>15764525.26</v>
      </c>
      <c r="AG238" s="253">
        <f t="shared" si="938"/>
        <v>350201.71</v>
      </c>
      <c r="AH238" s="269">
        <f t="shared" si="938"/>
        <v>15414323.550000001</v>
      </c>
      <c r="AI238" s="263">
        <f t="shared" si="938"/>
        <v>13235795.41</v>
      </c>
      <c r="AJ238" s="253">
        <f t="shared" si="938"/>
        <v>380171</v>
      </c>
      <c r="AK238" s="269">
        <f t="shared" si="938"/>
        <v>12855624.41</v>
      </c>
      <c r="AL238" s="210"/>
      <c r="AM238" s="263">
        <f t="shared" si="834"/>
        <v>36252603.990000002</v>
      </c>
      <c r="AN238" s="247">
        <f t="shared" si="834"/>
        <v>13425090.08</v>
      </c>
      <c r="AO238" s="280">
        <f t="shared" si="835"/>
        <v>22827513.91</v>
      </c>
      <c r="AP238" s="263">
        <f t="shared" si="836"/>
        <v>52017129.25</v>
      </c>
      <c r="AQ238" s="247">
        <f t="shared" si="836"/>
        <v>13775291.789999999</v>
      </c>
      <c r="AR238" s="280">
        <f t="shared" si="837"/>
        <v>38241837.460000001</v>
      </c>
      <c r="AS238" s="263">
        <f>AS211+AS237</f>
        <v>65253724.659999996</v>
      </c>
      <c r="AT238" s="247">
        <f>AT211+AT237</f>
        <v>14155462.789999999</v>
      </c>
      <c r="AU238" s="280">
        <f>AU211+AU237</f>
        <v>51098261.869999997</v>
      </c>
      <c r="AV238" s="1269">
        <f>AV211+AV237</f>
        <v>-1924268.42</v>
      </c>
      <c r="AW238" s="210"/>
      <c r="AX238" s="1113"/>
      <c r="AY238" s="210"/>
      <c r="AZ238" s="1113"/>
      <c r="BA238" s="210"/>
      <c r="BB238" s="1113"/>
      <c r="BC238" s="210"/>
      <c r="BD238" s="210"/>
      <c r="BE238" s="210"/>
      <c r="BF238" s="210"/>
      <c r="BG238" s="210"/>
      <c r="BH238" s="210"/>
      <c r="BI238" s="210"/>
      <c r="BJ238" s="210"/>
      <c r="BK238" s="210"/>
      <c r="BL238" s="210"/>
      <c r="BM238" s="210"/>
      <c r="BN238" s="210"/>
      <c r="BO238" s="210"/>
      <c r="BP238" s="210"/>
      <c r="BQ238" s="210"/>
      <c r="BR238" s="210"/>
      <c r="BS238" s="210"/>
      <c r="BT238" s="210"/>
    </row>
    <row r="239" spans="1:72" s="31" customFormat="1" ht="16.5" customHeight="1">
      <c r="A239" s="287">
        <v>175</v>
      </c>
      <c r="B239" s="933"/>
      <c r="C239" s="845"/>
      <c r="D239" s="849"/>
      <c r="E239" s="287"/>
      <c r="F239" s="310"/>
      <c r="G239" s="310"/>
      <c r="H239" s="310"/>
      <c r="I239" s="310"/>
      <c r="J239" s="310"/>
      <c r="K239" s="209" t="s">
        <v>204</v>
      </c>
      <c r="L239" s="1035">
        <v>2229272.25</v>
      </c>
      <c r="M239" s="7"/>
      <c r="N239" s="7"/>
      <c r="O239" s="1035">
        <v>2229272.25</v>
      </c>
      <c r="P239" s="7"/>
      <c r="Q239" s="1035">
        <v>0</v>
      </c>
      <c r="R239" s="7"/>
      <c r="S239" s="1035">
        <v>0</v>
      </c>
      <c r="T239" s="7"/>
      <c r="U239" s="334"/>
      <c r="V239" s="7"/>
      <c r="W239" s="7"/>
      <c r="X239" s="7"/>
      <c r="Z239" s="267">
        <f t="shared" si="826"/>
        <v>0</v>
      </c>
      <c r="AA239" s="256">
        <f t="shared" si="826"/>
        <v>0</v>
      </c>
      <c r="AB239" s="272">
        <f t="shared" si="827"/>
        <v>0</v>
      </c>
      <c r="AC239" s="267">
        <f t="shared" si="828"/>
        <v>0</v>
      </c>
      <c r="AD239" s="256">
        <f t="shared" si="828"/>
        <v>0</v>
      </c>
      <c r="AE239" s="272">
        <f t="shared" si="829"/>
        <v>0</v>
      </c>
      <c r="AF239" s="267">
        <f t="shared" si="830"/>
        <v>0</v>
      </c>
      <c r="AG239" s="256">
        <f t="shared" si="830"/>
        <v>0</v>
      </c>
      <c r="AH239" s="272">
        <f t="shared" si="831"/>
        <v>0</v>
      </c>
      <c r="AI239" s="267">
        <f t="shared" si="832"/>
        <v>0</v>
      </c>
      <c r="AJ239" s="256">
        <f t="shared" si="832"/>
        <v>0</v>
      </c>
      <c r="AK239" s="272">
        <f t="shared" si="833"/>
        <v>0</v>
      </c>
      <c r="AL239" s="210"/>
      <c r="AM239" s="267">
        <f t="shared" si="834"/>
        <v>0</v>
      </c>
      <c r="AN239" s="250">
        <f t="shared" si="834"/>
        <v>0</v>
      </c>
      <c r="AO239" s="283">
        <f t="shared" si="835"/>
        <v>0</v>
      </c>
      <c r="AP239" s="267">
        <f t="shared" si="836"/>
        <v>0</v>
      </c>
      <c r="AQ239" s="250">
        <f t="shared" si="836"/>
        <v>0</v>
      </c>
      <c r="AR239" s="283">
        <f t="shared" si="837"/>
        <v>0</v>
      </c>
      <c r="AS239" s="267">
        <f t="shared" si="838"/>
        <v>0</v>
      </c>
      <c r="AT239" s="250">
        <f t="shared" si="838"/>
        <v>0</v>
      </c>
      <c r="AU239" s="283">
        <f t="shared" si="839"/>
        <v>0</v>
      </c>
      <c r="AV239" s="1269"/>
      <c r="AW239" s="210"/>
      <c r="AX239" s="1113"/>
      <c r="AY239" s="210"/>
      <c r="AZ239" s="1113"/>
      <c r="BA239" s="210"/>
      <c r="BB239" s="1113"/>
      <c r="BC239" s="210"/>
      <c r="BD239" s="210"/>
      <c r="BE239" s="210"/>
      <c r="BF239" s="210"/>
      <c r="BG239" s="210"/>
      <c r="BH239" s="210"/>
      <c r="BI239" s="210"/>
      <c r="BJ239" s="210"/>
      <c r="BK239" s="210"/>
      <c r="BL239" s="210"/>
      <c r="BM239" s="210"/>
      <c r="BN239" s="210"/>
      <c r="BO239" s="210"/>
      <c r="BP239" s="210"/>
      <c r="BQ239" s="210"/>
      <c r="BR239" s="210"/>
      <c r="BS239" s="210"/>
      <c r="BT239" s="210"/>
    </row>
    <row r="240" spans="1:72" s="31" customFormat="1" ht="16.5" customHeight="1">
      <c r="A240" s="287">
        <v>176</v>
      </c>
      <c r="B240" s="933"/>
      <c r="C240" s="845"/>
      <c r="D240" s="849"/>
      <c r="E240" s="287"/>
      <c r="F240" s="310"/>
      <c r="G240" s="310"/>
      <c r="H240" s="310"/>
      <c r="I240" s="310"/>
      <c r="J240" s="310"/>
      <c r="K240" s="209" t="s">
        <v>368</v>
      </c>
      <c r="L240" s="1036">
        <f>L239-L237</f>
        <v>0</v>
      </c>
      <c r="M240" s="7"/>
      <c r="N240" s="7"/>
      <c r="O240" s="1036">
        <f t="shared" ref="O240:S240" si="939">O239-O237</f>
        <v>0</v>
      </c>
      <c r="P240" s="7"/>
      <c r="Q240" s="1036">
        <f t="shared" si="939"/>
        <v>0</v>
      </c>
      <c r="R240" s="7"/>
      <c r="S240" s="1036">
        <f t="shared" si="939"/>
        <v>0</v>
      </c>
      <c r="T240" s="7"/>
      <c r="U240" s="334"/>
      <c r="V240" s="7"/>
      <c r="W240" s="7"/>
      <c r="X240" s="7"/>
      <c r="Z240" s="267"/>
      <c r="AA240" s="256"/>
      <c r="AB240" s="272"/>
      <c r="AC240" s="267"/>
      <c r="AD240" s="256"/>
      <c r="AE240" s="272"/>
      <c r="AF240" s="267"/>
      <c r="AG240" s="256"/>
      <c r="AH240" s="272"/>
      <c r="AI240" s="267"/>
      <c r="AJ240" s="256"/>
      <c r="AK240" s="272"/>
      <c r="AL240" s="210"/>
      <c r="AM240" s="267"/>
      <c r="AN240" s="250"/>
      <c r="AO240" s="283"/>
      <c r="AP240" s="267"/>
      <c r="AQ240" s="250"/>
      <c r="AR240" s="283"/>
      <c r="AS240" s="267"/>
      <c r="AT240" s="250"/>
      <c r="AU240" s="283"/>
      <c r="AV240" s="1269"/>
      <c r="AW240" s="210"/>
      <c r="AX240" s="1113"/>
      <c r="AY240" s="210"/>
      <c r="AZ240" s="1113"/>
      <c r="BA240" s="210"/>
      <c r="BB240" s="1113"/>
      <c r="BC240" s="210"/>
      <c r="BD240" s="210"/>
      <c r="BE240" s="210"/>
      <c r="BF240" s="210"/>
      <c r="BG240" s="210"/>
      <c r="BH240" s="210"/>
      <c r="BI240" s="210"/>
      <c r="BJ240" s="210"/>
      <c r="BK240" s="210"/>
      <c r="BL240" s="210"/>
      <c r="BM240" s="210"/>
      <c r="BN240" s="210"/>
      <c r="BO240" s="210"/>
      <c r="BP240" s="210"/>
      <c r="BQ240" s="210"/>
      <c r="BR240" s="210"/>
      <c r="BS240" s="210"/>
      <c r="BT240" s="210"/>
    </row>
    <row r="241" spans="1:72" s="31" customFormat="1" ht="16.5" customHeight="1">
      <c r="A241" s="287">
        <v>177</v>
      </c>
      <c r="B241" s="933"/>
      <c r="C241" s="845"/>
      <c r="D241" s="849"/>
      <c r="E241" s="287" t="s">
        <v>201</v>
      </c>
      <c r="F241" s="310"/>
      <c r="G241" s="310"/>
      <c r="H241" s="310"/>
      <c r="I241" s="310"/>
      <c r="J241" s="310"/>
      <c r="K241" s="209"/>
      <c r="L241" s="1036"/>
      <c r="M241" s="277"/>
      <c r="N241" s="277"/>
      <c r="O241" s="277"/>
      <c r="P241" s="277"/>
      <c r="Q241" s="277"/>
      <c r="R241" s="277"/>
      <c r="S241" s="277"/>
      <c r="T241" s="330"/>
      <c r="U241" s="334"/>
      <c r="V241" s="7"/>
      <c r="W241" s="7"/>
      <c r="X241" s="7"/>
      <c r="Z241" s="267"/>
      <c r="AA241" s="256"/>
      <c r="AB241" s="272"/>
      <c r="AC241" s="267"/>
      <c r="AD241" s="256"/>
      <c r="AE241" s="272"/>
      <c r="AF241" s="267"/>
      <c r="AG241" s="256"/>
      <c r="AH241" s="272"/>
      <c r="AI241" s="267"/>
      <c r="AJ241" s="256"/>
      <c r="AK241" s="272"/>
      <c r="AL241" s="210"/>
      <c r="AM241" s="267"/>
      <c r="AN241" s="250"/>
      <c r="AO241" s="283"/>
      <c r="AP241" s="267"/>
      <c r="AQ241" s="250"/>
      <c r="AR241" s="283"/>
      <c r="AS241" s="267"/>
      <c r="AT241" s="250"/>
      <c r="AU241" s="283"/>
      <c r="AV241" s="1269"/>
      <c r="AW241" s="210"/>
      <c r="AX241" s="1113"/>
      <c r="AY241" s="210"/>
      <c r="AZ241" s="1113"/>
      <c r="BA241" s="210"/>
      <c r="BB241" s="1113"/>
      <c r="BC241" s="210"/>
      <c r="BD241" s="210"/>
      <c r="BE241" s="210"/>
      <c r="BF241" s="210"/>
      <c r="BG241" s="210"/>
      <c r="BH241" s="210"/>
      <c r="BI241" s="210"/>
      <c r="BJ241" s="210"/>
      <c r="BK241" s="210"/>
      <c r="BL241" s="210"/>
      <c r="BM241" s="210"/>
      <c r="BN241" s="210"/>
      <c r="BO241" s="210"/>
      <c r="BP241" s="210"/>
      <c r="BQ241" s="210"/>
      <c r="BR241" s="210"/>
      <c r="BS241" s="210"/>
      <c r="BT241" s="210"/>
    </row>
    <row r="242" spans="1:72" s="31" customFormat="1" ht="21" thickBot="1">
      <c r="A242" s="287">
        <v>178</v>
      </c>
      <c r="B242" s="933"/>
      <c r="C242" s="845"/>
      <c r="D242" s="849"/>
      <c r="E242" s="287" t="s">
        <v>201</v>
      </c>
      <c r="F242" s="371" t="s">
        <v>217</v>
      </c>
      <c r="G242" s="311"/>
      <c r="H242" s="311"/>
      <c r="I242" s="311"/>
      <c r="J242" s="311"/>
      <c r="K242" s="311"/>
      <c r="L242" s="1037"/>
      <c r="M242" s="216"/>
      <c r="N242" s="216"/>
      <c r="O242" s="216"/>
      <c r="P242" s="331"/>
      <c r="Q242" s="216"/>
      <c r="R242" s="331"/>
      <c r="S242" s="216"/>
      <c r="T242" s="331"/>
      <c r="U242" s="334"/>
      <c r="V242" s="7"/>
      <c r="W242" s="7"/>
      <c r="X242" s="7"/>
      <c r="Z242" s="266"/>
      <c r="AA242" s="255"/>
      <c r="AB242" s="271"/>
      <c r="AC242" s="266"/>
      <c r="AD242" s="255"/>
      <c r="AE242" s="271"/>
      <c r="AF242" s="266"/>
      <c r="AG242" s="255"/>
      <c r="AH242" s="271"/>
      <c r="AI242" s="266"/>
      <c r="AJ242" s="255"/>
      <c r="AK242" s="271"/>
      <c r="AL242" s="216"/>
      <c r="AM242" s="266"/>
      <c r="AN242" s="249"/>
      <c r="AO242" s="282"/>
      <c r="AP242" s="266"/>
      <c r="AQ242" s="249"/>
      <c r="AR242" s="282">
        <f t="shared" ref="AR242:AR385" si="940">AP242-AQ242</f>
        <v>0</v>
      </c>
      <c r="AS242" s="266">
        <f t="shared" ref="AS242:AT264" si="941">Z242+AC242+AF242+AI242</f>
        <v>0</v>
      </c>
      <c r="AT242" s="249">
        <f t="shared" si="941"/>
        <v>0</v>
      </c>
      <c r="AU242" s="282">
        <f t="shared" ref="AU242:AU380" si="942">AS242-AT242</f>
        <v>0</v>
      </c>
      <c r="AV242" s="1267">
        <f t="shared" ref="AV242:AV266" si="943">L242-AS242</f>
        <v>0</v>
      </c>
      <c r="AW242" s="216"/>
      <c r="AX242" s="1117"/>
      <c r="AY242" s="216"/>
      <c r="AZ242" s="1117"/>
      <c r="BA242" s="216"/>
      <c r="BB242" s="1117"/>
      <c r="BC242" s="216"/>
      <c r="BD242" s="216"/>
      <c r="BE242" s="216"/>
      <c r="BF242" s="216"/>
      <c r="BG242" s="216"/>
      <c r="BH242" s="216"/>
      <c r="BI242" s="216"/>
      <c r="BJ242" s="216"/>
      <c r="BK242" s="216"/>
      <c r="BL242" s="216"/>
      <c r="BM242" s="216"/>
      <c r="BN242" s="216"/>
      <c r="BO242" s="216"/>
      <c r="BP242" s="216"/>
      <c r="BQ242" s="216"/>
      <c r="BR242" s="216"/>
      <c r="BS242" s="216"/>
      <c r="BT242" s="216"/>
    </row>
    <row r="243" spans="1:72" s="512" customFormat="1" ht="31.5">
      <c r="A243" s="287">
        <v>179</v>
      </c>
      <c r="B243" s="933"/>
      <c r="C243" s="863"/>
      <c r="D243" s="864"/>
      <c r="E243" s="865" t="s">
        <v>201</v>
      </c>
      <c r="F243" s="831" t="s">
        <v>23</v>
      </c>
      <c r="G243" s="514">
        <v>2</v>
      </c>
      <c r="H243" s="514" t="s">
        <v>69</v>
      </c>
      <c r="I243" s="514">
        <v>111</v>
      </c>
      <c r="J243" s="515">
        <v>211</v>
      </c>
      <c r="K243" s="555" t="s">
        <v>8</v>
      </c>
      <c r="L243" s="1041">
        <f>4950667.96+M243</f>
        <v>5063110.87</v>
      </c>
      <c r="M243" s="581">
        <v>112442.91</v>
      </c>
      <c r="N243" s="581"/>
      <c r="O243" s="1050">
        <f t="shared" ref="O243:O382" si="944">L243+N243</f>
        <v>5063110.87</v>
      </c>
      <c r="P243" s="582"/>
      <c r="Q243" s="580">
        <v>4950667.96</v>
      </c>
      <c r="R243" s="583"/>
      <c r="S243" s="584">
        <v>4950667.96</v>
      </c>
      <c r="T243" s="574"/>
      <c r="U243" s="516"/>
      <c r="V243" s="517"/>
      <c r="W243" s="517"/>
      <c r="X243" s="517"/>
      <c r="Z243" s="518">
        <f t="shared" ref="Z243:AA264" si="945">AW243+AY243+BA243</f>
        <v>4950667.96</v>
      </c>
      <c r="AA243" s="251">
        <f t="shared" si="945"/>
        <v>416404.75</v>
      </c>
      <c r="AB243" s="519">
        <f t="shared" ref="AB243:AB380" si="946">Z243-AA243</f>
        <v>4534263.21</v>
      </c>
      <c r="AC243" s="518">
        <f t="shared" ref="AC243:AD264" si="947">BC243+BE243+BG243</f>
        <v>112442.91</v>
      </c>
      <c r="AD243" s="251">
        <f t="shared" si="947"/>
        <v>0</v>
      </c>
      <c r="AE243" s="519">
        <f t="shared" ref="AE243:AE380" si="948">AC243-AD243</f>
        <v>112442.91</v>
      </c>
      <c r="AF243" s="518">
        <f t="shared" ref="AF243:AG264" si="949">BI243+BK243+BM243</f>
        <v>0</v>
      </c>
      <c r="AG243" s="251">
        <f t="shared" si="949"/>
        <v>0</v>
      </c>
      <c r="AH243" s="519">
        <f t="shared" ref="AH243:AH380" si="950">AF243-AG243</f>
        <v>0</v>
      </c>
      <c r="AI243" s="518">
        <f t="shared" ref="AI243:AJ264" si="951">BO243+BQ243+BS243</f>
        <v>0</v>
      </c>
      <c r="AJ243" s="251">
        <f t="shared" si="951"/>
        <v>0</v>
      </c>
      <c r="AK243" s="519">
        <f t="shared" ref="AK243:AK380" si="952">AI243-AJ243</f>
        <v>0</v>
      </c>
      <c r="AL243" s="520"/>
      <c r="AM243" s="518">
        <f t="shared" ref="AM243:AN264" si="953">Z243+AC243</f>
        <v>5063110.87</v>
      </c>
      <c r="AN243" s="251">
        <f t="shared" si="953"/>
        <v>416404.75</v>
      </c>
      <c r="AO243" s="519">
        <f t="shared" ref="AO243:AO385" si="954">AM243-AN243</f>
        <v>4646706.12</v>
      </c>
      <c r="AP243" s="518">
        <f t="shared" ref="AP243:AQ264" si="955">Z243+AC243+AF243</f>
        <v>5063110.87</v>
      </c>
      <c r="AQ243" s="251">
        <f t="shared" si="955"/>
        <v>416404.75</v>
      </c>
      <c r="AR243" s="519">
        <f t="shared" si="940"/>
        <v>4646706.12</v>
      </c>
      <c r="AS243" s="518">
        <f>Z243+AC243+AF243+AI243</f>
        <v>5063110.87</v>
      </c>
      <c r="AT243" s="251">
        <f t="shared" si="941"/>
        <v>416404.75</v>
      </c>
      <c r="AU243" s="519">
        <f t="shared" si="942"/>
        <v>4646706.12</v>
      </c>
      <c r="AV243" s="1268">
        <f t="shared" si="943"/>
        <v>0</v>
      </c>
      <c r="AW243" s="518">
        <v>4950667.96</v>
      </c>
      <c r="AX243" s="251"/>
      <c r="AY243" s="251"/>
      <c r="AZ243" s="251">
        <v>239761.62</v>
      </c>
      <c r="BA243" s="251"/>
      <c r="BB243" s="301">
        <v>176643.13</v>
      </c>
      <c r="BC243" s="518"/>
      <c r="BD243" s="251"/>
      <c r="BE243" s="251">
        <v>112442.91</v>
      </c>
      <c r="BF243" s="251"/>
      <c r="BG243" s="251"/>
      <c r="BH243" s="301"/>
      <c r="BI243" s="518"/>
      <c r="BJ243" s="251"/>
      <c r="BK243" s="251"/>
      <c r="BL243" s="251"/>
      <c r="BM243" s="251"/>
      <c r="BN243" s="301"/>
      <c r="BO243" s="518"/>
      <c r="BP243" s="251"/>
      <c r="BQ243" s="251"/>
      <c r="BR243" s="251"/>
      <c r="BS243" s="251"/>
      <c r="BT243" s="519"/>
    </row>
    <row r="244" spans="1:72" s="358" customFormat="1" ht="94.5" customHeight="1">
      <c r="A244" s="287">
        <v>180</v>
      </c>
      <c r="B244" s="933"/>
      <c r="C244" s="850" t="s">
        <v>377</v>
      </c>
      <c r="D244" s="838"/>
      <c r="E244" s="836" t="s">
        <v>201</v>
      </c>
      <c r="F244" s="820" t="s">
        <v>23</v>
      </c>
      <c r="G244" s="360">
        <v>2</v>
      </c>
      <c r="H244" s="360" t="s">
        <v>71</v>
      </c>
      <c r="I244" s="360">
        <v>111</v>
      </c>
      <c r="J244" s="361">
        <v>211</v>
      </c>
      <c r="K244" s="532" t="s">
        <v>324</v>
      </c>
      <c r="L244" s="1023">
        <f>L245</f>
        <v>4000</v>
      </c>
      <c r="M244" s="363"/>
      <c r="N244" s="363"/>
      <c r="O244" s="1051">
        <f t="shared" si="944"/>
        <v>4000</v>
      </c>
      <c r="P244" s="571"/>
      <c r="Q244" s="367">
        <f>Q245</f>
        <v>1000</v>
      </c>
      <c r="R244" s="557"/>
      <c r="S244" s="367">
        <f>S245</f>
        <v>0</v>
      </c>
      <c r="T244" s="557"/>
      <c r="U244" s="365"/>
      <c r="V244" s="366"/>
      <c r="W244" s="366"/>
      <c r="X244" s="366"/>
      <c r="Z244" s="367">
        <f t="shared" si="945"/>
        <v>1000</v>
      </c>
      <c r="AA244" s="363">
        <f t="shared" si="945"/>
        <v>0</v>
      </c>
      <c r="AB244" s="280">
        <f t="shared" si="946"/>
        <v>1000</v>
      </c>
      <c r="AC244" s="367">
        <f t="shared" si="947"/>
        <v>1000</v>
      </c>
      <c r="AD244" s="363">
        <f t="shared" si="947"/>
        <v>0</v>
      </c>
      <c r="AE244" s="280">
        <f t="shared" si="948"/>
        <v>1000</v>
      </c>
      <c r="AF244" s="367">
        <f t="shared" si="949"/>
        <v>1000</v>
      </c>
      <c r="AG244" s="363">
        <f t="shared" si="949"/>
        <v>0</v>
      </c>
      <c r="AH244" s="280">
        <f t="shared" si="950"/>
        <v>1000</v>
      </c>
      <c r="AI244" s="367">
        <f t="shared" si="951"/>
        <v>1000</v>
      </c>
      <c r="AJ244" s="363">
        <f t="shared" si="951"/>
        <v>0</v>
      </c>
      <c r="AK244" s="280">
        <f t="shared" si="952"/>
        <v>1000</v>
      </c>
      <c r="AL244" s="368"/>
      <c r="AM244" s="367">
        <f t="shared" si="953"/>
        <v>2000</v>
      </c>
      <c r="AN244" s="363">
        <f t="shared" si="953"/>
        <v>0</v>
      </c>
      <c r="AO244" s="280">
        <f t="shared" si="954"/>
        <v>2000</v>
      </c>
      <c r="AP244" s="367">
        <f t="shared" si="955"/>
        <v>3000</v>
      </c>
      <c r="AQ244" s="363">
        <f t="shared" si="955"/>
        <v>0</v>
      </c>
      <c r="AR244" s="280">
        <f t="shared" si="940"/>
        <v>3000</v>
      </c>
      <c r="AS244" s="367">
        <f>Z244+AC244+AF244+AI244</f>
        <v>4000</v>
      </c>
      <c r="AT244" s="363">
        <f t="shared" si="941"/>
        <v>0</v>
      </c>
      <c r="AU244" s="280">
        <f t="shared" si="942"/>
        <v>4000</v>
      </c>
      <c r="AV244" s="1253">
        <f t="shared" si="943"/>
        <v>0</v>
      </c>
      <c r="AW244" s="367">
        <f>AW245</f>
        <v>1000</v>
      </c>
      <c r="AX244" s="367">
        <f t="shared" ref="AX244:BT246" si="956">AX245</f>
        <v>0</v>
      </c>
      <c r="AY244" s="367">
        <f t="shared" si="956"/>
        <v>0</v>
      </c>
      <c r="AZ244" s="367">
        <f t="shared" si="956"/>
        <v>0</v>
      </c>
      <c r="BA244" s="367">
        <f t="shared" si="956"/>
        <v>0</v>
      </c>
      <c r="BB244" s="367">
        <f t="shared" si="956"/>
        <v>0</v>
      </c>
      <c r="BC244" s="367">
        <f t="shared" si="956"/>
        <v>1000</v>
      </c>
      <c r="BD244" s="367">
        <f t="shared" si="956"/>
        <v>0</v>
      </c>
      <c r="BE244" s="367">
        <f t="shared" si="956"/>
        <v>0</v>
      </c>
      <c r="BF244" s="367">
        <f t="shared" si="956"/>
        <v>0</v>
      </c>
      <c r="BG244" s="367">
        <f t="shared" si="956"/>
        <v>0</v>
      </c>
      <c r="BH244" s="367">
        <f t="shared" si="956"/>
        <v>0</v>
      </c>
      <c r="BI244" s="367">
        <f t="shared" si="956"/>
        <v>1000</v>
      </c>
      <c r="BJ244" s="367">
        <f t="shared" si="956"/>
        <v>0</v>
      </c>
      <c r="BK244" s="367">
        <f t="shared" si="956"/>
        <v>0</v>
      </c>
      <c r="BL244" s="367">
        <f t="shared" si="956"/>
        <v>0</v>
      </c>
      <c r="BM244" s="367">
        <f t="shared" si="956"/>
        <v>0</v>
      </c>
      <c r="BN244" s="367">
        <f t="shared" si="956"/>
        <v>0</v>
      </c>
      <c r="BO244" s="367">
        <f t="shared" si="956"/>
        <v>1000</v>
      </c>
      <c r="BP244" s="367">
        <f t="shared" si="956"/>
        <v>0</v>
      </c>
      <c r="BQ244" s="367">
        <f t="shared" si="956"/>
        <v>0</v>
      </c>
      <c r="BR244" s="367">
        <f t="shared" si="956"/>
        <v>0</v>
      </c>
      <c r="BS244" s="367">
        <f t="shared" si="956"/>
        <v>0</v>
      </c>
      <c r="BT244" s="367">
        <f t="shared" si="956"/>
        <v>0</v>
      </c>
    </row>
    <row r="245" spans="1:72" s="313" customFormat="1" ht="38.25" outlineLevel="1">
      <c r="A245" s="287">
        <v>181</v>
      </c>
      <c r="B245" s="933"/>
      <c r="C245" s="840"/>
      <c r="D245" s="841"/>
      <c r="E245" s="839"/>
      <c r="F245" s="821" t="s">
        <v>23</v>
      </c>
      <c r="G245" s="314">
        <v>2</v>
      </c>
      <c r="H245" s="739" t="s">
        <v>71</v>
      </c>
      <c r="I245" s="739">
        <v>111</v>
      </c>
      <c r="J245" s="740">
        <v>211</v>
      </c>
      <c r="K245" s="533" t="s">
        <v>322</v>
      </c>
      <c r="L245" s="1025">
        <f>1000*4</f>
        <v>4000</v>
      </c>
      <c r="M245" s="318"/>
      <c r="N245" s="318"/>
      <c r="O245" s="1052">
        <f t="shared" si="944"/>
        <v>4000</v>
      </c>
      <c r="P245" s="570"/>
      <c r="Q245" s="341">
        <v>1000</v>
      </c>
      <c r="R245" s="559"/>
      <c r="S245" s="540">
        <v>0</v>
      </c>
      <c r="T245" s="559"/>
      <c r="U245" s="335"/>
      <c r="V245" s="320"/>
      <c r="W245" s="320"/>
      <c r="X245" s="320"/>
      <c r="Z245" s="336">
        <f t="shared" si="945"/>
        <v>1000</v>
      </c>
      <c r="AA245" s="337">
        <f t="shared" si="945"/>
        <v>0</v>
      </c>
      <c r="AB245" s="338">
        <f t="shared" si="946"/>
        <v>1000</v>
      </c>
      <c r="AC245" s="336">
        <f t="shared" si="947"/>
        <v>1000</v>
      </c>
      <c r="AD245" s="337">
        <f t="shared" si="947"/>
        <v>0</v>
      </c>
      <c r="AE245" s="338">
        <f t="shared" si="948"/>
        <v>1000</v>
      </c>
      <c r="AF245" s="336">
        <f t="shared" si="949"/>
        <v>1000</v>
      </c>
      <c r="AG245" s="337">
        <f t="shared" si="949"/>
        <v>0</v>
      </c>
      <c r="AH245" s="338">
        <f t="shared" si="950"/>
        <v>1000</v>
      </c>
      <c r="AI245" s="336">
        <f t="shared" si="951"/>
        <v>1000</v>
      </c>
      <c r="AJ245" s="337">
        <f t="shared" si="951"/>
        <v>0</v>
      </c>
      <c r="AK245" s="338">
        <f t="shared" si="952"/>
        <v>1000</v>
      </c>
      <c r="AL245" s="342"/>
      <c r="AM245" s="336">
        <f t="shared" si="953"/>
        <v>2000</v>
      </c>
      <c r="AN245" s="339">
        <f t="shared" si="953"/>
        <v>0</v>
      </c>
      <c r="AO245" s="340">
        <f t="shared" si="954"/>
        <v>2000</v>
      </c>
      <c r="AP245" s="336">
        <f t="shared" si="955"/>
        <v>3000</v>
      </c>
      <c r="AQ245" s="339">
        <f t="shared" si="955"/>
        <v>0</v>
      </c>
      <c r="AR245" s="340">
        <f t="shared" si="940"/>
        <v>3000</v>
      </c>
      <c r="AS245" s="341">
        <f t="shared" si="941"/>
        <v>4000</v>
      </c>
      <c r="AT245" s="339">
        <f t="shared" si="941"/>
        <v>0</v>
      </c>
      <c r="AU245" s="340">
        <f t="shared" si="942"/>
        <v>4000</v>
      </c>
      <c r="AV245" s="1255">
        <f t="shared" si="943"/>
        <v>0</v>
      </c>
      <c r="AW245" s="343">
        <v>1000</v>
      </c>
      <c r="AX245" s="344"/>
      <c r="AY245" s="345"/>
      <c r="AZ245" s="344"/>
      <c r="BA245" s="345"/>
      <c r="BB245" s="346"/>
      <c r="BC245" s="347">
        <v>1000</v>
      </c>
      <c r="BD245" s="348"/>
      <c r="BE245" s="349"/>
      <c r="BF245" s="348"/>
      <c r="BG245" s="349"/>
      <c r="BH245" s="350"/>
      <c r="BI245" s="351">
        <v>1000</v>
      </c>
      <c r="BJ245" s="352"/>
      <c r="BK245" s="337"/>
      <c r="BL245" s="352"/>
      <c r="BM245" s="337"/>
      <c r="BN245" s="353"/>
      <c r="BO245" s="354">
        <v>1000</v>
      </c>
      <c r="BP245" s="355"/>
      <c r="BQ245" s="356"/>
      <c r="BR245" s="355"/>
      <c r="BS245" s="356"/>
      <c r="BT245" s="357"/>
    </row>
    <row r="246" spans="1:72" s="358" customFormat="1" ht="31.5">
      <c r="A246" s="287">
        <v>182</v>
      </c>
      <c r="B246" s="933"/>
      <c r="C246" s="850" t="s">
        <v>377</v>
      </c>
      <c r="D246" s="838"/>
      <c r="E246" s="836" t="s">
        <v>201</v>
      </c>
      <c r="F246" s="820" t="s">
        <v>23</v>
      </c>
      <c r="G246" s="360">
        <v>2</v>
      </c>
      <c r="H246" s="360" t="s">
        <v>71</v>
      </c>
      <c r="I246" s="360">
        <v>112</v>
      </c>
      <c r="J246" s="361">
        <v>212</v>
      </c>
      <c r="K246" s="532" t="s">
        <v>765</v>
      </c>
      <c r="L246" s="1023">
        <f>L247</f>
        <v>13800</v>
      </c>
      <c r="M246" s="363"/>
      <c r="N246" s="363">
        <f>N247</f>
        <v>0</v>
      </c>
      <c r="O246" s="1051">
        <f t="shared" si="944"/>
        <v>13800</v>
      </c>
      <c r="P246" s="571"/>
      <c r="Q246" s="367">
        <f>Q247</f>
        <v>0</v>
      </c>
      <c r="R246" s="557"/>
      <c r="S246" s="367">
        <f>S247</f>
        <v>0</v>
      </c>
      <c r="T246" s="557"/>
      <c r="U246" s="365"/>
      <c r="V246" s="366"/>
      <c r="W246" s="366"/>
      <c r="X246" s="366"/>
      <c r="Z246" s="367">
        <f t="shared" si="945"/>
        <v>0</v>
      </c>
      <c r="AA246" s="363">
        <f t="shared" si="945"/>
        <v>0</v>
      </c>
      <c r="AB246" s="280">
        <f t="shared" si="946"/>
        <v>0</v>
      </c>
      <c r="AC246" s="367">
        <f t="shared" si="947"/>
        <v>8800</v>
      </c>
      <c r="AD246" s="363">
        <f t="shared" si="947"/>
        <v>8800</v>
      </c>
      <c r="AE246" s="280">
        <f t="shared" si="948"/>
        <v>0</v>
      </c>
      <c r="AF246" s="367">
        <f t="shared" si="949"/>
        <v>5000</v>
      </c>
      <c r="AG246" s="363">
        <f t="shared" si="949"/>
        <v>0</v>
      </c>
      <c r="AH246" s="280">
        <f t="shared" si="950"/>
        <v>5000</v>
      </c>
      <c r="AI246" s="367">
        <f t="shared" si="951"/>
        <v>0</v>
      </c>
      <c r="AJ246" s="363">
        <f t="shared" si="951"/>
        <v>0</v>
      </c>
      <c r="AK246" s="280">
        <f t="shared" si="952"/>
        <v>0</v>
      </c>
      <c r="AL246" s="368"/>
      <c r="AM246" s="367">
        <f t="shared" si="953"/>
        <v>8800</v>
      </c>
      <c r="AN246" s="363">
        <f t="shared" si="953"/>
        <v>8800</v>
      </c>
      <c r="AO246" s="280">
        <f t="shared" si="954"/>
        <v>0</v>
      </c>
      <c r="AP246" s="367">
        <f t="shared" si="955"/>
        <v>13800</v>
      </c>
      <c r="AQ246" s="363">
        <f t="shared" si="955"/>
        <v>8800</v>
      </c>
      <c r="AR246" s="280">
        <f t="shared" si="940"/>
        <v>5000</v>
      </c>
      <c r="AS246" s="367">
        <f>Z246+AC246+AF246+AI246</f>
        <v>13800</v>
      </c>
      <c r="AT246" s="363">
        <f t="shared" si="941"/>
        <v>8800</v>
      </c>
      <c r="AU246" s="280">
        <f t="shared" si="942"/>
        <v>5000</v>
      </c>
      <c r="AV246" s="1253">
        <f t="shared" si="943"/>
        <v>0</v>
      </c>
      <c r="AW246" s="367">
        <f>AW247</f>
        <v>0</v>
      </c>
      <c r="AX246" s="367">
        <f t="shared" si="956"/>
        <v>0</v>
      </c>
      <c r="AY246" s="367">
        <f t="shared" si="956"/>
        <v>0</v>
      </c>
      <c r="AZ246" s="367">
        <f t="shared" si="956"/>
        <v>0</v>
      </c>
      <c r="BA246" s="367">
        <f t="shared" si="956"/>
        <v>0</v>
      </c>
      <c r="BB246" s="367">
        <f t="shared" si="956"/>
        <v>0</v>
      </c>
      <c r="BC246" s="367">
        <f t="shared" si="956"/>
        <v>0</v>
      </c>
      <c r="BD246" s="367">
        <f t="shared" si="956"/>
        <v>0</v>
      </c>
      <c r="BE246" s="367">
        <f t="shared" si="956"/>
        <v>8800</v>
      </c>
      <c r="BF246" s="367">
        <f t="shared" si="956"/>
        <v>8800</v>
      </c>
      <c r="BG246" s="367">
        <f t="shared" si="956"/>
        <v>0</v>
      </c>
      <c r="BH246" s="367">
        <f t="shared" si="956"/>
        <v>0</v>
      </c>
      <c r="BI246" s="367">
        <f t="shared" si="956"/>
        <v>0</v>
      </c>
      <c r="BJ246" s="367">
        <f t="shared" si="956"/>
        <v>0</v>
      </c>
      <c r="BK246" s="367">
        <f t="shared" si="956"/>
        <v>0</v>
      </c>
      <c r="BL246" s="367">
        <f t="shared" si="956"/>
        <v>0</v>
      </c>
      <c r="BM246" s="367">
        <f t="shared" si="956"/>
        <v>5000</v>
      </c>
      <c r="BN246" s="367">
        <f t="shared" si="956"/>
        <v>0</v>
      </c>
      <c r="BO246" s="367">
        <f t="shared" si="956"/>
        <v>0</v>
      </c>
      <c r="BP246" s="367">
        <f t="shared" si="956"/>
        <v>0</v>
      </c>
      <c r="BQ246" s="367">
        <f t="shared" si="956"/>
        <v>0</v>
      </c>
      <c r="BR246" s="367">
        <f t="shared" si="956"/>
        <v>0</v>
      </c>
      <c r="BS246" s="367">
        <f t="shared" si="956"/>
        <v>0</v>
      </c>
      <c r="BT246" s="367">
        <f t="shared" si="956"/>
        <v>0</v>
      </c>
    </row>
    <row r="247" spans="1:72" s="313" customFormat="1" ht="25.5" outlineLevel="1">
      <c r="A247" s="287">
        <v>183</v>
      </c>
      <c r="B247" s="933"/>
      <c r="C247" s="840"/>
      <c r="D247" s="841"/>
      <c r="E247" s="839"/>
      <c r="F247" s="821" t="s">
        <v>23</v>
      </c>
      <c r="G247" s="314">
        <v>2</v>
      </c>
      <c r="H247" s="739" t="s">
        <v>71</v>
      </c>
      <c r="I247" s="739">
        <v>112</v>
      </c>
      <c r="J247" s="740">
        <v>212</v>
      </c>
      <c r="K247" s="533" t="s">
        <v>766</v>
      </c>
      <c r="L247" s="318">
        <v>13800</v>
      </c>
      <c r="M247" s="318"/>
      <c r="N247" s="318"/>
      <c r="O247" s="1052">
        <f t="shared" si="944"/>
        <v>13800</v>
      </c>
      <c r="P247" s="570"/>
      <c r="Q247" s="341">
        <v>0</v>
      </c>
      <c r="R247" s="559"/>
      <c r="S247" s="540">
        <v>0</v>
      </c>
      <c r="T247" s="559"/>
      <c r="U247" s="335"/>
      <c r="V247" s="320"/>
      <c r="W247" s="320"/>
      <c r="X247" s="320"/>
      <c r="Z247" s="336">
        <f t="shared" si="945"/>
        <v>0</v>
      </c>
      <c r="AA247" s="337">
        <f t="shared" si="945"/>
        <v>0</v>
      </c>
      <c r="AB247" s="338">
        <f t="shared" si="946"/>
        <v>0</v>
      </c>
      <c r="AC247" s="336">
        <f t="shared" si="947"/>
        <v>8800</v>
      </c>
      <c r="AD247" s="337">
        <f t="shared" si="947"/>
        <v>8800</v>
      </c>
      <c r="AE247" s="338">
        <f t="shared" si="948"/>
        <v>0</v>
      </c>
      <c r="AF247" s="336">
        <f t="shared" si="949"/>
        <v>5000</v>
      </c>
      <c r="AG247" s="337">
        <f t="shared" si="949"/>
        <v>0</v>
      </c>
      <c r="AH247" s="338">
        <f t="shared" si="950"/>
        <v>5000</v>
      </c>
      <c r="AI247" s="336">
        <f t="shared" si="951"/>
        <v>0</v>
      </c>
      <c r="AJ247" s="337">
        <f t="shared" si="951"/>
        <v>0</v>
      </c>
      <c r="AK247" s="338">
        <f t="shared" si="952"/>
        <v>0</v>
      </c>
      <c r="AL247" s="342"/>
      <c r="AM247" s="336">
        <f t="shared" si="953"/>
        <v>8800</v>
      </c>
      <c r="AN247" s="339">
        <f t="shared" si="953"/>
        <v>8800</v>
      </c>
      <c r="AO247" s="340">
        <f t="shared" si="954"/>
        <v>0</v>
      </c>
      <c r="AP247" s="336">
        <f t="shared" si="955"/>
        <v>13800</v>
      </c>
      <c r="AQ247" s="339">
        <f t="shared" si="955"/>
        <v>8800</v>
      </c>
      <c r="AR247" s="340">
        <f t="shared" si="940"/>
        <v>5000</v>
      </c>
      <c r="AS247" s="341">
        <f t="shared" ref="AS247" si="957">Z247+AC247+AF247+AI247</f>
        <v>13800</v>
      </c>
      <c r="AT247" s="339">
        <f t="shared" si="941"/>
        <v>8800</v>
      </c>
      <c r="AU247" s="340">
        <f t="shared" si="942"/>
        <v>5000</v>
      </c>
      <c r="AV247" s="1255">
        <f t="shared" si="943"/>
        <v>0</v>
      </c>
      <c r="AW247" s="343"/>
      <c r="AX247" s="344"/>
      <c r="AY247" s="345"/>
      <c r="AZ247" s="344"/>
      <c r="BA247" s="345"/>
      <c r="BB247" s="346"/>
      <c r="BC247" s="347"/>
      <c r="BD247" s="348"/>
      <c r="BE247" s="1222">
        <f>7900+300+300+300</f>
        <v>8800</v>
      </c>
      <c r="BF247" s="1221">
        <f>7900+300+300+300</f>
        <v>8800</v>
      </c>
      <c r="BG247" s="349"/>
      <c r="BH247" s="350"/>
      <c r="BI247" s="351"/>
      <c r="BJ247" s="352"/>
      <c r="BK247" s="337"/>
      <c r="BL247" s="352"/>
      <c r="BM247" s="1137">
        <f>1500+3500</f>
        <v>5000</v>
      </c>
      <c r="BN247" s="353"/>
      <c r="BO247" s="354"/>
      <c r="BP247" s="355"/>
      <c r="BQ247" s="356"/>
      <c r="BR247" s="355"/>
      <c r="BS247" s="356"/>
      <c r="BT247" s="357"/>
    </row>
    <row r="248" spans="1:72" s="358" customFormat="1" ht="31.5">
      <c r="A248" s="287">
        <v>184</v>
      </c>
      <c r="B248" s="933"/>
      <c r="C248" s="837"/>
      <c r="D248" s="838"/>
      <c r="E248" s="836" t="s">
        <v>201</v>
      </c>
      <c r="F248" s="820" t="s">
        <v>23</v>
      </c>
      <c r="G248" s="360">
        <v>2</v>
      </c>
      <c r="H248" s="360" t="s">
        <v>69</v>
      </c>
      <c r="I248" s="360">
        <v>119</v>
      </c>
      <c r="J248" s="361">
        <v>213</v>
      </c>
      <c r="K248" s="532" t="s">
        <v>10</v>
      </c>
      <c r="L248" s="1042">
        <f>1484134.59+M248</f>
        <v>1488234.59</v>
      </c>
      <c r="M248" s="586">
        <v>4100</v>
      </c>
      <c r="N248" s="586"/>
      <c r="O248" s="1053">
        <f t="shared" si="944"/>
        <v>1488234.59</v>
      </c>
      <c r="P248" s="587"/>
      <c r="Q248" s="367">
        <v>1484134.59</v>
      </c>
      <c r="R248" s="557"/>
      <c r="S248" s="367">
        <v>1484134.59</v>
      </c>
      <c r="T248" s="557"/>
      <c r="U248" s="365"/>
      <c r="V248" s="366"/>
      <c r="W248" s="366"/>
      <c r="X248" s="366"/>
      <c r="Z248" s="367">
        <f>AW248+AY248+BA248</f>
        <v>1484134.59</v>
      </c>
      <c r="AA248" s="363">
        <f>AX248+AZ248+BB248</f>
        <v>110883.95</v>
      </c>
      <c r="AB248" s="280">
        <f>Z248-AA248</f>
        <v>1373250.64</v>
      </c>
      <c r="AC248" s="367">
        <f>BC248+BE248+BG248</f>
        <v>0</v>
      </c>
      <c r="AD248" s="363">
        <f>BD248+BF248+BH248</f>
        <v>0</v>
      </c>
      <c r="AE248" s="280">
        <f>AC248-AD248</f>
        <v>0</v>
      </c>
      <c r="AF248" s="367">
        <f>BI248+BK248+BM248</f>
        <v>0</v>
      </c>
      <c r="AG248" s="363">
        <f>BJ248+BL248+BN248</f>
        <v>0</v>
      </c>
      <c r="AH248" s="280">
        <f>AF248-AG248</f>
        <v>0</v>
      </c>
      <c r="AI248" s="367">
        <f>BO248+BQ248+BS248</f>
        <v>4100</v>
      </c>
      <c r="AJ248" s="363">
        <f>BP248+BR248+BT248</f>
        <v>0</v>
      </c>
      <c r="AK248" s="280">
        <f>AI248-AJ248</f>
        <v>4100</v>
      </c>
      <c r="AL248" s="368"/>
      <c r="AM248" s="367">
        <f>Z248+AC248</f>
        <v>1484134.59</v>
      </c>
      <c r="AN248" s="363">
        <f>AA248+AD248</f>
        <v>110883.95</v>
      </c>
      <c r="AO248" s="280">
        <f>AM248-AN248</f>
        <v>1373250.64</v>
      </c>
      <c r="AP248" s="367">
        <f>Z248+AC248+AF248</f>
        <v>1484134.59</v>
      </c>
      <c r="AQ248" s="363">
        <f>AA248+AD248+AG248</f>
        <v>110883.95</v>
      </c>
      <c r="AR248" s="280">
        <f>AP248-AQ248</f>
        <v>1373250.64</v>
      </c>
      <c r="AS248" s="367">
        <f>Z248+AC248+AF248+AI248</f>
        <v>1488234.59</v>
      </c>
      <c r="AT248" s="363">
        <f>AA248+AD248+AG248+AJ248</f>
        <v>110883.95</v>
      </c>
      <c r="AU248" s="280">
        <f>AS248-AT248</f>
        <v>1377350.64</v>
      </c>
      <c r="AV248" s="1253">
        <f t="shared" si="943"/>
        <v>0</v>
      </c>
      <c r="AW248" s="367">
        <v>1484134.59</v>
      </c>
      <c r="AX248" s="363"/>
      <c r="AY248" s="363"/>
      <c r="AZ248" s="363"/>
      <c r="BA248" s="363"/>
      <c r="BB248" s="369">
        <v>110883.95</v>
      </c>
      <c r="BC248" s="367"/>
      <c r="BD248" s="363"/>
      <c r="BE248" s="363"/>
      <c r="BF248" s="363"/>
      <c r="BG248" s="363"/>
      <c r="BH248" s="369"/>
      <c r="BI248" s="367"/>
      <c r="BJ248" s="363"/>
      <c r="BK248" s="363"/>
      <c r="BL248" s="363"/>
      <c r="BM248" s="363"/>
      <c r="BN248" s="369"/>
      <c r="BO248" s="367"/>
      <c r="BP248" s="363"/>
      <c r="BQ248" s="363"/>
      <c r="BR248" s="363"/>
      <c r="BS248" s="363">
        <v>4100</v>
      </c>
      <c r="BT248" s="280"/>
    </row>
    <row r="249" spans="1:72" s="358" customFormat="1" ht="63">
      <c r="A249" s="287">
        <v>185</v>
      </c>
      <c r="B249" s="933"/>
      <c r="C249" s="837"/>
      <c r="D249" s="838"/>
      <c r="E249" s="836" t="s">
        <v>201</v>
      </c>
      <c r="F249" s="820" t="s">
        <v>23</v>
      </c>
      <c r="G249" s="360">
        <v>2</v>
      </c>
      <c r="H249" s="360" t="s">
        <v>71</v>
      </c>
      <c r="I249" s="360">
        <v>111</v>
      </c>
      <c r="J249" s="361">
        <v>266</v>
      </c>
      <c r="K249" s="532" t="s">
        <v>43</v>
      </c>
      <c r="L249" s="1023">
        <v>39600</v>
      </c>
      <c r="M249" s="363"/>
      <c r="N249" s="363"/>
      <c r="O249" s="1051">
        <f t="shared" si="944"/>
        <v>39600</v>
      </c>
      <c r="P249" s="571"/>
      <c r="Q249" s="367">
        <v>39600</v>
      </c>
      <c r="R249" s="557"/>
      <c r="S249" s="367">
        <v>39600</v>
      </c>
      <c r="T249" s="557"/>
      <c r="U249" s="365"/>
      <c r="V249" s="366"/>
      <c r="W249" s="366"/>
      <c r="X249" s="366"/>
      <c r="Z249" s="367">
        <f t="shared" si="945"/>
        <v>39600</v>
      </c>
      <c r="AA249" s="363">
        <f t="shared" si="945"/>
        <v>0</v>
      </c>
      <c r="AB249" s="280">
        <f t="shared" si="946"/>
        <v>39600</v>
      </c>
      <c r="AC249" s="367">
        <f t="shared" si="947"/>
        <v>0</v>
      </c>
      <c r="AD249" s="363">
        <f t="shared" si="947"/>
        <v>0</v>
      </c>
      <c r="AE249" s="280">
        <f t="shared" si="948"/>
        <v>0</v>
      </c>
      <c r="AF249" s="367">
        <f t="shared" si="949"/>
        <v>0</v>
      </c>
      <c r="AG249" s="363">
        <f t="shared" si="949"/>
        <v>0</v>
      </c>
      <c r="AH249" s="280">
        <f t="shared" si="950"/>
        <v>0</v>
      </c>
      <c r="AI249" s="367">
        <f t="shared" si="951"/>
        <v>0</v>
      </c>
      <c r="AJ249" s="363">
        <f t="shared" si="951"/>
        <v>0</v>
      </c>
      <c r="AK249" s="280">
        <f t="shared" si="952"/>
        <v>0</v>
      </c>
      <c r="AL249" s="368"/>
      <c r="AM249" s="367">
        <f t="shared" si="953"/>
        <v>39600</v>
      </c>
      <c r="AN249" s="363">
        <f t="shared" si="953"/>
        <v>0</v>
      </c>
      <c r="AO249" s="280">
        <f t="shared" si="954"/>
        <v>39600</v>
      </c>
      <c r="AP249" s="367">
        <f t="shared" si="955"/>
        <v>39600</v>
      </c>
      <c r="AQ249" s="363">
        <f t="shared" si="955"/>
        <v>0</v>
      </c>
      <c r="AR249" s="280">
        <f t="shared" si="940"/>
        <v>39600</v>
      </c>
      <c r="AS249" s="367">
        <f t="shared" si="941"/>
        <v>39600</v>
      </c>
      <c r="AT249" s="363">
        <f t="shared" si="941"/>
        <v>0</v>
      </c>
      <c r="AU249" s="280">
        <f t="shared" si="942"/>
        <v>39600</v>
      </c>
      <c r="AV249" s="1253">
        <f t="shared" si="943"/>
        <v>0</v>
      </c>
      <c r="AW249" s="367">
        <v>39600</v>
      </c>
      <c r="AX249" s="363"/>
      <c r="AY249" s="363"/>
      <c r="AZ249" s="363"/>
      <c r="BA249" s="363"/>
      <c r="BB249" s="369"/>
      <c r="BC249" s="367"/>
      <c r="BD249" s="363"/>
      <c r="BE249" s="363"/>
      <c r="BF249" s="363"/>
      <c r="BG249" s="363"/>
      <c r="BH249" s="369"/>
      <c r="BI249" s="367"/>
      <c r="BJ249" s="363"/>
      <c r="BK249" s="363"/>
      <c r="BL249" s="363"/>
      <c r="BM249" s="363"/>
      <c r="BN249" s="369"/>
      <c r="BO249" s="367"/>
      <c r="BP249" s="363"/>
      <c r="BQ249" s="363"/>
      <c r="BR249" s="363"/>
      <c r="BS249" s="363"/>
      <c r="BT249" s="280"/>
    </row>
    <row r="250" spans="1:72" s="358" customFormat="1" ht="47.25">
      <c r="A250" s="287">
        <v>186</v>
      </c>
      <c r="B250" s="941"/>
      <c r="C250" s="837"/>
      <c r="D250" s="838"/>
      <c r="E250" s="836" t="s">
        <v>201</v>
      </c>
      <c r="F250" s="820" t="s">
        <v>23</v>
      </c>
      <c r="G250" s="360">
        <v>2</v>
      </c>
      <c r="H250" s="360" t="s">
        <v>71</v>
      </c>
      <c r="I250" s="360">
        <v>112</v>
      </c>
      <c r="J250" s="361">
        <v>266</v>
      </c>
      <c r="K250" s="532" t="s">
        <v>220</v>
      </c>
      <c r="L250" s="1023">
        <f>1020+M250</f>
        <v>1920</v>
      </c>
      <c r="M250" s="586">
        <v>900</v>
      </c>
      <c r="N250" s="363"/>
      <c r="O250" s="1051">
        <f t="shared" si="944"/>
        <v>1920</v>
      </c>
      <c r="P250" s="571"/>
      <c r="Q250" s="367">
        <v>425</v>
      </c>
      <c r="R250" s="557"/>
      <c r="S250" s="367">
        <v>0</v>
      </c>
      <c r="T250" s="557"/>
      <c r="U250" s="365"/>
      <c r="V250" s="366"/>
      <c r="W250" s="366"/>
      <c r="X250" s="366"/>
      <c r="Z250" s="367">
        <f t="shared" si="945"/>
        <v>170</v>
      </c>
      <c r="AA250" s="363">
        <f t="shared" si="945"/>
        <v>150</v>
      </c>
      <c r="AB250" s="280">
        <f t="shared" si="946"/>
        <v>20</v>
      </c>
      <c r="AC250" s="367">
        <f t="shared" si="947"/>
        <v>255</v>
      </c>
      <c r="AD250" s="363">
        <f t="shared" si="947"/>
        <v>0</v>
      </c>
      <c r="AE250" s="280">
        <f t="shared" si="948"/>
        <v>255</v>
      </c>
      <c r="AF250" s="367">
        <f t="shared" si="949"/>
        <v>255</v>
      </c>
      <c r="AG250" s="363">
        <f t="shared" si="949"/>
        <v>0</v>
      </c>
      <c r="AH250" s="280">
        <f t="shared" si="950"/>
        <v>255</v>
      </c>
      <c r="AI250" s="367">
        <f t="shared" si="951"/>
        <v>1240</v>
      </c>
      <c r="AJ250" s="363">
        <f t="shared" si="951"/>
        <v>0</v>
      </c>
      <c r="AK250" s="280">
        <f t="shared" si="952"/>
        <v>1240</v>
      </c>
      <c r="AL250" s="368"/>
      <c r="AM250" s="367">
        <f t="shared" si="953"/>
        <v>425</v>
      </c>
      <c r="AN250" s="363">
        <f t="shared" si="953"/>
        <v>150</v>
      </c>
      <c r="AO250" s="280">
        <f t="shared" si="954"/>
        <v>275</v>
      </c>
      <c r="AP250" s="367">
        <f t="shared" si="955"/>
        <v>680</v>
      </c>
      <c r="AQ250" s="363">
        <f t="shared" si="955"/>
        <v>150</v>
      </c>
      <c r="AR250" s="280">
        <f t="shared" si="940"/>
        <v>530</v>
      </c>
      <c r="AS250" s="367">
        <f t="shared" si="941"/>
        <v>1920</v>
      </c>
      <c r="AT250" s="363">
        <f t="shared" si="941"/>
        <v>150</v>
      </c>
      <c r="AU250" s="280">
        <f t="shared" si="942"/>
        <v>1770</v>
      </c>
      <c r="AV250" s="1253">
        <f t="shared" si="943"/>
        <v>0</v>
      </c>
      <c r="AW250" s="367"/>
      <c r="AX250" s="363"/>
      <c r="AY250" s="363">
        <v>85</v>
      </c>
      <c r="AZ250" s="363">
        <v>75</v>
      </c>
      <c r="BA250" s="363">
        <v>85</v>
      </c>
      <c r="BB250" s="369">
        <v>75</v>
      </c>
      <c r="BC250" s="367">
        <v>85</v>
      </c>
      <c r="BD250" s="363"/>
      <c r="BE250" s="363">
        <v>85</v>
      </c>
      <c r="BF250" s="363"/>
      <c r="BG250" s="363">
        <v>85</v>
      </c>
      <c r="BH250" s="369"/>
      <c r="BI250" s="367">
        <v>85</v>
      </c>
      <c r="BJ250" s="363"/>
      <c r="BK250" s="363">
        <v>85</v>
      </c>
      <c r="BL250" s="363"/>
      <c r="BM250" s="363">
        <v>85</v>
      </c>
      <c r="BN250" s="369"/>
      <c r="BO250" s="367">
        <v>85</v>
      </c>
      <c r="BP250" s="363"/>
      <c r="BQ250" s="363">
        <v>85</v>
      </c>
      <c r="BR250" s="363"/>
      <c r="BS250" s="363">
        <f>85*2+900</f>
        <v>1070</v>
      </c>
      <c r="BT250" s="280"/>
    </row>
    <row r="251" spans="1:72" s="358" customFormat="1" ht="31.5">
      <c r="A251" s="287">
        <v>187</v>
      </c>
      <c r="B251" s="933"/>
      <c r="C251" s="837"/>
      <c r="D251" s="838"/>
      <c r="E251" s="836" t="s">
        <v>201</v>
      </c>
      <c r="F251" s="820" t="s">
        <v>23</v>
      </c>
      <c r="G251" s="360">
        <v>2</v>
      </c>
      <c r="H251" s="360" t="s">
        <v>71</v>
      </c>
      <c r="I251" s="374">
        <v>112</v>
      </c>
      <c r="J251" s="361">
        <v>214</v>
      </c>
      <c r="K251" s="532" t="s">
        <v>35</v>
      </c>
      <c r="L251" s="1023">
        <v>40000</v>
      </c>
      <c r="M251" s="363"/>
      <c r="N251" s="363"/>
      <c r="O251" s="1051">
        <f t="shared" si="944"/>
        <v>40000</v>
      </c>
      <c r="P251" s="571"/>
      <c r="Q251" s="367">
        <v>100000</v>
      </c>
      <c r="R251" s="557"/>
      <c r="S251" s="367">
        <v>40000</v>
      </c>
      <c r="T251" s="557"/>
      <c r="U251" s="365"/>
      <c r="V251" s="366"/>
      <c r="W251" s="366"/>
      <c r="X251" s="366"/>
      <c r="Z251" s="367">
        <f t="shared" si="945"/>
        <v>0</v>
      </c>
      <c r="AA251" s="363">
        <f t="shared" si="945"/>
        <v>0</v>
      </c>
      <c r="AB251" s="280">
        <f t="shared" si="946"/>
        <v>0</v>
      </c>
      <c r="AC251" s="367">
        <f t="shared" si="947"/>
        <v>0</v>
      </c>
      <c r="AD251" s="363">
        <f t="shared" si="947"/>
        <v>0</v>
      </c>
      <c r="AE251" s="280">
        <f t="shared" si="948"/>
        <v>0</v>
      </c>
      <c r="AF251" s="367">
        <f t="shared" si="949"/>
        <v>40000</v>
      </c>
      <c r="AG251" s="363">
        <f t="shared" si="949"/>
        <v>0</v>
      </c>
      <c r="AH251" s="280">
        <f t="shared" si="950"/>
        <v>40000</v>
      </c>
      <c r="AI251" s="367">
        <f t="shared" si="951"/>
        <v>0</v>
      </c>
      <c r="AJ251" s="363">
        <f t="shared" si="951"/>
        <v>0</v>
      </c>
      <c r="AK251" s="280">
        <f t="shared" si="952"/>
        <v>0</v>
      </c>
      <c r="AL251" s="368"/>
      <c r="AM251" s="367">
        <f t="shared" si="953"/>
        <v>0</v>
      </c>
      <c r="AN251" s="363">
        <f t="shared" si="953"/>
        <v>0</v>
      </c>
      <c r="AO251" s="280">
        <f t="shared" si="954"/>
        <v>0</v>
      </c>
      <c r="AP251" s="367">
        <f t="shared" si="955"/>
        <v>40000</v>
      </c>
      <c r="AQ251" s="363">
        <f t="shared" si="955"/>
        <v>0</v>
      </c>
      <c r="AR251" s="280">
        <f t="shared" si="940"/>
        <v>40000</v>
      </c>
      <c r="AS251" s="367">
        <f t="shared" si="941"/>
        <v>40000</v>
      </c>
      <c r="AT251" s="363">
        <f t="shared" si="941"/>
        <v>0</v>
      </c>
      <c r="AU251" s="280">
        <f t="shared" si="942"/>
        <v>40000</v>
      </c>
      <c r="AV251" s="1253">
        <f t="shared" si="943"/>
        <v>0</v>
      </c>
      <c r="AW251" s="367"/>
      <c r="AX251" s="363"/>
      <c r="AY251" s="363"/>
      <c r="AZ251" s="363"/>
      <c r="BA251" s="363"/>
      <c r="BB251" s="369"/>
      <c r="BC251" s="367"/>
      <c r="BD251" s="363"/>
      <c r="BE251" s="363"/>
      <c r="BF251" s="363"/>
      <c r="BG251" s="363"/>
      <c r="BH251" s="369"/>
      <c r="BI251" s="367">
        <v>40000</v>
      </c>
      <c r="BJ251" s="363"/>
      <c r="BK251" s="363"/>
      <c r="BL251" s="363"/>
      <c r="BM251" s="363"/>
      <c r="BN251" s="369"/>
      <c r="BO251" s="367"/>
      <c r="BP251" s="363"/>
      <c r="BQ251" s="363"/>
      <c r="BR251" s="363"/>
      <c r="BS251" s="363"/>
      <c r="BT251" s="280"/>
    </row>
    <row r="252" spans="1:72" s="358" customFormat="1" ht="31.5" customHeight="1">
      <c r="A252" s="287">
        <v>188</v>
      </c>
      <c r="B252" s="933"/>
      <c r="C252" s="850" t="s">
        <v>377</v>
      </c>
      <c r="D252" s="838"/>
      <c r="E252" s="836" t="s">
        <v>201</v>
      </c>
      <c r="F252" s="820" t="s">
        <v>23</v>
      </c>
      <c r="G252" s="360">
        <v>2</v>
      </c>
      <c r="H252" s="360" t="s">
        <v>71</v>
      </c>
      <c r="I252" s="360">
        <v>244</v>
      </c>
      <c r="J252" s="361">
        <v>221</v>
      </c>
      <c r="K252" s="532" t="s">
        <v>11</v>
      </c>
      <c r="L252" s="1023">
        <f>SUM(L253:L256)</f>
        <v>32310.1</v>
      </c>
      <c r="M252" s="363"/>
      <c r="N252" s="363"/>
      <c r="O252" s="1051">
        <f t="shared" si="944"/>
        <v>32310.1</v>
      </c>
      <c r="P252" s="571"/>
      <c r="Q252" s="367">
        <f>SUM(Q253:Q256)</f>
        <v>32310.09</v>
      </c>
      <c r="R252" s="557"/>
      <c r="S252" s="367">
        <f>SUM(S253:S256)</f>
        <v>31052.92</v>
      </c>
      <c r="T252" s="557"/>
      <c r="U252" s="365"/>
      <c r="V252" s="366"/>
      <c r="W252" s="366"/>
      <c r="X252" s="391">
        <v>0.14119999999999999</v>
      </c>
      <c r="Z252" s="367">
        <f t="shared" si="945"/>
        <v>318</v>
      </c>
      <c r="AA252" s="363">
        <f t="shared" si="945"/>
        <v>318</v>
      </c>
      <c r="AB252" s="280">
        <f t="shared" si="946"/>
        <v>0</v>
      </c>
      <c r="AC252" s="367">
        <f t="shared" si="947"/>
        <v>2903.1</v>
      </c>
      <c r="AD252" s="363">
        <f t="shared" si="947"/>
        <v>2903.1</v>
      </c>
      <c r="AE252" s="280">
        <f t="shared" si="948"/>
        <v>0</v>
      </c>
      <c r="AF252" s="367">
        <f t="shared" si="949"/>
        <v>1522</v>
      </c>
      <c r="AG252" s="363">
        <f t="shared" si="949"/>
        <v>1522</v>
      </c>
      <c r="AH252" s="280">
        <f t="shared" si="950"/>
        <v>0</v>
      </c>
      <c r="AI252" s="367">
        <f t="shared" si="951"/>
        <v>28111.3</v>
      </c>
      <c r="AJ252" s="363">
        <f t="shared" si="951"/>
        <v>1293.68</v>
      </c>
      <c r="AK252" s="280">
        <f t="shared" si="952"/>
        <v>26817.62</v>
      </c>
      <c r="AL252" s="368"/>
      <c r="AM252" s="367">
        <f t="shared" si="953"/>
        <v>3221.1</v>
      </c>
      <c r="AN252" s="363">
        <f t="shared" si="953"/>
        <v>3221.1</v>
      </c>
      <c r="AO252" s="280">
        <f t="shared" si="954"/>
        <v>0</v>
      </c>
      <c r="AP252" s="367">
        <f t="shared" si="955"/>
        <v>4743.1000000000004</v>
      </c>
      <c r="AQ252" s="363">
        <f t="shared" si="955"/>
        <v>4743.1000000000004</v>
      </c>
      <c r="AR252" s="280">
        <f t="shared" si="940"/>
        <v>0</v>
      </c>
      <c r="AS252" s="367">
        <f t="shared" si="941"/>
        <v>32854.400000000001</v>
      </c>
      <c r="AT252" s="363">
        <f t="shared" si="941"/>
        <v>6036.78</v>
      </c>
      <c r="AU252" s="280">
        <f t="shared" si="942"/>
        <v>26817.62</v>
      </c>
      <c r="AV252" s="1253">
        <f t="shared" si="943"/>
        <v>-544.29999999999995</v>
      </c>
      <c r="AW252" s="367">
        <f t="shared" ref="AW252:BT252" si="958">SUM(AW253:AW256)</f>
        <v>0</v>
      </c>
      <c r="AX252" s="363">
        <f t="shared" si="958"/>
        <v>0</v>
      </c>
      <c r="AY252" s="363">
        <f t="shared" si="958"/>
        <v>0</v>
      </c>
      <c r="AZ252" s="363">
        <f t="shared" si="958"/>
        <v>0</v>
      </c>
      <c r="BA252" s="363">
        <f t="shared" si="958"/>
        <v>318</v>
      </c>
      <c r="BB252" s="369">
        <f t="shared" si="958"/>
        <v>318</v>
      </c>
      <c r="BC252" s="367">
        <f t="shared" si="958"/>
        <v>523</v>
      </c>
      <c r="BD252" s="363">
        <f t="shared" si="958"/>
        <v>523</v>
      </c>
      <c r="BE252" s="363">
        <f t="shared" si="958"/>
        <v>729.5</v>
      </c>
      <c r="BF252" s="363">
        <f t="shared" si="958"/>
        <v>729.5</v>
      </c>
      <c r="BG252" s="363">
        <f t="shared" si="958"/>
        <v>1650.6</v>
      </c>
      <c r="BH252" s="369">
        <f t="shared" si="958"/>
        <v>1650.6</v>
      </c>
      <c r="BI252" s="367">
        <f t="shared" si="958"/>
        <v>579.5</v>
      </c>
      <c r="BJ252" s="363">
        <f t="shared" si="958"/>
        <v>579.5</v>
      </c>
      <c r="BK252" s="363">
        <f t="shared" si="958"/>
        <v>398</v>
      </c>
      <c r="BL252" s="363">
        <f t="shared" si="958"/>
        <v>398</v>
      </c>
      <c r="BM252" s="363">
        <f t="shared" si="958"/>
        <v>544.5</v>
      </c>
      <c r="BN252" s="369">
        <f t="shared" si="958"/>
        <v>544.5</v>
      </c>
      <c r="BO252" s="367">
        <f t="shared" si="958"/>
        <v>1293.68</v>
      </c>
      <c r="BP252" s="363">
        <f t="shared" si="958"/>
        <v>1293.68</v>
      </c>
      <c r="BQ252" s="363">
        <f t="shared" si="958"/>
        <v>7800</v>
      </c>
      <c r="BR252" s="363">
        <f t="shared" si="958"/>
        <v>0</v>
      </c>
      <c r="BS252" s="363">
        <f t="shared" si="958"/>
        <v>19017.62</v>
      </c>
      <c r="BT252" s="280">
        <f t="shared" si="958"/>
        <v>0</v>
      </c>
    </row>
    <row r="253" spans="1:72" s="313" customFormat="1" ht="409.5" outlineLevel="1">
      <c r="A253" s="287">
        <v>189</v>
      </c>
      <c r="B253" s="933"/>
      <c r="C253" s="840"/>
      <c r="D253" s="841"/>
      <c r="E253" s="839"/>
      <c r="F253" s="821" t="s">
        <v>23</v>
      </c>
      <c r="G253" s="314">
        <v>2</v>
      </c>
      <c r="H253" s="739" t="s">
        <v>71</v>
      </c>
      <c r="I253" s="739">
        <v>244</v>
      </c>
      <c r="J253" s="740">
        <v>221</v>
      </c>
      <c r="K253" s="533" t="s">
        <v>236</v>
      </c>
      <c r="L253" s="1025">
        <v>17910.099999999999</v>
      </c>
      <c r="M253" s="318"/>
      <c r="N253" s="318"/>
      <c r="O253" s="1052">
        <f t="shared" si="944"/>
        <v>17910.099999999999</v>
      </c>
      <c r="P253" s="570"/>
      <c r="Q253" s="336">
        <v>17910.09</v>
      </c>
      <c r="R253" s="559"/>
      <c r="S253" s="541">
        <v>16652.919999999998</v>
      </c>
      <c r="T253" s="559"/>
      <c r="U253" s="335"/>
      <c r="V253" s="596" t="s">
        <v>817</v>
      </c>
      <c r="W253" s="597" t="s">
        <v>1112</v>
      </c>
      <c r="X253" s="320"/>
      <c r="Z253" s="336">
        <f t="shared" si="945"/>
        <v>318</v>
      </c>
      <c r="AA253" s="337">
        <f t="shared" si="945"/>
        <v>318</v>
      </c>
      <c r="AB253" s="338">
        <f t="shared" si="946"/>
        <v>0</v>
      </c>
      <c r="AC253" s="336">
        <f t="shared" si="947"/>
        <v>2903.1</v>
      </c>
      <c r="AD253" s="337">
        <f t="shared" si="947"/>
        <v>2903.1</v>
      </c>
      <c r="AE253" s="338">
        <f t="shared" si="948"/>
        <v>0</v>
      </c>
      <c r="AF253" s="336">
        <f t="shared" si="949"/>
        <v>1522</v>
      </c>
      <c r="AG253" s="337">
        <f t="shared" si="949"/>
        <v>1522</v>
      </c>
      <c r="AH253" s="338">
        <f t="shared" si="950"/>
        <v>0</v>
      </c>
      <c r="AI253" s="336">
        <f t="shared" si="951"/>
        <v>13711.3</v>
      </c>
      <c r="AJ253" s="337">
        <f t="shared" si="951"/>
        <v>1293.68</v>
      </c>
      <c r="AK253" s="338">
        <f t="shared" si="952"/>
        <v>12417.62</v>
      </c>
      <c r="AL253" s="342"/>
      <c r="AM253" s="336">
        <f t="shared" si="953"/>
        <v>3221.1</v>
      </c>
      <c r="AN253" s="339">
        <f t="shared" si="953"/>
        <v>3221.1</v>
      </c>
      <c r="AO253" s="340">
        <f t="shared" si="954"/>
        <v>0</v>
      </c>
      <c r="AP253" s="336">
        <f t="shared" si="955"/>
        <v>4743.1000000000004</v>
      </c>
      <c r="AQ253" s="339">
        <f t="shared" si="955"/>
        <v>4743.1000000000004</v>
      </c>
      <c r="AR253" s="340">
        <f t="shared" si="940"/>
        <v>0</v>
      </c>
      <c r="AS253" s="341">
        <f t="shared" si="941"/>
        <v>18454.400000000001</v>
      </c>
      <c r="AT253" s="339">
        <f t="shared" si="941"/>
        <v>6036.78</v>
      </c>
      <c r="AU253" s="340">
        <f t="shared" si="942"/>
        <v>12417.62</v>
      </c>
      <c r="AV253" s="1255">
        <f t="shared" si="943"/>
        <v>-544.29999999999995</v>
      </c>
      <c r="AW253" s="1241"/>
      <c r="AX253" s="1218"/>
      <c r="AY253" s="1217"/>
      <c r="AZ253" s="1218"/>
      <c r="BA253" s="1217">
        <v>318</v>
      </c>
      <c r="BB253" s="1219">
        <v>318</v>
      </c>
      <c r="BC253" s="1220">
        <f>261.5+261.5</f>
        <v>523</v>
      </c>
      <c r="BD253" s="1221">
        <v>523</v>
      </c>
      <c r="BE253" s="1222">
        <f>453+276.5</f>
        <v>729.5</v>
      </c>
      <c r="BF253" s="1221">
        <v>729.5</v>
      </c>
      <c r="BG253" s="1222">
        <v>1650.6</v>
      </c>
      <c r="BH253" s="1223">
        <v>1650.6</v>
      </c>
      <c r="BI253" s="1224">
        <v>579.5</v>
      </c>
      <c r="BJ253" s="1225">
        <v>579.5</v>
      </c>
      <c r="BK253" s="1230">
        <v>398</v>
      </c>
      <c r="BL253" s="1225">
        <v>398</v>
      </c>
      <c r="BM253" s="1230">
        <f>544.5</f>
        <v>544.5</v>
      </c>
      <c r="BN253" s="1293">
        <v>544.5</v>
      </c>
      <c r="BO253" s="1138">
        <f>150+299.18+388+181.5+275</f>
        <v>1293.68</v>
      </c>
      <c r="BP253" s="355">
        <v>1293.68</v>
      </c>
      <c r="BQ253" s="356">
        <v>3000</v>
      </c>
      <c r="BR253" s="355"/>
      <c r="BS253" s="356">
        <v>9417.6200000000008</v>
      </c>
      <c r="BT253" s="357"/>
    </row>
    <row r="254" spans="1:72" s="313" customFormat="1" ht="38.25" outlineLevel="1">
      <c r="A254" s="287">
        <v>190</v>
      </c>
      <c r="B254" s="933"/>
      <c r="C254" s="840"/>
      <c r="D254" s="841"/>
      <c r="E254" s="839"/>
      <c r="F254" s="821" t="s">
        <v>23</v>
      </c>
      <c r="G254" s="314">
        <v>2</v>
      </c>
      <c r="H254" s="739" t="s">
        <v>71</v>
      </c>
      <c r="I254" s="739">
        <v>244</v>
      </c>
      <c r="J254" s="740">
        <v>221</v>
      </c>
      <c r="K254" s="533" t="s">
        <v>422</v>
      </c>
      <c r="L254" s="1043">
        <v>0</v>
      </c>
      <c r="M254" s="318"/>
      <c r="N254" s="318"/>
      <c r="O254" s="1052">
        <f t="shared" si="944"/>
        <v>0</v>
      </c>
      <c r="P254" s="570"/>
      <c r="Q254" s="336">
        <v>0</v>
      </c>
      <c r="R254" s="559"/>
      <c r="S254" s="541">
        <v>0</v>
      </c>
      <c r="T254" s="559"/>
      <c r="U254" s="335"/>
      <c r="V254" s="320" t="s">
        <v>231</v>
      </c>
      <c r="W254" s="388" t="s">
        <v>232</v>
      </c>
      <c r="X254" s="388" t="s">
        <v>233</v>
      </c>
      <c r="Z254" s="336">
        <f t="shared" si="945"/>
        <v>0</v>
      </c>
      <c r="AA254" s="337">
        <f t="shared" si="945"/>
        <v>0</v>
      </c>
      <c r="AB254" s="338">
        <f t="shared" si="946"/>
        <v>0</v>
      </c>
      <c r="AC254" s="336">
        <f t="shared" si="947"/>
        <v>0</v>
      </c>
      <c r="AD254" s="337">
        <f t="shared" si="947"/>
        <v>0</v>
      </c>
      <c r="AE254" s="338">
        <f t="shared" si="948"/>
        <v>0</v>
      </c>
      <c r="AF254" s="336">
        <f t="shared" si="949"/>
        <v>0</v>
      </c>
      <c r="AG254" s="337">
        <f t="shared" si="949"/>
        <v>0</v>
      </c>
      <c r="AH254" s="338">
        <f t="shared" si="950"/>
        <v>0</v>
      </c>
      <c r="AI254" s="336">
        <f t="shared" si="951"/>
        <v>0</v>
      </c>
      <c r="AJ254" s="337">
        <f t="shared" si="951"/>
        <v>0</v>
      </c>
      <c r="AK254" s="338">
        <f t="shared" si="952"/>
        <v>0</v>
      </c>
      <c r="AL254" s="342"/>
      <c r="AM254" s="336">
        <f t="shared" si="953"/>
        <v>0</v>
      </c>
      <c r="AN254" s="339">
        <f t="shared" si="953"/>
        <v>0</v>
      </c>
      <c r="AO254" s="340">
        <f t="shared" si="954"/>
        <v>0</v>
      </c>
      <c r="AP254" s="336">
        <f t="shared" si="955"/>
        <v>0</v>
      </c>
      <c r="AQ254" s="339">
        <f t="shared" si="955"/>
        <v>0</v>
      </c>
      <c r="AR254" s="340">
        <f t="shared" si="940"/>
        <v>0</v>
      </c>
      <c r="AS254" s="341">
        <f t="shared" si="941"/>
        <v>0</v>
      </c>
      <c r="AT254" s="339">
        <f t="shared" si="941"/>
        <v>0</v>
      </c>
      <c r="AU254" s="340">
        <f t="shared" si="942"/>
        <v>0</v>
      </c>
      <c r="AV254" s="1255">
        <f t="shared" si="943"/>
        <v>0</v>
      </c>
      <c r="AW254" s="343"/>
      <c r="AX254" s="344"/>
      <c r="AY254" s="345"/>
      <c r="AZ254" s="344"/>
      <c r="BA254" s="345"/>
      <c r="BB254" s="346"/>
      <c r="BC254" s="347"/>
      <c r="BD254" s="348"/>
      <c r="BE254" s="349"/>
      <c r="BF254" s="348"/>
      <c r="BG254" s="349"/>
      <c r="BH254" s="350"/>
      <c r="BI254" s="351"/>
      <c r="BJ254" s="352"/>
      <c r="BK254" s="337"/>
      <c r="BL254" s="352"/>
      <c r="BM254" s="337"/>
      <c r="BN254" s="353"/>
      <c r="BO254" s="354"/>
      <c r="BP254" s="355"/>
      <c r="BQ254" s="356"/>
      <c r="BR254" s="355"/>
      <c r="BS254" s="356"/>
      <c r="BT254" s="357"/>
    </row>
    <row r="255" spans="1:72" s="313" customFormat="1" ht="38.25" outlineLevel="1">
      <c r="A255" s="287">
        <v>191</v>
      </c>
      <c r="B255" s="933"/>
      <c r="C255" s="840"/>
      <c r="D255" s="841"/>
      <c r="E255" s="839"/>
      <c r="F255" s="821" t="s">
        <v>23</v>
      </c>
      <c r="G255" s="314">
        <v>2</v>
      </c>
      <c r="H255" s="739" t="s">
        <v>71</v>
      </c>
      <c r="I255" s="739">
        <v>244</v>
      </c>
      <c r="J255" s="740">
        <v>221</v>
      </c>
      <c r="K255" s="533" t="s">
        <v>421</v>
      </c>
      <c r="L255" s="1043">
        <v>0</v>
      </c>
      <c r="M255" s="318"/>
      <c r="N255" s="318"/>
      <c r="O255" s="1052">
        <f t="shared" si="944"/>
        <v>0</v>
      </c>
      <c r="P255" s="570"/>
      <c r="Q255" s="336">
        <v>0</v>
      </c>
      <c r="R255" s="559"/>
      <c r="S255" s="541">
        <v>0</v>
      </c>
      <c r="T255" s="559"/>
      <c r="U255" s="335"/>
      <c r="V255" s="320" t="s">
        <v>231</v>
      </c>
      <c r="W255" s="388" t="s">
        <v>369</v>
      </c>
      <c r="X255" s="388" t="s">
        <v>233</v>
      </c>
      <c r="Z255" s="336">
        <f t="shared" si="945"/>
        <v>0</v>
      </c>
      <c r="AA255" s="337">
        <f t="shared" si="945"/>
        <v>0</v>
      </c>
      <c r="AB255" s="338">
        <f t="shared" si="946"/>
        <v>0</v>
      </c>
      <c r="AC255" s="336">
        <f t="shared" si="947"/>
        <v>0</v>
      </c>
      <c r="AD255" s="337">
        <f t="shared" si="947"/>
        <v>0</v>
      </c>
      <c r="AE255" s="338">
        <f t="shared" si="948"/>
        <v>0</v>
      </c>
      <c r="AF255" s="336">
        <f t="shared" si="949"/>
        <v>0</v>
      </c>
      <c r="AG255" s="337">
        <f t="shared" si="949"/>
        <v>0</v>
      </c>
      <c r="AH255" s="338">
        <f t="shared" si="950"/>
        <v>0</v>
      </c>
      <c r="AI255" s="336">
        <f t="shared" si="951"/>
        <v>0</v>
      </c>
      <c r="AJ255" s="337">
        <f t="shared" si="951"/>
        <v>0</v>
      </c>
      <c r="AK255" s="338">
        <f t="shared" si="952"/>
        <v>0</v>
      </c>
      <c r="AL255" s="342"/>
      <c r="AM255" s="336">
        <f t="shared" si="953"/>
        <v>0</v>
      </c>
      <c r="AN255" s="339">
        <f t="shared" si="953"/>
        <v>0</v>
      </c>
      <c r="AO255" s="340">
        <f t="shared" si="954"/>
        <v>0</v>
      </c>
      <c r="AP255" s="336">
        <f t="shared" si="955"/>
        <v>0</v>
      </c>
      <c r="AQ255" s="339">
        <f t="shared" si="955"/>
        <v>0</v>
      </c>
      <c r="AR255" s="340">
        <f t="shared" si="940"/>
        <v>0</v>
      </c>
      <c r="AS255" s="341">
        <f t="shared" si="941"/>
        <v>0</v>
      </c>
      <c r="AT255" s="339">
        <f t="shared" si="941"/>
        <v>0</v>
      </c>
      <c r="AU255" s="340">
        <f t="shared" si="942"/>
        <v>0</v>
      </c>
      <c r="AV255" s="1255">
        <f t="shared" si="943"/>
        <v>0</v>
      </c>
      <c r="AW255" s="343"/>
      <c r="AX255" s="344"/>
      <c r="AY255" s="345"/>
      <c r="AZ255" s="344"/>
      <c r="BA255" s="345"/>
      <c r="BB255" s="346"/>
      <c r="BC255" s="347"/>
      <c r="BD255" s="348"/>
      <c r="BE255" s="349"/>
      <c r="BF255" s="348"/>
      <c r="BG255" s="349"/>
      <c r="BH255" s="350"/>
      <c r="BI255" s="351"/>
      <c r="BJ255" s="352"/>
      <c r="BK255" s="337"/>
      <c r="BL255" s="352"/>
      <c r="BM255" s="337"/>
      <c r="BN255" s="353"/>
      <c r="BO255" s="354"/>
      <c r="BP255" s="355"/>
      <c r="BQ255" s="356"/>
      <c r="BR255" s="355"/>
      <c r="BS255" s="356"/>
      <c r="BT255" s="357"/>
    </row>
    <row r="256" spans="1:72" s="313" customFormat="1" ht="25.5" outlineLevel="1">
      <c r="A256" s="287">
        <v>192</v>
      </c>
      <c r="B256" s="933"/>
      <c r="C256" s="840"/>
      <c r="D256" s="841"/>
      <c r="E256" s="839"/>
      <c r="F256" s="821" t="s">
        <v>23</v>
      </c>
      <c r="G256" s="314">
        <v>2</v>
      </c>
      <c r="H256" s="739" t="s">
        <v>71</v>
      </c>
      <c r="I256" s="739">
        <v>244</v>
      </c>
      <c r="J256" s="740">
        <v>221</v>
      </c>
      <c r="K256" s="533" t="s">
        <v>428</v>
      </c>
      <c r="L256" s="1025">
        <v>14400</v>
      </c>
      <c r="M256" s="318"/>
      <c r="N256" s="318"/>
      <c r="O256" s="1052">
        <f t="shared" si="944"/>
        <v>14400</v>
      </c>
      <c r="P256" s="570"/>
      <c r="Q256" s="336">
        <v>14400</v>
      </c>
      <c r="R256" s="559"/>
      <c r="S256" s="541">
        <v>14400</v>
      </c>
      <c r="T256" s="559"/>
      <c r="U256" s="335"/>
      <c r="V256" s="596" t="s">
        <v>234</v>
      </c>
      <c r="W256" s="597" t="s">
        <v>427</v>
      </c>
      <c r="X256" s="597" t="s">
        <v>381</v>
      </c>
      <c r="Z256" s="336">
        <f t="shared" si="945"/>
        <v>0</v>
      </c>
      <c r="AA256" s="337">
        <f t="shared" si="945"/>
        <v>0</v>
      </c>
      <c r="AB256" s="338">
        <f t="shared" si="946"/>
        <v>0</v>
      </c>
      <c r="AC256" s="336">
        <f t="shared" si="947"/>
        <v>0</v>
      </c>
      <c r="AD256" s="337">
        <f t="shared" si="947"/>
        <v>0</v>
      </c>
      <c r="AE256" s="338">
        <f t="shared" si="948"/>
        <v>0</v>
      </c>
      <c r="AF256" s="336">
        <f t="shared" si="949"/>
        <v>0</v>
      </c>
      <c r="AG256" s="337">
        <f t="shared" si="949"/>
        <v>0</v>
      </c>
      <c r="AH256" s="338">
        <f t="shared" si="950"/>
        <v>0</v>
      </c>
      <c r="AI256" s="336">
        <f t="shared" si="951"/>
        <v>14400</v>
      </c>
      <c r="AJ256" s="337">
        <f t="shared" si="951"/>
        <v>0</v>
      </c>
      <c r="AK256" s="338">
        <f t="shared" si="952"/>
        <v>14400</v>
      </c>
      <c r="AL256" s="342"/>
      <c r="AM256" s="336">
        <f t="shared" si="953"/>
        <v>0</v>
      </c>
      <c r="AN256" s="339">
        <f t="shared" si="953"/>
        <v>0</v>
      </c>
      <c r="AO256" s="340">
        <f t="shared" si="954"/>
        <v>0</v>
      </c>
      <c r="AP256" s="336">
        <f t="shared" si="955"/>
        <v>0</v>
      </c>
      <c r="AQ256" s="339">
        <f t="shared" si="955"/>
        <v>0</v>
      </c>
      <c r="AR256" s="340">
        <f t="shared" si="940"/>
        <v>0</v>
      </c>
      <c r="AS256" s="341">
        <f t="shared" si="941"/>
        <v>14400</v>
      </c>
      <c r="AT256" s="339">
        <f t="shared" si="941"/>
        <v>0</v>
      </c>
      <c r="AU256" s="340">
        <f t="shared" si="942"/>
        <v>14400</v>
      </c>
      <c r="AV256" s="1255">
        <f t="shared" si="943"/>
        <v>0</v>
      </c>
      <c r="AW256" s="343"/>
      <c r="AX256" s="344"/>
      <c r="AY256" s="345"/>
      <c r="AZ256" s="344"/>
      <c r="BA256" s="345"/>
      <c r="BB256" s="346"/>
      <c r="BC256" s="347"/>
      <c r="BD256" s="348"/>
      <c r="BE256" s="349"/>
      <c r="BF256" s="348"/>
      <c r="BG256" s="349"/>
      <c r="BH256" s="350"/>
      <c r="BI256" s="351"/>
      <c r="BJ256" s="352"/>
      <c r="BK256" s="337"/>
      <c r="BL256" s="352"/>
      <c r="BM256" s="337"/>
      <c r="BN256" s="353"/>
      <c r="BO256" s="354"/>
      <c r="BP256" s="355"/>
      <c r="BQ256" s="356">
        <v>4800</v>
      </c>
      <c r="BR256" s="355"/>
      <c r="BS256" s="356">
        <f>4800*2</f>
        <v>9600</v>
      </c>
      <c r="BT256" s="357"/>
    </row>
    <row r="257" spans="1:72" s="358" customFormat="1" ht="116.25" customHeight="1">
      <c r="A257" s="287">
        <v>193</v>
      </c>
      <c r="B257" s="941" t="s">
        <v>1092</v>
      </c>
      <c r="C257" s="850" t="s">
        <v>377</v>
      </c>
      <c r="D257" s="838"/>
      <c r="E257" s="836" t="s">
        <v>201</v>
      </c>
      <c r="F257" s="820" t="s">
        <v>23</v>
      </c>
      <c r="G257" s="360">
        <v>2</v>
      </c>
      <c r="H257" s="360" t="s">
        <v>71</v>
      </c>
      <c r="I257" s="360">
        <v>244</v>
      </c>
      <c r="J257" s="361">
        <v>222</v>
      </c>
      <c r="K257" s="532" t="s">
        <v>12</v>
      </c>
      <c r="L257" s="1023">
        <f>SUM(L258:L259)</f>
        <v>291566.34999999998</v>
      </c>
      <c r="M257" s="1292">
        <f>SUM(M258:M259)</f>
        <v>15000</v>
      </c>
      <c r="N257" s="363"/>
      <c r="O257" s="1051">
        <f>L257+N257</f>
        <v>291566.34999999998</v>
      </c>
      <c r="P257" s="571"/>
      <c r="Q257" s="367">
        <f>SUM(Q258:Q259)</f>
        <v>276566.34999999998</v>
      </c>
      <c r="R257" s="557"/>
      <c r="S257" s="367">
        <f>SUM(S258:S259)</f>
        <v>275685.24</v>
      </c>
      <c r="T257" s="557"/>
      <c r="U257" s="365"/>
      <c r="V257" s="366"/>
      <c r="W257" s="366"/>
      <c r="X257" s="366"/>
      <c r="Z257" s="367">
        <f t="shared" si="945"/>
        <v>63600</v>
      </c>
      <c r="AA257" s="363">
        <f t="shared" si="945"/>
        <v>0</v>
      </c>
      <c r="AB257" s="280">
        <f>Z257-AA257</f>
        <v>63600</v>
      </c>
      <c r="AC257" s="367">
        <f t="shared" si="947"/>
        <v>65400</v>
      </c>
      <c r="AD257" s="363">
        <f t="shared" si="947"/>
        <v>0</v>
      </c>
      <c r="AE257" s="280">
        <f>AC257-AD257</f>
        <v>65400</v>
      </c>
      <c r="AF257" s="367">
        <f t="shared" si="949"/>
        <v>3800</v>
      </c>
      <c r="AG257" s="363">
        <f t="shared" si="949"/>
        <v>0</v>
      </c>
      <c r="AH257" s="280">
        <f>AF257-AG257</f>
        <v>3800</v>
      </c>
      <c r="AI257" s="367">
        <f t="shared" si="951"/>
        <v>158766.35</v>
      </c>
      <c r="AJ257" s="363">
        <f t="shared" si="951"/>
        <v>0</v>
      </c>
      <c r="AK257" s="280">
        <f>AI257-AJ257</f>
        <v>158766.35</v>
      </c>
      <c r="AL257" s="368"/>
      <c r="AM257" s="367">
        <f t="shared" si="953"/>
        <v>129000</v>
      </c>
      <c r="AN257" s="363">
        <f t="shared" si="953"/>
        <v>0</v>
      </c>
      <c r="AO257" s="280">
        <f>AM257-AN257</f>
        <v>129000</v>
      </c>
      <c r="AP257" s="367">
        <f t="shared" si="955"/>
        <v>132800</v>
      </c>
      <c r="AQ257" s="363">
        <f t="shared" si="955"/>
        <v>0</v>
      </c>
      <c r="AR257" s="280">
        <f>AP257-AQ257</f>
        <v>132800</v>
      </c>
      <c r="AS257" s="367">
        <f t="shared" si="941"/>
        <v>291566.34999999998</v>
      </c>
      <c r="AT257" s="363">
        <f t="shared" si="941"/>
        <v>0</v>
      </c>
      <c r="AU257" s="280">
        <f>AS257-AT257</f>
        <v>291566.34999999998</v>
      </c>
      <c r="AV257" s="1253">
        <f>L257-AS257</f>
        <v>0</v>
      </c>
      <c r="AW257" s="367">
        <f t="shared" ref="AW257:BT257" si="959">SUM(AW258:AW259)</f>
        <v>0</v>
      </c>
      <c r="AX257" s="363">
        <f t="shared" si="959"/>
        <v>0</v>
      </c>
      <c r="AY257" s="363">
        <f t="shared" si="959"/>
        <v>1800</v>
      </c>
      <c r="AZ257" s="363">
        <f t="shared" si="959"/>
        <v>0</v>
      </c>
      <c r="BA257" s="363">
        <f t="shared" si="959"/>
        <v>61800</v>
      </c>
      <c r="BB257" s="369">
        <f t="shared" si="959"/>
        <v>0</v>
      </c>
      <c r="BC257" s="367">
        <f t="shared" si="959"/>
        <v>1800</v>
      </c>
      <c r="BD257" s="363">
        <f t="shared" si="959"/>
        <v>0</v>
      </c>
      <c r="BE257" s="363">
        <f t="shared" si="959"/>
        <v>61800</v>
      </c>
      <c r="BF257" s="363">
        <f t="shared" si="959"/>
        <v>0</v>
      </c>
      <c r="BG257" s="363">
        <f t="shared" si="959"/>
        <v>1800</v>
      </c>
      <c r="BH257" s="369">
        <f t="shared" si="959"/>
        <v>0</v>
      </c>
      <c r="BI257" s="367">
        <f t="shared" si="959"/>
        <v>1800</v>
      </c>
      <c r="BJ257" s="363">
        <f t="shared" si="959"/>
        <v>0</v>
      </c>
      <c r="BK257" s="363">
        <f t="shared" si="959"/>
        <v>1000</v>
      </c>
      <c r="BL257" s="363">
        <f t="shared" si="959"/>
        <v>0</v>
      </c>
      <c r="BM257" s="363">
        <f t="shared" si="959"/>
        <v>1000</v>
      </c>
      <c r="BN257" s="369">
        <f t="shared" si="959"/>
        <v>0</v>
      </c>
      <c r="BO257" s="367">
        <f t="shared" si="959"/>
        <v>61800</v>
      </c>
      <c r="BP257" s="363">
        <f t="shared" si="959"/>
        <v>0</v>
      </c>
      <c r="BQ257" s="363">
        <f t="shared" si="959"/>
        <v>1800</v>
      </c>
      <c r="BR257" s="363">
        <f t="shared" si="959"/>
        <v>0</v>
      </c>
      <c r="BS257" s="363">
        <f t="shared" si="959"/>
        <v>95166.35</v>
      </c>
      <c r="BT257" s="280">
        <f t="shared" si="959"/>
        <v>0</v>
      </c>
    </row>
    <row r="258" spans="1:72" s="313" customFormat="1" ht="25.5" outlineLevel="1">
      <c r="A258" s="287">
        <v>194</v>
      </c>
      <c r="B258" s="933"/>
      <c r="C258" s="840"/>
      <c r="D258" s="841"/>
      <c r="E258" s="839"/>
      <c r="F258" s="821" t="s">
        <v>23</v>
      </c>
      <c r="G258" s="314">
        <v>2</v>
      </c>
      <c r="H258" s="739" t="s">
        <v>71</v>
      </c>
      <c r="I258" s="739">
        <v>244</v>
      </c>
      <c r="J258" s="740">
        <v>222</v>
      </c>
      <c r="K258" s="533" t="s">
        <v>374</v>
      </c>
      <c r="L258" s="1025">
        <f>22645.08+M258</f>
        <v>30145.08</v>
      </c>
      <c r="M258" s="619">
        <v>7500</v>
      </c>
      <c r="N258" s="318"/>
      <c r="O258" s="1052">
        <f>L258+N258</f>
        <v>30145.08</v>
      </c>
      <c r="P258" s="570"/>
      <c r="Q258" s="341">
        <v>22645.08</v>
      </c>
      <c r="R258" s="559"/>
      <c r="S258" s="540">
        <v>21763.97</v>
      </c>
      <c r="T258" s="559"/>
      <c r="U258" s="335"/>
      <c r="V258" s="320" t="s">
        <v>240</v>
      </c>
      <c r="W258" s="388" t="s">
        <v>241</v>
      </c>
      <c r="X258" s="388" t="s">
        <v>242</v>
      </c>
      <c r="Z258" s="336">
        <f t="shared" si="945"/>
        <v>3600</v>
      </c>
      <c r="AA258" s="337">
        <f t="shared" si="945"/>
        <v>0</v>
      </c>
      <c r="AB258" s="338">
        <f>Z258-AA258</f>
        <v>3600</v>
      </c>
      <c r="AC258" s="336">
        <f t="shared" si="947"/>
        <v>5400</v>
      </c>
      <c r="AD258" s="337">
        <f t="shared" si="947"/>
        <v>0</v>
      </c>
      <c r="AE258" s="338">
        <f>AC258-AD258</f>
        <v>5400</v>
      </c>
      <c r="AF258" s="336">
        <f t="shared" si="949"/>
        <v>3800</v>
      </c>
      <c r="AG258" s="337">
        <f t="shared" si="949"/>
        <v>0</v>
      </c>
      <c r="AH258" s="338">
        <f>AF258-AG258</f>
        <v>3800</v>
      </c>
      <c r="AI258" s="336">
        <f t="shared" si="951"/>
        <v>17345.080000000002</v>
      </c>
      <c r="AJ258" s="337">
        <f t="shared" si="951"/>
        <v>0</v>
      </c>
      <c r="AK258" s="338">
        <f>AI258-AJ258</f>
        <v>17345.080000000002</v>
      </c>
      <c r="AL258" s="342"/>
      <c r="AM258" s="336">
        <f t="shared" si="953"/>
        <v>9000</v>
      </c>
      <c r="AN258" s="339">
        <f t="shared" si="953"/>
        <v>0</v>
      </c>
      <c r="AO258" s="340">
        <f>AM258-AN258</f>
        <v>9000</v>
      </c>
      <c r="AP258" s="336">
        <f t="shared" si="955"/>
        <v>12800</v>
      </c>
      <c r="AQ258" s="339">
        <f t="shared" si="955"/>
        <v>0</v>
      </c>
      <c r="AR258" s="340">
        <f>AP258-AQ258</f>
        <v>12800</v>
      </c>
      <c r="AS258" s="341">
        <f t="shared" si="941"/>
        <v>30145.08</v>
      </c>
      <c r="AT258" s="339">
        <f t="shared" si="941"/>
        <v>0</v>
      </c>
      <c r="AU258" s="340">
        <f>AS258-AT258</f>
        <v>30145.08</v>
      </c>
      <c r="AV258" s="1255">
        <f>L258-AS258</f>
        <v>0</v>
      </c>
      <c r="AW258" s="343"/>
      <c r="AX258" s="344"/>
      <c r="AY258" s="345">
        <v>1800</v>
      </c>
      <c r="AZ258" s="344"/>
      <c r="BA258" s="345">
        <v>1800</v>
      </c>
      <c r="BB258" s="346"/>
      <c r="BC258" s="347">
        <v>1800</v>
      </c>
      <c r="BD258" s="348"/>
      <c r="BE258" s="349">
        <v>1800</v>
      </c>
      <c r="BF258" s="348"/>
      <c r="BG258" s="349">
        <v>1800</v>
      </c>
      <c r="BH258" s="350"/>
      <c r="BI258" s="351">
        <v>1800</v>
      </c>
      <c r="BJ258" s="352"/>
      <c r="BK258" s="337">
        <v>1000</v>
      </c>
      <c r="BL258" s="352"/>
      <c r="BM258" s="337">
        <v>1000</v>
      </c>
      <c r="BN258" s="353"/>
      <c r="BO258" s="354">
        <v>1800</v>
      </c>
      <c r="BP258" s="355"/>
      <c r="BQ258" s="356">
        <v>1800</v>
      </c>
      <c r="BR258" s="355"/>
      <c r="BS258" s="356">
        <f>1800*2+2645.08+7500</f>
        <v>13745.08</v>
      </c>
      <c r="BT258" s="357"/>
    </row>
    <row r="259" spans="1:72" s="313" customFormat="1" ht="38.25" outlineLevel="1">
      <c r="A259" s="287">
        <v>195</v>
      </c>
      <c r="B259" s="933"/>
      <c r="C259" s="840"/>
      <c r="D259" s="841"/>
      <c r="E259" s="839"/>
      <c r="F259" s="821" t="s">
        <v>23</v>
      </c>
      <c r="G259" s="314">
        <v>2</v>
      </c>
      <c r="H259" s="739" t="s">
        <v>71</v>
      </c>
      <c r="I259" s="739">
        <v>244</v>
      </c>
      <c r="J259" s="740">
        <v>222</v>
      </c>
      <c r="K259" s="533" t="s">
        <v>375</v>
      </c>
      <c r="L259" s="1025">
        <f>253921.27+M259</f>
        <v>261421.27</v>
      </c>
      <c r="M259" s="619">
        <v>7500</v>
      </c>
      <c r="N259" s="318"/>
      <c r="O259" s="1052">
        <f>L259+N259</f>
        <v>261421.27</v>
      </c>
      <c r="P259" s="570"/>
      <c r="Q259" s="341">
        <v>253921.27</v>
      </c>
      <c r="R259" s="559"/>
      <c r="S259" s="540">
        <v>253921.27</v>
      </c>
      <c r="T259" s="559"/>
      <c r="U259" s="335"/>
      <c r="V259" s="811" t="s">
        <v>459</v>
      </c>
      <c r="W259" s="388"/>
      <c r="X259" s="388"/>
      <c r="Z259" s="336">
        <f t="shared" si="945"/>
        <v>60000</v>
      </c>
      <c r="AA259" s="337">
        <f t="shared" si="945"/>
        <v>0</v>
      </c>
      <c r="AB259" s="338">
        <f>Z259-AA259</f>
        <v>60000</v>
      </c>
      <c r="AC259" s="336">
        <f t="shared" si="947"/>
        <v>60000</v>
      </c>
      <c r="AD259" s="337">
        <f t="shared" si="947"/>
        <v>0</v>
      </c>
      <c r="AE259" s="338">
        <f>AC259-AD259</f>
        <v>60000</v>
      </c>
      <c r="AF259" s="336">
        <f t="shared" si="949"/>
        <v>0</v>
      </c>
      <c r="AG259" s="337">
        <f t="shared" si="949"/>
        <v>0</v>
      </c>
      <c r="AH259" s="338">
        <f>AF259-AG259</f>
        <v>0</v>
      </c>
      <c r="AI259" s="336">
        <f t="shared" si="951"/>
        <v>141421.26999999999</v>
      </c>
      <c r="AJ259" s="337">
        <f t="shared" si="951"/>
        <v>0</v>
      </c>
      <c r="AK259" s="338">
        <f>AI259-AJ259</f>
        <v>141421.26999999999</v>
      </c>
      <c r="AL259" s="342"/>
      <c r="AM259" s="336">
        <f t="shared" si="953"/>
        <v>120000</v>
      </c>
      <c r="AN259" s="339">
        <f t="shared" si="953"/>
        <v>0</v>
      </c>
      <c r="AO259" s="340">
        <f>AM259-AN259</f>
        <v>120000</v>
      </c>
      <c r="AP259" s="336">
        <f t="shared" si="955"/>
        <v>120000</v>
      </c>
      <c r="AQ259" s="339">
        <f t="shared" si="955"/>
        <v>0</v>
      </c>
      <c r="AR259" s="340">
        <f>AP259-AQ259</f>
        <v>120000</v>
      </c>
      <c r="AS259" s="341">
        <f t="shared" si="941"/>
        <v>261421.27</v>
      </c>
      <c r="AT259" s="339">
        <f t="shared" si="941"/>
        <v>0</v>
      </c>
      <c r="AU259" s="340">
        <f>AS259-AT259</f>
        <v>261421.27</v>
      </c>
      <c r="AV259" s="1256">
        <f>L259-AS259</f>
        <v>0</v>
      </c>
      <c r="AW259" s="343"/>
      <c r="AX259" s="344"/>
      <c r="AY259" s="345"/>
      <c r="AZ259" s="344"/>
      <c r="BA259" s="345">
        <v>60000</v>
      </c>
      <c r="BB259" s="346"/>
      <c r="BC259" s="347"/>
      <c r="BD259" s="348"/>
      <c r="BE259" s="349">
        <v>60000</v>
      </c>
      <c r="BF259" s="348"/>
      <c r="BG259" s="349"/>
      <c r="BH259" s="350"/>
      <c r="BI259" s="351"/>
      <c r="BJ259" s="352"/>
      <c r="BK259" s="337"/>
      <c r="BL259" s="352"/>
      <c r="BM259" s="337"/>
      <c r="BN259" s="353"/>
      <c r="BO259" s="354">
        <v>60000</v>
      </c>
      <c r="BP259" s="355"/>
      <c r="BQ259" s="356"/>
      <c r="BR259" s="355"/>
      <c r="BS259" s="356">
        <f>73921.27+7500</f>
        <v>81421.27</v>
      </c>
      <c r="BT259" s="357"/>
    </row>
    <row r="260" spans="1:72" s="358" customFormat="1" ht="31.5" customHeight="1">
      <c r="A260" s="287">
        <v>196</v>
      </c>
      <c r="B260" s="933"/>
      <c r="C260" s="850" t="s">
        <v>377</v>
      </c>
      <c r="D260" s="838"/>
      <c r="E260" s="836" t="s">
        <v>201</v>
      </c>
      <c r="F260" s="820" t="s">
        <v>23</v>
      </c>
      <c r="G260" s="360">
        <v>2</v>
      </c>
      <c r="H260" s="360" t="s">
        <v>71</v>
      </c>
      <c r="I260" s="360">
        <v>244</v>
      </c>
      <c r="J260" s="361">
        <v>223</v>
      </c>
      <c r="K260" s="532" t="s">
        <v>13</v>
      </c>
      <c r="L260" s="1023">
        <f>L261+L262</f>
        <v>191189.05</v>
      </c>
      <c r="M260" s="363"/>
      <c r="N260" s="363"/>
      <c r="O260" s="1051">
        <f t="shared" si="944"/>
        <v>191189.05</v>
      </c>
      <c r="P260" s="571"/>
      <c r="Q260" s="367">
        <f>Q261+Q262</f>
        <v>68757.649999999994</v>
      </c>
      <c r="R260" s="557"/>
      <c r="S260" s="367">
        <f>S261+S262</f>
        <v>90086.74</v>
      </c>
      <c r="T260" s="557"/>
      <c r="U260" s="365"/>
      <c r="V260" s="366"/>
      <c r="W260" s="366"/>
      <c r="X260" s="366"/>
      <c r="Z260" s="367">
        <f t="shared" si="945"/>
        <v>0</v>
      </c>
      <c r="AA260" s="363">
        <f t="shared" si="945"/>
        <v>0</v>
      </c>
      <c r="AB260" s="280">
        <f t="shared" si="946"/>
        <v>0</v>
      </c>
      <c r="AC260" s="367">
        <f t="shared" si="947"/>
        <v>0</v>
      </c>
      <c r="AD260" s="363">
        <f t="shared" si="947"/>
        <v>0</v>
      </c>
      <c r="AE260" s="280">
        <f t="shared" si="948"/>
        <v>0</v>
      </c>
      <c r="AF260" s="367">
        <f t="shared" si="949"/>
        <v>0</v>
      </c>
      <c r="AG260" s="363">
        <f t="shared" si="949"/>
        <v>0</v>
      </c>
      <c r="AH260" s="280">
        <f t="shared" si="950"/>
        <v>0</v>
      </c>
      <c r="AI260" s="367">
        <f t="shared" si="951"/>
        <v>191189.05</v>
      </c>
      <c r="AJ260" s="363">
        <f t="shared" si="951"/>
        <v>0</v>
      </c>
      <c r="AK260" s="280">
        <f t="shared" si="952"/>
        <v>191189.05</v>
      </c>
      <c r="AL260" s="368"/>
      <c r="AM260" s="367">
        <f t="shared" si="953"/>
        <v>0</v>
      </c>
      <c r="AN260" s="363">
        <f t="shared" si="953"/>
        <v>0</v>
      </c>
      <c r="AO260" s="280">
        <f t="shared" si="954"/>
        <v>0</v>
      </c>
      <c r="AP260" s="367">
        <f t="shared" si="955"/>
        <v>0</v>
      </c>
      <c r="AQ260" s="363">
        <f t="shared" si="955"/>
        <v>0</v>
      </c>
      <c r="AR260" s="280">
        <f t="shared" si="940"/>
        <v>0</v>
      </c>
      <c r="AS260" s="367">
        <f t="shared" si="941"/>
        <v>191189.05</v>
      </c>
      <c r="AT260" s="363">
        <f t="shared" si="941"/>
        <v>0</v>
      </c>
      <c r="AU260" s="280">
        <f t="shared" si="942"/>
        <v>191189.05</v>
      </c>
      <c r="AV260" s="1253">
        <f t="shared" si="943"/>
        <v>0</v>
      </c>
      <c r="AW260" s="367">
        <f t="shared" ref="AW260:BT260" si="960">SUM(AW261:AW262)</f>
        <v>0</v>
      </c>
      <c r="AX260" s="363">
        <f t="shared" si="960"/>
        <v>0</v>
      </c>
      <c r="AY260" s="363">
        <f t="shared" si="960"/>
        <v>0</v>
      </c>
      <c r="AZ260" s="363">
        <f t="shared" si="960"/>
        <v>0</v>
      </c>
      <c r="BA260" s="363">
        <f t="shared" si="960"/>
        <v>0</v>
      </c>
      <c r="BB260" s="369">
        <f t="shared" si="960"/>
        <v>0</v>
      </c>
      <c r="BC260" s="367">
        <f t="shared" si="960"/>
        <v>0</v>
      </c>
      <c r="BD260" s="363">
        <f t="shared" si="960"/>
        <v>0</v>
      </c>
      <c r="BE260" s="363">
        <f t="shared" si="960"/>
        <v>0</v>
      </c>
      <c r="BF260" s="363">
        <f t="shared" si="960"/>
        <v>0</v>
      </c>
      <c r="BG260" s="363">
        <f t="shared" si="960"/>
        <v>0</v>
      </c>
      <c r="BH260" s="369">
        <f t="shared" si="960"/>
        <v>0</v>
      </c>
      <c r="BI260" s="367">
        <f t="shared" si="960"/>
        <v>0</v>
      </c>
      <c r="BJ260" s="363">
        <f t="shared" si="960"/>
        <v>0</v>
      </c>
      <c r="BK260" s="363">
        <f t="shared" si="960"/>
        <v>0</v>
      </c>
      <c r="BL260" s="363">
        <f t="shared" si="960"/>
        <v>0</v>
      </c>
      <c r="BM260" s="363">
        <f t="shared" si="960"/>
        <v>0</v>
      </c>
      <c r="BN260" s="369">
        <f t="shared" si="960"/>
        <v>0</v>
      </c>
      <c r="BO260" s="367">
        <f t="shared" si="960"/>
        <v>0</v>
      </c>
      <c r="BP260" s="363">
        <f t="shared" si="960"/>
        <v>0</v>
      </c>
      <c r="BQ260" s="363">
        <f t="shared" si="960"/>
        <v>0</v>
      </c>
      <c r="BR260" s="363">
        <f t="shared" si="960"/>
        <v>0</v>
      </c>
      <c r="BS260" s="363">
        <f t="shared" si="960"/>
        <v>191189.05</v>
      </c>
      <c r="BT260" s="280">
        <f t="shared" si="960"/>
        <v>0</v>
      </c>
    </row>
    <row r="261" spans="1:72" s="313" customFormat="1" ht="25.5" outlineLevel="1">
      <c r="A261" s="287">
        <v>197</v>
      </c>
      <c r="B261" s="933"/>
      <c r="C261" s="840"/>
      <c r="D261" s="841"/>
      <c r="E261" s="839"/>
      <c r="F261" s="821" t="s">
        <v>23</v>
      </c>
      <c r="G261" s="314">
        <v>2</v>
      </c>
      <c r="H261" s="739" t="s">
        <v>71</v>
      </c>
      <c r="I261" s="739">
        <v>244</v>
      </c>
      <c r="J261" s="740">
        <v>223</v>
      </c>
      <c r="K261" s="533" t="s">
        <v>354</v>
      </c>
      <c r="L261" s="1025">
        <v>186664.38</v>
      </c>
      <c r="M261" s="318"/>
      <c r="N261" s="318"/>
      <c r="O261" s="1052">
        <f t="shared" si="944"/>
        <v>186664.38</v>
      </c>
      <c r="P261" s="570"/>
      <c r="Q261" s="336">
        <v>64258.51</v>
      </c>
      <c r="R261" s="559"/>
      <c r="S261" s="541">
        <v>85556.64</v>
      </c>
      <c r="T261" s="559"/>
      <c r="U261" s="335"/>
      <c r="V261" s="596" t="s">
        <v>444</v>
      </c>
      <c r="W261" s="597" t="s">
        <v>875</v>
      </c>
      <c r="X261" s="597" t="s">
        <v>381</v>
      </c>
      <c r="Z261" s="336">
        <f t="shared" si="945"/>
        <v>0</v>
      </c>
      <c r="AA261" s="337">
        <f t="shared" si="945"/>
        <v>0</v>
      </c>
      <c r="AB261" s="338">
        <f t="shared" si="946"/>
        <v>0</v>
      </c>
      <c r="AC261" s="336">
        <f t="shared" si="947"/>
        <v>0</v>
      </c>
      <c r="AD261" s="337">
        <f t="shared" si="947"/>
        <v>0</v>
      </c>
      <c r="AE261" s="338">
        <f t="shared" si="948"/>
        <v>0</v>
      </c>
      <c r="AF261" s="336">
        <f t="shared" si="949"/>
        <v>0</v>
      </c>
      <c r="AG261" s="337">
        <f t="shared" si="949"/>
        <v>0</v>
      </c>
      <c r="AH261" s="338">
        <f t="shared" si="950"/>
        <v>0</v>
      </c>
      <c r="AI261" s="336">
        <f t="shared" si="951"/>
        <v>186664.38</v>
      </c>
      <c r="AJ261" s="337">
        <f t="shared" si="951"/>
        <v>0</v>
      </c>
      <c r="AK261" s="338">
        <f t="shared" si="952"/>
        <v>186664.38</v>
      </c>
      <c r="AL261" s="342"/>
      <c r="AM261" s="336">
        <f t="shared" si="953"/>
        <v>0</v>
      </c>
      <c r="AN261" s="339">
        <f t="shared" si="953"/>
        <v>0</v>
      </c>
      <c r="AO261" s="340">
        <f t="shared" si="954"/>
        <v>0</v>
      </c>
      <c r="AP261" s="336">
        <f t="shared" si="955"/>
        <v>0</v>
      </c>
      <c r="AQ261" s="339">
        <f t="shared" si="955"/>
        <v>0</v>
      </c>
      <c r="AR261" s="340">
        <f t="shared" si="940"/>
        <v>0</v>
      </c>
      <c r="AS261" s="341">
        <f t="shared" si="941"/>
        <v>186664.38</v>
      </c>
      <c r="AT261" s="339">
        <f t="shared" si="941"/>
        <v>0</v>
      </c>
      <c r="AU261" s="340">
        <f t="shared" si="942"/>
        <v>186664.38</v>
      </c>
      <c r="AV261" s="1255">
        <f t="shared" si="943"/>
        <v>0</v>
      </c>
      <c r="AW261" s="343"/>
      <c r="AX261" s="344"/>
      <c r="AY261" s="345"/>
      <c r="AZ261" s="344"/>
      <c r="BA261" s="345"/>
      <c r="BB261" s="346"/>
      <c r="BC261" s="347"/>
      <c r="BD261" s="348"/>
      <c r="BE261" s="349"/>
      <c r="BF261" s="348"/>
      <c r="BG261" s="349"/>
      <c r="BH261" s="350"/>
      <c r="BI261" s="351"/>
      <c r="BJ261" s="352"/>
      <c r="BK261" s="337"/>
      <c r="BL261" s="352"/>
      <c r="BM261" s="337"/>
      <c r="BN261" s="353"/>
      <c r="BO261" s="354"/>
      <c r="BP261" s="355"/>
      <c r="BQ261" s="356"/>
      <c r="BR261" s="355"/>
      <c r="BS261" s="356">
        <v>186664.38</v>
      </c>
      <c r="BT261" s="357"/>
    </row>
    <row r="262" spans="1:72" s="313" customFormat="1" ht="25.5" outlineLevel="1">
      <c r="A262" s="287">
        <v>198</v>
      </c>
      <c r="B262" s="933"/>
      <c r="C262" s="840"/>
      <c r="D262" s="841"/>
      <c r="E262" s="839"/>
      <c r="F262" s="821" t="s">
        <v>23</v>
      </c>
      <c r="G262" s="314">
        <v>2</v>
      </c>
      <c r="H262" s="739" t="s">
        <v>71</v>
      </c>
      <c r="I262" s="739">
        <v>244</v>
      </c>
      <c r="J262" s="740">
        <v>223</v>
      </c>
      <c r="K262" s="533" t="s">
        <v>252</v>
      </c>
      <c r="L262" s="1025">
        <v>4524.67</v>
      </c>
      <c r="M262" s="318"/>
      <c r="N262" s="318"/>
      <c r="O262" s="1052">
        <f t="shared" si="944"/>
        <v>4524.67</v>
      </c>
      <c r="P262" s="570"/>
      <c r="Q262" s="336">
        <v>4499.1400000000003</v>
      </c>
      <c r="R262" s="559"/>
      <c r="S262" s="541">
        <v>4530.1000000000004</v>
      </c>
      <c r="T262" s="559"/>
      <c r="U262" s="335"/>
      <c r="V262" s="596" t="s">
        <v>444</v>
      </c>
      <c r="W262" s="597" t="s">
        <v>875</v>
      </c>
      <c r="X262" s="597" t="s">
        <v>381</v>
      </c>
      <c r="Z262" s="336">
        <f t="shared" si="945"/>
        <v>0</v>
      </c>
      <c r="AA262" s="337">
        <f t="shared" si="945"/>
        <v>0</v>
      </c>
      <c r="AB262" s="338">
        <f t="shared" si="946"/>
        <v>0</v>
      </c>
      <c r="AC262" s="336">
        <f t="shared" si="947"/>
        <v>0</v>
      </c>
      <c r="AD262" s="337">
        <f t="shared" si="947"/>
        <v>0</v>
      </c>
      <c r="AE262" s="338">
        <f t="shared" si="948"/>
        <v>0</v>
      </c>
      <c r="AF262" s="336">
        <f t="shared" si="949"/>
        <v>0</v>
      </c>
      <c r="AG262" s="337">
        <f t="shared" si="949"/>
        <v>0</v>
      </c>
      <c r="AH262" s="338">
        <f t="shared" si="950"/>
        <v>0</v>
      </c>
      <c r="AI262" s="336">
        <f t="shared" si="951"/>
        <v>4524.67</v>
      </c>
      <c r="AJ262" s="337">
        <f t="shared" si="951"/>
        <v>0</v>
      </c>
      <c r="AK262" s="338">
        <f t="shared" si="952"/>
        <v>4524.67</v>
      </c>
      <c r="AL262" s="342"/>
      <c r="AM262" s="336">
        <f t="shared" si="953"/>
        <v>0</v>
      </c>
      <c r="AN262" s="339">
        <f t="shared" si="953"/>
        <v>0</v>
      </c>
      <c r="AO262" s="340">
        <f t="shared" si="954"/>
        <v>0</v>
      </c>
      <c r="AP262" s="336">
        <f t="shared" si="955"/>
        <v>0</v>
      </c>
      <c r="AQ262" s="339">
        <f t="shared" si="955"/>
        <v>0</v>
      </c>
      <c r="AR262" s="340">
        <f t="shared" si="940"/>
        <v>0</v>
      </c>
      <c r="AS262" s="341">
        <f t="shared" si="941"/>
        <v>4524.67</v>
      </c>
      <c r="AT262" s="339">
        <f t="shared" si="941"/>
        <v>0</v>
      </c>
      <c r="AU262" s="340">
        <f t="shared" si="942"/>
        <v>4524.67</v>
      </c>
      <c r="AV262" s="1255">
        <f t="shared" si="943"/>
        <v>0</v>
      </c>
      <c r="AW262" s="343"/>
      <c r="AX262" s="344"/>
      <c r="AY262" s="345"/>
      <c r="AZ262" s="344"/>
      <c r="BA262" s="345"/>
      <c r="BB262" s="346"/>
      <c r="BC262" s="347"/>
      <c r="BD262" s="348"/>
      <c r="BE262" s="349"/>
      <c r="BF262" s="348"/>
      <c r="BG262" s="349"/>
      <c r="BH262" s="350"/>
      <c r="BI262" s="351"/>
      <c r="BJ262" s="352"/>
      <c r="BK262" s="337"/>
      <c r="BL262" s="352"/>
      <c r="BM262" s="337"/>
      <c r="BN262" s="353"/>
      <c r="BO262" s="354"/>
      <c r="BP262" s="355"/>
      <c r="BQ262" s="356"/>
      <c r="BR262" s="355"/>
      <c r="BS262" s="356">
        <v>4524.67</v>
      </c>
      <c r="BT262" s="357"/>
    </row>
    <row r="263" spans="1:72" s="358" customFormat="1" ht="31.5" customHeight="1">
      <c r="A263" s="287">
        <v>199</v>
      </c>
      <c r="B263" s="933"/>
      <c r="C263" s="850" t="s">
        <v>377</v>
      </c>
      <c r="D263" s="838"/>
      <c r="E263" s="836" t="s">
        <v>201</v>
      </c>
      <c r="F263" s="820" t="s">
        <v>23</v>
      </c>
      <c r="G263" s="360">
        <v>2</v>
      </c>
      <c r="H263" s="360" t="s">
        <v>71</v>
      </c>
      <c r="I263" s="360">
        <v>244</v>
      </c>
      <c r="J263" s="361">
        <v>224</v>
      </c>
      <c r="K263" s="532" t="s">
        <v>151</v>
      </c>
      <c r="L263" s="1023">
        <f>L264</f>
        <v>0</v>
      </c>
      <c r="M263" s="363"/>
      <c r="N263" s="363"/>
      <c r="O263" s="1051">
        <f t="shared" si="944"/>
        <v>0</v>
      </c>
      <c r="P263" s="571"/>
      <c r="Q263" s="367">
        <f>Q264</f>
        <v>0</v>
      </c>
      <c r="R263" s="557"/>
      <c r="S263" s="367">
        <f>S264</f>
        <v>0</v>
      </c>
      <c r="T263" s="557"/>
      <c r="U263" s="365"/>
      <c r="V263" s="366"/>
      <c r="W263" s="366"/>
      <c r="X263" s="366"/>
      <c r="Z263" s="367">
        <f t="shared" si="945"/>
        <v>0</v>
      </c>
      <c r="AA263" s="363">
        <f t="shared" si="945"/>
        <v>0</v>
      </c>
      <c r="AB263" s="280">
        <f t="shared" si="946"/>
        <v>0</v>
      </c>
      <c r="AC263" s="367">
        <f t="shared" si="947"/>
        <v>0</v>
      </c>
      <c r="AD263" s="363">
        <f t="shared" si="947"/>
        <v>0</v>
      </c>
      <c r="AE263" s="280">
        <f t="shared" si="948"/>
        <v>0</v>
      </c>
      <c r="AF263" s="367">
        <f t="shared" si="949"/>
        <v>0</v>
      </c>
      <c r="AG263" s="363">
        <f t="shared" si="949"/>
        <v>0</v>
      </c>
      <c r="AH263" s="280">
        <f t="shared" si="950"/>
        <v>0</v>
      </c>
      <c r="AI263" s="367">
        <f t="shared" si="951"/>
        <v>0</v>
      </c>
      <c r="AJ263" s="363">
        <f t="shared" si="951"/>
        <v>0</v>
      </c>
      <c r="AK263" s="280">
        <f t="shared" si="952"/>
        <v>0</v>
      </c>
      <c r="AL263" s="368"/>
      <c r="AM263" s="367">
        <f t="shared" si="953"/>
        <v>0</v>
      </c>
      <c r="AN263" s="363">
        <f t="shared" si="953"/>
        <v>0</v>
      </c>
      <c r="AO263" s="280">
        <f t="shared" si="954"/>
        <v>0</v>
      </c>
      <c r="AP263" s="367">
        <f t="shared" si="955"/>
        <v>0</v>
      </c>
      <c r="AQ263" s="363">
        <f t="shared" si="955"/>
        <v>0</v>
      </c>
      <c r="AR263" s="280">
        <f t="shared" si="940"/>
        <v>0</v>
      </c>
      <c r="AS263" s="367">
        <f t="shared" si="941"/>
        <v>0</v>
      </c>
      <c r="AT263" s="363">
        <f t="shared" si="941"/>
        <v>0</v>
      </c>
      <c r="AU263" s="280">
        <f t="shared" si="942"/>
        <v>0</v>
      </c>
      <c r="AV263" s="1253">
        <f t="shared" si="943"/>
        <v>0</v>
      </c>
      <c r="AW263" s="367">
        <f t="shared" ref="AW263:BT263" si="961">AW264</f>
        <v>0</v>
      </c>
      <c r="AX263" s="363">
        <f t="shared" si="961"/>
        <v>0</v>
      </c>
      <c r="AY263" s="363">
        <f t="shared" si="961"/>
        <v>0</v>
      </c>
      <c r="AZ263" s="363">
        <f t="shared" si="961"/>
        <v>0</v>
      </c>
      <c r="BA263" s="363">
        <f t="shared" si="961"/>
        <v>0</v>
      </c>
      <c r="BB263" s="369">
        <f t="shared" si="961"/>
        <v>0</v>
      </c>
      <c r="BC263" s="367">
        <f t="shared" si="961"/>
        <v>0</v>
      </c>
      <c r="BD263" s="363">
        <f t="shared" si="961"/>
        <v>0</v>
      </c>
      <c r="BE263" s="363">
        <f t="shared" si="961"/>
        <v>0</v>
      </c>
      <c r="BF263" s="363">
        <f t="shared" si="961"/>
        <v>0</v>
      </c>
      <c r="BG263" s="363">
        <f t="shared" si="961"/>
        <v>0</v>
      </c>
      <c r="BH263" s="369">
        <f t="shared" si="961"/>
        <v>0</v>
      </c>
      <c r="BI263" s="367">
        <f t="shared" si="961"/>
        <v>0</v>
      </c>
      <c r="BJ263" s="363">
        <f t="shared" si="961"/>
        <v>0</v>
      </c>
      <c r="BK263" s="363">
        <f t="shared" si="961"/>
        <v>0</v>
      </c>
      <c r="BL263" s="363">
        <f t="shared" si="961"/>
        <v>0</v>
      </c>
      <c r="BM263" s="363">
        <f t="shared" si="961"/>
        <v>0</v>
      </c>
      <c r="BN263" s="369">
        <f t="shared" si="961"/>
        <v>0</v>
      </c>
      <c r="BO263" s="367">
        <f t="shared" si="961"/>
        <v>0</v>
      </c>
      <c r="BP263" s="363">
        <f t="shared" si="961"/>
        <v>0</v>
      </c>
      <c r="BQ263" s="363">
        <f t="shared" si="961"/>
        <v>0</v>
      </c>
      <c r="BR263" s="363">
        <f t="shared" si="961"/>
        <v>0</v>
      </c>
      <c r="BS263" s="363">
        <f t="shared" si="961"/>
        <v>0</v>
      </c>
      <c r="BT263" s="280">
        <f t="shared" si="961"/>
        <v>0</v>
      </c>
    </row>
    <row r="264" spans="1:72" s="313" customFormat="1" ht="38.25" outlineLevel="1">
      <c r="A264" s="287">
        <v>200</v>
      </c>
      <c r="B264" s="933"/>
      <c r="C264" s="840"/>
      <c r="D264" s="841"/>
      <c r="E264" s="839"/>
      <c r="F264" s="821" t="s">
        <v>23</v>
      </c>
      <c r="G264" s="314">
        <v>2</v>
      </c>
      <c r="H264" s="739" t="s">
        <v>71</v>
      </c>
      <c r="I264" s="739">
        <v>244</v>
      </c>
      <c r="J264" s="740">
        <v>224</v>
      </c>
      <c r="K264" s="533" t="s">
        <v>264</v>
      </c>
      <c r="L264" s="1044">
        <v>0</v>
      </c>
      <c r="M264" s="318"/>
      <c r="N264" s="318"/>
      <c r="O264" s="1052">
        <f t="shared" si="944"/>
        <v>0</v>
      </c>
      <c r="P264" s="570"/>
      <c r="Q264" s="336">
        <v>0</v>
      </c>
      <c r="R264" s="559"/>
      <c r="S264" s="541">
        <v>0</v>
      </c>
      <c r="T264" s="559"/>
      <c r="U264" s="335"/>
      <c r="V264" s="320" t="s">
        <v>265</v>
      </c>
      <c r="W264" s="320"/>
      <c r="X264" s="320"/>
      <c r="Z264" s="336">
        <f t="shared" si="945"/>
        <v>0</v>
      </c>
      <c r="AA264" s="337">
        <f t="shared" si="945"/>
        <v>0</v>
      </c>
      <c r="AB264" s="338">
        <f t="shared" si="946"/>
        <v>0</v>
      </c>
      <c r="AC264" s="336">
        <f t="shared" si="947"/>
        <v>0</v>
      </c>
      <c r="AD264" s="337">
        <f t="shared" si="947"/>
        <v>0</v>
      </c>
      <c r="AE264" s="338">
        <f t="shared" si="948"/>
        <v>0</v>
      </c>
      <c r="AF264" s="336">
        <f t="shared" si="949"/>
        <v>0</v>
      </c>
      <c r="AG264" s="337">
        <f t="shared" si="949"/>
        <v>0</v>
      </c>
      <c r="AH264" s="338">
        <f t="shared" si="950"/>
        <v>0</v>
      </c>
      <c r="AI264" s="336">
        <f t="shared" si="951"/>
        <v>0</v>
      </c>
      <c r="AJ264" s="337">
        <f t="shared" si="951"/>
        <v>0</v>
      </c>
      <c r="AK264" s="338">
        <f t="shared" si="952"/>
        <v>0</v>
      </c>
      <c r="AL264" s="342"/>
      <c r="AM264" s="336">
        <f t="shared" si="953"/>
        <v>0</v>
      </c>
      <c r="AN264" s="339">
        <f t="shared" si="953"/>
        <v>0</v>
      </c>
      <c r="AO264" s="340">
        <f t="shared" si="954"/>
        <v>0</v>
      </c>
      <c r="AP264" s="336">
        <f t="shared" si="955"/>
        <v>0</v>
      </c>
      <c r="AQ264" s="339">
        <f t="shared" si="955"/>
        <v>0</v>
      </c>
      <c r="AR264" s="340">
        <f t="shared" si="940"/>
        <v>0</v>
      </c>
      <c r="AS264" s="341">
        <f t="shared" si="941"/>
        <v>0</v>
      </c>
      <c r="AT264" s="339">
        <f t="shared" si="941"/>
        <v>0</v>
      </c>
      <c r="AU264" s="340">
        <f t="shared" si="942"/>
        <v>0</v>
      </c>
      <c r="AV264" s="1255">
        <f t="shared" si="943"/>
        <v>0</v>
      </c>
      <c r="AW264" s="343"/>
      <c r="AX264" s="344"/>
      <c r="AY264" s="345"/>
      <c r="AZ264" s="344"/>
      <c r="BA264" s="345"/>
      <c r="BB264" s="346"/>
      <c r="BC264" s="347"/>
      <c r="BD264" s="348"/>
      <c r="BE264" s="349"/>
      <c r="BF264" s="348"/>
      <c r="BG264" s="349"/>
      <c r="BH264" s="350"/>
      <c r="BI264" s="351"/>
      <c r="BJ264" s="352"/>
      <c r="BK264" s="337"/>
      <c r="BL264" s="352"/>
      <c r="BM264" s="337"/>
      <c r="BN264" s="353"/>
      <c r="BO264" s="354"/>
      <c r="BP264" s="355"/>
      <c r="BQ264" s="356"/>
      <c r="BR264" s="355"/>
      <c r="BS264" s="356"/>
      <c r="BT264" s="357"/>
    </row>
    <row r="265" spans="1:72" s="358" customFormat="1" ht="31.5" customHeight="1">
      <c r="A265" s="287">
        <v>201</v>
      </c>
      <c r="B265" s="941"/>
      <c r="C265" s="850" t="s">
        <v>377</v>
      </c>
      <c r="D265" s="853" t="s">
        <v>207</v>
      </c>
      <c r="E265" s="836" t="s">
        <v>201</v>
      </c>
      <c r="F265" s="820" t="s">
        <v>23</v>
      </c>
      <c r="G265" s="360">
        <v>2</v>
      </c>
      <c r="H265" s="360" t="s">
        <v>71</v>
      </c>
      <c r="I265" s="360">
        <v>244</v>
      </c>
      <c r="J265" s="361">
        <v>225</v>
      </c>
      <c r="K265" s="532" t="s">
        <v>149</v>
      </c>
      <c r="L265" s="1023">
        <f>SUM(L266:L270)</f>
        <v>109000</v>
      </c>
      <c r="M265" s="1292">
        <f>SUM(M266:M270)</f>
        <v>5000</v>
      </c>
      <c r="N265" s="363">
        <f>SUM(N266:N270)</f>
        <v>0</v>
      </c>
      <c r="O265" s="1051">
        <f t="shared" si="944"/>
        <v>109000</v>
      </c>
      <c r="P265" s="571"/>
      <c r="Q265" s="367">
        <f>SUM(Q266:Q270)</f>
        <v>0</v>
      </c>
      <c r="R265" s="557">
        <f>SUM(R266:R270)</f>
        <v>0</v>
      </c>
      <c r="S265" s="367">
        <f>SUM(S266:S270)</f>
        <v>0</v>
      </c>
      <c r="T265" s="557"/>
      <c r="U265" s="365"/>
      <c r="V265" s="366"/>
      <c r="W265" s="366"/>
      <c r="X265" s="366">
        <f>1-X57</f>
        <v>0.17</v>
      </c>
      <c r="Z265" s="367">
        <f t="shared" ref="Z265:AA286" si="962">AW265+AY265+BA265</f>
        <v>14500</v>
      </c>
      <c r="AA265" s="363">
        <f t="shared" si="962"/>
        <v>700</v>
      </c>
      <c r="AB265" s="280">
        <f t="shared" si="946"/>
        <v>13800</v>
      </c>
      <c r="AC265" s="367">
        <f t="shared" ref="AC265:AD286" si="963">BC265+BE265+BG265</f>
        <v>14650</v>
      </c>
      <c r="AD265" s="363">
        <f t="shared" si="963"/>
        <v>0</v>
      </c>
      <c r="AE265" s="280">
        <f t="shared" si="948"/>
        <v>14650</v>
      </c>
      <c r="AF265" s="367">
        <f t="shared" ref="AF265:AG286" si="964">BI265+BK265+BM265</f>
        <v>29390</v>
      </c>
      <c r="AG265" s="363">
        <f t="shared" si="964"/>
        <v>14200</v>
      </c>
      <c r="AH265" s="280">
        <f t="shared" si="950"/>
        <v>15190</v>
      </c>
      <c r="AI265" s="367">
        <f t="shared" ref="AI265:AJ286" si="965">BO265+BQ265+BS265</f>
        <v>50800</v>
      </c>
      <c r="AJ265" s="363">
        <f t="shared" si="965"/>
        <v>7200</v>
      </c>
      <c r="AK265" s="280">
        <f t="shared" si="952"/>
        <v>43600</v>
      </c>
      <c r="AL265" s="368"/>
      <c r="AM265" s="367">
        <f t="shared" ref="AM265:AN286" si="966">Z265+AC265</f>
        <v>29150</v>
      </c>
      <c r="AN265" s="363">
        <f t="shared" si="966"/>
        <v>700</v>
      </c>
      <c r="AO265" s="280">
        <f t="shared" si="954"/>
        <v>28450</v>
      </c>
      <c r="AP265" s="367">
        <f t="shared" ref="AP265:AQ286" si="967">Z265+AC265+AF265</f>
        <v>58540</v>
      </c>
      <c r="AQ265" s="363">
        <f t="shared" si="967"/>
        <v>14900</v>
      </c>
      <c r="AR265" s="280">
        <f t="shared" si="940"/>
        <v>43640</v>
      </c>
      <c r="AS265" s="367">
        <f t="shared" ref="AS265:AT286" si="968">Z265+AC265+AF265+AI265</f>
        <v>109340</v>
      </c>
      <c r="AT265" s="363">
        <f t="shared" si="968"/>
        <v>22100</v>
      </c>
      <c r="AU265" s="280">
        <f t="shared" si="942"/>
        <v>87240</v>
      </c>
      <c r="AV265" s="1253">
        <f t="shared" si="943"/>
        <v>-340</v>
      </c>
      <c r="AW265" s="367">
        <f t="shared" ref="AW265:BS265" si="969">SUM(AW266:AW270)</f>
        <v>0</v>
      </c>
      <c r="AX265" s="363">
        <f t="shared" si="969"/>
        <v>0</v>
      </c>
      <c r="AY265" s="363">
        <f t="shared" si="969"/>
        <v>10000</v>
      </c>
      <c r="AZ265" s="363">
        <f t="shared" si="969"/>
        <v>700</v>
      </c>
      <c r="BA265" s="363">
        <f t="shared" si="969"/>
        <v>4500</v>
      </c>
      <c r="BB265" s="369">
        <f t="shared" si="969"/>
        <v>0</v>
      </c>
      <c r="BC265" s="367">
        <f t="shared" si="969"/>
        <v>11350</v>
      </c>
      <c r="BD265" s="363">
        <f t="shared" si="969"/>
        <v>0</v>
      </c>
      <c r="BE265" s="363">
        <f t="shared" si="969"/>
        <v>2300</v>
      </c>
      <c r="BF265" s="363">
        <f t="shared" si="969"/>
        <v>0</v>
      </c>
      <c r="BG265" s="363">
        <f t="shared" si="969"/>
        <v>1000</v>
      </c>
      <c r="BH265" s="369">
        <f t="shared" si="969"/>
        <v>0</v>
      </c>
      <c r="BI265" s="367">
        <f t="shared" si="969"/>
        <v>4840</v>
      </c>
      <c r="BJ265" s="363">
        <f t="shared" si="969"/>
        <v>0</v>
      </c>
      <c r="BK265" s="363">
        <f t="shared" si="969"/>
        <v>17200</v>
      </c>
      <c r="BL265" s="363">
        <f t="shared" si="969"/>
        <v>7200</v>
      </c>
      <c r="BM265" s="363">
        <f t="shared" si="969"/>
        <v>7350</v>
      </c>
      <c r="BN265" s="369">
        <f t="shared" si="969"/>
        <v>7000</v>
      </c>
      <c r="BO265" s="367">
        <f t="shared" si="969"/>
        <v>7200</v>
      </c>
      <c r="BP265" s="363">
        <f t="shared" si="969"/>
        <v>7200</v>
      </c>
      <c r="BQ265" s="363">
        <f t="shared" si="969"/>
        <v>15000</v>
      </c>
      <c r="BR265" s="363">
        <f t="shared" si="969"/>
        <v>0</v>
      </c>
      <c r="BS265" s="363">
        <f t="shared" si="969"/>
        <v>28600</v>
      </c>
      <c r="BT265" s="280">
        <f>SUM(BT266:BT272)</f>
        <v>0</v>
      </c>
    </row>
    <row r="266" spans="1:72" s="313" customFormat="1" ht="89.25" outlineLevel="1">
      <c r="A266" s="287">
        <v>202</v>
      </c>
      <c r="B266" s="941" t="s">
        <v>1092</v>
      </c>
      <c r="C266" s="840"/>
      <c r="D266" s="853" t="s">
        <v>207</v>
      </c>
      <c r="E266" s="839"/>
      <c r="F266" s="821" t="s">
        <v>23</v>
      </c>
      <c r="G266" s="314">
        <v>2</v>
      </c>
      <c r="H266" s="739" t="s">
        <v>71</v>
      </c>
      <c r="I266" s="739">
        <v>244</v>
      </c>
      <c r="J266" s="740">
        <v>225</v>
      </c>
      <c r="K266" s="317" t="s">
        <v>263</v>
      </c>
      <c r="L266" s="1044">
        <f>50000+M266</f>
        <v>55000</v>
      </c>
      <c r="M266" s="619">
        <v>5000</v>
      </c>
      <c r="N266" s="1006"/>
      <c r="O266" s="1052">
        <f t="shared" si="944"/>
        <v>55000</v>
      </c>
      <c r="P266" s="570"/>
      <c r="Q266" s="336">
        <v>0</v>
      </c>
      <c r="R266" s="559"/>
      <c r="S266" s="541">
        <v>0</v>
      </c>
      <c r="T266" s="559"/>
      <c r="U266" s="335"/>
      <c r="V266" s="596" t="s">
        <v>599</v>
      </c>
      <c r="W266" s="596" t="s">
        <v>856</v>
      </c>
      <c r="X266" s="596" t="s">
        <v>857</v>
      </c>
      <c r="Z266" s="336">
        <f t="shared" si="962"/>
        <v>0</v>
      </c>
      <c r="AA266" s="337">
        <f t="shared" si="962"/>
        <v>0</v>
      </c>
      <c r="AB266" s="338">
        <f>Z266-AA266</f>
        <v>0</v>
      </c>
      <c r="AC266" s="336">
        <f t="shared" si="963"/>
        <v>0</v>
      </c>
      <c r="AD266" s="337">
        <f t="shared" si="963"/>
        <v>0</v>
      </c>
      <c r="AE266" s="338">
        <f>AC266-AD266</f>
        <v>0</v>
      </c>
      <c r="AF266" s="336">
        <f t="shared" si="964"/>
        <v>14200</v>
      </c>
      <c r="AG266" s="337">
        <f t="shared" si="964"/>
        <v>14200</v>
      </c>
      <c r="AH266" s="338">
        <f>AF266-AG266</f>
        <v>0</v>
      </c>
      <c r="AI266" s="336">
        <f t="shared" si="965"/>
        <v>40800</v>
      </c>
      <c r="AJ266" s="337">
        <f t="shared" si="965"/>
        <v>7200</v>
      </c>
      <c r="AK266" s="338">
        <f>AI266-AJ266</f>
        <v>33600</v>
      </c>
      <c r="AL266" s="342"/>
      <c r="AM266" s="336">
        <f t="shared" si="966"/>
        <v>0</v>
      </c>
      <c r="AN266" s="339">
        <f t="shared" si="966"/>
        <v>0</v>
      </c>
      <c r="AO266" s="340">
        <f>AM266-AN266</f>
        <v>0</v>
      </c>
      <c r="AP266" s="336">
        <f t="shared" si="967"/>
        <v>14200</v>
      </c>
      <c r="AQ266" s="339">
        <f t="shared" si="967"/>
        <v>14200</v>
      </c>
      <c r="AR266" s="340">
        <f>AP266-AQ266</f>
        <v>0</v>
      </c>
      <c r="AS266" s="341">
        <f t="shared" si="968"/>
        <v>55000</v>
      </c>
      <c r="AT266" s="339">
        <f t="shared" si="968"/>
        <v>21400</v>
      </c>
      <c r="AU266" s="340">
        <f>AS266-AT266</f>
        <v>33600</v>
      </c>
      <c r="AV266" s="1258">
        <f t="shared" si="943"/>
        <v>0</v>
      </c>
      <c r="AW266" s="343"/>
      <c r="AX266" s="344"/>
      <c r="AY266" s="345"/>
      <c r="AZ266" s="344"/>
      <c r="BA266" s="345"/>
      <c r="BB266" s="346"/>
      <c r="BC266" s="347"/>
      <c r="BD266" s="348"/>
      <c r="BE266" s="349"/>
      <c r="BF266" s="348"/>
      <c r="BG266" s="349"/>
      <c r="BH266" s="350"/>
      <c r="BI266" s="351"/>
      <c r="BJ266" s="352"/>
      <c r="BK266" s="1230">
        <v>7200</v>
      </c>
      <c r="BL266" s="1225">
        <v>7200</v>
      </c>
      <c r="BM266" s="1230">
        <v>7000</v>
      </c>
      <c r="BN266" s="1293">
        <v>7000</v>
      </c>
      <c r="BO266" s="1138">
        <v>7200</v>
      </c>
      <c r="BP266" s="355">
        <v>7200</v>
      </c>
      <c r="BQ266" s="356">
        <v>5000</v>
      </c>
      <c r="BR266" s="355"/>
      <c r="BS266" s="356">
        <v>28600</v>
      </c>
      <c r="BT266" s="357"/>
    </row>
    <row r="267" spans="1:72" s="313" customFormat="1" ht="51">
      <c r="A267" s="287">
        <v>203</v>
      </c>
      <c r="B267" s="1145"/>
      <c r="C267" s="840"/>
      <c r="D267" s="853" t="s">
        <v>207</v>
      </c>
      <c r="E267" s="839"/>
      <c r="F267" s="821" t="s">
        <v>23</v>
      </c>
      <c r="G267" s="314">
        <v>2</v>
      </c>
      <c r="H267" s="739" t="s">
        <v>71</v>
      </c>
      <c r="I267" s="739">
        <v>244</v>
      </c>
      <c r="J267" s="740">
        <v>225</v>
      </c>
      <c r="K267" s="533" t="s">
        <v>700</v>
      </c>
      <c r="L267" s="1044">
        <v>4200</v>
      </c>
      <c r="M267" s="318"/>
      <c r="N267" s="1006"/>
      <c r="O267" s="1052">
        <f t="shared" si="944"/>
        <v>4200</v>
      </c>
      <c r="P267" s="329"/>
      <c r="Q267" s="319">
        <v>0</v>
      </c>
      <c r="R267" s="329"/>
      <c r="S267" s="319">
        <v>0</v>
      </c>
      <c r="T267" s="329"/>
      <c r="U267" s="335"/>
      <c r="V267" s="596" t="s">
        <v>254</v>
      </c>
      <c r="W267" s="596" t="s">
        <v>701</v>
      </c>
      <c r="X267" s="596" t="s">
        <v>702</v>
      </c>
      <c r="Z267" s="336">
        <f t="shared" si="962"/>
        <v>0</v>
      </c>
      <c r="AA267" s="337">
        <f t="shared" si="962"/>
        <v>0</v>
      </c>
      <c r="AB267" s="338">
        <f>Z267-AA267</f>
        <v>0</v>
      </c>
      <c r="AC267" s="336">
        <f t="shared" si="963"/>
        <v>4200</v>
      </c>
      <c r="AD267" s="337">
        <f t="shared" si="963"/>
        <v>0</v>
      </c>
      <c r="AE267" s="338">
        <f>AC267-AD267</f>
        <v>4200</v>
      </c>
      <c r="AF267" s="336">
        <f t="shared" si="964"/>
        <v>0</v>
      </c>
      <c r="AG267" s="337">
        <f t="shared" si="964"/>
        <v>0</v>
      </c>
      <c r="AH267" s="338">
        <f>AF267-AG267</f>
        <v>0</v>
      </c>
      <c r="AI267" s="336">
        <f t="shared" si="965"/>
        <v>0</v>
      </c>
      <c r="AJ267" s="337">
        <f t="shared" si="965"/>
        <v>0</v>
      </c>
      <c r="AK267" s="338">
        <f>AI267-AJ267</f>
        <v>0</v>
      </c>
      <c r="AL267" s="342"/>
      <c r="AM267" s="336">
        <f t="shared" si="966"/>
        <v>4200</v>
      </c>
      <c r="AN267" s="339">
        <f t="shared" si="966"/>
        <v>0</v>
      </c>
      <c r="AO267" s="340">
        <f>AM267-AN267</f>
        <v>4200</v>
      </c>
      <c r="AP267" s="336">
        <f t="shared" si="967"/>
        <v>4200</v>
      </c>
      <c r="AQ267" s="339">
        <f t="shared" si="967"/>
        <v>0</v>
      </c>
      <c r="AR267" s="340">
        <f>AP267-AQ267</f>
        <v>4200</v>
      </c>
      <c r="AS267" s="341">
        <f t="shared" si="968"/>
        <v>4200</v>
      </c>
      <c r="AT267" s="339">
        <f t="shared" si="968"/>
        <v>0</v>
      </c>
      <c r="AU267" s="340">
        <f>AS267-AT267</f>
        <v>4200</v>
      </c>
      <c r="AV267" s="1255"/>
      <c r="AW267" s="343"/>
      <c r="AX267" s="344"/>
      <c r="AY267" s="345"/>
      <c r="AZ267" s="344"/>
      <c r="BA267" s="345"/>
      <c r="BB267" s="346"/>
      <c r="BC267" s="347">
        <v>4200</v>
      </c>
      <c r="BD267" s="348"/>
      <c r="BE267" s="349"/>
      <c r="BF267" s="348"/>
      <c r="BG267" s="349"/>
      <c r="BH267" s="350"/>
      <c r="BI267" s="351"/>
      <c r="BJ267" s="352"/>
      <c r="BK267" s="337"/>
      <c r="BL267" s="352"/>
      <c r="BM267" s="337"/>
      <c r="BN267" s="353"/>
      <c r="BO267" s="354"/>
      <c r="BP267" s="355"/>
      <c r="BQ267" s="356"/>
      <c r="BR267" s="355"/>
      <c r="BS267" s="356"/>
      <c r="BT267" s="357"/>
    </row>
    <row r="268" spans="1:72" s="313" customFormat="1" ht="102">
      <c r="A268" s="287">
        <v>204</v>
      </c>
      <c r="B268" s="1146"/>
      <c r="C268" s="840"/>
      <c r="D268" s="853" t="s">
        <v>207</v>
      </c>
      <c r="E268" s="839"/>
      <c r="F268" s="821" t="s">
        <v>23</v>
      </c>
      <c r="G268" s="314">
        <v>2</v>
      </c>
      <c r="H268" s="739" t="s">
        <v>71</v>
      </c>
      <c r="I268" s="739">
        <v>244</v>
      </c>
      <c r="J268" s="740">
        <v>225</v>
      </c>
      <c r="K268" s="317" t="s">
        <v>757</v>
      </c>
      <c r="L268" s="1044">
        <v>7800</v>
      </c>
      <c r="M268" s="318"/>
      <c r="N268" s="1006"/>
      <c r="O268" s="1052">
        <f t="shared" si="944"/>
        <v>7800</v>
      </c>
      <c r="P268" s="329"/>
      <c r="Q268" s="319">
        <v>0</v>
      </c>
      <c r="R268" s="329"/>
      <c r="S268" s="319">
        <v>0</v>
      </c>
      <c r="T268" s="329"/>
      <c r="U268" s="335"/>
      <c r="V268" s="596" t="s">
        <v>591</v>
      </c>
      <c r="W268" s="596" t="s">
        <v>693</v>
      </c>
      <c r="X268" s="596" t="s">
        <v>694</v>
      </c>
      <c r="Z268" s="336">
        <f t="shared" si="962"/>
        <v>4500</v>
      </c>
      <c r="AA268" s="337">
        <f t="shared" si="962"/>
        <v>0</v>
      </c>
      <c r="AB268" s="338">
        <f>Z268-AA268</f>
        <v>4500</v>
      </c>
      <c r="AC268" s="336">
        <f t="shared" si="963"/>
        <v>3300</v>
      </c>
      <c r="AD268" s="337">
        <f t="shared" si="963"/>
        <v>0</v>
      </c>
      <c r="AE268" s="338">
        <f>AC268-AD268</f>
        <v>3300</v>
      </c>
      <c r="AF268" s="336">
        <f t="shared" si="964"/>
        <v>0</v>
      </c>
      <c r="AG268" s="337">
        <f t="shared" si="964"/>
        <v>0</v>
      </c>
      <c r="AH268" s="338">
        <f>AF268-AG268</f>
        <v>0</v>
      </c>
      <c r="AI268" s="336">
        <f t="shared" si="965"/>
        <v>0</v>
      </c>
      <c r="AJ268" s="337">
        <f t="shared" si="965"/>
        <v>0</v>
      </c>
      <c r="AK268" s="338">
        <f>AI268-AJ268</f>
        <v>0</v>
      </c>
      <c r="AL268" s="342"/>
      <c r="AM268" s="336">
        <f t="shared" si="966"/>
        <v>7800</v>
      </c>
      <c r="AN268" s="339">
        <f t="shared" si="966"/>
        <v>0</v>
      </c>
      <c r="AO268" s="340">
        <f>AM268-AN268</f>
        <v>7800</v>
      </c>
      <c r="AP268" s="336">
        <f t="shared" si="967"/>
        <v>7800</v>
      </c>
      <c r="AQ268" s="339">
        <f t="shared" si="967"/>
        <v>0</v>
      </c>
      <c r="AR268" s="340">
        <f>AP268-AQ268</f>
        <v>7800</v>
      </c>
      <c r="AS268" s="341">
        <f t="shared" si="968"/>
        <v>7800</v>
      </c>
      <c r="AT268" s="339">
        <f t="shared" si="968"/>
        <v>0</v>
      </c>
      <c r="AU268" s="340">
        <f>AS268-AT268</f>
        <v>7800</v>
      </c>
      <c r="AV268" s="1255"/>
      <c r="AW268" s="343"/>
      <c r="AX268" s="344"/>
      <c r="AY268" s="345"/>
      <c r="AZ268" s="344"/>
      <c r="BA268" s="345">
        <v>4500</v>
      </c>
      <c r="BB268" s="346"/>
      <c r="BC268" s="347">
        <v>3300</v>
      </c>
      <c r="BD268" s="348"/>
      <c r="BE268" s="349"/>
      <c r="BF268" s="348"/>
      <c r="BG268" s="349"/>
      <c r="BH268" s="350"/>
      <c r="BI268" s="351"/>
      <c r="BJ268" s="352"/>
      <c r="BK268" s="337"/>
      <c r="BL268" s="352"/>
      <c r="BM268" s="337"/>
      <c r="BN268" s="353"/>
      <c r="BO268" s="354"/>
      <c r="BP268" s="355"/>
      <c r="BQ268" s="356"/>
      <c r="BR268" s="355"/>
      <c r="BS268" s="356"/>
      <c r="BT268" s="357"/>
    </row>
    <row r="269" spans="1:72" s="313" customFormat="1" ht="38.25">
      <c r="A269" s="287">
        <v>205</v>
      </c>
      <c r="B269" s="1146"/>
      <c r="C269" s="840"/>
      <c r="D269" s="853" t="s">
        <v>207</v>
      </c>
      <c r="E269" s="839"/>
      <c r="F269" s="821" t="s">
        <v>23</v>
      </c>
      <c r="G269" s="314">
        <v>2</v>
      </c>
      <c r="H269" s="739" t="s">
        <v>71</v>
      </c>
      <c r="I269" s="739">
        <v>244</v>
      </c>
      <c r="J269" s="740">
        <v>225</v>
      </c>
      <c r="K269" s="317" t="s">
        <v>696</v>
      </c>
      <c r="L269" s="1044">
        <v>2000</v>
      </c>
      <c r="M269" s="318"/>
      <c r="N269" s="1006"/>
      <c r="O269" s="1052">
        <f t="shared" si="944"/>
        <v>2000</v>
      </c>
      <c r="P269" s="329"/>
      <c r="Q269" s="319">
        <v>0</v>
      </c>
      <c r="R269" s="329"/>
      <c r="S269" s="319">
        <v>0</v>
      </c>
      <c r="T269" s="329"/>
      <c r="U269" s="335"/>
      <c r="V269" s="596" t="s">
        <v>698</v>
      </c>
      <c r="W269" s="596" t="s">
        <v>697</v>
      </c>
      <c r="X269" s="320"/>
      <c r="Z269" s="336">
        <f t="shared" si="962"/>
        <v>0</v>
      </c>
      <c r="AA269" s="337">
        <f t="shared" si="962"/>
        <v>0</v>
      </c>
      <c r="AB269" s="338">
        <f>Z269-AA269</f>
        <v>0</v>
      </c>
      <c r="AC269" s="336">
        <f t="shared" si="963"/>
        <v>2000</v>
      </c>
      <c r="AD269" s="337">
        <f t="shared" si="963"/>
        <v>0</v>
      </c>
      <c r="AE269" s="338">
        <f>AC269-AD269</f>
        <v>2000</v>
      </c>
      <c r="AF269" s="336">
        <f t="shared" si="964"/>
        <v>0</v>
      </c>
      <c r="AG269" s="337">
        <f t="shared" si="964"/>
        <v>0</v>
      </c>
      <c r="AH269" s="338">
        <f>AF269-AG269</f>
        <v>0</v>
      </c>
      <c r="AI269" s="336">
        <f t="shared" si="965"/>
        <v>0</v>
      </c>
      <c r="AJ269" s="337">
        <f t="shared" si="965"/>
        <v>0</v>
      </c>
      <c r="AK269" s="338">
        <f>AI269-AJ269</f>
        <v>0</v>
      </c>
      <c r="AL269" s="342"/>
      <c r="AM269" s="336">
        <f t="shared" si="966"/>
        <v>2000</v>
      </c>
      <c r="AN269" s="339">
        <f t="shared" si="966"/>
        <v>0</v>
      </c>
      <c r="AO269" s="340">
        <f>AM269-AN269</f>
        <v>2000</v>
      </c>
      <c r="AP269" s="336">
        <f t="shared" si="967"/>
        <v>2000</v>
      </c>
      <c r="AQ269" s="339">
        <f t="shared" si="967"/>
        <v>0</v>
      </c>
      <c r="AR269" s="340">
        <f>AP269-AQ269</f>
        <v>2000</v>
      </c>
      <c r="AS269" s="341">
        <f t="shared" si="968"/>
        <v>2000</v>
      </c>
      <c r="AT269" s="339">
        <f t="shared" si="968"/>
        <v>0</v>
      </c>
      <c r="AU269" s="340">
        <f>AS269-AT269</f>
        <v>2000</v>
      </c>
      <c r="AV269" s="1255"/>
      <c r="AW269" s="343"/>
      <c r="AX269" s="344"/>
      <c r="AY269" s="345"/>
      <c r="AZ269" s="344"/>
      <c r="BA269" s="345"/>
      <c r="BB269" s="346"/>
      <c r="BC269" s="347">
        <v>2000</v>
      </c>
      <c r="BD269" s="348"/>
      <c r="BE269" s="349"/>
      <c r="BF269" s="348"/>
      <c r="BG269" s="349"/>
      <c r="BH269" s="350"/>
      <c r="BI269" s="351"/>
      <c r="BJ269" s="352"/>
      <c r="BK269" s="337"/>
      <c r="BL269" s="352"/>
      <c r="BM269" s="337"/>
      <c r="BN269" s="353"/>
      <c r="BO269" s="354"/>
      <c r="BP269" s="355"/>
      <c r="BQ269" s="356"/>
      <c r="BR269" s="355"/>
      <c r="BS269" s="356"/>
      <c r="BT269" s="357"/>
    </row>
    <row r="270" spans="1:72" s="313" customFormat="1" ht="25.5" outlineLevel="1">
      <c r="A270" s="287">
        <v>206</v>
      </c>
      <c r="B270" s="933"/>
      <c r="C270" s="840"/>
      <c r="D270" s="853" t="s">
        <v>207</v>
      </c>
      <c r="E270" s="839"/>
      <c r="F270" s="821" t="s">
        <v>23</v>
      </c>
      <c r="G270" s="314">
        <v>2</v>
      </c>
      <c r="H270" s="739" t="s">
        <v>71</v>
      </c>
      <c r="I270" s="739">
        <v>244</v>
      </c>
      <c r="J270" s="740">
        <v>225</v>
      </c>
      <c r="K270" s="317" t="s">
        <v>388</v>
      </c>
      <c r="L270" s="1044">
        <v>40000</v>
      </c>
      <c r="M270" s="318"/>
      <c r="N270" s="318"/>
      <c r="O270" s="1052">
        <f t="shared" si="944"/>
        <v>40000</v>
      </c>
      <c r="P270" s="570"/>
      <c r="Q270" s="336">
        <v>0</v>
      </c>
      <c r="R270" s="559"/>
      <c r="S270" s="541">
        <v>0</v>
      </c>
      <c r="T270" s="559"/>
      <c r="U270" s="335"/>
      <c r="V270" s="596" t="s">
        <v>390</v>
      </c>
      <c r="W270" s="596" t="s">
        <v>445</v>
      </c>
      <c r="X270" s="596" t="s">
        <v>446</v>
      </c>
      <c r="Z270" s="336">
        <f t="shared" si="962"/>
        <v>10000</v>
      </c>
      <c r="AA270" s="337">
        <f t="shared" si="962"/>
        <v>700</v>
      </c>
      <c r="AB270" s="338">
        <f>Z270-AA270</f>
        <v>9300</v>
      </c>
      <c r="AC270" s="336">
        <f t="shared" si="963"/>
        <v>5150</v>
      </c>
      <c r="AD270" s="337">
        <f t="shared" si="963"/>
        <v>0</v>
      </c>
      <c r="AE270" s="338">
        <f>AC270-AD270</f>
        <v>5150</v>
      </c>
      <c r="AF270" s="336">
        <f t="shared" si="964"/>
        <v>15190</v>
      </c>
      <c r="AG270" s="337">
        <f t="shared" si="964"/>
        <v>0</v>
      </c>
      <c r="AH270" s="338">
        <f>AF270-AG270</f>
        <v>15190</v>
      </c>
      <c r="AI270" s="336">
        <f t="shared" si="965"/>
        <v>10000</v>
      </c>
      <c r="AJ270" s="337">
        <f t="shared" si="965"/>
        <v>0</v>
      </c>
      <c r="AK270" s="338">
        <f>AI270-AJ270</f>
        <v>10000</v>
      </c>
      <c r="AL270" s="342"/>
      <c r="AM270" s="336">
        <f t="shared" si="966"/>
        <v>15150</v>
      </c>
      <c r="AN270" s="339">
        <f t="shared" si="966"/>
        <v>700</v>
      </c>
      <c r="AO270" s="340">
        <f>AM270-AN270</f>
        <v>14450</v>
      </c>
      <c r="AP270" s="336">
        <f t="shared" si="967"/>
        <v>30340</v>
      </c>
      <c r="AQ270" s="339">
        <f t="shared" si="967"/>
        <v>700</v>
      </c>
      <c r="AR270" s="340">
        <f>AP270-AQ270</f>
        <v>29640</v>
      </c>
      <c r="AS270" s="341">
        <f t="shared" si="968"/>
        <v>40340</v>
      </c>
      <c r="AT270" s="339">
        <f t="shared" si="968"/>
        <v>700</v>
      </c>
      <c r="AU270" s="340">
        <f>AS270-AT270</f>
        <v>39640</v>
      </c>
      <c r="AV270" s="1255">
        <f t="shared" ref="AV270:AV385" si="970">L270-AS270</f>
        <v>-340</v>
      </c>
      <c r="AW270" s="343"/>
      <c r="AX270" s="344"/>
      <c r="AY270" s="345">
        <v>10000</v>
      </c>
      <c r="AZ270" s="344">
        <v>700</v>
      </c>
      <c r="BA270" s="345"/>
      <c r="BB270" s="346"/>
      <c r="BC270" s="347">
        <v>1850</v>
      </c>
      <c r="BD270" s="348"/>
      <c r="BE270" s="1135">
        <f>650+800+850</f>
        <v>2300</v>
      </c>
      <c r="BF270" s="348"/>
      <c r="BG270" s="1135">
        <v>1000</v>
      </c>
      <c r="BH270" s="350"/>
      <c r="BI270" s="351">
        <f>5000-160</f>
        <v>4840</v>
      </c>
      <c r="BJ270" s="352"/>
      <c r="BK270" s="337">
        <v>10000</v>
      </c>
      <c r="BL270" s="352"/>
      <c r="BM270" s="1137">
        <v>350</v>
      </c>
      <c r="BN270" s="353"/>
      <c r="BO270" s="354"/>
      <c r="BP270" s="355"/>
      <c r="BQ270" s="356">
        <v>10000</v>
      </c>
      <c r="BR270" s="355"/>
      <c r="BS270" s="356"/>
      <c r="BT270" s="357"/>
    </row>
    <row r="271" spans="1:72" s="358" customFormat="1" ht="31.5" customHeight="1">
      <c r="A271" s="287">
        <v>207</v>
      </c>
      <c r="B271" s="933"/>
      <c r="C271" s="850" t="s">
        <v>377</v>
      </c>
      <c r="D271" s="853" t="s">
        <v>207</v>
      </c>
      <c r="E271" s="836" t="s">
        <v>201</v>
      </c>
      <c r="F271" s="820" t="s">
        <v>23</v>
      </c>
      <c r="G271" s="360">
        <v>2</v>
      </c>
      <c r="H271" s="360" t="s">
        <v>71</v>
      </c>
      <c r="I271" s="360">
        <v>244</v>
      </c>
      <c r="J271" s="361">
        <v>225</v>
      </c>
      <c r="K271" s="532" t="s">
        <v>148</v>
      </c>
      <c r="L271" s="1023">
        <f>SUM(L272)</f>
        <v>92466.04</v>
      </c>
      <c r="M271" s="363"/>
      <c r="N271" s="363"/>
      <c r="O271" s="1051">
        <f t="shared" si="944"/>
        <v>92466.04</v>
      </c>
      <c r="P271" s="571"/>
      <c r="Q271" s="367">
        <f t="shared" ref="Q271:S271" si="971">SUM(Q272)</f>
        <v>88868.2</v>
      </c>
      <c r="R271" s="557">
        <f t="shared" si="971"/>
        <v>0</v>
      </c>
      <c r="S271" s="367">
        <f t="shared" si="971"/>
        <v>88868.21</v>
      </c>
      <c r="T271" s="557"/>
      <c r="U271" s="365"/>
      <c r="V271" s="366"/>
      <c r="W271" s="366"/>
      <c r="X271" s="366" t="e">
        <f>1-X63</f>
        <v>#VALUE!</v>
      </c>
      <c r="Z271" s="367">
        <f t="shared" si="962"/>
        <v>0</v>
      </c>
      <c r="AA271" s="363">
        <f t="shared" si="962"/>
        <v>0</v>
      </c>
      <c r="AB271" s="280">
        <f t="shared" ref="AB271" si="972">Z271-AA271</f>
        <v>0</v>
      </c>
      <c r="AC271" s="367">
        <f t="shared" si="963"/>
        <v>0</v>
      </c>
      <c r="AD271" s="363">
        <f t="shared" si="963"/>
        <v>0</v>
      </c>
      <c r="AE271" s="280">
        <f t="shared" ref="AE271" si="973">AC271-AD271</f>
        <v>0</v>
      </c>
      <c r="AF271" s="367">
        <f t="shared" si="964"/>
        <v>0</v>
      </c>
      <c r="AG271" s="363">
        <f t="shared" si="964"/>
        <v>0</v>
      </c>
      <c r="AH271" s="280">
        <f t="shared" ref="AH271" si="974">AF271-AG271</f>
        <v>0</v>
      </c>
      <c r="AI271" s="367">
        <f t="shared" si="965"/>
        <v>92466.04</v>
      </c>
      <c r="AJ271" s="363">
        <f t="shared" si="965"/>
        <v>0</v>
      </c>
      <c r="AK271" s="280">
        <f t="shared" ref="AK271" si="975">AI271-AJ271</f>
        <v>92466.04</v>
      </c>
      <c r="AL271" s="368"/>
      <c r="AM271" s="367">
        <f t="shared" si="966"/>
        <v>0</v>
      </c>
      <c r="AN271" s="363">
        <f t="shared" si="966"/>
        <v>0</v>
      </c>
      <c r="AO271" s="280">
        <f t="shared" ref="AO271" si="976">AM271-AN271</f>
        <v>0</v>
      </c>
      <c r="AP271" s="367">
        <f t="shared" si="967"/>
        <v>0</v>
      </c>
      <c r="AQ271" s="363">
        <f t="shared" si="967"/>
        <v>0</v>
      </c>
      <c r="AR271" s="280">
        <f t="shared" ref="AR271" si="977">AP271-AQ271</f>
        <v>0</v>
      </c>
      <c r="AS271" s="367">
        <f t="shared" si="968"/>
        <v>92466.04</v>
      </c>
      <c r="AT271" s="363">
        <f t="shared" si="968"/>
        <v>0</v>
      </c>
      <c r="AU271" s="280">
        <f t="shared" ref="AU271" si="978">AS271-AT271</f>
        <v>92466.04</v>
      </c>
      <c r="AV271" s="1253">
        <f t="shared" si="970"/>
        <v>0</v>
      </c>
      <c r="AW271" s="367">
        <f t="shared" ref="AW271:BS271" si="979">SUM(AW272)</f>
        <v>0</v>
      </c>
      <c r="AX271" s="363">
        <f t="shared" si="979"/>
        <v>0</v>
      </c>
      <c r="AY271" s="363">
        <f t="shared" si="979"/>
        <v>0</v>
      </c>
      <c r="AZ271" s="363">
        <f t="shared" si="979"/>
        <v>0</v>
      </c>
      <c r="BA271" s="363">
        <f t="shared" si="979"/>
        <v>0</v>
      </c>
      <c r="BB271" s="369">
        <f t="shared" si="979"/>
        <v>0</v>
      </c>
      <c r="BC271" s="367">
        <f t="shared" si="979"/>
        <v>0</v>
      </c>
      <c r="BD271" s="363">
        <f t="shared" si="979"/>
        <v>0</v>
      </c>
      <c r="BE271" s="363">
        <f t="shared" si="979"/>
        <v>0</v>
      </c>
      <c r="BF271" s="363">
        <f t="shared" si="979"/>
        <v>0</v>
      </c>
      <c r="BG271" s="363">
        <f t="shared" si="979"/>
        <v>0</v>
      </c>
      <c r="BH271" s="369">
        <f t="shared" si="979"/>
        <v>0</v>
      </c>
      <c r="BI271" s="367">
        <f t="shared" si="979"/>
        <v>0</v>
      </c>
      <c r="BJ271" s="363">
        <f t="shared" si="979"/>
        <v>0</v>
      </c>
      <c r="BK271" s="363">
        <f t="shared" si="979"/>
        <v>0</v>
      </c>
      <c r="BL271" s="363">
        <f t="shared" si="979"/>
        <v>0</v>
      </c>
      <c r="BM271" s="363">
        <f t="shared" si="979"/>
        <v>0</v>
      </c>
      <c r="BN271" s="369">
        <f t="shared" si="979"/>
        <v>0</v>
      </c>
      <c r="BO271" s="367">
        <f t="shared" si="979"/>
        <v>0</v>
      </c>
      <c r="BP271" s="363">
        <f t="shared" si="979"/>
        <v>0</v>
      </c>
      <c r="BQ271" s="363">
        <f t="shared" si="979"/>
        <v>0</v>
      </c>
      <c r="BR271" s="363">
        <f t="shared" si="979"/>
        <v>0</v>
      </c>
      <c r="BS271" s="363">
        <f t="shared" si="979"/>
        <v>92466.04</v>
      </c>
      <c r="BT271" s="280">
        <f t="shared" ref="BT271" si="980">SUM(BT272:BT277)</f>
        <v>0</v>
      </c>
    </row>
    <row r="272" spans="1:72" s="313" customFormat="1" ht="25.5" outlineLevel="1">
      <c r="A272" s="287">
        <v>208</v>
      </c>
      <c r="B272" s="933"/>
      <c r="C272" s="840"/>
      <c r="D272" s="853" t="s">
        <v>207</v>
      </c>
      <c r="E272" s="839"/>
      <c r="F272" s="821" t="s">
        <v>23</v>
      </c>
      <c r="G272" s="314">
        <v>2</v>
      </c>
      <c r="H272" s="739" t="s">
        <v>71</v>
      </c>
      <c r="I272" s="739">
        <v>244</v>
      </c>
      <c r="J272" s="740">
        <v>225</v>
      </c>
      <c r="K272" s="533" t="s">
        <v>209</v>
      </c>
      <c r="L272" s="1025">
        <v>92466.04</v>
      </c>
      <c r="M272" s="318"/>
      <c r="N272" s="318"/>
      <c r="O272" s="1052">
        <f t="shared" si="944"/>
        <v>92466.04</v>
      </c>
      <c r="P272" s="570"/>
      <c r="Q272" s="336">
        <v>88868.2</v>
      </c>
      <c r="R272" s="559"/>
      <c r="S272" s="541">
        <v>88868.21</v>
      </c>
      <c r="T272" s="559"/>
      <c r="U272" s="335"/>
      <c r="V272" s="320" t="s">
        <v>832</v>
      </c>
      <c r="W272" s="388"/>
      <c r="X272" s="388"/>
      <c r="Z272" s="336">
        <f t="shared" si="962"/>
        <v>0</v>
      </c>
      <c r="AA272" s="337">
        <f t="shared" si="962"/>
        <v>0</v>
      </c>
      <c r="AB272" s="338">
        <f t="shared" si="946"/>
        <v>0</v>
      </c>
      <c r="AC272" s="336">
        <f t="shared" si="963"/>
        <v>0</v>
      </c>
      <c r="AD272" s="337">
        <f t="shared" si="963"/>
        <v>0</v>
      </c>
      <c r="AE272" s="338">
        <f t="shared" si="948"/>
        <v>0</v>
      </c>
      <c r="AF272" s="336">
        <f t="shared" si="964"/>
        <v>0</v>
      </c>
      <c r="AG272" s="337">
        <f t="shared" si="964"/>
        <v>0</v>
      </c>
      <c r="AH272" s="338">
        <f t="shared" si="950"/>
        <v>0</v>
      </c>
      <c r="AI272" s="336">
        <f t="shared" si="965"/>
        <v>92466.04</v>
      </c>
      <c r="AJ272" s="337">
        <f t="shared" si="965"/>
        <v>0</v>
      </c>
      <c r="AK272" s="338">
        <f t="shared" si="952"/>
        <v>92466.04</v>
      </c>
      <c r="AL272" s="342"/>
      <c r="AM272" s="336">
        <f t="shared" si="966"/>
        <v>0</v>
      </c>
      <c r="AN272" s="339">
        <f t="shared" si="966"/>
        <v>0</v>
      </c>
      <c r="AO272" s="340">
        <f t="shared" si="954"/>
        <v>0</v>
      </c>
      <c r="AP272" s="336">
        <f t="shared" si="967"/>
        <v>0</v>
      </c>
      <c r="AQ272" s="339">
        <f t="shared" si="967"/>
        <v>0</v>
      </c>
      <c r="AR272" s="340">
        <f t="shared" si="940"/>
        <v>0</v>
      </c>
      <c r="AS272" s="341">
        <f t="shared" si="968"/>
        <v>92466.04</v>
      </c>
      <c r="AT272" s="339">
        <f t="shared" si="968"/>
        <v>0</v>
      </c>
      <c r="AU272" s="340">
        <f t="shared" si="942"/>
        <v>92466.04</v>
      </c>
      <c r="AV272" s="1255">
        <f t="shared" si="970"/>
        <v>0</v>
      </c>
      <c r="AW272" s="343"/>
      <c r="AX272" s="344"/>
      <c r="AY272" s="345"/>
      <c r="AZ272" s="344"/>
      <c r="BA272" s="345"/>
      <c r="BB272" s="346"/>
      <c r="BC272" s="347"/>
      <c r="BD272" s="348"/>
      <c r="BE272" s="349"/>
      <c r="BF272" s="348"/>
      <c r="BG272" s="349"/>
      <c r="BH272" s="350"/>
      <c r="BI272" s="351"/>
      <c r="BJ272" s="352"/>
      <c r="BK272" s="337"/>
      <c r="BL272" s="352"/>
      <c r="BM272" s="337"/>
      <c r="BN272" s="353"/>
      <c r="BO272" s="354"/>
      <c r="BP272" s="355"/>
      <c r="BQ272" s="356"/>
      <c r="BR272" s="355"/>
      <c r="BS272" s="356">
        <v>92466.04</v>
      </c>
      <c r="BT272" s="357"/>
    </row>
    <row r="273" spans="1:72" s="358" customFormat="1" ht="47.25">
      <c r="A273" s="287">
        <v>209</v>
      </c>
      <c r="B273" s="933"/>
      <c r="C273" s="850" t="s">
        <v>377</v>
      </c>
      <c r="D273" s="838"/>
      <c r="E273" s="836" t="s">
        <v>201</v>
      </c>
      <c r="F273" s="820" t="s">
        <v>23</v>
      </c>
      <c r="G273" s="360">
        <v>2</v>
      </c>
      <c r="H273" s="360" t="s">
        <v>71</v>
      </c>
      <c r="I273" s="360">
        <v>112</v>
      </c>
      <c r="J273" s="361">
        <v>226</v>
      </c>
      <c r="K273" s="532" t="s">
        <v>769</v>
      </c>
      <c r="L273" s="1023">
        <f>L274</f>
        <v>39692</v>
      </c>
      <c r="M273" s="363"/>
      <c r="N273" s="363">
        <f>N274</f>
        <v>0</v>
      </c>
      <c r="O273" s="1051">
        <f t="shared" si="944"/>
        <v>39692</v>
      </c>
      <c r="P273" s="571"/>
      <c r="Q273" s="367">
        <f>Q274</f>
        <v>0</v>
      </c>
      <c r="R273" s="557"/>
      <c r="S273" s="367">
        <f>S274</f>
        <v>0</v>
      </c>
      <c r="T273" s="557"/>
      <c r="U273" s="365"/>
      <c r="V273" s="366"/>
      <c r="W273" s="366"/>
      <c r="X273" s="366"/>
      <c r="Z273" s="367">
        <f t="shared" si="962"/>
        <v>0</v>
      </c>
      <c r="AA273" s="363">
        <f t="shared" si="962"/>
        <v>0</v>
      </c>
      <c r="AB273" s="280">
        <f t="shared" si="946"/>
        <v>0</v>
      </c>
      <c r="AC273" s="367">
        <f t="shared" si="963"/>
        <v>15996</v>
      </c>
      <c r="AD273" s="363">
        <f t="shared" si="963"/>
        <v>15996</v>
      </c>
      <c r="AE273" s="280">
        <f t="shared" si="948"/>
        <v>0</v>
      </c>
      <c r="AF273" s="367">
        <f t="shared" si="964"/>
        <v>19874</v>
      </c>
      <c r="AG273" s="363">
        <f t="shared" si="964"/>
        <v>0</v>
      </c>
      <c r="AH273" s="280">
        <f t="shared" si="950"/>
        <v>19874</v>
      </c>
      <c r="AI273" s="367">
        <f t="shared" si="965"/>
        <v>0</v>
      </c>
      <c r="AJ273" s="363">
        <f t="shared" si="965"/>
        <v>0</v>
      </c>
      <c r="AK273" s="280">
        <f t="shared" si="952"/>
        <v>0</v>
      </c>
      <c r="AL273" s="368"/>
      <c r="AM273" s="367">
        <f t="shared" si="966"/>
        <v>15996</v>
      </c>
      <c r="AN273" s="363">
        <f t="shared" si="966"/>
        <v>15996</v>
      </c>
      <c r="AO273" s="280">
        <f t="shared" si="954"/>
        <v>0</v>
      </c>
      <c r="AP273" s="367">
        <f t="shared" si="967"/>
        <v>35870</v>
      </c>
      <c r="AQ273" s="363">
        <f t="shared" si="967"/>
        <v>15996</v>
      </c>
      <c r="AR273" s="280">
        <f t="shared" si="940"/>
        <v>19874</v>
      </c>
      <c r="AS273" s="367">
        <f>Z273+AC273+AF273+AI273</f>
        <v>35870</v>
      </c>
      <c r="AT273" s="363">
        <f t="shared" si="968"/>
        <v>15996</v>
      </c>
      <c r="AU273" s="280">
        <f t="shared" si="942"/>
        <v>19874</v>
      </c>
      <c r="AV273" s="1253">
        <f t="shared" si="970"/>
        <v>3822</v>
      </c>
      <c r="AW273" s="367">
        <f>AW274</f>
        <v>0</v>
      </c>
      <c r="AX273" s="367">
        <f t="shared" ref="AX273:BT273" si="981">AX274</f>
        <v>0</v>
      </c>
      <c r="AY273" s="367">
        <f t="shared" si="981"/>
        <v>0</v>
      </c>
      <c r="AZ273" s="367">
        <f t="shared" si="981"/>
        <v>0</v>
      </c>
      <c r="BA273" s="367">
        <f t="shared" si="981"/>
        <v>0</v>
      </c>
      <c r="BB273" s="367">
        <f t="shared" si="981"/>
        <v>0</v>
      </c>
      <c r="BC273" s="367">
        <f t="shared" si="981"/>
        <v>0</v>
      </c>
      <c r="BD273" s="367">
        <f t="shared" si="981"/>
        <v>0</v>
      </c>
      <c r="BE273" s="367">
        <f t="shared" si="981"/>
        <v>15996</v>
      </c>
      <c r="BF273" s="367">
        <f t="shared" si="981"/>
        <v>15996</v>
      </c>
      <c r="BG273" s="367">
        <f t="shared" si="981"/>
        <v>0</v>
      </c>
      <c r="BH273" s="367">
        <f t="shared" si="981"/>
        <v>0</v>
      </c>
      <c r="BI273" s="367">
        <f t="shared" si="981"/>
        <v>0</v>
      </c>
      <c r="BJ273" s="367">
        <f t="shared" si="981"/>
        <v>0</v>
      </c>
      <c r="BK273" s="367">
        <f t="shared" si="981"/>
        <v>0</v>
      </c>
      <c r="BL273" s="367">
        <f t="shared" si="981"/>
        <v>0</v>
      </c>
      <c r="BM273" s="367">
        <f t="shared" si="981"/>
        <v>19874</v>
      </c>
      <c r="BN273" s="367">
        <f t="shared" si="981"/>
        <v>0</v>
      </c>
      <c r="BO273" s="367">
        <f t="shared" si="981"/>
        <v>0</v>
      </c>
      <c r="BP273" s="367">
        <f t="shared" si="981"/>
        <v>0</v>
      </c>
      <c r="BQ273" s="367">
        <f t="shared" si="981"/>
        <v>0</v>
      </c>
      <c r="BR273" s="367">
        <f t="shared" si="981"/>
        <v>0</v>
      </c>
      <c r="BS273" s="367">
        <f t="shared" si="981"/>
        <v>0</v>
      </c>
      <c r="BT273" s="367">
        <f t="shared" si="981"/>
        <v>0</v>
      </c>
    </row>
    <row r="274" spans="1:72" s="313" customFormat="1" ht="25.5" outlineLevel="1">
      <c r="A274" s="287">
        <v>210</v>
      </c>
      <c r="B274" s="1148"/>
      <c r="C274" s="840"/>
      <c r="D274" s="841"/>
      <c r="E274" s="839"/>
      <c r="F274" s="821" t="s">
        <v>23</v>
      </c>
      <c r="G274" s="314">
        <v>2</v>
      </c>
      <c r="H274" s="739" t="s">
        <v>71</v>
      </c>
      <c r="I274" s="739">
        <v>112</v>
      </c>
      <c r="J274" s="740">
        <v>226</v>
      </c>
      <c r="K274" s="533" t="s">
        <v>768</v>
      </c>
      <c r="L274" s="1025">
        <v>39692</v>
      </c>
      <c r="M274" s="318"/>
      <c r="N274" s="318"/>
      <c r="O274" s="1052">
        <f t="shared" si="944"/>
        <v>39692</v>
      </c>
      <c r="P274" s="570"/>
      <c r="Q274" s="341">
        <v>0</v>
      </c>
      <c r="R274" s="559"/>
      <c r="S274" s="540">
        <v>0</v>
      </c>
      <c r="T274" s="559"/>
      <c r="U274" s="335"/>
      <c r="V274" s="320"/>
      <c r="W274" s="320"/>
      <c r="X274" s="320"/>
      <c r="Z274" s="336">
        <f t="shared" si="962"/>
        <v>0</v>
      </c>
      <c r="AA274" s="337">
        <f t="shared" si="962"/>
        <v>0</v>
      </c>
      <c r="AB274" s="338">
        <f t="shared" si="946"/>
        <v>0</v>
      </c>
      <c r="AC274" s="336">
        <f t="shared" si="963"/>
        <v>15996</v>
      </c>
      <c r="AD274" s="337">
        <f t="shared" si="963"/>
        <v>15996</v>
      </c>
      <c r="AE274" s="338">
        <f t="shared" si="948"/>
        <v>0</v>
      </c>
      <c r="AF274" s="336">
        <f t="shared" si="964"/>
        <v>19874</v>
      </c>
      <c r="AG274" s="337">
        <f t="shared" si="964"/>
        <v>0</v>
      </c>
      <c r="AH274" s="338">
        <f t="shared" si="950"/>
        <v>19874</v>
      </c>
      <c r="AI274" s="336">
        <f t="shared" si="965"/>
        <v>0</v>
      </c>
      <c r="AJ274" s="337">
        <f t="shared" si="965"/>
        <v>0</v>
      </c>
      <c r="AK274" s="338">
        <f t="shared" si="952"/>
        <v>0</v>
      </c>
      <c r="AL274" s="342"/>
      <c r="AM274" s="336">
        <f t="shared" si="966"/>
        <v>15996</v>
      </c>
      <c r="AN274" s="339">
        <f t="shared" si="966"/>
        <v>15996</v>
      </c>
      <c r="AO274" s="340">
        <f t="shared" si="954"/>
        <v>0</v>
      </c>
      <c r="AP274" s="336">
        <f t="shared" si="967"/>
        <v>35870</v>
      </c>
      <c r="AQ274" s="339">
        <f t="shared" si="967"/>
        <v>15996</v>
      </c>
      <c r="AR274" s="340">
        <f t="shared" si="940"/>
        <v>19874</v>
      </c>
      <c r="AS274" s="341">
        <f t="shared" ref="AS274" si="982">Z274+AC274+AF274+AI274</f>
        <v>35870</v>
      </c>
      <c r="AT274" s="339">
        <f t="shared" si="968"/>
        <v>15996</v>
      </c>
      <c r="AU274" s="340">
        <f t="shared" si="942"/>
        <v>19874</v>
      </c>
      <c r="AV274" s="1255">
        <f t="shared" si="970"/>
        <v>3822</v>
      </c>
      <c r="AW274" s="343"/>
      <c r="AX274" s="344"/>
      <c r="AY274" s="345"/>
      <c r="AZ274" s="344"/>
      <c r="BA274" s="345"/>
      <c r="BB274" s="346"/>
      <c r="BC274" s="347"/>
      <c r="BD274" s="348"/>
      <c r="BE274" s="1135">
        <f>17196-300-300-300-300</f>
        <v>15996</v>
      </c>
      <c r="BF274" s="348">
        <f>17196-300-300-300-300</f>
        <v>15996</v>
      </c>
      <c r="BG274" s="349"/>
      <c r="BH274" s="350"/>
      <c r="BI274" s="351"/>
      <c r="BJ274" s="352"/>
      <c r="BK274" s="337"/>
      <c r="BL274" s="352"/>
      <c r="BM274" s="1137">
        <f>5800+14074</f>
        <v>19874</v>
      </c>
      <c r="BN274" s="353"/>
      <c r="BO274" s="354"/>
      <c r="BP274" s="355"/>
      <c r="BQ274" s="356"/>
      <c r="BR274" s="355"/>
      <c r="BS274" s="356"/>
      <c r="BT274" s="357"/>
    </row>
    <row r="275" spans="1:72" s="358" customFormat="1" ht="31.5" customHeight="1">
      <c r="A275" s="287">
        <v>211</v>
      </c>
      <c r="B275" s="933"/>
      <c r="C275" s="850" t="s">
        <v>377</v>
      </c>
      <c r="D275" s="853" t="s">
        <v>207</v>
      </c>
      <c r="E275" s="836" t="s">
        <v>201</v>
      </c>
      <c r="F275" s="820" t="s">
        <v>23</v>
      </c>
      <c r="G275" s="360">
        <v>2</v>
      </c>
      <c r="H275" s="360" t="s">
        <v>71</v>
      </c>
      <c r="I275" s="360">
        <v>244</v>
      </c>
      <c r="J275" s="361">
        <v>226</v>
      </c>
      <c r="K275" s="532" t="s">
        <v>150</v>
      </c>
      <c r="L275" s="1023">
        <f>L276</f>
        <v>358197.09</v>
      </c>
      <c r="M275" s="363"/>
      <c r="N275" s="363"/>
      <c r="O275" s="1051">
        <f t="shared" si="944"/>
        <v>358197.09</v>
      </c>
      <c r="P275" s="571"/>
      <c r="Q275" s="367">
        <f>Q276</f>
        <v>450378.96</v>
      </c>
      <c r="R275" s="557"/>
      <c r="S275" s="367">
        <f>S276</f>
        <v>480483.55</v>
      </c>
      <c r="T275" s="557"/>
      <c r="U275" s="365"/>
      <c r="V275" s="366"/>
      <c r="W275" s="366"/>
      <c r="X275" s="391">
        <f>1-X70</f>
        <v>0.5615</v>
      </c>
      <c r="Z275" s="367">
        <f t="shared" si="962"/>
        <v>0</v>
      </c>
      <c r="AA275" s="363">
        <f t="shared" si="962"/>
        <v>0</v>
      </c>
      <c r="AB275" s="280">
        <f t="shared" si="946"/>
        <v>0</v>
      </c>
      <c r="AC275" s="367">
        <f t="shared" si="963"/>
        <v>0</v>
      </c>
      <c r="AD275" s="363">
        <f t="shared" si="963"/>
        <v>0</v>
      </c>
      <c r="AE275" s="280">
        <f t="shared" si="948"/>
        <v>0</v>
      </c>
      <c r="AF275" s="367">
        <f t="shared" si="964"/>
        <v>24600</v>
      </c>
      <c r="AG275" s="363">
        <f t="shared" si="964"/>
        <v>24600</v>
      </c>
      <c r="AH275" s="280">
        <f t="shared" si="950"/>
        <v>0</v>
      </c>
      <c r="AI275" s="367">
        <f t="shared" si="965"/>
        <v>207600</v>
      </c>
      <c r="AJ275" s="363">
        <f t="shared" si="965"/>
        <v>0</v>
      </c>
      <c r="AK275" s="280">
        <f t="shared" si="952"/>
        <v>207600</v>
      </c>
      <c r="AL275" s="368"/>
      <c r="AM275" s="367">
        <f t="shared" si="966"/>
        <v>0</v>
      </c>
      <c r="AN275" s="363">
        <f t="shared" si="966"/>
        <v>0</v>
      </c>
      <c r="AO275" s="280">
        <f t="shared" si="954"/>
        <v>0</v>
      </c>
      <c r="AP275" s="367">
        <f t="shared" si="967"/>
        <v>24600</v>
      </c>
      <c r="AQ275" s="363">
        <f t="shared" si="967"/>
        <v>24600</v>
      </c>
      <c r="AR275" s="280">
        <f t="shared" si="940"/>
        <v>0</v>
      </c>
      <c r="AS275" s="367">
        <f t="shared" si="968"/>
        <v>232200</v>
      </c>
      <c r="AT275" s="363">
        <f t="shared" si="968"/>
        <v>24600</v>
      </c>
      <c r="AU275" s="280">
        <f t="shared" si="942"/>
        <v>207600</v>
      </c>
      <c r="AV275" s="1253">
        <f t="shared" si="970"/>
        <v>125997.09</v>
      </c>
      <c r="AW275" s="367">
        <f>AW276</f>
        <v>0</v>
      </c>
      <c r="AX275" s="363">
        <f t="shared" ref="AX275:BT275" si="983">AX276</f>
        <v>0</v>
      </c>
      <c r="AY275" s="363">
        <f t="shared" si="983"/>
        <v>0</v>
      </c>
      <c r="AZ275" s="363">
        <f t="shared" si="983"/>
        <v>0</v>
      </c>
      <c r="BA275" s="363">
        <f t="shared" si="983"/>
        <v>0</v>
      </c>
      <c r="BB275" s="369">
        <f t="shared" si="983"/>
        <v>0</v>
      </c>
      <c r="BC275" s="367">
        <f t="shared" si="983"/>
        <v>0</v>
      </c>
      <c r="BD275" s="363">
        <f t="shared" si="983"/>
        <v>0</v>
      </c>
      <c r="BE275" s="363">
        <f t="shared" si="983"/>
        <v>0</v>
      </c>
      <c r="BF275" s="363">
        <f t="shared" si="983"/>
        <v>0</v>
      </c>
      <c r="BG275" s="363">
        <f t="shared" si="983"/>
        <v>0</v>
      </c>
      <c r="BH275" s="369">
        <f t="shared" si="983"/>
        <v>0</v>
      </c>
      <c r="BI275" s="367">
        <f t="shared" si="983"/>
        <v>0</v>
      </c>
      <c r="BJ275" s="363">
        <f t="shared" si="983"/>
        <v>0</v>
      </c>
      <c r="BK275" s="363">
        <f t="shared" si="983"/>
        <v>0</v>
      </c>
      <c r="BL275" s="363">
        <f t="shared" si="983"/>
        <v>0</v>
      </c>
      <c r="BM275" s="363">
        <f t="shared" si="983"/>
        <v>24600</v>
      </c>
      <c r="BN275" s="369">
        <f t="shared" si="983"/>
        <v>24600</v>
      </c>
      <c r="BO275" s="367">
        <f t="shared" si="983"/>
        <v>51600</v>
      </c>
      <c r="BP275" s="363">
        <f t="shared" si="983"/>
        <v>0</v>
      </c>
      <c r="BQ275" s="363">
        <f t="shared" si="983"/>
        <v>52800</v>
      </c>
      <c r="BR275" s="363">
        <f t="shared" si="983"/>
        <v>0</v>
      </c>
      <c r="BS275" s="363">
        <f t="shared" si="983"/>
        <v>103200</v>
      </c>
      <c r="BT275" s="280">
        <f t="shared" si="983"/>
        <v>0</v>
      </c>
    </row>
    <row r="276" spans="1:72" s="313" customFormat="1" ht="195.75" customHeight="1" outlineLevel="1">
      <c r="A276" s="287">
        <v>212</v>
      </c>
      <c r="B276" s="933"/>
      <c r="C276" s="840"/>
      <c r="D276" s="853" t="s">
        <v>207</v>
      </c>
      <c r="E276" s="839"/>
      <c r="F276" s="821" t="s">
        <v>23</v>
      </c>
      <c r="G276" s="314">
        <v>2</v>
      </c>
      <c r="H276" s="739" t="s">
        <v>71</v>
      </c>
      <c r="I276" s="739">
        <v>244</v>
      </c>
      <c r="J276" s="740">
        <v>226</v>
      </c>
      <c r="K276" s="533" t="s">
        <v>267</v>
      </c>
      <c r="L276" s="1025">
        <f>427623.5-69426.41</f>
        <v>358197.09</v>
      </c>
      <c r="M276" s="318"/>
      <c r="N276" s="318"/>
      <c r="O276" s="1052">
        <f t="shared" si="944"/>
        <v>358197.09</v>
      </c>
      <c r="P276" s="570"/>
      <c r="Q276" s="336">
        <f>522589.64-72210.68</f>
        <v>450378.96</v>
      </c>
      <c r="R276" s="559"/>
      <c r="S276" s="541">
        <f>563177.71-82694.16</f>
        <v>480483.55</v>
      </c>
      <c r="T276" s="559"/>
      <c r="U276" s="335"/>
      <c r="V276" s="596" t="s">
        <v>268</v>
      </c>
      <c r="W276" s="597" t="s">
        <v>974</v>
      </c>
      <c r="X276" s="597" t="s">
        <v>975</v>
      </c>
      <c r="Z276" s="336">
        <f t="shared" si="962"/>
        <v>0</v>
      </c>
      <c r="AA276" s="337">
        <f t="shared" si="962"/>
        <v>0</v>
      </c>
      <c r="AB276" s="338">
        <f t="shared" si="946"/>
        <v>0</v>
      </c>
      <c r="AC276" s="336">
        <f t="shared" si="963"/>
        <v>0</v>
      </c>
      <c r="AD276" s="337">
        <f t="shared" si="963"/>
        <v>0</v>
      </c>
      <c r="AE276" s="338">
        <f t="shared" si="948"/>
        <v>0</v>
      </c>
      <c r="AF276" s="336">
        <f t="shared" si="964"/>
        <v>24600</v>
      </c>
      <c r="AG276" s="337">
        <f t="shared" si="964"/>
        <v>24600</v>
      </c>
      <c r="AH276" s="338">
        <f t="shared" si="950"/>
        <v>0</v>
      </c>
      <c r="AI276" s="336">
        <f t="shared" si="965"/>
        <v>207600</v>
      </c>
      <c r="AJ276" s="337">
        <f t="shared" si="965"/>
        <v>0</v>
      </c>
      <c r="AK276" s="338">
        <f t="shared" si="952"/>
        <v>207600</v>
      </c>
      <c r="AL276" s="342"/>
      <c r="AM276" s="336">
        <f t="shared" si="966"/>
        <v>0</v>
      </c>
      <c r="AN276" s="339">
        <f t="shared" si="966"/>
        <v>0</v>
      </c>
      <c r="AO276" s="340">
        <f t="shared" si="954"/>
        <v>0</v>
      </c>
      <c r="AP276" s="336">
        <f t="shared" si="967"/>
        <v>24600</v>
      </c>
      <c r="AQ276" s="339">
        <f t="shared" si="967"/>
        <v>24600</v>
      </c>
      <c r="AR276" s="340">
        <f t="shared" si="940"/>
        <v>0</v>
      </c>
      <c r="AS276" s="341">
        <f t="shared" si="968"/>
        <v>232200</v>
      </c>
      <c r="AT276" s="339">
        <f t="shared" si="968"/>
        <v>24600</v>
      </c>
      <c r="AU276" s="340">
        <f t="shared" si="942"/>
        <v>207600</v>
      </c>
      <c r="AV276" s="1255">
        <f t="shared" si="970"/>
        <v>125997.09</v>
      </c>
      <c r="AW276" s="343"/>
      <c r="AX276" s="344"/>
      <c r="AY276" s="345"/>
      <c r="AZ276" s="344"/>
      <c r="BA276" s="345"/>
      <c r="BB276" s="346"/>
      <c r="BC276" s="347"/>
      <c r="BD276" s="348"/>
      <c r="BE276" s="349"/>
      <c r="BF276" s="348"/>
      <c r="BG276" s="349"/>
      <c r="BH276" s="350"/>
      <c r="BI276" s="351"/>
      <c r="BJ276" s="352"/>
      <c r="BK276" s="351"/>
      <c r="BL276" s="352"/>
      <c r="BM276" s="1230">
        <v>24600</v>
      </c>
      <c r="BN276" s="1293">
        <v>24600</v>
      </c>
      <c r="BO276" s="354">
        <f>150*344</f>
        <v>51600</v>
      </c>
      <c r="BP276" s="355"/>
      <c r="BQ276" s="356">
        <f>150*352</f>
        <v>52800</v>
      </c>
      <c r="BR276" s="355"/>
      <c r="BS276" s="356">
        <f>150*332+150*356</f>
        <v>103200</v>
      </c>
      <c r="BT276" s="357"/>
    </row>
    <row r="277" spans="1:72" s="358" customFormat="1" ht="105.75" customHeight="1">
      <c r="A277" s="287">
        <v>213</v>
      </c>
      <c r="B277" s="941" t="s">
        <v>1092</v>
      </c>
      <c r="C277" s="850" t="s">
        <v>377</v>
      </c>
      <c r="D277" s="838"/>
      <c r="E277" s="836" t="s">
        <v>201</v>
      </c>
      <c r="F277" s="820" t="s">
        <v>23</v>
      </c>
      <c r="G277" s="360">
        <v>2</v>
      </c>
      <c r="H277" s="360" t="s">
        <v>71</v>
      </c>
      <c r="I277" s="360">
        <v>244</v>
      </c>
      <c r="J277" s="361">
        <v>226</v>
      </c>
      <c r="K277" s="532" t="s">
        <v>538</v>
      </c>
      <c r="L277" s="1023">
        <f>SUM(L278:L299)</f>
        <v>1803554.78</v>
      </c>
      <c r="M277" s="1292">
        <f>SUM(M278:M299)</f>
        <v>35000</v>
      </c>
      <c r="N277" s="363">
        <f>SUM(N278:N299)</f>
        <v>0</v>
      </c>
      <c r="O277" s="1051">
        <f t="shared" si="944"/>
        <v>1803554.78</v>
      </c>
      <c r="P277" s="571"/>
      <c r="Q277" s="367">
        <f>SUM(Q278:Q299)</f>
        <v>2662888.88</v>
      </c>
      <c r="R277" s="557"/>
      <c r="S277" s="539">
        <f>SUM(S278:S299)</f>
        <v>2675018.4700000002</v>
      </c>
      <c r="T277" s="557"/>
      <c r="U277" s="365"/>
      <c r="V277" s="366"/>
      <c r="W277" s="366"/>
      <c r="X277" s="366"/>
      <c r="Z277" s="367">
        <f t="shared" si="962"/>
        <v>755371.96</v>
      </c>
      <c r="AA277" s="363">
        <f t="shared" si="962"/>
        <v>91371.96</v>
      </c>
      <c r="AB277" s="280">
        <f t="shared" si="946"/>
        <v>664000</v>
      </c>
      <c r="AC277" s="367">
        <f t="shared" si="963"/>
        <v>683790.11</v>
      </c>
      <c r="AD277" s="363">
        <f t="shared" si="963"/>
        <v>262674.84999999998</v>
      </c>
      <c r="AE277" s="280">
        <f t="shared" si="948"/>
        <v>421115.26</v>
      </c>
      <c r="AF277" s="367">
        <f t="shared" si="964"/>
        <v>205330.56</v>
      </c>
      <c r="AG277" s="363">
        <f t="shared" si="964"/>
        <v>102879.91</v>
      </c>
      <c r="AH277" s="280">
        <f t="shared" si="950"/>
        <v>102450.65</v>
      </c>
      <c r="AI277" s="367">
        <f t="shared" si="965"/>
        <v>650160.96</v>
      </c>
      <c r="AJ277" s="363">
        <f t="shared" si="965"/>
        <v>33700.39</v>
      </c>
      <c r="AK277" s="280">
        <f t="shared" si="952"/>
        <v>616460.56999999995</v>
      </c>
      <c r="AL277" s="368"/>
      <c r="AM277" s="367">
        <f t="shared" si="966"/>
        <v>1439162.07</v>
      </c>
      <c r="AN277" s="363">
        <f t="shared" si="966"/>
        <v>354046.81</v>
      </c>
      <c r="AO277" s="280">
        <f t="shared" si="954"/>
        <v>1085115.26</v>
      </c>
      <c r="AP277" s="367">
        <f t="shared" si="967"/>
        <v>1644492.63</v>
      </c>
      <c r="AQ277" s="363">
        <f t="shared" si="967"/>
        <v>456926.71999999997</v>
      </c>
      <c r="AR277" s="280">
        <f t="shared" si="940"/>
        <v>1187565.9099999999</v>
      </c>
      <c r="AS277" s="367">
        <f t="shared" si="968"/>
        <v>2294653.59</v>
      </c>
      <c r="AT277" s="363">
        <f t="shared" si="968"/>
        <v>490627.11</v>
      </c>
      <c r="AU277" s="280">
        <f t="shared" si="942"/>
        <v>1804026.48</v>
      </c>
      <c r="AV277" s="1253">
        <f t="shared" si="970"/>
        <v>-491098.81</v>
      </c>
      <c r="AW277" s="367">
        <f t="shared" ref="AW277:BT277" si="984">SUM(AW278:AW299)</f>
        <v>0</v>
      </c>
      <c r="AX277" s="363">
        <f t="shared" si="984"/>
        <v>0</v>
      </c>
      <c r="AY277" s="363">
        <f t="shared" si="984"/>
        <v>17709</v>
      </c>
      <c r="AZ277" s="363">
        <f t="shared" si="984"/>
        <v>42609</v>
      </c>
      <c r="BA277" s="363">
        <f t="shared" si="984"/>
        <v>737662.96</v>
      </c>
      <c r="BB277" s="369">
        <f t="shared" si="984"/>
        <v>48762.96</v>
      </c>
      <c r="BC277" s="367">
        <f t="shared" si="984"/>
        <v>124819.1</v>
      </c>
      <c r="BD277" s="363">
        <f t="shared" si="984"/>
        <v>94804.1</v>
      </c>
      <c r="BE277" s="363">
        <f t="shared" si="984"/>
        <v>396138</v>
      </c>
      <c r="BF277" s="363">
        <f t="shared" si="984"/>
        <v>70937.740000000005</v>
      </c>
      <c r="BG277" s="363">
        <f t="shared" si="984"/>
        <v>162833.01</v>
      </c>
      <c r="BH277" s="369">
        <f t="shared" si="984"/>
        <v>96933.01</v>
      </c>
      <c r="BI277" s="367">
        <f t="shared" si="984"/>
        <v>116530.56</v>
      </c>
      <c r="BJ277" s="363">
        <f t="shared" si="984"/>
        <v>102879.91</v>
      </c>
      <c r="BK277" s="363">
        <f t="shared" si="984"/>
        <v>46000</v>
      </c>
      <c r="BL277" s="363">
        <f t="shared" si="984"/>
        <v>0</v>
      </c>
      <c r="BM277" s="363">
        <f t="shared" si="984"/>
        <v>42800</v>
      </c>
      <c r="BN277" s="369">
        <f t="shared" si="984"/>
        <v>0</v>
      </c>
      <c r="BO277" s="367">
        <f t="shared" si="984"/>
        <v>44700.39</v>
      </c>
      <c r="BP277" s="363">
        <f t="shared" si="984"/>
        <v>33700.39</v>
      </c>
      <c r="BQ277" s="363">
        <f t="shared" si="984"/>
        <v>11000</v>
      </c>
      <c r="BR277" s="363">
        <f t="shared" si="984"/>
        <v>0</v>
      </c>
      <c r="BS277" s="363">
        <f t="shared" si="984"/>
        <v>594460.56999999995</v>
      </c>
      <c r="BT277" s="280">
        <f t="shared" si="984"/>
        <v>0</v>
      </c>
    </row>
    <row r="278" spans="1:72" s="615" customFormat="1" ht="38.25" outlineLevel="1">
      <c r="A278" s="287">
        <v>214</v>
      </c>
      <c r="B278" s="933"/>
      <c r="C278" s="866"/>
      <c r="D278" s="841"/>
      <c r="E278" s="867"/>
      <c r="F278" s="832" t="s">
        <v>23</v>
      </c>
      <c r="G278" s="616">
        <v>2</v>
      </c>
      <c r="H278" s="749" t="s">
        <v>71</v>
      </c>
      <c r="I278" s="749">
        <v>244</v>
      </c>
      <c r="J278" s="750">
        <v>226</v>
      </c>
      <c r="K278" s="534" t="s">
        <v>343</v>
      </c>
      <c r="L278" s="1043">
        <v>0</v>
      </c>
      <c r="M278" s="619"/>
      <c r="N278" s="619"/>
      <c r="O278" s="1054">
        <f t="shared" si="944"/>
        <v>0</v>
      </c>
      <c r="P278" s="620"/>
      <c r="Q278" s="509"/>
      <c r="R278" s="560"/>
      <c r="S278" s="542"/>
      <c r="T278" s="560"/>
      <c r="U278" s="621"/>
      <c r="V278" s="388" t="s">
        <v>253</v>
      </c>
      <c r="W278" s="388" t="s">
        <v>330</v>
      </c>
      <c r="X278" s="388" t="s">
        <v>243</v>
      </c>
      <c r="Z278" s="509">
        <f t="shared" si="962"/>
        <v>0</v>
      </c>
      <c r="AA278" s="622">
        <f t="shared" si="962"/>
        <v>0</v>
      </c>
      <c r="AB278" s="623">
        <f t="shared" si="946"/>
        <v>0</v>
      </c>
      <c r="AC278" s="509">
        <f t="shared" si="963"/>
        <v>0</v>
      </c>
      <c r="AD278" s="622">
        <f t="shared" si="963"/>
        <v>0</v>
      </c>
      <c r="AE278" s="623">
        <f t="shared" si="948"/>
        <v>0</v>
      </c>
      <c r="AF278" s="509">
        <f t="shared" si="964"/>
        <v>0</v>
      </c>
      <c r="AG278" s="622">
        <f t="shared" si="964"/>
        <v>0</v>
      </c>
      <c r="AH278" s="623">
        <f t="shared" si="950"/>
        <v>0</v>
      </c>
      <c r="AI278" s="509">
        <f t="shared" si="965"/>
        <v>0</v>
      </c>
      <c r="AJ278" s="622">
        <f t="shared" si="965"/>
        <v>0</v>
      </c>
      <c r="AK278" s="623">
        <f t="shared" si="952"/>
        <v>0</v>
      </c>
      <c r="AL278" s="624"/>
      <c r="AM278" s="509">
        <f t="shared" si="966"/>
        <v>0</v>
      </c>
      <c r="AN278" s="625">
        <f t="shared" si="966"/>
        <v>0</v>
      </c>
      <c r="AO278" s="626">
        <f t="shared" si="954"/>
        <v>0</v>
      </c>
      <c r="AP278" s="509">
        <f t="shared" si="967"/>
        <v>0</v>
      </c>
      <c r="AQ278" s="625">
        <f t="shared" si="967"/>
        <v>0</v>
      </c>
      <c r="AR278" s="626">
        <f t="shared" si="940"/>
        <v>0</v>
      </c>
      <c r="AS278" s="510">
        <f t="shared" si="968"/>
        <v>0</v>
      </c>
      <c r="AT278" s="625">
        <f t="shared" si="968"/>
        <v>0</v>
      </c>
      <c r="AU278" s="626">
        <f t="shared" si="942"/>
        <v>0</v>
      </c>
      <c r="AV278" s="440">
        <f t="shared" si="970"/>
        <v>0</v>
      </c>
      <c r="AW278" s="628"/>
      <c r="AX278" s="629"/>
      <c r="AY278" s="630"/>
      <c r="AZ278" s="629"/>
      <c r="BA278" s="630"/>
      <c r="BB278" s="631"/>
      <c r="BC278" s="632"/>
      <c r="BD278" s="633"/>
      <c r="BE278" s="634"/>
      <c r="BF278" s="633"/>
      <c r="BG278" s="634"/>
      <c r="BH278" s="635"/>
      <c r="BI278" s="636"/>
      <c r="BJ278" s="637"/>
      <c r="BK278" s="622"/>
      <c r="BL278" s="637"/>
      <c r="BM278" s="622"/>
      <c r="BN278" s="638"/>
      <c r="BO278" s="639"/>
      <c r="BP278" s="640"/>
      <c r="BQ278" s="641"/>
      <c r="BR278" s="640"/>
      <c r="BS278" s="641"/>
      <c r="BT278" s="642"/>
    </row>
    <row r="279" spans="1:72" s="615" customFormat="1" ht="25.5" outlineLevel="1">
      <c r="A279" s="287">
        <v>215</v>
      </c>
      <c r="B279" s="933"/>
      <c r="C279" s="866"/>
      <c r="D279" s="841"/>
      <c r="E279" s="867"/>
      <c r="F279" s="832" t="s">
        <v>23</v>
      </c>
      <c r="G279" s="616">
        <v>2</v>
      </c>
      <c r="H279" s="749" t="s">
        <v>71</v>
      </c>
      <c r="I279" s="749">
        <v>244</v>
      </c>
      <c r="J279" s="750">
        <v>226</v>
      </c>
      <c r="K279" s="534" t="s">
        <v>344</v>
      </c>
      <c r="L279" s="1043">
        <v>0</v>
      </c>
      <c r="M279" s="619"/>
      <c r="N279" s="619"/>
      <c r="O279" s="1054">
        <f t="shared" si="944"/>
        <v>0</v>
      </c>
      <c r="P279" s="620"/>
      <c r="Q279" s="509"/>
      <c r="R279" s="560"/>
      <c r="S279" s="542"/>
      <c r="T279" s="560"/>
      <c r="U279" s="621"/>
      <c r="V279" s="388" t="s">
        <v>599</v>
      </c>
      <c r="W279" s="388" t="s">
        <v>333</v>
      </c>
      <c r="X279" s="388" t="s">
        <v>334</v>
      </c>
      <c r="Z279" s="509">
        <f t="shared" si="962"/>
        <v>0</v>
      </c>
      <c r="AA279" s="622">
        <f t="shared" si="962"/>
        <v>0</v>
      </c>
      <c r="AB279" s="623">
        <f t="shared" si="946"/>
        <v>0</v>
      </c>
      <c r="AC279" s="509">
        <f t="shared" si="963"/>
        <v>0</v>
      </c>
      <c r="AD279" s="622">
        <f t="shared" si="963"/>
        <v>0</v>
      </c>
      <c r="AE279" s="623">
        <f t="shared" si="948"/>
        <v>0</v>
      </c>
      <c r="AF279" s="509">
        <f t="shared" si="964"/>
        <v>0</v>
      </c>
      <c r="AG279" s="622">
        <f t="shared" si="964"/>
        <v>0</v>
      </c>
      <c r="AH279" s="623">
        <f t="shared" si="950"/>
        <v>0</v>
      </c>
      <c r="AI279" s="509">
        <f t="shared" si="965"/>
        <v>0</v>
      </c>
      <c r="AJ279" s="622">
        <f t="shared" si="965"/>
        <v>0</v>
      </c>
      <c r="AK279" s="623">
        <f t="shared" si="952"/>
        <v>0</v>
      </c>
      <c r="AL279" s="624"/>
      <c r="AM279" s="509">
        <f t="shared" si="966"/>
        <v>0</v>
      </c>
      <c r="AN279" s="625">
        <f t="shared" si="966"/>
        <v>0</v>
      </c>
      <c r="AO279" s="626">
        <f t="shared" si="954"/>
        <v>0</v>
      </c>
      <c r="AP279" s="509">
        <f t="shared" si="967"/>
        <v>0</v>
      </c>
      <c r="AQ279" s="625">
        <f t="shared" si="967"/>
        <v>0</v>
      </c>
      <c r="AR279" s="626">
        <f t="shared" si="940"/>
        <v>0</v>
      </c>
      <c r="AS279" s="510">
        <f t="shared" si="968"/>
        <v>0</v>
      </c>
      <c r="AT279" s="625">
        <f t="shared" si="968"/>
        <v>0</v>
      </c>
      <c r="AU279" s="626">
        <f t="shared" si="942"/>
        <v>0</v>
      </c>
      <c r="AV279" s="440">
        <f t="shared" si="970"/>
        <v>0</v>
      </c>
      <c r="AW279" s="628"/>
      <c r="AX279" s="629"/>
      <c r="AY279" s="630"/>
      <c r="AZ279" s="629"/>
      <c r="BA279" s="630"/>
      <c r="BB279" s="631"/>
      <c r="BC279" s="632"/>
      <c r="BD279" s="633"/>
      <c r="BE279" s="634"/>
      <c r="BF279" s="633"/>
      <c r="BG279" s="634"/>
      <c r="BH279" s="635"/>
      <c r="BI279" s="636"/>
      <c r="BJ279" s="637"/>
      <c r="BK279" s="622"/>
      <c r="BL279" s="637"/>
      <c r="BM279" s="622"/>
      <c r="BN279" s="638"/>
      <c r="BO279" s="639"/>
      <c r="BP279" s="640"/>
      <c r="BQ279" s="641"/>
      <c r="BR279" s="640"/>
      <c r="BS279" s="641"/>
      <c r="BT279" s="642"/>
    </row>
    <row r="280" spans="1:72" s="313" customFormat="1" ht="132" customHeight="1" outlineLevel="1">
      <c r="A280" s="287">
        <v>216</v>
      </c>
      <c r="B280" s="933"/>
      <c r="C280" s="840"/>
      <c r="D280" s="841"/>
      <c r="E280" s="839"/>
      <c r="F280" s="821" t="s">
        <v>23</v>
      </c>
      <c r="G280" s="314">
        <v>2</v>
      </c>
      <c r="H280" s="739" t="s">
        <v>71</v>
      </c>
      <c r="I280" s="739">
        <v>244</v>
      </c>
      <c r="J280" s="740">
        <v>226</v>
      </c>
      <c r="K280" s="533" t="s">
        <v>627</v>
      </c>
      <c r="L280" s="1025">
        <f>156000</f>
        <v>156000</v>
      </c>
      <c r="M280" s="318"/>
      <c r="N280" s="318"/>
      <c r="O280" s="1052">
        <f t="shared" si="944"/>
        <v>156000</v>
      </c>
      <c r="P280" s="570"/>
      <c r="Q280" s="336">
        <f>28489.72+72210.68</f>
        <v>100700.4</v>
      </c>
      <c r="R280" s="559"/>
      <c r="S280" s="541">
        <f>28489.72+82694.16</f>
        <v>111183.88</v>
      </c>
      <c r="T280" s="559"/>
      <c r="U280" s="335"/>
      <c r="V280" s="597" t="s">
        <v>470</v>
      </c>
      <c r="W280" s="597" t="s">
        <v>871</v>
      </c>
      <c r="X280" s="597" t="s">
        <v>739</v>
      </c>
      <c r="Z280" s="336">
        <f t="shared" si="962"/>
        <v>2409</v>
      </c>
      <c r="AA280" s="337">
        <f t="shared" si="962"/>
        <v>2409</v>
      </c>
      <c r="AB280" s="338">
        <f t="shared" si="946"/>
        <v>0</v>
      </c>
      <c r="AC280" s="336">
        <f t="shared" si="963"/>
        <v>22500</v>
      </c>
      <c r="AD280" s="337">
        <f t="shared" si="963"/>
        <v>0</v>
      </c>
      <c r="AE280" s="338">
        <f t="shared" si="948"/>
        <v>22500</v>
      </c>
      <c r="AF280" s="336">
        <f t="shared" si="964"/>
        <v>0</v>
      </c>
      <c r="AG280" s="337">
        <f t="shared" si="964"/>
        <v>0</v>
      </c>
      <c r="AH280" s="338">
        <f t="shared" si="950"/>
        <v>0</v>
      </c>
      <c r="AI280" s="336">
        <f t="shared" si="965"/>
        <v>131091</v>
      </c>
      <c r="AJ280" s="337">
        <f t="shared" si="965"/>
        <v>0</v>
      </c>
      <c r="AK280" s="338">
        <f t="shared" si="952"/>
        <v>131091</v>
      </c>
      <c r="AL280" s="342"/>
      <c r="AM280" s="336">
        <f t="shared" si="966"/>
        <v>24909</v>
      </c>
      <c r="AN280" s="339">
        <f t="shared" si="966"/>
        <v>2409</v>
      </c>
      <c r="AO280" s="340">
        <f t="shared" si="954"/>
        <v>22500</v>
      </c>
      <c r="AP280" s="336">
        <f t="shared" si="967"/>
        <v>24909</v>
      </c>
      <c r="AQ280" s="339">
        <f t="shared" si="967"/>
        <v>2409</v>
      </c>
      <c r="AR280" s="340">
        <f t="shared" si="940"/>
        <v>22500</v>
      </c>
      <c r="AS280" s="341">
        <f t="shared" si="968"/>
        <v>156000</v>
      </c>
      <c r="AT280" s="339">
        <f t="shared" si="968"/>
        <v>2409</v>
      </c>
      <c r="AU280" s="340">
        <f t="shared" si="942"/>
        <v>153591</v>
      </c>
      <c r="AV280" s="1255">
        <f t="shared" si="970"/>
        <v>0</v>
      </c>
      <c r="AW280" s="343"/>
      <c r="AX280" s="344"/>
      <c r="AY280" s="345">
        <v>2409</v>
      </c>
      <c r="AZ280" s="344">
        <v>2409</v>
      </c>
      <c r="BA280" s="1133"/>
      <c r="BB280" s="346"/>
      <c r="BC280" s="1134">
        <v>15000</v>
      </c>
      <c r="BD280" s="348"/>
      <c r="BE280" s="349"/>
      <c r="BF280" s="348"/>
      <c r="BG280" s="1135">
        <v>7500</v>
      </c>
      <c r="BH280" s="350"/>
      <c r="BI280" s="351"/>
      <c r="BJ280" s="352"/>
      <c r="BK280" s="337"/>
      <c r="BL280" s="352"/>
      <c r="BM280" s="337"/>
      <c r="BN280" s="353"/>
      <c r="BO280" s="354"/>
      <c r="BP280" s="355"/>
      <c r="BQ280" s="356"/>
      <c r="BR280" s="355"/>
      <c r="BS280" s="356">
        <f>156000-2409-15000-7500</f>
        <v>131091</v>
      </c>
      <c r="BT280" s="357"/>
    </row>
    <row r="281" spans="1:72" s="313" customFormat="1" ht="25.5" outlineLevel="1">
      <c r="A281" s="287">
        <v>217</v>
      </c>
      <c r="B281" s="941"/>
      <c r="C281" s="840"/>
      <c r="D281" s="841"/>
      <c r="E281" s="839"/>
      <c r="F281" s="821" t="s">
        <v>23</v>
      </c>
      <c r="G281" s="314">
        <v>2</v>
      </c>
      <c r="H281" s="739" t="s">
        <v>71</v>
      </c>
      <c r="I281" s="739">
        <v>244</v>
      </c>
      <c r="J281" s="740">
        <v>226</v>
      </c>
      <c r="K281" s="533" t="s">
        <v>346</v>
      </c>
      <c r="L281" s="1025">
        <v>12600</v>
      </c>
      <c r="M281" s="318"/>
      <c r="N281" s="318"/>
      <c r="O281" s="1052">
        <f t="shared" si="944"/>
        <v>12600</v>
      </c>
      <c r="P281" s="570"/>
      <c r="Q281" s="336"/>
      <c r="R281" s="559"/>
      <c r="S281" s="541"/>
      <c r="T281" s="559"/>
      <c r="U281" s="335"/>
      <c r="V281" s="596" t="s">
        <v>471</v>
      </c>
      <c r="W281" s="610" t="s">
        <v>472</v>
      </c>
      <c r="X281" s="388" t="s">
        <v>235</v>
      </c>
      <c r="Z281" s="336">
        <f t="shared" si="962"/>
        <v>12600</v>
      </c>
      <c r="AA281" s="337">
        <f t="shared" si="962"/>
        <v>12600</v>
      </c>
      <c r="AB281" s="338">
        <f t="shared" si="946"/>
        <v>0</v>
      </c>
      <c r="AC281" s="336">
        <f t="shared" si="963"/>
        <v>0</v>
      </c>
      <c r="AD281" s="337">
        <f t="shared" si="963"/>
        <v>0</v>
      </c>
      <c r="AE281" s="338">
        <f t="shared" si="948"/>
        <v>0</v>
      </c>
      <c r="AF281" s="336">
        <f t="shared" si="964"/>
        <v>0</v>
      </c>
      <c r="AG281" s="337">
        <f t="shared" si="964"/>
        <v>0</v>
      </c>
      <c r="AH281" s="338">
        <f t="shared" si="950"/>
        <v>0</v>
      </c>
      <c r="AI281" s="336">
        <f t="shared" si="965"/>
        <v>0</v>
      </c>
      <c r="AJ281" s="337">
        <f t="shared" si="965"/>
        <v>0</v>
      </c>
      <c r="AK281" s="338">
        <f t="shared" si="952"/>
        <v>0</v>
      </c>
      <c r="AL281" s="342"/>
      <c r="AM281" s="336">
        <f t="shared" si="966"/>
        <v>12600</v>
      </c>
      <c r="AN281" s="339">
        <f t="shared" si="966"/>
        <v>12600</v>
      </c>
      <c r="AO281" s="340">
        <f t="shared" si="954"/>
        <v>0</v>
      </c>
      <c r="AP281" s="336">
        <f t="shared" si="967"/>
        <v>12600</v>
      </c>
      <c r="AQ281" s="339">
        <f t="shared" si="967"/>
        <v>12600</v>
      </c>
      <c r="AR281" s="340">
        <f t="shared" si="940"/>
        <v>0</v>
      </c>
      <c r="AS281" s="341">
        <f t="shared" si="968"/>
        <v>12600</v>
      </c>
      <c r="AT281" s="339">
        <f t="shared" si="968"/>
        <v>12600</v>
      </c>
      <c r="AU281" s="340">
        <f t="shared" si="942"/>
        <v>0</v>
      </c>
      <c r="AV281" s="1255">
        <f t="shared" si="970"/>
        <v>0</v>
      </c>
      <c r="AW281" s="343"/>
      <c r="AX281" s="344"/>
      <c r="AY281" s="1133">
        <v>12600</v>
      </c>
      <c r="AZ281" s="1152">
        <v>12600</v>
      </c>
      <c r="BA281" s="345"/>
      <c r="BB281" s="346"/>
      <c r="BC281" s="347"/>
      <c r="BD281" s="348"/>
      <c r="BE281" s="349"/>
      <c r="BF281" s="348"/>
      <c r="BG281" s="349"/>
      <c r="BH281" s="350"/>
      <c r="BI281" s="351"/>
      <c r="BJ281" s="352"/>
      <c r="BK281" s="337"/>
      <c r="BL281" s="352"/>
      <c r="BM281" s="337"/>
      <c r="BN281" s="353"/>
      <c r="BO281" s="354"/>
      <c r="BP281" s="355"/>
      <c r="BQ281" s="356"/>
      <c r="BR281" s="355"/>
      <c r="BS281" s="356"/>
      <c r="BT281" s="357"/>
    </row>
    <row r="282" spans="1:72" s="313" customFormat="1" ht="63.75" outlineLevel="1">
      <c r="A282" s="287">
        <v>218</v>
      </c>
      <c r="B282" s="1143"/>
      <c r="C282" s="840"/>
      <c r="D282" s="841"/>
      <c r="E282" s="839"/>
      <c r="F282" s="821" t="s">
        <v>23</v>
      </c>
      <c r="G282" s="314">
        <v>2</v>
      </c>
      <c r="H282" s="739" t="s">
        <v>71</v>
      </c>
      <c r="I282" s="739">
        <v>244</v>
      </c>
      <c r="J282" s="740">
        <v>226</v>
      </c>
      <c r="K282" s="533" t="s">
        <v>719</v>
      </c>
      <c r="L282" s="1025">
        <v>8400</v>
      </c>
      <c r="M282" s="318"/>
      <c r="N282" s="318"/>
      <c r="O282" s="1052">
        <f t="shared" si="944"/>
        <v>8400</v>
      </c>
      <c r="P282" s="570"/>
      <c r="Q282" s="336"/>
      <c r="R282" s="559"/>
      <c r="S282" s="541"/>
      <c r="T282" s="559"/>
      <c r="U282" s="335"/>
      <c r="V282" s="596" t="s">
        <v>471</v>
      </c>
      <c r="W282" s="597" t="s">
        <v>720</v>
      </c>
      <c r="X282" s="597" t="s">
        <v>721</v>
      </c>
      <c r="Z282" s="336">
        <f t="shared" si="962"/>
        <v>0</v>
      </c>
      <c r="AA282" s="337">
        <f t="shared" si="962"/>
        <v>0</v>
      </c>
      <c r="AB282" s="338">
        <f t="shared" si="946"/>
        <v>0</v>
      </c>
      <c r="AC282" s="336">
        <f t="shared" si="963"/>
        <v>8400</v>
      </c>
      <c r="AD282" s="337">
        <f t="shared" si="963"/>
        <v>8400</v>
      </c>
      <c r="AE282" s="338">
        <f t="shared" si="948"/>
        <v>0</v>
      </c>
      <c r="AF282" s="336">
        <f t="shared" si="964"/>
        <v>0</v>
      </c>
      <c r="AG282" s="337">
        <f t="shared" si="964"/>
        <v>0</v>
      </c>
      <c r="AH282" s="338">
        <f t="shared" si="950"/>
        <v>0</v>
      </c>
      <c r="AI282" s="336">
        <f t="shared" si="965"/>
        <v>0</v>
      </c>
      <c r="AJ282" s="337">
        <f t="shared" si="965"/>
        <v>0</v>
      </c>
      <c r="AK282" s="338">
        <f t="shared" si="952"/>
        <v>0</v>
      </c>
      <c r="AL282" s="342"/>
      <c r="AM282" s="336">
        <f t="shared" si="966"/>
        <v>8400</v>
      </c>
      <c r="AN282" s="339">
        <f t="shared" si="966"/>
        <v>8400</v>
      </c>
      <c r="AO282" s="340">
        <f t="shared" si="954"/>
        <v>0</v>
      </c>
      <c r="AP282" s="336">
        <f t="shared" si="967"/>
        <v>8400</v>
      </c>
      <c r="AQ282" s="339">
        <f t="shared" si="967"/>
        <v>8400</v>
      </c>
      <c r="AR282" s="340">
        <f t="shared" si="940"/>
        <v>0</v>
      </c>
      <c r="AS282" s="341">
        <f t="shared" si="968"/>
        <v>8400</v>
      </c>
      <c r="AT282" s="339">
        <f t="shared" si="968"/>
        <v>8400</v>
      </c>
      <c r="AU282" s="340">
        <f t="shared" si="942"/>
        <v>0</v>
      </c>
      <c r="AV282" s="1255">
        <f t="shared" si="970"/>
        <v>0</v>
      </c>
      <c r="AW282" s="343"/>
      <c r="AX282" s="344"/>
      <c r="AY282" s="345"/>
      <c r="AZ282" s="344"/>
      <c r="BA282" s="345"/>
      <c r="BB282" s="346"/>
      <c r="BC282" s="1134">
        <v>8400</v>
      </c>
      <c r="BD282" s="1140">
        <v>8400</v>
      </c>
      <c r="BE282" s="349"/>
      <c r="BF282" s="348"/>
      <c r="BG282" s="349"/>
      <c r="BH282" s="350"/>
      <c r="BI282" s="351"/>
      <c r="BJ282" s="352"/>
      <c r="BK282" s="337"/>
      <c r="BL282" s="352"/>
      <c r="BM282" s="337"/>
      <c r="BN282" s="353"/>
      <c r="BO282" s="354"/>
      <c r="BP282" s="355"/>
      <c r="BQ282" s="356"/>
      <c r="BR282" s="355"/>
      <c r="BS282" s="356"/>
      <c r="BT282" s="357"/>
    </row>
    <row r="283" spans="1:72" s="615" customFormat="1" ht="38.25" outlineLevel="1">
      <c r="A283" s="287">
        <v>219</v>
      </c>
      <c r="B283" s="933"/>
      <c r="C283" s="866"/>
      <c r="D283" s="841"/>
      <c r="E283" s="867"/>
      <c r="F283" s="832" t="s">
        <v>23</v>
      </c>
      <c r="G283" s="616">
        <v>2</v>
      </c>
      <c r="H283" s="749" t="s">
        <v>71</v>
      </c>
      <c r="I283" s="749">
        <v>244</v>
      </c>
      <c r="J283" s="750">
        <v>226</v>
      </c>
      <c r="K283" s="534" t="s">
        <v>371</v>
      </c>
      <c r="L283" s="1043">
        <v>0</v>
      </c>
      <c r="M283" s="619"/>
      <c r="N283" s="619"/>
      <c r="O283" s="1054">
        <f t="shared" si="944"/>
        <v>0</v>
      </c>
      <c r="P283" s="620"/>
      <c r="Q283" s="509"/>
      <c r="R283" s="560"/>
      <c r="S283" s="542"/>
      <c r="T283" s="560"/>
      <c r="U283" s="621"/>
      <c r="V283" s="388"/>
      <c r="W283" s="388"/>
      <c r="X283" s="388"/>
      <c r="Z283" s="509">
        <f t="shared" si="962"/>
        <v>0</v>
      </c>
      <c r="AA283" s="622">
        <f t="shared" si="962"/>
        <v>0</v>
      </c>
      <c r="AB283" s="623">
        <f t="shared" si="946"/>
        <v>0</v>
      </c>
      <c r="AC283" s="509">
        <f t="shared" si="963"/>
        <v>0</v>
      </c>
      <c r="AD283" s="622">
        <f t="shared" si="963"/>
        <v>0</v>
      </c>
      <c r="AE283" s="623">
        <f t="shared" si="948"/>
        <v>0</v>
      </c>
      <c r="AF283" s="509">
        <f t="shared" si="964"/>
        <v>0</v>
      </c>
      <c r="AG283" s="622">
        <f t="shared" si="964"/>
        <v>0</v>
      </c>
      <c r="AH283" s="623">
        <f t="shared" si="950"/>
        <v>0</v>
      </c>
      <c r="AI283" s="509">
        <f t="shared" si="965"/>
        <v>0</v>
      </c>
      <c r="AJ283" s="622">
        <f t="shared" si="965"/>
        <v>0</v>
      </c>
      <c r="AK283" s="623">
        <f t="shared" si="952"/>
        <v>0</v>
      </c>
      <c r="AL283" s="624"/>
      <c r="AM283" s="509">
        <f t="shared" si="966"/>
        <v>0</v>
      </c>
      <c r="AN283" s="625">
        <f t="shared" si="966"/>
        <v>0</v>
      </c>
      <c r="AO283" s="626">
        <f t="shared" si="954"/>
        <v>0</v>
      </c>
      <c r="AP283" s="509">
        <f t="shared" si="967"/>
        <v>0</v>
      </c>
      <c r="AQ283" s="625">
        <f t="shared" si="967"/>
        <v>0</v>
      </c>
      <c r="AR283" s="626">
        <f t="shared" si="940"/>
        <v>0</v>
      </c>
      <c r="AS283" s="510">
        <f t="shared" si="968"/>
        <v>0</v>
      </c>
      <c r="AT283" s="625">
        <f t="shared" si="968"/>
        <v>0</v>
      </c>
      <c r="AU283" s="626">
        <f t="shared" si="942"/>
        <v>0</v>
      </c>
      <c r="AV283" s="440">
        <f t="shared" si="970"/>
        <v>0</v>
      </c>
      <c r="AW283" s="628"/>
      <c r="AX283" s="629"/>
      <c r="AY283" s="630"/>
      <c r="AZ283" s="629"/>
      <c r="BA283" s="630"/>
      <c r="BB283" s="631"/>
      <c r="BC283" s="632"/>
      <c r="BD283" s="633"/>
      <c r="BE283" s="634"/>
      <c r="BF283" s="633"/>
      <c r="BG283" s="634"/>
      <c r="BH283" s="635"/>
      <c r="BI283" s="636"/>
      <c r="BJ283" s="637"/>
      <c r="BK283" s="622"/>
      <c r="BL283" s="637"/>
      <c r="BM283" s="622"/>
      <c r="BN283" s="638"/>
      <c r="BO283" s="639"/>
      <c r="BP283" s="640"/>
      <c r="BQ283" s="641"/>
      <c r="BR283" s="640"/>
      <c r="BS283" s="641"/>
      <c r="BT283" s="642"/>
    </row>
    <row r="284" spans="1:72" s="615" customFormat="1" ht="38.25" outlineLevel="1">
      <c r="A284" s="287">
        <v>220</v>
      </c>
      <c r="B284" s="933"/>
      <c r="C284" s="866"/>
      <c r="D284" s="841"/>
      <c r="E284" s="867"/>
      <c r="F284" s="832" t="s">
        <v>23</v>
      </c>
      <c r="G284" s="616">
        <v>2</v>
      </c>
      <c r="H284" s="749" t="s">
        <v>71</v>
      </c>
      <c r="I284" s="749">
        <v>244</v>
      </c>
      <c r="J284" s="750">
        <v>226</v>
      </c>
      <c r="K284" s="534" t="s">
        <v>396</v>
      </c>
      <c r="L284" s="1043">
        <v>0</v>
      </c>
      <c r="M284" s="619"/>
      <c r="N284" s="619"/>
      <c r="O284" s="1054">
        <f t="shared" si="944"/>
        <v>0</v>
      </c>
      <c r="P284" s="620"/>
      <c r="Q284" s="509"/>
      <c r="R284" s="560"/>
      <c r="S284" s="542"/>
      <c r="T284" s="560"/>
      <c r="U284" s="621"/>
      <c r="V284" s="388" t="s">
        <v>331</v>
      </c>
      <c r="W284" s="388" t="s">
        <v>332</v>
      </c>
      <c r="X284" s="388" t="s">
        <v>243</v>
      </c>
      <c r="Z284" s="509">
        <f t="shared" si="962"/>
        <v>0</v>
      </c>
      <c r="AA284" s="622">
        <f t="shared" si="962"/>
        <v>0</v>
      </c>
      <c r="AB284" s="623">
        <f t="shared" si="946"/>
        <v>0</v>
      </c>
      <c r="AC284" s="509">
        <f t="shared" si="963"/>
        <v>0</v>
      </c>
      <c r="AD284" s="622">
        <f t="shared" si="963"/>
        <v>0</v>
      </c>
      <c r="AE284" s="623">
        <f t="shared" si="948"/>
        <v>0</v>
      </c>
      <c r="AF284" s="509">
        <f t="shared" si="964"/>
        <v>0</v>
      </c>
      <c r="AG284" s="622">
        <f t="shared" si="964"/>
        <v>0</v>
      </c>
      <c r="AH284" s="623">
        <f t="shared" si="950"/>
        <v>0</v>
      </c>
      <c r="AI284" s="509">
        <f t="shared" si="965"/>
        <v>0</v>
      </c>
      <c r="AJ284" s="622">
        <f t="shared" si="965"/>
        <v>0</v>
      </c>
      <c r="AK284" s="623">
        <f t="shared" si="952"/>
        <v>0</v>
      </c>
      <c r="AL284" s="624"/>
      <c r="AM284" s="509">
        <f t="shared" si="966"/>
        <v>0</v>
      </c>
      <c r="AN284" s="625">
        <f t="shared" si="966"/>
        <v>0</v>
      </c>
      <c r="AO284" s="626">
        <f t="shared" si="954"/>
        <v>0</v>
      </c>
      <c r="AP284" s="509">
        <f t="shared" si="967"/>
        <v>0</v>
      </c>
      <c r="AQ284" s="625">
        <f t="shared" si="967"/>
        <v>0</v>
      </c>
      <c r="AR284" s="626">
        <f t="shared" si="940"/>
        <v>0</v>
      </c>
      <c r="AS284" s="510">
        <f t="shared" si="968"/>
        <v>0</v>
      </c>
      <c r="AT284" s="625">
        <f t="shared" si="968"/>
        <v>0</v>
      </c>
      <c r="AU284" s="626">
        <f t="shared" si="942"/>
        <v>0</v>
      </c>
      <c r="AV284" s="440">
        <f t="shared" si="970"/>
        <v>0</v>
      </c>
      <c r="AW284" s="628"/>
      <c r="AX284" s="629"/>
      <c r="AY284" s="630"/>
      <c r="AZ284" s="629"/>
      <c r="BA284" s="630"/>
      <c r="BB284" s="631"/>
      <c r="BC284" s="632"/>
      <c r="BD284" s="633"/>
      <c r="BE284" s="634"/>
      <c r="BF284" s="633"/>
      <c r="BG284" s="634"/>
      <c r="BH284" s="635"/>
      <c r="BI284" s="636"/>
      <c r="BJ284" s="637"/>
      <c r="BK284" s="622"/>
      <c r="BL284" s="637"/>
      <c r="BM284" s="622"/>
      <c r="BN284" s="638"/>
      <c r="BO284" s="639"/>
      <c r="BP284" s="640"/>
      <c r="BQ284" s="641"/>
      <c r="BR284" s="640"/>
      <c r="BS284" s="641"/>
      <c r="BT284" s="642"/>
    </row>
    <row r="285" spans="1:72" s="313" customFormat="1" ht="409.5" outlineLevel="1">
      <c r="A285" s="287">
        <v>221</v>
      </c>
      <c r="B285" s="1147" t="s">
        <v>1033</v>
      </c>
      <c r="C285" s="840"/>
      <c r="D285" s="841"/>
      <c r="E285" s="839"/>
      <c r="F285" s="821" t="s">
        <v>23</v>
      </c>
      <c r="G285" s="314">
        <v>2</v>
      </c>
      <c r="H285" s="739" t="s">
        <v>71</v>
      </c>
      <c r="I285" s="739">
        <v>244</v>
      </c>
      <c r="J285" s="740">
        <v>226</v>
      </c>
      <c r="K285" s="533" t="s">
        <v>802</v>
      </c>
      <c r="L285" s="1025">
        <f>1303567.18-100000+69426.41-39600-12600-2500-2700-10560-228988.11-8400-99000-19200-25000-24900-36010-5499-21210-1679-4101-38115-1159-201-8170-570-4200-7800-2000-13300-39692-60000</f>
        <v>555839.48</v>
      </c>
      <c r="M285" s="318"/>
      <c r="N285" s="318"/>
      <c r="O285" s="1052">
        <f t="shared" si="944"/>
        <v>555839.48</v>
      </c>
      <c r="P285" s="570"/>
      <c r="Q285" s="336">
        <f>1327835.02-39600</f>
        <v>1288235.02</v>
      </c>
      <c r="R285" s="559"/>
      <c r="S285" s="541">
        <f>1329481.13-39600</f>
        <v>1289881.1299999999</v>
      </c>
      <c r="T285" s="559"/>
      <c r="U285" s="335"/>
      <c r="V285" s="596" t="s">
        <v>338</v>
      </c>
      <c r="W285" s="596" t="s">
        <v>1067</v>
      </c>
      <c r="X285" s="596" t="s">
        <v>841</v>
      </c>
      <c r="Z285" s="336">
        <f t="shared" si="962"/>
        <v>46262.96</v>
      </c>
      <c r="AA285" s="337">
        <f t="shared" si="962"/>
        <v>46262.96</v>
      </c>
      <c r="AB285" s="338">
        <f t="shared" si="946"/>
        <v>0</v>
      </c>
      <c r="AC285" s="336">
        <f t="shared" si="963"/>
        <v>254274.85</v>
      </c>
      <c r="AD285" s="337">
        <f t="shared" si="963"/>
        <v>254274.85</v>
      </c>
      <c r="AE285" s="338">
        <f t="shared" si="948"/>
        <v>0</v>
      </c>
      <c r="AF285" s="336">
        <f t="shared" si="964"/>
        <v>102879.91</v>
      </c>
      <c r="AG285" s="337">
        <f t="shared" si="964"/>
        <v>102879.91</v>
      </c>
      <c r="AH285" s="338">
        <f t="shared" si="950"/>
        <v>0</v>
      </c>
      <c r="AI285" s="336">
        <f t="shared" si="965"/>
        <v>152421.76000000001</v>
      </c>
      <c r="AJ285" s="337">
        <f t="shared" si="965"/>
        <v>33700.39</v>
      </c>
      <c r="AK285" s="338">
        <f t="shared" si="952"/>
        <v>118721.37</v>
      </c>
      <c r="AL285" s="342"/>
      <c r="AM285" s="336">
        <f t="shared" si="966"/>
        <v>300537.81</v>
      </c>
      <c r="AN285" s="339">
        <f t="shared" si="966"/>
        <v>300537.81</v>
      </c>
      <c r="AO285" s="340">
        <f t="shared" si="954"/>
        <v>0</v>
      </c>
      <c r="AP285" s="336">
        <f t="shared" si="967"/>
        <v>403417.72</v>
      </c>
      <c r="AQ285" s="339">
        <f t="shared" si="967"/>
        <v>403417.72</v>
      </c>
      <c r="AR285" s="340">
        <f t="shared" si="940"/>
        <v>0</v>
      </c>
      <c r="AS285" s="341">
        <f t="shared" si="968"/>
        <v>555839.48</v>
      </c>
      <c r="AT285" s="339">
        <f t="shared" si="968"/>
        <v>437118.11</v>
      </c>
      <c r="AU285" s="340">
        <f t="shared" si="942"/>
        <v>118721.37</v>
      </c>
      <c r="AV285" s="1255">
        <f t="shared" si="970"/>
        <v>0</v>
      </c>
      <c r="AW285" s="343"/>
      <c r="AX285" s="344"/>
      <c r="AY285" s="345"/>
      <c r="AZ285" s="344"/>
      <c r="BA285" s="1217">
        <v>46262.96</v>
      </c>
      <c r="BB285" s="1219">
        <v>46262.96</v>
      </c>
      <c r="BC285" s="1220">
        <v>86404.1</v>
      </c>
      <c r="BD285" s="1221">
        <v>86404.1</v>
      </c>
      <c r="BE285" s="1222">
        <f>66275.8+4661.94</f>
        <v>70937.740000000005</v>
      </c>
      <c r="BF285" s="1221">
        <v>70937.740000000005</v>
      </c>
      <c r="BG285" s="1222">
        <v>96933.01</v>
      </c>
      <c r="BH285" s="1223">
        <v>96933.01</v>
      </c>
      <c r="BI285" s="1224">
        <v>102879.91</v>
      </c>
      <c r="BJ285" s="1225">
        <v>102879.91</v>
      </c>
      <c r="BK285" s="337"/>
      <c r="BL285" s="352"/>
      <c r="BM285" s="337"/>
      <c r="BN285" s="353"/>
      <c r="BO285" s="1138">
        <v>33700.39</v>
      </c>
      <c r="BP285" s="355">
        <v>33700.39</v>
      </c>
      <c r="BQ285" s="356"/>
      <c r="BR285" s="355"/>
      <c r="BS285" s="356">
        <v>118721.37</v>
      </c>
      <c r="BT285" s="357"/>
    </row>
    <row r="286" spans="1:72" s="313" customFormat="1" ht="38.25" outlineLevel="1">
      <c r="A286" s="287">
        <v>222</v>
      </c>
      <c r="B286" s="1148" t="s">
        <v>1068</v>
      </c>
      <c r="C286" s="840"/>
      <c r="D286" s="841"/>
      <c r="E286" s="839"/>
      <c r="F286" s="821" t="s">
        <v>23</v>
      </c>
      <c r="G286" s="314">
        <v>2</v>
      </c>
      <c r="H286" s="739" t="s">
        <v>71</v>
      </c>
      <c r="I286" s="739">
        <v>244</v>
      </c>
      <c r="J286" s="740">
        <v>226</v>
      </c>
      <c r="K286" s="533" t="s">
        <v>348</v>
      </c>
      <c r="L286" s="1025">
        <v>76788.2</v>
      </c>
      <c r="M286" s="318"/>
      <c r="N286" s="318">
        <f>-6350</f>
        <v>-6350</v>
      </c>
      <c r="O286" s="1052">
        <f t="shared" si="944"/>
        <v>70438.2</v>
      </c>
      <c r="P286" s="570"/>
      <c r="Q286" s="336">
        <v>76788.2</v>
      </c>
      <c r="R286" s="559"/>
      <c r="S286" s="541">
        <v>76788.2</v>
      </c>
      <c r="T286" s="559"/>
      <c r="U286" s="335"/>
      <c r="V286" s="320" t="s">
        <v>338</v>
      </c>
      <c r="W286" s="388"/>
      <c r="X286" s="388"/>
      <c r="Z286" s="336">
        <f t="shared" si="962"/>
        <v>30000</v>
      </c>
      <c r="AA286" s="337">
        <f t="shared" si="962"/>
        <v>0</v>
      </c>
      <c r="AB286" s="338">
        <f t="shared" si="946"/>
        <v>30000</v>
      </c>
      <c r="AC286" s="336">
        <f t="shared" si="963"/>
        <v>20000</v>
      </c>
      <c r="AD286" s="337">
        <f t="shared" si="963"/>
        <v>0</v>
      </c>
      <c r="AE286" s="338">
        <f t="shared" si="948"/>
        <v>20000</v>
      </c>
      <c r="AF286" s="336">
        <f t="shared" si="964"/>
        <v>0</v>
      </c>
      <c r="AG286" s="337">
        <f t="shared" si="964"/>
        <v>0</v>
      </c>
      <c r="AH286" s="338">
        <f t="shared" si="950"/>
        <v>0</v>
      </c>
      <c r="AI286" s="336">
        <f t="shared" si="965"/>
        <v>26788.2</v>
      </c>
      <c r="AJ286" s="337">
        <f t="shared" si="965"/>
        <v>0</v>
      </c>
      <c r="AK286" s="338">
        <f t="shared" si="952"/>
        <v>26788.2</v>
      </c>
      <c r="AL286" s="342"/>
      <c r="AM286" s="336">
        <f t="shared" si="966"/>
        <v>50000</v>
      </c>
      <c r="AN286" s="339">
        <f t="shared" si="966"/>
        <v>0</v>
      </c>
      <c r="AO286" s="340">
        <f t="shared" si="954"/>
        <v>50000</v>
      </c>
      <c r="AP286" s="336">
        <f t="shared" si="967"/>
        <v>50000</v>
      </c>
      <c r="AQ286" s="339">
        <f t="shared" si="967"/>
        <v>0</v>
      </c>
      <c r="AR286" s="340">
        <f t="shared" si="940"/>
        <v>50000</v>
      </c>
      <c r="AS286" s="341">
        <f t="shared" si="968"/>
        <v>76788.2</v>
      </c>
      <c r="AT286" s="339">
        <f t="shared" si="968"/>
        <v>0</v>
      </c>
      <c r="AU286" s="340">
        <f t="shared" si="942"/>
        <v>76788.2</v>
      </c>
      <c r="AV286" s="1255">
        <f t="shared" si="970"/>
        <v>0</v>
      </c>
      <c r="AW286" s="343"/>
      <c r="AX286" s="344"/>
      <c r="AY286" s="345"/>
      <c r="AZ286" s="344"/>
      <c r="BA286" s="345">
        <v>30000</v>
      </c>
      <c r="BB286" s="346"/>
      <c r="BC286" s="347"/>
      <c r="BD286" s="348"/>
      <c r="BE286" s="349">
        <v>20000</v>
      </c>
      <c r="BF286" s="348"/>
      <c r="BG286" s="349"/>
      <c r="BH286" s="350"/>
      <c r="BI286" s="351"/>
      <c r="BJ286" s="352"/>
      <c r="BK286" s="337"/>
      <c r="BL286" s="352"/>
      <c r="BM286" s="337"/>
      <c r="BN286" s="353"/>
      <c r="BO286" s="354"/>
      <c r="BP286" s="355"/>
      <c r="BQ286" s="356"/>
      <c r="BR286" s="355"/>
      <c r="BS286" s="356">
        <v>26788.2</v>
      </c>
      <c r="BT286" s="357"/>
    </row>
    <row r="287" spans="1:72" s="313" customFormat="1" ht="63.75" outlineLevel="1">
      <c r="A287" s="287">
        <v>223</v>
      </c>
      <c r="B287" s="1147" t="s">
        <v>1034</v>
      </c>
      <c r="C287" s="840"/>
      <c r="D287" s="841"/>
      <c r="E287" s="839"/>
      <c r="F287" s="821" t="s">
        <v>23</v>
      </c>
      <c r="G287" s="314">
        <v>2</v>
      </c>
      <c r="H287" s="739" t="s">
        <v>71</v>
      </c>
      <c r="I287" s="739">
        <v>244</v>
      </c>
      <c r="J287" s="740">
        <v>226</v>
      </c>
      <c r="K287" s="533" t="s">
        <v>828</v>
      </c>
      <c r="L287" s="1031">
        <v>60000</v>
      </c>
      <c r="M287" s="318"/>
      <c r="N287" s="318"/>
      <c r="O287" s="1055">
        <f t="shared" si="944"/>
        <v>60000</v>
      </c>
      <c r="P287" s="570"/>
      <c r="Q287" s="336">
        <v>0</v>
      </c>
      <c r="R287" s="559"/>
      <c r="S287" s="541">
        <v>0</v>
      </c>
      <c r="T287" s="559"/>
      <c r="U287" s="335"/>
      <c r="V287" s="596" t="s">
        <v>829</v>
      </c>
      <c r="W287" s="596" t="s">
        <v>870</v>
      </c>
      <c r="X287" s="596" t="s">
        <v>831</v>
      </c>
      <c r="Z287" s="336">
        <f t="shared" ref="Z287:AA312" si="985">AW287+AY287+BA287</f>
        <v>0</v>
      </c>
      <c r="AA287" s="337">
        <f t="shared" si="985"/>
        <v>0</v>
      </c>
      <c r="AB287" s="338">
        <f t="shared" si="946"/>
        <v>0</v>
      </c>
      <c r="AC287" s="336">
        <f t="shared" ref="AC287:AD312" si="986">BC287+BE287+BG287</f>
        <v>28200</v>
      </c>
      <c r="AD287" s="337">
        <f t="shared" si="986"/>
        <v>0</v>
      </c>
      <c r="AE287" s="338">
        <f t="shared" si="948"/>
        <v>28200</v>
      </c>
      <c r="AF287" s="336">
        <f t="shared" ref="AF287:AG312" si="987">BI287+BK287+BM287</f>
        <v>31800</v>
      </c>
      <c r="AG287" s="337">
        <f t="shared" si="987"/>
        <v>0</v>
      </c>
      <c r="AH287" s="338">
        <f t="shared" si="950"/>
        <v>31800</v>
      </c>
      <c r="AI287" s="336">
        <f t="shared" ref="AI287:AJ312" si="988">BO287+BQ287+BS287</f>
        <v>0</v>
      </c>
      <c r="AJ287" s="337">
        <f t="shared" si="988"/>
        <v>0</v>
      </c>
      <c r="AK287" s="338">
        <f t="shared" si="952"/>
        <v>0</v>
      </c>
      <c r="AL287" s="342"/>
      <c r="AM287" s="336">
        <f t="shared" ref="AM287:AN312" si="989">Z287+AC287</f>
        <v>28200</v>
      </c>
      <c r="AN287" s="339">
        <f t="shared" si="989"/>
        <v>0</v>
      </c>
      <c r="AO287" s="340">
        <f t="shared" si="954"/>
        <v>28200</v>
      </c>
      <c r="AP287" s="336">
        <f t="shared" ref="AP287:AQ312" si="990">Z287+AC287+AF287</f>
        <v>60000</v>
      </c>
      <c r="AQ287" s="339">
        <f t="shared" si="990"/>
        <v>0</v>
      </c>
      <c r="AR287" s="340">
        <f t="shared" si="940"/>
        <v>60000</v>
      </c>
      <c r="AS287" s="341">
        <f t="shared" ref="AS287:AT312" si="991">Z287+AC287+AF287+AI287</f>
        <v>60000</v>
      </c>
      <c r="AT287" s="339">
        <f t="shared" si="991"/>
        <v>0</v>
      </c>
      <c r="AU287" s="340">
        <f t="shared" si="942"/>
        <v>60000</v>
      </c>
      <c r="AV287" s="1255">
        <f t="shared" si="970"/>
        <v>0</v>
      </c>
      <c r="AW287" s="343"/>
      <c r="AX287" s="344"/>
      <c r="AY287" s="345"/>
      <c r="AZ287" s="344"/>
      <c r="BA287" s="345"/>
      <c r="BB287" s="346"/>
      <c r="BC287" s="347"/>
      <c r="BD287" s="348"/>
      <c r="BE287" s="1135"/>
      <c r="BF287" s="348"/>
      <c r="BG287" s="1135">
        <v>28200</v>
      </c>
      <c r="BH287" s="350"/>
      <c r="BI287" s="351"/>
      <c r="BJ287" s="352"/>
      <c r="BK287" s="337"/>
      <c r="BL287" s="352"/>
      <c r="BM287" s="337">
        <f>60000-28200</f>
        <v>31800</v>
      </c>
      <c r="BN287" s="353"/>
      <c r="BO287" s="354"/>
      <c r="BP287" s="355"/>
      <c r="BQ287" s="356"/>
      <c r="BR287" s="355"/>
      <c r="BS287" s="356"/>
      <c r="BT287" s="357"/>
    </row>
    <row r="288" spans="1:72" s="313" customFormat="1" ht="38.25" outlineLevel="1">
      <c r="A288" s="287">
        <v>224</v>
      </c>
      <c r="B288" s="1148"/>
      <c r="C288" s="840"/>
      <c r="D288" s="841"/>
      <c r="E288" s="839"/>
      <c r="F288" s="821" t="s">
        <v>23</v>
      </c>
      <c r="G288" s="314">
        <v>2</v>
      </c>
      <c r="H288" s="739" t="s">
        <v>71</v>
      </c>
      <c r="I288" s="739">
        <v>244</v>
      </c>
      <c r="J288" s="740">
        <v>226</v>
      </c>
      <c r="K288" s="533" t="s">
        <v>620</v>
      </c>
      <c r="L288" s="1025">
        <v>99000</v>
      </c>
      <c r="M288" s="318"/>
      <c r="N288" s="318"/>
      <c r="O288" s="1052">
        <f t="shared" si="944"/>
        <v>99000</v>
      </c>
      <c r="P288" s="570"/>
      <c r="Q288" s="336">
        <v>0</v>
      </c>
      <c r="R288" s="559"/>
      <c r="S288" s="541">
        <v>0</v>
      </c>
      <c r="T288" s="559"/>
      <c r="U288" s="335"/>
      <c r="V288" s="596" t="s">
        <v>606</v>
      </c>
      <c r="W288" s="596" t="s">
        <v>607</v>
      </c>
      <c r="X288" s="596" t="s">
        <v>608</v>
      </c>
      <c r="Z288" s="336">
        <f t="shared" si="985"/>
        <v>0</v>
      </c>
      <c r="AA288" s="337">
        <f t="shared" si="985"/>
        <v>0</v>
      </c>
      <c r="AB288" s="338">
        <f t="shared" si="946"/>
        <v>0</v>
      </c>
      <c r="AC288" s="336">
        <f t="shared" si="986"/>
        <v>22000</v>
      </c>
      <c r="AD288" s="337">
        <f t="shared" si="986"/>
        <v>0</v>
      </c>
      <c r="AE288" s="338">
        <f t="shared" si="948"/>
        <v>22000</v>
      </c>
      <c r="AF288" s="336">
        <f t="shared" si="987"/>
        <v>33000</v>
      </c>
      <c r="AG288" s="337">
        <f t="shared" si="987"/>
        <v>0</v>
      </c>
      <c r="AH288" s="338">
        <f t="shared" si="950"/>
        <v>33000</v>
      </c>
      <c r="AI288" s="336">
        <f t="shared" si="988"/>
        <v>44000</v>
      </c>
      <c r="AJ288" s="337">
        <f t="shared" si="988"/>
        <v>0</v>
      </c>
      <c r="AK288" s="338">
        <f t="shared" si="952"/>
        <v>44000</v>
      </c>
      <c r="AL288" s="342"/>
      <c r="AM288" s="336">
        <f t="shared" si="989"/>
        <v>22000</v>
      </c>
      <c r="AN288" s="339">
        <f t="shared" si="989"/>
        <v>0</v>
      </c>
      <c r="AO288" s="340">
        <f t="shared" si="954"/>
        <v>22000</v>
      </c>
      <c r="AP288" s="336">
        <f t="shared" si="990"/>
        <v>55000</v>
      </c>
      <c r="AQ288" s="339">
        <f t="shared" si="990"/>
        <v>0</v>
      </c>
      <c r="AR288" s="340">
        <f t="shared" si="940"/>
        <v>55000</v>
      </c>
      <c r="AS288" s="341">
        <f t="shared" si="991"/>
        <v>99000</v>
      </c>
      <c r="AT288" s="339">
        <f t="shared" si="991"/>
        <v>0</v>
      </c>
      <c r="AU288" s="340">
        <f t="shared" si="942"/>
        <v>99000</v>
      </c>
      <c r="AV288" s="1255">
        <f t="shared" si="970"/>
        <v>0</v>
      </c>
      <c r="AW288" s="343"/>
      <c r="AX288" s="344"/>
      <c r="AY288" s="345"/>
      <c r="AZ288" s="344"/>
      <c r="BA288" s="345"/>
      <c r="BB288" s="346"/>
      <c r="BC288" s="347"/>
      <c r="BD288" s="348"/>
      <c r="BE288" s="349">
        <v>11000</v>
      </c>
      <c r="BF288" s="348"/>
      <c r="BG288" s="349">
        <v>11000</v>
      </c>
      <c r="BH288" s="350"/>
      <c r="BI288" s="351">
        <v>11000</v>
      </c>
      <c r="BJ288" s="352"/>
      <c r="BK288" s="337">
        <v>11000</v>
      </c>
      <c r="BL288" s="352"/>
      <c r="BM288" s="337">
        <v>11000</v>
      </c>
      <c r="BN288" s="353"/>
      <c r="BO288" s="354">
        <v>11000</v>
      </c>
      <c r="BP288" s="355"/>
      <c r="BQ288" s="356">
        <v>11000</v>
      </c>
      <c r="BR288" s="355"/>
      <c r="BS288" s="356">
        <f>11000*2</f>
        <v>22000</v>
      </c>
      <c r="BT288" s="357"/>
    </row>
    <row r="289" spans="1:72" s="313" customFormat="1" ht="25.5" outlineLevel="1">
      <c r="A289" s="287">
        <v>225</v>
      </c>
      <c r="B289" s="936"/>
      <c r="C289" s="840"/>
      <c r="D289" s="841"/>
      <c r="E289" s="839"/>
      <c r="F289" s="821" t="s">
        <v>23</v>
      </c>
      <c r="G289" s="314">
        <v>2</v>
      </c>
      <c r="H289" s="739" t="s">
        <v>71</v>
      </c>
      <c r="I289" s="739">
        <v>244</v>
      </c>
      <c r="J289" s="740">
        <v>226</v>
      </c>
      <c r="K289" s="533" t="s">
        <v>349</v>
      </c>
      <c r="L289" s="1025">
        <v>140621.84</v>
      </c>
      <c r="M289" s="318"/>
      <c r="N289" s="318"/>
      <c r="O289" s="1052">
        <f t="shared" si="944"/>
        <v>140621.84</v>
      </c>
      <c r="P289" s="570"/>
      <c r="Q289" s="336">
        <v>622720</v>
      </c>
      <c r="R289" s="559"/>
      <c r="S289" s="541">
        <v>622720</v>
      </c>
      <c r="T289" s="559"/>
      <c r="U289" s="335"/>
      <c r="V289" s="320" t="s">
        <v>355</v>
      </c>
      <c r="W289" s="388"/>
      <c r="X289" s="388"/>
      <c r="Z289" s="336">
        <f t="shared" si="985"/>
        <v>310000</v>
      </c>
      <c r="AA289" s="337">
        <f t="shared" si="985"/>
        <v>0</v>
      </c>
      <c r="AB289" s="338">
        <f t="shared" si="946"/>
        <v>310000</v>
      </c>
      <c r="AC289" s="336">
        <f t="shared" si="986"/>
        <v>155000</v>
      </c>
      <c r="AD289" s="337">
        <f t="shared" si="986"/>
        <v>0</v>
      </c>
      <c r="AE289" s="338">
        <f t="shared" si="948"/>
        <v>155000</v>
      </c>
      <c r="AF289" s="336">
        <f t="shared" si="987"/>
        <v>0</v>
      </c>
      <c r="AG289" s="337">
        <f t="shared" si="987"/>
        <v>0</v>
      </c>
      <c r="AH289" s="338">
        <f t="shared" si="950"/>
        <v>0</v>
      </c>
      <c r="AI289" s="336">
        <f t="shared" si="988"/>
        <v>157720</v>
      </c>
      <c r="AJ289" s="337">
        <f t="shared" si="988"/>
        <v>0</v>
      </c>
      <c r="AK289" s="338">
        <f t="shared" si="952"/>
        <v>157720</v>
      </c>
      <c r="AL289" s="342"/>
      <c r="AM289" s="336">
        <f t="shared" si="989"/>
        <v>465000</v>
      </c>
      <c r="AN289" s="339">
        <f t="shared" si="989"/>
        <v>0</v>
      </c>
      <c r="AO289" s="340">
        <f t="shared" si="954"/>
        <v>465000</v>
      </c>
      <c r="AP289" s="336">
        <f t="shared" si="990"/>
        <v>465000</v>
      </c>
      <c r="AQ289" s="339">
        <f t="shared" si="990"/>
        <v>0</v>
      </c>
      <c r="AR289" s="340">
        <f t="shared" si="940"/>
        <v>465000</v>
      </c>
      <c r="AS289" s="341">
        <f t="shared" si="991"/>
        <v>622720</v>
      </c>
      <c r="AT289" s="339">
        <f t="shared" si="991"/>
        <v>0</v>
      </c>
      <c r="AU289" s="340">
        <f t="shared" si="942"/>
        <v>622720</v>
      </c>
      <c r="AV289" s="1255">
        <f t="shared" si="970"/>
        <v>-482098.16</v>
      </c>
      <c r="AW289" s="343"/>
      <c r="AX289" s="344"/>
      <c r="AY289" s="345"/>
      <c r="AZ289" s="344"/>
      <c r="BA289" s="345">
        <v>310000</v>
      </c>
      <c r="BB289" s="346"/>
      <c r="BC289" s="347"/>
      <c r="BD289" s="348"/>
      <c r="BE289" s="349">
        <v>155000</v>
      </c>
      <c r="BF289" s="348"/>
      <c r="BG289" s="349"/>
      <c r="BH289" s="350"/>
      <c r="BI289" s="351"/>
      <c r="BJ289" s="352"/>
      <c r="BK289" s="337"/>
      <c r="BL289" s="352"/>
      <c r="BM289" s="337"/>
      <c r="BN289" s="353"/>
      <c r="BO289" s="354"/>
      <c r="BP289" s="355"/>
      <c r="BQ289" s="356"/>
      <c r="BR289" s="355"/>
      <c r="BS289" s="356">
        <v>157720</v>
      </c>
      <c r="BT289" s="357"/>
    </row>
    <row r="290" spans="1:72" s="313" customFormat="1" ht="89.25" outlineLevel="1">
      <c r="A290" s="287">
        <v>226</v>
      </c>
      <c r="B290" s="941" t="s">
        <v>1092</v>
      </c>
      <c r="C290" s="840"/>
      <c r="D290" s="841"/>
      <c r="E290" s="839"/>
      <c r="F290" s="821" t="s">
        <v>23</v>
      </c>
      <c r="G290" s="314">
        <v>2</v>
      </c>
      <c r="H290" s="739" t="s">
        <v>71</v>
      </c>
      <c r="I290" s="739">
        <v>244</v>
      </c>
      <c r="J290" s="740">
        <v>226</v>
      </c>
      <c r="K290" s="533" t="s">
        <v>350</v>
      </c>
      <c r="L290" s="1025">
        <f>138200+M290</f>
        <v>173200</v>
      </c>
      <c r="M290" s="619">
        <v>35000</v>
      </c>
      <c r="N290" s="318"/>
      <c r="O290" s="1052">
        <f t="shared" si="944"/>
        <v>173200</v>
      </c>
      <c r="P290" s="570"/>
      <c r="Q290" s="336">
        <v>138200</v>
      </c>
      <c r="R290" s="559"/>
      <c r="S290" s="541">
        <v>138200</v>
      </c>
      <c r="T290" s="559"/>
      <c r="U290" s="335"/>
      <c r="V290" s="320"/>
      <c r="W290" s="388"/>
      <c r="X290" s="388"/>
      <c r="Z290" s="336">
        <f t="shared" si="985"/>
        <v>70000</v>
      </c>
      <c r="AA290" s="337">
        <f t="shared" si="985"/>
        <v>0</v>
      </c>
      <c r="AB290" s="338">
        <f t="shared" si="946"/>
        <v>70000</v>
      </c>
      <c r="AC290" s="336">
        <f t="shared" si="986"/>
        <v>35000</v>
      </c>
      <c r="AD290" s="337">
        <f t="shared" si="986"/>
        <v>0</v>
      </c>
      <c r="AE290" s="338">
        <f t="shared" si="948"/>
        <v>35000</v>
      </c>
      <c r="AF290" s="336">
        <f t="shared" si="987"/>
        <v>35000</v>
      </c>
      <c r="AG290" s="337">
        <f t="shared" si="987"/>
        <v>0</v>
      </c>
      <c r="AH290" s="338">
        <f t="shared" si="950"/>
        <v>35000</v>
      </c>
      <c r="AI290" s="336">
        <f t="shared" si="988"/>
        <v>33200</v>
      </c>
      <c r="AJ290" s="337">
        <f t="shared" si="988"/>
        <v>0</v>
      </c>
      <c r="AK290" s="338">
        <f t="shared" si="952"/>
        <v>33200</v>
      </c>
      <c r="AL290" s="342"/>
      <c r="AM290" s="336">
        <f t="shared" si="989"/>
        <v>105000</v>
      </c>
      <c r="AN290" s="339">
        <f t="shared" si="989"/>
        <v>0</v>
      </c>
      <c r="AO290" s="340">
        <f t="shared" si="954"/>
        <v>105000</v>
      </c>
      <c r="AP290" s="336">
        <f t="shared" si="990"/>
        <v>140000</v>
      </c>
      <c r="AQ290" s="339">
        <f t="shared" si="990"/>
        <v>0</v>
      </c>
      <c r="AR290" s="340">
        <f t="shared" si="940"/>
        <v>140000</v>
      </c>
      <c r="AS290" s="341">
        <f t="shared" si="991"/>
        <v>173200</v>
      </c>
      <c r="AT290" s="339">
        <f t="shared" si="991"/>
        <v>0</v>
      </c>
      <c r="AU290" s="340">
        <f t="shared" si="942"/>
        <v>173200</v>
      </c>
      <c r="AV290" s="1255">
        <f t="shared" si="970"/>
        <v>0</v>
      </c>
      <c r="AW290" s="343"/>
      <c r="AX290" s="344"/>
      <c r="AY290" s="345"/>
      <c r="AZ290" s="344"/>
      <c r="BA290" s="345">
        <v>70000</v>
      </c>
      <c r="BB290" s="346"/>
      <c r="BC290" s="347"/>
      <c r="BD290" s="348"/>
      <c r="BE290" s="349">
        <v>35000</v>
      </c>
      <c r="BF290" s="348"/>
      <c r="BG290" s="349"/>
      <c r="BH290" s="350"/>
      <c r="BI290" s="351"/>
      <c r="BJ290" s="352"/>
      <c r="BK290" s="337">
        <v>35000</v>
      </c>
      <c r="BL290" s="352"/>
      <c r="BM290" s="337"/>
      <c r="BN290" s="353"/>
      <c r="BO290" s="354"/>
      <c r="BP290" s="355"/>
      <c r="BQ290" s="356"/>
      <c r="BR290" s="355"/>
      <c r="BS290" s="356">
        <v>33200</v>
      </c>
      <c r="BT290" s="357"/>
    </row>
    <row r="291" spans="1:72" s="313" customFormat="1" ht="76.5">
      <c r="A291" s="287">
        <v>227</v>
      </c>
      <c r="B291" s="941"/>
      <c r="C291" s="840"/>
      <c r="D291" s="841"/>
      <c r="E291" s="839"/>
      <c r="F291" s="821" t="s">
        <v>23</v>
      </c>
      <c r="G291" s="314">
        <v>2</v>
      </c>
      <c r="H291" s="739" t="s">
        <v>71</v>
      </c>
      <c r="I291" s="739">
        <v>244</v>
      </c>
      <c r="J291" s="740">
        <v>226</v>
      </c>
      <c r="K291" s="533" t="s">
        <v>478</v>
      </c>
      <c r="L291" s="1025">
        <v>2500</v>
      </c>
      <c r="M291" s="318"/>
      <c r="N291" s="318"/>
      <c r="O291" s="1052">
        <f t="shared" si="944"/>
        <v>2500</v>
      </c>
      <c r="P291" s="570"/>
      <c r="Q291" s="336">
        <v>0</v>
      </c>
      <c r="R291" s="329"/>
      <c r="S291" s="319">
        <v>0</v>
      </c>
      <c r="T291" s="329"/>
      <c r="U291" s="335"/>
      <c r="V291" s="596" t="s">
        <v>479</v>
      </c>
      <c r="W291" s="596" t="s">
        <v>508</v>
      </c>
      <c r="X291" s="596" t="s">
        <v>509</v>
      </c>
      <c r="Z291" s="336">
        <f t="shared" si="985"/>
        <v>2500</v>
      </c>
      <c r="AA291" s="337">
        <f t="shared" si="985"/>
        <v>2500</v>
      </c>
      <c r="AB291" s="338">
        <f>Z291-AA291</f>
        <v>0</v>
      </c>
      <c r="AC291" s="336">
        <f t="shared" si="986"/>
        <v>0</v>
      </c>
      <c r="AD291" s="337">
        <f t="shared" si="986"/>
        <v>0</v>
      </c>
      <c r="AE291" s="338">
        <f>AC291-AD291</f>
        <v>0</v>
      </c>
      <c r="AF291" s="336">
        <f t="shared" si="987"/>
        <v>0</v>
      </c>
      <c r="AG291" s="337">
        <f t="shared" si="987"/>
        <v>0</v>
      </c>
      <c r="AH291" s="338">
        <f>AF291-AG291</f>
        <v>0</v>
      </c>
      <c r="AI291" s="336">
        <f t="shared" si="988"/>
        <v>0</v>
      </c>
      <c r="AJ291" s="337">
        <f t="shared" si="988"/>
        <v>0</v>
      </c>
      <c r="AK291" s="338">
        <f>AI291-AJ291</f>
        <v>0</v>
      </c>
      <c r="AL291" s="342"/>
      <c r="AM291" s="336">
        <f t="shared" si="989"/>
        <v>2500</v>
      </c>
      <c r="AN291" s="339">
        <f t="shared" si="989"/>
        <v>2500</v>
      </c>
      <c r="AO291" s="340">
        <f>AM291-AN291</f>
        <v>0</v>
      </c>
      <c r="AP291" s="336">
        <f t="shared" si="990"/>
        <v>2500</v>
      </c>
      <c r="AQ291" s="339">
        <f t="shared" si="990"/>
        <v>2500</v>
      </c>
      <c r="AR291" s="340">
        <f>AP291-AQ291</f>
        <v>0</v>
      </c>
      <c r="AS291" s="341">
        <f t="shared" si="991"/>
        <v>2500</v>
      </c>
      <c r="AT291" s="339">
        <f t="shared" si="991"/>
        <v>2500</v>
      </c>
      <c r="AU291" s="340">
        <f>AS291-AT291</f>
        <v>0</v>
      </c>
      <c r="AV291" s="1255"/>
      <c r="AW291" s="343"/>
      <c r="AX291" s="344"/>
      <c r="AY291" s="345"/>
      <c r="AZ291" s="344"/>
      <c r="BA291" s="345">
        <v>2500</v>
      </c>
      <c r="BB291" s="346">
        <v>2500</v>
      </c>
      <c r="BC291" s="347"/>
      <c r="BD291" s="348"/>
      <c r="BE291" s="349"/>
      <c r="BF291" s="348"/>
      <c r="BG291" s="349"/>
      <c r="BH291" s="350"/>
      <c r="BI291" s="351"/>
      <c r="BJ291" s="352"/>
      <c r="BK291" s="337"/>
      <c r="BL291" s="352"/>
      <c r="BM291" s="337"/>
      <c r="BN291" s="353"/>
      <c r="BO291" s="354"/>
      <c r="BP291" s="355"/>
      <c r="BQ291" s="356"/>
      <c r="BR291" s="355"/>
      <c r="BS291" s="356"/>
      <c r="BT291" s="357"/>
    </row>
    <row r="292" spans="1:72" s="313" customFormat="1" ht="102">
      <c r="A292" s="287">
        <v>228</v>
      </c>
      <c r="B292" s="941"/>
      <c r="C292" s="840"/>
      <c r="D292" s="841"/>
      <c r="E292" s="839"/>
      <c r="F292" s="821" t="s">
        <v>23</v>
      </c>
      <c r="G292" s="314">
        <v>2</v>
      </c>
      <c r="H292" s="739" t="s">
        <v>71</v>
      </c>
      <c r="I292" s="739">
        <v>244</v>
      </c>
      <c r="J292" s="740">
        <v>226</v>
      </c>
      <c r="K292" s="533" t="s">
        <v>480</v>
      </c>
      <c r="L292" s="1025">
        <v>2700</v>
      </c>
      <c r="M292" s="318"/>
      <c r="N292" s="318"/>
      <c r="O292" s="1052">
        <f t="shared" si="944"/>
        <v>2700</v>
      </c>
      <c r="P292" s="570"/>
      <c r="Q292" s="336">
        <v>0</v>
      </c>
      <c r="R292" s="329"/>
      <c r="S292" s="319">
        <v>0</v>
      </c>
      <c r="T292" s="329"/>
      <c r="U292" s="335"/>
      <c r="V292" s="596" t="s">
        <v>479</v>
      </c>
      <c r="W292" s="596" t="s">
        <v>506</v>
      </c>
      <c r="X292" s="596" t="s">
        <v>507</v>
      </c>
      <c r="Z292" s="336">
        <f t="shared" si="985"/>
        <v>2700</v>
      </c>
      <c r="AA292" s="337">
        <f t="shared" si="985"/>
        <v>2700</v>
      </c>
      <c r="AB292" s="338">
        <f>Z292-AA292</f>
        <v>0</v>
      </c>
      <c r="AC292" s="336">
        <f t="shared" si="986"/>
        <v>0</v>
      </c>
      <c r="AD292" s="337">
        <f t="shared" si="986"/>
        <v>0</v>
      </c>
      <c r="AE292" s="338">
        <f>AC292-AD292</f>
        <v>0</v>
      </c>
      <c r="AF292" s="336">
        <f t="shared" si="987"/>
        <v>0</v>
      </c>
      <c r="AG292" s="337">
        <f t="shared" si="987"/>
        <v>0</v>
      </c>
      <c r="AH292" s="338">
        <f>AF292-AG292</f>
        <v>0</v>
      </c>
      <c r="AI292" s="336">
        <f t="shared" si="988"/>
        <v>0</v>
      </c>
      <c r="AJ292" s="337">
        <f t="shared" si="988"/>
        <v>0</v>
      </c>
      <c r="AK292" s="338">
        <f>AI292-AJ292</f>
        <v>0</v>
      </c>
      <c r="AL292" s="342"/>
      <c r="AM292" s="336">
        <f t="shared" si="989"/>
        <v>2700</v>
      </c>
      <c r="AN292" s="339">
        <f t="shared" si="989"/>
        <v>2700</v>
      </c>
      <c r="AO292" s="340">
        <f>AM292-AN292</f>
        <v>0</v>
      </c>
      <c r="AP292" s="336">
        <f t="shared" si="990"/>
        <v>2700</v>
      </c>
      <c r="AQ292" s="339">
        <f t="shared" si="990"/>
        <v>2700</v>
      </c>
      <c r="AR292" s="340">
        <f>AP292-AQ292</f>
        <v>0</v>
      </c>
      <c r="AS292" s="341">
        <f t="shared" si="991"/>
        <v>2700</v>
      </c>
      <c r="AT292" s="339">
        <f t="shared" si="991"/>
        <v>2700</v>
      </c>
      <c r="AU292" s="340">
        <f>AS292-AT292</f>
        <v>0</v>
      </c>
      <c r="AV292" s="1255"/>
      <c r="AW292" s="343"/>
      <c r="AX292" s="344"/>
      <c r="AY292" s="345">
        <v>2700</v>
      </c>
      <c r="AZ292" s="344">
        <v>2700</v>
      </c>
      <c r="BA292" s="345"/>
      <c r="BB292" s="346"/>
      <c r="BC292" s="347"/>
      <c r="BD292" s="348"/>
      <c r="BE292" s="349"/>
      <c r="BF292" s="348"/>
      <c r="BG292" s="349"/>
      <c r="BH292" s="350"/>
      <c r="BI292" s="351"/>
      <c r="BJ292" s="352"/>
      <c r="BK292" s="337"/>
      <c r="BL292" s="352"/>
      <c r="BM292" s="337"/>
      <c r="BN292" s="353"/>
      <c r="BO292" s="354"/>
      <c r="BP292" s="355"/>
      <c r="BQ292" s="356"/>
      <c r="BR292" s="355"/>
      <c r="BS292" s="356"/>
      <c r="BT292" s="357"/>
    </row>
    <row r="293" spans="1:72" s="313" customFormat="1" ht="38.25">
      <c r="A293" s="287">
        <v>229</v>
      </c>
      <c r="B293" s="941"/>
      <c r="C293" s="840"/>
      <c r="D293" s="841"/>
      <c r="E293" s="839"/>
      <c r="F293" s="821" t="s">
        <v>23</v>
      </c>
      <c r="G293" s="314">
        <v>2</v>
      </c>
      <c r="H293" s="739" t="s">
        <v>71</v>
      </c>
      <c r="I293" s="739">
        <v>244</v>
      </c>
      <c r="J293" s="740">
        <v>226</v>
      </c>
      <c r="K293" s="533" t="s">
        <v>548</v>
      </c>
      <c r="L293" s="1025">
        <v>10560</v>
      </c>
      <c r="M293" s="318"/>
      <c r="N293" s="318"/>
      <c r="O293" s="1052">
        <f t="shared" si="944"/>
        <v>10560</v>
      </c>
      <c r="P293" s="570"/>
      <c r="Q293" s="336">
        <v>0</v>
      </c>
      <c r="R293" s="329"/>
      <c r="S293" s="319">
        <v>0</v>
      </c>
      <c r="T293" s="329"/>
      <c r="U293" s="335"/>
      <c r="V293" s="596" t="s">
        <v>490</v>
      </c>
      <c r="W293" s="596" t="s">
        <v>549</v>
      </c>
      <c r="X293" s="596" t="s">
        <v>550</v>
      </c>
      <c r="Z293" s="336">
        <f t="shared" si="985"/>
        <v>0</v>
      </c>
      <c r="AA293" s="337">
        <f t="shared" si="985"/>
        <v>0</v>
      </c>
      <c r="AB293" s="338">
        <f>Z293-AA293</f>
        <v>0</v>
      </c>
      <c r="AC293" s="336">
        <f t="shared" si="986"/>
        <v>10560</v>
      </c>
      <c r="AD293" s="337">
        <f t="shared" si="986"/>
        <v>0</v>
      </c>
      <c r="AE293" s="338">
        <f>AC293-AD293</f>
        <v>10560</v>
      </c>
      <c r="AF293" s="336">
        <f t="shared" si="987"/>
        <v>0</v>
      </c>
      <c r="AG293" s="337">
        <f t="shared" si="987"/>
        <v>0</v>
      </c>
      <c r="AH293" s="338">
        <f>AF293-AG293</f>
        <v>0</v>
      </c>
      <c r="AI293" s="336">
        <f t="shared" si="988"/>
        <v>0</v>
      </c>
      <c r="AJ293" s="337">
        <f t="shared" si="988"/>
        <v>0</v>
      </c>
      <c r="AK293" s="338">
        <f>AI293-AJ293</f>
        <v>0</v>
      </c>
      <c r="AL293" s="342"/>
      <c r="AM293" s="336">
        <f t="shared" si="989"/>
        <v>10560</v>
      </c>
      <c r="AN293" s="339">
        <f t="shared" si="989"/>
        <v>0</v>
      </c>
      <c r="AO293" s="340">
        <f>AM293-AN293</f>
        <v>10560</v>
      </c>
      <c r="AP293" s="336">
        <f t="shared" si="990"/>
        <v>10560</v>
      </c>
      <c r="AQ293" s="339">
        <f t="shared" si="990"/>
        <v>0</v>
      </c>
      <c r="AR293" s="340">
        <f>AP293-AQ293</f>
        <v>10560</v>
      </c>
      <c r="AS293" s="341">
        <f t="shared" si="991"/>
        <v>10560</v>
      </c>
      <c r="AT293" s="339">
        <f t="shared" si="991"/>
        <v>0</v>
      </c>
      <c r="AU293" s="340">
        <f>AS293-AT293</f>
        <v>10560</v>
      </c>
      <c r="AV293" s="1255"/>
      <c r="AW293" s="343"/>
      <c r="AX293" s="344"/>
      <c r="AY293" s="345"/>
      <c r="AZ293" s="344"/>
      <c r="BA293" s="345"/>
      <c r="BB293" s="346"/>
      <c r="BC293" s="347">
        <v>10560</v>
      </c>
      <c r="BD293" s="348"/>
      <c r="BE293" s="349"/>
      <c r="BF293" s="348"/>
      <c r="BG293" s="349"/>
      <c r="BH293" s="350"/>
      <c r="BI293" s="351"/>
      <c r="BJ293" s="352"/>
      <c r="BK293" s="337"/>
      <c r="BL293" s="352"/>
      <c r="BM293" s="337"/>
      <c r="BN293" s="353"/>
      <c r="BO293" s="354"/>
      <c r="BP293" s="355"/>
      <c r="BQ293" s="356"/>
      <c r="BR293" s="355"/>
      <c r="BS293" s="356"/>
      <c r="BT293" s="357"/>
    </row>
    <row r="294" spans="1:72" s="313" customFormat="1" ht="51" outlineLevel="1">
      <c r="A294" s="287">
        <v>230</v>
      </c>
      <c r="B294" s="1148"/>
      <c r="C294" s="840"/>
      <c r="D294" s="841"/>
      <c r="E294" s="839"/>
      <c r="F294" s="821" t="s">
        <v>23</v>
      </c>
      <c r="G294" s="314">
        <v>2</v>
      </c>
      <c r="H294" s="739" t="s">
        <v>71</v>
      </c>
      <c r="I294" s="739">
        <v>244</v>
      </c>
      <c r="J294" s="740">
        <v>226</v>
      </c>
      <c r="K294" s="533" t="s">
        <v>630</v>
      </c>
      <c r="L294" s="1025">
        <v>19200</v>
      </c>
      <c r="M294" s="318"/>
      <c r="N294" s="318"/>
      <c r="O294" s="1052">
        <f t="shared" si="944"/>
        <v>19200</v>
      </c>
      <c r="P294" s="570"/>
      <c r="Q294" s="336">
        <v>0</v>
      </c>
      <c r="R294" s="559"/>
      <c r="S294" s="541">
        <v>0</v>
      </c>
      <c r="T294" s="559"/>
      <c r="U294" s="335"/>
      <c r="V294" s="596" t="s">
        <v>628</v>
      </c>
      <c r="W294" s="596" t="s">
        <v>724</v>
      </c>
      <c r="X294" s="596" t="s">
        <v>725</v>
      </c>
      <c r="Z294" s="336">
        <f t="shared" si="985"/>
        <v>0</v>
      </c>
      <c r="AA294" s="337">
        <f t="shared" si="985"/>
        <v>0</v>
      </c>
      <c r="AB294" s="338">
        <f t="shared" ref="AB294:AB295" si="992">Z294-AA294</f>
        <v>0</v>
      </c>
      <c r="AC294" s="336">
        <f t="shared" si="986"/>
        <v>19200</v>
      </c>
      <c r="AD294" s="337">
        <f t="shared" si="986"/>
        <v>0</v>
      </c>
      <c r="AE294" s="338">
        <f t="shared" ref="AE294:AE295" si="993">AC294-AD294</f>
        <v>19200</v>
      </c>
      <c r="AF294" s="336">
        <f t="shared" si="987"/>
        <v>0</v>
      </c>
      <c r="AG294" s="337">
        <f t="shared" si="987"/>
        <v>0</v>
      </c>
      <c r="AH294" s="338">
        <f t="shared" ref="AH294:AH295" si="994">AF294-AG294</f>
        <v>0</v>
      </c>
      <c r="AI294" s="336">
        <f t="shared" si="988"/>
        <v>0</v>
      </c>
      <c r="AJ294" s="337">
        <f t="shared" si="988"/>
        <v>0</v>
      </c>
      <c r="AK294" s="338">
        <f t="shared" ref="AK294:AK295" si="995">AI294-AJ294</f>
        <v>0</v>
      </c>
      <c r="AL294" s="342"/>
      <c r="AM294" s="336">
        <f t="shared" si="989"/>
        <v>19200</v>
      </c>
      <c r="AN294" s="339">
        <f t="shared" si="989"/>
        <v>0</v>
      </c>
      <c r="AO294" s="340">
        <f t="shared" ref="AO294:AO295" si="996">AM294-AN294</f>
        <v>19200</v>
      </c>
      <c r="AP294" s="336">
        <f t="shared" si="990"/>
        <v>19200</v>
      </c>
      <c r="AQ294" s="339">
        <f t="shared" si="990"/>
        <v>0</v>
      </c>
      <c r="AR294" s="340">
        <f t="shared" ref="AR294:AR295" si="997">AP294-AQ294</f>
        <v>19200</v>
      </c>
      <c r="AS294" s="341">
        <f t="shared" si="991"/>
        <v>19200</v>
      </c>
      <c r="AT294" s="339">
        <f t="shared" si="991"/>
        <v>0</v>
      </c>
      <c r="AU294" s="340">
        <f t="shared" ref="AU294:AU295" si="998">AS294-AT294</f>
        <v>19200</v>
      </c>
      <c r="AV294" s="1255">
        <f t="shared" ref="AV294:AV295" si="999">L294-AS294</f>
        <v>0</v>
      </c>
      <c r="AW294" s="343"/>
      <c r="AX294" s="344"/>
      <c r="AY294" s="345"/>
      <c r="AZ294" s="344"/>
      <c r="BA294" s="345"/>
      <c r="BB294" s="346"/>
      <c r="BC294" s="347"/>
      <c r="BD294" s="348"/>
      <c r="BE294" s="349"/>
      <c r="BF294" s="348"/>
      <c r="BG294" s="1135">
        <v>19200</v>
      </c>
      <c r="BH294" s="350"/>
      <c r="BI294" s="351"/>
      <c r="BJ294" s="352"/>
      <c r="BK294" s="337"/>
      <c r="BL294" s="352"/>
      <c r="BM294" s="337"/>
      <c r="BN294" s="353"/>
      <c r="BO294" s="354"/>
      <c r="BP294" s="355"/>
      <c r="BQ294" s="356"/>
      <c r="BR294" s="355"/>
      <c r="BS294" s="356"/>
      <c r="BT294" s="357"/>
    </row>
    <row r="295" spans="1:72" s="313" customFormat="1" ht="38.25" outlineLevel="1">
      <c r="A295" s="287">
        <v>231</v>
      </c>
      <c r="B295" s="1148"/>
      <c r="C295" s="840"/>
      <c r="D295" s="841"/>
      <c r="E295" s="839"/>
      <c r="F295" s="821" t="s">
        <v>23</v>
      </c>
      <c r="G295" s="314">
        <v>2</v>
      </c>
      <c r="H295" s="739" t="s">
        <v>71</v>
      </c>
      <c r="I295" s="739">
        <v>244</v>
      </c>
      <c r="J295" s="740">
        <v>226</v>
      </c>
      <c r="K295" s="533" t="s">
        <v>631</v>
      </c>
      <c r="L295" s="1025">
        <v>25000</v>
      </c>
      <c r="M295" s="318"/>
      <c r="N295" s="318"/>
      <c r="O295" s="1052">
        <f t="shared" si="944"/>
        <v>25000</v>
      </c>
      <c r="P295" s="570"/>
      <c r="Q295" s="336">
        <v>0</v>
      </c>
      <c r="R295" s="559"/>
      <c r="S295" s="541">
        <v>0</v>
      </c>
      <c r="T295" s="559"/>
      <c r="U295" s="335"/>
      <c r="V295" s="596" t="s">
        <v>637</v>
      </c>
      <c r="W295" s="320" t="s">
        <v>481</v>
      </c>
      <c r="X295" s="320"/>
      <c r="Z295" s="336">
        <f t="shared" si="985"/>
        <v>25000</v>
      </c>
      <c r="AA295" s="337">
        <f t="shared" si="985"/>
        <v>0</v>
      </c>
      <c r="AB295" s="338">
        <f t="shared" si="992"/>
        <v>25000</v>
      </c>
      <c r="AC295" s="336">
        <f t="shared" si="986"/>
        <v>0</v>
      </c>
      <c r="AD295" s="337">
        <f t="shared" si="986"/>
        <v>0</v>
      </c>
      <c r="AE295" s="338">
        <f t="shared" si="993"/>
        <v>0</v>
      </c>
      <c r="AF295" s="336">
        <f t="shared" si="987"/>
        <v>0</v>
      </c>
      <c r="AG295" s="337">
        <f t="shared" si="987"/>
        <v>0</v>
      </c>
      <c r="AH295" s="338">
        <f t="shared" si="994"/>
        <v>0</v>
      </c>
      <c r="AI295" s="336">
        <f t="shared" si="988"/>
        <v>0</v>
      </c>
      <c r="AJ295" s="337">
        <f t="shared" si="988"/>
        <v>0</v>
      </c>
      <c r="AK295" s="338">
        <f t="shared" si="995"/>
        <v>0</v>
      </c>
      <c r="AL295" s="342"/>
      <c r="AM295" s="336">
        <f t="shared" si="989"/>
        <v>25000</v>
      </c>
      <c r="AN295" s="339">
        <f t="shared" si="989"/>
        <v>0</v>
      </c>
      <c r="AO295" s="340">
        <f t="shared" si="996"/>
        <v>25000</v>
      </c>
      <c r="AP295" s="336">
        <f t="shared" si="990"/>
        <v>25000</v>
      </c>
      <c r="AQ295" s="339">
        <f t="shared" si="990"/>
        <v>0</v>
      </c>
      <c r="AR295" s="340">
        <f t="shared" si="997"/>
        <v>25000</v>
      </c>
      <c r="AS295" s="341">
        <f t="shared" si="991"/>
        <v>25000</v>
      </c>
      <c r="AT295" s="339">
        <f t="shared" si="991"/>
        <v>0</v>
      </c>
      <c r="AU295" s="340">
        <f t="shared" si="998"/>
        <v>25000</v>
      </c>
      <c r="AV295" s="1255">
        <f t="shared" si="999"/>
        <v>0</v>
      </c>
      <c r="AW295" s="343"/>
      <c r="AX295" s="344"/>
      <c r="AY295" s="345"/>
      <c r="AZ295" s="344"/>
      <c r="BA295" s="345">
        <v>25000</v>
      </c>
      <c r="BB295" s="346"/>
      <c r="BC295" s="347"/>
      <c r="BD295" s="348"/>
      <c r="BE295" s="349"/>
      <c r="BF295" s="348"/>
      <c r="BG295" s="349"/>
      <c r="BH295" s="350"/>
      <c r="BI295" s="351"/>
      <c r="BJ295" s="352"/>
      <c r="BK295" s="337"/>
      <c r="BL295" s="352"/>
      <c r="BM295" s="337"/>
      <c r="BN295" s="353"/>
      <c r="BO295" s="354"/>
      <c r="BP295" s="355"/>
      <c r="BQ295" s="356"/>
      <c r="BR295" s="355"/>
      <c r="BS295" s="356"/>
      <c r="BT295" s="357"/>
    </row>
    <row r="296" spans="1:72" s="313" customFormat="1" ht="63.75" outlineLevel="1">
      <c r="A296" s="287">
        <v>232</v>
      </c>
      <c r="B296" s="1149"/>
      <c r="C296" s="840"/>
      <c r="D296" s="853" t="s">
        <v>207</v>
      </c>
      <c r="E296" s="839"/>
      <c r="F296" s="821" t="s">
        <v>23</v>
      </c>
      <c r="G296" s="314">
        <v>2</v>
      </c>
      <c r="H296" s="739" t="s">
        <v>71</v>
      </c>
      <c r="I296" s="739">
        <v>244</v>
      </c>
      <c r="J296" s="740">
        <v>226</v>
      </c>
      <c r="K296" s="317" t="s">
        <v>664</v>
      </c>
      <c r="L296" s="1295">
        <v>24900</v>
      </c>
      <c r="M296" s="318"/>
      <c r="N296" s="318"/>
      <c r="O296" s="1294">
        <f>L296+N296</f>
        <v>24900</v>
      </c>
      <c r="P296" s="570"/>
      <c r="Q296" s="336">
        <v>0</v>
      </c>
      <c r="R296" s="559"/>
      <c r="S296" s="541">
        <v>0</v>
      </c>
      <c r="T296" s="559"/>
      <c r="U296" s="335"/>
      <c r="V296" s="1226" t="s">
        <v>599</v>
      </c>
      <c r="W296" s="1226" t="s">
        <v>662</v>
      </c>
      <c r="X296" s="1226" t="s">
        <v>663</v>
      </c>
      <c r="Z296" s="336">
        <f>AW296+AY296+BA296</f>
        <v>24900</v>
      </c>
      <c r="AA296" s="337">
        <f>AX296+AZ296+BB296</f>
        <v>24900</v>
      </c>
      <c r="AB296" s="338">
        <f>Z296-AA296</f>
        <v>0</v>
      </c>
      <c r="AC296" s="336">
        <f>BC296+BE296+BG296</f>
        <v>0</v>
      </c>
      <c r="AD296" s="337">
        <f>BD296+BF296+BH296</f>
        <v>0</v>
      </c>
      <c r="AE296" s="338">
        <f>AC296-AD296</f>
        <v>0</v>
      </c>
      <c r="AF296" s="336">
        <f>BI296+BK296+BM296</f>
        <v>0</v>
      </c>
      <c r="AG296" s="337">
        <f>BJ296+BL296+BN296</f>
        <v>0</v>
      </c>
      <c r="AH296" s="338">
        <f>AF296-AG296</f>
        <v>0</v>
      </c>
      <c r="AI296" s="336">
        <f>BO296+BQ296+BS296</f>
        <v>0</v>
      </c>
      <c r="AJ296" s="337">
        <f>BP296+BR296+BT296</f>
        <v>0</v>
      </c>
      <c r="AK296" s="338">
        <f>AI296-AJ296</f>
        <v>0</v>
      </c>
      <c r="AL296" s="342"/>
      <c r="AM296" s="336">
        <f>Z296+AC296</f>
        <v>24900</v>
      </c>
      <c r="AN296" s="339">
        <f>AA296+AD296</f>
        <v>24900</v>
      </c>
      <c r="AO296" s="340">
        <f>AM296-AN296</f>
        <v>0</v>
      </c>
      <c r="AP296" s="336">
        <f>Z296+AC296+AF296</f>
        <v>24900</v>
      </c>
      <c r="AQ296" s="339">
        <f>AA296+AD296+AG296</f>
        <v>24900</v>
      </c>
      <c r="AR296" s="340">
        <f>AP296-AQ296</f>
        <v>0</v>
      </c>
      <c r="AS296" s="341">
        <f>Z296+AC296+AF296+AI296</f>
        <v>24900</v>
      </c>
      <c r="AT296" s="339">
        <f>AA296+AD296+AG296+AJ296</f>
        <v>24900</v>
      </c>
      <c r="AU296" s="340">
        <f>AS296-AT296</f>
        <v>0</v>
      </c>
      <c r="AV296" s="1255"/>
      <c r="AW296" s="343"/>
      <c r="AX296" s="344"/>
      <c r="AY296" s="345"/>
      <c r="AZ296" s="1218">
        <v>24900</v>
      </c>
      <c r="BA296" s="1217">
        <v>24900</v>
      </c>
      <c r="BB296" s="346"/>
      <c r="BC296" s="347"/>
      <c r="BD296" s="348"/>
      <c r="BE296" s="349"/>
      <c r="BF296" s="348"/>
      <c r="BG296" s="349"/>
      <c r="BH296" s="350"/>
      <c r="BI296" s="351"/>
      <c r="BJ296" s="352"/>
      <c r="BK296" s="337"/>
      <c r="BL296" s="352"/>
      <c r="BM296" s="337"/>
      <c r="BN296" s="353"/>
      <c r="BO296" s="354"/>
      <c r="BP296" s="355"/>
      <c r="BQ296" s="356"/>
      <c r="BR296" s="355"/>
      <c r="BS296" s="356"/>
      <c r="BT296" s="357"/>
    </row>
    <row r="297" spans="1:72" s="313" customFormat="1" ht="51" outlineLevel="1">
      <c r="A297" s="287">
        <v>233</v>
      </c>
      <c r="B297" s="933"/>
      <c r="C297" s="840"/>
      <c r="D297" s="841"/>
      <c r="E297" s="839"/>
      <c r="F297" s="821" t="s">
        <v>23</v>
      </c>
      <c r="G297" s="314">
        <v>2</v>
      </c>
      <c r="H297" s="739" t="s">
        <v>71</v>
      </c>
      <c r="I297" s="739">
        <v>244</v>
      </c>
      <c r="J297" s="740">
        <v>226</v>
      </c>
      <c r="K297" s="533" t="s">
        <v>754</v>
      </c>
      <c r="L297" s="1025">
        <v>17655.259999999998</v>
      </c>
      <c r="M297" s="318"/>
      <c r="N297" s="318"/>
      <c r="O297" s="1052">
        <f t="shared" si="944"/>
        <v>17655.259999999998</v>
      </c>
      <c r="P297" s="570"/>
      <c r="Q297" s="336">
        <v>17655.259999999998</v>
      </c>
      <c r="R297" s="559"/>
      <c r="S297" s="541">
        <v>17655.259999999998</v>
      </c>
      <c r="T297" s="559"/>
      <c r="U297" s="335"/>
      <c r="V297" s="596" t="s">
        <v>172</v>
      </c>
      <c r="W297" s="596" t="s">
        <v>753</v>
      </c>
      <c r="X297" s="388"/>
      <c r="Z297" s="336">
        <f t="shared" si="985"/>
        <v>9000</v>
      </c>
      <c r="AA297" s="337">
        <f t="shared" si="985"/>
        <v>0</v>
      </c>
      <c r="AB297" s="338">
        <f t="shared" si="946"/>
        <v>9000</v>
      </c>
      <c r="AC297" s="336">
        <f t="shared" si="986"/>
        <v>8655.26</v>
      </c>
      <c r="AD297" s="337">
        <f t="shared" si="986"/>
        <v>0</v>
      </c>
      <c r="AE297" s="338">
        <f t="shared" si="948"/>
        <v>8655.26</v>
      </c>
      <c r="AF297" s="336">
        <f t="shared" si="987"/>
        <v>0</v>
      </c>
      <c r="AG297" s="337">
        <f t="shared" si="987"/>
        <v>0</v>
      </c>
      <c r="AH297" s="338">
        <f t="shared" si="950"/>
        <v>0</v>
      </c>
      <c r="AI297" s="336">
        <f t="shared" si="988"/>
        <v>0</v>
      </c>
      <c r="AJ297" s="337">
        <f t="shared" si="988"/>
        <v>0</v>
      </c>
      <c r="AK297" s="338">
        <f t="shared" si="952"/>
        <v>0</v>
      </c>
      <c r="AL297" s="342"/>
      <c r="AM297" s="336">
        <f t="shared" si="989"/>
        <v>17655.259999999998</v>
      </c>
      <c r="AN297" s="339">
        <f t="shared" si="989"/>
        <v>0</v>
      </c>
      <c r="AO297" s="340">
        <f t="shared" si="954"/>
        <v>17655.259999999998</v>
      </c>
      <c r="AP297" s="336">
        <f t="shared" si="990"/>
        <v>17655.259999999998</v>
      </c>
      <c r="AQ297" s="339">
        <f t="shared" si="990"/>
        <v>0</v>
      </c>
      <c r="AR297" s="340">
        <f t="shared" si="940"/>
        <v>17655.259999999998</v>
      </c>
      <c r="AS297" s="341">
        <f t="shared" si="991"/>
        <v>17655.259999999998</v>
      </c>
      <c r="AT297" s="339">
        <f t="shared" si="991"/>
        <v>0</v>
      </c>
      <c r="AU297" s="340">
        <f t="shared" si="942"/>
        <v>17655.259999999998</v>
      </c>
      <c r="AV297" s="1255">
        <f t="shared" si="970"/>
        <v>0</v>
      </c>
      <c r="AW297" s="343"/>
      <c r="AX297" s="344"/>
      <c r="AY297" s="345"/>
      <c r="AZ297" s="344"/>
      <c r="BA297" s="345">
        <v>9000</v>
      </c>
      <c r="BB297" s="346"/>
      <c r="BC297" s="1134">
        <f>4106+349</f>
        <v>4455</v>
      </c>
      <c r="BD297" s="348"/>
      <c r="BE297" s="349">
        <f>4500-299.74</f>
        <v>4200.26</v>
      </c>
      <c r="BF297" s="348"/>
      <c r="BG297" s="349"/>
      <c r="BH297" s="350"/>
      <c r="BI297" s="351"/>
      <c r="BJ297" s="352"/>
      <c r="BK297" s="337"/>
      <c r="BL297" s="352"/>
      <c r="BM297" s="337"/>
      <c r="BN297" s="353"/>
      <c r="BO297" s="354"/>
      <c r="BP297" s="355"/>
      <c r="BQ297" s="356"/>
      <c r="BR297" s="355"/>
      <c r="BS297" s="356"/>
      <c r="BT297" s="357"/>
    </row>
    <row r="298" spans="1:72" s="313" customFormat="1" ht="38.25" outlineLevel="1">
      <c r="A298" s="287">
        <v>233</v>
      </c>
      <c r="B298" s="1151" t="s">
        <v>1070</v>
      </c>
      <c r="C298" s="840"/>
      <c r="D298" s="841"/>
      <c r="E298" s="839"/>
      <c r="F298" s="821" t="s">
        <v>23</v>
      </c>
      <c r="G298" s="314">
        <v>2</v>
      </c>
      <c r="H298" s="739" t="s">
        <v>71</v>
      </c>
      <c r="I298" s="739">
        <v>244</v>
      </c>
      <c r="J298" s="740">
        <v>226</v>
      </c>
      <c r="K298" s="533" t="s">
        <v>1069</v>
      </c>
      <c r="L298" s="1025"/>
      <c r="M298" s="318"/>
      <c r="N298" s="318">
        <v>6350</v>
      </c>
      <c r="O298" s="1052">
        <f t="shared" ref="O298" si="1000">L298+N298</f>
        <v>6350</v>
      </c>
      <c r="P298" s="570"/>
      <c r="Q298" s="336">
        <v>0</v>
      </c>
      <c r="R298" s="559"/>
      <c r="S298" s="541">
        <v>0</v>
      </c>
      <c r="T298" s="559"/>
      <c r="U298" s="335"/>
      <c r="V298" s="596" t="s">
        <v>1071</v>
      </c>
      <c r="W298" s="320" t="s">
        <v>481</v>
      </c>
      <c r="X298" s="388"/>
      <c r="Z298" s="336">
        <f t="shared" ref="Z298" si="1001">AW298+AY298+BA298</f>
        <v>0</v>
      </c>
      <c r="AA298" s="337">
        <f t="shared" ref="AA298" si="1002">AX298+AZ298+BB298</f>
        <v>0</v>
      </c>
      <c r="AB298" s="338">
        <f t="shared" ref="AB298" si="1003">Z298-AA298</f>
        <v>0</v>
      </c>
      <c r="AC298" s="336">
        <f t="shared" ref="AC298" si="1004">BC298+BE298+BG298</f>
        <v>0</v>
      </c>
      <c r="AD298" s="337">
        <f t="shared" ref="AD298" si="1005">BD298+BF298+BH298</f>
        <v>0</v>
      </c>
      <c r="AE298" s="338">
        <f t="shared" ref="AE298" si="1006">AC298-AD298</f>
        <v>0</v>
      </c>
      <c r="AF298" s="336">
        <f t="shared" ref="AF298" si="1007">BI298+BK298+BM298</f>
        <v>0</v>
      </c>
      <c r="AG298" s="337">
        <f t="shared" ref="AG298" si="1008">BJ298+BL298+BN298</f>
        <v>0</v>
      </c>
      <c r="AH298" s="338">
        <f t="shared" ref="AH298" si="1009">AF298-AG298</f>
        <v>0</v>
      </c>
      <c r="AI298" s="336">
        <f t="shared" ref="AI298" si="1010">BO298+BQ298+BS298</f>
        <v>6350</v>
      </c>
      <c r="AJ298" s="337">
        <f t="shared" ref="AJ298" si="1011">BP298+BR298+BT298</f>
        <v>0</v>
      </c>
      <c r="AK298" s="338">
        <f t="shared" ref="AK298" si="1012">AI298-AJ298</f>
        <v>6350</v>
      </c>
      <c r="AL298" s="342"/>
      <c r="AM298" s="336">
        <f t="shared" ref="AM298" si="1013">Z298+AC298</f>
        <v>0</v>
      </c>
      <c r="AN298" s="339">
        <f t="shared" ref="AN298" si="1014">AA298+AD298</f>
        <v>0</v>
      </c>
      <c r="AO298" s="340">
        <f t="shared" ref="AO298" si="1015">AM298-AN298</f>
        <v>0</v>
      </c>
      <c r="AP298" s="336">
        <f t="shared" ref="AP298" si="1016">Z298+AC298+AF298</f>
        <v>0</v>
      </c>
      <c r="AQ298" s="339">
        <f t="shared" ref="AQ298" si="1017">AA298+AD298+AG298</f>
        <v>0</v>
      </c>
      <c r="AR298" s="340">
        <f t="shared" ref="AR298" si="1018">AP298-AQ298</f>
        <v>0</v>
      </c>
      <c r="AS298" s="341">
        <f t="shared" ref="AS298" si="1019">Z298+AC298+AF298+AI298</f>
        <v>6350</v>
      </c>
      <c r="AT298" s="339">
        <f t="shared" ref="AT298" si="1020">AA298+AD298+AG298+AJ298</f>
        <v>0</v>
      </c>
      <c r="AU298" s="340">
        <f t="shared" ref="AU298" si="1021">AS298-AT298</f>
        <v>6350</v>
      </c>
      <c r="AV298" s="1255">
        <f t="shared" ref="AV298" si="1022">L298-AS298</f>
        <v>-6350</v>
      </c>
      <c r="AW298" s="343"/>
      <c r="AX298" s="344"/>
      <c r="AY298" s="345"/>
      <c r="AZ298" s="344"/>
      <c r="BA298" s="345"/>
      <c r="BB298" s="346"/>
      <c r="BC298" s="1134"/>
      <c r="BD298" s="348"/>
      <c r="BE298" s="349"/>
      <c r="BF298" s="348"/>
      <c r="BG298" s="349"/>
      <c r="BH298" s="350"/>
      <c r="BI298" s="351"/>
      <c r="BJ298" s="352"/>
      <c r="BK298" s="337"/>
      <c r="BL298" s="352"/>
      <c r="BM298" s="337"/>
      <c r="BN298" s="353"/>
      <c r="BO298" s="354"/>
      <c r="BP298" s="355"/>
      <c r="BQ298" s="1139"/>
      <c r="BR298" s="355"/>
      <c r="BS298" s="1139">
        <v>6350</v>
      </c>
      <c r="BT298" s="357"/>
    </row>
    <row r="299" spans="1:72" s="313" customFormat="1" ht="38.25" outlineLevel="1">
      <c r="A299" s="287">
        <v>234</v>
      </c>
      <c r="B299" s="933"/>
      <c r="C299" s="840"/>
      <c r="D299" s="841"/>
      <c r="E299" s="839"/>
      <c r="F299" s="821" t="s">
        <v>23</v>
      </c>
      <c r="G299" s="314">
        <v>2</v>
      </c>
      <c r="H299" s="739" t="s">
        <v>71</v>
      </c>
      <c r="I299" s="739">
        <v>244</v>
      </c>
      <c r="J299" s="740">
        <v>226</v>
      </c>
      <c r="K299" s="533" t="s">
        <v>373</v>
      </c>
      <c r="L299" s="1025">
        <v>418590</v>
      </c>
      <c r="M299" s="318"/>
      <c r="N299" s="318"/>
      <c r="O299" s="1052">
        <f t="shared" si="944"/>
        <v>418590</v>
      </c>
      <c r="P299" s="570"/>
      <c r="Q299" s="336">
        <v>418590</v>
      </c>
      <c r="R299" s="559"/>
      <c r="S299" s="541">
        <v>418590</v>
      </c>
      <c r="T299" s="559"/>
      <c r="U299" s="335"/>
      <c r="V299" s="320"/>
      <c r="W299" s="388"/>
      <c r="X299" s="388"/>
      <c r="Z299" s="336">
        <f t="shared" si="985"/>
        <v>220000</v>
      </c>
      <c r="AA299" s="337">
        <f t="shared" si="985"/>
        <v>0</v>
      </c>
      <c r="AB299" s="338">
        <f t="shared" si="946"/>
        <v>220000</v>
      </c>
      <c r="AC299" s="336">
        <f t="shared" si="986"/>
        <v>100000</v>
      </c>
      <c r="AD299" s="337">
        <f t="shared" si="986"/>
        <v>0</v>
      </c>
      <c r="AE299" s="338">
        <f t="shared" si="948"/>
        <v>100000</v>
      </c>
      <c r="AF299" s="336">
        <f t="shared" si="987"/>
        <v>2650.65</v>
      </c>
      <c r="AG299" s="337">
        <f t="shared" si="987"/>
        <v>0</v>
      </c>
      <c r="AH299" s="338">
        <f t="shared" si="950"/>
        <v>2650.65</v>
      </c>
      <c r="AI299" s="336">
        <f t="shared" si="988"/>
        <v>98590</v>
      </c>
      <c r="AJ299" s="337">
        <f t="shared" si="988"/>
        <v>0</v>
      </c>
      <c r="AK299" s="338">
        <f t="shared" si="952"/>
        <v>98590</v>
      </c>
      <c r="AL299" s="342"/>
      <c r="AM299" s="336">
        <f t="shared" si="989"/>
        <v>320000</v>
      </c>
      <c r="AN299" s="339">
        <f t="shared" si="989"/>
        <v>0</v>
      </c>
      <c r="AO299" s="340">
        <f t="shared" si="954"/>
        <v>320000</v>
      </c>
      <c r="AP299" s="336">
        <f t="shared" si="990"/>
        <v>322650.65000000002</v>
      </c>
      <c r="AQ299" s="339">
        <f t="shared" si="990"/>
        <v>0</v>
      </c>
      <c r="AR299" s="340">
        <f t="shared" si="940"/>
        <v>322650.65000000002</v>
      </c>
      <c r="AS299" s="341">
        <f t="shared" si="991"/>
        <v>421240.65</v>
      </c>
      <c r="AT299" s="339">
        <f t="shared" si="991"/>
        <v>0</v>
      </c>
      <c r="AU299" s="340">
        <f t="shared" si="942"/>
        <v>421240.65</v>
      </c>
      <c r="AV299" s="1255">
        <f t="shared" si="970"/>
        <v>-2650.65</v>
      </c>
      <c r="AW299" s="343"/>
      <c r="AX299" s="344"/>
      <c r="AY299" s="345"/>
      <c r="AZ299" s="344"/>
      <c r="BA299" s="345">
        <v>220000</v>
      </c>
      <c r="BB299" s="346"/>
      <c r="BC299" s="347"/>
      <c r="BD299" s="348"/>
      <c r="BE299" s="349">
        <v>100000</v>
      </c>
      <c r="BF299" s="348"/>
      <c r="BG299" s="349"/>
      <c r="BH299" s="350"/>
      <c r="BI299" s="1136">
        <f>2520+(100.5+22.11+5.13+2.91)</f>
        <v>2650.65</v>
      </c>
      <c r="BJ299" s="352"/>
      <c r="BK299" s="337"/>
      <c r="BL299" s="352"/>
      <c r="BM299" s="337"/>
      <c r="BN299" s="353"/>
      <c r="BO299" s="354"/>
      <c r="BP299" s="355"/>
      <c r="BQ299" s="356"/>
      <c r="BR299" s="355"/>
      <c r="BS299" s="356">
        <v>98590</v>
      </c>
      <c r="BT299" s="357"/>
    </row>
    <row r="300" spans="1:72" s="965" customFormat="1" ht="48.75" customHeight="1">
      <c r="A300" s="287">
        <v>71</v>
      </c>
      <c r="B300" s="952"/>
      <c r="C300" s="953" t="s">
        <v>377</v>
      </c>
      <c r="D300" s="954"/>
      <c r="E300" s="955" t="s">
        <v>201</v>
      </c>
      <c r="F300" s="956" t="s">
        <v>23</v>
      </c>
      <c r="G300" s="957">
        <v>2</v>
      </c>
      <c r="H300" s="957" t="s">
        <v>266</v>
      </c>
      <c r="I300" s="957">
        <v>244</v>
      </c>
      <c r="J300" s="958">
        <v>226</v>
      </c>
      <c r="K300" s="959" t="s">
        <v>1005</v>
      </c>
      <c r="L300" s="1027">
        <f>L301</f>
        <v>750000</v>
      </c>
      <c r="M300" s="961"/>
      <c r="N300" s="961">
        <f>N301</f>
        <v>0</v>
      </c>
      <c r="O300" s="1061">
        <f t="shared" ref="O300:O309" si="1023">L300+N300</f>
        <v>750000</v>
      </c>
      <c r="P300" s="962"/>
      <c r="Q300" s="960">
        <f>Q230</f>
        <v>0</v>
      </c>
      <c r="R300" s="962"/>
      <c r="S300" s="960">
        <f>S230</f>
        <v>0</v>
      </c>
      <c r="T300" s="962"/>
      <c r="U300" s="963"/>
      <c r="V300" s="964"/>
      <c r="W300" s="964"/>
      <c r="X300" s="964"/>
      <c r="Z300" s="960">
        <f t="shared" ref="Z300" si="1024">AW300+AY300+BA300</f>
        <v>0</v>
      </c>
      <c r="AA300" s="961">
        <f t="shared" si="985"/>
        <v>0</v>
      </c>
      <c r="AB300" s="966">
        <f t="shared" ref="AB300:AB309" si="1025">Z300-AA300</f>
        <v>0</v>
      </c>
      <c r="AC300" s="960">
        <f t="shared" ref="AC300" si="1026">BC300+BE300+BG300</f>
        <v>0</v>
      </c>
      <c r="AD300" s="961">
        <f t="shared" si="986"/>
        <v>0</v>
      </c>
      <c r="AE300" s="966">
        <f t="shared" ref="AE300:AE309" si="1027">AC300-AD300</f>
        <v>0</v>
      </c>
      <c r="AF300" s="960">
        <f t="shared" ref="AF300" si="1028">BI300+BK300+BM300</f>
        <v>0</v>
      </c>
      <c r="AG300" s="961">
        <f t="shared" si="987"/>
        <v>0</v>
      </c>
      <c r="AH300" s="966">
        <f t="shared" ref="AH300:AH309" si="1029">AF300-AG300</f>
        <v>0</v>
      </c>
      <c r="AI300" s="960">
        <f t="shared" ref="AI300" si="1030">BO300+BQ300+BS300</f>
        <v>750000</v>
      </c>
      <c r="AJ300" s="961">
        <f t="shared" si="988"/>
        <v>0</v>
      </c>
      <c r="AK300" s="966">
        <f t="shared" ref="AK300:AK309" si="1031">AI300-AJ300</f>
        <v>750000</v>
      </c>
      <c r="AL300" s="967"/>
      <c r="AM300" s="960">
        <f t="shared" ref="AM300:AM309" si="1032">Z300+AC300</f>
        <v>0</v>
      </c>
      <c r="AN300" s="961">
        <f t="shared" ref="AN300:AN309" si="1033">AA300+AD300</f>
        <v>0</v>
      </c>
      <c r="AO300" s="966">
        <f t="shared" ref="AO300:AO309" si="1034">AM300-AN300</f>
        <v>0</v>
      </c>
      <c r="AP300" s="960">
        <f t="shared" ref="AP300:AP309" si="1035">Z300+AC300+AF300</f>
        <v>0</v>
      </c>
      <c r="AQ300" s="961">
        <f t="shared" ref="AQ300:AQ309" si="1036">AA300+AD300+AG300</f>
        <v>0</v>
      </c>
      <c r="AR300" s="966">
        <f t="shared" ref="AR300:AR309" si="1037">AP300-AQ300</f>
        <v>0</v>
      </c>
      <c r="AS300" s="960">
        <f t="shared" ref="AS300" si="1038">Z300+AC300+AF300+AI300</f>
        <v>750000</v>
      </c>
      <c r="AT300" s="961">
        <f t="shared" si="991"/>
        <v>0</v>
      </c>
      <c r="AU300" s="966">
        <f t="shared" ref="AU300:AU309" si="1039">AS300-AT300</f>
        <v>750000</v>
      </c>
      <c r="AV300" s="1260">
        <f t="shared" ref="AV300:AV309" si="1040">L300-AS300</f>
        <v>0</v>
      </c>
      <c r="AW300" s="960">
        <f t="shared" ref="AW300:BT300" si="1041">AW301</f>
        <v>0</v>
      </c>
      <c r="AX300" s="1109">
        <f t="shared" si="1041"/>
        <v>0</v>
      </c>
      <c r="AY300" s="961">
        <f t="shared" si="1041"/>
        <v>0</v>
      </c>
      <c r="AZ300" s="1109">
        <f t="shared" si="1041"/>
        <v>0</v>
      </c>
      <c r="BA300" s="961">
        <f t="shared" si="1041"/>
        <v>0</v>
      </c>
      <c r="BB300" s="1127">
        <f t="shared" si="1041"/>
        <v>0</v>
      </c>
      <c r="BC300" s="960">
        <f t="shared" si="1041"/>
        <v>0</v>
      </c>
      <c r="BD300" s="961">
        <f t="shared" si="1041"/>
        <v>0</v>
      </c>
      <c r="BE300" s="961">
        <f t="shared" si="1041"/>
        <v>0</v>
      </c>
      <c r="BF300" s="961">
        <f t="shared" si="1041"/>
        <v>0</v>
      </c>
      <c r="BG300" s="961">
        <f t="shared" si="1041"/>
        <v>0</v>
      </c>
      <c r="BH300" s="969">
        <f t="shared" si="1041"/>
        <v>0</v>
      </c>
      <c r="BI300" s="960">
        <f t="shared" si="1041"/>
        <v>0</v>
      </c>
      <c r="BJ300" s="961">
        <f t="shared" si="1041"/>
        <v>0</v>
      </c>
      <c r="BK300" s="961">
        <f t="shared" si="1041"/>
        <v>0</v>
      </c>
      <c r="BL300" s="961">
        <f t="shared" si="1041"/>
        <v>0</v>
      </c>
      <c r="BM300" s="961">
        <f t="shared" si="1041"/>
        <v>0</v>
      </c>
      <c r="BN300" s="969">
        <f t="shared" si="1041"/>
        <v>0</v>
      </c>
      <c r="BO300" s="960">
        <f t="shared" si="1041"/>
        <v>750000</v>
      </c>
      <c r="BP300" s="961">
        <f t="shared" si="1041"/>
        <v>0</v>
      </c>
      <c r="BQ300" s="961">
        <f t="shared" si="1041"/>
        <v>0</v>
      </c>
      <c r="BR300" s="961">
        <f t="shared" si="1041"/>
        <v>0</v>
      </c>
      <c r="BS300" s="961">
        <f t="shared" si="1041"/>
        <v>0</v>
      </c>
      <c r="BT300" s="966">
        <f t="shared" si="1041"/>
        <v>0</v>
      </c>
    </row>
    <row r="301" spans="1:72" s="468" customFormat="1" ht="66.75" customHeight="1" outlineLevel="1">
      <c r="A301" s="1192">
        <v>71.099999999999994</v>
      </c>
      <c r="B301" s="933"/>
      <c r="C301" s="850" t="s">
        <v>378</v>
      </c>
      <c r="D301" s="854" t="s">
        <v>876</v>
      </c>
      <c r="E301" s="858"/>
      <c r="F301" s="828" t="s">
        <v>23</v>
      </c>
      <c r="G301" s="469">
        <v>2</v>
      </c>
      <c r="H301" s="745" t="s">
        <v>70</v>
      </c>
      <c r="I301" s="745">
        <v>244</v>
      </c>
      <c r="J301" s="746">
        <v>226</v>
      </c>
      <c r="K301" s="537" t="s">
        <v>1105</v>
      </c>
      <c r="L301" s="1032">
        <f>SUM(L302:L309)</f>
        <v>750000</v>
      </c>
      <c r="M301" s="422"/>
      <c r="N301" s="422">
        <f>SUM(N302:N309)</f>
        <v>0</v>
      </c>
      <c r="O301" s="1065">
        <f t="shared" si="1023"/>
        <v>750000</v>
      </c>
      <c r="P301" s="564">
        <v>741617.76</v>
      </c>
      <c r="Q301" s="472"/>
      <c r="R301" s="564"/>
      <c r="S301" s="472"/>
      <c r="T301" s="564"/>
      <c r="U301" s="393"/>
      <c r="V301" s="394"/>
      <c r="W301" s="394"/>
      <c r="X301" s="394"/>
      <c r="Y301" s="392"/>
      <c r="Z301" s="395">
        <f t="shared" si="985"/>
        <v>0</v>
      </c>
      <c r="AA301" s="396">
        <f t="shared" si="985"/>
        <v>0</v>
      </c>
      <c r="AB301" s="397">
        <f t="shared" si="1025"/>
        <v>0</v>
      </c>
      <c r="AC301" s="395">
        <f t="shared" si="986"/>
        <v>0</v>
      </c>
      <c r="AD301" s="396">
        <f t="shared" si="986"/>
        <v>0</v>
      </c>
      <c r="AE301" s="397">
        <f t="shared" si="1027"/>
        <v>0</v>
      </c>
      <c r="AF301" s="395">
        <f t="shared" si="987"/>
        <v>0</v>
      </c>
      <c r="AG301" s="396">
        <f t="shared" si="987"/>
        <v>0</v>
      </c>
      <c r="AH301" s="397">
        <f t="shared" si="1029"/>
        <v>0</v>
      </c>
      <c r="AI301" s="395">
        <f t="shared" si="988"/>
        <v>750000</v>
      </c>
      <c r="AJ301" s="396">
        <f t="shared" si="988"/>
        <v>0</v>
      </c>
      <c r="AK301" s="397">
        <f t="shared" si="1031"/>
        <v>750000</v>
      </c>
      <c r="AL301" s="398"/>
      <c r="AM301" s="472">
        <f t="shared" si="1032"/>
        <v>0</v>
      </c>
      <c r="AN301" s="422">
        <f t="shared" si="1033"/>
        <v>0</v>
      </c>
      <c r="AO301" s="473">
        <f t="shared" si="1034"/>
        <v>0</v>
      </c>
      <c r="AP301" s="472">
        <f t="shared" si="1035"/>
        <v>0</v>
      </c>
      <c r="AQ301" s="422">
        <f t="shared" si="1036"/>
        <v>0</v>
      </c>
      <c r="AR301" s="473">
        <f t="shared" si="1037"/>
        <v>0</v>
      </c>
      <c r="AS301" s="472">
        <f t="shared" si="991"/>
        <v>750000</v>
      </c>
      <c r="AT301" s="422">
        <f t="shared" si="991"/>
        <v>0</v>
      </c>
      <c r="AU301" s="473">
        <f t="shared" si="1039"/>
        <v>750000</v>
      </c>
      <c r="AV301" s="1263">
        <f t="shared" si="1040"/>
        <v>0</v>
      </c>
      <c r="AW301" s="472">
        <f t="shared" ref="AW301:BT301" si="1042">SUM(AW302:AW309)</f>
        <v>0</v>
      </c>
      <c r="AX301" s="1110">
        <f t="shared" si="1042"/>
        <v>0</v>
      </c>
      <c r="AY301" s="422">
        <f t="shared" si="1042"/>
        <v>0</v>
      </c>
      <c r="AZ301" s="1110">
        <f t="shared" si="1042"/>
        <v>0</v>
      </c>
      <c r="BA301" s="422">
        <f t="shared" si="1042"/>
        <v>0</v>
      </c>
      <c r="BB301" s="1128">
        <f t="shared" si="1042"/>
        <v>0</v>
      </c>
      <c r="BC301" s="472">
        <f t="shared" si="1042"/>
        <v>0</v>
      </c>
      <c r="BD301" s="422">
        <f t="shared" si="1042"/>
        <v>0</v>
      </c>
      <c r="BE301" s="422">
        <f t="shared" si="1042"/>
        <v>0</v>
      </c>
      <c r="BF301" s="422">
        <f t="shared" si="1042"/>
        <v>0</v>
      </c>
      <c r="BG301" s="422">
        <f t="shared" si="1042"/>
        <v>0</v>
      </c>
      <c r="BH301" s="423">
        <f t="shared" si="1042"/>
        <v>0</v>
      </c>
      <c r="BI301" s="472">
        <f t="shared" si="1042"/>
        <v>0</v>
      </c>
      <c r="BJ301" s="422">
        <f t="shared" si="1042"/>
        <v>0</v>
      </c>
      <c r="BK301" s="422">
        <f t="shared" si="1042"/>
        <v>0</v>
      </c>
      <c r="BL301" s="422">
        <f t="shared" si="1042"/>
        <v>0</v>
      </c>
      <c r="BM301" s="422">
        <f t="shared" si="1042"/>
        <v>0</v>
      </c>
      <c r="BN301" s="423">
        <f t="shared" si="1042"/>
        <v>0</v>
      </c>
      <c r="BO301" s="472">
        <f t="shared" si="1042"/>
        <v>750000</v>
      </c>
      <c r="BP301" s="422">
        <f t="shared" si="1042"/>
        <v>0</v>
      </c>
      <c r="BQ301" s="422">
        <f t="shared" si="1042"/>
        <v>0</v>
      </c>
      <c r="BR301" s="422">
        <f t="shared" si="1042"/>
        <v>0</v>
      </c>
      <c r="BS301" s="422">
        <f t="shared" si="1042"/>
        <v>0</v>
      </c>
      <c r="BT301" s="473">
        <f t="shared" si="1042"/>
        <v>0</v>
      </c>
    </row>
    <row r="302" spans="1:72" s="399" customFormat="1" ht="25.5" customHeight="1" outlineLevel="2">
      <c r="A302" s="1192" t="s">
        <v>997</v>
      </c>
      <c r="B302" s="933"/>
      <c r="C302" s="859"/>
      <c r="D302" s="854" t="s">
        <v>876</v>
      </c>
      <c r="E302" s="860"/>
      <c r="F302" s="829" t="s">
        <v>23</v>
      </c>
      <c r="G302" s="400">
        <v>2</v>
      </c>
      <c r="H302" s="747" t="s">
        <v>70</v>
      </c>
      <c r="I302" s="747">
        <v>244</v>
      </c>
      <c r="J302" s="748">
        <v>226</v>
      </c>
      <c r="K302" s="538" t="s">
        <v>292</v>
      </c>
      <c r="L302" s="1025"/>
      <c r="M302" s="403"/>
      <c r="N302" s="318"/>
      <c r="O302" s="1063">
        <f t="shared" si="1023"/>
        <v>0</v>
      </c>
      <c r="P302" s="565">
        <v>0</v>
      </c>
      <c r="Q302" s="406"/>
      <c r="R302" s="565"/>
      <c r="S302" s="406"/>
      <c r="T302" s="565"/>
      <c r="U302" s="428"/>
      <c r="V302" s="405"/>
      <c r="W302" s="405"/>
      <c r="X302" s="405"/>
      <c r="Z302" s="406">
        <f t="shared" si="985"/>
        <v>0</v>
      </c>
      <c r="AA302" s="407">
        <f t="shared" si="985"/>
        <v>0</v>
      </c>
      <c r="AB302" s="408">
        <f t="shared" si="1025"/>
        <v>0</v>
      </c>
      <c r="AC302" s="406">
        <f t="shared" si="986"/>
        <v>0</v>
      </c>
      <c r="AD302" s="407">
        <f t="shared" si="986"/>
        <v>0</v>
      </c>
      <c r="AE302" s="408">
        <f t="shared" si="1027"/>
        <v>0</v>
      </c>
      <c r="AF302" s="406">
        <f t="shared" si="987"/>
        <v>0</v>
      </c>
      <c r="AG302" s="407">
        <f t="shared" si="987"/>
        <v>0</v>
      </c>
      <c r="AH302" s="408">
        <f t="shared" si="1029"/>
        <v>0</v>
      </c>
      <c r="AI302" s="406">
        <f t="shared" si="988"/>
        <v>0</v>
      </c>
      <c r="AJ302" s="407">
        <f t="shared" si="988"/>
        <v>0</v>
      </c>
      <c r="AK302" s="408">
        <f t="shared" si="1031"/>
        <v>0</v>
      </c>
      <c r="AL302" s="409"/>
      <c r="AM302" s="406">
        <f t="shared" si="1032"/>
        <v>0</v>
      </c>
      <c r="AN302" s="410">
        <f t="shared" si="1033"/>
        <v>0</v>
      </c>
      <c r="AO302" s="411">
        <f t="shared" si="1034"/>
        <v>0</v>
      </c>
      <c r="AP302" s="406">
        <f t="shared" si="1035"/>
        <v>0</v>
      </c>
      <c r="AQ302" s="410">
        <f t="shared" si="1036"/>
        <v>0</v>
      </c>
      <c r="AR302" s="411">
        <f t="shared" si="1037"/>
        <v>0</v>
      </c>
      <c r="AS302" s="412">
        <f t="shared" si="991"/>
        <v>0</v>
      </c>
      <c r="AT302" s="410">
        <f t="shared" si="991"/>
        <v>0</v>
      </c>
      <c r="AU302" s="411">
        <f t="shared" si="1039"/>
        <v>0</v>
      </c>
      <c r="AV302" s="1262">
        <f t="shared" si="1040"/>
        <v>0</v>
      </c>
      <c r="AW302" s="413"/>
      <c r="AX302" s="1098"/>
      <c r="AY302" s="415"/>
      <c r="AZ302" s="1098"/>
      <c r="BA302" s="415"/>
      <c r="BB302" s="1120"/>
      <c r="BC302" s="417"/>
      <c r="BD302" s="418"/>
      <c r="BE302" s="419"/>
      <c r="BF302" s="418"/>
      <c r="BG302" s="419"/>
      <c r="BH302" s="420"/>
      <c r="BI302" s="421"/>
      <c r="BJ302" s="422"/>
      <c r="BK302" s="407"/>
      <c r="BL302" s="422"/>
      <c r="BM302" s="407"/>
      <c r="BN302" s="423"/>
      <c r="BO302" s="424"/>
      <c r="BP302" s="425"/>
      <c r="BQ302" s="426"/>
      <c r="BR302" s="425"/>
      <c r="BS302" s="426"/>
      <c r="BT302" s="427"/>
    </row>
    <row r="303" spans="1:72" s="399" customFormat="1" ht="25.5" customHeight="1" outlineLevel="2">
      <c r="A303" s="1192" t="s">
        <v>998</v>
      </c>
      <c r="B303" s="933"/>
      <c r="C303" s="859"/>
      <c r="D303" s="854" t="s">
        <v>876</v>
      </c>
      <c r="E303" s="860"/>
      <c r="F303" s="829" t="s">
        <v>23</v>
      </c>
      <c r="G303" s="400">
        <v>2</v>
      </c>
      <c r="H303" s="747" t="s">
        <v>70</v>
      </c>
      <c r="I303" s="747">
        <v>244</v>
      </c>
      <c r="J303" s="748">
        <v>226</v>
      </c>
      <c r="K303" s="538" t="s">
        <v>293</v>
      </c>
      <c r="L303" s="1025">
        <v>165393.4</v>
      </c>
      <c r="M303" s="403"/>
      <c r="N303" s="318"/>
      <c r="O303" s="1063">
        <f t="shared" si="1023"/>
        <v>165393.4</v>
      </c>
      <c r="P303" s="565">
        <v>165393.4</v>
      </c>
      <c r="Q303" s="406"/>
      <c r="R303" s="565"/>
      <c r="S303" s="406"/>
      <c r="T303" s="565"/>
      <c r="U303" s="428"/>
      <c r="V303" s="405"/>
      <c r="W303" s="405"/>
      <c r="X303" s="405"/>
      <c r="Z303" s="406">
        <f t="shared" si="985"/>
        <v>0</v>
      </c>
      <c r="AA303" s="407">
        <f t="shared" si="985"/>
        <v>0</v>
      </c>
      <c r="AB303" s="408">
        <f t="shared" si="1025"/>
        <v>0</v>
      </c>
      <c r="AC303" s="406">
        <f t="shared" si="986"/>
        <v>0</v>
      </c>
      <c r="AD303" s="407">
        <f t="shared" si="986"/>
        <v>0</v>
      </c>
      <c r="AE303" s="408">
        <f t="shared" si="1027"/>
        <v>0</v>
      </c>
      <c r="AF303" s="406">
        <f t="shared" si="987"/>
        <v>0</v>
      </c>
      <c r="AG303" s="407">
        <f t="shared" si="987"/>
        <v>0</v>
      </c>
      <c r="AH303" s="408">
        <f t="shared" si="1029"/>
        <v>0</v>
      </c>
      <c r="AI303" s="406">
        <f t="shared" si="988"/>
        <v>165393.4</v>
      </c>
      <c r="AJ303" s="407">
        <f t="shared" si="988"/>
        <v>0</v>
      </c>
      <c r="AK303" s="408">
        <f t="shared" si="1031"/>
        <v>165393.4</v>
      </c>
      <c r="AL303" s="409"/>
      <c r="AM303" s="406">
        <f t="shared" si="1032"/>
        <v>0</v>
      </c>
      <c r="AN303" s="410">
        <f t="shared" si="1033"/>
        <v>0</v>
      </c>
      <c r="AO303" s="411">
        <f t="shared" si="1034"/>
        <v>0</v>
      </c>
      <c r="AP303" s="406">
        <f t="shared" si="1035"/>
        <v>0</v>
      </c>
      <c r="AQ303" s="410">
        <f t="shared" si="1036"/>
        <v>0</v>
      </c>
      <c r="AR303" s="411">
        <f t="shared" si="1037"/>
        <v>0</v>
      </c>
      <c r="AS303" s="412">
        <f t="shared" si="991"/>
        <v>165393.4</v>
      </c>
      <c r="AT303" s="410">
        <f t="shared" si="991"/>
        <v>0</v>
      </c>
      <c r="AU303" s="411">
        <f t="shared" si="1039"/>
        <v>165393.4</v>
      </c>
      <c r="AV303" s="1262">
        <f t="shared" si="1040"/>
        <v>0</v>
      </c>
      <c r="AW303" s="413"/>
      <c r="AX303" s="1098"/>
      <c r="AY303" s="415"/>
      <c r="AZ303" s="1098"/>
      <c r="BA303" s="415"/>
      <c r="BB303" s="1120"/>
      <c r="BC303" s="417"/>
      <c r="BD303" s="418"/>
      <c r="BE303" s="419"/>
      <c r="BF303" s="418"/>
      <c r="BG303" s="419"/>
      <c r="BH303" s="420"/>
      <c r="BI303" s="421"/>
      <c r="BJ303" s="422"/>
      <c r="BK303" s="407"/>
      <c r="BL303" s="422"/>
      <c r="BM303" s="407"/>
      <c r="BN303" s="423"/>
      <c r="BO303" s="424">
        <v>165393.4</v>
      </c>
      <c r="BP303" s="425"/>
      <c r="BQ303" s="426"/>
      <c r="BR303" s="425"/>
      <c r="BS303" s="426"/>
      <c r="BT303" s="427"/>
    </row>
    <row r="304" spans="1:72" s="399" customFormat="1" ht="25.5" customHeight="1" outlineLevel="2">
      <c r="A304" s="1192" t="s">
        <v>999</v>
      </c>
      <c r="B304" s="933"/>
      <c r="C304" s="859"/>
      <c r="D304" s="854" t="s">
        <v>876</v>
      </c>
      <c r="E304" s="860"/>
      <c r="F304" s="829" t="s">
        <v>23</v>
      </c>
      <c r="G304" s="400">
        <v>2</v>
      </c>
      <c r="H304" s="747" t="s">
        <v>70</v>
      </c>
      <c r="I304" s="747">
        <v>244</v>
      </c>
      <c r="J304" s="748">
        <v>226</v>
      </c>
      <c r="K304" s="538" t="s">
        <v>1008</v>
      </c>
      <c r="L304" s="1025">
        <v>246736.08</v>
      </c>
      <c r="M304" s="403"/>
      <c r="N304" s="318"/>
      <c r="O304" s="1063">
        <f t="shared" si="1023"/>
        <v>246736.08</v>
      </c>
      <c r="P304" s="565">
        <v>246736.08</v>
      </c>
      <c r="Q304" s="406"/>
      <c r="R304" s="565"/>
      <c r="S304" s="406"/>
      <c r="T304" s="565"/>
      <c r="U304" s="428"/>
      <c r="V304" s="405"/>
      <c r="W304" s="405"/>
      <c r="X304" s="405"/>
      <c r="Z304" s="406">
        <f t="shared" si="985"/>
        <v>0</v>
      </c>
      <c r="AA304" s="407">
        <f t="shared" si="985"/>
        <v>0</v>
      </c>
      <c r="AB304" s="408">
        <f t="shared" si="1025"/>
        <v>0</v>
      </c>
      <c r="AC304" s="406">
        <f t="shared" si="986"/>
        <v>0</v>
      </c>
      <c r="AD304" s="407">
        <f t="shared" si="986"/>
        <v>0</v>
      </c>
      <c r="AE304" s="408">
        <f t="shared" si="1027"/>
        <v>0</v>
      </c>
      <c r="AF304" s="406">
        <f t="shared" si="987"/>
        <v>0</v>
      </c>
      <c r="AG304" s="407">
        <f t="shared" si="987"/>
        <v>0</v>
      </c>
      <c r="AH304" s="408">
        <f t="shared" si="1029"/>
        <v>0</v>
      </c>
      <c r="AI304" s="406">
        <f t="shared" si="988"/>
        <v>246736.08</v>
      </c>
      <c r="AJ304" s="407">
        <f t="shared" si="988"/>
        <v>0</v>
      </c>
      <c r="AK304" s="408">
        <f t="shared" si="1031"/>
        <v>246736.08</v>
      </c>
      <c r="AL304" s="409"/>
      <c r="AM304" s="406">
        <f t="shared" si="1032"/>
        <v>0</v>
      </c>
      <c r="AN304" s="410">
        <f t="shared" si="1033"/>
        <v>0</v>
      </c>
      <c r="AO304" s="411">
        <f t="shared" si="1034"/>
        <v>0</v>
      </c>
      <c r="AP304" s="406">
        <f t="shared" si="1035"/>
        <v>0</v>
      </c>
      <c r="AQ304" s="410">
        <f t="shared" si="1036"/>
        <v>0</v>
      </c>
      <c r="AR304" s="411">
        <f t="shared" si="1037"/>
        <v>0</v>
      </c>
      <c r="AS304" s="412">
        <f t="shared" si="991"/>
        <v>246736.08</v>
      </c>
      <c r="AT304" s="410">
        <f t="shared" si="991"/>
        <v>0</v>
      </c>
      <c r="AU304" s="411">
        <f t="shared" si="1039"/>
        <v>246736.08</v>
      </c>
      <c r="AV304" s="1262">
        <f t="shared" si="1040"/>
        <v>0</v>
      </c>
      <c r="AW304" s="413"/>
      <c r="AX304" s="1098"/>
      <c r="AY304" s="415"/>
      <c r="AZ304" s="1098"/>
      <c r="BA304" s="415"/>
      <c r="BB304" s="1120"/>
      <c r="BC304" s="417"/>
      <c r="BD304" s="418"/>
      <c r="BE304" s="419"/>
      <c r="BF304" s="418"/>
      <c r="BG304" s="419"/>
      <c r="BH304" s="420"/>
      <c r="BI304" s="421"/>
      <c r="BJ304" s="422"/>
      <c r="BK304" s="407"/>
      <c r="BL304" s="422"/>
      <c r="BM304" s="407"/>
      <c r="BN304" s="423"/>
      <c r="BO304" s="424">
        <v>246736.08</v>
      </c>
      <c r="BP304" s="425"/>
      <c r="BQ304" s="426"/>
      <c r="BR304" s="425"/>
      <c r="BS304" s="426"/>
      <c r="BT304" s="427"/>
    </row>
    <row r="305" spans="1:72" s="399" customFormat="1" ht="25.5" customHeight="1" outlineLevel="2">
      <c r="A305" s="1192" t="s">
        <v>1000</v>
      </c>
      <c r="B305" s="933"/>
      <c r="C305" s="859"/>
      <c r="D305" s="854" t="s">
        <v>876</v>
      </c>
      <c r="E305" s="860"/>
      <c r="F305" s="829" t="s">
        <v>23</v>
      </c>
      <c r="G305" s="400">
        <v>2</v>
      </c>
      <c r="H305" s="747" t="s">
        <v>70</v>
      </c>
      <c r="I305" s="747">
        <v>244</v>
      </c>
      <c r="J305" s="748">
        <v>226</v>
      </c>
      <c r="K305" s="538" t="s">
        <v>295</v>
      </c>
      <c r="L305" s="1025">
        <v>299886.7</v>
      </c>
      <c r="M305" s="403"/>
      <c r="N305" s="318"/>
      <c r="O305" s="1063">
        <f t="shared" si="1023"/>
        <v>299886.7</v>
      </c>
      <c r="P305" s="565">
        <v>299886.7</v>
      </c>
      <c r="Q305" s="406"/>
      <c r="R305" s="565"/>
      <c r="S305" s="406"/>
      <c r="T305" s="565"/>
      <c r="U305" s="428"/>
      <c r="V305" s="405"/>
      <c r="W305" s="405"/>
      <c r="X305" s="405"/>
      <c r="Z305" s="406">
        <f t="shared" si="985"/>
        <v>0</v>
      </c>
      <c r="AA305" s="407">
        <f t="shared" si="985"/>
        <v>0</v>
      </c>
      <c r="AB305" s="408">
        <f t="shared" si="1025"/>
        <v>0</v>
      </c>
      <c r="AC305" s="406">
        <f t="shared" si="986"/>
        <v>0</v>
      </c>
      <c r="AD305" s="407">
        <f t="shared" si="986"/>
        <v>0</v>
      </c>
      <c r="AE305" s="408">
        <f t="shared" si="1027"/>
        <v>0</v>
      </c>
      <c r="AF305" s="406">
        <f t="shared" si="987"/>
        <v>0</v>
      </c>
      <c r="AG305" s="407">
        <f t="shared" si="987"/>
        <v>0</v>
      </c>
      <c r="AH305" s="408">
        <f t="shared" si="1029"/>
        <v>0</v>
      </c>
      <c r="AI305" s="406">
        <f t="shared" si="988"/>
        <v>299886.7</v>
      </c>
      <c r="AJ305" s="407">
        <f t="shared" si="988"/>
        <v>0</v>
      </c>
      <c r="AK305" s="408">
        <f t="shared" si="1031"/>
        <v>299886.7</v>
      </c>
      <c r="AL305" s="409"/>
      <c r="AM305" s="406">
        <f t="shared" si="1032"/>
        <v>0</v>
      </c>
      <c r="AN305" s="410">
        <f t="shared" si="1033"/>
        <v>0</v>
      </c>
      <c r="AO305" s="411">
        <f t="shared" si="1034"/>
        <v>0</v>
      </c>
      <c r="AP305" s="406">
        <f t="shared" si="1035"/>
        <v>0</v>
      </c>
      <c r="AQ305" s="410">
        <f t="shared" si="1036"/>
        <v>0</v>
      </c>
      <c r="AR305" s="411">
        <f t="shared" si="1037"/>
        <v>0</v>
      </c>
      <c r="AS305" s="412">
        <f t="shared" si="991"/>
        <v>299886.7</v>
      </c>
      <c r="AT305" s="410">
        <f t="shared" si="991"/>
        <v>0</v>
      </c>
      <c r="AU305" s="411">
        <f t="shared" si="1039"/>
        <v>299886.7</v>
      </c>
      <c r="AV305" s="1262">
        <f t="shared" si="1040"/>
        <v>0</v>
      </c>
      <c r="AW305" s="413"/>
      <c r="AX305" s="1098"/>
      <c r="AY305" s="415"/>
      <c r="AZ305" s="1098"/>
      <c r="BA305" s="415"/>
      <c r="BB305" s="1120"/>
      <c r="BC305" s="417"/>
      <c r="BD305" s="418"/>
      <c r="BE305" s="419"/>
      <c r="BF305" s="418"/>
      <c r="BG305" s="419"/>
      <c r="BH305" s="420"/>
      <c r="BI305" s="421"/>
      <c r="BJ305" s="422"/>
      <c r="BK305" s="407"/>
      <c r="BL305" s="422"/>
      <c r="BM305" s="407"/>
      <c r="BN305" s="423"/>
      <c r="BO305" s="424">
        <v>299886.7</v>
      </c>
      <c r="BP305" s="425"/>
      <c r="BQ305" s="426"/>
      <c r="BR305" s="425"/>
      <c r="BS305" s="426"/>
      <c r="BT305" s="427"/>
    </row>
    <row r="306" spans="1:72" s="399" customFormat="1" ht="25.5" customHeight="1" outlineLevel="2">
      <c r="A306" s="1192" t="s">
        <v>1001</v>
      </c>
      <c r="B306" s="933"/>
      <c r="C306" s="859"/>
      <c r="D306" s="854" t="s">
        <v>876</v>
      </c>
      <c r="E306" s="860"/>
      <c r="F306" s="829" t="s">
        <v>23</v>
      </c>
      <c r="G306" s="400">
        <v>2</v>
      </c>
      <c r="H306" s="747" t="s">
        <v>70</v>
      </c>
      <c r="I306" s="747">
        <v>244</v>
      </c>
      <c r="J306" s="748">
        <v>226</v>
      </c>
      <c r="K306" s="538" t="s">
        <v>1006</v>
      </c>
      <c r="L306" s="1025">
        <v>35650.49</v>
      </c>
      <c r="M306" s="403"/>
      <c r="N306" s="318"/>
      <c r="O306" s="1063">
        <f t="shared" si="1023"/>
        <v>35650.49</v>
      </c>
      <c r="P306" s="565">
        <v>27268.25</v>
      </c>
      <c r="Q306" s="406"/>
      <c r="R306" s="565"/>
      <c r="S306" s="406"/>
      <c r="T306" s="565"/>
      <c r="U306" s="428"/>
      <c r="V306" s="405"/>
      <c r="W306" s="405"/>
      <c r="X306" s="405"/>
      <c r="Z306" s="406">
        <f t="shared" si="985"/>
        <v>0</v>
      </c>
      <c r="AA306" s="407">
        <f t="shared" si="985"/>
        <v>0</v>
      </c>
      <c r="AB306" s="408">
        <f t="shared" si="1025"/>
        <v>0</v>
      </c>
      <c r="AC306" s="406">
        <f t="shared" si="986"/>
        <v>0</v>
      </c>
      <c r="AD306" s="407">
        <f t="shared" si="986"/>
        <v>0</v>
      </c>
      <c r="AE306" s="408">
        <f t="shared" si="1027"/>
        <v>0</v>
      </c>
      <c r="AF306" s="406">
        <f t="shared" si="987"/>
        <v>0</v>
      </c>
      <c r="AG306" s="407">
        <f t="shared" si="987"/>
        <v>0</v>
      </c>
      <c r="AH306" s="408">
        <f t="shared" si="1029"/>
        <v>0</v>
      </c>
      <c r="AI306" s="406">
        <f t="shared" si="988"/>
        <v>35650.49</v>
      </c>
      <c r="AJ306" s="407">
        <f t="shared" si="988"/>
        <v>0</v>
      </c>
      <c r="AK306" s="408">
        <f t="shared" si="1031"/>
        <v>35650.49</v>
      </c>
      <c r="AL306" s="409"/>
      <c r="AM306" s="406">
        <f t="shared" si="1032"/>
        <v>0</v>
      </c>
      <c r="AN306" s="410">
        <f t="shared" si="1033"/>
        <v>0</v>
      </c>
      <c r="AO306" s="411">
        <f t="shared" si="1034"/>
        <v>0</v>
      </c>
      <c r="AP306" s="406">
        <f t="shared" si="1035"/>
        <v>0</v>
      </c>
      <c r="AQ306" s="410">
        <f t="shared" si="1036"/>
        <v>0</v>
      </c>
      <c r="AR306" s="411">
        <f t="shared" si="1037"/>
        <v>0</v>
      </c>
      <c r="AS306" s="412">
        <f t="shared" si="991"/>
        <v>35650.49</v>
      </c>
      <c r="AT306" s="410">
        <f t="shared" si="991"/>
        <v>0</v>
      </c>
      <c r="AU306" s="411">
        <f t="shared" si="1039"/>
        <v>35650.49</v>
      </c>
      <c r="AV306" s="1262">
        <f t="shared" si="1040"/>
        <v>0</v>
      </c>
      <c r="AW306" s="413"/>
      <c r="AX306" s="1098"/>
      <c r="AY306" s="415"/>
      <c r="AZ306" s="1098"/>
      <c r="BA306" s="415"/>
      <c r="BB306" s="1120"/>
      <c r="BC306" s="417"/>
      <c r="BD306" s="418"/>
      <c r="BE306" s="419"/>
      <c r="BF306" s="418"/>
      <c r="BG306" s="419"/>
      <c r="BH306" s="420"/>
      <c r="BI306" s="421"/>
      <c r="BJ306" s="422"/>
      <c r="BK306" s="407"/>
      <c r="BL306" s="422"/>
      <c r="BM306" s="407"/>
      <c r="BN306" s="423"/>
      <c r="BO306" s="424">
        <v>35650.49</v>
      </c>
      <c r="BP306" s="425"/>
      <c r="BQ306" s="426"/>
      <c r="BR306" s="425"/>
      <c r="BS306" s="426"/>
      <c r="BT306" s="427"/>
    </row>
    <row r="307" spans="1:72" s="399" customFormat="1" ht="25.5" customHeight="1" outlineLevel="2">
      <c r="A307" s="1192" t="s">
        <v>1002</v>
      </c>
      <c r="B307" s="933"/>
      <c r="C307" s="859"/>
      <c r="D307" s="854" t="s">
        <v>876</v>
      </c>
      <c r="E307" s="860"/>
      <c r="F307" s="829" t="s">
        <v>23</v>
      </c>
      <c r="G307" s="400">
        <v>2</v>
      </c>
      <c r="H307" s="747" t="s">
        <v>70</v>
      </c>
      <c r="I307" s="747">
        <v>244</v>
      </c>
      <c r="J307" s="748">
        <v>226</v>
      </c>
      <c r="K307" s="538" t="s">
        <v>288</v>
      </c>
      <c r="L307" s="1025"/>
      <c r="M307" s="403"/>
      <c r="N307" s="318"/>
      <c r="O307" s="1063">
        <f t="shared" si="1023"/>
        <v>0</v>
      </c>
      <c r="P307" s="565">
        <v>0</v>
      </c>
      <c r="Q307" s="406"/>
      <c r="R307" s="565"/>
      <c r="S307" s="406"/>
      <c r="T307" s="565"/>
      <c r="U307" s="428"/>
      <c r="V307" s="405"/>
      <c r="W307" s="405"/>
      <c r="X307" s="405"/>
      <c r="Z307" s="406">
        <f t="shared" si="985"/>
        <v>0</v>
      </c>
      <c r="AA307" s="407">
        <f t="shared" si="985"/>
        <v>0</v>
      </c>
      <c r="AB307" s="408">
        <f t="shared" si="1025"/>
        <v>0</v>
      </c>
      <c r="AC307" s="406">
        <f t="shared" si="986"/>
        <v>0</v>
      </c>
      <c r="AD307" s="407">
        <f t="shared" si="986"/>
        <v>0</v>
      </c>
      <c r="AE307" s="408">
        <f t="shared" si="1027"/>
        <v>0</v>
      </c>
      <c r="AF307" s="406">
        <f t="shared" si="987"/>
        <v>0</v>
      </c>
      <c r="AG307" s="407">
        <f t="shared" si="987"/>
        <v>0</v>
      </c>
      <c r="AH307" s="408">
        <f t="shared" si="1029"/>
        <v>0</v>
      </c>
      <c r="AI307" s="406">
        <f t="shared" si="988"/>
        <v>0</v>
      </c>
      <c r="AJ307" s="407">
        <f t="shared" si="988"/>
        <v>0</v>
      </c>
      <c r="AK307" s="408">
        <f t="shared" si="1031"/>
        <v>0</v>
      </c>
      <c r="AL307" s="409"/>
      <c r="AM307" s="406">
        <f t="shared" si="1032"/>
        <v>0</v>
      </c>
      <c r="AN307" s="410">
        <f t="shared" si="1033"/>
        <v>0</v>
      </c>
      <c r="AO307" s="411">
        <f t="shared" si="1034"/>
        <v>0</v>
      </c>
      <c r="AP307" s="406">
        <f t="shared" si="1035"/>
        <v>0</v>
      </c>
      <c r="AQ307" s="410">
        <f t="shared" si="1036"/>
        <v>0</v>
      </c>
      <c r="AR307" s="411">
        <f t="shared" si="1037"/>
        <v>0</v>
      </c>
      <c r="AS307" s="412">
        <f t="shared" si="991"/>
        <v>0</v>
      </c>
      <c r="AT307" s="410">
        <f t="shared" si="991"/>
        <v>0</v>
      </c>
      <c r="AU307" s="411">
        <f t="shared" si="1039"/>
        <v>0</v>
      </c>
      <c r="AV307" s="1262">
        <f t="shared" si="1040"/>
        <v>0</v>
      </c>
      <c r="AW307" s="413"/>
      <c r="AX307" s="1098"/>
      <c r="AY307" s="415"/>
      <c r="AZ307" s="1098"/>
      <c r="BA307" s="415"/>
      <c r="BB307" s="1120"/>
      <c r="BC307" s="417"/>
      <c r="BD307" s="418"/>
      <c r="BE307" s="419"/>
      <c r="BF307" s="418"/>
      <c r="BG307" s="419"/>
      <c r="BH307" s="420"/>
      <c r="BI307" s="421"/>
      <c r="BJ307" s="422"/>
      <c r="BK307" s="407"/>
      <c r="BL307" s="422"/>
      <c r="BM307" s="407"/>
      <c r="BN307" s="423"/>
      <c r="BO307" s="424"/>
      <c r="BP307" s="425"/>
      <c r="BQ307" s="426"/>
      <c r="BR307" s="425"/>
      <c r="BS307" s="426"/>
      <c r="BT307" s="427"/>
    </row>
    <row r="308" spans="1:72" s="399" customFormat="1" ht="25.5" customHeight="1" outlineLevel="2">
      <c r="A308" s="1192" t="s">
        <v>1003</v>
      </c>
      <c r="B308" s="933"/>
      <c r="C308" s="859"/>
      <c r="D308" s="854" t="s">
        <v>876</v>
      </c>
      <c r="E308" s="860"/>
      <c r="F308" s="829" t="s">
        <v>23</v>
      </c>
      <c r="G308" s="400">
        <v>2</v>
      </c>
      <c r="H308" s="747" t="s">
        <v>70</v>
      </c>
      <c r="I308" s="747">
        <v>244</v>
      </c>
      <c r="J308" s="748">
        <v>226</v>
      </c>
      <c r="K308" s="538" t="s">
        <v>297</v>
      </c>
      <c r="L308" s="1025">
        <v>2333.33</v>
      </c>
      <c r="M308" s="403"/>
      <c r="N308" s="318"/>
      <c r="O308" s="1063">
        <f t="shared" si="1023"/>
        <v>2333.33</v>
      </c>
      <c r="P308" s="565">
        <v>2333.33</v>
      </c>
      <c r="Q308" s="406"/>
      <c r="R308" s="565"/>
      <c r="S308" s="406"/>
      <c r="T308" s="565"/>
      <c r="U308" s="428"/>
      <c r="V308" s="405"/>
      <c r="W308" s="405"/>
      <c r="X308" s="405"/>
      <c r="Z308" s="406">
        <f t="shared" si="985"/>
        <v>0</v>
      </c>
      <c r="AA308" s="407">
        <f t="shared" si="985"/>
        <v>0</v>
      </c>
      <c r="AB308" s="408">
        <f t="shared" si="1025"/>
        <v>0</v>
      </c>
      <c r="AC308" s="406">
        <f t="shared" si="986"/>
        <v>0</v>
      </c>
      <c r="AD308" s="407">
        <f t="shared" si="986"/>
        <v>0</v>
      </c>
      <c r="AE308" s="408">
        <f t="shared" si="1027"/>
        <v>0</v>
      </c>
      <c r="AF308" s="406">
        <f t="shared" si="987"/>
        <v>0</v>
      </c>
      <c r="AG308" s="407">
        <f t="shared" si="987"/>
        <v>0</v>
      </c>
      <c r="AH308" s="408">
        <f t="shared" si="1029"/>
        <v>0</v>
      </c>
      <c r="AI308" s="406">
        <f t="shared" si="988"/>
        <v>2333.33</v>
      </c>
      <c r="AJ308" s="407">
        <f t="shared" si="988"/>
        <v>0</v>
      </c>
      <c r="AK308" s="408">
        <f t="shared" si="1031"/>
        <v>2333.33</v>
      </c>
      <c r="AL308" s="409"/>
      <c r="AM308" s="406">
        <f t="shared" si="1032"/>
        <v>0</v>
      </c>
      <c r="AN308" s="410">
        <f t="shared" si="1033"/>
        <v>0</v>
      </c>
      <c r="AO308" s="411">
        <f t="shared" si="1034"/>
        <v>0</v>
      </c>
      <c r="AP308" s="406">
        <f t="shared" si="1035"/>
        <v>0</v>
      </c>
      <c r="AQ308" s="410">
        <f t="shared" si="1036"/>
        <v>0</v>
      </c>
      <c r="AR308" s="411">
        <f t="shared" si="1037"/>
        <v>0</v>
      </c>
      <c r="AS308" s="412">
        <f t="shared" si="991"/>
        <v>2333.33</v>
      </c>
      <c r="AT308" s="410">
        <f t="shared" si="991"/>
        <v>0</v>
      </c>
      <c r="AU308" s="411">
        <f t="shared" si="1039"/>
        <v>2333.33</v>
      </c>
      <c r="AV308" s="1262">
        <f t="shared" si="1040"/>
        <v>0</v>
      </c>
      <c r="AW308" s="413"/>
      <c r="AX308" s="1098"/>
      <c r="AY308" s="415"/>
      <c r="AZ308" s="1098"/>
      <c r="BA308" s="415"/>
      <c r="BB308" s="1120"/>
      <c r="BC308" s="417"/>
      <c r="BD308" s="418"/>
      <c r="BE308" s="419"/>
      <c r="BF308" s="418"/>
      <c r="BG308" s="419"/>
      <c r="BH308" s="420"/>
      <c r="BI308" s="421"/>
      <c r="BJ308" s="422"/>
      <c r="BK308" s="407"/>
      <c r="BL308" s="422"/>
      <c r="BM308" s="407"/>
      <c r="BN308" s="423"/>
      <c r="BO308" s="424">
        <v>2333.33</v>
      </c>
      <c r="BP308" s="425"/>
      <c r="BQ308" s="426"/>
      <c r="BR308" s="425"/>
      <c r="BS308" s="426"/>
      <c r="BT308" s="427"/>
    </row>
    <row r="309" spans="1:72" s="430" customFormat="1" ht="25.5" customHeight="1" outlineLevel="2">
      <c r="A309" s="1192" t="s">
        <v>1004</v>
      </c>
      <c r="B309" s="933"/>
      <c r="C309" s="743"/>
      <c r="D309" s="854" t="s">
        <v>876</v>
      </c>
      <c r="E309" s="857"/>
      <c r="F309" s="827" t="s">
        <v>23</v>
      </c>
      <c r="G309" s="431">
        <v>2</v>
      </c>
      <c r="H309" s="474" t="s">
        <v>70</v>
      </c>
      <c r="I309" s="743">
        <v>244</v>
      </c>
      <c r="J309" s="744">
        <v>226</v>
      </c>
      <c r="K309" s="536" t="s">
        <v>284</v>
      </c>
      <c r="L309" s="1030">
        <v>0</v>
      </c>
      <c r="M309" s="434"/>
      <c r="N309" s="434">
        <v>0</v>
      </c>
      <c r="O309" s="1064">
        <f t="shared" si="1023"/>
        <v>0</v>
      </c>
      <c r="P309" s="563"/>
      <c r="Q309" s="437"/>
      <c r="R309" s="563"/>
      <c r="S309" s="437"/>
      <c r="T309" s="563"/>
      <c r="U309" s="467"/>
      <c r="V309" s="436"/>
      <c r="W309" s="436"/>
      <c r="X309" s="436"/>
      <c r="Z309" s="437">
        <f t="shared" si="985"/>
        <v>0</v>
      </c>
      <c r="AA309" s="438">
        <f t="shared" si="985"/>
        <v>0</v>
      </c>
      <c r="AB309" s="439">
        <f t="shared" si="1025"/>
        <v>0</v>
      </c>
      <c r="AC309" s="437">
        <f t="shared" si="986"/>
        <v>0</v>
      </c>
      <c r="AD309" s="438">
        <f t="shared" si="986"/>
        <v>0</v>
      </c>
      <c r="AE309" s="439">
        <f t="shared" si="1027"/>
        <v>0</v>
      </c>
      <c r="AF309" s="437">
        <f t="shared" si="987"/>
        <v>0</v>
      </c>
      <c r="AG309" s="438">
        <f t="shared" si="987"/>
        <v>0</v>
      </c>
      <c r="AH309" s="439">
        <f t="shared" si="1029"/>
        <v>0</v>
      </c>
      <c r="AI309" s="437">
        <f t="shared" si="988"/>
        <v>0</v>
      </c>
      <c r="AJ309" s="438">
        <f t="shared" si="988"/>
        <v>0</v>
      </c>
      <c r="AK309" s="439">
        <f t="shared" si="1031"/>
        <v>0</v>
      </c>
      <c r="AL309" s="440"/>
      <c r="AM309" s="437">
        <f t="shared" si="1032"/>
        <v>0</v>
      </c>
      <c r="AN309" s="441">
        <f t="shared" si="1033"/>
        <v>0</v>
      </c>
      <c r="AO309" s="442">
        <f t="shared" si="1034"/>
        <v>0</v>
      </c>
      <c r="AP309" s="437">
        <f t="shared" si="1035"/>
        <v>0</v>
      </c>
      <c r="AQ309" s="441">
        <f t="shared" si="1036"/>
        <v>0</v>
      </c>
      <c r="AR309" s="442">
        <f t="shared" si="1037"/>
        <v>0</v>
      </c>
      <c r="AS309" s="443">
        <f t="shared" si="991"/>
        <v>0</v>
      </c>
      <c r="AT309" s="441">
        <f t="shared" si="991"/>
        <v>0</v>
      </c>
      <c r="AU309" s="442">
        <f t="shared" si="1039"/>
        <v>0</v>
      </c>
      <c r="AV309" s="440">
        <f t="shared" si="1040"/>
        <v>0</v>
      </c>
      <c r="AW309" s="444"/>
      <c r="AX309" s="1111"/>
      <c r="AY309" s="446"/>
      <c r="AZ309" s="1111"/>
      <c r="BA309" s="446"/>
      <c r="BB309" s="1129"/>
      <c r="BC309" s="448"/>
      <c r="BD309" s="449"/>
      <c r="BE309" s="450"/>
      <c r="BF309" s="449"/>
      <c r="BG309" s="450"/>
      <c r="BH309" s="451"/>
      <c r="BI309" s="452"/>
      <c r="BJ309" s="453"/>
      <c r="BK309" s="438"/>
      <c r="BL309" s="453"/>
      <c r="BM309" s="438"/>
      <c r="BN309" s="454"/>
      <c r="BO309" s="455"/>
      <c r="BP309" s="456"/>
      <c r="BQ309" s="457"/>
      <c r="BR309" s="456"/>
      <c r="BS309" s="457"/>
      <c r="BT309" s="458"/>
    </row>
    <row r="310" spans="1:72" s="358" customFormat="1" ht="31.5">
      <c r="A310" s="287">
        <v>235</v>
      </c>
      <c r="B310" s="941"/>
      <c r="C310" s="837"/>
      <c r="D310" s="853" t="s">
        <v>216</v>
      </c>
      <c r="E310" s="836" t="s">
        <v>201</v>
      </c>
      <c r="F310" s="820" t="s">
        <v>23</v>
      </c>
      <c r="G310" s="360">
        <v>2</v>
      </c>
      <c r="H310" s="360" t="s">
        <v>71</v>
      </c>
      <c r="I310" s="360">
        <v>851</v>
      </c>
      <c r="J310" s="361">
        <v>291</v>
      </c>
      <c r="K310" s="532" t="s">
        <v>28</v>
      </c>
      <c r="L310" s="1023">
        <v>4828.1099999999997</v>
      </c>
      <c r="M310" s="363"/>
      <c r="N310" s="363"/>
      <c r="O310" s="1051">
        <f t="shared" si="944"/>
        <v>4828.1099999999997</v>
      </c>
      <c r="P310" s="557"/>
      <c r="Q310" s="367">
        <v>0</v>
      </c>
      <c r="R310" s="557"/>
      <c r="S310" s="367">
        <v>0</v>
      </c>
      <c r="T310" s="557"/>
      <c r="U310" s="365"/>
      <c r="V310" s="366"/>
      <c r="W310" s="366"/>
      <c r="X310" s="366"/>
      <c r="Z310" s="367">
        <f t="shared" si="985"/>
        <v>99437</v>
      </c>
      <c r="AA310" s="363">
        <f t="shared" si="985"/>
        <v>0</v>
      </c>
      <c r="AB310" s="280">
        <f t="shared" si="946"/>
        <v>99437</v>
      </c>
      <c r="AC310" s="367">
        <f t="shared" si="986"/>
        <v>0</v>
      </c>
      <c r="AD310" s="363">
        <f t="shared" si="986"/>
        <v>0</v>
      </c>
      <c r="AE310" s="280">
        <f t="shared" si="948"/>
        <v>0</v>
      </c>
      <c r="AF310" s="367">
        <f t="shared" si="987"/>
        <v>0</v>
      </c>
      <c r="AG310" s="363">
        <f t="shared" si="987"/>
        <v>0</v>
      </c>
      <c r="AH310" s="280">
        <f t="shared" si="950"/>
        <v>0</v>
      </c>
      <c r="AI310" s="367">
        <f t="shared" si="988"/>
        <v>0</v>
      </c>
      <c r="AJ310" s="363">
        <f t="shared" si="988"/>
        <v>0</v>
      </c>
      <c r="AK310" s="280">
        <f t="shared" si="952"/>
        <v>0</v>
      </c>
      <c r="AL310" s="368"/>
      <c r="AM310" s="367">
        <f t="shared" si="989"/>
        <v>99437</v>
      </c>
      <c r="AN310" s="363">
        <f t="shared" si="989"/>
        <v>0</v>
      </c>
      <c r="AO310" s="280">
        <f t="shared" si="954"/>
        <v>99437</v>
      </c>
      <c r="AP310" s="367">
        <f t="shared" si="990"/>
        <v>99437</v>
      </c>
      <c r="AQ310" s="363">
        <f t="shared" si="990"/>
        <v>0</v>
      </c>
      <c r="AR310" s="280">
        <f t="shared" si="940"/>
        <v>99437</v>
      </c>
      <c r="AS310" s="367">
        <f t="shared" si="991"/>
        <v>99437</v>
      </c>
      <c r="AT310" s="363">
        <f t="shared" si="991"/>
        <v>0</v>
      </c>
      <c r="AU310" s="280">
        <f t="shared" si="942"/>
        <v>99437</v>
      </c>
      <c r="AV310" s="1253">
        <f t="shared" si="970"/>
        <v>-94608.89</v>
      </c>
      <c r="AW310" s="367">
        <v>99437</v>
      </c>
      <c r="AX310" s="363"/>
      <c r="AY310" s="363"/>
      <c r="AZ310" s="363"/>
      <c r="BA310" s="363"/>
      <c r="BB310" s="369"/>
      <c r="BC310" s="367"/>
      <c r="BD310" s="363"/>
      <c r="BE310" s="363"/>
      <c r="BF310" s="363"/>
      <c r="BG310" s="363"/>
      <c r="BH310" s="369"/>
      <c r="BI310" s="367"/>
      <c r="BJ310" s="363"/>
      <c r="BK310" s="363"/>
      <c r="BL310" s="363"/>
      <c r="BM310" s="363"/>
      <c r="BN310" s="369"/>
      <c r="BO310" s="367"/>
      <c r="BP310" s="363"/>
      <c r="BQ310" s="363"/>
      <c r="BR310" s="363"/>
      <c r="BS310" s="363"/>
      <c r="BT310" s="280"/>
    </row>
    <row r="311" spans="1:72" s="358" customFormat="1" ht="31.5">
      <c r="A311" s="287">
        <v>236</v>
      </c>
      <c r="B311" s="1150"/>
      <c r="C311" s="850" t="s">
        <v>377</v>
      </c>
      <c r="D311" s="838"/>
      <c r="E311" s="836" t="s">
        <v>201</v>
      </c>
      <c r="F311" s="820" t="s">
        <v>23</v>
      </c>
      <c r="G311" s="360">
        <v>2</v>
      </c>
      <c r="H311" s="360" t="s">
        <v>71</v>
      </c>
      <c r="I311" s="360">
        <v>853</v>
      </c>
      <c r="J311" s="361">
        <v>295</v>
      </c>
      <c r="K311" s="532" t="s">
        <v>795</v>
      </c>
      <c r="L311" s="1023">
        <f>SUM(L312:L314)</f>
        <v>619648.48</v>
      </c>
      <c r="M311" s="363"/>
      <c r="N311" s="363">
        <f>SUM(N312:N314)</f>
        <v>0</v>
      </c>
      <c r="O311" s="1051">
        <f t="shared" si="944"/>
        <v>619648.48</v>
      </c>
      <c r="P311" s="571"/>
      <c r="Q311" s="367">
        <f>SUM(Q312:Q314)</f>
        <v>0</v>
      </c>
      <c r="R311" s="557"/>
      <c r="S311" s="367">
        <f>SUM(S312:S314)</f>
        <v>0</v>
      </c>
      <c r="T311" s="557"/>
      <c r="U311" s="365"/>
      <c r="V311" s="366"/>
      <c r="W311" s="366"/>
      <c r="X311" s="366"/>
      <c r="Z311" s="367">
        <f t="shared" si="985"/>
        <v>0</v>
      </c>
      <c r="AA311" s="363">
        <f t="shared" si="985"/>
        <v>0</v>
      </c>
      <c r="AB311" s="280">
        <f t="shared" si="946"/>
        <v>0</v>
      </c>
      <c r="AC311" s="367">
        <f t="shared" si="986"/>
        <v>15000</v>
      </c>
      <c r="AD311" s="363">
        <f t="shared" si="986"/>
        <v>0</v>
      </c>
      <c r="AE311" s="280">
        <f t="shared" si="948"/>
        <v>15000</v>
      </c>
      <c r="AF311" s="367">
        <f t="shared" si="987"/>
        <v>15000</v>
      </c>
      <c r="AG311" s="363">
        <f t="shared" si="987"/>
        <v>0</v>
      </c>
      <c r="AH311" s="280">
        <f t="shared" si="950"/>
        <v>15000</v>
      </c>
      <c r="AI311" s="367">
        <f t="shared" si="988"/>
        <v>560500.68000000005</v>
      </c>
      <c r="AJ311" s="363">
        <f t="shared" si="988"/>
        <v>0</v>
      </c>
      <c r="AK311" s="280">
        <f t="shared" si="952"/>
        <v>560500.68000000005</v>
      </c>
      <c r="AL311" s="368"/>
      <c r="AM311" s="367">
        <f t="shared" si="989"/>
        <v>15000</v>
      </c>
      <c r="AN311" s="363">
        <f t="shared" si="989"/>
        <v>0</v>
      </c>
      <c r="AO311" s="280">
        <f t="shared" si="954"/>
        <v>15000</v>
      </c>
      <c r="AP311" s="367">
        <f t="shared" si="990"/>
        <v>30000</v>
      </c>
      <c r="AQ311" s="363">
        <f t="shared" si="990"/>
        <v>0</v>
      </c>
      <c r="AR311" s="280">
        <f t="shared" si="940"/>
        <v>30000</v>
      </c>
      <c r="AS311" s="367">
        <f t="shared" si="991"/>
        <v>590500.68000000005</v>
      </c>
      <c r="AT311" s="363">
        <f t="shared" si="991"/>
        <v>0</v>
      </c>
      <c r="AU311" s="280">
        <f t="shared" si="942"/>
        <v>590500.68000000005</v>
      </c>
      <c r="AV311" s="1253">
        <f t="shared" si="970"/>
        <v>29147.8</v>
      </c>
      <c r="AW311" s="367">
        <f t="shared" ref="AW311:BT311" si="1043">SUM(AW312:AW314)</f>
        <v>0</v>
      </c>
      <c r="AX311" s="363">
        <f t="shared" si="1043"/>
        <v>0</v>
      </c>
      <c r="AY311" s="363">
        <f t="shared" si="1043"/>
        <v>0</v>
      </c>
      <c r="AZ311" s="363">
        <f t="shared" si="1043"/>
        <v>0</v>
      </c>
      <c r="BA311" s="363">
        <f t="shared" si="1043"/>
        <v>0</v>
      </c>
      <c r="BB311" s="369">
        <f t="shared" si="1043"/>
        <v>0</v>
      </c>
      <c r="BC311" s="367">
        <f t="shared" si="1043"/>
        <v>0</v>
      </c>
      <c r="BD311" s="363">
        <f t="shared" si="1043"/>
        <v>0</v>
      </c>
      <c r="BE311" s="363">
        <f t="shared" si="1043"/>
        <v>10000</v>
      </c>
      <c r="BF311" s="363">
        <f t="shared" si="1043"/>
        <v>0</v>
      </c>
      <c r="BG311" s="363">
        <f t="shared" si="1043"/>
        <v>5000</v>
      </c>
      <c r="BH311" s="369">
        <f t="shared" si="1043"/>
        <v>0</v>
      </c>
      <c r="BI311" s="367">
        <f t="shared" si="1043"/>
        <v>0</v>
      </c>
      <c r="BJ311" s="363">
        <f t="shared" si="1043"/>
        <v>0</v>
      </c>
      <c r="BK311" s="363">
        <f t="shared" si="1043"/>
        <v>0</v>
      </c>
      <c r="BL311" s="363">
        <f t="shared" si="1043"/>
        <v>0</v>
      </c>
      <c r="BM311" s="363">
        <f t="shared" si="1043"/>
        <v>15000</v>
      </c>
      <c r="BN311" s="369">
        <f t="shared" si="1043"/>
        <v>0</v>
      </c>
      <c r="BO311" s="367">
        <f t="shared" si="1043"/>
        <v>110000</v>
      </c>
      <c r="BP311" s="363">
        <f t="shared" si="1043"/>
        <v>0</v>
      </c>
      <c r="BQ311" s="363">
        <f t="shared" si="1043"/>
        <v>200000</v>
      </c>
      <c r="BR311" s="363">
        <f t="shared" si="1043"/>
        <v>0</v>
      </c>
      <c r="BS311" s="363">
        <f t="shared" si="1043"/>
        <v>250500.68</v>
      </c>
      <c r="BT311" s="280">
        <f t="shared" si="1043"/>
        <v>0</v>
      </c>
    </row>
    <row r="312" spans="1:72" s="313" customFormat="1" ht="51" outlineLevel="2">
      <c r="A312" s="287">
        <v>237</v>
      </c>
      <c r="B312" s="941"/>
      <c r="C312" s="840"/>
      <c r="D312" s="841"/>
      <c r="E312" s="839"/>
      <c r="F312" s="821" t="s">
        <v>23</v>
      </c>
      <c r="G312" s="314">
        <v>2</v>
      </c>
      <c r="H312" s="739" t="s">
        <v>71</v>
      </c>
      <c r="I312" s="739">
        <v>853</v>
      </c>
      <c r="J312" s="740">
        <v>295</v>
      </c>
      <c r="K312" s="533" t="s">
        <v>796</v>
      </c>
      <c r="L312" s="1013">
        <v>590500.68000000005</v>
      </c>
      <c r="M312" s="318"/>
      <c r="N312" s="318"/>
      <c r="O312" s="1052">
        <f t="shared" si="944"/>
        <v>590500.68000000005</v>
      </c>
      <c r="P312" s="570"/>
      <c r="Q312" s="336">
        <v>0</v>
      </c>
      <c r="R312" s="559"/>
      <c r="S312" s="541">
        <v>0</v>
      </c>
      <c r="T312" s="559"/>
      <c r="U312" s="335"/>
      <c r="V312" s="596" t="s">
        <v>797</v>
      </c>
      <c r="W312" s="320"/>
      <c r="X312" s="320"/>
      <c r="Z312" s="336">
        <f t="shared" si="985"/>
        <v>0</v>
      </c>
      <c r="AA312" s="337">
        <f t="shared" si="985"/>
        <v>0</v>
      </c>
      <c r="AB312" s="338">
        <f t="shared" si="946"/>
        <v>0</v>
      </c>
      <c r="AC312" s="336">
        <f t="shared" si="986"/>
        <v>15000</v>
      </c>
      <c r="AD312" s="337">
        <f t="shared" si="986"/>
        <v>0</v>
      </c>
      <c r="AE312" s="338">
        <f t="shared" si="948"/>
        <v>15000</v>
      </c>
      <c r="AF312" s="336">
        <f t="shared" si="987"/>
        <v>15000</v>
      </c>
      <c r="AG312" s="337">
        <f t="shared" si="987"/>
        <v>0</v>
      </c>
      <c r="AH312" s="338">
        <f t="shared" si="950"/>
        <v>15000</v>
      </c>
      <c r="AI312" s="336">
        <f t="shared" si="988"/>
        <v>560500.68000000005</v>
      </c>
      <c r="AJ312" s="337">
        <f t="shared" si="988"/>
        <v>0</v>
      </c>
      <c r="AK312" s="338">
        <f t="shared" si="952"/>
        <v>560500.68000000005</v>
      </c>
      <c r="AL312" s="342"/>
      <c r="AM312" s="336">
        <f t="shared" si="989"/>
        <v>15000</v>
      </c>
      <c r="AN312" s="339">
        <f t="shared" si="989"/>
        <v>0</v>
      </c>
      <c r="AO312" s="340">
        <f t="shared" si="954"/>
        <v>15000</v>
      </c>
      <c r="AP312" s="336">
        <f t="shared" si="990"/>
        <v>30000</v>
      </c>
      <c r="AQ312" s="339">
        <f t="shared" si="990"/>
        <v>0</v>
      </c>
      <c r="AR312" s="340">
        <f t="shared" si="940"/>
        <v>30000</v>
      </c>
      <c r="AS312" s="341">
        <f t="shared" si="991"/>
        <v>590500.68000000005</v>
      </c>
      <c r="AT312" s="339">
        <f t="shared" si="991"/>
        <v>0</v>
      </c>
      <c r="AU312" s="340">
        <f t="shared" si="942"/>
        <v>590500.68000000005</v>
      </c>
      <c r="AV312" s="1255">
        <f t="shared" si="970"/>
        <v>0</v>
      </c>
      <c r="AW312" s="343"/>
      <c r="AX312" s="344"/>
      <c r="AY312" s="345"/>
      <c r="AZ312" s="344"/>
      <c r="BA312" s="345"/>
      <c r="BB312" s="346"/>
      <c r="BC312" s="1134"/>
      <c r="BD312" s="348"/>
      <c r="BE312" s="349">
        <v>10000</v>
      </c>
      <c r="BF312" s="348"/>
      <c r="BG312" s="349">
        <v>5000</v>
      </c>
      <c r="BH312" s="350"/>
      <c r="BI312" s="351"/>
      <c r="BJ312" s="352"/>
      <c r="BK312" s="351"/>
      <c r="BL312" s="352"/>
      <c r="BM312" s="1137">
        <f>5000+10000</f>
        <v>15000</v>
      </c>
      <c r="BN312" s="920"/>
      <c r="BO312" s="1138">
        <f>10000+100000</f>
        <v>110000</v>
      </c>
      <c r="BP312" s="1142"/>
      <c r="BQ312" s="1139">
        <f>100000+100000</f>
        <v>200000</v>
      </c>
      <c r="BR312" s="1142"/>
      <c r="BS312" s="1139">
        <f>100000+100000+50500.68</f>
        <v>250500.68</v>
      </c>
      <c r="BT312" s="357"/>
    </row>
    <row r="313" spans="1:72" s="313" customFormat="1" ht="25.5" outlineLevel="2">
      <c r="A313" s="287">
        <v>237</v>
      </c>
      <c r="B313" s="941"/>
      <c r="C313" s="840"/>
      <c r="D313" s="841"/>
      <c r="E313" s="839"/>
      <c r="F313" s="821" t="s">
        <v>23</v>
      </c>
      <c r="G313" s="314">
        <v>2</v>
      </c>
      <c r="H313" s="739" t="s">
        <v>71</v>
      </c>
      <c r="I313" s="739">
        <v>853</v>
      </c>
      <c r="J313" s="740">
        <v>295</v>
      </c>
      <c r="K313" s="533" t="s">
        <v>1014</v>
      </c>
      <c r="L313" s="1013">
        <v>29147.8</v>
      </c>
      <c r="M313" s="318"/>
      <c r="N313" s="318"/>
      <c r="O313" s="1052">
        <f t="shared" ref="O313" si="1044">L313+N313</f>
        <v>29147.8</v>
      </c>
      <c r="P313" s="570"/>
      <c r="Q313" s="336">
        <v>0</v>
      </c>
      <c r="R313" s="559"/>
      <c r="S313" s="541">
        <v>0</v>
      </c>
      <c r="T313" s="559"/>
      <c r="U313" s="335"/>
      <c r="V313" s="596"/>
      <c r="W313" s="320"/>
      <c r="X313" s="320"/>
      <c r="Z313" s="336">
        <f t="shared" ref="Z313" si="1045">AW313+AY313+BA313</f>
        <v>0</v>
      </c>
      <c r="AA313" s="337">
        <f t="shared" ref="AA313" si="1046">AX313+AZ313+BB313</f>
        <v>0</v>
      </c>
      <c r="AB313" s="338">
        <f t="shared" ref="AB313" si="1047">Z313-AA313</f>
        <v>0</v>
      </c>
      <c r="AC313" s="336">
        <f t="shared" ref="AC313" si="1048">BC313+BE313+BG313</f>
        <v>0</v>
      </c>
      <c r="AD313" s="337">
        <f t="shared" ref="AD313" si="1049">BD313+BF313+BH313</f>
        <v>0</v>
      </c>
      <c r="AE313" s="338">
        <f t="shared" ref="AE313" si="1050">AC313-AD313</f>
        <v>0</v>
      </c>
      <c r="AF313" s="336">
        <f t="shared" ref="AF313" si="1051">BI313+BK313+BM313</f>
        <v>0</v>
      </c>
      <c r="AG313" s="337">
        <f t="shared" ref="AG313" si="1052">BJ313+BL313+BN313</f>
        <v>0</v>
      </c>
      <c r="AH313" s="338">
        <f t="shared" ref="AH313" si="1053">AF313-AG313</f>
        <v>0</v>
      </c>
      <c r="AI313" s="336">
        <f t="shared" ref="AI313" si="1054">BO313+BQ313+BS313</f>
        <v>0</v>
      </c>
      <c r="AJ313" s="337">
        <f t="shared" ref="AJ313" si="1055">BP313+BR313+BT313</f>
        <v>0</v>
      </c>
      <c r="AK313" s="338">
        <f t="shared" ref="AK313" si="1056">AI313-AJ313</f>
        <v>0</v>
      </c>
      <c r="AL313" s="342"/>
      <c r="AM313" s="336">
        <f t="shared" ref="AM313" si="1057">Z313+AC313</f>
        <v>0</v>
      </c>
      <c r="AN313" s="339">
        <f t="shared" ref="AN313" si="1058">AA313+AD313</f>
        <v>0</v>
      </c>
      <c r="AO313" s="340">
        <f t="shared" ref="AO313" si="1059">AM313-AN313</f>
        <v>0</v>
      </c>
      <c r="AP313" s="336">
        <f t="shared" ref="AP313" si="1060">Z313+AC313+AF313</f>
        <v>0</v>
      </c>
      <c r="AQ313" s="339">
        <f t="shared" ref="AQ313" si="1061">AA313+AD313+AG313</f>
        <v>0</v>
      </c>
      <c r="AR313" s="340">
        <f t="shared" ref="AR313" si="1062">AP313-AQ313</f>
        <v>0</v>
      </c>
      <c r="AS313" s="341">
        <f t="shared" ref="AS313" si="1063">Z313+AC313+AF313+AI313</f>
        <v>0</v>
      </c>
      <c r="AT313" s="339">
        <f t="shared" ref="AT313" si="1064">AA313+AD313+AG313+AJ313</f>
        <v>0</v>
      </c>
      <c r="AU313" s="340">
        <f t="shared" ref="AU313" si="1065">AS313-AT313</f>
        <v>0</v>
      </c>
      <c r="AV313" s="1255">
        <f t="shared" ref="AV313" si="1066">L313-AS313</f>
        <v>29147.8</v>
      </c>
      <c r="AW313" s="343"/>
      <c r="AX313" s="344"/>
      <c r="AY313" s="345"/>
      <c r="AZ313" s="344"/>
      <c r="BA313" s="345"/>
      <c r="BB313" s="346"/>
      <c r="BC313" s="1134"/>
      <c r="BD313" s="348"/>
      <c r="BE313" s="349"/>
      <c r="BF313" s="348"/>
      <c r="BG313" s="349"/>
      <c r="BH313" s="350"/>
      <c r="BI313" s="351"/>
      <c r="BJ313" s="352"/>
      <c r="BK313" s="351"/>
      <c r="BL313" s="352"/>
      <c r="BM313" s="1137"/>
      <c r="BN313" s="920"/>
      <c r="BO313" s="1138"/>
      <c r="BP313" s="1142"/>
      <c r="BQ313" s="1139"/>
      <c r="BR313" s="1142"/>
      <c r="BS313" s="1139"/>
      <c r="BT313" s="357"/>
    </row>
    <row r="314" spans="1:72" s="615" customFormat="1" ht="25.5" outlineLevel="1">
      <c r="A314" s="287">
        <v>238</v>
      </c>
      <c r="B314" s="941"/>
      <c r="C314" s="866"/>
      <c r="D314" s="867"/>
      <c r="E314" s="867"/>
      <c r="F314" s="832" t="s">
        <v>23</v>
      </c>
      <c r="G314" s="616">
        <v>2</v>
      </c>
      <c r="H314" s="749" t="s">
        <v>71</v>
      </c>
      <c r="I314" s="749">
        <v>853</v>
      </c>
      <c r="J314" s="750">
        <v>295</v>
      </c>
      <c r="K314" s="932" t="s">
        <v>214</v>
      </c>
      <c r="L314" s="1043">
        <v>0</v>
      </c>
      <c r="M314" s="619"/>
      <c r="N314" s="619"/>
      <c r="O314" s="1054">
        <f t="shared" si="944"/>
        <v>0</v>
      </c>
      <c r="P314" s="620"/>
      <c r="Q314" s="509">
        <v>0</v>
      </c>
      <c r="R314" s="560"/>
      <c r="S314" s="542">
        <v>0</v>
      </c>
      <c r="T314" s="560"/>
      <c r="U314" s="621"/>
      <c r="V314" s="320"/>
      <c r="W314" s="320"/>
      <c r="X314" s="320"/>
      <c r="Z314" s="509">
        <f>AW314+AY314+BA314</f>
        <v>0</v>
      </c>
      <c r="AA314" s="622">
        <f>AX314+AZ314+BB314</f>
        <v>0</v>
      </c>
      <c r="AB314" s="623">
        <f>Z314-AA314</f>
        <v>0</v>
      </c>
      <c r="AC314" s="509">
        <f>BC314+BE314+BG314</f>
        <v>0</v>
      </c>
      <c r="AD314" s="622">
        <f>BD314+BF314+BH314</f>
        <v>0</v>
      </c>
      <c r="AE314" s="623">
        <f>AC314-AD314</f>
        <v>0</v>
      </c>
      <c r="AF314" s="509">
        <f>BI314+BK314+BM314</f>
        <v>0</v>
      </c>
      <c r="AG314" s="622">
        <f>BJ314+BL314+BN314</f>
        <v>0</v>
      </c>
      <c r="AH314" s="623">
        <f>AF314-AG314</f>
        <v>0</v>
      </c>
      <c r="AI314" s="509">
        <f>BO314+BQ314+BS314</f>
        <v>0</v>
      </c>
      <c r="AJ314" s="622">
        <f>BP314+BR314+BT314</f>
        <v>0</v>
      </c>
      <c r="AK314" s="623">
        <f>AI314-AJ314</f>
        <v>0</v>
      </c>
      <c r="AL314" s="624"/>
      <c r="AM314" s="509">
        <f>Z314+AC314</f>
        <v>0</v>
      </c>
      <c r="AN314" s="625">
        <f>AA314+AD314</f>
        <v>0</v>
      </c>
      <c r="AO314" s="626">
        <f>AM314-AN314</f>
        <v>0</v>
      </c>
      <c r="AP314" s="509">
        <f>Z314+AC314+AF314</f>
        <v>0</v>
      </c>
      <c r="AQ314" s="625">
        <f>AA314+AD314+AG314</f>
        <v>0</v>
      </c>
      <c r="AR314" s="626">
        <f>AP314-AQ314</f>
        <v>0</v>
      </c>
      <c r="AS314" s="510">
        <f>Z314+AC314+AF314+AI314</f>
        <v>0</v>
      </c>
      <c r="AT314" s="625">
        <f>AA314+AD314+AG314+AJ314</f>
        <v>0</v>
      </c>
      <c r="AU314" s="626">
        <f>AS314-AT314</f>
        <v>0</v>
      </c>
      <c r="AV314" s="440">
        <f t="shared" si="970"/>
        <v>0</v>
      </c>
      <c r="AW314" s="628"/>
      <c r="AX314" s="629"/>
      <c r="AY314" s="630"/>
      <c r="AZ314" s="629"/>
      <c r="BA314" s="630"/>
      <c r="BB314" s="631"/>
      <c r="BC314" s="632"/>
      <c r="BD314" s="633"/>
      <c r="BE314" s="634"/>
      <c r="BF314" s="633"/>
      <c r="BG314" s="634"/>
      <c r="BH314" s="635"/>
      <c r="BI314" s="636"/>
      <c r="BJ314" s="637"/>
      <c r="BK314" s="622"/>
      <c r="BL314" s="637"/>
      <c r="BM314" s="622"/>
      <c r="BN314" s="638"/>
      <c r="BO314" s="639"/>
      <c r="BP314" s="640"/>
      <c r="BQ314" s="641"/>
      <c r="BR314" s="640"/>
      <c r="BS314" s="641"/>
      <c r="BT314" s="642"/>
    </row>
    <row r="315" spans="1:72" s="358" customFormat="1" ht="31.5">
      <c r="A315" s="287">
        <v>239</v>
      </c>
      <c r="B315" s="933"/>
      <c r="C315" s="837"/>
      <c r="D315" s="838"/>
      <c r="E315" s="836" t="s">
        <v>201</v>
      </c>
      <c r="F315" s="820" t="s">
        <v>23</v>
      </c>
      <c r="G315" s="360">
        <v>2</v>
      </c>
      <c r="H315" s="360" t="s">
        <v>71</v>
      </c>
      <c r="I315" s="360">
        <v>853</v>
      </c>
      <c r="J315" s="361">
        <v>297</v>
      </c>
      <c r="K315" s="532" t="s">
        <v>38</v>
      </c>
      <c r="L315" s="1023">
        <v>7426.01</v>
      </c>
      <c r="M315" s="363"/>
      <c r="N315" s="363"/>
      <c r="O315" s="1051">
        <f t="shared" si="944"/>
        <v>7426.01</v>
      </c>
      <c r="P315" s="571"/>
      <c r="Q315" s="367">
        <v>7426.01</v>
      </c>
      <c r="R315" s="557"/>
      <c r="S315" s="539">
        <v>7426.01</v>
      </c>
      <c r="T315" s="557"/>
      <c r="U315" s="365"/>
      <c r="V315" s="366"/>
      <c r="W315" s="366"/>
      <c r="X315" s="366"/>
      <c r="Z315" s="367">
        <f t="shared" ref="Z315:AA321" si="1067">AW315+AY315+BA315</f>
        <v>7426.01</v>
      </c>
      <c r="AA315" s="363">
        <f t="shared" si="1067"/>
        <v>62460.71</v>
      </c>
      <c r="AB315" s="280">
        <f t="shared" si="946"/>
        <v>-55034.7</v>
      </c>
      <c r="AC315" s="367">
        <f t="shared" ref="AC315:AD321" si="1068">BC315+BE315+BG315</f>
        <v>16866.439999999999</v>
      </c>
      <c r="AD315" s="363">
        <f t="shared" si="1068"/>
        <v>0</v>
      </c>
      <c r="AE315" s="280">
        <f t="shared" si="948"/>
        <v>16866.439999999999</v>
      </c>
      <c r="AF315" s="367">
        <f t="shared" ref="AF315:AG321" si="1069">BI315+BK315+BM315</f>
        <v>0</v>
      </c>
      <c r="AG315" s="363">
        <f t="shared" si="1069"/>
        <v>0</v>
      </c>
      <c r="AH315" s="280">
        <f t="shared" si="950"/>
        <v>0</v>
      </c>
      <c r="AI315" s="367">
        <f t="shared" ref="AI315:AJ321" si="1070">BO315+BQ315+BS315</f>
        <v>0</v>
      </c>
      <c r="AJ315" s="363">
        <f t="shared" si="1070"/>
        <v>0</v>
      </c>
      <c r="AK315" s="280">
        <f t="shared" si="952"/>
        <v>0</v>
      </c>
      <c r="AL315" s="368"/>
      <c r="AM315" s="367">
        <f t="shared" ref="AM315:AN321" si="1071">Z315+AC315</f>
        <v>24292.45</v>
      </c>
      <c r="AN315" s="363">
        <f t="shared" si="1071"/>
        <v>62460.71</v>
      </c>
      <c r="AO315" s="280">
        <f t="shared" si="954"/>
        <v>-38168.26</v>
      </c>
      <c r="AP315" s="367">
        <f t="shared" ref="AP315:AQ321" si="1072">Z315+AC315+AF315</f>
        <v>24292.45</v>
      </c>
      <c r="AQ315" s="363">
        <f t="shared" si="1072"/>
        <v>62460.71</v>
      </c>
      <c r="AR315" s="280">
        <f t="shared" si="940"/>
        <v>-38168.26</v>
      </c>
      <c r="AS315" s="367">
        <f t="shared" ref="AS315:AT321" si="1073">Z315+AC315+AF315+AI315</f>
        <v>24292.45</v>
      </c>
      <c r="AT315" s="363">
        <f t="shared" si="1073"/>
        <v>62460.71</v>
      </c>
      <c r="AU315" s="280">
        <f t="shared" si="942"/>
        <v>-38168.26</v>
      </c>
      <c r="AV315" s="1253">
        <f t="shared" si="970"/>
        <v>-16866.439999999999</v>
      </c>
      <c r="AW315" s="367">
        <f>AW243*0.15%+0.01</f>
        <v>7426.01</v>
      </c>
      <c r="AX315" s="363">
        <f t="shared" ref="AX315:BT315" si="1074">AX243*0.15</f>
        <v>0</v>
      </c>
      <c r="AY315" s="363">
        <f t="shared" si="1074"/>
        <v>0</v>
      </c>
      <c r="AZ315" s="363">
        <f t="shared" si="1074"/>
        <v>35964.239999999998</v>
      </c>
      <c r="BA315" s="363">
        <f t="shared" si="1074"/>
        <v>0</v>
      </c>
      <c r="BB315" s="369">
        <f t="shared" si="1074"/>
        <v>26496.47</v>
      </c>
      <c r="BC315" s="367">
        <f t="shared" si="1074"/>
        <v>0</v>
      </c>
      <c r="BD315" s="363">
        <f t="shared" si="1074"/>
        <v>0</v>
      </c>
      <c r="BE315" s="363">
        <f t="shared" si="1074"/>
        <v>16866.439999999999</v>
      </c>
      <c r="BF315" s="363">
        <f t="shared" si="1074"/>
        <v>0</v>
      </c>
      <c r="BG315" s="363">
        <f t="shared" si="1074"/>
        <v>0</v>
      </c>
      <c r="BH315" s="369">
        <f t="shared" si="1074"/>
        <v>0</v>
      </c>
      <c r="BI315" s="367">
        <f t="shared" si="1074"/>
        <v>0</v>
      </c>
      <c r="BJ315" s="363">
        <f t="shared" si="1074"/>
        <v>0</v>
      </c>
      <c r="BK315" s="363">
        <f t="shared" si="1074"/>
        <v>0</v>
      </c>
      <c r="BL315" s="363">
        <f t="shared" si="1074"/>
        <v>0</v>
      </c>
      <c r="BM315" s="363">
        <f t="shared" si="1074"/>
        <v>0</v>
      </c>
      <c r="BN315" s="369">
        <f t="shared" si="1074"/>
        <v>0</v>
      </c>
      <c r="BO315" s="367">
        <f t="shared" si="1074"/>
        <v>0</v>
      </c>
      <c r="BP315" s="363">
        <f t="shared" si="1074"/>
        <v>0</v>
      </c>
      <c r="BQ315" s="363">
        <f t="shared" si="1074"/>
        <v>0</v>
      </c>
      <c r="BR315" s="363">
        <f t="shared" si="1074"/>
        <v>0</v>
      </c>
      <c r="BS315" s="363">
        <f t="shared" si="1074"/>
        <v>0</v>
      </c>
      <c r="BT315" s="280">
        <f t="shared" si="1074"/>
        <v>0</v>
      </c>
    </row>
    <row r="316" spans="1:72" s="358" customFormat="1" ht="31.5" customHeight="1">
      <c r="A316" s="287">
        <v>240</v>
      </c>
      <c r="B316" s="1144"/>
      <c r="C316" s="850" t="s">
        <v>377</v>
      </c>
      <c r="D316" s="838"/>
      <c r="E316" s="836" t="s">
        <v>201</v>
      </c>
      <c r="F316" s="820" t="s">
        <v>23</v>
      </c>
      <c r="G316" s="360">
        <v>2</v>
      </c>
      <c r="H316" s="360" t="s">
        <v>71</v>
      </c>
      <c r="I316" s="360">
        <v>244</v>
      </c>
      <c r="J316" s="361">
        <v>310</v>
      </c>
      <c r="K316" s="532" t="s">
        <v>532</v>
      </c>
      <c r="L316" s="1023">
        <f>SUM(L317:L322)</f>
        <v>107978</v>
      </c>
      <c r="M316" s="363"/>
      <c r="N316" s="363">
        <f>SUM(N317:N322)</f>
        <v>0</v>
      </c>
      <c r="O316" s="1051">
        <f t="shared" si="944"/>
        <v>107978</v>
      </c>
      <c r="P316" s="571"/>
      <c r="Q316" s="367">
        <f>SUM(Q317:Q322)</f>
        <v>0</v>
      </c>
      <c r="R316" s="557"/>
      <c r="S316" s="367">
        <f>SUM(S317:S322)</f>
        <v>0</v>
      </c>
      <c r="T316" s="557"/>
      <c r="U316" s="365"/>
      <c r="V316" s="366"/>
      <c r="W316" s="366"/>
      <c r="X316" s="366"/>
      <c r="Z316" s="367">
        <f t="shared" si="1067"/>
        <v>41509</v>
      </c>
      <c r="AA316" s="363">
        <f t="shared" si="1067"/>
        <v>0</v>
      </c>
      <c r="AB316" s="280">
        <f t="shared" si="946"/>
        <v>41509</v>
      </c>
      <c r="AC316" s="367">
        <f t="shared" si="1068"/>
        <v>24960</v>
      </c>
      <c r="AD316" s="363">
        <f t="shared" si="1068"/>
        <v>0</v>
      </c>
      <c r="AE316" s="280">
        <f t="shared" si="948"/>
        <v>24960</v>
      </c>
      <c r="AF316" s="367">
        <f t="shared" si="1069"/>
        <v>0</v>
      </c>
      <c r="AG316" s="363">
        <f t="shared" si="1069"/>
        <v>0</v>
      </c>
      <c r="AH316" s="280">
        <f t="shared" si="950"/>
        <v>0</v>
      </c>
      <c r="AI316" s="367">
        <f t="shared" si="1070"/>
        <v>0</v>
      </c>
      <c r="AJ316" s="363">
        <f t="shared" si="1070"/>
        <v>0</v>
      </c>
      <c r="AK316" s="280">
        <f t="shared" si="952"/>
        <v>0</v>
      </c>
      <c r="AL316" s="368"/>
      <c r="AM316" s="367">
        <f t="shared" si="1071"/>
        <v>66469</v>
      </c>
      <c r="AN316" s="363">
        <f t="shared" si="1071"/>
        <v>0</v>
      </c>
      <c r="AO316" s="280">
        <f t="shared" si="954"/>
        <v>66469</v>
      </c>
      <c r="AP316" s="367">
        <f t="shared" si="1072"/>
        <v>66469</v>
      </c>
      <c r="AQ316" s="363">
        <f t="shared" si="1072"/>
        <v>0</v>
      </c>
      <c r="AR316" s="280">
        <f t="shared" si="940"/>
        <v>66469</v>
      </c>
      <c r="AS316" s="367">
        <f t="shared" si="1073"/>
        <v>66469</v>
      </c>
      <c r="AT316" s="363">
        <f t="shared" si="1073"/>
        <v>0</v>
      </c>
      <c r="AU316" s="280">
        <f t="shared" si="942"/>
        <v>66469</v>
      </c>
      <c r="AV316" s="1253">
        <f t="shared" si="970"/>
        <v>41509</v>
      </c>
      <c r="AW316" s="367">
        <f t="shared" ref="AW316:BT316" si="1075">SUM(AW317:AW322)</f>
        <v>0</v>
      </c>
      <c r="AX316" s="363">
        <f t="shared" si="1075"/>
        <v>0</v>
      </c>
      <c r="AY316" s="363">
        <f t="shared" si="1075"/>
        <v>0</v>
      </c>
      <c r="AZ316" s="363">
        <f t="shared" si="1075"/>
        <v>0</v>
      </c>
      <c r="BA316" s="363">
        <f t="shared" si="1075"/>
        <v>41509</v>
      </c>
      <c r="BB316" s="369">
        <f t="shared" si="1075"/>
        <v>0</v>
      </c>
      <c r="BC316" s="367">
        <f t="shared" si="1075"/>
        <v>24960</v>
      </c>
      <c r="BD316" s="363">
        <f t="shared" si="1075"/>
        <v>0</v>
      </c>
      <c r="BE316" s="363">
        <f t="shared" si="1075"/>
        <v>0</v>
      </c>
      <c r="BF316" s="363">
        <f t="shared" si="1075"/>
        <v>0</v>
      </c>
      <c r="BG316" s="363">
        <f t="shared" si="1075"/>
        <v>0</v>
      </c>
      <c r="BH316" s="369">
        <f t="shared" si="1075"/>
        <v>0</v>
      </c>
      <c r="BI316" s="367">
        <f t="shared" si="1075"/>
        <v>0</v>
      </c>
      <c r="BJ316" s="363">
        <f t="shared" si="1075"/>
        <v>0</v>
      </c>
      <c r="BK316" s="363">
        <f t="shared" si="1075"/>
        <v>0</v>
      </c>
      <c r="BL316" s="363">
        <f t="shared" si="1075"/>
        <v>0</v>
      </c>
      <c r="BM316" s="363">
        <f t="shared" si="1075"/>
        <v>0</v>
      </c>
      <c r="BN316" s="369">
        <f t="shared" si="1075"/>
        <v>0</v>
      </c>
      <c r="BO316" s="367">
        <f t="shared" si="1075"/>
        <v>0</v>
      </c>
      <c r="BP316" s="363">
        <f t="shared" si="1075"/>
        <v>0</v>
      </c>
      <c r="BQ316" s="363">
        <f t="shared" si="1075"/>
        <v>0</v>
      </c>
      <c r="BR316" s="363">
        <f t="shared" si="1075"/>
        <v>0</v>
      </c>
      <c r="BS316" s="363">
        <f t="shared" si="1075"/>
        <v>0</v>
      </c>
      <c r="BT316" s="280">
        <f t="shared" si="1075"/>
        <v>0</v>
      </c>
    </row>
    <row r="317" spans="1:72" s="313" customFormat="1" ht="25.5" outlineLevel="2">
      <c r="A317" s="287">
        <v>241</v>
      </c>
      <c r="B317" s="1144"/>
      <c r="C317" s="840"/>
      <c r="D317" s="841"/>
      <c r="E317" s="839"/>
      <c r="F317" s="821" t="s">
        <v>23</v>
      </c>
      <c r="G317" s="314">
        <v>2</v>
      </c>
      <c r="H317" s="739" t="s">
        <v>71</v>
      </c>
      <c r="I317" s="739">
        <v>244</v>
      </c>
      <c r="J317" s="740">
        <v>310</v>
      </c>
      <c r="K317" s="533" t="s">
        <v>523</v>
      </c>
      <c r="L317" s="1025">
        <v>2190</v>
      </c>
      <c r="M317" s="318"/>
      <c r="N317" s="318"/>
      <c r="O317" s="1052">
        <f t="shared" si="944"/>
        <v>2190</v>
      </c>
      <c r="P317" s="570"/>
      <c r="Q317" s="336">
        <v>0</v>
      </c>
      <c r="R317" s="559"/>
      <c r="S317" s="541">
        <v>0</v>
      </c>
      <c r="T317" s="559"/>
      <c r="U317" s="335"/>
      <c r="V317" s="320"/>
      <c r="W317" s="320"/>
      <c r="X317" s="320"/>
      <c r="Z317" s="336">
        <f t="shared" si="1067"/>
        <v>0</v>
      </c>
      <c r="AA317" s="337">
        <f t="shared" si="1067"/>
        <v>0</v>
      </c>
      <c r="AB317" s="338">
        <f t="shared" si="946"/>
        <v>0</v>
      </c>
      <c r="AC317" s="336">
        <f t="shared" si="1068"/>
        <v>2190</v>
      </c>
      <c r="AD317" s="337">
        <f t="shared" si="1068"/>
        <v>0</v>
      </c>
      <c r="AE317" s="338">
        <f t="shared" si="948"/>
        <v>2190</v>
      </c>
      <c r="AF317" s="336">
        <f t="shared" si="1069"/>
        <v>0</v>
      </c>
      <c r="AG317" s="337">
        <f t="shared" si="1069"/>
        <v>0</v>
      </c>
      <c r="AH317" s="338">
        <f t="shared" si="950"/>
        <v>0</v>
      </c>
      <c r="AI317" s="336">
        <f t="shared" si="1070"/>
        <v>0</v>
      </c>
      <c r="AJ317" s="337">
        <f t="shared" si="1070"/>
        <v>0</v>
      </c>
      <c r="AK317" s="338">
        <f t="shared" si="952"/>
        <v>0</v>
      </c>
      <c r="AL317" s="342"/>
      <c r="AM317" s="336">
        <f t="shared" si="1071"/>
        <v>2190</v>
      </c>
      <c r="AN317" s="339">
        <f t="shared" si="1071"/>
        <v>0</v>
      </c>
      <c r="AO317" s="340">
        <f t="shared" si="954"/>
        <v>2190</v>
      </c>
      <c r="AP317" s="336">
        <f t="shared" si="1072"/>
        <v>2190</v>
      </c>
      <c r="AQ317" s="339">
        <f t="shared" si="1072"/>
        <v>0</v>
      </c>
      <c r="AR317" s="340">
        <f t="shared" si="940"/>
        <v>2190</v>
      </c>
      <c r="AS317" s="341">
        <f t="shared" si="1073"/>
        <v>2190</v>
      </c>
      <c r="AT317" s="339">
        <f t="shared" si="1073"/>
        <v>0</v>
      </c>
      <c r="AU317" s="340">
        <f t="shared" si="942"/>
        <v>2190</v>
      </c>
      <c r="AV317" s="1255">
        <f t="shared" si="970"/>
        <v>0</v>
      </c>
      <c r="AW317" s="343"/>
      <c r="AX317" s="344"/>
      <c r="AY317" s="345"/>
      <c r="AZ317" s="344"/>
      <c r="BA317" s="345"/>
      <c r="BB317" s="346"/>
      <c r="BC317" s="347">
        <v>2190</v>
      </c>
      <c r="BD317" s="348"/>
      <c r="BE317" s="349"/>
      <c r="BF317" s="348"/>
      <c r="BG317" s="349"/>
      <c r="BH317" s="350"/>
      <c r="BI317" s="351"/>
      <c r="BJ317" s="352"/>
      <c r="BK317" s="337"/>
      <c r="BL317" s="352"/>
      <c r="BM317" s="337"/>
      <c r="BN317" s="353"/>
      <c r="BO317" s="354"/>
      <c r="BP317" s="355"/>
      <c r="BQ317" s="356"/>
      <c r="BR317" s="355"/>
      <c r="BS317" s="356"/>
      <c r="BT317" s="357"/>
    </row>
    <row r="318" spans="1:72" s="313" customFormat="1" ht="25.5" outlineLevel="2">
      <c r="A318" s="287">
        <v>242</v>
      </c>
      <c r="B318" s="1144"/>
      <c r="C318" s="840"/>
      <c r="D318" s="841"/>
      <c r="E318" s="839"/>
      <c r="F318" s="821" t="s">
        <v>23</v>
      </c>
      <c r="G318" s="314">
        <v>2</v>
      </c>
      <c r="H318" s="739" t="s">
        <v>71</v>
      </c>
      <c r="I318" s="739">
        <v>244</v>
      </c>
      <c r="J318" s="740">
        <v>310</v>
      </c>
      <c r="K318" s="533" t="s">
        <v>533</v>
      </c>
      <c r="L318" s="1025">
        <v>62600</v>
      </c>
      <c r="M318" s="318"/>
      <c r="N318" s="318"/>
      <c r="O318" s="1052">
        <f t="shared" si="944"/>
        <v>62600</v>
      </c>
      <c r="P318" s="570"/>
      <c r="Q318" s="336">
        <v>0</v>
      </c>
      <c r="R318" s="559"/>
      <c r="S318" s="541">
        <v>0</v>
      </c>
      <c r="T318" s="559"/>
      <c r="U318" s="335"/>
      <c r="V318" s="320"/>
      <c r="W318" s="320"/>
      <c r="X318" s="320"/>
      <c r="Z318" s="336">
        <f t="shared" si="1067"/>
        <v>0</v>
      </c>
      <c r="AA318" s="337">
        <f t="shared" si="1067"/>
        <v>0</v>
      </c>
      <c r="AB318" s="338">
        <f t="shared" si="946"/>
        <v>0</v>
      </c>
      <c r="AC318" s="336">
        <f t="shared" si="1068"/>
        <v>21091</v>
      </c>
      <c r="AD318" s="337">
        <f t="shared" si="1068"/>
        <v>0</v>
      </c>
      <c r="AE318" s="338">
        <f t="shared" si="948"/>
        <v>21091</v>
      </c>
      <c r="AF318" s="336">
        <f t="shared" si="1069"/>
        <v>0</v>
      </c>
      <c r="AG318" s="337">
        <f t="shared" si="1069"/>
        <v>0</v>
      </c>
      <c r="AH318" s="338">
        <f t="shared" si="950"/>
        <v>0</v>
      </c>
      <c r="AI318" s="336">
        <f t="shared" si="1070"/>
        <v>0</v>
      </c>
      <c r="AJ318" s="337">
        <f t="shared" si="1070"/>
        <v>0</v>
      </c>
      <c r="AK318" s="338">
        <f t="shared" si="952"/>
        <v>0</v>
      </c>
      <c r="AL318" s="342"/>
      <c r="AM318" s="336">
        <f t="shared" si="1071"/>
        <v>21091</v>
      </c>
      <c r="AN318" s="339">
        <f t="shared" si="1071"/>
        <v>0</v>
      </c>
      <c r="AO318" s="340">
        <f t="shared" si="954"/>
        <v>21091</v>
      </c>
      <c r="AP318" s="336">
        <f t="shared" si="1072"/>
        <v>21091</v>
      </c>
      <c r="AQ318" s="339">
        <f t="shared" si="1072"/>
        <v>0</v>
      </c>
      <c r="AR318" s="340">
        <f t="shared" si="940"/>
        <v>21091</v>
      </c>
      <c r="AS318" s="341">
        <f t="shared" si="1073"/>
        <v>21091</v>
      </c>
      <c r="AT318" s="339">
        <f t="shared" si="1073"/>
        <v>0</v>
      </c>
      <c r="AU318" s="340">
        <f t="shared" si="942"/>
        <v>21091</v>
      </c>
      <c r="AV318" s="1255">
        <f t="shared" si="970"/>
        <v>41509</v>
      </c>
      <c r="AW318" s="343"/>
      <c r="AX318" s="344"/>
      <c r="AY318" s="345"/>
      <c r="AZ318" s="344"/>
      <c r="BA318" s="345"/>
      <c r="BB318" s="346"/>
      <c r="BC318" s="347">
        <f>62600-36010-5499</f>
        <v>21091</v>
      </c>
      <c r="BD318" s="348"/>
      <c r="BE318" s="349"/>
      <c r="BF318" s="348"/>
      <c r="BG318" s="349"/>
      <c r="BH318" s="350"/>
      <c r="BI318" s="351"/>
      <c r="BJ318" s="352"/>
      <c r="BK318" s="337"/>
      <c r="BL318" s="352"/>
      <c r="BM318" s="337"/>
      <c r="BN318" s="353"/>
      <c r="BO318" s="354"/>
      <c r="BP318" s="355"/>
      <c r="BQ318" s="356"/>
      <c r="BR318" s="355"/>
      <c r="BS318" s="356"/>
      <c r="BT318" s="357"/>
    </row>
    <row r="319" spans="1:72" s="313" customFormat="1" ht="25.5" outlineLevel="2">
      <c r="A319" s="287">
        <v>243</v>
      </c>
      <c r="B319" s="1144"/>
      <c r="C319" s="840"/>
      <c r="D319" s="841"/>
      <c r="E319" s="839"/>
      <c r="F319" s="821" t="s">
        <v>23</v>
      </c>
      <c r="G319" s="314">
        <v>2</v>
      </c>
      <c r="H319" s="739" t="s">
        <v>71</v>
      </c>
      <c r="I319" s="739">
        <v>244</v>
      </c>
      <c r="J319" s="740">
        <v>310</v>
      </c>
      <c r="K319" s="533" t="s">
        <v>1021</v>
      </c>
      <c r="L319" s="1025">
        <v>36010</v>
      </c>
      <c r="M319" s="318"/>
      <c r="N319" s="318"/>
      <c r="O319" s="1052">
        <f t="shared" si="944"/>
        <v>36010</v>
      </c>
      <c r="P319" s="570"/>
      <c r="Q319" s="336">
        <v>0</v>
      </c>
      <c r="R319" s="559"/>
      <c r="S319" s="541">
        <v>0</v>
      </c>
      <c r="T319" s="559"/>
      <c r="U319" s="335"/>
      <c r="V319" s="596" t="s">
        <v>637</v>
      </c>
      <c r="W319" s="320" t="s">
        <v>481</v>
      </c>
      <c r="X319" s="320"/>
      <c r="Z319" s="336">
        <f t="shared" si="1067"/>
        <v>36010</v>
      </c>
      <c r="AA319" s="337">
        <f t="shared" si="1067"/>
        <v>0</v>
      </c>
      <c r="AB319" s="338">
        <f t="shared" si="946"/>
        <v>36010</v>
      </c>
      <c r="AC319" s="336">
        <f t="shared" si="1068"/>
        <v>0</v>
      </c>
      <c r="AD319" s="337">
        <f t="shared" si="1068"/>
        <v>0</v>
      </c>
      <c r="AE319" s="338">
        <f t="shared" si="948"/>
        <v>0</v>
      </c>
      <c r="AF319" s="336">
        <f t="shared" si="1069"/>
        <v>0</v>
      </c>
      <c r="AG319" s="337">
        <f t="shared" si="1069"/>
        <v>0</v>
      </c>
      <c r="AH319" s="338">
        <f t="shared" si="950"/>
        <v>0</v>
      </c>
      <c r="AI319" s="336">
        <f t="shared" si="1070"/>
        <v>0</v>
      </c>
      <c r="AJ319" s="337">
        <f t="shared" si="1070"/>
        <v>0</v>
      </c>
      <c r="AK319" s="338">
        <f t="shared" si="952"/>
        <v>0</v>
      </c>
      <c r="AL319" s="342"/>
      <c r="AM319" s="336">
        <f t="shared" si="1071"/>
        <v>36010</v>
      </c>
      <c r="AN319" s="339">
        <f t="shared" si="1071"/>
        <v>0</v>
      </c>
      <c r="AO319" s="340">
        <f t="shared" si="954"/>
        <v>36010</v>
      </c>
      <c r="AP319" s="336">
        <f t="shared" si="1072"/>
        <v>36010</v>
      </c>
      <c r="AQ319" s="339">
        <f t="shared" si="1072"/>
        <v>0</v>
      </c>
      <c r="AR319" s="340">
        <f t="shared" si="940"/>
        <v>36010</v>
      </c>
      <c r="AS319" s="341">
        <f t="shared" si="1073"/>
        <v>36010</v>
      </c>
      <c r="AT319" s="339">
        <f t="shared" si="1073"/>
        <v>0</v>
      </c>
      <c r="AU319" s="340">
        <f t="shared" si="942"/>
        <v>36010</v>
      </c>
      <c r="AV319" s="1255">
        <f t="shared" si="970"/>
        <v>0</v>
      </c>
      <c r="AW319" s="343"/>
      <c r="AX319" s="344"/>
      <c r="AY319" s="345"/>
      <c r="AZ319" s="344"/>
      <c r="BA319" s="345">
        <v>36010</v>
      </c>
      <c r="BB319" s="346"/>
      <c r="BC319" s="347"/>
      <c r="BD319" s="348"/>
      <c r="BE319" s="349"/>
      <c r="BF319" s="348"/>
      <c r="BG319" s="349"/>
      <c r="BH319" s="350"/>
      <c r="BI319" s="351"/>
      <c r="BJ319" s="352"/>
      <c r="BK319" s="337"/>
      <c r="BL319" s="352"/>
      <c r="BM319" s="337"/>
      <c r="BN319" s="353"/>
      <c r="BO319" s="354"/>
      <c r="BP319" s="355"/>
      <c r="BQ319" s="356"/>
      <c r="BR319" s="355"/>
      <c r="BS319" s="356"/>
      <c r="BT319" s="357"/>
    </row>
    <row r="320" spans="1:72" s="313" customFormat="1" ht="25.5" outlineLevel="2">
      <c r="A320" s="287">
        <v>244</v>
      </c>
      <c r="B320" s="1144"/>
      <c r="C320" s="840"/>
      <c r="D320" s="841"/>
      <c r="E320" s="839"/>
      <c r="F320" s="821" t="s">
        <v>23</v>
      </c>
      <c r="G320" s="314">
        <v>2</v>
      </c>
      <c r="H320" s="739" t="s">
        <v>71</v>
      </c>
      <c r="I320" s="739">
        <v>244</v>
      </c>
      <c r="J320" s="740">
        <v>310</v>
      </c>
      <c r="K320" s="533" t="s">
        <v>677</v>
      </c>
      <c r="L320" s="1025">
        <v>5499</v>
      </c>
      <c r="M320" s="318"/>
      <c r="N320" s="318"/>
      <c r="O320" s="1052">
        <f t="shared" si="944"/>
        <v>5499</v>
      </c>
      <c r="P320" s="570"/>
      <c r="Q320" s="336">
        <v>0</v>
      </c>
      <c r="R320" s="559"/>
      <c r="S320" s="541">
        <v>0</v>
      </c>
      <c r="T320" s="559"/>
      <c r="U320" s="335"/>
      <c r="V320" s="596" t="s">
        <v>679</v>
      </c>
      <c r="W320" s="320" t="s">
        <v>481</v>
      </c>
      <c r="X320" s="320"/>
      <c r="Z320" s="336">
        <f t="shared" si="1067"/>
        <v>5499</v>
      </c>
      <c r="AA320" s="337">
        <f t="shared" si="1067"/>
        <v>0</v>
      </c>
      <c r="AB320" s="338">
        <f t="shared" si="946"/>
        <v>5499</v>
      </c>
      <c r="AC320" s="336">
        <f t="shared" si="1068"/>
        <v>0</v>
      </c>
      <c r="AD320" s="337">
        <f t="shared" si="1068"/>
        <v>0</v>
      </c>
      <c r="AE320" s="338">
        <f t="shared" si="948"/>
        <v>0</v>
      </c>
      <c r="AF320" s="336">
        <f t="shared" si="1069"/>
        <v>0</v>
      </c>
      <c r="AG320" s="337">
        <f t="shared" si="1069"/>
        <v>0</v>
      </c>
      <c r="AH320" s="338">
        <f t="shared" si="950"/>
        <v>0</v>
      </c>
      <c r="AI320" s="336">
        <f t="shared" si="1070"/>
        <v>0</v>
      </c>
      <c r="AJ320" s="337">
        <f t="shared" si="1070"/>
        <v>0</v>
      </c>
      <c r="AK320" s="338">
        <f t="shared" si="952"/>
        <v>0</v>
      </c>
      <c r="AL320" s="342"/>
      <c r="AM320" s="336">
        <f t="shared" si="1071"/>
        <v>5499</v>
      </c>
      <c r="AN320" s="339">
        <f t="shared" si="1071"/>
        <v>0</v>
      </c>
      <c r="AO320" s="340">
        <f t="shared" si="954"/>
        <v>5499</v>
      </c>
      <c r="AP320" s="336">
        <f t="shared" si="1072"/>
        <v>5499</v>
      </c>
      <c r="AQ320" s="339">
        <f t="shared" si="1072"/>
        <v>0</v>
      </c>
      <c r="AR320" s="340">
        <f t="shared" si="940"/>
        <v>5499</v>
      </c>
      <c r="AS320" s="341">
        <f t="shared" si="1073"/>
        <v>5499</v>
      </c>
      <c r="AT320" s="339">
        <f t="shared" si="1073"/>
        <v>0</v>
      </c>
      <c r="AU320" s="340">
        <f t="shared" si="942"/>
        <v>5499</v>
      </c>
      <c r="AV320" s="1255">
        <f t="shared" si="970"/>
        <v>0</v>
      </c>
      <c r="AW320" s="343"/>
      <c r="AX320" s="344"/>
      <c r="AY320" s="345"/>
      <c r="AZ320" s="344"/>
      <c r="BA320" s="345">
        <v>5499</v>
      </c>
      <c r="BB320" s="346"/>
      <c r="BC320" s="347"/>
      <c r="BD320" s="348"/>
      <c r="BE320" s="349"/>
      <c r="BF320" s="348"/>
      <c r="BG320" s="349"/>
      <c r="BH320" s="350"/>
      <c r="BI320" s="351"/>
      <c r="BJ320" s="352"/>
      <c r="BK320" s="337"/>
      <c r="BL320" s="352"/>
      <c r="BM320" s="337"/>
      <c r="BN320" s="353"/>
      <c r="BO320" s="354"/>
      <c r="BP320" s="355"/>
      <c r="BQ320" s="356"/>
      <c r="BR320" s="355"/>
      <c r="BS320" s="356"/>
      <c r="BT320" s="357"/>
    </row>
    <row r="321" spans="1:72" s="313" customFormat="1" ht="25.5" outlineLevel="2">
      <c r="A321" s="287">
        <v>245</v>
      </c>
      <c r="B321" s="1144"/>
      <c r="C321" s="840"/>
      <c r="D321" s="841"/>
      <c r="E321" s="839"/>
      <c r="F321" s="821" t="s">
        <v>23</v>
      </c>
      <c r="G321" s="314">
        <v>2</v>
      </c>
      <c r="H321" s="739" t="s">
        <v>71</v>
      </c>
      <c r="I321" s="739">
        <v>244</v>
      </c>
      <c r="J321" s="740">
        <v>310</v>
      </c>
      <c r="K321" s="533" t="s">
        <v>748</v>
      </c>
      <c r="L321" s="1025">
        <v>1679</v>
      </c>
      <c r="M321" s="318"/>
      <c r="N321" s="318"/>
      <c r="O321" s="1052">
        <f t="shared" si="944"/>
        <v>1679</v>
      </c>
      <c r="P321" s="570"/>
      <c r="Q321" s="336">
        <v>0</v>
      </c>
      <c r="R321" s="559"/>
      <c r="S321" s="541">
        <v>0</v>
      </c>
      <c r="T321" s="559"/>
      <c r="U321" s="335"/>
      <c r="V321" s="596" t="s">
        <v>679</v>
      </c>
      <c r="W321" s="320" t="s">
        <v>481</v>
      </c>
      <c r="X321" s="320"/>
      <c r="Z321" s="336">
        <f t="shared" si="1067"/>
        <v>0</v>
      </c>
      <c r="AA321" s="337">
        <f t="shared" si="1067"/>
        <v>0</v>
      </c>
      <c r="AB321" s="338">
        <f t="shared" si="946"/>
        <v>0</v>
      </c>
      <c r="AC321" s="336">
        <f t="shared" si="1068"/>
        <v>1679</v>
      </c>
      <c r="AD321" s="337">
        <f t="shared" si="1068"/>
        <v>0</v>
      </c>
      <c r="AE321" s="338">
        <f t="shared" si="948"/>
        <v>1679</v>
      </c>
      <c r="AF321" s="336">
        <f t="shared" si="1069"/>
        <v>0</v>
      </c>
      <c r="AG321" s="337">
        <f t="shared" si="1069"/>
        <v>0</v>
      </c>
      <c r="AH321" s="338">
        <f t="shared" si="950"/>
        <v>0</v>
      </c>
      <c r="AI321" s="336">
        <f t="shared" si="1070"/>
        <v>0</v>
      </c>
      <c r="AJ321" s="337">
        <f t="shared" si="1070"/>
        <v>0</v>
      </c>
      <c r="AK321" s="338">
        <f t="shared" si="952"/>
        <v>0</v>
      </c>
      <c r="AL321" s="342"/>
      <c r="AM321" s="336">
        <f t="shared" si="1071"/>
        <v>1679</v>
      </c>
      <c r="AN321" s="339">
        <f t="shared" si="1071"/>
        <v>0</v>
      </c>
      <c r="AO321" s="340">
        <f t="shared" si="954"/>
        <v>1679</v>
      </c>
      <c r="AP321" s="336">
        <f t="shared" si="1072"/>
        <v>1679</v>
      </c>
      <c r="AQ321" s="339">
        <f t="shared" si="1072"/>
        <v>0</v>
      </c>
      <c r="AR321" s="340">
        <f t="shared" si="940"/>
        <v>1679</v>
      </c>
      <c r="AS321" s="341">
        <f t="shared" si="1073"/>
        <v>1679</v>
      </c>
      <c r="AT321" s="339">
        <f t="shared" si="1073"/>
        <v>0</v>
      </c>
      <c r="AU321" s="340">
        <f t="shared" si="942"/>
        <v>1679</v>
      </c>
      <c r="AV321" s="1255">
        <f t="shared" si="970"/>
        <v>0</v>
      </c>
      <c r="AW321" s="343"/>
      <c r="AX321" s="344"/>
      <c r="AY321" s="345"/>
      <c r="AZ321" s="344"/>
      <c r="BA321" s="345"/>
      <c r="BB321" s="346"/>
      <c r="BC321" s="1134">
        <v>1679</v>
      </c>
      <c r="BD321" s="348"/>
      <c r="BE321" s="349"/>
      <c r="BF321" s="348"/>
      <c r="BG321" s="349"/>
      <c r="BH321" s="350"/>
      <c r="BI321" s="351"/>
      <c r="BJ321" s="352"/>
      <c r="BK321" s="337"/>
      <c r="BL321" s="352"/>
      <c r="BM321" s="337"/>
      <c r="BN321" s="353"/>
      <c r="BO321" s="354"/>
      <c r="BP321" s="355"/>
      <c r="BQ321" s="356"/>
      <c r="BR321" s="355"/>
      <c r="BS321" s="356"/>
      <c r="BT321" s="357"/>
    </row>
    <row r="322" spans="1:72" s="615" customFormat="1" ht="25.5" outlineLevel="1">
      <c r="A322" s="287">
        <v>246</v>
      </c>
      <c r="B322" s="1144"/>
      <c r="C322" s="866"/>
      <c r="D322" s="867"/>
      <c r="E322" s="867"/>
      <c r="F322" s="832" t="s">
        <v>23</v>
      </c>
      <c r="G322" s="616">
        <v>2</v>
      </c>
      <c r="H322" s="749" t="s">
        <v>71</v>
      </c>
      <c r="I322" s="749">
        <v>244</v>
      </c>
      <c r="J322" s="750">
        <v>310</v>
      </c>
      <c r="K322" s="932" t="s">
        <v>214</v>
      </c>
      <c r="L322" s="1043">
        <v>0</v>
      </c>
      <c r="M322" s="619"/>
      <c r="N322" s="619"/>
      <c r="O322" s="1054">
        <f t="shared" si="944"/>
        <v>0</v>
      </c>
      <c r="P322" s="620"/>
      <c r="Q322" s="509">
        <v>0</v>
      </c>
      <c r="R322" s="560"/>
      <c r="S322" s="542">
        <v>0</v>
      </c>
      <c r="T322" s="560"/>
      <c r="U322" s="621"/>
      <c r="V322" s="320"/>
      <c r="W322" s="320"/>
      <c r="X322" s="320"/>
      <c r="Z322" s="509">
        <f>AW322+AY322+BA322</f>
        <v>0</v>
      </c>
      <c r="AA322" s="622">
        <f>AX322+AZ322+BB322</f>
        <v>0</v>
      </c>
      <c r="AB322" s="623">
        <f>Z322-AA322</f>
        <v>0</v>
      </c>
      <c r="AC322" s="509">
        <f>BC322+BE322+BG322</f>
        <v>0</v>
      </c>
      <c r="AD322" s="622">
        <f>BD322+BF322+BH322</f>
        <v>0</v>
      </c>
      <c r="AE322" s="623">
        <f>AC322-AD322</f>
        <v>0</v>
      </c>
      <c r="AF322" s="509">
        <f>BI322+BK322+BM322</f>
        <v>0</v>
      </c>
      <c r="AG322" s="622">
        <f>BJ322+BL322+BN322</f>
        <v>0</v>
      </c>
      <c r="AH322" s="623">
        <f>AF322-AG322</f>
        <v>0</v>
      </c>
      <c r="AI322" s="509">
        <f>BO322+BQ322+BS322</f>
        <v>0</v>
      </c>
      <c r="AJ322" s="622">
        <f>BP322+BR322+BT322</f>
        <v>0</v>
      </c>
      <c r="AK322" s="623">
        <f>AI322-AJ322</f>
        <v>0</v>
      </c>
      <c r="AL322" s="624"/>
      <c r="AM322" s="509">
        <f>Z322+AC322</f>
        <v>0</v>
      </c>
      <c r="AN322" s="625">
        <f>AA322+AD322</f>
        <v>0</v>
      </c>
      <c r="AO322" s="626">
        <f>AM322-AN322</f>
        <v>0</v>
      </c>
      <c r="AP322" s="509">
        <f>Z322+AC322+AF322</f>
        <v>0</v>
      </c>
      <c r="AQ322" s="625">
        <f>AA322+AD322+AG322</f>
        <v>0</v>
      </c>
      <c r="AR322" s="626">
        <f>AP322-AQ322</f>
        <v>0</v>
      </c>
      <c r="AS322" s="510">
        <f>Z322+AC322+AF322+AI322</f>
        <v>0</v>
      </c>
      <c r="AT322" s="625">
        <f>AA322+AD322+AG322+AJ322</f>
        <v>0</v>
      </c>
      <c r="AU322" s="626">
        <f>AS322-AT322</f>
        <v>0</v>
      </c>
      <c r="AV322" s="440">
        <f t="shared" si="970"/>
        <v>0</v>
      </c>
      <c r="AW322" s="628"/>
      <c r="AX322" s="629"/>
      <c r="AY322" s="630"/>
      <c r="AZ322" s="629"/>
      <c r="BA322" s="630"/>
      <c r="BB322" s="631"/>
      <c r="BC322" s="632"/>
      <c r="BD322" s="633"/>
      <c r="BE322" s="634"/>
      <c r="BF322" s="633"/>
      <c r="BG322" s="634"/>
      <c r="BH322" s="635"/>
      <c r="BI322" s="636"/>
      <c r="BJ322" s="637"/>
      <c r="BK322" s="622"/>
      <c r="BL322" s="637"/>
      <c r="BM322" s="622"/>
      <c r="BN322" s="638"/>
      <c r="BO322" s="639"/>
      <c r="BP322" s="640"/>
      <c r="BQ322" s="641"/>
      <c r="BR322" s="640"/>
      <c r="BS322" s="641"/>
      <c r="BT322" s="642"/>
    </row>
    <row r="323" spans="1:72" s="358" customFormat="1" ht="63">
      <c r="A323" s="287">
        <v>247</v>
      </c>
      <c r="B323" s="1150"/>
      <c r="C323" s="850" t="s">
        <v>377</v>
      </c>
      <c r="D323" s="838"/>
      <c r="E323" s="836" t="s">
        <v>201</v>
      </c>
      <c r="F323" s="820" t="s">
        <v>23</v>
      </c>
      <c r="G323" s="360">
        <v>2</v>
      </c>
      <c r="H323" s="360" t="s">
        <v>71</v>
      </c>
      <c r="I323" s="360">
        <v>244</v>
      </c>
      <c r="J323" s="361">
        <v>341</v>
      </c>
      <c r="K323" s="532" t="s">
        <v>801</v>
      </c>
      <c r="L323" s="1023">
        <f>SUM(L324:L325)</f>
        <v>1159</v>
      </c>
      <c r="M323" s="363"/>
      <c r="N323" s="363">
        <f>SUM(N324:N325)</f>
        <v>0</v>
      </c>
      <c r="O323" s="1051">
        <f t="shared" si="944"/>
        <v>1159</v>
      </c>
      <c r="P323" s="571"/>
      <c r="Q323" s="367">
        <f>SUM(Q324:Q325)</f>
        <v>0</v>
      </c>
      <c r="R323" s="557"/>
      <c r="S323" s="367">
        <f>SUM(S324:S325)</f>
        <v>0</v>
      </c>
      <c r="T323" s="557"/>
      <c r="U323" s="365"/>
      <c r="V323" s="366"/>
      <c r="W323" s="366"/>
      <c r="X323" s="366"/>
      <c r="Z323" s="367">
        <f t="shared" ref="Z323:AA324" si="1076">AW323+AY323+BA323</f>
        <v>0</v>
      </c>
      <c r="AA323" s="363">
        <f t="shared" si="1076"/>
        <v>0</v>
      </c>
      <c r="AB323" s="280">
        <f t="shared" ref="AB323:AB324" si="1077">Z323-AA323</f>
        <v>0</v>
      </c>
      <c r="AC323" s="367">
        <f t="shared" ref="AC323:AD324" si="1078">BC323+BE323+BG323</f>
        <v>1159</v>
      </c>
      <c r="AD323" s="363">
        <f t="shared" si="1078"/>
        <v>0</v>
      </c>
      <c r="AE323" s="280">
        <f t="shared" ref="AE323:AE324" si="1079">AC323-AD323</f>
        <v>1159</v>
      </c>
      <c r="AF323" s="367">
        <f t="shared" ref="AF323:AG324" si="1080">BI323+BK323+BM323</f>
        <v>0</v>
      </c>
      <c r="AG323" s="363">
        <f t="shared" si="1080"/>
        <v>0</v>
      </c>
      <c r="AH323" s="280">
        <f t="shared" ref="AH323:AH324" si="1081">AF323-AG323</f>
        <v>0</v>
      </c>
      <c r="AI323" s="367">
        <f t="shared" ref="AI323:AJ324" si="1082">BO323+BQ323+BS323</f>
        <v>0</v>
      </c>
      <c r="AJ323" s="363">
        <f t="shared" si="1082"/>
        <v>0</v>
      </c>
      <c r="AK323" s="280">
        <f t="shared" ref="AK323:AK324" si="1083">AI323-AJ323</f>
        <v>0</v>
      </c>
      <c r="AL323" s="368"/>
      <c r="AM323" s="367">
        <f t="shared" ref="AM323:AN324" si="1084">Z323+AC323</f>
        <v>1159</v>
      </c>
      <c r="AN323" s="363">
        <f t="shared" si="1084"/>
        <v>0</v>
      </c>
      <c r="AO323" s="280">
        <f t="shared" ref="AO323:AO324" si="1085">AM323-AN323</f>
        <v>1159</v>
      </c>
      <c r="AP323" s="367">
        <f t="shared" ref="AP323:AQ324" si="1086">Z323+AC323+AF323</f>
        <v>1159</v>
      </c>
      <c r="AQ323" s="363">
        <f t="shared" si="1086"/>
        <v>0</v>
      </c>
      <c r="AR323" s="280">
        <f t="shared" ref="AR323:AR324" si="1087">AP323-AQ323</f>
        <v>1159</v>
      </c>
      <c r="AS323" s="367">
        <f t="shared" ref="AS323:AT324" si="1088">Z323+AC323+AF323+AI323</f>
        <v>1159</v>
      </c>
      <c r="AT323" s="363">
        <f t="shared" si="1088"/>
        <v>0</v>
      </c>
      <c r="AU323" s="280">
        <f t="shared" ref="AU323:AU324" si="1089">AS323-AT323</f>
        <v>1159</v>
      </c>
      <c r="AV323" s="1253">
        <f t="shared" si="970"/>
        <v>0</v>
      </c>
      <c r="AW323" s="367">
        <f t="shared" ref="AW323:BT323" si="1090">SUM(AW324:AW325)</f>
        <v>0</v>
      </c>
      <c r="AX323" s="363">
        <f t="shared" si="1090"/>
        <v>0</v>
      </c>
      <c r="AY323" s="363">
        <f t="shared" si="1090"/>
        <v>0</v>
      </c>
      <c r="AZ323" s="363">
        <f t="shared" si="1090"/>
        <v>0</v>
      </c>
      <c r="BA323" s="363">
        <f t="shared" si="1090"/>
        <v>0</v>
      </c>
      <c r="BB323" s="369">
        <f t="shared" si="1090"/>
        <v>0</v>
      </c>
      <c r="BC323" s="367">
        <f t="shared" si="1090"/>
        <v>1159</v>
      </c>
      <c r="BD323" s="363">
        <f t="shared" si="1090"/>
        <v>0</v>
      </c>
      <c r="BE323" s="363">
        <f t="shared" si="1090"/>
        <v>0</v>
      </c>
      <c r="BF323" s="363">
        <f t="shared" si="1090"/>
        <v>0</v>
      </c>
      <c r="BG323" s="363">
        <f t="shared" si="1090"/>
        <v>0</v>
      </c>
      <c r="BH323" s="369">
        <f t="shared" si="1090"/>
        <v>0</v>
      </c>
      <c r="BI323" s="367">
        <f t="shared" si="1090"/>
        <v>0</v>
      </c>
      <c r="BJ323" s="363">
        <f t="shared" si="1090"/>
        <v>0</v>
      </c>
      <c r="BK323" s="363">
        <f t="shared" si="1090"/>
        <v>0</v>
      </c>
      <c r="BL323" s="363">
        <f t="shared" si="1090"/>
        <v>0</v>
      </c>
      <c r="BM323" s="363">
        <f t="shared" si="1090"/>
        <v>0</v>
      </c>
      <c r="BN323" s="369">
        <f t="shared" si="1090"/>
        <v>0</v>
      </c>
      <c r="BO323" s="367">
        <f t="shared" si="1090"/>
        <v>0</v>
      </c>
      <c r="BP323" s="363">
        <f t="shared" si="1090"/>
        <v>0</v>
      </c>
      <c r="BQ323" s="363">
        <f t="shared" si="1090"/>
        <v>0</v>
      </c>
      <c r="BR323" s="363">
        <f t="shared" si="1090"/>
        <v>0</v>
      </c>
      <c r="BS323" s="363">
        <f t="shared" si="1090"/>
        <v>0</v>
      </c>
      <c r="BT323" s="280">
        <f t="shared" si="1090"/>
        <v>0</v>
      </c>
    </row>
    <row r="324" spans="1:72" s="313" customFormat="1" ht="38.25" outlineLevel="2">
      <c r="A324" s="287">
        <v>248</v>
      </c>
      <c r="B324" s="941"/>
      <c r="C324" s="840"/>
      <c r="D324" s="841"/>
      <c r="E324" s="839"/>
      <c r="F324" s="821" t="s">
        <v>23</v>
      </c>
      <c r="G324" s="314">
        <v>2</v>
      </c>
      <c r="H324" s="739" t="s">
        <v>71</v>
      </c>
      <c r="I324" s="739">
        <v>244</v>
      </c>
      <c r="J324" s="740">
        <v>341</v>
      </c>
      <c r="K324" s="533" t="s">
        <v>541</v>
      </c>
      <c r="L324" s="1013">
        <v>1159</v>
      </c>
      <c r="M324" s="318"/>
      <c r="N324" s="318"/>
      <c r="O324" s="1052">
        <f t="shared" si="944"/>
        <v>1159</v>
      </c>
      <c r="P324" s="570"/>
      <c r="Q324" s="336">
        <v>0</v>
      </c>
      <c r="R324" s="559"/>
      <c r="S324" s="541">
        <v>0</v>
      </c>
      <c r="T324" s="559"/>
      <c r="U324" s="335"/>
      <c r="V324" s="596" t="s">
        <v>640</v>
      </c>
      <c r="W324" s="596" t="s">
        <v>642</v>
      </c>
      <c r="X324" s="320"/>
      <c r="Z324" s="336">
        <f t="shared" si="1076"/>
        <v>0</v>
      </c>
      <c r="AA324" s="337">
        <f t="shared" si="1076"/>
        <v>0</v>
      </c>
      <c r="AB324" s="338">
        <f t="shared" si="1077"/>
        <v>0</v>
      </c>
      <c r="AC324" s="336">
        <f t="shared" si="1078"/>
        <v>1159</v>
      </c>
      <c r="AD324" s="337">
        <f t="shared" si="1078"/>
        <v>0</v>
      </c>
      <c r="AE324" s="338">
        <f t="shared" si="1079"/>
        <v>1159</v>
      </c>
      <c r="AF324" s="336">
        <f t="shared" si="1080"/>
        <v>0</v>
      </c>
      <c r="AG324" s="337">
        <f t="shared" si="1080"/>
        <v>0</v>
      </c>
      <c r="AH324" s="338">
        <f t="shared" si="1081"/>
        <v>0</v>
      </c>
      <c r="AI324" s="336">
        <f t="shared" si="1082"/>
        <v>0</v>
      </c>
      <c r="AJ324" s="337">
        <f t="shared" si="1082"/>
        <v>0</v>
      </c>
      <c r="AK324" s="338">
        <f t="shared" si="1083"/>
        <v>0</v>
      </c>
      <c r="AL324" s="342"/>
      <c r="AM324" s="336">
        <f t="shared" si="1084"/>
        <v>1159</v>
      </c>
      <c r="AN324" s="339">
        <f t="shared" si="1084"/>
        <v>0</v>
      </c>
      <c r="AO324" s="340">
        <f t="shared" si="1085"/>
        <v>1159</v>
      </c>
      <c r="AP324" s="336">
        <f t="shared" si="1086"/>
        <v>1159</v>
      </c>
      <c r="AQ324" s="339">
        <f t="shared" si="1086"/>
        <v>0</v>
      </c>
      <c r="AR324" s="340">
        <f t="shared" si="1087"/>
        <v>1159</v>
      </c>
      <c r="AS324" s="341">
        <f t="shared" si="1088"/>
        <v>1159</v>
      </c>
      <c r="AT324" s="339">
        <f t="shared" si="1088"/>
        <v>0</v>
      </c>
      <c r="AU324" s="340">
        <f t="shared" si="1089"/>
        <v>1159</v>
      </c>
      <c r="AV324" s="1255">
        <f t="shared" si="970"/>
        <v>0</v>
      </c>
      <c r="AW324" s="343"/>
      <c r="AX324" s="344"/>
      <c r="AY324" s="345"/>
      <c r="AZ324" s="344"/>
      <c r="BA324" s="345"/>
      <c r="BB324" s="346"/>
      <c r="BC324" s="1134">
        <v>1159</v>
      </c>
      <c r="BD324" s="348"/>
      <c r="BE324" s="349"/>
      <c r="BF324" s="348"/>
      <c r="BG324" s="349"/>
      <c r="BH324" s="350"/>
      <c r="BI324" s="351"/>
      <c r="BJ324" s="352"/>
      <c r="BK324" s="337"/>
      <c r="BL324" s="352"/>
      <c r="BM324" s="337"/>
      <c r="BN324" s="353"/>
      <c r="BO324" s="354"/>
      <c r="BP324" s="355"/>
      <c r="BQ324" s="356"/>
      <c r="BR324" s="355"/>
      <c r="BS324" s="356"/>
      <c r="BT324" s="357"/>
    </row>
    <row r="325" spans="1:72" s="615" customFormat="1" ht="25.5" outlineLevel="1">
      <c r="A325" s="287">
        <v>249</v>
      </c>
      <c r="B325" s="941"/>
      <c r="C325" s="866"/>
      <c r="D325" s="867"/>
      <c r="E325" s="867"/>
      <c r="F325" s="832" t="s">
        <v>23</v>
      </c>
      <c r="G325" s="616">
        <v>2</v>
      </c>
      <c r="H325" s="749" t="s">
        <v>71</v>
      </c>
      <c r="I325" s="749">
        <v>244</v>
      </c>
      <c r="J325" s="750">
        <v>341</v>
      </c>
      <c r="K325" s="932" t="s">
        <v>214</v>
      </c>
      <c r="L325" s="1043">
        <v>0</v>
      </c>
      <c r="M325" s="619"/>
      <c r="N325" s="619"/>
      <c r="O325" s="1054">
        <f t="shared" si="944"/>
        <v>0</v>
      </c>
      <c r="P325" s="620"/>
      <c r="Q325" s="509">
        <v>0</v>
      </c>
      <c r="R325" s="560"/>
      <c r="S325" s="542">
        <v>0</v>
      </c>
      <c r="T325" s="560"/>
      <c r="U325" s="621"/>
      <c r="V325" s="320"/>
      <c r="W325" s="320"/>
      <c r="X325" s="320"/>
      <c r="Z325" s="509">
        <f>AW325+AY325+BA325</f>
        <v>0</v>
      </c>
      <c r="AA325" s="622">
        <f>AX325+AZ325+BB325</f>
        <v>0</v>
      </c>
      <c r="AB325" s="623">
        <f>Z325-AA325</f>
        <v>0</v>
      </c>
      <c r="AC325" s="509">
        <f>BC325+BE325+BG325</f>
        <v>0</v>
      </c>
      <c r="AD325" s="622">
        <f>BD325+BF325+BH325</f>
        <v>0</v>
      </c>
      <c r="AE325" s="623">
        <f>AC325-AD325</f>
        <v>0</v>
      </c>
      <c r="AF325" s="509">
        <f>BI325+BK325+BM325</f>
        <v>0</v>
      </c>
      <c r="AG325" s="622">
        <f>BJ325+BL325+BN325</f>
        <v>0</v>
      </c>
      <c r="AH325" s="623">
        <f>AF325-AG325</f>
        <v>0</v>
      </c>
      <c r="AI325" s="509">
        <f>BO325+BQ325+BS325</f>
        <v>0</v>
      </c>
      <c r="AJ325" s="622">
        <f>BP325+BR325+BT325</f>
        <v>0</v>
      </c>
      <c r="AK325" s="623">
        <f>AI325-AJ325</f>
        <v>0</v>
      </c>
      <c r="AL325" s="624"/>
      <c r="AM325" s="509">
        <f>Z325+AC325</f>
        <v>0</v>
      </c>
      <c r="AN325" s="625">
        <f>AA325+AD325</f>
        <v>0</v>
      </c>
      <c r="AO325" s="626">
        <f>AM325-AN325</f>
        <v>0</v>
      </c>
      <c r="AP325" s="509">
        <f>Z325+AC325+AF325</f>
        <v>0</v>
      </c>
      <c r="AQ325" s="625">
        <f>AA325+AD325+AG325</f>
        <v>0</v>
      </c>
      <c r="AR325" s="626">
        <f>AP325-AQ325</f>
        <v>0</v>
      </c>
      <c r="AS325" s="510">
        <f>Z325+AC325+AF325+AI325</f>
        <v>0</v>
      </c>
      <c r="AT325" s="625">
        <f>AA325+AD325+AG325+AJ325</f>
        <v>0</v>
      </c>
      <c r="AU325" s="626">
        <f>AS325-AT325</f>
        <v>0</v>
      </c>
      <c r="AV325" s="440">
        <f t="shared" si="970"/>
        <v>0</v>
      </c>
      <c r="AW325" s="628"/>
      <c r="AX325" s="629"/>
      <c r="AY325" s="630"/>
      <c r="AZ325" s="629"/>
      <c r="BA325" s="630"/>
      <c r="BB325" s="631"/>
      <c r="BC325" s="632"/>
      <c r="BD325" s="633"/>
      <c r="BE325" s="634"/>
      <c r="BF325" s="633"/>
      <c r="BG325" s="634"/>
      <c r="BH325" s="635"/>
      <c r="BI325" s="636"/>
      <c r="BJ325" s="637"/>
      <c r="BK325" s="622"/>
      <c r="BL325" s="637"/>
      <c r="BM325" s="622"/>
      <c r="BN325" s="638"/>
      <c r="BO325" s="639"/>
      <c r="BP325" s="640"/>
      <c r="BQ325" s="641"/>
      <c r="BR325" s="640"/>
      <c r="BS325" s="641"/>
      <c r="BT325" s="642"/>
    </row>
    <row r="326" spans="1:72" s="358" customFormat="1" ht="31.5" customHeight="1">
      <c r="A326" s="287">
        <v>250</v>
      </c>
      <c r="B326" s="941"/>
      <c r="C326" s="850" t="s">
        <v>377</v>
      </c>
      <c r="D326" s="838"/>
      <c r="E326" s="836" t="s">
        <v>201</v>
      </c>
      <c r="F326" s="820" t="s">
        <v>23</v>
      </c>
      <c r="G326" s="360">
        <v>2</v>
      </c>
      <c r="H326" s="360" t="s">
        <v>71</v>
      </c>
      <c r="I326" s="360">
        <v>244</v>
      </c>
      <c r="J326" s="361">
        <v>342</v>
      </c>
      <c r="K326" s="532" t="s">
        <v>498</v>
      </c>
      <c r="L326" s="1023">
        <f>SUM(L327:L329)</f>
        <v>12350</v>
      </c>
      <c r="M326" s="363"/>
      <c r="N326" s="363">
        <f>SUM(N327:N329)</f>
        <v>0</v>
      </c>
      <c r="O326" s="1051">
        <f t="shared" si="944"/>
        <v>12350</v>
      </c>
      <c r="P326" s="571"/>
      <c r="Q326" s="367">
        <f>SUM(Q327:Q329)</f>
        <v>0</v>
      </c>
      <c r="R326" s="557"/>
      <c r="S326" s="367">
        <f>SUM(S327:S329)</f>
        <v>0</v>
      </c>
      <c r="T326" s="557"/>
      <c r="U326" s="365"/>
      <c r="V326" s="366"/>
      <c r="W326" s="366"/>
      <c r="X326" s="366"/>
      <c r="Z326" s="367">
        <f t="shared" ref="Z326:AA328" si="1091">AW326+AY326+BA326</f>
        <v>1325</v>
      </c>
      <c r="AA326" s="363">
        <f t="shared" si="1091"/>
        <v>1325</v>
      </c>
      <c r="AB326" s="280">
        <f t="shared" ref="AB326:AB328" si="1092">Z326-AA326</f>
        <v>0</v>
      </c>
      <c r="AC326" s="367">
        <f t="shared" ref="AC326:AD328" si="1093">BC326+BE326+BG326</f>
        <v>4600</v>
      </c>
      <c r="AD326" s="363">
        <f t="shared" si="1093"/>
        <v>4600</v>
      </c>
      <c r="AE326" s="280">
        <f t="shared" ref="AE326:AE328" si="1094">AC326-AD326</f>
        <v>0</v>
      </c>
      <c r="AF326" s="367">
        <f t="shared" ref="AF326:AG328" si="1095">BI326+BK326+BM326</f>
        <v>3600</v>
      </c>
      <c r="AG326" s="363">
        <f t="shared" si="1095"/>
        <v>3600</v>
      </c>
      <c r="AH326" s="280">
        <f t="shared" ref="AH326:AH328" si="1096">AF326-AG326</f>
        <v>0</v>
      </c>
      <c r="AI326" s="367">
        <f t="shared" ref="AI326:AJ328" si="1097">BO326+BQ326+BS326</f>
        <v>2825</v>
      </c>
      <c r="AJ326" s="363">
        <f t="shared" si="1097"/>
        <v>800</v>
      </c>
      <c r="AK326" s="280">
        <f t="shared" ref="AK326:AK328" si="1098">AI326-AJ326</f>
        <v>2025</v>
      </c>
      <c r="AL326" s="368"/>
      <c r="AM326" s="367">
        <f t="shared" ref="AM326:AN328" si="1099">Z326+AC326</f>
        <v>5925</v>
      </c>
      <c r="AN326" s="363">
        <f t="shared" si="1099"/>
        <v>5925</v>
      </c>
      <c r="AO326" s="280">
        <f t="shared" ref="AO326:AO328" si="1100">AM326-AN326</f>
        <v>0</v>
      </c>
      <c r="AP326" s="367">
        <f t="shared" ref="AP326:AQ328" si="1101">Z326+AC326+AF326</f>
        <v>9525</v>
      </c>
      <c r="AQ326" s="363">
        <f t="shared" si="1101"/>
        <v>9525</v>
      </c>
      <c r="AR326" s="280">
        <f t="shared" ref="AR326:AR328" si="1102">AP326-AQ326</f>
        <v>0</v>
      </c>
      <c r="AS326" s="367">
        <f t="shared" ref="AS326:AT328" si="1103">Z326+AC326+AF326+AI326</f>
        <v>12350</v>
      </c>
      <c r="AT326" s="363">
        <f t="shared" si="1103"/>
        <v>10325</v>
      </c>
      <c r="AU326" s="280">
        <f t="shared" ref="AU326:AU328" si="1104">AS326-AT326</f>
        <v>2025</v>
      </c>
      <c r="AV326" s="1253">
        <f t="shared" si="970"/>
        <v>0</v>
      </c>
      <c r="AW326" s="367">
        <f t="shared" ref="AW326:BT326" si="1105">SUM(AW327:AW329)</f>
        <v>0</v>
      </c>
      <c r="AX326" s="363">
        <f t="shared" si="1105"/>
        <v>0</v>
      </c>
      <c r="AY326" s="363">
        <f t="shared" si="1105"/>
        <v>0</v>
      </c>
      <c r="AZ326" s="363">
        <f t="shared" si="1105"/>
        <v>0</v>
      </c>
      <c r="BA326" s="363">
        <f t="shared" si="1105"/>
        <v>1325</v>
      </c>
      <c r="BB326" s="369">
        <f t="shared" si="1105"/>
        <v>1325</v>
      </c>
      <c r="BC326" s="367">
        <f t="shared" si="1105"/>
        <v>1000</v>
      </c>
      <c r="BD326" s="363">
        <f t="shared" si="1105"/>
        <v>1000</v>
      </c>
      <c r="BE326" s="363">
        <f t="shared" si="1105"/>
        <v>1400</v>
      </c>
      <c r="BF326" s="363">
        <f t="shared" si="1105"/>
        <v>1400</v>
      </c>
      <c r="BG326" s="363">
        <f t="shared" si="1105"/>
        <v>2200</v>
      </c>
      <c r="BH326" s="369">
        <f t="shared" si="1105"/>
        <v>2200</v>
      </c>
      <c r="BI326" s="367">
        <f t="shared" si="1105"/>
        <v>800</v>
      </c>
      <c r="BJ326" s="363">
        <f t="shared" si="1105"/>
        <v>800</v>
      </c>
      <c r="BK326" s="363">
        <f t="shared" si="1105"/>
        <v>800</v>
      </c>
      <c r="BL326" s="363">
        <f t="shared" si="1105"/>
        <v>800</v>
      </c>
      <c r="BM326" s="363">
        <f t="shared" si="1105"/>
        <v>2000</v>
      </c>
      <c r="BN326" s="369">
        <f t="shared" si="1105"/>
        <v>2000</v>
      </c>
      <c r="BO326" s="367">
        <f t="shared" si="1105"/>
        <v>800</v>
      </c>
      <c r="BP326" s="363">
        <f t="shared" si="1105"/>
        <v>800</v>
      </c>
      <c r="BQ326" s="363">
        <f t="shared" si="1105"/>
        <v>1000</v>
      </c>
      <c r="BR326" s="363">
        <f t="shared" si="1105"/>
        <v>0</v>
      </c>
      <c r="BS326" s="363">
        <f t="shared" si="1105"/>
        <v>1025</v>
      </c>
      <c r="BT326" s="280">
        <f t="shared" si="1105"/>
        <v>0</v>
      </c>
    </row>
    <row r="327" spans="1:72" s="313" customFormat="1" ht="25.5" outlineLevel="2">
      <c r="A327" s="287">
        <v>251</v>
      </c>
      <c r="B327" s="941"/>
      <c r="C327" s="840"/>
      <c r="D327" s="841"/>
      <c r="E327" s="839"/>
      <c r="F327" s="821" t="s">
        <v>23</v>
      </c>
      <c r="G327" s="314">
        <v>2</v>
      </c>
      <c r="H327" s="739" t="s">
        <v>71</v>
      </c>
      <c r="I327" s="739">
        <v>244</v>
      </c>
      <c r="J327" s="740">
        <v>342</v>
      </c>
      <c r="K327" s="533" t="s">
        <v>500</v>
      </c>
      <c r="L327" s="1013">
        <f>12350-1325</f>
        <v>11025</v>
      </c>
      <c r="M327" s="318"/>
      <c r="N327" s="318"/>
      <c r="O327" s="1052">
        <f t="shared" si="944"/>
        <v>11025</v>
      </c>
      <c r="P327" s="570"/>
      <c r="Q327" s="336">
        <v>0</v>
      </c>
      <c r="R327" s="559"/>
      <c r="S327" s="541">
        <v>0</v>
      </c>
      <c r="T327" s="559"/>
      <c r="U327" s="335"/>
      <c r="V327" s="596" t="s">
        <v>638</v>
      </c>
      <c r="W327" s="596" t="s">
        <v>671</v>
      </c>
      <c r="X327" s="596" t="s">
        <v>672</v>
      </c>
      <c r="Z327" s="336">
        <f t="shared" si="1091"/>
        <v>0</v>
      </c>
      <c r="AA327" s="337">
        <f t="shared" si="1091"/>
        <v>0</v>
      </c>
      <c r="AB327" s="338">
        <f t="shared" si="1092"/>
        <v>0</v>
      </c>
      <c r="AC327" s="336">
        <f t="shared" si="1093"/>
        <v>4600</v>
      </c>
      <c r="AD327" s="337">
        <f t="shared" si="1093"/>
        <v>4600</v>
      </c>
      <c r="AE327" s="338">
        <f t="shared" si="1094"/>
        <v>0</v>
      </c>
      <c r="AF327" s="336">
        <f t="shared" si="1095"/>
        <v>3600</v>
      </c>
      <c r="AG327" s="337">
        <f t="shared" si="1095"/>
        <v>3600</v>
      </c>
      <c r="AH327" s="338">
        <f t="shared" si="1096"/>
        <v>0</v>
      </c>
      <c r="AI327" s="336">
        <f t="shared" si="1097"/>
        <v>2825</v>
      </c>
      <c r="AJ327" s="337">
        <f t="shared" si="1097"/>
        <v>800</v>
      </c>
      <c r="AK327" s="338">
        <f t="shared" si="1098"/>
        <v>2025</v>
      </c>
      <c r="AL327" s="342"/>
      <c r="AM327" s="336">
        <f t="shared" si="1099"/>
        <v>4600</v>
      </c>
      <c r="AN327" s="339">
        <f t="shared" si="1099"/>
        <v>4600</v>
      </c>
      <c r="AO327" s="340">
        <f t="shared" si="1100"/>
        <v>0</v>
      </c>
      <c r="AP327" s="336">
        <f t="shared" si="1101"/>
        <v>8200</v>
      </c>
      <c r="AQ327" s="339">
        <f t="shared" si="1101"/>
        <v>8200</v>
      </c>
      <c r="AR327" s="340">
        <f t="shared" si="1102"/>
        <v>0</v>
      </c>
      <c r="AS327" s="341">
        <f t="shared" si="1103"/>
        <v>11025</v>
      </c>
      <c r="AT327" s="339">
        <f t="shared" si="1103"/>
        <v>9000</v>
      </c>
      <c r="AU327" s="340">
        <f t="shared" si="1104"/>
        <v>2025</v>
      </c>
      <c r="AV327" s="1255">
        <f t="shared" si="970"/>
        <v>0</v>
      </c>
      <c r="AW327" s="1241"/>
      <c r="AX327" s="1218"/>
      <c r="AY327" s="1217"/>
      <c r="AZ327" s="1218"/>
      <c r="BA327" s="1217"/>
      <c r="BB327" s="1219"/>
      <c r="BC327" s="1220">
        <v>1000</v>
      </c>
      <c r="BD327" s="1221">
        <v>1000</v>
      </c>
      <c r="BE327" s="1222">
        <v>1400</v>
      </c>
      <c r="BF327" s="1221">
        <v>1400</v>
      </c>
      <c r="BG327" s="1222">
        <v>2200</v>
      </c>
      <c r="BH327" s="1223">
        <v>2200</v>
      </c>
      <c r="BI327" s="1224">
        <v>800</v>
      </c>
      <c r="BJ327" s="1225">
        <v>800</v>
      </c>
      <c r="BK327" s="1230">
        <v>800</v>
      </c>
      <c r="BL327" s="1225">
        <v>800</v>
      </c>
      <c r="BM327" s="1230">
        <v>2000</v>
      </c>
      <c r="BN327" s="1293">
        <v>2000</v>
      </c>
      <c r="BO327" s="1138">
        <v>800</v>
      </c>
      <c r="BP327" s="355">
        <v>800</v>
      </c>
      <c r="BQ327" s="356">
        <v>1000</v>
      </c>
      <c r="BR327" s="355"/>
      <c r="BS327" s="356">
        <v>1025</v>
      </c>
      <c r="BT327" s="357"/>
    </row>
    <row r="328" spans="1:72" s="313" customFormat="1" ht="38.25" outlineLevel="2">
      <c r="A328" s="287">
        <v>252</v>
      </c>
      <c r="B328" s="941"/>
      <c r="C328" s="840"/>
      <c r="D328" s="841"/>
      <c r="E328" s="839"/>
      <c r="F328" s="821" t="s">
        <v>23</v>
      </c>
      <c r="G328" s="314">
        <v>2</v>
      </c>
      <c r="H328" s="739" t="s">
        <v>71</v>
      </c>
      <c r="I328" s="739">
        <v>244</v>
      </c>
      <c r="J328" s="740">
        <v>342</v>
      </c>
      <c r="K328" s="533" t="s">
        <v>500</v>
      </c>
      <c r="L328" s="1013">
        <v>1325</v>
      </c>
      <c r="M328" s="318"/>
      <c r="N328" s="318"/>
      <c r="O328" s="1052">
        <v>1325</v>
      </c>
      <c r="P328" s="570"/>
      <c r="Q328" s="336">
        <v>0</v>
      </c>
      <c r="R328" s="559"/>
      <c r="S328" s="541">
        <v>0</v>
      </c>
      <c r="T328" s="559"/>
      <c r="U328" s="335"/>
      <c r="V328" s="596" t="s">
        <v>640</v>
      </c>
      <c r="W328" s="596" t="s">
        <v>639</v>
      </c>
      <c r="X328" s="320"/>
      <c r="Z328" s="336">
        <f t="shared" si="1091"/>
        <v>1325</v>
      </c>
      <c r="AA328" s="337">
        <f t="shared" si="1091"/>
        <v>1325</v>
      </c>
      <c r="AB328" s="338">
        <f t="shared" si="1092"/>
        <v>0</v>
      </c>
      <c r="AC328" s="336">
        <f t="shared" si="1093"/>
        <v>0</v>
      </c>
      <c r="AD328" s="337">
        <f t="shared" si="1093"/>
        <v>0</v>
      </c>
      <c r="AE328" s="338">
        <f t="shared" si="1094"/>
        <v>0</v>
      </c>
      <c r="AF328" s="336">
        <f t="shared" si="1095"/>
        <v>0</v>
      </c>
      <c r="AG328" s="337">
        <f t="shared" si="1095"/>
        <v>0</v>
      </c>
      <c r="AH328" s="338">
        <f t="shared" si="1096"/>
        <v>0</v>
      </c>
      <c r="AI328" s="336">
        <f t="shared" si="1097"/>
        <v>0</v>
      </c>
      <c r="AJ328" s="337">
        <f t="shared" si="1097"/>
        <v>0</v>
      </c>
      <c r="AK328" s="338">
        <f t="shared" si="1098"/>
        <v>0</v>
      </c>
      <c r="AL328" s="342"/>
      <c r="AM328" s="336">
        <f t="shared" si="1099"/>
        <v>1325</v>
      </c>
      <c r="AN328" s="339">
        <f t="shared" si="1099"/>
        <v>1325</v>
      </c>
      <c r="AO328" s="340">
        <f t="shared" si="1100"/>
        <v>0</v>
      </c>
      <c r="AP328" s="336">
        <f t="shared" si="1101"/>
        <v>1325</v>
      </c>
      <c r="AQ328" s="339">
        <f t="shared" si="1101"/>
        <v>1325</v>
      </c>
      <c r="AR328" s="340">
        <f t="shared" si="1102"/>
        <v>0</v>
      </c>
      <c r="AS328" s="341">
        <f t="shared" si="1103"/>
        <v>1325</v>
      </c>
      <c r="AT328" s="339">
        <f t="shared" si="1103"/>
        <v>1325</v>
      </c>
      <c r="AU328" s="340">
        <f t="shared" si="1104"/>
        <v>0</v>
      </c>
      <c r="AV328" s="1255">
        <f t="shared" si="970"/>
        <v>0</v>
      </c>
      <c r="AW328" s="343"/>
      <c r="AX328" s="344"/>
      <c r="AY328" s="345"/>
      <c r="AZ328" s="344"/>
      <c r="BA328" s="345">
        <v>1325</v>
      </c>
      <c r="BB328" s="346">
        <v>1325</v>
      </c>
      <c r="BC328" s="347"/>
      <c r="BD328" s="348"/>
      <c r="BE328" s="349"/>
      <c r="BF328" s="348"/>
      <c r="BG328" s="349"/>
      <c r="BH328" s="350"/>
      <c r="BI328" s="351"/>
      <c r="BJ328" s="352"/>
      <c r="BK328" s="337"/>
      <c r="BL328" s="352"/>
      <c r="BM328" s="337"/>
      <c r="BN328" s="353"/>
      <c r="BO328" s="354"/>
      <c r="BP328" s="355"/>
      <c r="BQ328" s="356"/>
      <c r="BR328" s="355"/>
      <c r="BS328" s="356"/>
      <c r="BT328" s="357"/>
    </row>
    <row r="329" spans="1:72" s="615" customFormat="1" ht="25.5" outlineLevel="1">
      <c r="A329" s="287">
        <v>253</v>
      </c>
      <c r="B329" s="941"/>
      <c r="C329" s="866"/>
      <c r="D329" s="867"/>
      <c r="E329" s="867"/>
      <c r="F329" s="832" t="s">
        <v>23</v>
      </c>
      <c r="G329" s="616">
        <v>2</v>
      </c>
      <c r="H329" s="749" t="s">
        <v>71</v>
      </c>
      <c r="I329" s="749">
        <v>244</v>
      </c>
      <c r="J329" s="750">
        <v>342</v>
      </c>
      <c r="K329" s="932" t="s">
        <v>214</v>
      </c>
      <c r="L329" s="1043">
        <v>0</v>
      </c>
      <c r="M329" s="619"/>
      <c r="N329" s="619"/>
      <c r="O329" s="1054">
        <f t="shared" si="944"/>
        <v>0</v>
      </c>
      <c r="P329" s="620"/>
      <c r="Q329" s="509">
        <v>0</v>
      </c>
      <c r="R329" s="560"/>
      <c r="S329" s="542">
        <v>0</v>
      </c>
      <c r="T329" s="560"/>
      <c r="U329" s="621"/>
      <c r="V329" s="320"/>
      <c r="W329" s="320"/>
      <c r="X329" s="320"/>
      <c r="Z329" s="509">
        <f>AW329+AY329+BA329</f>
        <v>0</v>
      </c>
      <c r="AA329" s="622">
        <f>AX329+AZ329+BB329</f>
        <v>0</v>
      </c>
      <c r="AB329" s="623">
        <f>Z329-AA329</f>
        <v>0</v>
      </c>
      <c r="AC329" s="509">
        <f>BC329+BE329+BG329</f>
        <v>0</v>
      </c>
      <c r="AD329" s="622">
        <f>BD329+BF329+BH329</f>
        <v>0</v>
      </c>
      <c r="AE329" s="623">
        <f>AC329-AD329</f>
        <v>0</v>
      </c>
      <c r="AF329" s="509">
        <f>BI329+BK329+BM329</f>
        <v>0</v>
      </c>
      <c r="AG329" s="622">
        <f>BJ329+BL329+BN329</f>
        <v>0</v>
      </c>
      <c r="AH329" s="623">
        <f>AF329-AG329</f>
        <v>0</v>
      </c>
      <c r="AI329" s="509">
        <f>BO329+BQ329+BS329</f>
        <v>0</v>
      </c>
      <c r="AJ329" s="622">
        <f>BP329+BR329+BT329</f>
        <v>0</v>
      </c>
      <c r="AK329" s="623">
        <f>AI329-AJ329</f>
        <v>0</v>
      </c>
      <c r="AL329" s="624"/>
      <c r="AM329" s="509">
        <f>Z329+AC329</f>
        <v>0</v>
      </c>
      <c r="AN329" s="625">
        <f>AA329+AD329</f>
        <v>0</v>
      </c>
      <c r="AO329" s="626">
        <f>AM329-AN329</f>
        <v>0</v>
      </c>
      <c r="AP329" s="509">
        <f>Z329+AC329+AF329</f>
        <v>0</v>
      </c>
      <c r="AQ329" s="625">
        <f>AA329+AD329+AG329</f>
        <v>0</v>
      </c>
      <c r="AR329" s="626">
        <f>AP329-AQ329</f>
        <v>0</v>
      </c>
      <c r="AS329" s="510">
        <f>Z329+AC329+AF329+AI329</f>
        <v>0</v>
      </c>
      <c r="AT329" s="625">
        <f>AA329+AD329+AG329+AJ329</f>
        <v>0</v>
      </c>
      <c r="AU329" s="626">
        <f>AS329-AT329</f>
        <v>0</v>
      </c>
      <c r="AV329" s="440">
        <f t="shared" si="970"/>
        <v>0</v>
      </c>
      <c r="AW329" s="628"/>
      <c r="AX329" s="629"/>
      <c r="AY329" s="630"/>
      <c r="AZ329" s="629"/>
      <c r="BA329" s="630"/>
      <c r="BB329" s="631"/>
      <c r="BC329" s="632"/>
      <c r="BD329" s="633"/>
      <c r="BE329" s="634"/>
      <c r="BF329" s="633"/>
      <c r="BG329" s="634"/>
      <c r="BH329" s="635"/>
      <c r="BI329" s="636"/>
      <c r="BJ329" s="637"/>
      <c r="BK329" s="622"/>
      <c r="BL329" s="637"/>
      <c r="BM329" s="622"/>
      <c r="BN329" s="638"/>
      <c r="BO329" s="639"/>
      <c r="BP329" s="640"/>
      <c r="BQ329" s="641"/>
      <c r="BR329" s="640"/>
      <c r="BS329" s="641"/>
      <c r="BT329" s="642"/>
    </row>
    <row r="330" spans="1:72" s="965" customFormat="1" ht="51" customHeight="1">
      <c r="A330" s="287">
        <v>109</v>
      </c>
      <c r="B330" s="952"/>
      <c r="C330" s="953" t="s">
        <v>377</v>
      </c>
      <c r="D330" s="954"/>
      <c r="E330" s="955" t="s">
        <v>201</v>
      </c>
      <c r="F330" s="956" t="s">
        <v>23</v>
      </c>
      <c r="G330" s="957">
        <v>2</v>
      </c>
      <c r="H330" s="957" t="s">
        <v>266</v>
      </c>
      <c r="I330" s="957">
        <v>244</v>
      </c>
      <c r="J330" s="958">
        <v>346</v>
      </c>
      <c r="K330" s="959" t="s">
        <v>996</v>
      </c>
      <c r="L330" s="1027">
        <f>L331</f>
        <v>0</v>
      </c>
      <c r="M330" s="961"/>
      <c r="N330" s="961">
        <f>N331</f>
        <v>0</v>
      </c>
      <c r="O330" s="1061">
        <f t="shared" si="944"/>
        <v>0</v>
      </c>
      <c r="P330" s="962"/>
      <c r="Q330" s="960">
        <v>0</v>
      </c>
      <c r="R330" s="962">
        <f>R346</f>
        <v>0</v>
      </c>
      <c r="S330" s="960">
        <v>0</v>
      </c>
      <c r="T330" s="962"/>
      <c r="U330" s="963"/>
      <c r="V330" s="964"/>
      <c r="W330" s="964"/>
      <c r="X330" s="964"/>
      <c r="Z330" s="960">
        <f t="shared" ref="Z330" si="1106">AW330+AY330+BA330</f>
        <v>0</v>
      </c>
      <c r="AA330" s="961">
        <f t="shared" ref="AA330" si="1107">AX330+AZ330+BB330</f>
        <v>0</v>
      </c>
      <c r="AB330" s="966">
        <f t="shared" ref="AB330" si="1108">Z330-AA330</f>
        <v>0</v>
      </c>
      <c r="AC330" s="960">
        <f t="shared" ref="AC330" si="1109">BC330+BE330+BG330</f>
        <v>0</v>
      </c>
      <c r="AD330" s="961">
        <f t="shared" ref="AD330" si="1110">BD330+BF330+BH330</f>
        <v>0</v>
      </c>
      <c r="AE330" s="966">
        <f t="shared" ref="AE330" si="1111">AC330-AD330</f>
        <v>0</v>
      </c>
      <c r="AF330" s="960">
        <f t="shared" ref="AF330" si="1112">BI330+BK330+BM330</f>
        <v>0</v>
      </c>
      <c r="AG330" s="961">
        <f t="shared" ref="AG330" si="1113">BJ330+BL330+BN330</f>
        <v>0</v>
      </c>
      <c r="AH330" s="966">
        <f t="shared" ref="AH330" si="1114">AF330-AG330</f>
        <v>0</v>
      </c>
      <c r="AI330" s="960">
        <f t="shared" ref="AI330" si="1115">BO330+BQ330+BS330</f>
        <v>0</v>
      </c>
      <c r="AJ330" s="961">
        <f t="shared" ref="AJ330" si="1116">BP330+BR330+BT330</f>
        <v>0</v>
      </c>
      <c r="AK330" s="966">
        <f t="shared" ref="AK330" si="1117">AI330-AJ330</f>
        <v>0</v>
      </c>
      <c r="AL330" s="967"/>
      <c r="AM330" s="960">
        <f t="shared" ref="AM330" si="1118">Z330+AC330</f>
        <v>0</v>
      </c>
      <c r="AN330" s="961">
        <f t="shared" ref="AN330" si="1119">AA330+AD330</f>
        <v>0</v>
      </c>
      <c r="AO330" s="966">
        <f t="shared" ref="AO330" si="1120">AM330-AN330</f>
        <v>0</v>
      </c>
      <c r="AP330" s="960">
        <f t="shared" ref="AP330" si="1121">Z330+AC330+AF330</f>
        <v>0</v>
      </c>
      <c r="AQ330" s="961">
        <f t="shared" ref="AQ330" si="1122">AA330+AD330+AG330</f>
        <v>0</v>
      </c>
      <c r="AR330" s="966">
        <f t="shared" ref="AR330" si="1123">AP330-AQ330</f>
        <v>0</v>
      </c>
      <c r="AS330" s="960">
        <f t="shared" ref="AS330" si="1124">Z330+AC330+AF330+AI330</f>
        <v>0</v>
      </c>
      <c r="AT330" s="961">
        <f t="shared" ref="AT330" si="1125">AA330+AD330+AG330+AJ330</f>
        <v>0</v>
      </c>
      <c r="AU330" s="966">
        <f t="shared" ref="AU330" si="1126">AS330-AT330</f>
        <v>0</v>
      </c>
      <c r="AV330" s="1260">
        <f t="shared" si="970"/>
        <v>0</v>
      </c>
      <c r="AW330" s="960">
        <f t="shared" ref="AW330:BT330" si="1127">AW331</f>
        <v>0</v>
      </c>
      <c r="AX330" s="1109">
        <f t="shared" si="1127"/>
        <v>0</v>
      </c>
      <c r="AY330" s="961">
        <f t="shared" si="1127"/>
        <v>0</v>
      </c>
      <c r="AZ330" s="1109">
        <f t="shared" si="1127"/>
        <v>0</v>
      </c>
      <c r="BA330" s="961">
        <f t="shared" si="1127"/>
        <v>0</v>
      </c>
      <c r="BB330" s="1127">
        <f t="shared" si="1127"/>
        <v>0</v>
      </c>
      <c r="BC330" s="960">
        <f t="shared" si="1127"/>
        <v>0</v>
      </c>
      <c r="BD330" s="961">
        <f t="shared" si="1127"/>
        <v>0</v>
      </c>
      <c r="BE330" s="961">
        <f t="shared" si="1127"/>
        <v>0</v>
      </c>
      <c r="BF330" s="961">
        <f t="shared" si="1127"/>
        <v>0</v>
      </c>
      <c r="BG330" s="961">
        <f t="shared" si="1127"/>
        <v>0</v>
      </c>
      <c r="BH330" s="969">
        <f t="shared" si="1127"/>
        <v>0</v>
      </c>
      <c r="BI330" s="960">
        <f t="shared" si="1127"/>
        <v>0</v>
      </c>
      <c r="BJ330" s="961">
        <f t="shared" si="1127"/>
        <v>0</v>
      </c>
      <c r="BK330" s="961">
        <f t="shared" si="1127"/>
        <v>0</v>
      </c>
      <c r="BL330" s="961">
        <f t="shared" si="1127"/>
        <v>0</v>
      </c>
      <c r="BM330" s="961">
        <f t="shared" si="1127"/>
        <v>0</v>
      </c>
      <c r="BN330" s="969">
        <f t="shared" si="1127"/>
        <v>0</v>
      </c>
      <c r="BO330" s="960">
        <f t="shared" si="1127"/>
        <v>0</v>
      </c>
      <c r="BP330" s="961">
        <f t="shared" si="1127"/>
        <v>0</v>
      </c>
      <c r="BQ330" s="961">
        <f t="shared" si="1127"/>
        <v>0</v>
      </c>
      <c r="BR330" s="961">
        <f t="shared" si="1127"/>
        <v>0</v>
      </c>
      <c r="BS330" s="961">
        <f t="shared" si="1127"/>
        <v>0</v>
      </c>
      <c r="BT330" s="966">
        <f t="shared" si="1127"/>
        <v>0</v>
      </c>
    </row>
    <row r="331" spans="1:72" s="468" customFormat="1" ht="66.75" customHeight="1" outlineLevel="1">
      <c r="A331" s="287">
        <v>144</v>
      </c>
      <c r="B331" s="933"/>
      <c r="C331" s="850" t="s">
        <v>378</v>
      </c>
      <c r="D331" s="854" t="s">
        <v>876</v>
      </c>
      <c r="E331" s="858"/>
      <c r="F331" s="828" t="s">
        <v>23</v>
      </c>
      <c r="G331" s="469">
        <v>2</v>
      </c>
      <c r="H331" s="745" t="s">
        <v>70</v>
      </c>
      <c r="I331" s="745">
        <v>244</v>
      </c>
      <c r="J331" s="746">
        <v>346</v>
      </c>
      <c r="K331" s="537" t="s">
        <v>1106</v>
      </c>
      <c r="L331" s="1032">
        <f>SUM(L332:L333)</f>
        <v>0</v>
      </c>
      <c r="M331" s="422"/>
      <c r="N331" s="422">
        <f>SUM(N332:N333)</f>
        <v>0</v>
      </c>
      <c r="O331" s="1065">
        <f t="shared" si="944"/>
        <v>0</v>
      </c>
      <c r="P331" s="564"/>
      <c r="Q331" s="472"/>
      <c r="R331" s="564"/>
      <c r="S331" s="472"/>
      <c r="T331" s="564"/>
      <c r="U331" s="393"/>
      <c r="V331" s="394"/>
      <c r="W331" s="394"/>
      <c r="X331" s="394"/>
      <c r="Y331" s="392"/>
      <c r="Z331" s="395">
        <f t="shared" ref="Z331:Z333" si="1128">AW331+AY331+BA331</f>
        <v>0</v>
      </c>
      <c r="AA331" s="396">
        <f t="shared" ref="AA331:AA333" si="1129">AX331+AZ331+BB331</f>
        <v>0</v>
      </c>
      <c r="AB331" s="397">
        <f t="shared" ref="AB331:AB333" si="1130">Z331-AA331</f>
        <v>0</v>
      </c>
      <c r="AC331" s="395">
        <f t="shared" ref="AC331:AC333" si="1131">BC331+BE331+BG331</f>
        <v>0</v>
      </c>
      <c r="AD331" s="396">
        <f t="shared" ref="AD331:AD333" si="1132">BD331+BF331+BH331</f>
        <v>0</v>
      </c>
      <c r="AE331" s="397">
        <f t="shared" ref="AE331:AE333" si="1133">AC331-AD331</f>
        <v>0</v>
      </c>
      <c r="AF331" s="395">
        <f t="shared" ref="AF331:AF333" si="1134">BI331+BK331+BM331</f>
        <v>0</v>
      </c>
      <c r="AG331" s="396">
        <f t="shared" ref="AG331:AG333" si="1135">BJ331+BL331+BN331</f>
        <v>0</v>
      </c>
      <c r="AH331" s="397">
        <f t="shared" ref="AH331:AH333" si="1136">AF331-AG331</f>
        <v>0</v>
      </c>
      <c r="AI331" s="395">
        <f t="shared" ref="AI331:AI333" si="1137">BO331+BQ331+BS331</f>
        <v>0</v>
      </c>
      <c r="AJ331" s="396">
        <f t="shared" ref="AJ331:AJ333" si="1138">BP331+BR331+BT331</f>
        <v>0</v>
      </c>
      <c r="AK331" s="397">
        <f t="shared" ref="AK331:AK333" si="1139">AI331-AJ331</f>
        <v>0</v>
      </c>
      <c r="AL331" s="398"/>
      <c r="AM331" s="472">
        <f t="shared" ref="AM331:AM333" si="1140">Z331+AC331</f>
        <v>0</v>
      </c>
      <c r="AN331" s="422">
        <f t="shared" ref="AN331:AN333" si="1141">AA331+AD331</f>
        <v>0</v>
      </c>
      <c r="AO331" s="473">
        <f t="shared" ref="AO331:AO333" si="1142">AM331-AN331</f>
        <v>0</v>
      </c>
      <c r="AP331" s="472">
        <f t="shared" ref="AP331:AP333" si="1143">Z331+AC331+AF331</f>
        <v>0</v>
      </c>
      <c r="AQ331" s="422">
        <f t="shared" ref="AQ331:AQ333" si="1144">AA331+AD331+AG331</f>
        <v>0</v>
      </c>
      <c r="AR331" s="473">
        <f t="shared" ref="AR331:AR333" si="1145">AP331-AQ331</f>
        <v>0</v>
      </c>
      <c r="AS331" s="472">
        <f t="shared" ref="AS331:AS333" si="1146">Z331+AC331+AF331+AI331</f>
        <v>0</v>
      </c>
      <c r="AT331" s="422">
        <f t="shared" ref="AT331:AT333" si="1147">AA331+AD331+AG331+AJ331</f>
        <v>0</v>
      </c>
      <c r="AU331" s="473">
        <f t="shared" ref="AU331:AU333" si="1148">AS331-AT331</f>
        <v>0</v>
      </c>
      <c r="AV331" s="1263">
        <f t="shared" si="970"/>
        <v>0</v>
      </c>
      <c r="AW331" s="472">
        <f t="shared" ref="AW331:BT331" si="1149">SUM(AW332:AW333)</f>
        <v>0</v>
      </c>
      <c r="AX331" s="1110">
        <f t="shared" si="1149"/>
        <v>0</v>
      </c>
      <c r="AY331" s="422">
        <f t="shared" si="1149"/>
        <v>0</v>
      </c>
      <c r="AZ331" s="1110">
        <f t="shared" si="1149"/>
        <v>0</v>
      </c>
      <c r="BA331" s="422">
        <f t="shared" si="1149"/>
        <v>0</v>
      </c>
      <c r="BB331" s="1128">
        <f t="shared" si="1149"/>
        <v>0</v>
      </c>
      <c r="BC331" s="472">
        <f t="shared" si="1149"/>
        <v>0</v>
      </c>
      <c r="BD331" s="422">
        <f t="shared" si="1149"/>
        <v>0</v>
      </c>
      <c r="BE331" s="422">
        <f t="shared" si="1149"/>
        <v>0</v>
      </c>
      <c r="BF331" s="422">
        <f t="shared" si="1149"/>
        <v>0</v>
      </c>
      <c r="BG331" s="422">
        <f t="shared" si="1149"/>
        <v>0</v>
      </c>
      <c r="BH331" s="423">
        <f t="shared" si="1149"/>
        <v>0</v>
      </c>
      <c r="BI331" s="472">
        <f t="shared" si="1149"/>
        <v>0</v>
      </c>
      <c r="BJ331" s="422">
        <f t="shared" si="1149"/>
        <v>0</v>
      </c>
      <c r="BK331" s="422">
        <f t="shared" si="1149"/>
        <v>0</v>
      </c>
      <c r="BL331" s="422">
        <f t="shared" si="1149"/>
        <v>0</v>
      </c>
      <c r="BM331" s="422">
        <f t="shared" si="1149"/>
        <v>0</v>
      </c>
      <c r="BN331" s="423">
        <f t="shared" si="1149"/>
        <v>0</v>
      </c>
      <c r="BO331" s="472">
        <f t="shared" si="1149"/>
        <v>0</v>
      </c>
      <c r="BP331" s="422">
        <f t="shared" si="1149"/>
        <v>0</v>
      </c>
      <c r="BQ331" s="422">
        <f t="shared" si="1149"/>
        <v>0</v>
      </c>
      <c r="BR331" s="422">
        <f t="shared" si="1149"/>
        <v>0</v>
      </c>
      <c r="BS331" s="422">
        <f t="shared" si="1149"/>
        <v>0</v>
      </c>
      <c r="BT331" s="473">
        <f t="shared" si="1149"/>
        <v>0</v>
      </c>
    </row>
    <row r="332" spans="1:72" s="399" customFormat="1" ht="25.5" customHeight="1" outlineLevel="2">
      <c r="A332" s="287">
        <v>145</v>
      </c>
      <c r="B332" s="933"/>
      <c r="C332" s="859"/>
      <c r="D332" s="854" t="s">
        <v>876</v>
      </c>
      <c r="E332" s="860"/>
      <c r="F332" s="829" t="s">
        <v>23</v>
      </c>
      <c r="G332" s="400">
        <v>2</v>
      </c>
      <c r="H332" s="747" t="s">
        <v>70</v>
      </c>
      <c r="I332" s="747">
        <v>244</v>
      </c>
      <c r="J332" s="748">
        <v>346</v>
      </c>
      <c r="K332" s="538" t="s">
        <v>301</v>
      </c>
      <c r="L332" s="1031">
        <v>0</v>
      </c>
      <c r="M332" s="403"/>
      <c r="N332" s="403"/>
      <c r="O332" s="1063">
        <f t="shared" si="944"/>
        <v>0</v>
      </c>
      <c r="P332" s="565"/>
      <c r="Q332" s="406"/>
      <c r="R332" s="565"/>
      <c r="S332" s="406"/>
      <c r="T332" s="565"/>
      <c r="U332" s="428"/>
      <c r="V332" s="405"/>
      <c r="W332" s="405"/>
      <c r="X332" s="405"/>
      <c r="Z332" s="406">
        <f t="shared" si="1128"/>
        <v>0</v>
      </c>
      <c r="AA332" s="407">
        <f t="shared" si="1129"/>
        <v>0</v>
      </c>
      <c r="AB332" s="408">
        <f t="shared" si="1130"/>
        <v>0</v>
      </c>
      <c r="AC332" s="406">
        <f t="shared" si="1131"/>
        <v>0</v>
      </c>
      <c r="AD332" s="407">
        <f t="shared" si="1132"/>
        <v>0</v>
      </c>
      <c r="AE332" s="408">
        <f t="shared" si="1133"/>
        <v>0</v>
      </c>
      <c r="AF332" s="406">
        <f t="shared" si="1134"/>
        <v>0</v>
      </c>
      <c r="AG332" s="407">
        <f t="shared" si="1135"/>
        <v>0</v>
      </c>
      <c r="AH332" s="408">
        <f t="shared" si="1136"/>
        <v>0</v>
      </c>
      <c r="AI332" s="406">
        <f t="shared" si="1137"/>
        <v>0</v>
      </c>
      <c r="AJ332" s="407">
        <f t="shared" si="1138"/>
        <v>0</v>
      </c>
      <c r="AK332" s="408">
        <f t="shared" si="1139"/>
        <v>0</v>
      </c>
      <c r="AL332" s="409"/>
      <c r="AM332" s="406">
        <f t="shared" si="1140"/>
        <v>0</v>
      </c>
      <c r="AN332" s="410">
        <f t="shared" si="1141"/>
        <v>0</v>
      </c>
      <c r="AO332" s="411">
        <f t="shared" si="1142"/>
        <v>0</v>
      </c>
      <c r="AP332" s="406">
        <f t="shared" si="1143"/>
        <v>0</v>
      </c>
      <c r="AQ332" s="410">
        <f t="shared" si="1144"/>
        <v>0</v>
      </c>
      <c r="AR332" s="411">
        <f t="shared" si="1145"/>
        <v>0</v>
      </c>
      <c r="AS332" s="412">
        <f t="shared" si="1146"/>
        <v>0</v>
      </c>
      <c r="AT332" s="410">
        <f t="shared" si="1147"/>
        <v>0</v>
      </c>
      <c r="AU332" s="411">
        <f t="shared" si="1148"/>
        <v>0</v>
      </c>
      <c r="AV332" s="1262">
        <f t="shared" si="970"/>
        <v>0</v>
      </c>
      <c r="AW332" s="413"/>
      <c r="AX332" s="1098"/>
      <c r="AY332" s="415"/>
      <c r="AZ332" s="1098"/>
      <c r="BA332" s="415"/>
      <c r="BB332" s="1120"/>
      <c r="BC332" s="417"/>
      <c r="BD332" s="418"/>
      <c r="BE332" s="419"/>
      <c r="BF332" s="418"/>
      <c r="BG332" s="419"/>
      <c r="BH332" s="420"/>
      <c r="BI332" s="421"/>
      <c r="BJ332" s="422"/>
      <c r="BK332" s="407"/>
      <c r="BL332" s="422"/>
      <c r="BM332" s="407"/>
      <c r="BN332" s="423"/>
      <c r="BO332" s="424"/>
      <c r="BP332" s="425"/>
      <c r="BQ332" s="426"/>
      <c r="BR332" s="425"/>
      <c r="BS332" s="426"/>
      <c r="BT332" s="427"/>
    </row>
    <row r="333" spans="1:72" s="430" customFormat="1" ht="25.5" customHeight="1" outlineLevel="2">
      <c r="A333" s="287">
        <v>146</v>
      </c>
      <c r="B333" s="933"/>
      <c r="C333" s="743"/>
      <c r="D333" s="854" t="s">
        <v>876</v>
      </c>
      <c r="E333" s="857"/>
      <c r="F333" s="827" t="s">
        <v>23</v>
      </c>
      <c r="G333" s="431">
        <v>2</v>
      </c>
      <c r="H333" s="474" t="s">
        <v>70</v>
      </c>
      <c r="I333" s="743">
        <v>244</v>
      </c>
      <c r="J333" s="744">
        <v>346</v>
      </c>
      <c r="K333" s="536" t="s">
        <v>284</v>
      </c>
      <c r="L333" s="1030">
        <v>0</v>
      </c>
      <c r="M333" s="434"/>
      <c r="N333" s="434"/>
      <c r="O333" s="1064">
        <f t="shared" si="944"/>
        <v>0</v>
      </c>
      <c r="P333" s="563"/>
      <c r="Q333" s="437"/>
      <c r="R333" s="563"/>
      <c r="S333" s="437"/>
      <c r="T333" s="563"/>
      <c r="U333" s="467"/>
      <c r="V333" s="436"/>
      <c r="W333" s="436"/>
      <c r="X333" s="436"/>
      <c r="Z333" s="437">
        <f t="shared" si="1128"/>
        <v>0</v>
      </c>
      <c r="AA333" s="438">
        <f t="shared" si="1129"/>
        <v>0</v>
      </c>
      <c r="AB333" s="439">
        <f t="shared" si="1130"/>
        <v>0</v>
      </c>
      <c r="AC333" s="437">
        <f t="shared" si="1131"/>
        <v>0</v>
      </c>
      <c r="AD333" s="438">
        <f t="shared" si="1132"/>
        <v>0</v>
      </c>
      <c r="AE333" s="439">
        <f t="shared" si="1133"/>
        <v>0</v>
      </c>
      <c r="AF333" s="437">
        <f t="shared" si="1134"/>
        <v>0</v>
      </c>
      <c r="AG333" s="438">
        <f t="shared" si="1135"/>
        <v>0</v>
      </c>
      <c r="AH333" s="439">
        <f t="shared" si="1136"/>
        <v>0</v>
      </c>
      <c r="AI333" s="437">
        <f t="shared" si="1137"/>
        <v>0</v>
      </c>
      <c r="AJ333" s="438">
        <f t="shared" si="1138"/>
        <v>0</v>
      </c>
      <c r="AK333" s="439">
        <f t="shared" si="1139"/>
        <v>0</v>
      </c>
      <c r="AL333" s="440"/>
      <c r="AM333" s="437">
        <f t="shared" si="1140"/>
        <v>0</v>
      </c>
      <c r="AN333" s="441">
        <f t="shared" si="1141"/>
        <v>0</v>
      </c>
      <c r="AO333" s="442">
        <f t="shared" si="1142"/>
        <v>0</v>
      </c>
      <c r="AP333" s="437">
        <f t="shared" si="1143"/>
        <v>0</v>
      </c>
      <c r="AQ333" s="441">
        <f t="shared" si="1144"/>
        <v>0</v>
      </c>
      <c r="AR333" s="442">
        <f t="shared" si="1145"/>
        <v>0</v>
      </c>
      <c r="AS333" s="443">
        <f t="shared" si="1146"/>
        <v>0</v>
      </c>
      <c r="AT333" s="441">
        <f t="shared" si="1147"/>
        <v>0</v>
      </c>
      <c r="AU333" s="442">
        <f t="shared" si="1148"/>
        <v>0</v>
      </c>
      <c r="AV333" s="440">
        <f t="shared" si="970"/>
        <v>0</v>
      </c>
      <c r="AW333" s="444"/>
      <c r="AX333" s="1111"/>
      <c r="AY333" s="446"/>
      <c r="AZ333" s="1111"/>
      <c r="BA333" s="446"/>
      <c r="BB333" s="1129"/>
      <c r="BC333" s="448"/>
      <c r="BD333" s="449"/>
      <c r="BE333" s="450"/>
      <c r="BF333" s="449"/>
      <c r="BG333" s="450"/>
      <c r="BH333" s="451"/>
      <c r="BI333" s="452"/>
      <c r="BJ333" s="453"/>
      <c r="BK333" s="438"/>
      <c r="BL333" s="453"/>
      <c r="BM333" s="438"/>
      <c r="BN333" s="454"/>
      <c r="BO333" s="455"/>
      <c r="BP333" s="456"/>
      <c r="BQ333" s="457"/>
      <c r="BR333" s="456"/>
      <c r="BS333" s="457"/>
      <c r="BT333" s="458"/>
    </row>
    <row r="334" spans="1:72" s="358" customFormat="1" ht="31.5" customHeight="1">
      <c r="A334" s="287">
        <v>254</v>
      </c>
      <c r="B334" s="933"/>
      <c r="C334" s="850" t="s">
        <v>377</v>
      </c>
      <c r="D334" s="838"/>
      <c r="E334" s="836" t="s">
        <v>201</v>
      </c>
      <c r="F334" s="820" t="s">
        <v>23</v>
      </c>
      <c r="G334" s="360">
        <v>2</v>
      </c>
      <c r="H334" s="360" t="s">
        <v>71</v>
      </c>
      <c r="I334" s="360">
        <v>244</v>
      </c>
      <c r="J334" s="361">
        <v>346</v>
      </c>
      <c r="K334" s="532" t="s">
        <v>379</v>
      </c>
      <c r="L334" s="1023">
        <f>SUM(L335:L338)</f>
        <v>86176.639999999999</v>
      </c>
      <c r="M334" s="363"/>
      <c r="N334" s="363"/>
      <c r="O334" s="1051">
        <f t="shared" si="944"/>
        <v>86176.639999999999</v>
      </c>
      <c r="P334" s="571"/>
      <c r="Q334" s="367">
        <f>SUM(Q335:Q338)</f>
        <v>76176.639999999999</v>
      </c>
      <c r="R334" s="557"/>
      <c r="S334" s="367">
        <f>SUM(S335:S338)</f>
        <v>76176.639999999999</v>
      </c>
      <c r="T334" s="557"/>
      <c r="U334" s="365"/>
      <c r="V334" s="366"/>
      <c r="W334" s="366"/>
      <c r="X334" s="366"/>
      <c r="Z334" s="367">
        <f t="shared" ref="Z334:AA380" si="1150">AW334+AY334+BA334</f>
        <v>52771.65</v>
      </c>
      <c r="AA334" s="363">
        <f t="shared" si="1150"/>
        <v>6575</v>
      </c>
      <c r="AB334" s="280">
        <f t="shared" si="946"/>
        <v>46196.65</v>
      </c>
      <c r="AC334" s="367">
        <f t="shared" ref="AC334:AD380" si="1151">BC334+BE334+BG334</f>
        <v>0</v>
      </c>
      <c r="AD334" s="363">
        <f t="shared" si="1151"/>
        <v>0</v>
      </c>
      <c r="AE334" s="280">
        <f t="shared" si="948"/>
        <v>0</v>
      </c>
      <c r="AF334" s="367">
        <f t="shared" ref="AF334:AG380" si="1152">BI334+BK334+BM334</f>
        <v>0</v>
      </c>
      <c r="AG334" s="363">
        <f t="shared" si="1152"/>
        <v>0</v>
      </c>
      <c r="AH334" s="280">
        <f t="shared" si="950"/>
        <v>0</v>
      </c>
      <c r="AI334" s="367">
        <f t="shared" ref="AI334:AJ380" si="1153">BO334+BQ334+BS334</f>
        <v>33404.99</v>
      </c>
      <c r="AJ334" s="363">
        <f t="shared" si="1153"/>
        <v>0</v>
      </c>
      <c r="AK334" s="280">
        <f t="shared" si="952"/>
        <v>33404.99</v>
      </c>
      <c r="AL334" s="368"/>
      <c r="AM334" s="367">
        <f t="shared" ref="AM334:AN385" si="1154">Z334+AC334</f>
        <v>52771.65</v>
      </c>
      <c r="AN334" s="363">
        <f t="shared" si="1154"/>
        <v>6575</v>
      </c>
      <c r="AO334" s="280">
        <f t="shared" si="954"/>
        <v>46196.65</v>
      </c>
      <c r="AP334" s="367">
        <f t="shared" ref="AP334:AQ385" si="1155">Z334+AC334+AF334</f>
        <v>52771.65</v>
      </c>
      <c r="AQ334" s="363">
        <f t="shared" si="1155"/>
        <v>6575</v>
      </c>
      <c r="AR334" s="280">
        <f t="shared" si="940"/>
        <v>46196.65</v>
      </c>
      <c r="AS334" s="367">
        <f t="shared" ref="AS334:AT380" si="1156">Z334+AC334+AF334+AI334</f>
        <v>86176.639999999999</v>
      </c>
      <c r="AT334" s="363">
        <f t="shared" si="1156"/>
        <v>6575</v>
      </c>
      <c r="AU334" s="280">
        <f t="shared" si="942"/>
        <v>79601.64</v>
      </c>
      <c r="AV334" s="1253">
        <f t="shared" si="970"/>
        <v>0</v>
      </c>
      <c r="AW334" s="367">
        <f t="shared" ref="AW334:BT334" si="1157">SUM(AW335:AW338)</f>
        <v>0</v>
      </c>
      <c r="AX334" s="363">
        <f t="shared" si="1157"/>
        <v>0</v>
      </c>
      <c r="AY334" s="363">
        <f t="shared" si="1157"/>
        <v>5775</v>
      </c>
      <c r="AZ334" s="363">
        <f t="shared" si="1157"/>
        <v>5775</v>
      </c>
      <c r="BA334" s="363">
        <f t="shared" si="1157"/>
        <v>46996.65</v>
      </c>
      <c r="BB334" s="369">
        <f t="shared" si="1157"/>
        <v>800</v>
      </c>
      <c r="BC334" s="367">
        <f t="shared" si="1157"/>
        <v>0</v>
      </c>
      <c r="BD334" s="363">
        <f t="shared" si="1157"/>
        <v>0</v>
      </c>
      <c r="BE334" s="363">
        <f t="shared" si="1157"/>
        <v>0</v>
      </c>
      <c r="BF334" s="363">
        <f t="shared" si="1157"/>
        <v>0</v>
      </c>
      <c r="BG334" s="363">
        <f t="shared" si="1157"/>
        <v>0</v>
      </c>
      <c r="BH334" s="369">
        <f t="shared" si="1157"/>
        <v>0</v>
      </c>
      <c r="BI334" s="367">
        <f t="shared" si="1157"/>
        <v>0</v>
      </c>
      <c r="BJ334" s="363">
        <f t="shared" si="1157"/>
        <v>0</v>
      </c>
      <c r="BK334" s="363">
        <f t="shared" si="1157"/>
        <v>0</v>
      </c>
      <c r="BL334" s="363">
        <f t="shared" si="1157"/>
        <v>0</v>
      </c>
      <c r="BM334" s="363">
        <f t="shared" si="1157"/>
        <v>0</v>
      </c>
      <c r="BN334" s="369">
        <f t="shared" si="1157"/>
        <v>0</v>
      </c>
      <c r="BO334" s="367">
        <f t="shared" si="1157"/>
        <v>29979.99</v>
      </c>
      <c r="BP334" s="363">
        <f t="shared" si="1157"/>
        <v>0</v>
      </c>
      <c r="BQ334" s="363">
        <f t="shared" si="1157"/>
        <v>3425</v>
      </c>
      <c r="BR334" s="363">
        <f t="shared" si="1157"/>
        <v>0</v>
      </c>
      <c r="BS334" s="363">
        <f t="shared" si="1157"/>
        <v>0</v>
      </c>
      <c r="BT334" s="280">
        <f t="shared" si="1157"/>
        <v>0</v>
      </c>
    </row>
    <row r="335" spans="1:72" s="313" customFormat="1" ht="25.5" outlineLevel="2">
      <c r="A335" s="287">
        <v>255</v>
      </c>
      <c r="B335" s="933"/>
      <c r="C335" s="840"/>
      <c r="D335" s="841"/>
      <c r="E335" s="839"/>
      <c r="F335" s="821" t="s">
        <v>23</v>
      </c>
      <c r="G335" s="314">
        <v>2</v>
      </c>
      <c r="H335" s="739" t="s">
        <v>71</v>
      </c>
      <c r="I335" s="739">
        <v>244</v>
      </c>
      <c r="J335" s="740">
        <v>346</v>
      </c>
      <c r="K335" s="533" t="s">
        <v>308</v>
      </c>
      <c r="L335" s="1025">
        <v>7359.99</v>
      </c>
      <c r="M335" s="318"/>
      <c r="N335" s="318"/>
      <c r="O335" s="1052">
        <f t="shared" si="944"/>
        <v>7359.99</v>
      </c>
      <c r="P335" s="570"/>
      <c r="Q335" s="336">
        <v>7359.99</v>
      </c>
      <c r="R335" s="559"/>
      <c r="S335" s="541">
        <v>7359.99</v>
      </c>
      <c r="T335" s="559"/>
      <c r="U335" s="335"/>
      <c r="V335" s="320"/>
      <c r="W335" s="320"/>
      <c r="X335" s="320"/>
      <c r="Z335" s="336">
        <f t="shared" si="1150"/>
        <v>4906.66</v>
      </c>
      <c r="AA335" s="337">
        <f t="shared" si="1150"/>
        <v>0</v>
      </c>
      <c r="AB335" s="338">
        <f t="shared" si="946"/>
        <v>4906.66</v>
      </c>
      <c r="AC335" s="336">
        <f t="shared" si="1151"/>
        <v>0</v>
      </c>
      <c r="AD335" s="337">
        <f t="shared" si="1151"/>
        <v>0</v>
      </c>
      <c r="AE335" s="338">
        <f t="shared" si="948"/>
        <v>0</v>
      </c>
      <c r="AF335" s="336">
        <f t="shared" si="1152"/>
        <v>0</v>
      </c>
      <c r="AG335" s="337">
        <f t="shared" si="1152"/>
        <v>0</v>
      </c>
      <c r="AH335" s="338">
        <f t="shared" si="950"/>
        <v>0</v>
      </c>
      <c r="AI335" s="336">
        <f t="shared" si="1153"/>
        <v>2453.33</v>
      </c>
      <c r="AJ335" s="337">
        <f t="shared" si="1153"/>
        <v>0</v>
      </c>
      <c r="AK335" s="338">
        <f t="shared" si="952"/>
        <v>2453.33</v>
      </c>
      <c r="AL335" s="342"/>
      <c r="AM335" s="336">
        <f t="shared" si="1154"/>
        <v>4906.66</v>
      </c>
      <c r="AN335" s="339">
        <f t="shared" si="1154"/>
        <v>0</v>
      </c>
      <c r="AO335" s="340">
        <f t="shared" si="954"/>
        <v>4906.66</v>
      </c>
      <c r="AP335" s="336">
        <f t="shared" si="1155"/>
        <v>4906.66</v>
      </c>
      <c r="AQ335" s="339">
        <f t="shared" si="1155"/>
        <v>0</v>
      </c>
      <c r="AR335" s="340">
        <f t="shared" si="940"/>
        <v>4906.66</v>
      </c>
      <c r="AS335" s="341">
        <f t="shared" si="1156"/>
        <v>7359.99</v>
      </c>
      <c r="AT335" s="339">
        <f t="shared" si="1156"/>
        <v>0</v>
      </c>
      <c r="AU335" s="340">
        <f t="shared" si="942"/>
        <v>7359.99</v>
      </c>
      <c r="AV335" s="1255">
        <f t="shared" si="970"/>
        <v>0</v>
      </c>
      <c r="AW335" s="343"/>
      <c r="AX335" s="344"/>
      <c r="AY335" s="345"/>
      <c r="AZ335" s="344"/>
      <c r="BA335" s="345">
        <f>2453.33*2</f>
        <v>4906.66</v>
      </c>
      <c r="BB335" s="346"/>
      <c r="BC335" s="347"/>
      <c r="BD335" s="348"/>
      <c r="BE335" s="349"/>
      <c r="BF335" s="348"/>
      <c r="BG335" s="349"/>
      <c r="BH335" s="350"/>
      <c r="BI335" s="351"/>
      <c r="BJ335" s="352"/>
      <c r="BK335" s="337"/>
      <c r="BL335" s="352"/>
      <c r="BM335" s="337"/>
      <c r="BN335" s="353"/>
      <c r="BO335" s="354">
        <v>2453.33</v>
      </c>
      <c r="BP335" s="355"/>
      <c r="BQ335" s="356"/>
      <c r="BR335" s="355"/>
      <c r="BS335" s="356"/>
      <c r="BT335" s="357"/>
    </row>
    <row r="336" spans="1:72" s="313" customFormat="1" ht="25.5" outlineLevel="2">
      <c r="A336" s="287">
        <v>256</v>
      </c>
      <c r="B336" s="933"/>
      <c r="C336" s="840"/>
      <c r="D336" s="841"/>
      <c r="E336" s="839"/>
      <c r="F336" s="821" t="s">
        <v>23</v>
      </c>
      <c r="G336" s="314">
        <v>2</v>
      </c>
      <c r="H336" s="739" t="s">
        <v>71</v>
      </c>
      <c r="I336" s="739">
        <v>244</v>
      </c>
      <c r="J336" s="740">
        <v>346</v>
      </c>
      <c r="K336" s="533" t="s">
        <v>309</v>
      </c>
      <c r="L336" s="1025">
        <v>27000</v>
      </c>
      <c r="M336" s="318"/>
      <c r="N336" s="318"/>
      <c r="O336" s="1052">
        <f t="shared" si="944"/>
        <v>27000</v>
      </c>
      <c r="P336" s="570"/>
      <c r="Q336" s="336">
        <v>27000</v>
      </c>
      <c r="R336" s="559"/>
      <c r="S336" s="541">
        <v>27000</v>
      </c>
      <c r="T336" s="559"/>
      <c r="U336" s="335"/>
      <c r="V336" s="320"/>
      <c r="W336" s="320"/>
      <c r="X336" s="320"/>
      <c r="Z336" s="336">
        <f>AW336+AY336+BA336</f>
        <v>16200</v>
      </c>
      <c r="AA336" s="337">
        <f>AX336+AZ336+BB336</f>
        <v>0</v>
      </c>
      <c r="AB336" s="338">
        <f>Z336-AA336</f>
        <v>16200</v>
      </c>
      <c r="AC336" s="336">
        <f>BC336+BE336+BG336</f>
        <v>0</v>
      </c>
      <c r="AD336" s="337">
        <f>BD336+BF336+BH336</f>
        <v>0</v>
      </c>
      <c r="AE336" s="338">
        <f>AC336-AD336</f>
        <v>0</v>
      </c>
      <c r="AF336" s="336">
        <f>BI336+BK336+BM336</f>
        <v>0</v>
      </c>
      <c r="AG336" s="337">
        <f>BJ336+BL336+BN336</f>
        <v>0</v>
      </c>
      <c r="AH336" s="338">
        <f>AF336-AG336</f>
        <v>0</v>
      </c>
      <c r="AI336" s="336">
        <f>BO336+BQ336+BS336</f>
        <v>10800</v>
      </c>
      <c r="AJ336" s="337">
        <f>BP336+BR336+BT336</f>
        <v>0</v>
      </c>
      <c r="AK336" s="338">
        <f>AI336-AJ336</f>
        <v>10800</v>
      </c>
      <c r="AL336" s="342"/>
      <c r="AM336" s="336">
        <f>Z336+AC336</f>
        <v>16200</v>
      </c>
      <c r="AN336" s="339">
        <f>AA336+AD336</f>
        <v>0</v>
      </c>
      <c r="AO336" s="340">
        <f>AM336-AN336</f>
        <v>16200</v>
      </c>
      <c r="AP336" s="336">
        <f>Z336+AC336+AF336</f>
        <v>16200</v>
      </c>
      <c r="AQ336" s="339">
        <f>AA336+AD336+AG336</f>
        <v>0</v>
      </c>
      <c r="AR336" s="340">
        <f>AP336-AQ336</f>
        <v>16200</v>
      </c>
      <c r="AS336" s="341">
        <f>Z336+AC336+AF336+AI336</f>
        <v>27000</v>
      </c>
      <c r="AT336" s="339">
        <f>AA336+AD336+AG336+AJ336</f>
        <v>0</v>
      </c>
      <c r="AU336" s="340">
        <f>AS336-AT336</f>
        <v>27000</v>
      </c>
      <c r="AV336" s="1255">
        <f t="shared" si="970"/>
        <v>0</v>
      </c>
      <c r="AW336" s="343"/>
      <c r="AX336" s="344"/>
      <c r="AY336" s="345"/>
      <c r="AZ336" s="344"/>
      <c r="BA336" s="345">
        <f>5400*3</f>
        <v>16200</v>
      </c>
      <c r="BB336" s="346"/>
      <c r="BC336" s="347"/>
      <c r="BD336" s="348"/>
      <c r="BE336" s="349"/>
      <c r="BF336" s="348"/>
      <c r="BG336" s="349"/>
      <c r="BH336" s="350"/>
      <c r="BI336" s="351"/>
      <c r="BJ336" s="352"/>
      <c r="BK336" s="337"/>
      <c r="BL336" s="352"/>
      <c r="BM336" s="337"/>
      <c r="BN336" s="353"/>
      <c r="BO336" s="354">
        <f>5400*2</f>
        <v>10800</v>
      </c>
      <c r="BP336" s="355"/>
      <c r="BQ336" s="356"/>
      <c r="BR336" s="355"/>
      <c r="BS336" s="356"/>
      <c r="BT336" s="357"/>
    </row>
    <row r="337" spans="1:72" s="313" customFormat="1" ht="25.5" outlineLevel="2">
      <c r="A337" s="287">
        <v>257</v>
      </c>
      <c r="B337" s="933"/>
      <c r="C337" s="840"/>
      <c r="D337" s="841"/>
      <c r="E337" s="839"/>
      <c r="F337" s="821" t="s">
        <v>23</v>
      </c>
      <c r="G337" s="314">
        <v>2</v>
      </c>
      <c r="H337" s="739" t="s">
        <v>71</v>
      </c>
      <c r="I337" s="739">
        <v>244</v>
      </c>
      <c r="J337" s="740">
        <v>346</v>
      </c>
      <c r="K337" s="533" t="s">
        <v>310</v>
      </c>
      <c r="L337" s="1025">
        <v>41816.65</v>
      </c>
      <c r="M337" s="318"/>
      <c r="N337" s="318"/>
      <c r="O337" s="1052">
        <f t="shared" si="944"/>
        <v>41816.65</v>
      </c>
      <c r="P337" s="570"/>
      <c r="Q337" s="336">
        <v>41816.65</v>
      </c>
      <c r="R337" s="559"/>
      <c r="S337" s="541">
        <v>41816.65</v>
      </c>
      <c r="T337" s="559"/>
      <c r="U337" s="335"/>
      <c r="V337" s="320"/>
      <c r="W337" s="320"/>
      <c r="X337" s="320"/>
      <c r="Z337" s="336">
        <f t="shared" ref="Z337:AA337" si="1158">AW337+AY337+BA337</f>
        <v>25089.99</v>
      </c>
      <c r="AA337" s="337">
        <f t="shared" si="1158"/>
        <v>0</v>
      </c>
      <c r="AB337" s="338">
        <f t="shared" ref="AB337" si="1159">Z337-AA337</f>
        <v>25089.99</v>
      </c>
      <c r="AC337" s="336">
        <f t="shared" ref="AC337:AD337" si="1160">BC337+BE337+BG337</f>
        <v>0</v>
      </c>
      <c r="AD337" s="337">
        <f t="shared" si="1160"/>
        <v>0</v>
      </c>
      <c r="AE337" s="338">
        <f t="shared" ref="AE337" si="1161">AC337-AD337</f>
        <v>0</v>
      </c>
      <c r="AF337" s="336">
        <f t="shared" ref="AF337:AG337" si="1162">BI337+BK337+BM337</f>
        <v>0</v>
      </c>
      <c r="AG337" s="337">
        <f t="shared" si="1162"/>
        <v>0</v>
      </c>
      <c r="AH337" s="338">
        <f t="shared" ref="AH337" si="1163">AF337-AG337</f>
        <v>0</v>
      </c>
      <c r="AI337" s="336">
        <f t="shared" ref="AI337:AJ337" si="1164">BO337+BQ337+BS337</f>
        <v>16726.66</v>
      </c>
      <c r="AJ337" s="337">
        <f t="shared" si="1164"/>
        <v>0</v>
      </c>
      <c r="AK337" s="338">
        <f t="shared" ref="AK337" si="1165">AI337-AJ337</f>
        <v>16726.66</v>
      </c>
      <c r="AL337" s="342"/>
      <c r="AM337" s="336">
        <f t="shared" ref="AM337:AN337" si="1166">Z337+AC337</f>
        <v>25089.99</v>
      </c>
      <c r="AN337" s="339">
        <f t="shared" si="1166"/>
        <v>0</v>
      </c>
      <c r="AO337" s="340">
        <f t="shared" ref="AO337" si="1167">AM337-AN337</f>
        <v>25089.99</v>
      </c>
      <c r="AP337" s="336">
        <f t="shared" ref="AP337:AQ337" si="1168">Z337+AC337+AF337</f>
        <v>25089.99</v>
      </c>
      <c r="AQ337" s="339">
        <f t="shared" si="1168"/>
        <v>0</v>
      </c>
      <c r="AR337" s="340">
        <f t="shared" ref="AR337" si="1169">AP337-AQ337</f>
        <v>25089.99</v>
      </c>
      <c r="AS337" s="341">
        <f t="shared" ref="AS337:AT337" si="1170">Z337+AC337+AF337+AI337</f>
        <v>41816.65</v>
      </c>
      <c r="AT337" s="339">
        <f t="shared" si="1170"/>
        <v>0</v>
      </c>
      <c r="AU337" s="340">
        <f t="shared" ref="AU337" si="1171">AS337-AT337</f>
        <v>41816.65</v>
      </c>
      <c r="AV337" s="1255">
        <f t="shared" si="970"/>
        <v>0</v>
      </c>
      <c r="AW337" s="343"/>
      <c r="AX337" s="344"/>
      <c r="AY337" s="345"/>
      <c r="AZ337" s="344"/>
      <c r="BA337" s="345">
        <f>8363.33*3</f>
        <v>25089.99</v>
      </c>
      <c r="BB337" s="346"/>
      <c r="BC337" s="347"/>
      <c r="BD337" s="348"/>
      <c r="BE337" s="349"/>
      <c r="BF337" s="348"/>
      <c r="BG337" s="349"/>
      <c r="BH337" s="350"/>
      <c r="BI337" s="351"/>
      <c r="BJ337" s="352"/>
      <c r="BK337" s="337"/>
      <c r="BL337" s="352"/>
      <c r="BM337" s="337"/>
      <c r="BN337" s="353"/>
      <c r="BO337" s="354">
        <f>8363.33*2</f>
        <v>16726.66</v>
      </c>
      <c r="BP337" s="355"/>
      <c r="BQ337" s="356"/>
      <c r="BR337" s="355"/>
      <c r="BS337" s="356"/>
      <c r="BT337" s="357"/>
    </row>
    <row r="338" spans="1:72" s="313" customFormat="1" ht="25.5" outlineLevel="1">
      <c r="A338" s="287">
        <v>258</v>
      </c>
      <c r="B338" s="933"/>
      <c r="C338" s="840"/>
      <c r="D338" s="841"/>
      <c r="E338" s="839"/>
      <c r="F338" s="821" t="s">
        <v>23</v>
      </c>
      <c r="G338" s="314">
        <v>2</v>
      </c>
      <c r="H338" s="739" t="s">
        <v>71</v>
      </c>
      <c r="I338" s="739">
        <v>244</v>
      </c>
      <c r="J338" s="740">
        <v>346</v>
      </c>
      <c r="K338" s="317" t="s">
        <v>389</v>
      </c>
      <c r="L338" s="1025">
        <v>10000</v>
      </c>
      <c r="M338" s="318"/>
      <c r="N338" s="318"/>
      <c r="O338" s="1052">
        <f t="shared" si="944"/>
        <v>10000</v>
      </c>
      <c r="P338" s="570"/>
      <c r="Q338" s="336">
        <v>0</v>
      </c>
      <c r="R338" s="559"/>
      <c r="S338" s="541">
        <v>0</v>
      </c>
      <c r="T338" s="559"/>
      <c r="U338" s="335"/>
      <c r="V338" s="596" t="s">
        <v>390</v>
      </c>
      <c r="W338" s="596" t="s">
        <v>445</v>
      </c>
      <c r="X338" s="596" t="s">
        <v>446</v>
      </c>
      <c r="Z338" s="336">
        <f>AW338+AY338+BA338</f>
        <v>6575</v>
      </c>
      <c r="AA338" s="337">
        <f>AX338+AZ338+BB338</f>
        <v>6575</v>
      </c>
      <c r="AB338" s="338">
        <f>Z338-AA338</f>
        <v>0</v>
      </c>
      <c r="AC338" s="336">
        <f>BC338+BE338+BG338</f>
        <v>0</v>
      </c>
      <c r="AD338" s="337">
        <f>BD338+BF338+BH338</f>
        <v>0</v>
      </c>
      <c r="AE338" s="338">
        <f>AC338-AD338</f>
        <v>0</v>
      </c>
      <c r="AF338" s="336">
        <f>BI338+BK338+BM338</f>
        <v>0</v>
      </c>
      <c r="AG338" s="337">
        <f>BJ338+BL338+BN338</f>
        <v>0</v>
      </c>
      <c r="AH338" s="338">
        <f>AF338-AG338</f>
        <v>0</v>
      </c>
      <c r="AI338" s="336">
        <f>BO338+BQ338+BS338</f>
        <v>3425</v>
      </c>
      <c r="AJ338" s="337">
        <f>BP338+BR338+BT338</f>
        <v>0</v>
      </c>
      <c r="AK338" s="338">
        <f>AI338-AJ338</f>
        <v>3425</v>
      </c>
      <c r="AL338" s="342"/>
      <c r="AM338" s="336">
        <f>Z338+AC338</f>
        <v>6575</v>
      </c>
      <c r="AN338" s="339">
        <f>AA338+AD338</f>
        <v>6575</v>
      </c>
      <c r="AO338" s="340">
        <f>AM338-AN338</f>
        <v>0</v>
      </c>
      <c r="AP338" s="336">
        <f>Z338+AC338+AF338</f>
        <v>6575</v>
      </c>
      <c r="AQ338" s="339">
        <f>AA338+AD338+AG338</f>
        <v>6575</v>
      </c>
      <c r="AR338" s="340">
        <f>AP338-AQ338</f>
        <v>0</v>
      </c>
      <c r="AS338" s="341">
        <f>Z338+AC338+AF338+AI338</f>
        <v>10000</v>
      </c>
      <c r="AT338" s="339">
        <f>AA338+AD338+AG338+AJ338</f>
        <v>6575</v>
      </c>
      <c r="AU338" s="340">
        <f>AS338-AT338</f>
        <v>3425</v>
      </c>
      <c r="AV338" s="1255">
        <f t="shared" si="970"/>
        <v>0</v>
      </c>
      <c r="AW338" s="343"/>
      <c r="AX338" s="344"/>
      <c r="AY338" s="1133">
        <v>5775</v>
      </c>
      <c r="AZ338" s="1152">
        <v>5775</v>
      </c>
      <c r="BA338" s="1133">
        <v>800</v>
      </c>
      <c r="BB338" s="1153">
        <v>800</v>
      </c>
      <c r="BC338" s="347"/>
      <c r="BD338" s="348"/>
      <c r="BE338" s="349"/>
      <c r="BF338" s="348"/>
      <c r="BG338" s="349"/>
      <c r="BH338" s="350"/>
      <c r="BI338" s="351"/>
      <c r="BJ338" s="352"/>
      <c r="BK338" s="337"/>
      <c r="BL338" s="352"/>
      <c r="BM338" s="337"/>
      <c r="BN338" s="353"/>
      <c r="BO338" s="354"/>
      <c r="BP338" s="355"/>
      <c r="BQ338" s="356">
        <f>5000-1575</f>
        <v>3425</v>
      </c>
      <c r="BR338" s="355"/>
      <c r="BS338" s="356"/>
      <c r="BT338" s="357"/>
    </row>
    <row r="339" spans="1:72" s="358" customFormat="1" ht="31.5">
      <c r="A339" s="287">
        <v>259</v>
      </c>
      <c r="B339" s="936"/>
      <c r="C339" s="850" t="s">
        <v>377</v>
      </c>
      <c r="D339" s="838"/>
      <c r="E339" s="836" t="s">
        <v>201</v>
      </c>
      <c r="F339" s="820" t="s">
        <v>23</v>
      </c>
      <c r="G339" s="360">
        <v>2</v>
      </c>
      <c r="H339" s="360" t="s">
        <v>71</v>
      </c>
      <c r="I339" s="360">
        <v>244</v>
      </c>
      <c r="J339" s="361">
        <v>346</v>
      </c>
      <c r="K339" s="532" t="s">
        <v>304</v>
      </c>
      <c r="L339" s="1023">
        <f>SUM(L340:L345)</f>
        <v>80457.509999999995</v>
      </c>
      <c r="M339" s="363"/>
      <c r="N339" s="363">
        <f>SUM(N340:N345)</f>
        <v>0</v>
      </c>
      <c r="O339" s="1051">
        <f t="shared" si="944"/>
        <v>80457.509999999995</v>
      </c>
      <c r="P339" s="571"/>
      <c r="Q339" s="367">
        <f>SUM(Q340:Q345)</f>
        <v>146684.4</v>
      </c>
      <c r="R339" s="557"/>
      <c r="S339" s="539">
        <f>SUM(S340:S345)</f>
        <v>145856.06</v>
      </c>
      <c r="T339" s="557"/>
      <c r="U339" s="365"/>
      <c r="V339" s="320"/>
      <c r="W339" s="320"/>
      <c r="X339" s="320"/>
      <c r="Z339" s="367">
        <f t="shared" si="1150"/>
        <v>110</v>
      </c>
      <c r="AA339" s="363">
        <f t="shared" si="1150"/>
        <v>110</v>
      </c>
      <c r="AB339" s="280">
        <f t="shared" si="946"/>
        <v>0</v>
      </c>
      <c r="AC339" s="367">
        <f t="shared" si="1151"/>
        <v>80347.509999999995</v>
      </c>
      <c r="AD339" s="363">
        <f t="shared" si="1151"/>
        <v>0</v>
      </c>
      <c r="AE339" s="280">
        <f t="shared" si="948"/>
        <v>80347.509999999995</v>
      </c>
      <c r="AF339" s="367">
        <f t="shared" si="1152"/>
        <v>0</v>
      </c>
      <c r="AG339" s="363">
        <f t="shared" si="1152"/>
        <v>0</v>
      </c>
      <c r="AH339" s="280">
        <f t="shared" si="950"/>
        <v>0</v>
      </c>
      <c r="AI339" s="367">
        <f t="shared" si="1153"/>
        <v>644</v>
      </c>
      <c r="AJ339" s="363">
        <f t="shared" si="1153"/>
        <v>0</v>
      </c>
      <c r="AK339" s="280">
        <f t="shared" si="952"/>
        <v>644</v>
      </c>
      <c r="AL339" s="368"/>
      <c r="AM339" s="367">
        <f t="shared" si="1154"/>
        <v>80457.509999999995</v>
      </c>
      <c r="AN339" s="363">
        <f t="shared" si="1154"/>
        <v>110</v>
      </c>
      <c r="AO339" s="280">
        <f t="shared" si="954"/>
        <v>80347.509999999995</v>
      </c>
      <c r="AP339" s="367">
        <f t="shared" si="1155"/>
        <v>80457.509999999995</v>
      </c>
      <c r="AQ339" s="363">
        <f t="shared" si="1155"/>
        <v>110</v>
      </c>
      <c r="AR339" s="280">
        <f t="shared" si="940"/>
        <v>80347.509999999995</v>
      </c>
      <c r="AS339" s="367">
        <f t="shared" si="1156"/>
        <v>81101.509999999995</v>
      </c>
      <c r="AT339" s="363">
        <f t="shared" si="1156"/>
        <v>110</v>
      </c>
      <c r="AU339" s="280">
        <f t="shared" si="942"/>
        <v>80991.509999999995</v>
      </c>
      <c r="AV339" s="1253">
        <f t="shared" si="970"/>
        <v>-644</v>
      </c>
      <c r="AW339" s="367">
        <f>SUM(AW340:AW345)</f>
        <v>0</v>
      </c>
      <c r="AX339" s="363">
        <f t="shared" ref="AX339:BS339" si="1172">SUM(AX340:AX345)</f>
        <v>0</v>
      </c>
      <c r="AY339" s="363">
        <f t="shared" si="1172"/>
        <v>0</v>
      </c>
      <c r="AZ339" s="363">
        <f t="shared" si="1172"/>
        <v>0</v>
      </c>
      <c r="BA339" s="363">
        <f t="shared" si="1172"/>
        <v>110</v>
      </c>
      <c r="BB339" s="369">
        <f t="shared" si="1172"/>
        <v>110</v>
      </c>
      <c r="BC339" s="367">
        <f t="shared" si="1172"/>
        <v>0</v>
      </c>
      <c r="BD339" s="363">
        <f t="shared" si="1172"/>
        <v>0</v>
      </c>
      <c r="BE339" s="363">
        <f t="shared" si="1172"/>
        <v>10000</v>
      </c>
      <c r="BF339" s="363">
        <f t="shared" si="1172"/>
        <v>0</v>
      </c>
      <c r="BG339" s="363">
        <f t="shared" si="1172"/>
        <v>70347.509999999995</v>
      </c>
      <c r="BH339" s="369">
        <f t="shared" si="1172"/>
        <v>0</v>
      </c>
      <c r="BI339" s="367">
        <f t="shared" si="1172"/>
        <v>0</v>
      </c>
      <c r="BJ339" s="363">
        <f t="shared" si="1172"/>
        <v>0</v>
      </c>
      <c r="BK339" s="363">
        <f t="shared" si="1172"/>
        <v>0</v>
      </c>
      <c r="BL339" s="363">
        <f t="shared" si="1172"/>
        <v>0</v>
      </c>
      <c r="BM339" s="363">
        <f t="shared" si="1172"/>
        <v>0</v>
      </c>
      <c r="BN339" s="369">
        <f t="shared" si="1172"/>
        <v>0</v>
      </c>
      <c r="BO339" s="367">
        <f t="shared" si="1172"/>
        <v>644</v>
      </c>
      <c r="BP339" s="363">
        <f t="shared" si="1172"/>
        <v>0</v>
      </c>
      <c r="BQ339" s="363">
        <f t="shared" si="1172"/>
        <v>0</v>
      </c>
      <c r="BR339" s="363">
        <f t="shared" si="1172"/>
        <v>0</v>
      </c>
      <c r="BS339" s="363">
        <f t="shared" si="1172"/>
        <v>0</v>
      </c>
      <c r="BT339" s="280"/>
    </row>
    <row r="340" spans="1:72" s="313" customFormat="1" ht="25.5" outlineLevel="1">
      <c r="A340" s="287">
        <v>260</v>
      </c>
      <c r="B340" s="1143" t="s">
        <v>1090</v>
      </c>
      <c r="C340" s="840"/>
      <c r="D340" s="841"/>
      <c r="E340" s="839"/>
      <c r="F340" s="821" t="s">
        <v>23</v>
      </c>
      <c r="G340" s="314">
        <v>2</v>
      </c>
      <c r="H340" s="739" t="s">
        <v>71</v>
      </c>
      <c r="I340" s="739">
        <v>244</v>
      </c>
      <c r="J340" s="740">
        <v>346</v>
      </c>
      <c r="K340" s="1007" t="s">
        <v>304</v>
      </c>
      <c r="L340" s="1045">
        <f>80457.51-SUM(L341:L345)</f>
        <v>57855.75</v>
      </c>
      <c r="M340" s="318"/>
      <c r="N340" s="318">
        <v>-644</v>
      </c>
      <c r="O340" s="1055">
        <f>L340+N340</f>
        <v>57211.75</v>
      </c>
      <c r="P340" s="329"/>
      <c r="Q340" s="319">
        <v>146684.4</v>
      </c>
      <c r="R340" s="329"/>
      <c r="S340" s="319">
        <v>145856.06</v>
      </c>
      <c r="T340" s="329"/>
      <c r="U340" s="335"/>
      <c r="V340" s="320"/>
      <c r="W340" s="320"/>
      <c r="X340" s="320"/>
      <c r="Z340" s="336">
        <f>AW340+AY340+BA340</f>
        <v>0</v>
      </c>
      <c r="AA340" s="337">
        <f>AX340+AZ340+BB340</f>
        <v>0</v>
      </c>
      <c r="AB340" s="338">
        <f t="shared" si="946"/>
        <v>0</v>
      </c>
      <c r="AC340" s="336">
        <f>BC340+BE340+BG340</f>
        <v>57855.75</v>
      </c>
      <c r="AD340" s="337">
        <f>BD340+BF340+BH340</f>
        <v>0</v>
      </c>
      <c r="AE340" s="338">
        <f t="shared" si="948"/>
        <v>57855.75</v>
      </c>
      <c r="AF340" s="336">
        <f>BI340+BK340+BM340</f>
        <v>0</v>
      </c>
      <c r="AG340" s="337">
        <f>BJ340+BL340+BN340</f>
        <v>0</v>
      </c>
      <c r="AH340" s="338">
        <f t="shared" si="950"/>
        <v>0</v>
      </c>
      <c r="AI340" s="336">
        <f>BO340+BQ340+BS340</f>
        <v>0</v>
      </c>
      <c r="AJ340" s="337">
        <f>BP340+BR340+BT340</f>
        <v>0</v>
      </c>
      <c r="AK340" s="338">
        <f t="shared" si="952"/>
        <v>0</v>
      </c>
      <c r="AL340" s="342"/>
      <c r="AM340" s="336">
        <f>Z340+AC340</f>
        <v>57855.75</v>
      </c>
      <c r="AN340" s="339">
        <f>AA340+AD340</f>
        <v>0</v>
      </c>
      <c r="AO340" s="340">
        <f t="shared" si="954"/>
        <v>57855.75</v>
      </c>
      <c r="AP340" s="336">
        <f>Z340+AC340+AF340</f>
        <v>57855.75</v>
      </c>
      <c r="AQ340" s="339">
        <f>AA340+AD340+AG340</f>
        <v>0</v>
      </c>
      <c r="AR340" s="340">
        <f t="shared" si="940"/>
        <v>57855.75</v>
      </c>
      <c r="AS340" s="341">
        <f>Z340+AC340+AF340+AI340</f>
        <v>57855.75</v>
      </c>
      <c r="AT340" s="339">
        <f>AA340+AD340+AG340+AJ340</f>
        <v>0</v>
      </c>
      <c r="AU340" s="340">
        <f t="shared" si="942"/>
        <v>57855.75</v>
      </c>
      <c r="AV340" s="1255">
        <f>L340-AS340</f>
        <v>0</v>
      </c>
      <c r="AW340" s="343"/>
      <c r="AX340" s="344"/>
      <c r="AY340" s="345"/>
      <c r="AZ340" s="344"/>
      <c r="BA340" s="345"/>
      <c r="BB340" s="346"/>
      <c r="BC340" s="347"/>
      <c r="BD340" s="348"/>
      <c r="BE340" s="349"/>
      <c r="BF340" s="348"/>
      <c r="BG340" s="349">
        <f>76449.29-6101.78-12491.76</f>
        <v>57855.75</v>
      </c>
      <c r="BH340" s="350"/>
      <c r="BI340" s="351"/>
      <c r="BJ340" s="352"/>
      <c r="BK340" s="337"/>
      <c r="BL340" s="352"/>
      <c r="BM340" s="337"/>
      <c r="BN340" s="353"/>
      <c r="BO340" s="354"/>
      <c r="BP340" s="355"/>
      <c r="BQ340" s="356"/>
      <c r="BR340" s="355"/>
      <c r="BS340" s="356"/>
      <c r="BT340" s="357"/>
    </row>
    <row r="341" spans="1:72" s="313" customFormat="1" ht="38.25" outlineLevel="1">
      <c r="A341" s="287">
        <v>261</v>
      </c>
      <c r="B341" s="941"/>
      <c r="C341" s="840"/>
      <c r="D341" s="841"/>
      <c r="E341" s="839"/>
      <c r="F341" s="821" t="s">
        <v>23</v>
      </c>
      <c r="G341" s="314">
        <v>2</v>
      </c>
      <c r="H341" s="739" t="s">
        <v>71</v>
      </c>
      <c r="I341" s="739">
        <v>244</v>
      </c>
      <c r="J341" s="740">
        <v>346</v>
      </c>
      <c r="K341" s="533" t="s">
        <v>709</v>
      </c>
      <c r="L341" s="1025">
        <v>110</v>
      </c>
      <c r="M341" s="318"/>
      <c r="N341" s="318"/>
      <c r="O341" s="1052">
        <f>L341+N341</f>
        <v>110</v>
      </c>
      <c r="P341" s="570"/>
      <c r="Q341" s="336">
        <v>0</v>
      </c>
      <c r="R341" s="559"/>
      <c r="S341" s="541">
        <v>0</v>
      </c>
      <c r="T341" s="559"/>
      <c r="U341" s="335"/>
      <c r="V341" s="596" t="s">
        <v>640</v>
      </c>
      <c r="W341" s="596" t="s">
        <v>710</v>
      </c>
      <c r="X341" s="320"/>
      <c r="Z341" s="336">
        <f t="shared" si="1150"/>
        <v>110</v>
      </c>
      <c r="AA341" s="337">
        <f t="shared" si="1150"/>
        <v>110</v>
      </c>
      <c r="AB341" s="338">
        <f t="shared" si="946"/>
        <v>0</v>
      </c>
      <c r="AC341" s="336">
        <f t="shared" si="1151"/>
        <v>0</v>
      </c>
      <c r="AD341" s="337">
        <f t="shared" si="1151"/>
        <v>0</v>
      </c>
      <c r="AE341" s="338">
        <f t="shared" si="948"/>
        <v>0</v>
      </c>
      <c r="AF341" s="336">
        <f t="shared" si="1152"/>
        <v>0</v>
      </c>
      <c r="AG341" s="337">
        <f t="shared" si="1152"/>
        <v>0</v>
      </c>
      <c r="AH341" s="338">
        <f t="shared" si="950"/>
        <v>0</v>
      </c>
      <c r="AI341" s="336">
        <f t="shared" si="1153"/>
        <v>0</v>
      </c>
      <c r="AJ341" s="337">
        <f t="shared" si="1153"/>
        <v>0</v>
      </c>
      <c r="AK341" s="338">
        <f t="shared" si="952"/>
        <v>0</v>
      </c>
      <c r="AL341" s="342"/>
      <c r="AM341" s="336">
        <f t="shared" si="1154"/>
        <v>110</v>
      </c>
      <c r="AN341" s="339">
        <f t="shared" si="1154"/>
        <v>110</v>
      </c>
      <c r="AO341" s="340">
        <f t="shared" si="954"/>
        <v>0</v>
      </c>
      <c r="AP341" s="336">
        <f t="shared" si="1155"/>
        <v>110</v>
      </c>
      <c r="AQ341" s="339">
        <f t="shared" si="1155"/>
        <v>110</v>
      </c>
      <c r="AR341" s="340">
        <f t="shared" si="940"/>
        <v>0</v>
      </c>
      <c r="AS341" s="341">
        <f t="shared" si="1156"/>
        <v>110</v>
      </c>
      <c r="AT341" s="339">
        <f t="shared" si="1156"/>
        <v>110</v>
      </c>
      <c r="AU341" s="340">
        <f t="shared" si="942"/>
        <v>0</v>
      </c>
      <c r="AV341" s="1255">
        <f>L341-AS341</f>
        <v>0</v>
      </c>
      <c r="AW341" s="343"/>
      <c r="AX341" s="344"/>
      <c r="AY341" s="345"/>
      <c r="AZ341" s="344"/>
      <c r="BA341" s="1133">
        <v>110</v>
      </c>
      <c r="BB341" s="1153">
        <v>110</v>
      </c>
      <c r="BC341" s="347"/>
      <c r="BD341" s="348"/>
      <c r="BE341" s="349"/>
      <c r="BF341" s="348"/>
      <c r="BG341" s="349"/>
      <c r="BH341" s="350"/>
      <c r="BI341" s="351"/>
      <c r="BJ341" s="352"/>
      <c r="BK341" s="337"/>
      <c r="BL341" s="352"/>
      <c r="BM341" s="337"/>
      <c r="BN341" s="353"/>
      <c r="BO341" s="354"/>
      <c r="BP341" s="355"/>
      <c r="BQ341" s="356"/>
      <c r="BR341" s="355"/>
      <c r="BS341" s="356"/>
      <c r="BT341" s="357"/>
    </row>
    <row r="342" spans="1:72" s="313" customFormat="1" ht="25.5">
      <c r="A342" s="287">
        <v>262</v>
      </c>
      <c r="B342" s="935"/>
      <c r="C342" s="840"/>
      <c r="D342" s="841"/>
      <c r="E342" s="839"/>
      <c r="F342" s="821" t="s">
        <v>23</v>
      </c>
      <c r="G342" s="314">
        <v>2</v>
      </c>
      <c r="H342" s="739" t="s">
        <v>71</v>
      </c>
      <c r="I342" s="739">
        <v>244</v>
      </c>
      <c r="J342" s="740">
        <v>346</v>
      </c>
      <c r="K342" s="533" t="s">
        <v>722</v>
      </c>
      <c r="L342" s="1025">
        <v>10000</v>
      </c>
      <c r="M342" s="318"/>
      <c r="N342" s="318"/>
      <c r="O342" s="1052">
        <f t="shared" ref="O342:O344" si="1173">L342+N342</f>
        <v>10000</v>
      </c>
      <c r="P342" s="570"/>
      <c r="Q342" s="336"/>
      <c r="R342" s="329"/>
      <c r="S342" s="319"/>
      <c r="T342" s="329"/>
      <c r="U342" s="335"/>
      <c r="V342" s="596" t="s">
        <v>723</v>
      </c>
      <c r="W342" s="320" t="s">
        <v>481</v>
      </c>
      <c r="X342" s="320"/>
      <c r="Z342" s="336">
        <f t="shared" si="1150"/>
        <v>0</v>
      </c>
      <c r="AA342" s="337">
        <f t="shared" si="1150"/>
        <v>0</v>
      </c>
      <c r="AB342" s="338">
        <f t="shared" si="946"/>
        <v>0</v>
      </c>
      <c r="AC342" s="336">
        <f t="shared" si="1151"/>
        <v>10000</v>
      </c>
      <c r="AD342" s="337">
        <f t="shared" si="1151"/>
        <v>0</v>
      </c>
      <c r="AE342" s="338">
        <f t="shared" si="948"/>
        <v>10000</v>
      </c>
      <c r="AF342" s="336">
        <f t="shared" si="1152"/>
        <v>0</v>
      </c>
      <c r="AG342" s="337">
        <f t="shared" si="1152"/>
        <v>0</v>
      </c>
      <c r="AH342" s="338">
        <f t="shared" si="950"/>
        <v>0</v>
      </c>
      <c r="AI342" s="336">
        <f t="shared" si="1153"/>
        <v>0</v>
      </c>
      <c r="AJ342" s="337">
        <f t="shared" si="1153"/>
        <v>0</v>
      </c>
      <c r="AK342" s="338">
        <f t="shared" si="952"/>
        <v>0</v>
      </c>
      <c r="AL342" s="342"/>
      <c r="AM342" s="336">
        <f t="shared" si="1154"/>
        <v>10000</v>
      </c>
      <c r="AN342" s="339">
        <f t="shared" si="1154"/>
        <v>0</v>
      </c>
      <c r="AO342" s="340">
        <f t="shared" si="954"/>
        <v>10000</v>
      </c>
      <c r="AP342" s="336">
        <f t="shared" si="1155"/>
        <v>10000</v>
      </c>
      <c r="AQ342" s="339">
        <f t="shared" si="1155"/>
        <v>0</v>
      </c>
      <c r="AR342" s="340">
        <f t="shared" si="940"/>
        <v>10000</v>
      </c>
      <c r="AS342" s="341">
        <f t="shared" si="1156"/>
        <v>10000</v>
      </c>
      <c r="AT342" s="339">
        <f t="shared" si="1156"/>
        <v>0</v>
      </c>
      <c r="AU342" s="340">
        <f t="shared" si="942"/>
        <v>10000</v>
      </c>
      <c r="AV342" s="1255">
        <f t="shared" ref="AV342:AV344" si="1174">L342-AS342</f>
        <v>0</v>
      </c>
      <c r="AW342" s="343"/>
      <c r="AX342" s="344"/>
      <c r="AY342" s="345"/>
      <c r="AZ342" s="344"/>
      <c r="BA342" s="345"/>
      <c r="BB342" s="346"/>
      <c r="BC342" s="347"/>
      <c r="BD342" s="348"/>
      <c r="BE342" s="349">
        <v>10000</v>
      </c>
      <c r="BF342" s="348"/>
      <c r="BG342" s="349"/>
      <c r="BH342" s="350"/>
      <c r="BI342" s="351"/>
      <c r="BJ342" s="352"/>
      <c r="BK342" s="337"/>
      <c r="BL342" s="352"/>
      <c r="BM342" s="337"/>
      <c r="BN342" s="353"/>
      <c r="BO342" s="354"/>
      <c r="BP342" s="355"/>
      <c r="BQ342" s="356"/>
      <c r="BR342" s="355"/>
      <c r="BS342" s="356"/>
      <c r="BT342" s="357"/>
    </row>
    <row r="343" spans="1:72" s="313" customFormat="1" ht="56.25" customHeight="1">
      <c r="A343" s="287">
        <v>263</v>
      </c>
      <c r="B343" s="935"/>
      <c r="C343" s="840"/>
      <c r="D343" s="841"/>
      <c r="E343" s="839"/>
      <c r="F343" s="821" t="s">
        <v>23</v>
      </c>
      <c r="G343" s="314">
        <v>2</v>
      </c>
      <c r="H343" s="739" t="s">
        <v>71</v>
      </c>
      <c r="I343" s="739">
        <v>244</v>
      </c>
      <c r="J343" s="740">
        <v>346</v>
      </c>
      <c r="K343" s="533" t="s">
        <v>848</v>
      </c>
      <c r="L343" s="1025">
        <v>12491.76</v>
      </c>
      <c r="M343" s="318"/>
      <c r="N343" s="318"/>
      <c r="O343" s="1052">
        <f t="shared" si="1173"/>
        <v>12491.76</v>
      </c>
      <c r="P343" s="570"/>
      <c r="Q343" s="336"/>
      <c r="R343" s="329"/>
      <c r="S343" s="319"/>
      <c r="T343" s="329"/>
      <c r="U343" s="335"/>
      <c r="V343" s="596" t="s">
        <v>456</v>
      </c>
      <c r="W343" s="597" t="s">
        <v>1091</v>
      </c>
      <c r="X343" s="597" t="s">
        <v>861</v>
      </c>
      <c r="Z343" s="336">
        <f t="shared" si="1150"/>
        <v>0</v>
      </c>
      <c r="AA343" s="337">
        <f t="shared" si="1150"/>
        <v>0</v>
      </c>
      <c r="AB343" s="338">
        <f t="shared" si="946"/>
        <v>0</v>
      </c>
      <c r="AC343" s="336">
        <f t="shared" si="1151"/>
        <v>12491.76</v>
      </c>
      <c r="AD343" s="337">
        <f t="shared" si="1151"/>
        <v>0</v>
      </c>
      <c r="AE343" s="338">
        <f t="shared" si="948"/>
        <v>12491.76</v>
      </c>
      <c r="AF343" s="336">
        <f t="shared" si="1152"/>
        <v>0</v>
      </c>
      <c r="AG343" s="337">
        <f t="shared" si="1152"/>
        <v>0</v>
      </c>
      <c r="AH343" s="338">
        <f t="shared" si="950"/>
        <v>0</v>
      </c>
      <c r="AI343" s="336">
        <f t="shared" si="1153"/>
        <v>0</v>
      </c>
      <c r="AJ343" s="337">
        <f t="shared" si="1153"/>
        <v>0</v>
      </c>
      <c r="AK343" s="338">
        <f t="shared" si="952"/>
        <v>0</v>
      </c>
      <c r="AL343" s="342"/>
      <c r="AM343" s="336">
        <f t="shared" si="1154"/>
        <v>12491.76</v>
      </c>
      <c r="AN343" s="339">
        <f t="shared" si="1154"/>
        <v>0</v>
      </c>
      <c r="AO343" s="340">
        <f t="shared" si="954"/>
        <v>12491.76</v>
      </c>
      <c r="AP343" s="336">
        <f t="shared" si="1155"/>
        <v>12491.76</v>
      </c>
      <c r="AQ343" s="339">
        <f t="shared" si="1155"/>
        <v>0</v>
      </c>
      <c r="AR343" s="340">
        <f t="shared" si="940"/>
        <v>12491.76</v>
      </c>
      <c r="AS343" s="341">
        <f t="shared" si="1156"/>
        <v>12491.76</v>
      </c>
      <c r="AT343" s="339">
        <f t="shared" si="1156"/>
        <v>0</v>
      </c>
      <c r="AU343" s="340">
        <f t="shared" si="942"/>
        <v>12491.76</v>
      </c>
      <c r="AV343" s="1255">
        <f t="shared" si="1174"/>
        <v>0</v>
      </c>
      <c r="AW343" s="343"/>
      <c r="AX343" s="344"/>
      <c r="AY343" s="345"/>
      <c r="AZ343" s="344"/>
      <c r="BA343" s="345"/>
      <c r="BB343" s="346"/>
      <c r="BC343" s="347"/>
      <c r="BD343" s="348"/>
      <c r="BE343" s="349"/>
      <c r="BF343" s="348"/>
      <c r="BG343" s="1135">
        <v>12491.76</v>
      </c>
      <c r="BH343" s="350"/>
      <c r="BI343" s="351"/>
      <c r="BJ343" s="352"/>
      <c r="BK343" s="337"/>
      <c r="BL343" s="352"/>
      <c r="BM343" s="337"/>
      <c r="BN343" s="353"/>
      <c r="BO343" s="354"/>
      <c r="BP343" s="355"/>
      <c r="BQ343" s="356"/>
      <c r="BR343" s="355"/>
      <c r="BS343" s="356"/>
      <c r="BT343" s="357"/>
    </row>
    <row r="344" spans="1:72" s="313" customFormat="1" ht="25.5" outlineLevel="2">
      <c r="A344" s="1192">
        <v>263.10000000000002</v>
      </c>
      <c r="B344" s="1143" t="s">
        <v>1089</v>
      </c>
      <c r="C344" s="840"/>
      <c r="D344" s="841"/>
      <c r="E344" s="839"/>
      <c r="F344" s="821" t="s">
        <v>23</v>
      </c>
      <c r="G344" s="314">
        <v>2</v>
      </c>
      <c r="H344" s="739" t="s">
        <v>71</v>
      </c>
      <c r="I344" s="739">
        <v>244</v>
      </c>
      <c r="J344" s="740">
        <v>346</v>
      </c>
      <c r="K344" s="533" t="s">
        <v>1088</v>
      </c>
      <c r="L344" s="1025">
        <v>0</v>
      </c>
      <c r="M344" s="318"/>
      <c r="N344" s="318">
        <v>644</v>
      </c>
      <c r="O344" s="1052">
        <f t="shared" si="1173"/>
        <v>644</v>
      </c>
      <c r="P344" s="570"/>
      <c r="Q344" s="336">
        <v>0</v>
      </c>
      <c r="R344" s="559"/>
      <c r="S344" s="541">
        <v>0</v>
      </c>
      <c r="T344" s="559"/>
      <c r="U344" s="335"/>
      <c r="V344" s="596" t="s">
        <v>640</v>
      </c>
      <c r="W344" s="596" t="s">
        <v>1087</v>
      </c>
      <c r="X344" s="388"/>
      <c r="Z344" s="336">
        <f t="shared" si="1150"/>
        <v>0</v>
      </c>
      <c r="AA344" s="337">
        <f t="shared" si="1150"/>
        <v>0</v>
      </c>
      <c r="AB344" s="338">
        <f t="shared" si="946"/>
        <v>0</v>
      </c>
      <c r="AC344" s="336">
        <f t="shared" si="1151"/>
        <v>0</v>
      </c>
      <c r="AD344" s="337">
        <f t="shared" si="1151"/>
        <v>0</v>
      </c>
      <c r="AE344" s="338">
        <f t="shared" si="948"/>
        <v>0</v>
      </c>
      <c r="AF344" s="336">
        <f t="shared" si="1152"/>
        <v>0</v>
      </c>
      <c r="AG344" s="337">
        <f t="shared" si="1152"/>
        <v>0</v>
      </c>
      <c r="AH344" s="338">
        <f t="shared" si="950"/>
        <v>0</v>
      </c>
      <c r="AI344" s="336">
        <f t="shared" si="1153"/>
        <v>644</v>
      </c>
      <c r="AJ344" s="337">
        <f t="shared" si="1153"/>
        <v>0</v>
      </c>
      <c r="AK344" s="338">
        <f t="shared" si="952"/>
        <v>644</v>
      </c>
      <c r="AL344" s="342"/>
      <c r="AM344" s="336">
        <f t="shared" si="1154"/>
        <v>0</v>
      </c>
      <c r="AN344" s="339">
        <f t="shared" si="1154"/>
        <v>0</v>
      </c>
      <c r="AO344" s="340">
        <f t="shared" si="954"/>
        <v>0</v>
      </c>
      <c r="AP344" s="336">
        <f t="shared" si="1155"/>
        <v>0</v>
      </c>
      <c r="AQ344" s="339">
        <f t="shared" si="1155"/>
        <v>0</v>
      </c>
      <c r="AR344" s="340">
        <f t="shared" si="940"/>
        <v>0</v>
      </c>
      <c r="AS344" s="341">
        <f t="shared" si="1156"/>
        <v>644</v>
      </c>
      <c r="AT344" s="339">
        <f t="shared" si="1156"/>
        <v>0</v>
      </c>
      <c r="AU344" s="340">
        <f t="shared" si="942"/>
        <v>644</v>
      </c>
      <c r="AV344" s="1255">
        <f t="shared" si="1174"/>
        <v>-644</v>
      </c>
      <c r="AW344" s="343"/>
      <c r="AX344" s="344"/>
      <c r="AY344" s="345"/>
      <c r="AZ344" s="344"/>
      <c r="BA344" s="345"/>
      <c r="BB344" s="346"/>
      <c r="BC344" s="1134"/>
      <c r="BD344" s="1140"/>
      <c r="BE344" s="349"/>
      <c r="BF344" s="348"/>
      <c r="BG344" s="349"/>
      <c r="BH344" s="350"/>
      <c r="BI344" s="351"/>
      <c r="BJ344" s="352"/>
      <c r="BK344" s="337"/>
      <c r="BL344" s="352"/>
      <c r="BM344" s="337"/>
      <c r="BN344" s="353"/>
      <c r="BO344" s="1138">
        <v>644</v>
      </c>
      <c r="BP344" s="355"/>
      <c r="BQ344" s="356"/>
      <c r="BR344" s="355"/>
      <c r="BS344" s="356"/>
      <c r="BT344" s="357"/>
    </row>
    <row r="345" spans="1:72" s="615" customFormat="1" ht="25.5">
      <c r="A345" s="287">
        <v>264</v>
      </c>
      <c r="B345" s="935"/>
      <c r="C345" s="866"/>
      <c r="D345" s="867"/>
      <c r="E345" s="867"/>
      <c r="F345" s="832" t="s">
        <v>23</v>
      </c>
      <c r="G345" s="616">
        <v>2</v>
      </c>
      <c r="H345" s="749" t="s">
        <v>71</v>
      </c>
      <c r="I345" s="749">
        <v>244</v>
      </c>
      <c r="J345" s="750">
        <v>346</v>
      </c>
      <c r="K345" s="932" t="s">
        <v>214</v>
      </c>
      <c r="L345" s="1046">
        <v>0</v>
      </c>
      <c r="M345" s="619"/>
      <c r="N345" s="619"/>
      <c r="O345" s="1054">
        <f>L345+N345</f>
        <v>0</v>
      </c>
      <c r="P345" s="988"/>
      <c r="Q345" s="656">
        <v>0</v>
      </c>
      <c r="R345" s="988"/>
      <c r="S345" s="656">
        <v>0</v>
      </c>
      <c r="T345" s="988"/>
      <c r="U345" s="621"/>
      <c r="V345" s="388"/>
      <c r="W345" s="388"/>
      <c r="X345" s="388"/>
      <c r="Z345" s="509">
        <f>AW345+AY345+BA345</f>
        <v>0</v>
      </c>
      <c r="AA345" s="622">
        <f>AX345+AZ345+BB345</f>
        <v>0</v>
      </c>
      <c r="AB345" s="623">
        <f>Z345-AA345</f>
        <v>0</v>
      </c>
      <c r="AC345" s="509">
        <f>BC345+BE345+BG345</f>
        <v>0</v>
      </c>
      <c r="AD345" s="622">
        <f>BD345+BF345+BH345</f>
        <v>0</v>
      </c>
      <c r="AE345" s="623">
        <f>AC345-AD345</f>
        <v>0</v>
      </c>
      <c r="AF345" s="509">
        <f>BI345+BK345+BM345</f>
        <v>0</v>
      </c>
      <c r="AG345" s="622">
        <f>BJ345+BL345+BN345</f>
        <v>0</v>
      </c>
      <c r="AH345" s="623">
        <f>AF345-AG345</f>
        <v>0</v>
      </c>
      <c r="AI345" s="509">
        <f>BO345+BQ345+BS345</f>
        <v>0</v>
      </c>
      <c r="AJ345" s="622">
        <f>BP345+BR345+BT345</f>
        <v>0</v>
      </c>
      <c r="AK345" s="623">
        <f>AI345-AJ345</f>
        <v>0</v>
      </c>
      <c r="AL345" s="624"/>
      <c r="AM345" s="509">
        <f>Z345+AC345</f>
        <v>0</v>
      </c>
      <c r="AN345" s="625">
        <f>AA345+AD345</f>
        <v>0</v>
      </c>
      <c r="AO345" s="626">
        <f>AM345-AN345</f>
        <v>0</v>
      </c>
      <c r="AP345" s="509">
        <f>Z345+AC345+AF345</f>
        <v>0</v>
      </c>
      <c r="AQ345" s="625">
        <f>AA345+AD345+AG345</f>
        <v>0</v>
      </c>
      <c r="AR345" s="626">
        <f>AP345-AQ345</f>
        <v>0</v>
      </c>
      <c r="AS345" s="510">
        <f>Z345+AC345+AF345+AI345</f>
        <v>0</v>
      </c>
      <c r="AT345" s="625">
        <f>AA345+AD345+AG345+AJ345</f>
        <v>0</v>
      </c>
      <c r="AU345" s="626">
        <f>AS345-AT345</f>
        <v>0</v>
      </c>
      <c r="AV345" s="440">
        <f>L345-AS345</f>
        <v>0</v>
      </c>
      <c r="AW345" s="628"/>
      <c r="AX345" s="629"/>
      <c r="AY345" s="630"/>
      <c r="AZ345" s="629"/>
      <c r="BA345" s="630"/>
      <c r="BB345" s="631"/>
      <c r="BC345" s="632"/>
      <c r="BD345" s="633"/>
      <c r="BE345" s="634"/>
      <c r="BF345" s="633"/>
      <c r="BG345" s="634"/>
      <c r="BH345" s="635"/>
      <c r="BI345" s="636"/>
      <c r="BJ345" s="637"/>
      <c r="BK345" s="622"/>
      <c r="BL345" s="637"/>
      <c r="BM345" s="622"/>
      <c r="BN345" s="638"/>
      <c r="BO345" s="639"/>
      <c r="BP345" s="640"/>
      <c r="BQ345" s="641"/>
      <c r="BR345" s="640"/>
      <c r="BS345" s="641"/>
      <c r="BT345" s="642"/>
    </row>
    <row r="346" spans="1:72" s="358" customFormat="1" ht="89.25">
      <c r="A346" s="287">
        <v>265</v>
      </c>
      <c r="B346" s="941" t="s">
        <v>1092</v>
      </c>
      <c r="C346" s="850" t="s">
        <v>377</v>
      </c>
      <c r="D346" s="838"/>
      <c r="E346" s="836" t="s">
        <v>201</v>
      </c>
      <c r="F346" s="820" t="s">
        <v>23</v>
      </c>
      <c r="G346" s="360">
        <v>2</v>
      </c>
      <c r="H346" s="360" t="s">
        <v>71</v>
      </c>
      <c r="I346" s="360">
        <v>244</v>
      </c>
      <c r="J346" s="361">
        <v>346</v>
      </c>
      <c r="K346" s="532" t="s">
        <v>305</v>
      </c>
      <c r="L346" s="1023">
        <f>SUM(L347:L352)</f>
        <v>100867.29</v>
      </c>
      <c r="M346" s="1292">
        <v>20000</v>
      </c>
      <c r="N346" s="363">
        <f>SUM(N347:N352)</f>
        <v>0</v>
      </c>
      <c r="O346" s="1051">
        <f>L346+N346</f>
        <v>100867.29</v>
      </c>
      <c r="P346" s="571"/>
      <c r="Q346" s="367">
        <f t="shared" ref="Q346:S346" si="1175">SUM(Q347:Q352)</f>
        <v>80038.95</v>
      </c>
      <c r="R346" s="557">
        <f t="shared" si="1175"/>
        <v>0</v>
      </c>
      <c r="S346" s="539">
        <f t="shared" si="1175"/>
        <v>80867.289999999994</v>
      </c>
      <c r="T346" s="557"/>
      <c r="U346" s="365"/>
      <c r="V346" s="320"/>
      <c r="W346" s="320"/>
      <c r="X346" s="320"/>
      <c r="Z346" s="367">
        <f t="shared" si="1150"/>
        <v>13080</v>
      </c>
      <c r="AA346" s="363">
        <f t="shared" si="1150"/>
        <v>13080</v>
      </c>
      <c r="AB346" s="280">
        <f t="shared" si="946"/>
        <v>0</v>
      </c>
      <c r="AC346" s="367">
        <f t="shared" si="1151"/>
        <v>54207.29</v>
      </c>
      <c r="AD346" s="363">
        <f t="shared" si="1151"/>
        <v>4965</v>
      </c>
      <c r="AE346" s="280">
        <f t="shared" si="948"/>
        <v>49242.29</v>
      </c>
      <c r="AF346" s="367">
        <f t="shared" si="1152"/>
        <v>16790</v>
      </c>
      <c r="AG346" s="363">
        <f t="shared" si="1152"/>
        <v>0</v>
      </c>
      <c r="AH346" s="280">
        <f t="shared" si="950"/>
        <v>16790</v>
      </c>
      <c r="AI346" s="367">
        <f t="shared" si="1153"/>
        <v>16790</v>
      </c>
      <c r="AJ346" s="363">
        <f t="shared" si="1153"/>
        <v>0</v>
      </c>
      <c r="AK346" s="280">
        <f t="shared" si="952"/>
        <v>16790</v>
      </c>
      <c r="AL346" s="368"/>
      <c r="AM346" s="367">
        <f t="shared" si="1154"/>
        <v>67287.289999999994</v>
      </c>
      <c r="AN346" s="363">
        <f t="shared" si="1154"/>
        <v>18045</v>
      </c>
      <c r="AO346" s="280">
        <f t="shared" si="954"/>
        <v>49242.29</v>
      </c>
      <c r="AP346" s="367">
        <f t="shared" si="1155"/>
        <v>84077.29</v>
      </c>
      <c r="AQ346" s="363">
        <f t="shared" si="1155"/>
        <v>18045</v>
      </c>
      <c r="AR346" s="280">
        <f t="shared" si="940"/>
        <v>66032.289999999994</v>
      </c>
      <c r="AS346" s="367">
        <f t="shared" si="1156"/>
        <v>100867.29</v>
      </c>
      <c r="AT346" s="363">
        <f t="shared" si="1156"/>
        <v>18045</v>
      </c>
      <c r="AU346" s="280">
        <f t="shared" si="942"/>
        <v>82822.289999999994</v>
      </c>
      <c r="AV346" s="1253">
        <f t="shared" si="970"/>
        <v>0</v>
      </c>
      <c r="AW346" s="367">
        <f t="shared" ref="AW346:BS346" si="1176">SUM(AW347:AW352)</f>
        <v>0</v>
      </c>
      <c r="AX346" s="363">
        <f t="shared" si="1176"/>
        <v>0</v>
      </c>
      <c r="AY346" s="363">
        <f t="shared" si="1176"/>
        <v>7860</v>
      </c>
      <c r="AZ346" s="363">
        <f t="shared" si="1176"/>
        <v>7860</v>
      </c>
      <c r="BA346" s="363">
        <f t="shared" si="1176"/>
        <v>5220</v>
      </c>
      <c r="BB346" s="369">
        <f t="shared" si="1176"/>
        <v>5220</v>
      </c>
      <c r="BC346" s="367">
        <f t="shared" si="1176"/>
        <v>16240</v>
      </c>
      <c r="BD346" s="363">
        <f t="shared" si="1176"/>
        <v>4965</v>
      </c>
      <c r="BE346" s="363">
        <f t="shared" si="1176"/>
        <v>8395</v>
      </c>
      <c r="BF346" s="363">
        <f t="shared" si="1176"/>
        <v>0</v>
      </c>
      <c r="BG346" s="363">
        <f t="shared" si="1176"/>
        <v>29572.29</v>
      </c>
      <c r="BH346" s="369">
        <f t="shared" si="1176"/>
        <v>0</v>
      </c>
      <c r="BI346" s="367">
        <f t="shared" si="1176"/>
        <v>0</v>
      </c>
      <c r="BJ346" s="363">
        <f t="shared" si="1176"/>
        <v>0</v>
      </c>
      <c r="BK346" s="363">
        <f t="shared" si="1176"/>
        <v>8395</v>
      </c>
      <c r="BL346" s="363">
        <f t="shared" si="1176"/>
        <v>0</v>
      </c>
      <c r="BM346" s="363">
        <f t="shared" si="1176"/>
        <v>8395</v>
      </c>
      <c r="BN346" s="369">
        <f t="shared" si="1176"/>
        <v>0</v>
      </c>
      <c r="BO346" s="367">
        <f t="shared" si="1176"/>
        <v>8395</v>
      </c>
      <c r="BP346" s="363">
        <f t="shared" si="1176"/>
        <v>0</v>
      </c>
      <c r="BQ346" s="363">
        <f t="shared" si="1176"/>
        <v>8395</v>
      </c>
      <c r="BR346" s="363">
        <f t="shared" si="1176"/>
        <v>0</v>
      </c>
      <c r="BS346" s="363">
        <f t="shared" si="1176"/>
        <v>0</v>
      </c>
      <c r="BT346" s="280"/>
    </row>
    <row r="347" spans="1:72" s="313" customFormat="1" ht="38.25">
      <c r="A347" s="287">
        <v>266</v>
      </c>
      <c r="B347" s="941"/>
      <c r="C347" s="840"/>
      <c r="D347" s="841"/>
      <c r="E347" s="839"/>
      <c r="F347" s="821" t="s">
        <v>23</v>
      </c>
      <c r="G347" s="314">
        <v>2</v>
      </c>
      <c r="H347" s="739" t="s">
        <v>71</v>
      </c>
      <c r="I347" s="739">
        <v>244</v>
      </c>
      <c r="J347" s="740">
        <v>346</v>
      </c>
      <c r="K347" s="1007" t="s">
        <v>305</v>
      </c>
      <c r="L347" s="1045">
        <f>100867.29-SUM(L348:L352)</f>
        <v>29572.29</v>
      </c>
      <c r="M347" s="318"/>
      <c r="N347" s="318"/>
      <c r="O347" s="1055">
        <f>L347+N347</f>
        <v>29572.29</v>
      </c>
      <c r="P347" s="329"/>
      <c r="Q347" s="319">
        <v>80038.95</v>
      </c>
      <c r="R347" s="329"/>
      <c r="S347" s="319">
        <v>80867.289999999994</v>
      </c>
      <c r="T347" s="329"/>
      <c r="U347" s="335"/>
      <c r="V347" s="320"/>
      <c r="W347" s="320"/>
      <c r="X347" s="320"/>
      <c r="Z347" s="336">
        <f>AW347+AY347+BA347</f>
        <v>0</v>
      </c>
      <c r="AA347" s="337">
        <f>AX347+AZ347+BB347</f>
        <v>0</v>
      </c>
      <c r="AB347" s="338">
        <f t="shared" si="946"/>
        <v>0</v>
      </c>
      <c r="AC347" s="336">
        <f>BC347+BE347+BG347</f>
        <v>29572.29</v>
      </c>
      <c r="AD347" s="337">
        <f>BD347+BF347+BH347</f>
        <v>0</v>
      </c>
      <c r="AE347" s="338">
        <f t="shared" si="948"/>
        <v>29572.29</v>
      </c>
      <c r="AF347" s="336">
        <f>BI347+BK347+BM347</f>
        <v>0</v>
      </c>
      <c r="AG347" s="337">
        <f>BJ347+BL347+BN347</f>
        <v>0</v>
      </c>
      <c r="AH347" s="338">
        <f t="shared" si="950"/>
        <v>0</v>
      </c>
      <c r="AI347" s="336">
        <f>BO347+BQ347+BS347</f>
        <v>0</v>
      </c>
      <c r="AJ347" s="337">
        <f>BP347+BR347+BT347</f>
        <v>0</v>
      </c>
      <c r="AK347" s="338">
        <f t="shared" si="952"/>
        <v>0</v>
      </c>
      <c r="AL347" s="342"/>
      <c r="AM347" s="336">
        <f>Z347+AC347</f>
        <v>29572.29</v>
      </c>
      <c r="AN347" s="339">
        <f>AA347+AD347</f>
        <v>0</v>
      </c>
      <c r="AO347" s="340">
        <f t="shared" si="954"/>
        <v>29572.29</v>
      </c>
      <c r="AP347" s="336">
        <f>Z347+AC347+AF347</f>
        <v>29572.29</v>
      </c>
      <c r="AQ347" s="339">
        <f>AA347+AD347+AG347</f>
        <v>0</v>
      </c>
      <c r="AR347" s="340">
        <f t="shared" si="940"/>
        <v>29572.29</v>
      </c>
      <c r="AS347" s="341">
        <f>Z347+AC347+AF347+AI347</f>
        <v>29572.29</v>
      </c>
      <c r="AT347" s="339">
        <f>AA347+AD347+AG347+AJ347</f>
        <v>0</v>
      </c>
      <c r="AU347" s="340">
        <f t="shared" si="942"/>
        <v>29572.29</v>
      </c>
      <c r="AV347" s="1255">
        <f>L347-AS347</f>
        <v>0</v>
      </c>
      <c r="AW347" s="343"/>
      <c r="AX347" s="344"/>
      <c r="AY347" s="345"/>
      <c r="AZ347" s="344"/>
      <c r="BA347" s="345"/>
      <c r="BB347" s="346"/>
      <c r="BC347" s="347"/>
      <c r="BD347" s="348"/>
      <c r="BE347" s="349"/>
      <c r="BF347" s="348"/>
      <c r="BG347" s="349">
        <f>76449.29-46877</f>
        <v>29572.29</v>
      </c>
      <c r="BH347" s="350"/>
      <c r="BI347" s="351"/>
      <c r="BJ347" s="352"/>
      <c r="BK347" s="337"/>
      <c r="BL347" s="352"/>
      <c r="BM347" s="337"/>
      <c r="BN347" s="353"/>
      <c r="BO347" s="354"/>
      <c r="BP347" s="355"/>
      <c r="BQ347" s="356"/>
      <c r="BR347" s="355"/>
      <c r="BS347" s="356"/>
      <c r="BT347" s="357"/>
    </row>
    <row r="348" spans="1:72" s="313" customFormat="1" ht="25.5">
      <c r="A348" s="287">
        <v>267</v>
      </c>
      <c r="B348" s="935"/>
      <c r="C348" s="840"/>
      <c r="D348" s="841"/>
      <c r="E348" s="839"/>
      <c r="F348" s="821" t="s">
        <v>23</v>
      </c>
      <c r="G348" s="314">
        <v>2</v>
      </c>
      <c r="H348" s="739" t="s">
        <v>71</v>
      </c>
      <c r="I348" s="739">
        <v>244</v>
      </c>
      <c r="J348" s="740">
        <v>346</v>
      </c>
      <c r="K348" s="533" t="s">
        <v>464</v>
      </c>
      <c r="L348" s="1025">
        <v>7860</v>
      </c>
      <c r="M348" s="318"/>
      <c r="N348" s="318"/>
      <c r="O348" s="1052">
        <f t="shared" si="944"/>
        <v>7860</v>
      </c>
      <c r="P348" s="570"/>
      <c r="Q348" s="336"/>
      <c r="R348" s="329"/>
      <c r="S348" s="319"/>
      <c r="T348" s="329"/>
      <c r="U348" s="335"/>
      <c r="V348" s="596" t="s">
        <v>463</v>
      </c>
      <c r="W348" s="596" t="s">
        <v>466</v>
      </c>
      <c r="X348" s="596" t="s">
        <v>467</v>
      </c>
      <c r="Z348" s="336">
        <f t="shared" si="1150"/>
        <v>7860</v>
      </c>
      <c r="AA348" s="337">
        <f t="shared" si="1150"/>
        <v>7860</v>
      </c>
      <c r="AB348" s="338">
        <f t="shared" si="946"/>
        <v>0</v>
      </c>
      <c r="AC348" s="336">
        <f t="shared" si="1151"/>
        <v>0</v>
      </c>
      <c r="AD348" s="337">
        <f t="shared" si="1151"/>
        <v>0</v>
      </c>
      <c r="AE348" s="338">
        <f t="shared" si="948"/>
        <v>0</v>
      </c>
      <c r="AF348" s="336">
        <f t="shared" si="1152"/>
        <v>0</v>
      </c>
      <c r="AG348" s="337">
        <f t="shared" si="1152"/>
        <v>0</v>
      </c>
      <c r="AH348" s="338">
        <f t="shared" si="950"/>
        <v>0</v>
      </c>
      <c r="AI348" s="336">
        <f t="shared" si="1153"/>
        <v>0</v>
      </c>
      <c r="AJ348" s="337">
        <f t="shared" si="1153"/>
        <v>0</v>
      </c>
      <c r="AK348" s="338">
        <f t="shared" si="952"/>
        <v>0</v>
      </c>
      <c r="AL348" s="342"/>
      <c r="AM348" s="336">
        <f t="shared" si="1154"/>
        <v>7860</v>
      </c>
      <c r="AN348" s="339">
        <f t="shared" si="1154"/>
        <v>7860</v>
      </c>
      <c r="AO348" s="340">
        <f t="shared" si="954"/>
        <v>0</v>
      </c>
      <c r="AP348" s="336">
        <f t="shared" si="1155"/>
        <v>7860</v>
      </c>
      <c r="AQ348" s="339">
        <f t="shared" si="1155"/>
        <v>7860</v>
      </c>
      <c r="AR348" s="340">
        <f t="shared" si="940"/>
        <v>0</v>
      </c>
      <c r="AS348" s="341">
        <f t="shared" si="1156"/>
        <v>7860</v>
      </c>
      <c r="AT348" s="339">
        <f t="shared" si="1156"/>
        <v>7860</v>
      </c>
      <c r="AU348" s="340">
        <f t="shared" si="942"/>
        <v>0</v>
      </c>
      <c r="AV348" s="1255">
        <f t="shared" si="970"/>
        <v>0</v>
      </c>
      <c r="AW348" s="343"/>
      <c r="AX348" s="344"/>
      <c r="AY348" s="1133">
        <v>7860</v>
      </c>
      <c r="AZ348" s="1152">
        <v>7860</v>
      </c>
      <c r="BA348" s="345"/>
      <c r="BB348" s="346"/>
      <c r="BC348" s="347"/>
      <c r="BD348" s="348"/>
      <c r="BE348" s="349"/>
      <c r="BF348" s="348"/>
      <c r="BG348" s="349"/>
      <c r="BH348" s="350"/>
      <c r="BI348" s="351"/>
      <c r="BJ348" s="352"/>
      <c r="BK348" s="337"/>
      <c r="BL348" s="352"/>
      <c r="BM348" s="337"/>
      <c r="BN348" s="353"/>
      <c r="BO348" s="354"/>
      <c r="BP348" s="355"/>
      <c r="BQ348" s="356"/>
      <c r="BR348" s="355"/>
      <c r="BS348" s="356"/>
      <c r="BT348" s="357"/>
    </row>
    <row r="349" spans="1:72" s="313" customFormat="1" ht="25.5">
      <c r="A349" s="287">
        <v>268</v>
      </c>
      <c r="B349" s="935"/>
      <c r="C349" s="840"/>
      <c r="D349" s="841"/>
      <c r="E349" s="839"/>
      <c r="F349" s="821" t="s">
        <v>23</v>
      </c>
      <c r="G349" s="314">
        <v>2</v>
      </c>
      <c r="H349" s="739" t="s">
        <v>71</v>
      </c>
      <c r="I349" s="739">
        <v>244</v>
      </c>
      <c r="J349" s="740">
        <v>346</v>
      </c>
      <c r="K349" s="533" t="s">
        <v>464</v>
      </c>
      <c r="L349" s="318">
        <v>2880</v>
      </c>
      <c r="M349" s="318"/>
      <c r="N349" s="318"/>
      <c r="O349" s="1052">
        <f t="shared" si="944"/>
        <v>2880</v>
      </c>
      <c r="P349" s="570"/>
      <c r="Q349" s="336"/>
      <c r="R349" s="329"/>
      <c r="S349" s="319"/>
      <c r="T349" s="329"/>
      <c r="U349" s="335"/>
      <c r="V349" s="596" t="s">
        <v>463</v>
      </c>
      <c r="W349" s="596" t="s">
        <v>1047</v>
      </c>
      <c r="X349" s="320"/>
      <c r="Z349" s="336">
        <f t="shared" si="1150"/>
        <v>2880</v>
      </c>
      <c r="AA349" s="337">
        <f t="shared" si="1150"/>
        <v>2880</v>
      </c>
      <c r="AB349" s="338">
        <f t="shared" si="946"/>
        <v>0</v>
      </c>
      <c r="AC349" s="336">
        <f t="shared" si="1151"/>
        <v>0</v>
      </c>
      <c r="AD349" s="337">
        <f t="shared" si="1151"/>
        <v>0</v>
      </c>
      <c r="AE349" s="338">
        <f t="shared" si="948"/>
        <v>0</v>
      </c>
      <c r="AF349" s="336">
        <f t="shared" si="1152"/>
        <v>0</v>
      </c>
      <c r="AG349" s="337">
        <f t="shared" si="1152"/>
        <v>0</v>
      </c>
      <c r="AH349" s="338">
        <f t="shared" si="950"/>
        <v>0</v>
      </c>
      <c r="AI349" s="336">
        <f t="shared" si="1153"/>
        <v>0</v>
      </c>
      <c r="AJ349" s="337">
        <f t="shared" si="1153"/>
        <v>0</v>
      </c>
      <c r="AK349" s="338">
        <f t="shared" si="952"/>
        <v>0</v>
      </c>
      <c r="AL349" s="342"/>
      <c r="AM349" s="336">
        <f t="shared" si="1154"/>
        <v>2880</v>
      </c>
      <c r="AN349" s="339">
        <f t="shared" si="1154"/>
        <v>2880</v>
      </c>
      <c r="AO349" s="340">
        <f t="shared" si="954"/>
        <v>0</v>
      </c>
      <c r="AP349" s="336">
        <f t="shared" si="1155"/>
        <v>2880</v>
      </c>
      <c r="AQ349" s="339">
        <f t="shared" si="1155"/>
        <v>2880</v>
      </c>
      <c r="AR349" s="340">
        <f t="shared" si="940"/>
        <v>0</v>
      </c>
      <c r="AS349" s="341">
        <f t="shared" si="1156"/>
        <v>2880</v>
      </c>
      <c r="AT349" s="339">
        <f t="shared" si="1156"/>
        <v>2880</v>
      </c>
      <c r="AU349" s="340">
        <f t="shared" si="942"/>
        <v>0</v>
      </c>
      <c r="AV349" s="1255">
        <f t="shared" si="970"/>
        <v>0</v>
      </c>
      <c r="AW349" s="343"/>
      <c r="AX349" s="344"/>
      <c r="AY349" s="345"/>
      <c r="AZ349" s="344"/>
      <c r="BA349" s="1133">
        <v>2880</v>
      </c>
      <c r="BB349" s="1153">
        <v>2880</v>
      </c>
      <c r="BC349" s="347"/>
      <c r="BD349" s="348"/>
      <c r="BE349" s="349"/>
      <c r="BF349" s="348"/>
      <c r="BG349" s="349"/>
      <c r="BH349" s="350"/>
      <c r="BI349" s="351"/>
      <c r="BJ349" s="352"/>
      <c r="BK349" s="337"/>
      <c r="BL349" s="352"/>
      <c r="BM349" s="337"/>
      <c r="BN349" s="353"/>
      <c r="BO349" s="354"/>
      <c r="BP349" s="355"/>
      <c r="BQ349" s="356"/>
      <c r="BR349" s="355"/>
      <c r="BS349" s="356"/>
      <c r="BT349" s="357"/>
    </row>
    <row r="350" spans="1:72" s="313" customFormat="1" ht="25.5">
      <c r="A350" s="287">
        <v>269</v>
      </c>
      <c r="B350" s="935"/>
      <c r="C350" s="840"/>
      <c r="D350" s="841"/>
      <c r="E350" s="839"/>
      <c r="F350" s="821" t="s">
        <v>23</v>
      </c>
      <c r="G350" s="314">
        <v>2</v>
      </c>
      <c r="H350" s="739" t="s">
        <v>71</v>
      </c>
      <c r="I350" s="739">
        <v>244</v>
      </c>
      <c r="J350" s="740">
        <v>346</v>
      </c>
      <c r="K350" s="533" t="s">
        <v>464</v>
      </c>
      <c r="L350" s="318">
        <v>20160</v>
      </c>
      <c r="M350" s="318"/>
      <c r="N350" s="318"/>
      <c r="O350" s="1052">
        <f t="shared" si="944"/>
        <v>20160</v>
      </c>
      <c r="P350" s="570"/>
      <c r="Q350" s="336"/>
      <c r="R350" s="329"/>
      <c r="S350" s="319"/>
      <c r="T350" s="329"/>
      <c r="U350" s="335"/>
      <c r="V350" s="596" t="s">
        <v>463</v>
      </c>
      <c r="W350" s="596" t="s">
        <v>1046</v>
      </c>
      <c r="X350" s="320"/>
      <c r="Z350" s="336">
        <f t="shared" si="1150"/>
        <v>0</v>
      </c>
      <c r="AA350" s="337">
        <f t="shared" si="1150"/>
        <v>0</v>
      </c>
      <c r="AB350" s="338">
        <f t="shared" si="946"/>
        <v>0</v>
      </c>
      <c r="AC350" s="336">
        <f t="shared" si="1151"/>
        <v>8640</v>
      </c>
      <c r="AD350" s="337">
        <f t="shared" si="1151"/>
        <v>0</v>
      </c>
      <c r="AE350" s="338">
        <f t="shared" si="948"/>
        <v>8640</v>
      </c>
      <c r="AF350" s="336">
        <f t="shared" si="1152"/>
        <v>5760</v>
      </c>
      <c r="AG350" s="337">
        <f t="shared" si="1152"/>
        <v>0</v>
      </c>
      <c r="AH350" s="338">
        <f t="shared" si="950"/>
        <v>5760</v>
      </c>
      <c r="AI350" s="336">
        <f t="shared" si="1153"/>
        <v>5760</v>
      </c>
      <c r="AJ350" s="337">
        <f t="shared" si="1153"/>
        <v>0</v>
      </c>
      <c r="AK350" s="338">
        <f t="shared" si="952"/>
        <v>5760</v>
      </c>
      <c r="AL350" s="342"/>
      <c r="AM350" s="336">
        <f t="shared" si="1154"/>
        <v>8640</v>
      </c>
      <c r="AN350" s="339">
        <f t="shared" si="1154"/>
        <v>0</v>
      </c>
      <c r="AO350" s="340">
        <f t="shared" si="954"/>
        <v>8640</v>
      </c>
      <c r="AP350" s="336">
        <f t="shared" si="1155"/>
        <v>14400</v>
      </c>
      <c r="AQ350" s="339">
        <f t="shared" si="1155"/>
        <v>0</v>
      </c>
      <c r="AR350" s="340">
        <f t="shared" si="940"/>
        <v>14400</v>
      </c>
      <c r="AS350" s="341">
        <f t="shared" si="1156"/>
        <v>20160</v>
      </c>
      <c r="AT350" s="339">
        <f t="shared" si="1156"/>
        <v>0</v>
      </c>
      <c r="AU350" s="340">
        <f t="shared" si="942"/>
        <v>20160</v>
      </c>
      <c r="AV350" s="1255">
        <f t="shared" si="970"/>
        <v>0</v>
      </c>
      <c r="AW350" s="343"/>
      <c r="AX350" s="344"/>
      <c r="AY350" s="345"/>
      <c r="AZ350" s="344"/>
      <c r="BA350" s="345"/>
      <c r="BB350" s="346"/>
      <c r="BC350" s="1134">
        <v>5760</v>
      </c>
      <c r="BD350" s="1140"/>
      <c r="BE350" s="1135">
        <v>2880</v>
      </c>
      <c r="BF350" s="1140"/>
      <c r="BG350" s="1135"/>
      <c r="BH350" s="1141"/>
      <c r="BI350" s="1136"/>
      <c r="BJ350" s="909"/>
      <c r="BK350" s="1137">
        <v>2880</v>
      </c>
      <c r="BL350" s="909"/>
      <c r="BM350" s="1137">
        <v>2880</v>
      </c>
      <c r="BN350" s="920"/>
      <c r="BO350" s="1138">
        <v>2880</v>
      </c>
      <c r="BP350" s="1142"/>
      <c r="BQ350" s="356">
        <v>2880</v>
      </c>
      <c r="BR350" s="1142"/>
      <c r="BS350" s="1139"/>
      <c r="BT350" s="357"/>
    </row>
    <row r="351" spans="1:72" s="313" customFormat="1" ht="25.5">
      <c r="A351" s="287">
        <v>270</v>
      </c>
      <c r="B351" s="935"/>
      <c r="C351" s="840"/>
      <c r="D351" s="841"/>
      <c r="E351" s="839"/>
      <c r="F351" s="821" t="s">
        <v>23</v>
      </c>
      <c r="G351" s="314">
        <v>2</v>
      </c>
      <c r="H351" s="739" t="s">
        <v>71</v>
      </c>
      <c r="I351" s="739">
        <v>244</v>
      </c>
      <c r="J351" s="740">
        <v>346</v>
      </c>
      <c r="K351" s="533" t="s">
        <v>595</v>
      </c>
      <c r="L351" s="318">
        <v>2340</v>
      </c>
      <c r="M351" s="318"/>
      <c r="N351" s="318"/>
      <c r="O351" s="1052">
        <f t="shared" si="944"/>
        <v>2340</v>
      </c>
      <c r="P351" s="570"/>
      <c r="Q351" s="336"/>
      <c r="R351" s="329"/>
      <c r="S351" s="319"/>
      <c r="T351" s="329"/>
      <c r="U351" s="335"/>
      <c r="V351" s="596" t="s">
        <v>598</v>
      </c>
      <c r="W351" s="596" t="s">
        <v>648</v>
      </c>
      <c r="X351" s="596" t="s">
        <v>649</v>
      </c>
      <c r="Z351" s="336">
        <f t="shared" si="1150"/>
        <v>2340</v>
      </c>
      <c r="AA351" s="337">
        <f t="shared" si="1150"/>
        <v>2340</v>
      </c>
      <c r="AB351" s="338">
        <f t="shared" si="946"/>
        <v>0</v>
      </c>
      <c r="AC351" s="336">
        <f t="shared" si="1151"/>
        <v>0</v>
      </c>
      <c r="AD351" s="337">
        <f t="shared" si="1151"/>
        <v>0</v>
      </c>
      <c r="AE351" s="338">
        <f t="shared" si="948"/>
        <v>0</v>
      </c>
      <c r="AF351" s="336">
        <f t="shared" si="1152"/>
        <v>0</v>
      </c>
      <c r="AG351" s="337">
        <f t="shared" si="1152"/>
        <v>0</v>
      </c>
      <c r="AH351" s="338">
        <f t="shared" si="950"/>
        <v>0</v>
      </c>
      <c r="AI351" s="336">
        <f t="shared" si="1153"/>
        <v>0</v>
      </c>
      <c r="AJ351" s="337">
        <f t="shared" si="1153"/>
        <v>0</v>
      </c>
      <c r="AK351" s="338">
        <f t="shared" si="952"/>
        <v>0</v>
      </c>
      <c r="AL351" s="342"/>
      <c r="AM351" s="336">
        <f t="shared" si="1154"/>
        <v>2340</v>
      </c>
      <c r="AN351" s="339">
        <f t="shared" si="1154"/>
        <v>2340</v>
      </c>
      <c r="AO351" s="340">
        <f t="shared" si="954"/>
        <v>0</v>
      </c>
      <c r="AP351" s="336">
        <f t="shared" si="1155"/>
        <v>2340</v>
      </c>
      <c r="AQ351" s="339">
        <f t="shared" si="1155"/>
        <v>2340</v>
      </c>
      <c r="AR351" s="340">
        <f t="shared" si="940"/>
        <v>0</v>
      </c>
      <c r="AS351" s="341">
        <f t="shared" si="1156"/>
        <v>2340</v>
      </c>
      <c r="AT351" s="339">
        <f t="shared" si="1156"/>
        <v>2340</v>
      </c>
      <c r="AU351" s="340">
        <f t="shared" si="942"/>
        <v>0</v>
      </c>
      <c r="AV351" s="1255">
        <f t="shared" si="970"/>
        <v>0</v>
      </c>
      <c r="AW351" s="343"/>
      <c r="AX351" s="344"/>
      <c r="AY351" s="345"/>
      <c r="AZ351" s="344"/>
      <c r="BA351" s="1133">
        <v>2340</v>
      </c>
      <c r="BB351" s="1153">
        <v>2340</v>
      </c>
      <c r="BC351" s="347"/>
      <c r="BD351" s="348"/>
      <c r="BE351" s="349"/>
      <c r="BF351" s="348"/>
      <c r="BG351" s="349"/>
      <c r="BH351" s="350"/>
      <c r="BI351" s="351"/>
      <c r="BJ351" s="352"/>
      <c r="BK351" s="337"/>
      <c r="BL351" s="352"/>
      <c r="BM351" s="337"/>
      <c r="BN351" s="353"/>
      <c r="BO351" s="354"/>
      <c r="BP351" s="355"/>
      <c r="BQ351" s="356"/>
      <c r="BR351" s="355"/>
      <c r="BS351" s="356"/>
      <c r="BT351" s="357"/>
    </row>
    <row r="352" spans="1:72" s="313" customFormat="1" ht="38.25">
      <c r="A352" s="287">
        <v>271</v>
      </c>
      <c r="B352" s="935"/>
      <c r="C352" s="840"/>
      <c r="D352" s="841"/>
      <c r="E352" s="839"/>
      <c r="F352" s="821" t="s">
        <v>23</v>
      </c>
      <c r="G352" s="314">
        <v>2</v>
      </c>
      <c r="H352" s="739" t="s">
        <v>71</v>
      </c>
      <c r="I352" s="739">
        <v>244</v>
      </c>
      <c r="J352" s="740">
        <v>346</v>
      </c>
      <c r="K352" s="533" t="s">
        <v>689</v>
      </c>
      <c r="L352" s="318">
        <v>38055</v>
      </c>
      <c r="M352" s="318"/>
      <c r="N352" s="318"/>
      <c r="O352" s="1052">
        <f t="shared" si="944"/>
        <v>38055</v>
      </c>
      <c r="P352" s="570"/>
      <c r="Q352" s="336"/>
      <c r="R352" s="329"/>
      <c r="S352" s="319"/>
      <c r="T352" s="329"/>
      <c r="U352" s="335"/>
      <c r="V352" s="596" t="s">
        <v>598</v>
      </c>
      <c r="W352" s="596" t="s">
        <v>741</v>
      </c>
      <c r="X352" s="596" t="s">
        <v>742</v>
      </c>
      <c r="Z352" s="336">
        <f t="shared" si="1150"/>
        <v>0</v>
      </c>
      <c r="AA352" s="337">
        <f t="shared" si="1150"/>
        <v>0</v>
      </c>
      <c r="AB352" s="338">
        <f t="shared" si="946"/>
        <v>0</v>
      </c>
      <c r="AC352" s="336">
        <f t="shared" si="1151"/>
        <v>15995</v>
      </c>
      <c r="AD352" s="337">
        <f t="shared" si="1151"/>
        <v>4965</v>
      </c>
      <c r="AE352" s="338">
        <f t="shared" si="948"/>
        <v>11030</v>
      </c>
      <c r="AF352" s="336">
        <f t="shared" si="1152"/>
        <v>11030</v>
      </c>
      <c r="AG352" s="337">
        <f t="shared" si="1152"/>
        <v>0</v>
      </c>
      <c r="AH352" s="338">
        <f t="shared" si="950"/>
        <v>11030</v>
      </c>
      <c r="AI352" s="336">
        <f t="shared" si="1153"/>
        <v>11030</v>
      </c>
      <c r="AJ352" s="337">
        <f t="shared" si="1153"/>
        <v>0</v>
      </c>
      <c r="AK352" s="338">
        <f t="shared" si="952"/>
        <v>11030</v>
      </c>
      <c r="AL352" s="342"/>
      <c r="AM352" s="336">
        <f t="shared" si="1154"/>
        <v>15995</v>
      </c>
      <c r="AN352" s="339">
        <f t="shared" si="1154"/>
        <v>4965</v>
      </c>
      <c r="AO352" s="340">
        <f t="shared" si="954"/>
        <v>11030</v>
      </c>
      <c r="AP352" s="336">
        <f t="shared" si="1155"/>
        <v>27025</v>
      </c>
      <c r="AQ352" s="339">
        <f t="shared" si="1155"/>
        <v>4965</v>
      </c>
      <c r="AR352" s="340">
        <f t="shared" si="940"/>
        <v>22060</v>
      </c>
      <c r="AS352" s="341">
        <f t="shared" si="1156"/>
        <v>38055</v>
      </c>
      <c r="AT352" s="339">
        <f t="shared" si="1156"/>
        <v>4965</v>
      </c>
      <c r="AU352" s="340">
        <f t="shared" si="942"/>
        <v>33090</v>
      </c>
      <c r="AV352" s="1255">
        <f t="shared" si="970"/>
        <v>0</v>
      </c>
      <c r="AW352" s="343"/>
      <c r="AX352" s="344"/>
      <c r="AY352" s="345"/>
      <c r="AZ352" s="344"/>
      <c r="BA352" s="345"/>
      <c r="BB352" s="346"/>
      <c r="BC352" s="1134">
        <f>4965+5515</f>
        <v>10480</v>
      </c>
      <c r="BD352" s="1140">
        <v>4965</v>
      </c>
      <c r="BE352" s="1135">
        <v>5515</v>
      </c>
      <c r="BF352" s="348"/>
      <c r="BG352" s="1135"/>
      <c r="BH352" s="350"/>
      <c r="BI352" s="1136"/>
      <c r="BJ352" s="352"/>
      <c r="BK352" s="1137">
        <v>5515</v>
      </c>
      <c r="BL352" s="352"/>
      <c r="BM352" s="337">
        <v>5515</v>
      </c>
      <c r="BN352" s="353"/>
      <c r="BO352" s="1138">
        <v>5515</v>
      </c>
      <c r="BP352" s="355"/>
      <c r="BQ352" s="356">
        <v>5515</v>
      </c>
      <c r="BR352" s="355"/>
      <c r="BS352" s="1139"/>
      <c r="BT352" s="357"/>
    </row>
    <row r="353" spans="1:72" s="358" customFormat="1" ht="31.5" customHeight="1">
      <c r="A353" s="287">
        <v>272</v>
      </c>
      <c r="B353" s="941"/>
      <c r="C353" s="850" t="s">
        <v>377</v>
      </c>
      <c r="D353" s="838"/>
      <c r="E353" s="836" t="s">
        <v>201</v>
      </c>
      <c r="F353" s="820" t="s">
        <v>23</v>
      </c>
      <c r="G353" s="360">
        <v>2</v>
      </c>
      <c r="H353" s="360" t="s">
        <v>71</v>
      </c>
      <c r="I353" s="360">
        <v>244</v>
      </c>
      <c r="J353" s="361">
        <v>346</v>
      </c>
      <c r="K353" s="532" t="s">
        <v>499</v>
      </c>
      <c r="L353" s="1023">
        <f>SUM(L354:L374)</f>
        <v>150687</v>
      </c>
      <c r="M353" s="363"/>
      <c r="N353" s="363">
        <f>SUM(N354:N374)</f>
        <v>0</v>
      </c>
      <c r="O353" s="1051">
        <f t="shared" si="944"/>
        <v>150687</v>
      </c>
      <c r="P353" s="571"/>
      <c r="Q353" s="367">
        <f>SUM(Q354:Q374)</f>
        <v>0</v>
      </c>
      <c r="R353" s="557"/>
      <c r="S353" s="367">
        <f>SUM(S354:S374)</f>
        <v>0</v>
      </c>
      <c r="T353" s="557"/>
      <c r="U353" s="365"/>
      <c r="V353" s="366"/>
      <c r="W353" s="366"/>
      <c r="X353" s="366"/>
      <c r="Z353" s="367">
        <f t="shared" si="1150"/>
        <v>57860</v>
      </c>
      <c r="AA353" s="363">
        <f t="shared" si="1150"/>
        <v>36650</v>
      </c>
      <c r="AB353" s="280">
        <f t="shared" si="946"/>
        <v>21210</v>
      </c>
      <c r="AC353" s="367">
        <f t="shared" si="1151"/>
        <v>57225</v>
      </c>
      <c r="AD353" s="363">
        <f t="shared" si="1151"/>
        <v>16910</v>
      </c>
      <c r="AE353" s="280">
        <f t="shared" si="948"/>
        <v>40315</v>
      </c>
      <c r="AF353" s="367">
        <f t="shared" si="1152"/>
        <v>17402.64</v>
      </c>
      <c r="AG353" s="363">
        <f t="shared" si="1152"/>
        <v>0</v>
      </c>
      <c r="AH353" s="280">
        <f t="shared" si="950"/>
        <v>17402.64</v>
      </c>
      <c r="AI353" s="367">
        <f t="shared" si="1153"/>
        <v>25498.240000000002</v>
      </c>
      <c r="AJ353" s="363">
        <f t="shared" si="1153"/>
        <v>0</v>
      </c>
      <c r="AK353" s="280">
        <f t="shared" si="952"/>
        <v>25498.240000000002</v>
      </c>
      <c r="AL353" s="368"/>
      <c r="AM353" s="367">
        <f t="shared" si="1154"/>
        <v>115085</v>
      </c>
      <c r="AN353" s="363">
        <f t="shared" si="1154"/>
        <v>53560</v>
      </c>
      <c r="AO353" s="280">
        <f t="shared" si="954"/>
        <v>61525</v>
      </c>
      <c r="AP353" s="367">
        <f t="shared" si="1155"/>
        <v>132487.64000000001</v>
      </c>
      <c r="AQ353" s="363">
        <f t="shared" si="1155"/>
        <v>53560</v>
      </c>
      <c r="AR353" s="280">
        <f t="shared" si="940"/>
        <v>78927.64</v>
      </c>
      <c r="AS353" s="367">
        <f t="shared" si="1156"/>
        <v>157985.88</v>
      </c>
      <c r="AT353" s="363">
        <f t="shared" si="1156"/>
        <v>53560</v>
      </c>
      <c r="AU353" s="280">
        <f t="shared" si="942"/>
        <v>104425.88</v>
      </c>
      <c r="AV353" s="1253">
        <f t="shared" si="970"/>
        <v>-7298.88</v>
      </c>
      <c r="AW353" s="367">
        <f t="shared" ref="AW353:BT353" si="1177">SUM(AW354:AW374)</f>
        <v>0</v>
      </c>
      <c r="AX353" s="363">
        <f t="shared" si="1177"/>
        <v>0</v>
      </c>
      <c r="AY353" s="363">
        <f t="shared" si="1177"/>
        <v>1201</v>
      </c>
      <c r="AZ353" s="363">
        <f t="shared" si="1177"/>
        <v>1201</v>
      </c>
      <c r="BA353" s="363">
        <f t="shared" si="1177"/>
        <v>56659</v>
      </c>
      <c r="BB353" s="369">
        <f t="shared" si="1177"/>
        <v>35449</v>
      </c>
      <c r="BC353" s="367">
        <f t="shared" si="1177"/>
        <v>16910</v>
      </c>
      <c r="BD353" s="363">
        <f t="shared" si="1177"/>
        <v>16910</v>
      </c>
      <c r="BE353" s="363">
        <f t="shared" si="1177"/>
        <v>38115</v>
      </c>
      <c r="BF353" s="363">
        <f t="shared" si="1177"/>
        <v>0</v>
      </c>
      <c r="BG353" s="363">
        <f t="shared" si="1177"/>
        <v>2200</v>
      </c>
      <c r="BH353" s="369">
        <f t="shared" si="1177"/>
        <v>0</v>
      </c>
      <c r="BI353" s="367">
        <f t="shared" si="1177"/>
        <v>0</v>
      </c>
      <c r="BJ353" s="363">
        <f t="shared" si="1177"/>
        <v>0</v>
      </c>
      <c r="BK353" s="363">
        <f t="shared" si="1177"/>
        <v>14000</v>
      </c>
      <c r="BL353" s="363">
        <f t="shared" si="1177"/>
        <v>0</v>
      </c>
      <c r="BM353" s="363">
        <f t="shared" si="1177"/>
        <v>3402.64</v>
      </c>
      <c r="BN353" s="369">
        <f t="shared" si="1177"/>
        <v>0</v>
      </c>
      <c r="BO353" s="367">
        <f t="shared" si="1177"/>
        <v>2747.24</v>
      </c>
      <c r="BP353" s="363">
        <f t="shared" si="1177"/>
        <v>0</v>
      </c>
      <c r="BQ353" s="363">
        <f t="shared" si="1177"/>
        <v>1000</v>
      </c>
      <c r="BR353" s="363">
        <f t="shared" si="1177"/>
        <v>0</v>
      </c>
      <c r="BS353" s="363">
        <f t="shared" si="1177"/>
        <v>21751</v>
      </c>
      <c r="BT353" s="280">
        <f t="shared" si="1177"/>
        <v>0</v>
      </c>
    </row>
    <row r="354" spans="1:72" s="313" customFormat="1" ht="63.75" outlineLevel="2">
      <c r="A354" s="287">
        <v>273</v>
      </c>
      <c r="B354" s="941"/>
      <c r="C354" s="840"/>
      <c r="D354" s="841"/>
      <c r="E354" s="839"/>
      <c r="F354" s="821" t="s">
        <v>23</v>
      </c>
      <c r="G354" s="314">
        <v>2</v>
      </c>
      <c r="H354" s="739" t="s">
        <v>71</v>
      </c>
      <c r="I354" s="739">
        <v>244</v>
      </c>
      <c r="J354" s="740">
        <v>346</v>
      </c>
      <c r="K354" s="533" t="s">
        <v>501</v>
      </c>
      <c r="L354" s="1025">
        <v>9130</v>
      </c>
      <c r="M354" s="318"/>
      <c r="N354" s="318"/>
      <c r="O354" s="1052">
        <f t="shared" si="944"/>
        <v>9130</v>
      </c>
      <c r="P354" s="570"/>
      <c r="Q354" s="336">
        <v>0</v>
      </c>
      <c r="R354" s="559"/>
      <c r="S354" s="541">
        <v>0</v>
      </c>
      <c r="T354" s="559"/>
      <c r="U354" s="335"/>
      <c r="V354" s="596" t="s">
        <v>502</v>
      </c>
      <c r="W354" s="596" t="s">
        <v>551</v>
      </c>
      <c r="X354" s="596"/>
      <c r="Z354" s="336">
        <f t="shared" si="1150"/>
        <v>9130</v>
      </c>
      <c r="AA354" s="337">
        <f t="shared" si="1150"/>
        <v>9130</v>
      </c>
      <c r="AB354" s="338">
        <f t="shared" si="946"/>
        <v>0</v>
      </c>
      <c r="AC354" s="336">
        <f t="shared" si="1151"/>
        <v>0</v>
      </c>
      <c r="AD354" s="337">
        <f t="shared" si="1151"/>
        <v>0</v>
      </c>
      <c r="AE354" s="338">
        <f t="shared" si="948"/>
        <v>0</v>
      </c>
      <c r="AF354" s="336">
        <f t="shared" si="1152"/>
        <v>0</v>
      </c>
      <c r="AG354" s="337">
        <f t="shared" si="1152"/>
        <v>0</v>
      </c>
      <c r="AH354" s="338">
        <f t="shared" si="950"/>
        <v>0</v>
      </c>
      <c r="AI354" s="336">
        <f t="shared" si="1153"/>
        <v>0</v>
      </c>
      <c r="AJ354" s="337">
        <f t="shared" si="1153"/>
        <v>0</v>
      </c>
      <c r="AK354" s="338">
        <f t="shared" si="952"/>
        <v>0</v>
      </c>
      <c r="AL354" s="342"/>
      <c r="AM354" s="336">
        <f t="shared" si="1154"/>
        <v>9130</v>
      </c>
      <c r="AN354" s="339">
        <f t="shared" si="1154"/>
        <v>9130</v>
      </c>
      <c r="AO354" s="340">
        <f t="shared" si="954"/>
        <v>0</v>
      </c>
      <c r="AP354" s="336">
        <f t="shared" si="1155"/>
        <v>9130</v>
      </c>
      <c r="AQ354" s="339">
        <f t="shared" si="1155"/>
        <v>9130</v>
      </c>
      <c r="AR354" s="340">
        <f t="shared" si="940"/>
        <v>0</v>
      </c>
      <c r="AS354" s="341">
        <f t="shared" si="1156"/>
        <v>9130</v>
      </c>
      <c r="AT354" s="339">
        <f t="shared" si="1156"/>
        <v>9130</v>
      </c>
      <c r="AU354" s="340">
        <f t="shared" si="942"/>
        <v>0</v>
      </c>
      <c r="AV354" s="1255">
        <f t="shared" si="970"/>
        <v>0</v>
      </c>
      <c r="AW354" s="343"/>
      <c r="AX354" s="344"/>
      <c r="AY354" s="1133"/>
      <c r="AZ354" s="1152"/>
      <c r="BA354" s="1133">
        <v>9130</v>
      </c>
      <c r="BB354" s="1152">
        <v>9130</v>
      </c>
      <c r="BC354" s="347"/>
      <c r="BD354" s="348"/>
      <c r="BE354" s="349"/>
      <c r="BF354" s="348"/>
      <c r="BG354" s="349"/>
      <c r="BH354" s="350"/>
      <c r="BI354" s="351"/>
      <c r="BJ354" s="352"/>
      <c r="BK354" s="337"/>
      <c r="BL354" s="352"/>
      <c r="BM354" s="337"/>
      <c r="BN354" s="353"/>
      <c r="BO354" s="354"/>
      <c r="BP354" s="355"/>
      <c r="BQ354" s="356"/>
      <c r="BR354" s="355"/>
      <c r="BS354" s="356"/>
      <c r="BT354" s="357"/>
    </row>
    <row r="355" spans="1:72" s="313" customFormat="1" ht="25.5" outlineLevel="2">
      <c r="A355" s="287">
        <v>274</v>
      </c>
      <c r="B355" s="1143" t="s">
        <v>1086</v>
      </c>
      <c r="C355" s="840"/>
      <c r="D355" s="841"/>
      <c r="E355" s="839"/>
      <c r="F355" s="821" t="s">
        <v>23</v>
      </c>
      <c r="G355" s="314">
        <v>2</v>
      </c>
      <c r="H355" s="739" t="s">
        <v>71</v>
      </c>
      <c r="I355" s="739">
        <v>244</v>
      </c>
      <c r="J355" s="740">
        <v>346</v>
      </c>
      <c r="K355" s="533" t="s">
        <v>510</v>
      </c>
      <c r="L355" s="1045">
        <v>37711</v>
      </c>
      <c r="M355" s="318"/>
      <c r="N355" s="318">
        <f>-378.8-146-1208.88</f>
        <v>-1733.68</v>
      </c>
      <c r="O355" s="1052">
        <f t="shared" si="944"/>
        <v>35977.32</v>
      </c>
      <c r="P355" s="570"/>
      <c r="Q355" s="336">
        <v>0</v>
      </c>
      <c r="R355" s="559"/>
      <c r="S355" s="541">
        <v>0</v>
      </c>
      <c r="T355" s="559"/>
      <c r="U355" s="335"/>
      <c r="V355" s="596" t="s">
        <v>511</v>
      </c>
      <c r="W355" s="596" t="s">
        <v>601</v>
      </c>
      <c r="X355" s="320" t="s">
        <v>602</v>
      </c>
      <c r="Z355" s="336">
        <f t="shared" si="1150"/>
        <v>18244</v>
      </c>
      <c r="AA355" s="337">
        <f t="shared" si="1150"/>
        <v>18244</v>
      </c>
      <c r="AB355" s="338">
        <f t="shared" si="946"/>
        <v>0</v>
      </c>
      <c r="AC355" s="336">
        <f t="shared" si="1151"/>
        <v>0</v>
      </c>
      <c r="AD355" s="337">
        <f t="shared" si="1151"/>
        <v>0</v>
      </c>
      <c r="AE355" s="338">
        <f t="shared" si="948"/>
        <v>0</v>
      </c>
      <c r="AF355" s="336">
        <f t="shared" si="1152"/>
        <v>0</v>
      </c>
      <c r="AG355" s="337">
        <f t="shared" si="1152"/>
        <v>0</v>
      </c>
      <c r="AH355" s="338">
        <f t="shared" si="950"/>
        <v>0</v>
      </c>
      <c r="AI355" s="336">
        <f t="shared" si="1153"/>
        <v>19467</v>
      </c>
      <c r="AJ355" s="337">
        <f t="shared" si="1153"/>
        <v>0</v>
      </c>
      <c r="AK355" s="338">
        <f t="shared" si="952"/>
        <v>19467</v>
      </c>
      <c r="AL355" s="342"/>
      <c r="AM355" s="336">
        <f t="shared" si="1154"/>
        <v>18244</v>
      </c>
      <c r="AN355" s="339">
        <f t="shared" si="1154"/>
        <v>18244</v>
      </c>
      <c r="AO355" s="340">
        <f t="shared" si="954"/>
        <v>0</v>
      </c>
      <c r="AP355" s="336">
        <f t="shared" si="1155"/>
        <v>18244</v>
      </c>
      <c r="AQ355" s="339">
        <f t="shared" si="1155"/>
        <v>18244</v>
      </c>
      <c r="AR355" s="340">
        <f t="shared" si="940"/>
        <v>0</v>
      </c>
      <c r="AS355" s="341">
        <f t="shared" si="1156"/>
        <v>37711</v>
      </c>
      <c r="AT355" s="339">
        <f t="shared" si="1156"/>
        <v>18244</v>
      </c>
      <c r="AU355" s="340">
        <f t="shared" si="942"/>
        <v>19467</v>
      </c>
      <c r="AV355" s="1265">
        <f t="shared" si="970"/>
        <v>0</v>
      </c>
      <c r="AW355" s="343"/>
      <c r="AX355" s="344"/>
      <c r="AY355" s="345"/>
      <c r="AZ355" s="344"/>
      <c r="BA355" s="1217">
        <v>18244</v>
      </c>
      <c r="BB355" s="1219">
        <v>18244</v>
      </c>
      <c r="BC355" s="347"/>
      <c r="BD355" s="348"/>
      <c r="BE355" s="349"/>
      <c r="BF355" s="348"/>
      <c r="BG355" s="349"/>
      <c r="BH355" s="350"/>
      <c r="BI355" s="351"/>
      <c r="BJ355" s="352"/>
      <c r="BK355" s="337"/>
      <c r="BL355" s="352"/>
      <c r="BM355" s="337"/>
      <c r="BN355" s="353"/>
      <c r="BO355" s="354"/>
      <c r="BP355" s="355"/>
      <c r="BQ355" s="356"/>
      <c r="BR355" s="355"/>
      <c r="BS355" s="356">
        <v>19467</v>
      </c>
      <c r="BT355" s="357"/>
    </row>
    <row r="356" spans="1:72" s="313" customFormat="1" ht="25.5" outlineLevel="2">
      <c r="A356" s="287">
        <v>275</v>
      </c>
      <c r="B356" s="941"/>
      <c r="C356" s="840"/>
      <c r="D356" s="841"/>
      <c r="E356" s="839"/>
      <c r="F356" s="821" t="s">
        <v>23</v>
      </c>
      <c r="G356" s="314">
        <v>2</v>
      </c>
      <c r="H356" s="739" t="s">
        <v>71</v>
      </c>
      <c r="I356" s="739">
        <v>244</v>
      </c>
      <c r="J356" s="740">
        <v>346</v>
      </c>
      <c r="K356" s="533" t="s">
        <v>584</v>
      </c>
      <c r="L356" s="1025">
        <v>4290</v>
      </c>
      <c r="M356" s="318"/>
      <c r="N356" s="318"/>
      <c r="O356" s="1052">
        <f t="shared" si="944"/>
        <v>4290</v>
      </c>
      <c r="P356" s="570"/>
      <c r="Q356" s="336">
        <v>0</v>
      </c>
      <c r="R356" s="559"/>
      <c r="S356" s="541">
        <v>0</v>
      </c>
      <c r="T356" s="559"/>
      <c r="U356" s="335"/>
      <c r="V356" s="596" t="s">
        <v>579</v>
      </c>
      <c r="W356" s="596" t="s">
        <v>578</v>
      </c>
      <c r="X356" s="596" t="s">
        <v>580</v>
      </c>
      <c r="Z356" s="336">
        <f t="shared" si="1150"/>
        <v>4075</v>
      </c>
      <c r="AA356" s="337">
        <f t="shared" si="1150"/>
        <v>4075</v>
      </c>
      <c r="AB356" s="338">
        <f t="shared" si="946"/>
        <v>0</v>
      </c>
      <c r="AC356" s="336">
        <f t="shared" si="1151"/>
        <v>0</v>
      </c>
      <c r="AD356" s="337">
        <f t="shared" si="1151"/>
        <v>0</v>
      </c>
      <c r="AE356" s="338">
        <f t="shared" si="948"/>
        <v>0</v>
      </c>
      <c r="AF356" s="336">
        <f t="shared" si="1152"/>
        <v>0</v>
      </c>
      <c r="AG356" s="337">
        <f t="shared" si="1152"/>
        <v>0</v>
      </c>
      <c r="AH356" s="338">
        <f t="shared" si="950"/>
        <v>0</v>
      </c>
      <c r="AI356" s="336">
        <f t="shared" si="1153"/>
        <v>0</v>
      </c>
      <c r="AJ356" s="337">
        <f t="shared" si="1153"/>
        <v>0</v>
      </c>
      <c r="AK356" s="338">
        <f t="shared" si="952"/>
        <v>0</v>
      </c>
      <c r="AL356" s="342"/>
      <c r="AM356" s="336">
        <f t="shared" si="1154"/>
        <v>4075</v>
      </c>
      <c r="AN356" s="339">
        <f t="shared" si="1154"/>
        <v>4075</v>
      </c>
      <c r="AO356" s="340">
        <f t="shared" si="954"/>
        <v>0</v>
      </c>
      <c r="AP356" s="336">
        <f t="shared" si="1155"/>
        <v>4075</v>
      </c>
      <c r="AQ356" s="339">
        <f t="shared" si="1155"/>
        <v>4075</v>
      </c>
      <c r="AR356" s="340">
        <f t="shared" si="940"/>
        <v>0</v>
      </c>
      <c r="AS356" s="341">
        <f t="shared" si="1156"/>
        <v>4075</v>
      </c>
      <c r="AT356" s="339">
        <f t="shared" si="1156"/>
        <v>4075</v>
      </c>
      <c r="AU356" s="340">
        <f t="shared" si="942"/>
        <v>0</v>
      </c>
      <c r="AV356" s="1258">
        <f t="shared" si="970"/>
        <v>215</v>
      </c>
      <c r="AW356" s="343"/>
      <c r="AX356" s="344"/>
      <c r="AY356" s="345"/>
      <c r="AZ356" s="344"/>
      <c r="BA356" s="1133">
        <v>4075</v>
      </c>
      <c r="BB356" s="1153">
        <v>4075</v>
      </c>
      <c r="BC356" s="347"/>
      <c r="BD356" s="348"/>
      <c r="BE356" s="349"/>
      <c r="BF356" s="348"/>
      <c r="BG356" s="349"/>
      <c r="BH356" s="350"/>
      <c r="BI356" s="351"/>
      <c r="BJ356" s="352"/>
      <c r="BK356" s="337"/>
      <c r="BL356" s="352"/>
      <c r="BM356" s="337"/>
      <c r="BN356" s="353"/>
      <c r="BO356" s="354"/>
      <c r="BP356" s="355"/>
      <c r="BQ356" s="356"/>
      <c r="BR356" s="355"/>
      <c r="BS356" s="356"/>
      <c r="BT356" s="357"/>
    </row>
    <row r="357" spans="1:72" s="313" customFormat="1" ht="25.5" outlineLevel="2">
      <c r="A357" s="287">
        <v>276</v>
      </c>
      <c r="B357" s="1143"/>
      <c r="C357" s="840"/>
      <c r="D357" s="841"/>
      <c r="E357" s="839"/>
      <c r="F357" s="821" t="s">
        <v>23</v>
      </c>
      <c r="G357" s="314">
        <v>2</v>
      </c>
      <c r="H357" s="739" t="s">
        <v>71</v>
      </c>
      <c r="I357" s="739">
        <v>244</v>
      </c>
      <c r="J357" s="740">
        <v>346</v>
      </c>
      <c r="K357" s="533" t="s">
        <v>635</v>
      </c>
      <c r="L357" s="1025">
        <v>12000</v>
      </c>
      <c r="M357" s="318"/>
      <c r="N357" s="318"/>
      <c r="O357" s="1052">
        <f t="shared" si="944"/>
        <v>12000</v>
      </c>
      <c r="P357" s="570"/>
      <c r="Q357" s="336">
        <v>0</v>
      </c>
      <c r="R357" s="559"/>
      <c r="S357" s="541">
        <v>0</v>
      </c>
      <c r="T357" s="559"/>
      <c r="U357" s="335"/>
      <c r="V357" s="596" t="s">
        <v>579</v>
      </c>
      <c r="W357" s="596" t="s">
        <v>481</v>
      </c>
      <c r="X357" s="320"/>
      <c r="Z357" s="336">
        <f t="shared" si="1150"/>
        <v>0</v>
      </c>
      <c r="AA357" s="337">
        <f t="shared" si="1150"/>
        <v>0</v>
      </c>
      <c r="AB357" s="338">
        <f t="shared" si="946"/>
        <v>0</v>
      </c>
      <c r="AC357" s="336">
        <f t="shared" si="1151"/>
        <v>0</v>
      </c>
      <c r="AD357" s="337">
        <f t="shared" si="1151"/>
        <v>0</v>
      </c>
      <c r="AE357" s="338">
        <f t="shared" si="948"/>
        <v>0</v>
      </c>
      <c r="AF357" s="336">
        <f t="shared" si="1152"/>
        <v>12000</v>
      </c>
      <c r="AG357" s="337">
        <f t="shared" si="1152"/>
        <v>0</v>
      </c>
      <c r="AH357" s="338">
        <f t="shared" si="950"/>
        <v>12000</v>
      </c>
      <c r="AI357" s="336">
        <f t="shared" si="1153"/>
        <v>0</v>
      </c>
      <c r="AJ357" s="337">
        <f t="shared" si="1153"/>
        <v>0</v>
      </c>
      <c r="AK357" s="338">
        <f t="shared" si="952"/>
        <v>0</v>
      </c>
      <c r="AL357" s="342"/>
      <c r="AM357" s="336">
        <f t="shared" si="1154"/>
        <v>0</v>
      </c>
      <c r="AN357" s="339">
        <f t="shared" si="1154"/>
        <v>0</v>
      </c>
      <c r="AO357" s="340">
        <f t="shared" si="954"/>
        <v>0</v>
      </c>
      <c r="AP357" s="336">
        <f t="shared" si="1155"/>
        <v>12000</v>
      </c>
      <c r="AQ357" s="339">
        <f t="shared" si="1155"/>
        <v>0</v>
      </c>
      <c r="AR357" s="340">
        <f t="shared" si="940"/>
        <v>12000</v>
      </c>
      <c r="AS357" s="341">
        <f t="shared" si="1156"/>
        <v>12000</v>
      </c>
      <c r="AT357" s="339">
        <f t="shared" si="1156"/>
        <v>0</v>
      </c>
      <c r="AU357" s="340">
        <f t="shared" si="942"/>
        <v>12000</v>
      </c>
      <c r="AV357" s="1255">
        <f t="shared" si="970"/>
        <v>0</v>
      </c>
      <c r="AW357" s="343"/>
      <c r="AX357" s="344"/>
      <c r="AY357" s="345"/>
      <c r="AZ357" s="344"/>
      <c r="BA357" s="345"/>
      <c r="BB357" s="346"/>
      <c r="BC357" s="347"/>
      <c r="BD357" s="348"/>
      <c r="BE357" s="349"/>
      <c r="BF357" s="348"/>
      <c r="BG357" s="349"/>
      <c r="BH357" s="350"/>
      <c r="BI357" s="351"/>
      <c r="BJ357" s="352"/>
      <c r="BK357" s="337">
        <v>12000</v>
      </c>
      <c r="BL357" s="352"/>
      <c r="BM357" s="337"/>
      <c r="BN357" s="353"/>
      <c r="BO357" s="354"/>
      <c r="BP357" s="355"/>
      <c r="BQ357" s="356"/>
      <c r="BR357" s="355"/>
      <c r="BS357" s="356"/>
      <c r="BT357" s="357"/>
    </row>
    <row r="358" spans="1:72" s="313" customFormat="1" ht="25.5" outlineLevel="2">
      <c r="A358" s="287">
        <v>277</v>
      </c>
      <c r="B358" s="1143"/>
      <c r="C358" s="840"/>
      <c r="D358" s="841"/>
      <c r="E358" s="839"/>
      <c r="F358" s="821" t="s">
        <v>23</v>
      </c>
      <c r="G358" s="314">
        <v>2</v>
      </c>
      <c r="H358" s="739" t="s">
        <v>71</v>
      </c>
      <c r="I358" s="739">
        <v>244</v>
      </c>
      <c r="J358" s="740">
        <v>346</v>
      </c>
      <c r="K358" s="533" t="s">
        <v>636</v>
      </c>
      <c r="L358" s="1025">
        <v>21210</v>
      </c>
      <c r="M358" s="318"/>
      <c r="N358" s="318"/>
      <c r="O358" s="1052">
        <f t="shared" si="944"/>
        <v>21210</v>
      </c>
      <c r="P358" s="570"/>
      <c r="Q358" s="336">
        <v>0</v>
      </c>
      <c r="R358" s="559"/>
      <c r="S358" s="541">
        <v>0</v>
      </c>
      <c r="T358" s="559"/>
      <c r="U358" s="335"/>
      <c r="V358" s="596" t="s">
        <v>637</v>
      </c>
      <c r="W358" s="320" t="s">
        <v>481</v>
      </c>
      <c r="X358" s="320"/>
      <c r="Z358" s="336">
        <f t="shared" si="1150"/>
        <v>21210</v>
      </c>
      <c r="AA358" s="337">
        <f t="shared" si="1150"/>
        <v>0</v>
      </c>
      <c r="AB358" s="338">
        <f t="shared" si="946"/>
        <v>21210</v>
      </c>
      <c r="AC358" s="336">
        <f t="shared" si="1151"/>
        <v>0</v>
      </c>
      <c r="AD358" s="337">
        <f t="shared" si="1151"/>
        <v>0</v>
      </c>
      <c r="AE358" s="338">
        <f t="shared" si="948"/>
        <v>0</v>
      </c>
      <c r="AF358" s="336">
        <f t="shared" si="1152"/>
        <v>0</v>
      </c>
      <c r="AG358" s="337">
        <f t="shared" si="1152"/>
        <v>0</v>
      </c>
      <c r="AH358" s="338">
        <f t="shared" si="950"/>
        <v>0</v>
      </c>
      <c r="AI358" s="336">
        <f t="shared" si="1153"/>
        <v>0</v>
      </c>
      <c r="AJ358" s="337">
        <f t="shared" si="1153"/>
        <v>0</v>
      </c>
      <c r="AK358" s="338">
        <f t="shared" si="952"/>
        <v>0</v>
      </c>
      <c r="AL358" s="342"/>
      <c r="AM358" s="336">
        <f t="shared" si="1154"/>
        <v>21210</v>
      </c>
      <c r="AN358" s="339">
        <f t="shared" si="1154"/>
        <v>0</v>
      </c>
      <c r="AO358" s="340">
        <f t="shared" si="954"/>
        <v>21210</v>
      </c>
      <c r="AP358" s="336">
        <f t="shared" si="1155"/>
        <v>21210</v>
      </c>
      <c r="AQ358" s="339">
        <f t="shared" si="1155"/>
        <v>0</v>
      </c>
      <c r="AR358" s="340">
        <f t="shared" si="940"/>
        <v>21210</v>
      </c>
      <c r="AS358" s="341">
        <f t="shared" si="1156"/>
        <v>21210</v>
      </c>
      <c r="AT358" s="339">
        <f t="shared" si="1156"/>
        <v>0</v>
      </c>
      <c r="AU358" s="340">
        <f t="shared" si="942"/>
        <v>21210</v>
      </c>
      <c r="AV358" s="1255">
        <f t="shared" si="970"/>
        <v>0</v>
      </c>
      <c r="AW358" s="343"/>
      <c r="AX358" s="344"/>
      <c r="AY358" s="345"/>
      <c r="AZ358" s="344"/>
      <c r="BA358" s="345">
        <v>21210</v>
      </c>
      <c r="BB358" s="346"/>
      <c r="BC358" s="347"/>
      <c r="BD358" s="348"/>
      <c r="BE358" s="349"/>
      <c r="BF358" s="348"/>
      <c r="BG358" s="349"/>
      <c r="BH358" s="350"/>
      <c r="BI358" s="351"/>
      <c r="BJ358" s="352"/>
      <c r="BK358" s="337"/>
      <c r="BL358" s="352"/>
      <c r="BM358" s="337"/>
      <c r="BN358" s="353"/>
      <c r="BO358" s="354"/>
      <c r="BP358" s="355"/>
      <c r="BQ358" s="356"/>
      <c r="BR358" s="355"/>
      <c r="BS358" s="356"/>
      <c r="BT358" s="357"/>
    </row>
    <row r="359" spans="1:72" s="313" customFormat="1" ht="76.5" outlineLevel="2">
      <c r="A359" s="287">
        <v>278</v>
      </c>
      <c r="B359" s="1143"/>
      <c r="C359" s="840"/>
      <c r="D359" s="841"/>
      <c r="E359" s="839"/>
      <c r="F359" s="821" t="s">
        <v>23</v>
      </c>
      <c r="G359" s="314">
        <v>2</v>
      </c>
      <c r="H359" s="739" t="s">
        <v>71</v>
      </c>
      <c r="I359" s="739">
        <v>244</v>
      </c>
      <c r="J359" s="740">
        <v>346</v>
      </c>
      <c r="K359" s="533" t="s">
        <v>519</v>
      </c>
      <c r="L359" s="1025">
        <v>2600</v>
      </c>
      <c r="M359" s="318"/>
      <c r="N359" s="318"/>
      <c r="O359" s="1052">
        <f t="shared" si="944"/>
        <v>2600</v>
      </c>
      <c r="P359" s="570"/>
      <c r="Q359" s="336">
        <v>0</v>
      </c>
      <c r="R359" s="559"/>
      <c r="S359" s="541">
        <v>0</v>
      </c>
      <c r="T359" s="559"/>
      <c r="U359" s="335"/>
      <c r="V359" s="596" t="s">
        <v>978</v>
      </c>
      <c r="W359" s="596" t="s">
        <v>979</v>
      </c>
      <c r="X359" s="320"/>
      <c r="Z359" s="336">
        <f t="shared" si="1150"/>
        <v>0</v>
      </c>
      <c r="AA359" s="337">
        <f t="shared" si="1150"/>
        <v>0</v>
      </c>
      <c r="AB359" s="338">
        <f t="shared" si="946"/>
        <v>0</v>
      </c>
      <c r="AC359" s="336">
        <f t="shared" si="1151"/>
        <v>0</v>
      </c>
      <c r="AD359" s="337">
        <f t="shared" si="1151"/>
        <v>0</v>
      </c>
      <c r="AE359" s="338">
        <f t="shared" si="948"/>
        <v>0</v>
      </c>
      <c r="AF359" s="336">
        <f t="shared" si="1152"/>
        <v>0</v>
      </c>
      <c r="AG359" s="337">
        <f t="shared" si="1152"/>
        <v>0</v>
      </c>
      <c r="AH359" s="338">
        <f t="shared" si="950"/>
        <v>0</v>
      </c>
      <c r="AI359" s="336">
        <f t="shared" si="1153"/>
        <v>2600</v>
      </c>
      <c r="AJ359" s="337">
        <f t="shared" si="1153"/>
        <v>0</v>
      </c>
      <c r="AK359" s="338">
        <f t="shared" si="952"/>
        <v>2600</v>
      </c>
      <c r="AL359" s="342"/>
      <c r="AM359" s="336">
        <f t="shared" si="1154"/>
        <v>0</v>
      </c>
      <c r="AN359" s="339">
        <f t="shared" si="1154"/>
        <v>0</v>
      </c>
      <c r="AO359" s="340">
        <f t="shared" si="954"/>
        <v>0</v>
      </c>
      <c r="AP359" s="336">
        <f t="shared" si="1155"/>
        <v>0</v>
      </c>
      <c r="AQ359" s="339">
        <f t="shared" si="1155"/>
        <v>0</v>
      </c>
      <c r="AR359" s="340">
        <f t="shared" si="940"/>
        <v>0</v>
      </c>
      <c r="AS359" s="341">
        <f t="shared" si="1156"/>
        <v>2600</v>
      </c>
      <c r="AT359" s="339">
        <f t="shared" si="1156"/>
        <v>0</v>
      </c>
      <c r="AU359" s="340">
        <f t="shared" si="942"/>
        <v>2600</v>
      </c>
      <c r="AV359" s="1255">
        <f t="shared" si="970"/>
        <v>0</v>
      </c>
      <c r="AW359" s="343"/>
      <c r="AX359" s="344"/>
      <c r="AY359" s="345"/>
      <c r="AZ359" s="344"/>
      <c r="BA359" s="345"/>
      <c r="BB359" s="346"/>
      <c r="BC359" s="347"/>
      <c r="BD359" s="348"/>
      <c r="BE359" s="349"/>
      <c r="BF359" s="348"/>
      <c r="BG359" s="349"/>
      <c r="BH359" s="350"/>
      <c r="BI359" s="351"/>
      <c r="BJ359" s="352"/>
      <c r="BK359" s="337"/>
      <c r="BL359" s="352"/>
      <c r="BM359" s="1137"/>
      <c r="BN359" s="353"/>
      <c r="BO359" s="1138">
        <v>316</v>
      </c>
      <c r="BP359" s="355"/>
      <c r="BQ359" s="356"/>
      <c r="BR359" s="355"/>
      <c r="BS359" s="356">
        <v>2284</v>
      </c>
      <c r="BT359" s="357"/>
    </row>
    <row r="360" spans="1:72" s="313" customFormat="1" ht="38.25" outlineLevel="2">
      <c r="A360" s="287">
        <v>279</v>
      </c>
      <c r="B360" s="1143"/>
      <c r="C360" s="840"/>
      <c r="D360" s="841"/>
      <c r="E360" s="839"/>
      <c r="F360" s="821" t="s">
        <v>23</v>
      </c>
      <c r="G360" s="314">
        <v>2</v>
      </c>
      <c r="H360" s="739" t="s">
        <v>71</v>
      </c>
      <c r="I360" s="739">
        <v>244</v>
      </c>
      <c r="J360" s="740">
        <v>346</v>
      </c>
      <c r="K360" s="533" t="s">
        <v>521</v>
      </c>
      <c r="L360" s="1025">
        <v>5000</v>
      </c>
      <c r="M360" s="318"/>
      <c r="N360" s="318"/>
      <c r="O360" s="1052">
        <f t="shared" si="944"/>
        <v>5000</v>
      </c>
      <c r="P360" s="570"/>
      <c r="Q360" s="336">
        <v>0</v>
      </c>
      <c r="R360" s="559"/>
      <c r="S360" s="541">
        <v>0</v>
      </c>
      <c r="T360" s="559"/>
      <c r="U360" s="335"/>
      <c r="V360" s="596" t="s">
        <v>567</v>
      </c>
      <c r="W360" s="596" t="s">
        <v>568</v>
      </c>
      <c r="X360" s="320"/>
      <c r="Z360" s="336">
        <f t="shared" si="1150"/>
        <v>2000</v>
      </c>
      <c r="AA360" s="337">
        <f t="shared" si="1150"/>
        <v>2000</v>
      </c>
      <c r="AB360" s="338">
        <f t="shared" si="946"/>
        <v>0</v>
      </c>
      <c r="AC360" s="336">
        <f t="shared" si="1151"/>
        <v>0</v>
      </c>
      <c r="AD360" s="337">
        <f t="shared" si="1151"/>
        <v>0</v>
      </c>
      <c r="AE360" s="338">
        <f t="shared" si="948"/>
        <v>0</v>
      </c>
      <c r="AF360" s="336">
        <f t="shared" si="1152"/>
        <v>2000</v>
      </c>
      <c r="AG360" s="337">
        <f t="shared" si="1152"/>
        <v>0</v>
      </c>
      <c r="AH360" s="338">
        <f t="shared" si="950"/>
        <v>2000</v>
      </c>
      <c r="AI360" s="336">
        <f t="shared" si="1153"/>
        <v>1000</v>
      </c>
      <c r="AJ360" s="337">
        <f t="shared" si="1153"/>
        <v>0</v>
      </c>
      <c r="AK360" s="338">
        <f t="shared" si="952"/>
        <v>1000</v>
      </c>
      <c r="AL360" s="342"/>
      <c r="AM360" s="336">
        <f t="shared" si="1154"/>
        <v>2000</v>
      </c>
      <c r="AN360" s="339">
        <f t="shared" si="1154"/>
        <v>2000</v>
      </c>
      <c r="AO360" s="340">
        <f t="shared" si="954"/>
        <v>0</v>
      </c>
      <c r="AP360" s="336">
        <f t="shared" si="1155"/>
        <v>4000</v>
      </c>
      <c r="AQ360" s="339">
        <f t="shared" si="1155"/>
        <v>2000</v>
      </c>
      <c r="AR360" s="340">
        <f t="shared" si="940"/>
        <v>2000</v>
      </c>
      <c r="AS360" s="341">
        <f t="shared" si="1156"/>
        <v>5000</v>
      </c>
      <c r="AT360" s="339">
        <f t="shared" si="1156"/>
        <v>2000</v>
      </c>
      <c r="AU360" s="340">
        <f t="shared" si="942"/>
        <v>3000</v>
      </c>
      <c r="AV360" s="1255">
        <f t="shared" si="970"/>
        <v>0</v>
      </c>
      <c r="AW360" s="343"/>
      <c r="AX360" s="344"/>
      <c r="AY360" s="345"/>
      <c r="AZ360" s="344"/>
      <c r="BA360" s="1133">
        <v>2000</v>
      </c>
      <c r="BB360" s="1153">
        <v>2000</v>
      </c>
      <c r="BC360" s="347"/>
      <c r="BD360" s="348"/>
      <c r="BE360" s="349"/>
      <c r="BF360" s="348"/>
      <c r="BG360" s="349"/>
      <c r="BH360" s="350"/>
      <c r="BI360" s="351"/>
      <c r="BJ360" s="352"/>
      <c r="BK360" s="337">
        <v>2000</v>
      </c>
      <c r="BL360" s="352"/>
      <c r="BM360" s="337"/>
      <c r="BN360" s="353"/>
      <c r="BO360" s="354"/>
      <c r="BP360" s="355"/>
      <c r="BQ360" s="356">
        <v>1000</v>
      </c>
      <c r="BR360" s="355"/>
      <c r="BS360" s="356"/>
      <c r="BT360" s="357"/>
    </row>
    <row r="361" spans="1:72" s="313" customFormat="1" ht="51" outlineLevel="2">
      <c r="A361" s="287">
        <v>280</v>
      </c>
      <c r="B361" s="1143"/>
      <c r="C361" s="840"/>
      <c r="D361" s="841"/>
      <c r="E361" s="839"/>
      <c r="F361" s="821" t="s">
        <v>23</v>
      </c>
      <c r="G361" s="314">
        <v>2</v>
      </c>
      <c r="H361" s="739" t="s">
        <v>71</v>
      </c>
      <c r="I361" s="739">
        <v>244</v>
      </c>
      <c r="J361" s="740">
        <v>346</v>
      </c>
      <c r="K361" s="533" t="s">
        <v>521</v>
      </c>
      <c r="L361" s="1025">
        <v>2000</v>
      </c>
      <c r="M361" s="318"/>
      <c r="N361" s="318"/>
      <c r="O361" s="1052">
        <f t="shared" si="944"/>
        <v>2000</v>
      </c>
      <c r="P361" s="570"/>
      <c r="Q361" s="336">
        <v>0</v>
      </c>
      <c r="R361" s="559"/>
      <c r="S361" s="541">
        <v>0</v>
      </c>
      <c r="T361" s="559"/>
      <c r="U361" s="335"/>
      <c r="V361" s="596" t="s">
        <v>609</v>
      </c>
      <c r="W361" s="596" t="s">
        <v>610</v>
      </c>
      <c r="X361" s="320"/>
      <c r="Z361" s="336">
        <f t="shared" si="1150"/>
        <v>2000</v>
      </c>
      <c r="AA361" s="337">
        <f t="shared" si="1150"/>
        <v>2000</v>
      </c>
      <c r="AB361" s="338">
        <f t="shared" si="946"/>
        <v>0</v>
      </c>
      <c r="AC361" s="336">
        <f t="shared" si="1151"/>
        <v>0</v>
      </c>
      <c r="AD361" s="337">
        <f t="shared" si="1151"/>
        <v>0</v>
      </c>
      <c r="AE361" s="338">
        <f t="shared" si="948"/>
        <v>0</v>
      </c>
      <c r="AF361" s="336">
        <f t="shared" si="1152"/>
        <v>0</v>
      </c>
      <c r="AG361" s="337">
        <f t="shared" si="1152"/>
        <v>0</v>
      </c>
      <c r="AH361" s="338">
        <f t="shared" si="950"/>
        <v>0</v>
      </c>
      <c r="AI361" s="336">
        <f t="shared" si="1153"/>
        <v>0</v>
      </c>
      <c r="AJ361" s="337">
        <f t="shared" si="1153"/>
        <v>0</v>
      </c>
      <c r="AK361" s="338">
        <f t="shared" si="952"/>
        <v>0</v>
      </c>
      <c r="AL361" s="342"/>
      <c r="AM361" s="336">
        <f t="shared" si="1154"/>
        <v>2000</v>
      </c>
      <c r="AN361" s="339">
        <f t="shared" si="1154"/>
        <v>2000</v>
      </c>
      <c r="AO361" s="340">
        <f t="shared" si="954"/>
        <v>0</v>
      </c>
      <c r="AP361" s="336">
        <f t="shared" si="1155"/>
        <v>2000</v>
      </c>
      <c r="AQ361" s="339">
        <f t="shared" si="1155"/>
        <v>2000</v>
      </c>
      <c r="AR361" s="340">
        <f t="shared" si="940"/>
        <v>0</v>
      </c>
      <c r="AS361" s="341">
        <f t="shared" si="1156"/>
        <v>2000</v>
      </c>
      <c r="AT361" s="339">
        <f t="shared" si="1156"/>
        <v>2000</v>
      </c>
      <c r="AU361" s="340">
        <f t="shared" si="942"/>
        <v>0</v>
      </c>
      <c r="AV361" s="1255">
        <f t="shared" si="970"/>
        <v>0</v>
      </c>
      <c r="AW361" s="343"/>
      <c r="AX361" s="344"/>
      <c r="AY361" s="345"/>
      <c r="AZ361" s="344"/>
      <c r="BA361" s="1133">
        <v>2000</v>
      </c>
      <c r="BB361" s="1153">
        <v>2000</v>
      </c>
      <c r="BC361" s="347"/>
      <c r="BD361" s="348"/>
      <c r="BE361" s="349"/>
      <c r="BF361" s="348"/>
      <c r="BG361" s="349"/>
      <c r="BH361" s="350"/>
      <c r="BI361" s="351"/>
      <c r="BJ361" s="352"/>
      <c r="BK361" s="337"/>
      <c r="BL361" s="352"/>
      <c r="BM361" s="337"/>
      <c r="BN361" s="353"/>
      <c r="BO361" s="354"/>
      <c r="BP361" s="355"/>
      <c r="BQ361" s="356"/>
      <c r="BR361" s="355"/>
      <c r="BS361" s="356"/>
      <c r="BT361" s="357"/>
    </row>
    <row r="362" spans="1:72" s="313" customFormat="1" ht="38.25" outlineLevel="2">
      <c r="A362" s="287">
        <v>281</v>
      </c>
      <c r="B362" s="1143"/>
      <c r="C362" s="840"/>
      <c r="D362" s="841"/>
      <c r="E362" s="839"/>
      <c r="F362" s="821" t="s">
        <v>23</v>
      </c>
      <c r="G362" s="314">
        <v>2</v>
      </c>
      <c r="H362" s="739" t="s">
        <v>71</v>
      </c>
      <c r="I362" s="739">
        <v>244</v>
      </c>
      <c r="J362" s="740">
        <v>346</v>
      </c>
      <c r="K362" s="533" t="s">
        <v>705</v>
      </c>
      <c r="L362" s="1025">
        <f>1000+201</f>
        <v>1201</v>
      </c>
      <c r="M362" s="318"/>
      <c r="N362" s="318"/>
      <c r="O362" s="1052">
        <f>L362+N362</f>
        <v>1201</v>
      </c>
      <c r="P362" s="570"/>
      <c r="Q362" s="336">
        <v>0</v>
      </c>
      <c r="R362" s="559"/>
      <c r="S362" s="541">
        <v>0</v>
      </c>
      <c r="T362" s="559"/>
      <c r="U362" s="335"/>
      <c r="V362" s="596" t="s">
        <v>706</v>
      </c>
      <c r="W362" s="596" t="s">
        <v>707</v>
      </c>
      <c r="X362" s="320"/>
      <c r="Z362" s="336">
        <f t="shared" si="1150"/>
        <v>1201</v>
      </c>
      <c r="AA362" s="337">
        <f t="shared" si="1150"/>
        <v>1201</v>
      </c>
      <c r="AB362" s="338">
        <f t="shared" si="946"/>
        <v>0</v>
      </c>
      <c r="AC362" s="336">
        <f t="shared" si="1151"/>
        <v>0</v>
      </c>
      <c r="AD362" s="337">
        <f t="shared" si="1151"/>
        <v>0</v>
      </c>
      <c r="AE362" s="338">
        <f t="shared" si="948"/>
        <v>0</v>
      </c>
      <c r="AF362" s="336">
        <f t="shared" si="1152"/>
        <v>0</v>
      </c>
      <c r="AG362" s="337">
        <f t="shared" si="1152"/>
        <v>0</v>
      </c>
      <c r="AH362" s="338">
        <f t="shared" si="950"/>
        <v>0</v>
      </c>
      <c r="AI362" s="336">
        <f t="shared" si="1153"/>
        <v>0</v>
      </c>
      <c r="AJ362" s="337">
        <f t="shared" si="1153"/>
        <v>0</v>
      </c>
      <c r="AK362" s="338">
        <f t="shared" si="952"/>
        <v>0</v>
      </c>
      <c r="AL362" s="342"/>
      <c r="AM362" s="336">
        <f t="shared" si="1154"/>
        <v>1201</v>
      </c>
      <c r="AN362" s="339">
        <f t="shared" si="1154"/>
        <v>1201</v>
      </c>
      <c r="AO362" s="340">
        <f t="shared" si="954"/>
        <v>0</v>
      </c>
      <c r="AP362" s="336">
        <f t="shared" si="1155"/>
        <v>1201</v>
      </c>
      <c r="AQ362" s="339">
        <f t="shared" si="1155"/>
        <v>1201</v>
      </c>
      <c r="AR362" s="340">
        <f t="shared" si="940"/>
        <v>0</v>
      </c>
      <c r="AS362" s="341">
        <f t="shared" si="1156"/>
        <v>1201</v>
      </c>
      <c r="AT362" s="339">
        <f t="shared" si="1156"/>
        <v>1201</v>
      </c>
      <c r="AU362" s="340">
        <f t="shared" si="942"/>
        <v>0</v>
      </c>
      <c r="AV362" s="1255">
        <f>L362-AS362</f>
        <v>0</v>
      </c>
      <c r="AW362" s="343"/>
      <c r="AX362" s="344"/>
      <c r="AY362" s="1133">
        <v>1201</v>
      </c>
      <c r="AZ362" s="1152">
        <v>1201</v>
      </c>
      <c r="BA362" s="345"/>
      <c r="BB362" s="346"/>
      <c r="BC362" s="347"/>
      <c r="BD362" s="348"/>
      <c r="BE362" s="349"/>
      <c r="BF362" s="348"/>
      <c r="BG362" s="349"/>
      <c r="BH362" s="350"/>
      <c r="BI362" s="351"/>
      <c r="BJ362" s="352"/>
      <c r="BK362" s="337"/>
      <c r="BL362" s="352"/>
      <c r="BM362" s="337"/>
      <c r="BN362" s="353"/>
      <c r="BO362" s="354"/>
      <c r="BP362" s="355"/>
      <c r="BQ362" s="356"/>
      <c r="BR362" s="355"/>
      <c r="BS362" s="356"/>
      <c r="BT362" s="357"/>
    </row>
    <row r="363" spans="1:72" s="313" customFormat="1" ht="38.25" outlineLevel="2">
      <c r="A363" s="287">
        <v>282</v>
      </c>
      <c r="B363" s="1143"/>
      <c r="C363" s="840"/>
      <c r="D363" s="841"/>
      <c r="E363" s="839"/>
      <c r="F363" s="821" t="s">
        <v>23</v>
      </c>
      <c r="G363" s="314">
        <v>2</v>
      </c>
      <c r="H363" s="739" t="s">
        <v>71</v>
      </c>
      <c r="I363" s="739">
        <v>244</v>
      </c>
      <c r="J363" s="740">
        <v>346</v>
      </c>
      <c r="K363" s="533" t="s">
        <v>673</v>
      </c>
      <c r="L363" s="1025">
        <v>38115</v>
      </c>
      <c r="M363" s="318"/>
      <c r="N363" s="318"/>
      <c r="O363" s="1052">
        <f>L363+N363</f>
        <v>38115</v>
      </c>
      <c r="P363" s="570"/>
      <c r="Q363" s="336">
        <v>0</v>
      </c>
      <c r="R363" s="559"/>
      <c r="S363" s="541">
        <v>0</v>
      </c>
      <c r="T363" s="559"/>
      <c r="U363" s="335"/>
      <c r="V363" s="596" t="s">
        <v>674</v>
      </c>
      <c r="W363" s="596" t="s">
        <v>675</v>
      </c>
      <c r="X363" s="596" t="s">
        <v>676</v>
      </c>
      <c r="Z363" s="336">
        <f t="shared" si="1150"/>
        <v>0</v>
      </c>
      <c r="AA363" s="337">
        <f t="shared" si="1150"/>
        <v>0</v>
      </c>
      <c r="AB363" s="338">
        <f t="shared" si="946"/>
        <v>0</v>
      </c>
      <c r="AC363" s="336">
        <f t="shared" si="1151"/>
        <v>38115</v>
      </c>
      <c r="AD363" s="337">
        <f t="shared" si="1151"/>
        <v>0</v>
      </c>
      <c r="AE363" s="338">
        <f t="shared" si="948"/>
        <v>38115</v>
      </c>
      <c r="AF363" s="336">
        <f t="shared" si="1152"/>
        <v>0</v>
      </c>
      <c r="AG363" s="337">
        <f t="shared" si="1152"/>
        <v>0</v>
      </c>
      <c r="AH363" s="338">
        <f t="shared" si="950"/>
        <v>0</v>
      </c>
      <c r="AI363" s="336">
        <f t="shared" si="1153"/>
        <v>0</v>
      </c>
      <c r="AJ363" s="337">
        <f t="shared" si="1153"/>
        <v>0</v>
      </c>
      <c r="AK363" s="338">
        <f t="shared" si="952"/>
        <v>0</v>
      </c>
      <c r="AL363" s="342"/>
      <c r="AM363" s="336">
        <f t="shared" si="1154"/>
        <v>38115</v>
      </c>
      <c r="AN363" s="339">
        <f t="shared" si="1154"/>
        <v>0</v>
      </c>
      <c r="AO363" s="340">
        <f t="shared" si="954"/>
        <v>38115</v>
      </c>
      <c r="AP363" s="336">
        <f t="shared" si="1155"/>
        <v>38115</v>
      </c>
      <c r="AQ363" s="339">
        <f t="shared" si="1155"/>
        <v>0</v>
      </c>
      <c r="AR363" s="340">
        <f t="shared" si="940"/>
        <v>38115</v>
      </c>
      <c r="AS363" s="341">
        <f t="shared" si="1156"/>
        <v>38115</v>
      </c>
      <c r="AT363" s="339">
        <f t="shared" si="1156"/>
        <v>0</v>
      </c>
      <c r="AU363" s="340">
        <f t="shared" si="942"/>
        <v>38115</v>
      </c>
      <c r="AV363" s="1255">
        <f>L363-AS363</f>
        <v>0</v>
      </c>
      <c r="AW363" s="343"/>
      <c r="AX363" s="344"/>
      <c r="AY363" s="345"/>
      <c r="AZ363" s="344"/>
      <c r="BA363" s="345"/>
      <c r="BB363" s="346"/>
      <c r="BC363" s="1134"/>
      <c r="BD363" s="348"/>
      <c r="BE363" s="349">
        <v>38115</v>
      </c>
      <c r="BF363" s="348"/>
      <c r="BG363" s="349"/>
      <c r="BH363" s="350"/>
      <c r="BI363" s="351"/>
      <c r="BJ363" s="352"/>
      <c r="BK363" s="337"/>
      <c r="BL363" s="352"/>
      <c r="BM363" s="337"/>
      <c r="BN363" s="353"/>
      <c r="BO363" s="354"/>
      <c r="BP363" s="355"/>
      <c r="BQ363" s="356"/>
      <c r="BR363" s="355"/>
      <c r="BS363" s="356"/>
      <c r="BT363" s="357"/>
    </row>
    <row r="364" spans="1:72" s="313" customFormat="1" ht="25.5" outlineLevel="2">
      <c r="A364" s="287">
        <v>283</v>
      </c>
      <c r="B364" s="1143"/>
      <c r="C364" s="840"/>
      <c r="D364" s="841"/>
      <c r="E364" s="839"/>
      <c r="F364" s="821" t="s">
        <v>23</v>
      </c>
      <c r="G364" s="314">
        <v>2</v>
      </c>
      <c r="H364" s="739" t="s">
        <v>71</v>
      </c>
      <c r="I364" s="739">
        <v>244</v>
      </c>
      <c r="J364" s="740">
        <v>346</v>
      </c>
      <c r="K364" s="533" t="s">
        <v>695</v>
      </c>
      <c r="L364" s="1025">
        <v>8170</v>
      </c>
      <c r="M364" s="318"/>
      <c r="N364" s="318"/>
      <c r="O364" s="1052">
        <f t="shared" ref="O364:O369" si="1178">L364+N364</f>
        <v>8170</v>
      </c>
      <c r="P364" s="570"/>
      <c r="Q364" s="336">
        <v>0</v>
      </c>
      <c r="R364" s="559"/>
      <c r="S364" s="541">
        <v>0</v>
      </c>
      <c r="T364" s="559"/>
      <c r="U364" s="335"/>
      <c r="V364" s="596" t="s">
        <v>579</v>
      </c>
      <c r="W364" s="596" t="s">
        <v>821</v>
      </c>
      <c r="X364" s="388" t="s">
        <v>822</v>
      </c>
      <c r="Z364" s="336">
        <f t="shared" si="1150"/>
        <v>0</v>
      </c>
      <c r="AA364" s="337">
        <f t="shared" si="1150"/>
        <v>0</v>
      </c>
      <c r="AB364" s="338">
        <f t="shared" si="946"/>
        <v>0</v>
      </c>
      <c r="AC364" s="336">
        <f t="shared" si="1151"/>
        <v>8170</v>
      </c>
      <c r="AD364" s="337">
        <f t="shared" si="1151"/>
        <v>8170</v>
      </c>
      <c r="AE364" s="338">
        <f t="shared" si="948"/>
        <v>0</v>
      </c>
      <c r="AF364" s="336">
        <f t="shared" si="1152"/>
        <v>0</v>
      </c>
      <c r="AG364" s="337">
        <f t="shared" si="1152"/>
        <v>0</v>
      </c>
      <c r="AH364" s="338">
        <f t="shared" si="950"/>
        <v>0</v>
      </c>
      <c r="AI364" s="336">
        <f t="shared" si="1153"/>
        <v>0</v>
      </c>
      <c r="AJ364" s="337">
        <f t="shared" si="1153"/>
        <v>0</v>
      </c>
      <c r="AK364" s="338">
        <f t="shared" si="952"/>
        <v>0</v>
      </c>
      <c r="AL364" s="342"/>
      <c r="AM364" s="336">
        <f t="shared" si="1154"/>
        <v>8170</v>
      </c>
      <c r="AN364" s="339">
        <f t="shared" si="1154"/>
        <v>8170</v>
      </c>
      <c r="AO364" s="340">
        <f t="shared" si="954"/>
        <v>0</v>
      </c>
      <c r="AP364" s="336">
        <f t="shared" si="1155"/>
        <v>8170</v>
      </c>
      <c r="AQ364" s="339">
        <f t="shared" si="1155"/>
        <v>8170</v>
      </c>
      <c r="AR364" s="340">
        <f t="shared" si="940"/>
        <v>0</v>
      </c>
      <c r="AS364" s="341">
        <f t="shared" si="1156"/>
        <v>8170</v>
      </c>
      <c r="AT364" s="339">
        <f t="shared" si="1156"/>
        <v>8170</v>
      </c>
      <c r="AU364" s="340">
        <f t="shared" si="942"/>
        <v>0</v>
      </c>
      <c r="AV364" s="1255">
        <f t="shared" ref="AV364:AV369" si="1179">L364-AS364</f>
        <v>0</v>
      </c>
      <c r="AW364" s="343"/>
      <c r="AX364" s="344"/>
      <c r="AY364" s="345"/>
      <c r="AZ364" s="344"/>
      <c r="BA364" s="345"/>
      <c r="BB364" s="346"/>
      <c r="BC364" s="1134">
        <v>8170</v>
      </c>
      <c r="BD364" s="1140">
        <v>8170</v>
      </c>
      <c r="BE364" s="349"/>
      <c r="BF364" s="348"/>
      <c r="BG364" s="349"/>
      <c r="BH364" s="350"/>
      <c r="BI364" s="351"/>
      <c r="BJ364" s="352"/>
      <c r="BK364" s="337"/>
      <c r="BL364" s="352"/>
      <c r="BM364" s="337"/>
      <c r="BN364" s="353"/>
      <c r="BO364" s="354"/>
      <c r="BP364" s="355"/>
      <c r="BQ364" s="356"/>
      <c r="BR364" s="355"/>
      <c r="BS364" s="356"/>
      <c r="BT364" s="357"/>
    </row>
    <row r="365" spans="1:72" s="313" customFormat="1" ht="38.25" outlineLevel="2">
      <c r="A365" s="287">
        <v>283</v>
      </c>
      <c r="B365" s="1143"/>
      <c r="C365" s="840"/>
      <c r="D365" s="841"/>
      <c r="E365" s="839"/>
      <c r="F365" s="821" t="s">
        <v>23</v>
      </c>
      <c r="G365" s="314">
        <v>2</v>
      </c>
      <c r="H365" s="739" t="s">
        <v>71</v>
      </c>
      <c r="I365" s="739">
        <v>244</v>
      </c>
      <c r="J365" s="740">
        <v>346</v>
      </c>
      <c r="K365" s="533" t="s">
        <v>993</v>
      </c>
      <c r="L365" s="1025">
        <v>860</v>
      </c>
      <c r="M365" s="318"/>
      <c r="N365" s="318"/>
      <c r="O365" s="1052">
        <f t="shared" ref="O365" si="1180">L365+N365</f>
        <v>860</v>
      </c>
      <c r="P365" s="570"/>
      <c r="Q365" s="336">
        <v>0</v>
      </c>
      <c r="R365" s="559"/>
      <c r="S365" s="541">
        <v>0</v>
      </c>
      <c r="T365" s="559"/>
      <c r="U365" s="335"/>
      <c r="V365" s="596" t="s">
        <v>640</v>
      </c>
      <c r="W365" s="596" t="s">
        <v>994</v>
      </c>
      <c r="X365" s="388"/>
      <c r="Z365" s="336">
        <f t="shared" ref="Z365" si="1181">AW365+AY365+BA365</f>
        <v>0</v>
      </c>
      <c r="AA365" s="337">
        <f t="shared" ref="AA365" si="1182">AX365+AZ365+BB365</f>
        <v>0</v>
      </c>
      <c r="AB365" s="338">
        <f t="shared" ref="AB365" si="1183">Z365-AA365</f>
        <v>0</v>
      </c>
      <c r="AC365" s="336">
        <f t="shared" ref="AC365" si="1184">BC365+BE365+BG365</f>
        <v>8170</v>
      </c>
      <c r="AD365" s="337">
        <f t="shared" ref="AD365" si="1185">BD365+BF365+BH365</f>
        <v>8170</v>
      </c>
      <c r="AE365" s="338">
        <f t="shared" ref="AE365" si="1186">AC365-AD365</f>
        <v>0</v>
      </c>
      <c r="AF365" s="336">
        <f t="shared" ref="AF365" si="1187">BI365+BK365+BM365</f>
        <v>0</v>
      </c>
      <c r="AG365" s="337">
        <f t="shared" ref="AG365" si="1188">BJ365+BL365+BN365</f>
        <v>0</v>
      </c>
      <c r="AH365" s="338">
        <f t="shared" ref="AH365" si="1189">AF365-AG365</f>
        <v>0</v>
      </c>
      <c r="AI365" s="336">
        <f t="shared" ref="AI365" si="1190">BO365+BQ365+BS365</f>
        <v>0</v>
      </c>
      <c r="AJ365" s="337">
        <f t="shared" ref="AJ365" si="1191">BP365+BR365+BT365</f>
        <v>0</v>
      </c>
      <c r="AK365" s="338">
        <f t="shared" ref="AK365" si="1192">AI365-AJ365</f>
        <v>0</v>
      </c>
      <c r="AL365" s="342"/>
      <c r="AM365" s="336">
        <f t="shared" ref="AM365" si="1193">Z365+AC365</f>
        <v>8170</v>
      </c>
      <c r="AN365" s="339">
        <f t="shared" ref="AN365" si="1194">AA365+AD365</f>
        <v>8170</v>
      </c>
      <c r="AO365" s="340">
        <f t="shared" ref="AO365" si="1195">AM365-AN365</f>
        <v>0</v>
      </c>
      <c r="AP365" s="336">
        <f t="shared" ref="AP365" si="1196">Z365+AC365+AF365</f>
        <v>8170</v>
      </c>
      <c r="AQ365" s="339">
        <f t="shared" ref="AQ365" si="1197">AA365+AD365+AG365</f>
        <v>8170</v>
      </c>
      <c r="AR365" s="340">
        <f t="shared" ref="AR365" si="1198">AP365-AQ365</f>
        <v>0</v>
      </c>
      <c r="AS365" s="341">
        <f t="shared" ref="AS365" si="1199">Z365+AC365+AF365+AI365</f>
        <v>8170</v>
      </c>
      <c r="AT365" s="339">
        <f t="shared" ref="AT365" si="1200">AA365+AD365+AG365+AJ365</f>
        <v>8170</v>
      </c>
      <c r="AU365" s="340">
        <f t="shared" ref="AU365" si="1201">AS365-AT365</f>
        <v>0</v>
      </c>
      <c r="AV365" s="1255">
        <f t="shared" ref="AV365" si="1202">L365-AS365</f>
        <v>-7310</v>
      </c>
      <c r="AW365" s="343"/>
      <c r="AX365" s="344"/>
      <c r="AY365" s="345"/>
      <c r="AZ365" s="344"/>
      <c r="BA365" s="345"/>
      <c r="BB365" s="346"/>
      <c r="BC365" s="1134">
        <v>8170</v>
      </c>
      <c r="BD365" s="1140">
        <v>8170</v>
      </c>
      <c r="BE365" s="349"/>
      <c r="BF365" s="348"/>
      <c r="BG365" s="349"/>
      <c r="BH365" s="350"/>
      <c r="BI365" s="351"/>
      <c r="BJ365" s="352"/>
      <c r="BK365" s="337"/>
      <c r="BL365" s="352"/>
      <c r="BM365" s="337"/>
      <c r="BN365" s="353"/>
      <c r="BO365" s="354"/>
      <c r="BP365" s="355"/>
      <c r="BQ365" s="356"/>
      <c r="BR365" s="355"/>
      <c r="BS365" s="356"/>
      <c r="BT365" s="357"/>
    </row>
    <row r="366" spans="1:72" s="313" customFormat="1" ht="38.25" outlineLevel="2">
      <c r="A366" s="287">
        <v>284</v>
      </c>
      <c r="B366" s="1143"/>
      <c r="C366" s="840"/>
      <c r="D366" s="841"/>
      <c r="E366" s="839"/>
      <c r="F366" s="821" t="s">
        <v>23</v>
      </c>
      <c r="G366" s="314">
        <v>2</v>
      </c>
      <c r="H366" s="739" t="s">
        <v>71</v>
      </c>
      <c r="I366" s="739">
        <v>244</v>
      </c>
      <c r="J366" s="740">
        <v>346</v>
      </c>
      <c r="K366" s="533" t="s">
        <v>712</v>
      </c>
      <c r="L366" s="1025">
        <v>570</v>
      </c>
      <c r="M366" s="318"/>
      <c r="N366" s="318"/>
      <c r="O366" s="1052">
        <f t="shared" si="1178"/>
        <v>570</v>
      </c>
      <c r="P366" s="570"/>
      <c r="Q366" s="336">
        <v>0</v>
      </c>
      <c r="R366" s="559"/>
      <c r="S366" s="541">
        <v>0</v>
      </c>
      <c r="T366" s="559"/>
      <c r="U366" s="335"/>
      <c r="V366" s="596" t="s">
        <v>640</v>
      </c>
      <c r="W366" s="596" t="s">
        <v>713</v>
      </c>
      <c r="X366" s="320"/>
      <c r="Z366" s="336">
        <f t="shared" si="1150"/>
        <v>0</v>
      </c>
      <c r="AA366" s="337">
        <f t="shared" si="1150"/>
        <v>0</v>
      </c>
      <c r="AB366" s="338">
        <f t="shared" si="946"/>
        <v>0</v>
      </c>
      <c r="AC366" s="336">
        <f t="shared" si="1151"/>
        <v>570</v>
      </c>
      <c r="AD366" s="337">
        <f t="shared" si="1151"/>
        <v>570</v>
      </c>
      <c r="AE366" s="338">
        <f t="shared" si="948"/>
        <v>0</v>
      </c>
      <c r="AF366" s="336">
        <f t="shared" si="1152"/>
        <v>0</v>
      </c>
      <c r="AG366" s="337">
        <f t="shared" si="1152"/>
        <v>0</v>
      </c>
      <c r="AH366" s="338">
        <f t="shared" si="950"/>
        <v>0</v>
      </c>
      <c r="AI366" s="336">
        <f t="shared" si="1153"/>
        <v>0</v>
      </c>
      <c r="AJ366" s="337">
        <f t="shared" si="1153"/>
        <v>0</v>
      </c>
      <c r="AK366" s="338">
        <f t="shared" si="952"/>
        <v>0</v>
      </c>
      <c r="AL366" s="342"/>
      <c r="AM366" s="336">
        <f t="shared" si="1154"/>
        <v>570</v>
      </c>
      <c r="AN366" s="339">
        <f t="shared" si="1154"/>
        <v>570</v>
      </c>
      <c r="AO366" s="340">
        <f t="shared" si="954"/>
        <v>0</v>
      </c>
      <c r="AP366" s="336">
        <f t="shared" si="1155"/>
        <v>570</v>
      </c>
      <c r="AQ366" s="339">
        <f t="shared" si="1155"/>
        <v>570</v>
      </c>
      <c r="AR366" s="340">
        <f t="shared" si="940"/>
        <v>0</v>
      </c>
      <c r="AS366" s="341">
        <f t="shared" si="1156"/>
        <v>570</v>
      </c>
      <c r="AT366" s="339">
        <f t="shared" si="1156"/>
        <v>570</v>
      </c>
      <c r="AU366" s="340">
        <f t="shared" si="942"/>
        <v>0</v>
      </c>
      <c r="AV366" s="1255">
        <f t="shared" si="1179"/>
        <v>0</v>
      </c>
      <c r="AW366" s="343"/>
      <c r="AX366" s="344"/>
      <c r="AY366" s="345"/>
      <c r="AZ366" s="344"/>
      <c r="BA366" s="345"/>
      <c r="BB366" s="346"/>
      <c r="BC366" s="1134">
        <v>570</v>
      </c>
      <c r="BD366" s="1140">
        <v>570</v>
      </c>
      <c r="BE366" s="349"/>
      <c r="BF366" s="348"/>
      <c r="BG366" s="349"/>
      <c r="BH366" s="350"/>
      <c r="BI366" s="351"/>
      <c r="BJ366" s="352"/>
      <c r="BK366" s="337"/>
      <c r="BL366" s="352"/>
      <c r="BM366" s="337"/>
      <c r="BN366" s="353"/>
      <c r="BO366" s="354"/>
      <c r="BP366" s="355"/>
      <c r="BQ366" s="356"/>
      <c r="BR366" s="355"/>
      <c r="BS366" s="356"/>
      <c r="BT366" s="357"/>
    </row>
    <row r="367" spans="1:72" s="313" customFormat="1" ht="51" outlineLevel="2">
      <c r="A367" s="287">
        <v>285</v>
      </c>
      <c r="B367" s="1143"/>
      <c r="C367" s="840"/>
      <c r="D367" s="841"/>
      <c r="E367" s="839"/>
      <c r="F367" s="821" t="s">
        <v>23</v>
      </c>
      <c r="G367" s="314">
        <v>2</v>
      </c>
      <c r="H367" s="739" t="s">
        <v>71</v>
      </c>
      <c r="I367" s="739">
        <v>244</v>
      </c>
      <c r="J367" s="740">
        <v>346</v>
      </c>
      <c r="K367" s="533" t="s">
        <v>1026</v>
      </c>
      <c r="L367" s="1025">
        <v>4101</v>
      </c>
      <c r="M367" s="318"/>
      <c r="N367" s="318"/>
      <c r="O367" s="1052">
        <f t="shared" si="1178"/>
        <v>4101</v>
      </c>
      <c r="P367" s="570"/>
      <c r="Q367" s="336">
        <v>0</v>
      </c>
      <c r="R367" s="559"/>
      <c r="S367" s="541">
        <v>0</v>
      </c>
      <c r="T367" s="559"/>
      <c r="U367" s="335"/>
      <c r="V367" s="596" t="s">
        <v>706</v>
      </c>
      <c r="W367" s="596" t="s">
        <v>1025</v>
      </c>
      <c r="X367" s="320"/>
      <c r="Z367" s="336">
        <f t="shared" si="1150"/>
        <v>0</v>
      </c>
      <c r="AA367" s="337">
        <f t="shared" si="1150"/>
        <v>0</v>
      </c>
      <c r="AB367" s="338">
        <f t="shared" si="946"/>
        <v>0</v>
      </c>
      <c r="AC367" s="336">
        <f t="shared" si="1151"/>
        <v>0</v>
      </c>
      <c r="AD367" s="337">
        <f t="shared" si="1151"/>
        <v>0</v>
      </c>
      <c r="AE367" s="338">
        <f t="shared" si="948"/>
        <v>0</v>
      </c>
      <c r="AF367" s="336">
        <f t="shared" si="1152"/>
        <v>3402.64</v>
      </c>
      <c r="AG367" s="337">
        <f t="shared" si="1152"/>
        <v>0</v>
      </c>
      <c r="AH367" s="338">
        <f t="shared" si="950"/>
        <v>3402.64</v>
      </c>
      <c r="AI367" s="336">
        <f t="shared" si="1153"/>
        <v>698.36</v>
      </c>
      <c r="AJ367" s="337">
        <f t="shared" si="1153"/>
        <v>0</v>
      </c>
      <c r="AK367" s="338">
        <f t="shared" si="952"/>
        <v>698.36</v>
      </c>
      <c r="AL367" s="342"/>
      <c r="AM367" s="336">
        <f t="shared" si="1154"/>
        <v>0</v>
      </c>
      <c r="AN367" s="339">
        <f t="shared" si="1154"/>
        <v>0</v>
      </c>
      <c r="AO367" s="340">
        <f t="shared" si="954"/>
        <v>0</v>
      </c>
      <c r="AP367" s="336">
        <f t="shared" si="1155"/>
        <v>3402.64</v>
      </c>
      <c r="AQ367" s="339">
        <f t="shared" si="1155"/>
        <v>0</v>
      </c>
      <c r="AR367" s="340">
        <f t="shared" si="940"/>
        <v>3402.64</v>
      </c>
      <c r="AS367" s="341">
        <f t="shared" si="1156"/>
        <v>4101</v>
      </c>
      <c r="AT367" s="339">
        <f t="shared" si="1156"/>
        <v>0</v>
      </c>
      <c r="AU367" s="340">
        <f t="shared" si="942"/>
        <v>4101</v>
      </c>
      <c r="AV367" s="1255">
        <f t="shared" si="1179"/>
        <v>0</v>
      </c>
      <c r="AW367" s="343"/>
      <c r="AX367" s="344"/>
      <c r="AY367" s="345"/>
      <c r="AZ367" s="344"/>
      <c r="BA367" s="345"/>
      <c r="BB367" s="346"/>
      <c r="BC367" s="1134"/>
      <c r="BD367" s="348"/>
      <c r="BE367" s="349"/>
      <c r="BF367" s="348"/>
      <c r="BG367" s="349"/>
      <c r="BH367" s="350"/>
      <c r="BI367" s="351"/>
      <c r="BJ367" s="352"/>
      <c r="BK367" s="337"/>
      <c r="BL367" s="352"/>
      <c r="BM367" s="1137">
        <v>3402.64</v>
      </c>
      <c r="BN367" s="353"/>
      <c r="BO367" s="354">
        <v>698.36</v>
      </c>
      <c r="BP367" s="355"/>
      <c r="BQ367" s="356"/>
      <c r="BR367" s="355"/>
      <c r="BS367" s="356"/>
      <c r="BT367" s="357"/>
    </row>
    <row r="368" spans="1:72" s="313" customFormat="1" ht="25.5" outlineLevel="2">
      <c r="A368" s="287">
        <v>286</v>
      </c>
      <c r="B368" s="1143"/>
      <c r="C368" s="840"/>
      <c r="D368" s="841"/>
      <c r="E368" s="839"/>
      <c r="F368" s="821" t="s">
        <v>23</v>
      </c>
      <c r="G368" s="314">
        <v>2</v>
      </c>
      <c r="H368" s="739" t="s">
        <v>71</v>
      </c>
      <c r="I368" s="739">
        <v>244</v>
      </c>
      <c r="J368" s="740">
        <v>346</v>
      </c>
      <c r="K368" s="533" t="s">
        <v>819</v>
      </c>
      <c r="L368" s="1025">
        <v>1109</v>
      </c>
      <c r="M368" s="318"/>
      <c r="N368" s="318"/>
      <c r="O368" s="1052">
        <f t="shared" si="1178"/>
        <v>1109</v>
      </c>
      <c r="P368" s="570"/>
      <c r="Q368" s="336">
        <v>0</v>
      </c>
      <c r="R368" s="559"/>
      <c r="S368" s="541">
        <v>0</v>
      </c>
      <c r="T368" s="559"/>
      <c r="U368" s="335"/>
      <c r="V368" s="320" t="s">
        <v>818</v>
      </c>
      <c r="W368" s="320" t="s">
        <v>750</v>
      </c>
      <c r="X368" s="320"/>
      <c r="Z368" s="336">
        <f t="shared" si="1150"/>
        <v>0</v>
      </c>
      <c r="AA368" s="337">
        <f t="shared" si="1150"/>
        <v>0</v>
      </c>
      <c r="AB368" s="338">
        <f t="shared" si="946"/>
        <v>0</v>
      </c>
      <c r="AC368" s="336">
        <f t="shared" si="1151"/>
        <v>0</v>
      </c>
      <c r="AD368" s="337">
        <f t="shared" si="1151"/>
        <v>0</v>
      </c>
      <c r="AE368" s="338">
        <f t="shared" si="948"/>
        <v>0</v>
      </c>
      <c r="AF368" s="336">
        <f t="shared" si="1152"/>
        <v>0</v>
      </c>
      <c r="AG368" s="337">
        <f t="shared" si="1152"/>
        <v>0</v>
      </c>
      <c r="AH368" s="338">
        <f t="shared" si="950"/>
        <v>0</v>
      </c>
      <c r="AI368" s="336">
        <f t="shared" si="1153"/>
        <v>0</v>
      </c>
      <c r="AJ368" s="337">
        <f t="shared" si="1153"/>
        <v>0</v>
      </c>
      <c r="AK368" s="338">
        <f t="shared" si="952"/>
        <v>0</v>
      </c>
      <c r="AL368" s="342"/>
      <c r="AM368" s="336">
        <f t="shared" si="1154"/>
        <v>0</v>
      </c>
      <c r="AN368" s="339">
        <f t="shared" si="1154"/>
        <v>0</v>
      </c>
      <c r="AO368" s="340">
        <f t="shared" si="954"/>
        <v>0</v>
      </c>
      <c r="AP368" s="336">
        <f t="shared" si="1155"/>
        <v>0</v>
      </c>
      <c r="AQ368" s="339">
        <f t="shared" si="1155"/>
        <v>0</v>
      </c>
      <c r="AR368" s="340">
        <f t="shared" si="940"/>
        <v>0</v>
      </c>
      <c r="AS368" s="341">
        <f t="shared" si="1156"/>
        <v>0</v>
      </c>
      <c r="AT368" s="339">
        <f t="shared" si="1156"/>
        <v>0</v>
      </c>
      <c r="AU368" s="340">
        <f t="shared" si="942"/>
        <v>0</v>
      </c>
      <c r="AV368" s="1255">
        <f t="shared" si="1179"/>
        <v>1109</v>
      </c>
      <c r="AW368" s="343"/>
      <c r="AX368" s="344"/>
      <c r="AY368" s="345"/>
      <c r="AZ368" s="344"/>
      <c r="BA368" s="345"/>
      <c r="BB368" s="346"/>
      <c r="BC368" s="1134"/>
      <c r="BD368" s="348"/>
      <c r="BE368" s="349"/>
      <c r="BF368" s="348"/>
      <c r="BG368" s="349"/>
      <c r="BH368" s="350"/>
      <c r="BI368" s="351"/>
      <c r="BJ368" s="352"/>
      <c r="BK368" s="337"/>
      <c r="BL368" s="352"/>
      <c r="BM368" s="337"/>
      <c r="BN368" s="353"/>
      <c r="BO368" s="354"/>
      <c r="BP368" s="355"/>
      <c r="BQ368" s="356"/>
      <c r="BR368" s="355"/>
      <c r="BS368" s="356"/>
      <c r="BT368" s="357"/>
    </row>
    <row r="369" spans="1:72" s="313" customFormat="1" ht="38.25" outlineLevel="2">
      <c r="A369" s="287">
        <v>283</v>
      </c>
      <c r="B369" s="1143"/>
      <c r="C369" s="840"/>
      <c r="D369" s="841"/>
      <c r="E369" s="839"/>
      <c r="F369" s="821" t="s">
        <v>23</v>
      </c>
      <c r="G369" s="314">
        <v>2</v>
      </c>
      <c r="H369" s="739" t="s">
        <v>71</v>
      </c>
      <c r="I369" s="739">
        <v>244</v>
      </c>
      <c r="J369" s="740">
        <v>346</v>
      </c>
      <c r="K369" s="533" t="s">
        <v>864</v>
      </c>
      <c r="L369" s="1025">
        <v>2200</v>
      </c>
      <c r="M369" s="318"/>
      <c r="N369" s="318"/>
      <c r="O369" s="1052">
        <f t="shared" si="1178"/>
        <v>2200</v>
      </c>
      <c r="P369" s="570"/>
      <c r="Q369" s="336">
        <v>0</v>
      </c>
      <c r="R369" s="559"/>
      <c r="S369" s="541">
        <v>0</v>
      </c>
      <c r="T369" s="559"/>
      <c r="U369" s="335"/>
      <c r="V369" s="596" t="s">
        <v>865</v>
      </c>
      <c r="W369" s="596" t="s">
        <v>866</v>
      </c>
      <c r="X369" s="388"/>
      <c r="Z369" s="336">
        <f t="shared" si="1150"/>
        <v>0</v>
      </c>
      <c r="AA369" s="337">
        <f t="shared" si="1150"/>
        <v>0</v>
      </c>
      <c r="AB369" s="338">
        <f t="shared" si="946"/>
        <v>0</v>
      </c>
      <c r="AC369" s="336">
        <f t="shared" si="1151"/>
        <v>2200</v>
      </c>
      <c r="AD369" s="337">
        <f t="shared" si="1151"/>
        <v>0</v>
      </c>
      <c r="AE369" s="338">
        <f t="shared" si="948"/>
        <v>2200</v>
      </c>
      <c r="AF369" s="336">
        <f t="shared" si="1152"/>
        <v>0</v>
      </c>
      <c r="AG369" s="337">
        <f t="shared" si="1152"/>
        <v>0</v>
      </c>
      <c r="AH369" s="338">
        <f t="shared" si="950"/>
        <v>0</v>
      </c>
      <c r="AI369" s="336">
        <f t="shared" si="1153"/>
        <v>0</v>
      </c>
      <c r="AJ369" s="337">
        <f t="shared" si="1153"/>
        <v>0</v>
      </c>
      <c r="AK369" s="338">
        <f t="shared" si="952"/>
        <v>0</v>
      </c>
      <c r="AL369" s="342"/>
      <c r="AM369" s="336">
        <f t="shared" si="1154"/>
        <v>2200</v>
      </c>
      <c r="AN369" s="339">
        <f t="shared" si="1154"/>
        <v>0</v>
      </c>
      <c r="AO369" s="340">
        <f t="shared" si="954"/>
        <v>2200</v>
      </c>
      <c r="AP369" s="336">
        <f t="shared" si="1155"/>
        <v>2200</v>
      </c>
      <c r="AQ369" s="339">
        <f t="shared" si="1155"/>
        <v>0</v>
      </c>
      <c r="AR369" s="340">
        <f t="shared" si="940"/>
        <v>2200</v>
      </c>
      <c r="AS369" s="341">
        <f t="shared" si="1156"/>
        <v>2200</v>
      </c>
      <c r="AT369" s="339">
        <f t="shared" si="1156"/>
        <v>0</v>
      </c>
      <c r="AU369" s="340">
        <f t="shared" si="942"/>
        <v>2200</v>
      </c>
      <c r="AV369" s="1255">
        <f t="shared" si="1179"/>
        <v>0</v>
      </c>
      <c r="AW369" s="343"/>
      <c r="AX369" s="344"/>
      <c r="AY369" s="345"/>
      <c r="AZ369" s="344"/>
      <c r="BA369" s="345"/>
      <c r="BB369" s="346"/>
      <c r="BC369" s="1134"/>
      <c r="BD369" s="1140"/>
      <c r="BE369" s="349"/>
      <c r="BF369" s="348"/>
      <c r="BG369" s="349">
        <v>2200</v>
      </c>
      <c r="BH369" s="350"/>
      <c r="BI369" s="351"/>
      <c r="BJ369" s="352"/>
      <c r="BK369" s="337"/>
      <c r="BL369" s="352"/>
      <c r="BM369" s="337"/>
      <c r="BN369" s="353"/>
      <c r="BO369" s="354"/>
      <c r="BP369" s="355"/>
      <c r="BQ369" s="356"/>
      <c r="BR369" s="355"/>
      <c r="BS369" s="356"/>
      <c r="BT369" s="357"/>
    </row>
    <row r="370" spans="1:72" s="313" customFormat="1" ht="38.25" outlineLevel="2">
      <c r="A370" s="1192">
        <v>283.10000000000002</v>
      </c>
      <c r="B370" s="1143"/>
      <c r="C370" s="840"/>
      <c r="D370" s="841"/>
      <c r="E370" s="839"/>
      <c r="F370" s="821" t="s">
        <v>23</v>
      </c>
      <c r="G370" s="314">
        <v>2</v>
      </c>
      <c r="H370" s="739" t="s">
        <v>71</v>
      </c>
      <c r="I370" s="739">
        <v>244</v>
      </c>
      <c r="J370" s="740">
        <v>346</v>
      </c>
      <c r="K370" s="533" t="s">
        <v>1017</v>
      </c>
      <c r="L370" s="1025">
        <v>420</v>
      </c>
      <c r="M370" s="318"/>
      <c r="N370" s="318"/>
      <c r="O370" s="1052">
        <f t="shared" ref="O370" si="1203">L370+N370</f>
        <v>420</v>
      </c>
      <c r="P370" s="570"/>
      <c r="Q370" s="336">
        <v>0</v>
      </c>
      <c r="R370" s="559"/>
      <c r="S370" s="541">
        <v>0</v>
      </c>
      <c r="T370" s="559"/>
      <c r="U370" s="335"/>
      <c r="V370" s="596" t="s">
        <v>818</v>
      </c>
      <c r="W370" s="596" t="s">
        <v>1018</v>
      </c>
      <c r="X370" s="388"/>
      <c r="Z370" s="336">
        <f t="shared" ref="Z370" si="1204">AW370+AY370+BA370</f>
        <v>0</v>
      </c>
      <c r="AA370" s="337">
        <f t="shared" ref="AA370" si="1205">AX370+AZ370+BB370</f>
        <v>0</v>
      </c>
      <c r="AB370" s="338">
        <f t="shared" ref="AB370" si="1206">Z370-AA370</f>
        <v>0</v>
      </c>
      <c r="AC370" s="336">
        <f t="shared" ref="AC370" si="1207">BC370+BE370+BG370</f>
        <v>0</v>
      </c>
      <c r="AD370" s="337">
        <f t="shared" ref="AD370" si="1208">BD370+BF370+BH370</f>
        <v>0</v>
      </c>
      <c r="AE370" s="338">
        <f t="shared" ref="AE370" si="1209">AC370-AD370</f>
        <v>0</v>
      </c>
      <c r="AF370" s="336">
        <f t="shared" ref="AF370" si="1210">BI370+BK370+BM370</f>
        <v>0</v>
      </c>
      <c r="AG370" s="337">
        <f t="shared" ref="AG370" si="1211">BJ370+BL370+BN370</f>
        <v>0</v>
      </c>
      <c r="AH370" s="338">
        <f t="shared" ref="AH370" si="1212">AF370-AG370</f>
        <v>0</v>
      </c>
      <c r="AI370" s="336">
        <f t="shared" ref="AI370" si="1213">BO370+BQ370+BS370</f>
        <v>0</v>
      </c>
      <c r="AJ370" s="337">
        <f t="shared" ref="AJ370" si="1214">BP370+BR370+BT370</f>
        <v>0</v>
      </c>
      <c r="AK370" s="338">
        <f t="shared" ref="AK370" si="1215">AI370-AJ370</f>
        <v>0</v>
      </c>
      <c r="AL370" s="342"/>
      <c r="AM370" s="336">
        <f t="shared" ref="AM370" si="1216">Z370+AC370</f>
        <v>0</v>
      </c>
      <c r="AN370" s="339">
        <f t="shared" ref="AN370" si="1217">AA370+AD370</f>
        <v>0</v>
      </c>
      <c r="AO370" s="340">
        <f t="shared" ref="AO370" si="1218">AM370-AN370</f>
        <v>0</v>
      </c>
      <c r="AP370" s="336">
        <f t="shared" ref="AP370" si="1219">Z370+AC370+AF370</f>
        <v>0</v>
      </c>
      <c r="AQ370" s="339">
        <f t="shared" ref="AQ370" si="1220">AA370+AD370+AG370</f>
        <v>0</v>
      </c>
      <c r="AR370" s="340">
        <f t="shared" ref="AR370" si="1221">AP370-AQ370</f>
        <v>0</v>
      </c>
      <c r="AS370" s="341">
        <f t="shared" ref="AS370" si="1222">Z370+AC370+AF370+AI370</f>
        <v>0</v>
      </c>
      <c r="AT370" s="339">
        <f t="shared" ref="AT370" si="1223">AA370+AD370+AG370+AJ370</f>
        <v>0</v>
      </c>
      <c r="AU370" s="340">
        <f t="shared" ref="AU370" si="1224">AS370-AT370</f>
        <v>0</v>
      </c>
      <c r="AV370" s="1255">
        <f t="shared" ref="AV370" si="1225">L370-AS370</f>
        <v>420</v>
      </c>
      <c r="AW370" s="343"/>
      <c r="AX370" s="344"/>
      <c r="AY370" s="345"/>
      <c r="AZ370" s="344"/>
      <c r="BA370" s="345"/>
      <c r="BB370" s="346"/>
      <c r="BC370" s="1134"/>
      <c r="BD370" s="1140"/>
      <c r="BE370" s="349"/>
      <c r="BF370" s="348"/>
      <c r="BG370" s="349"/>
      <c r="BH370" s="350"/>
      <c r="BI370" s="351"/>
      <c r="BJ370" s="352"/>
      <c r="BK370" s="337"/>
      <c r="BL370" s="352"/>
      <c r="BM370" s="337"/>
      <c r="BN370" s="353"/>
      <c r="BO370" s="354"/>
      <c r="BP370" s="355"/>
      <c r="BQ370" s="356"/>
      <c r="BR370" s="355"/>
      <c r="BS370" s="356"/>
      <c r="BT370" s="357"/>
    </row>
    <row r="371" spans="1:72" s="313" customFormat="1" ht="38.25" outlineLevel="2">
      <c r="A371" s="1192">
        <v>283.2</v>
      </c>
      <c r="B371" s="1143" t="s">
        <v>1077</v>
      </c>
      <c r="C371" s="840"/>
      <c r="D371" s="841"/>
      <c r="E371" s="839"/>
      <c r="F371" s="821" t="s">
        <v>23</v>
      </c>
      <c r="G371" s="314">
        <v>2</v>
      </c>
      <c r="H371" s="739" t="s">
        <v>71</v>
      </c>
      <c r="I371" s="739">
        <v>244</v>
      </c>
      <c r="J371" s="740">
        <v>346</v>
      </c>
      <c r="K371" s="533" t="s">
        <v>1076</v>
      </c>
      <c r="L371" s="1025">
        <v>0</v>
      </c>
      <c r="M371" s="318"/>
      <c r="N371" s="318">
        <v>378.8</v>
      </c>
      <c r="O371" s="1052">
        <f t="shared" ref="O371:O372" si="1226">L371+N371</f>
        <v>378.8</v>
      </c>
      <c r="P371" s="570"/>
      <c r="Q371" s="336">
        <v>0</v>
      </c>
      <c r="R371" s="559"/>
      <c r="S371" s="541">
        <v>0</v>
      </c>
      <c r="T371" s="559"/>
      <c r="U371" s="335"/>
      <c r="V371" s="596" t="s">
        <v>818</v>
      </c>
      <c r="W371" s="596" t="s">
        <v>1018</v>
      </c>
      <c r="X371" s="388"/>
      <c r="Z371" s="336">
        <f t="shared" ref="Z371:Z372" si="1227">AW371+AY371+BA371</f>
        <v>0</v>
      </c>
      <c r="AA371" s="337">
        <f t="shared" ref="AA371:AA372" si="1228">AX371+AZ371+BB371</f>
        <v>0</v>
      </c>
      <c r="AB371" s="338">
        <f t="shared" ref="AB371:AB372" si="1229">Z371-AA371</f>
        <v>0</v>
      </c>
      <c r="AC371" s="336">
        <f t="shared" ref="AC371:AC372" si="1230">BC371+BE371+BG371</f>
        <v>0</v>
      </c>
      <c r="AD371" s="337">
        <f t="shared" ref="AD371:AD372" si="1231">BD371+BF371+BH371</f>
        <v>0</v>
      </c>
      <c r="AE371" s="338">
        <f t="shared" ref="AE371:AE372" si="1232">AC371-AD371</f>
        <v>0</v>
      </c>
      <c r="AF371" s="336">
        <f t="shared" ref="AF371:AF372" si="1233">BI371+BK371+BM371</f>
        <v>0</v>
      </c>
      <c r="AG371" s="337">
        <f t="shared" ref="AG371:AG372" si="1234">BJ371+BL371+BN371</f>
        <v>0</v>
      </c>
      <c r="AH371" s="338">
        <f t="shared" ref="AH371:AH372" si="1235">AF371-AG371</f>
        <v>0</v>
      </c>
      <c r="AI371" s="336">
        <f t="shared" ref="AI371:AI372" si="1236">BO371+BQ371+BS371</f>
        <v>378</v>
      </c>
      <c r="AJ371" s="337">
        <f t="shared" ref="AJ371:AJ372" si="1237">BP371+BR371+BT371</f>
        <v>0</v>
      </c>
      <c r="AK371" s="338">
        <f t="shared" ref="AK371:AK372" si="1238">AI371-AJ371</f>
        <v>378</v>
      </c>
      <c r="AL371" s="342"/>
      <c r="AM371" s="336">
        <f t="shared" ref="AM371:AM372" si="1239">Z371+AC371</f>
        <v>0</v>
      </c>
      <c r="AN371" s="339">
        <f t="shared" ref="AN371:AN372" si="1240">AA371+AD371</f>
        <v>0</v>
      </c>
      <c r="AO371" s="340">
        <f t="shared" ref="AO371:AO372" si="1241">AM371-AN371</f>
        <v>0</v>
      </c>
      <c r="AP371" s="336">
        <f t="shared" ref="AP371:AP372" si="1242">Z371+AC371+AF371</f>
        <v>0</v>
      </c>
      <c r="AQ371" s="339">
        <f t="shared" ref="AQ371:AQ372" si="1243">AA371+AD371+AG371</f>
        <v>0</v>
      </c>
      <c r="AR371" s="340">
        <f t="shared" ref="AR371:AR372" si="1244">AP371-AQ371</f>
        <v>0</v>
      </c>
      <c r="AS371" s="341">
        <f t="shared" ref="AS371:AS372" si="1245">Z371+AC371+AF371+AI371</f>
        <v>378</v>
      </c>
      <c r="AT371" s="339">
        <f t="shared" ref="AT371:AT372" si="1246">AA371+AD371+AG371+AJ371</f>
        <v>0</v>
      </c>
      <c r="AU371" s="340">
        <f t="shared" ref="AU371:AU372" si="1247">AS371-AT371</f>
        <v>378</v>
      </c>
      <c r="AV371" s="1255">
        <f t="shared" ref="AV371:AV372" si="1248">L371-AS371</f>
        <v>-378</v>
      </c>
      <c r="AW371" s="343"/>
      <c r="AX371" s="344"/>
      <c r="AY371" s="345"/>
      <c r="AZ371" s="344"/>
      <c r="BA371" s="345"/>
      <c r="BB371" s="346"/>
      <c r="BC371" s="1134"/>
      <c r="BD371" s="1140"/>
      <c r="BE371" s="349"/>
      <c r="BF371" s="348"/>
      <c r="BG371" s="349"/>
      <c r="BH371" s="350"/>
      <c r="BI371" s="351"/>
      <c r="BJ371" s="352"/>
      <c r="BK371" s="337"/>
      <c r="BL371" s="352"/>
      <c r="BM371" s="337"/>
      <c r="BN371" s="353"/>
      <c r="BO371" s="1138">
        <v>378</v>
      </c>
      <c r="BP371" s="355"/>
      <c r="BQ371" s="356"/>
      <c r="BR371" s="355"/>
      <c r="BS371" s="356"/>
      <c r="BT371" s="357"/>
    </row>
    <row r="372" spans="1:72" s="313" customFormat="1" ht="25.5" outlineLevel="2">
      <c r="A372" s="1192">
        <v>283.3</v>
      </c>
      <c r="B372" s="1143" t="s">
        <v>1081</v>
      </c>
      <c r="C372" s="840"/>
      <c r="D372" s="841"/>
      <c r="E372" s="839"/>
      <c r="F372" s="821" t="s">
        <v>23</v>
      </c>
      <c r="G372" s="314">
        <v>2</v>
      </c>
      <c r="H372" s="739" t="s">
        <v>71</v>
      </c>
      <c r="I372" s="739">
        <v>244</v>
      </c>
      <c r="J372" s="740">
        <v>346</v>
      </c>
      <c r="K372" s="533" t="s">
        <v>1082</v>
      </c>
      <c r="L372" s="1025">
        <v>0</v>
      </c>
      <c r="M372" s="318"/>
      <c r="N372" s="318">
        <v>146</v>
      </c>
      <c r="O372" s="1052">
        <f t="shared" si="1226"/>
        <v>146</v>
      </c>
      <c r="P372" s="570"/>
      <c r="Q372" s="336">
        <v>0</v>
      </c>
      <c r="R372" s="559"/>
      <c r="S372" s="541">
        <v>0</v>
      </c>
      <c r="T372" s="559"/>
      <c r="U372" s="335"/>
      <c r="V372" s="596" t="s">
        <v>640</v>
      </c>
      <c r="W372" s="596" t="s">
        <v>1083</v>
      </c>
      <c r="X372" s="388"/>
      <c r="Z372" s="336">
        <f t="shared" si="1227"/>
        <v>0</v>
      </c>
      <c r="AA372" s="337">
        <f t="shared" si="1228"/>
        <v>0</v>
      </c>
      <c r="AB372" s="338">
        <f t="shared" si="1229"/>
        <v>0</v>
      </c>
      <c r="AC372" s="336">
        <f t="shared" si="1230"/>
        <v>0</v>
      </c>
      <c r="AD372" s="337">
        <f t="shared" si="1231"/>
        <v>0</v>
      </c>
      <c r="AE372" s="338">
        <f t="shared" si="1232"/>
        <v>0</v>
      </c>
      <c r="AF372" s="336">
        <f t="shared" si="1233"/>
        <v>0</v>
      </c>
      <c r="AG372" s="337">
        <f t="shared" si="1234"/>
        <v>0</v>
      </c>
      <c r="AH372" s="338">
        <f t="shared" si="1235"/>
        <v>0</v>
      </c>
      <c r="AI372" s="336">
        <f t="shared" si="1236"/>
        <v>146</v>
      </c>
      <c r="AJ372" s="337">
        <f t="shared" si="1237"/>
        <v>0</v>
      </c>
      <c r="AK372" s="338">
        <f t="shared" si="1238"/>
        <v>146</v>
      </c>
      <c r="AL372" s="342"/>
      <c r="AM372" s="336">
        <f t="shared" si="1239"/>
        <v>0</v>
      </c>
      <c r="AN372" s="339">
        <f t="shared" si="1240"/>
        <v>0</v>
      </c>
      <c r="AO372" s="340">
        <f t="shared" si="1241"/>
        <v>0</v>
      </c>
      <c r="AP372" s="336">
        <f t="shared" si="1242"/>
        <v>0</v>
      </c>
      <c r="AQ372" s="339">
        <f t="shared" si="1243"/>
        <v>0</v>
      </c>
      <c r="AR372" s="340">
        <f t="shared" si="1244"/>
        <v>0</v>
      </c>
      <c r="AS372" s="341">
        <f t="shared" si="1245"/>
        <v>146</v>
      </c>
      <c r="AT372" s="339">
        <f t="shared" si="1246"/>
        <v>0</v>
      </c>
      <c r="AU372" s="340">
        <f t="shared" si="1247"/>
        <v>146</v>
      </c>
      <c r="AV372" s="1255">
        <f t="shared" si="1248"/>
        <v>-146</v>
      </c>
      <c r="AW372" s="343"/>
      <c r="AX372" s="344"/>
      <c r="AY372" s="345"/>
      <c r="AZ372" s="344"/>
      <c r="BA372" s="345"/>
      <c r="BB372" s="346"/>
      <c r="BC372" s="1134"/>
      <c r="BD372" s="1140"/>
      <c r="BE372" s="349"/>
      <c r="BF372" s="348"/>
      <c r="BG372" s="349"/>
      <c r="BH372" s="350"/>
      <c r="BI372" s="351"/>
      <c r="BJ372" s="352"/>
      <c r="BK372" s="337"/>
      <c r="BL372" s="352"/>
      <c r="BM372" s="337"/>
      <c r="BN372" s="353"/>
      <c r="BO372" s="1138">
        <v>146</v>
      </c>
      <c r="BP372" s="355"/>
      <c r="BQ372" s="356"/>
      <c r="BR372" s="355"/>
      <c r="BS372" s="356"/>
      <c r="BT372" s="357"/>
    </row>
    <row r="373" spans="1:72" s="313" customFormat="1" ht="25.5" outlineLevel="2">
      <c r="A373" s="1192">
        <v>283.39999999999998</v>
      </c>
      <c r="B373" s="1143" t="s">
        <v>1085</v>
      </c>
      <c r="C373" s="840"/>
      <c r="D373" s="841"/>
      <c r="E373" s="839"/>
      <c r="F373" s="821" t="s">
        <v>23</v>
      </c>
      <c r="G373" s="314">
        <v>2</v>
      </c>
      <c r="H373" s="739" t="s">
        <v>71</v>
      </c>
      <c r="I373" s="739">
        <v>244</v>
      </c>
      <c r="J373" s="740">
        <v>346</v>
      </c>
      <c r="K373" s="533" t="s">
        <v>1084</v>
      </c>
      <c r="L373" s="1025">
        <v>0</v>
      </c>
      <c r="M373" s="318"/>
      <c r="N373" s="318">
        <v>1208.8800000000001</v>
      </c>
      <c r="O373" s="1052">
        <f t="shared" ref="O373" si="1249">L373+N373</f>
        <v>1208.8800000000001</v>
      </c>
      <c r="P373" s="570"/>
      <c r="Q373" s="336">
        <v>0</v>
      </c>
      <c r="R373" s="559"/>
      <c r="S373" s="541">
        <v>0</v>
      </c>
      <c r="T373" s="559"/>
      <c r="U373" s="335"/>
      <c r="V373" s="596" t="s">
        <v>640</v>
      </c>
      <c r="W373" s="596" t="s">
        <v>1087</v>
      </c>
      <c r="X373" s="388"/>
      <c r="Z373" s="336">
        <f t="shared" ref="Z373" si="1250">AW373+AY373+BA373</f>
        <v>0</v>
      </c>
      <c r="AA373" s="337">
        <f t="shared" ref="AA373" si="1251">AX373+AZ373+BB373</f>
        <v>0</v>
      </c>
      <c r="AB373" s="338">
        <f t="shared" ref="AB373" si="1252">Z373-AA373</f>
        <v>0</v>
      </c>
      <c r="AC373" s="336">
        <f t="shared" ref="AC373" si="1253">BC373+BE373+BG373</f>
        <v>0</v>
      </c>
      <c r="AD373" s="337">
        <f t="shared" ref="AD373" si="1254">BD373+BF373+BH373</f>
        <v>0</v>
      </c>
      <c r="AE373" s="338">
        <f t="shared" ref="AE373" si="1255">AC373-AD373</f>
        <v>0</v>
      </c>
      <c r="AF373" s="336">
        <f t="shared" ref="AF373" si="1256">BI373+BK373+BM373</f>
        <v>0</v>
      </c>
      <c r="AG373" s="337">
        <f t="shared" ref="AG373" si="1257">BJ373+BL373+BN373</f>
        <v>0</v>
      </c>
      <c r="AH373" s="338">
        <f t="shared" ref="AH373" si="1258">AF373-AG373</f>
        <v>0</v>
      </c>
      <c r="AI373" s="336">
        <f t="shared" ref="AI373" si="1259">BO373+BQ373+BS373</f>
        <v>1208.8800000000001</v>
      </c>
      <c r="AJ373" s="337">
        <f t="shared" ref="AJ373" si="1260">BP373+BR373+BT373</f>
        <v>0</v>
      </c>
      <c r="AK373" s="338">
        <f t="shared" ref="AK373" si="1261">AI373-AJ373</f>
        <v>1208.8800000000001</v>
      </c>
      <c r="AL373" s="342"/>
      <c r="AM373" s="336">
        <f t="shared" ref="AM373" si="1262">Z373+AC373</f>
        <v>0</v>
      </c>
      <c r="AN373" s="339">
        <f t="shared" ref="AN373" si="1263">AA373+AD373</f>
        <v>0</v>
      </c>
      <c r="AO373" s="340">
        <f t="shared" ref="AO373" si="1264">AM373-AN373</f>
        <v>0</v>
      </c>
      <c r="AP373" s="336">
        <f t="shared" ref="AP373" si="1265">Z373+AC373+AF373</f>
        <v>0</v>
      </c>
      <c r="AQ373" s="339">
        <f t="shared" ref="AQ373" si="1266">AA373+AD373+AG373</f>
        <v>0</v>
      </c>
      <c r="AR373" s="340">
        <f t="shared" ref="AR373" si="1267">AP373-AQ373</f>
        <v>0</v>
      </c>
      <c r="AS373" s="341">
        <f t="shared" ref="AS373" si="1268">Z373+AC373+AF373+AI373</f>
        <v>1208.8800000000001</v>
      </c>
      <c r="AT373" s="339">
        <f t="shared" ref="AT373" si="1269">AA373+AD373+AG373+AJ373</f>
        <v>0</v>
      </c>
      <c r="AU373" s="340">
        <f t="shared" ref="AU373" si="1270">AS373-AT373</f>
        <v>1208.8800000000001</v>
      </c>
      <c r="AV373" s="1255">
        <f t="shared" ref="AV373" si="1271">L373-AS373</f>
        <v>-1208.8800000000001</v>
      </c>
      <c r="AW373" s="343"/>
      <c r="AX373" s="344"/>
      <c r="AY373" s="345"/>
      <c r="AZ373" s="344"/>
      <c r="BA373" s="345"/>
      <c r="BB373" s="346"/>
      <c r="BC373" s="1134"/>
      <c r="BD373" s="1140"/>
      <c r="BE373" s="349"/>
      <c r="BF373" s="348"/>
      <c r="BG373" s="349"/>
      <c r="BH373" s="350"/>
      <c r="BI373" s="351"/>
      <c r="BJ373" s="352"/>
      <c r="BK373" s="337"/>
      <c r="BL373" s="352"/>
      <c r="BM373" s="337"/>
      <c r="BN373" s="353"/>
      <c r="BO373" s="1138">
        <v>1208.8800000000001</v>
      </c>
      <c r="BP373" s="355"/>
      <c r="BQ373" s="356"/>
      <c r="BR373" s="355"/>
      <c r="BS373" s="356"/>
      <c r="BT373" s="357"/>
    </row>
    <row r="374" spans="1:72" s="615" customFormat="1" ht="25.5" outlineLevel="1">
      <c r="A374" s="287">
        <v>287</v>
      </c>
      <c r="B374" s="941"/>
      <c r="C374" s="866"/>
      <c r="D374" s="867"/>
      <c r="E374" s="867"/>
      <c r="F374" s="832" t="s">
        <v>23</v>
      </c>
      <c r="G374" s="616">
        <v>2</v>
      </c>
      <c r="H374" s="749" t="s">
        <v>71</v>
      </c>
      <c r="I374" s="749">
        <v>244</v>
      </c>
      <c r="J374" s="750">
        <v>346</v>
      </c>
      <c r="K374" s="932" t="s">
        <v>214</v>
      </c>
      <c r="L374" s="1043">
        <v>0</v>
      </c>
      <c r="M374" s="619"/>
      <c r="N374" s="619"/>
      <c r="O374" s="1054">
        <f t="shared" si="944"/>
        <v>0</v>
      </c>
      <c r="P374" s="620"/>
      <c r="Q374" s="509">
        <v>0</v>
      </c>
      <c r="R374" s="560"/>
      <c r="S374" s="542">
        <v>0</v>
      </c>
      <c r="T374" s="560"/>
      <c r="U374" s="621"/>
      <c r="V374" s="320"/>
      <c r="W374" s="320"/>
      <c r="X374" s="320"/>
      <c r="Z374" s="509">
        <f t="shared" si="1150"/>
        <v>0</v>
      </c>
      <c r="AA374" s="622">
        <f t="shared" si="1150"/>
        <v>0</v>
      </c>
      <c r="AB374" s="623">
        <f t="shared" si="946"/>
        <v>0</v>
      </c>
      <c r="AC374" s="509">
        <f t="shared" si="1151"/>
        <v>0</v>
      </c>
      <c r="AD374" s="622">
        <f t="shared" si="1151"/>
        <v>0</v>
      </c>
      <c r="AE374" s="623">
        <f t="shared" si="948"/>
        <v>0</v>
      </c>
      <c r="AF374" s="509">
        <f t="shared" si="1152"/>
        <v>0</v>
      </c>
      <c r="AG374" s="622">
        <f t="shared" si="1152"/>
        <v>0</v>
      </c>
      <c r="AH374" s="623">
        <f t="shared" si="950"/>
        <v>0</v>
      </c>
      <c r="AI374" s="509">
        <f t="shared" si="1153"/>
        <v>0</v>
      </c>
      <c r="AJ374" s="622">
        <f t="shared" si="1153"/>
        <v>0</v>
      </c>
      <c r="AK374" s="623">
        <f t="shared" si="952"/>
        <v>0</v>
      </c>
      <c r="AL374" s="624"/>
      <c r="AM374" s="509">
        <f t="shared" si="1154"/>
        <v>0</v>
      </c>
      <c r="AN374" s="625">
        <f t="shared" si="1154"/>
        <v>0</v>
      </c>
      <c r="AO374" s="626">
        <f t="shared" si="954"/>
        <v>0</v>
      </c>
      <c r="AP374" s="509">
        <f t="shared" si="1155"/>
        <v>0</v>
      </c>
      <c r="AQ374" s="625">
        <f t="shared" si="1155"/>
        <v>0</v>
      </c>
      <c r="AR374" s="626">
        <f t="shared" si="940"/>
        <v>0</v>
      </c>
      <c r="AS374" s="510">
        <f t="shared" si="1156"/>
        <v>0</v>
      </c>
      <c r="AT374" s="625">
        <f t="shared" si="1156"/>
        <v>0</v>
      </c>
      <c r="AU374" s="626">
        <f t="shared" si="942"/>
        <v>0</v>
      </c>
      <c r="AV374" s="440">
        <f t="shared" si="970"/>
        <v>0</v>
      </c>
      <c r="AW374" s="628"/>
      <c r="AX374" s="629"/>
      <c r="AY374" s="630"/>
      <c r="AZ374" s="629"/>
      <c r="BA374" s="630"/>
      <c r="BB374" s="631"/>
      <c r="BC374" s="632"/>
      <c r="BD374" s="633"/>
      <c r="BE374" s="634"/>
      <c r="BF374" s="633"/>
      <c r="BG374" s="634"/>
      <c r="BH374" s="635"/>
      <c r="BI374" s="636"/>
      <c r="BJ374" s="637"/>
      <c r="BK374" s="622"/>
      <c r="BL374" s="637"/>
      <c r="BM374" s="622"/>
      <c r="BN374" s="638"/>
      <c r="BO374" s="639"/>
      <c r="BP374" s="640"/>
      <c r="BQ374" s="641"/>
      <c r="BR374" s="640"/>
      <c r="BS374" s="641"/>
      <c r="BT374" s="642"/>
    </row>
    <row r="375" spans="1:72" s="358" customFormat="1" ht="31.5">
      <c r="A375" s="287">
        <v>288</v>
      </c>
      <c r="B375" s="933"/>
      <c r="C375" s="850" t="s">
        <v>377</v>
      </c>
      <c r="D375" s="838"/>
      <c r="E375" s="836" t="s">
        <v>201</v>
      </c>
      <c r="F375" s="820" t="s">
        <v>23</v>
      </c>
      <c r="G375" s="360">
        <v>2</v>
      </c>
      <c r="H375" s="360" t="s">
        <v>71</v>
      </c>
      <c r="I375" s="360">
        <v>244</v>
      </c>
      <c r="J375" s="489">
        <v>345</v>
      </c>
      <c r="K375" s="532" t="s">
        <v>524</v>
      </c>
      <c r="L375" s="1023">
        <f>SUM(L376:L378)</f>
        <v>68700</v>
      </c>
      <c r="M375" s="363"/>
      <c r="N375" s="363">
        <f>SUM(N376:N378)</f>
        <v>0</v>
      </c>
      <c r="O375" s="1051">
        <f t="shared" si="944"/>
        <v>68700</v>
      </c>
      <c r="P375" s="571"/>
      <c r="Q375" s="367">
        <v>12502</v>
      </c>
      <c r="R375" s="557"/>
      <c r="S375" s="539">
        <v>12502</v>
      </c>
      <c r="T375" s="557"/>
      <c r="U375" s="365"/>
      <c r="V375" s="320"/>
      <c r="W375" s="320"/>
      <c r="X375" s="320"/>
      <c r="Z375" s="367">
        <f t="shared" si="1150"/>
        <v>11200</v>
      </c>
      <c r="AA375" s="363">
        <f t="shared" si="1150"/>
        <v>0</v>
      </c>
      <c r="AB375" s="280">
        <f t="shared" si="946"/>
        <v>11200</v>
      </c>
      <c r="AC375" s="367">
        <f t="shared" si="1151"/>
        <v>37500</v>
      </c>
      <c r="AD375" s="363">
        <f t="shared" si="1151"/>
        <v>0</v>
      </c>
      <c r="AE375" s="280">
        <f t="shared" si="948"/>
        <v>37500</v>
      </c>
      <c r="AF375" s="367">
        <f t="shared" si="1152"/>
        <v>20000</v>
      </c>
      <c r="AG375" s="363">
        <f t="shared" si="1152"/>
        <v>0</v>
      </c>
      <c r="AH375" s="280">
        <f t="shared" si="950"/>
        <v>20000</v>
      </c>
      <c r="AI375" s="367">
        <f t="shared" si="1153"/>
        <v>0</v>
      </c>
      <c r="AJ375" s="363">
        <f t="shared" si="1153"/>
        <v>0</v>
      </c>
      <c r="AK375" s="280">
        <f t="shared" si="952"/>
        <v>0</v>
      </c>
      <c r="AL375" s="368"/>
      <c r="AM375" s="367">
        <f t="shared" si="1154"/>
        <v>48700</v>
      </c>
      <c r="AN375" s="363">
        <f t="shared" si="1154"/>
        <v>0</v>
      </c>
      <c r="AO375" s="280">
        <f t="shared" si="954"/>
        <v>48700</v>
      </c>
      <c r="AP375" s="367">
        <f t="shared" si="1155"/>
        <v>68700</v>
      </c>
      <c r="AQ375" s="363">
        <f t="shared" si="1155"/>
        <v>0</v>
      </c>
      <c r="AR375" s="280">
        <f t="shared" si="940"/>
        <v>68700</v>
      </c>
      <c r="AS375" s="367">
        <f t="shared" si="1156"/>
        <v>68700</v>
      </c>
      <c r="AT375" s="363">
        <f t="shared" si="1156"/>
        <v>0</v>
      </c>
      <c r="AU375" s="280">
        <f t="shared" si="942"/>
        <v>68700</v>
      </c>
      <c r="AV375" s="1253">
        <f t="shared" si="970"/>
        <v>0</v>
      </c>
      <c r="AW375" s="367">
        <f>SUM(AW376:AW378)</f>
        <v>0</v>
      </c>
      <c r="AX375" s="363">
        <f t="shared" ref="AX375:BS375" si="1272">SUM(AX376:AX378)</f>
        <v>0</v>
      </c>
      <c r="AY375" s="363">
        <f t="shared" si="1272"/>
        <v>0</v>
      </c>
      <c r="AZ375" s="363">
        <f t="shared" si="1272"/>
        <v>0</v>
      </c>
      <c r="BA375" s="363">
        <f t="shared" si="1272"/>
        <v>11200</v>
      </c>
      <c r="BB375" s="369">
        <f t="shared" si="1272"/>
        <v>0</v>
      </c>
      <c r="BC375" s="367">
        <f t="shared" si="1272"/>
        <v>0</v>
      </c>
      <c r="BD375" s="363">
        <f t="shared" si="1272"/>
        <v>0</v>
      </c>
      <c r="BE375" s="363">
        <f t="shared" si="1272"/>
        <v>37500</v>
      </c>
      <c r="BF375" s="363">
        <f t="shared" si="1272"/>
        <v>0</v>
      </c>
      <c r="BG375" s="363">
        <f t="shared" si="1272"/>
        <v>0</v>
      </c>
      <c r="BH375" s="369">
        <f t="shared" si="1272"/>
        <v>0</v>
      </c>
      <c r="BI375" s="367">
        <f t="shared" si="1272"/>
        <v>0</v>
      </c>
      <c r="BJ375" s="363">
        <f t="shared" si="1272"/>
        <v>0</v>
      </c>
      <c r="BK375" s="363">
        <f t="shared" si="1272"/>
        <v>20000</v>
      </c>
      <c r="BL375" s="363">
        <f t="shared" si="1272"/>
        <v>0</v>
      </c>
      <c r="BM375" s="363">
        <f t="shared" si="1272"/>
        <v>0</v>
      </c>
      <c r="BN375" s="369">
        <f t="shared" si="1272"/>
        <v>0</v>
      </c>
      <c r="BO375" s="367">
        <f t="shared" si="1272"/>
        <v>0</v>
      </c>
      <c r="BP375" s="363">
        <f t="shared" si="1272"/>
        <v>0</v>
      </c>
      <c r="BQ375" s="363">
        <f t="shared" si="1272"/>
        <v>0</v>
      </c>
      <c r="BR375" s="363">
        <f t="shared" si="1272"/>
        <v>0</v>
      </c>
      <c r="BS375" s="363">
        <f t="shared" si="1272"/>
        <v>0</v>
      </c>
      <c r="BT375" s="280"/>
    </row>
    <row r="376" spans="1:72" s="313" customFormat="1" ht="38.25">
      <c r="A376" s="287">
        <v>289</v>
      </c>
      <c r="B376" s="941"/>
      <c r="C376" s="840"/>
      <c r="D376" s="841"/>
      <c r="E376" s="839"/>
      <c r="F376" s="821" t="s">
        <v>23</v>
      </c>
      <c r="G376" s="314">
        <v>2</v>
      </c>
      <c r="H376" s="739" t="s">
        <v>71</v>
      </c>
      <c r="I376" s="739">
        <v>244</v>
      </c>
      <c r="J376" s="740">
        <v>345</v>
      </c>
      <c r="K376" s="317" t="s">
        <v>518</v>
      </c>
      <c r="L376" s="1013">
        <v>31200</v>
      </c>
      <c r="M376" s="318"/>
      <c r="N376" s="318"/>
      <c r="O376" s="1052">
        <f t="shared" si="944"/>
        <v>31200</v>
      </c>
      <c r="P376" s="329"/>
      <c r="Q376" s="319">
        <v>0</v>
      </c>
      <c r="R376" s="329"/>
      <c r="S376" s="319">
        <v>0</v>
      </c>
      <c r="T376" s="329"/>
      <c r="U376" s="335"/>
      <c r="V376" s="320"/>
      <c r="W376" s="320"/>
      <c r="X376" s="320"/>
      <c r="Z376" s="336">
        <f t="shared" si="1150"/>
        <v>11200</v>
      </c>
      <c r="AA376" s="337">
        <f t="shared" si="1150"/>
        <v>0</v>
      </c>
      <c r="AB376" s="338">
        <f t="shared" si="946"/>
        <v>11200</v>
      </c>
      <c r="AC376" s="336">
        <f t="shared" si="1151"/>
        <v>10000</v>
      </c>
      <c r="AD376" s="337">
        <f t="shared" si="1151"/>
        <v>0</v>
      </c>
      <c r="AE376" s="338">
        <f t="shared" si="948"/>
        <v>10000</v>
      </c>
      <c r="AF376" s="336">
        <f t="shared" si="1152"/>
        <v>10000</v>
      </c>
      <c r="AG376" s="337">
        <f t="shared" si="1152"/>
        <v>0</v>
      </c>
      <c r="AH376" s="338">
        <f t="shared" si="950"/>
        <v>10000</v>
      </c>
      <c r="AI376" s="336">
        <f t="shared" si="1153"/>
        <v>0</v>
      </c>
      <c r="AJ376" s="337">
        <f t="shared" si="1153"/>
        <v>0</v>
      </c>
      <c r="AK376" s="338">
        <f t="shared" si="952"/>
        <v>0</v>
      </c>
      <c r="AL376" s="342"/>
      <c r="AM376" s="336">
        <f t="shared" si="1154"/>
        <v>21200</v>
      </c>
      <c r="AN376" s="339">
        <f t="shared" si="1154"/>
        <v>0</v>
      </c>
      <c r="AO376" s="340">
        <f t="shared" si="954"/>
        <v>21200</v>
      </c>
      <c r="AP376" s="336">
        <f t="shared" si="1155"/>
        <v>31200</v>
      </c>
      <c r="AQ376" s="339">
        <f t="shared" si="1155"/>
        <v>0</v>
      </c>
      <c r="AR376" s="340">
        <f t="shared" si="940"/>
        <v>31200</v>
      </c>
      <c r="AS376" s="341">
        <f t="shared" si="1156"/>
        <v>31200</v>
      </c>
      <c r="AT376" s="339">
        <f t="shared" si="1156"/>
        <v>0</v>
      </c>
      <c r="AU376" s="340">
        <f t="shared" si="942"/>
        <v>31200</v>
      </c>
      <c r="AV376" s="1255"/>
      <c r="AW376" s="343"/>
      <c r="AX376" s="344"/>
      <c r="AY376" s="345"/>
      <c r="AZ376" s="344"/>
      <c r="BA376" s="345">
        <v>11200</v>
      </c>
      <c r="BB376" s="346"/>
      <c r="BC376" s="347"/>
      <c r="BD376" s="348"/>
      <c r="BE376" s="349">
        <v>10000</v>
      </c>
      <c r="BF376" s="348"/>
      <c r="BG376" s="349"/>
      <c r="BH376" s="350"/>
      <c r="BI376" s="351"/>
      <c r="BJ376" s="352"/>
      <c r="BK376" s="337">
        <v>10000</v>
      </c>
      <c r="BL376" s="352"/>
      <c r="BM376" s="337"/>
      <c r="BN376" s="353"/>
      <c r="BO376" s="354"/>
      <c r="BP376" s="355"/>
      <c r="BQ376" s="356"/>
      <c r="BR376" s="355"/>
      <c r="BS376" s="356"/>
      <c r="BT376" s="357"/>
    </row>
    <row r="377" spans="1:72" s="313" customFormat="1" ht="25.5">
      <c r="A377" s="287">
        <v>290</v>
      </c>
      <c r="B377" s="941"/>
      <c r="C377" s="840"/>
      <c r="D377" s="841"/>
      <c r="E377" s="839"/>
      <c r="F377" s="821" t="s">
        <v>23</v>
      </c>
      <c r="G377" s="314">
        <v>2</v>
      </c>
      <c r="H377" s="739" t="s">
        <v>71</v>
      </c>
      <c r="I377" s="739">
        <v>244</v>
      </c>
      <c r="J377" s="740">
        <v>345</v>
      </c>
      <c r="K377" s="317" t="s">
        <v>520</v>
      </c>
      <c r="L377" s="1013">
        <v>37500</v>
      </c>
      <c r="M377" s="318"/>
      <c r="N377" s="318"/>
      <c r="O377" s="1052">
        <f t="shared" si="944"/>
        <v>37500</v>
      </c>
      <c r="P377" s="329"/>
      <c r="Q377" s="319">
        <v>0</v>
      </c>
      <c r="R377" s="329"/>
      <c r="S377" s="319">
        <v>0</v>
      </c>
      <c r="T377" s="329"/>
      <c r="U377" s="335"/>
      <c r="V377" s="320"/>
      <c r="W377" s="320"/>
      <c r="X377" s="320"/>
      <c r="Z377" s="336">
        <f t="shared" si="1150"/>
        <v>0</v>
      </c>
      <c r="AA377" s="337">
        <f t="shared" si="1150"/>
        <v>0</v>
      </c>
      <c r="AB377" s="338">
        <f t="shared" si="946"/>
        <v>0</v>
      </c>
      <c r="AC377" s="336">
        <f t="shared" si="1151"/>
        <v>27500</v>
      </c>
      <c r="AD377" s="337">
        <f t="shared" si="1151"/>
        <v>0</v>
      </c>
      <c r="AE377" s="338">
        <f t="shared" si="948"/>
        <v>27500</v>
      </c>
      <c r="AF377" s="336">
        <f t="shared" si="1152"/>
        <v>10000</v>
      </c>
      <c r="AG377" s="337">
        <f t="shared" si="1152"/>
        <v>0</v>
      </c>
      <c r="AH377" s="338">
        <f t="shared" si="950"/>
        <v>10000</v>
      </c>
      <c r="AI377" s="336">
        <f t="shared" si="1153"/>
        <v>0</v>
      </c>
      <c r="AJ377" s="337">
        <f t="shared" si="1153"/>
        <v>0</v>
      </c>
      <c r="AK377" s="338">
        <f t="shared" si="952"/>
        <v>0</v>
      </c>
      <c r="AL377" s="342"/>
      <c r="AM377" s="336">
        <f t="shared" si="1154"/>
        <v>27500</v>
      </c>
      <c r="AN377" s="339">
        <f t="shared" si="1154"/>
        <v>0</v>
      </c>
      <c r="AO377" s="340">
        <f t="shared" si="954"/>
        <v>27500</v>
      </c>
      <c r="AP377" s="336">
        <f t="shared" si="1155"/>
        <v>37500</v>
      </c>
      <c r="AQ377" s="339">
        <f t="shared" si="1155"/>
        <v>0</v>
      </c>
      <c r="AR377" s="340">
        <f t="shared" si="940"/>
        <v>37500</v>
      </c>
      <c r="AS377" s="341">
        <f t="shared" si="1156"/>
        <v>37500</v>
      </c>
      <c r="AT377" s="339">
        <f t="shared" si="1156"/>
        <v>0</v>
      </c>
      <c r="AU377" s="340">
        <f t="shared" si="942"/>
        <v>37500</v>
      </c>
      <c r="AV377" s="1255"/>
      <c r="AW377" s="343"/>
      <c r="AX377" s="344"/>
      <c r="AY377" s="345"/>
      <c r="AZ377" s="344"/>
      <c r="BA377" s="345"/>
      <c r="BB377" s="346"/>
      <c r="BC377" s="347"/>
      <c r="BD377" s="348"/>
      <c r="BE377" s="349">
        <v>27500</v>
      </c>
      <c r="BF377" s="348"/>
      <c r="BG377" s="349"/>
      <c r="BH377" s="350"/>
      <c r="BI377" s="351"/>
      <c r="BJ377" s="352"/>
      <c r="BK377" s="337">
        <v>10000</v>
      </c>
      <c r="BL377" s="352"/>
      <c r="BM377" s="337"/>
      <c r="BN377" s="353"/>
      <c r="BO377" s="354"/>
      <c r="BP377" s="355"/>
      <c r="BQ377" s="356"/>
      <c r="BR377" s="355"/>
      <c r="BS377" s="356"/>
      <c r="BT377" s="357"/>
    </row>
    <row r="378" spans="1:72" s="615" customFormat="1" ht="25.5">
      <c r="A378" s="287">
        <v>291</v>
      </c>
      <c r="B378" s="935"/>
      <c r="C378" s="866"/>
      <c r="D378" s="867"/>
      <c r="E378" s="867"/>
      <c r="F378" s="832" t="s">
        <v>23</v>
      </c>
      <c r="G378" s="616">
        <v>2</v>
      </c>
      <c r="H378" s="749" t="s">
        <v>71</v>
      </c>
      <c r="I378" s="749">
        <v>244</v>
      </c>
      <c r="J378" s="750">
        <v>345</v>
      </c>
      <c r="K378" s="932" t="s">
        <v>214</v>
      </c>
      <c r="L378" s="1046">
        <v>0</v>
      </c>
      <c r="M378" s="619"/>
      <c r="N378" s="619"/>
      <c r="O378" s="1054">
        <f t="shared" si="944"/>
        <v>0</v>
      </c>
      <c r="P378" s="988"/>
      <c r="Q378" s="656">
        <v>0</v>
      </c>
      <c r="R378" s="988"/>
      <c r="S378" s="656">
        <v>0</v>
      </c>
      <c r="T378" s="988"/>
      <c r="U378" s="621"/>
      <c r="V378" s="388"/>
      <c r="W378" s="388"/>
      <c r="X378" s="388"/>
      <c r="Z378" s="509">
        <f t="shared" si="1150"/>
        <v>0</v>
      </c>
      <c r="AA378" s="622">
        <f t="shared" si="1150"/>
        <v>0</v>
      </c>
      <c r="AB378" s="623">
        <f t="shared" si="946"/>
        <v>0</v>
      </c>
      <c r="AC378" s="509">
        <f t="shared" si="1151"/>
        <v>0</v>
      </c>
      <c r="AD378" s="622">
        <f t="shared" si="1151"/>
        <v>0</v>
      </c>
      <c r="AE378" s="623">
        <f t="shared" si="948"/>
        <v>0</v>
      </c>
      <c r="AF378" s="509">
        <f t="shared" si="1152"/>
        <v>0</v>
      </c>
      <c r="AG378" s="622">
        <f t="shared" si="1152"/>
        <v>0</v>
      </c>
      <c r="AH378" s="623">
        <f t="shared" si="950"/>
        <v>0</v>
      </c>
      <c r="AI378" s="509">
        <f t="shared" si="1153"/>
        <v>0</v>
      </c>
      <c r="AJ378" s="622">
        <f t="shared" si="1153"/>
        <v>0</v>
      </c>
      <c r="AK378" s="623">
        <f t="shared" si="952"/>
        <v>0</v>
      </c>
      <c r="AL378" s="624"/>
      <c r="AM378" s="509">
        <f t="shared" si="1154"/>
        <v>0</v>
      </c>
      <c r="AN378" s="625">
        <f t="shared" si="1154"/>
        <v>0</v>
      </c>
      <c r="AO378" s="626">
        <f t="shared" si="954"/>
        <v>0</v>
      </c>
      <c r="AP378" s="509">
        <f t="shared" si="1155"/>
        <v>0</v>
      </c>
      <c r="AQ378" s="625">
        <f t="shared" si="1155"/>
        <v>0</v>
      </c>
      <c r="AR378" s="626">
        <f t="shared" si="940"/>
        <v>0</v>
      </c>
      <c r="AS378" s="510">
        <f t="shared" si="1156"/>
        <v>0</v>
      </c>
      <c r="AT378" s="625">
        <f t="shared" si="1156"/>
        <v>0</v>
      </c>
      <c r="AU378" s="626">
        <f t="shared" si="942"/>
        <v>0</v>
      </c>
      <c r="AV378" s="440"/>
      <c r="AW378" s="628"/>
      <c r="AX378" s="629"/>
      <c r="AY378" s="630"/>
      <c r="AZ378" s="629"/>
      <c r="BA378" s="630"/>
      <c r="BB378" s="631"/>
      <c r="BC378" s="632"/>
      <c r="BD378" s="633"/>
      <c r="BE378" s="634"/>
      <c r="BF378" s="633"/>
      <c r="BG378" s="634"/>
      <c r="BH378" s="635"/>
      <c r="BI378" s="636"/>
      <c r="BJ378" s="637"/>
      <c r="BK378" s="622"/>
      <c r="BL378" s="637"/>
      <c r="BM378" s="622"/>
      <c r="BN378" s="638"/>
      <c r="BO378" s="639"/>
      <c r="BP378" s="640"/>
      <c r="BQ378" s="641"/>
      <c r="BR378" s="640"/>
      <c r="BS378" s="641"/>
      <c r="BT378" s="642"/>
    </row>
    <row r="379" spans="1:72" s="358" customFormat="1" ht="31.5">
      <c r="A379" s="287">
        <v>292</v>
      </c>
      <c r="B379" s="933"/>
      <c r="C379" s="837"/>
      <c r="D379" s="838"/>
      <c r="E379" s="836" t="s">
        <v>201</v>
      </c>
      <c r="F379" s="820" t="s">
        <v>23</v>
      </c>
      <c r="G379" s="360">
        <v>2</v>
      </c>
      <c r="H379" s="360" t="s">
        <v>71</v>
      </c>
      <c r="I379" s="360">
        <v>244</v>
      </c>
      <c r="J379" s="361">
        <v>349</v>
      </c>
      <c r="K379" s="532" t="s">
        <v>525</v>
      </c>
      <c r="L379" s="1023">
        <v>68040</v>
      </c>
      <c r="M379" s="363"/>
      <c r="N379" s="363"/>
      <c r="O379" s="1290">
        <f t="shared" si="944"/>
        <v>68040</v>
      </c>
      <c r="P379" s="571"/>
      <c r="Q379" s="367">
        <v>117600</v>
      </c>
      <c r="R379" s="557"/>
      <c r="S379" s="539">
        <v>117600</v>
      </c>
      <c r="T379" s="557"/>
      <c r="U379" s="365"/>
      <c r="V379" s="1226" t="s">
        <v>878</v>
      </c>
      <c r="W379" s="1226"/>
      <c r="X379" s="1226"/>
      <c r="Z379" s="367">
        <f t="shared" si="1150"/>
        <v>0</v>
      </c>
      <c r="AA379" s="363">
        <f t="shared" si="1150"/>
        <v>0</v>
      </c>
      <c r="AB379" s="280">
        <f t="shared" si="946"/>
        <v>0</v>
      </c>
      <c r="AC379" s="367">
        <f t="shared" si="1151"/>
        <v>68040</v>
      </c>
      <c r="AD379" s="363">
        <f t="shared" si="1151"/>
        <v>0</v>
      </c>
      <c r="AE379" s="280">
        <f t="shared" si="948"/>
        <v>68040</v>
      </c>
      <c r="AF379" s="367">
        <f t="shared" si="1152"/>
        <v>0</v>
      </c>
      <c r="AG379" s="363">
        <f t="shared" si="1152"/>
        <v>0</v>
      </c>
      <c r="AH379" s="280">
        <f t="shared" si="950"/>
        <v>0</v>
      </c>
      <c r="AI379" s="367">
        <f t="shared" si="1153"/>
        <v>0</v>
      </c>
      <c r="AJ379" s="363">
        <f t="shared" si="1153"/>
        <v>0</v>
      </c>
      <c r="AK379" s="280">
        <f t="shared" si="952"/>
        <v>0</v>
      </c>
      <c r="AL379" s="368"/>
      <c r="AM379" s="367">
        <f t="shared" si="1154"/>
        <v>68040</v>
      </c>
      <c r="AN379" s="363">
        <f t="shared" si="1154"/>
        <v>0</v>
      </c>
      <c r="AO379" s="280">
        <f t="shared" si="954"/>
        <v>68040</v>
      </c>
      <c r="AP379" s="367">
        <f t="shared" si="1155"/>
        <v>68040</v>
      </c>
      <c r="AQ379" s="363">
        <f t="shared" si="1155"/>
        <v>0</v>
      </c>
      <c r="AR379" s="280">
        <f t="shared" si="940"/>
        <v>68040</v>
      </c>
      <c r="AS379" s="367">
        <f t="shared" si="1156"/>
        <v>68040</v>
      </c>
      <c r="AT379" s="363">
        <f t="shared" si="1156"/>
        <v>0</v>
      </c>
      <c r="AU379" s="280">
        <f t="shared" si="942"/>
        <v>68040</v>
      </c>
      <c r="AV379" s="1270">
        <f t="shared" si="970"/>
        <v>0</v>
      </c>
      <c r="AW379" s="367"/>
      <c r="AX379" s="363"/>
      <c r="AY379" s="363"/>
      <c r="AZ379" s="363"/>
      <c r="BA379" s="363"/>
      <c r="BB379" s="369"/>
      <c r="BC379" s="367"/>
      <c r="BD379" s="363"/>
      <c r="BE379" s="363"/>
      <c r="BF379" s="363"/>
      <c r="BG379" s="363">
        <v>68040</v>
      </c>
      <c r="BH379" s="369"/>
      <c r="BI379" s="367"/>
      <c r="BJ379" s="363"/>
      <c r="BK379" s="363"/>
      <c r="BL379" s="363"/>
      <c r="BM379" s="363"/>
      <c r="BN379" s="369"/>
      <c r="BO379" s="367"/>
      <c r="BP379" s="363"/>
      <c r="BQ379" s="363"/>
      <c r="BR379" s="363"/>
      <c r="BS379" s="363"/>
      <c r="BT379" s="280"/>
    </row>
    <row r="380" spans="1:72" s="358" customFormat="1" ht="31.5">
      <c r="A380" s="287">
        <v>293</v>
      </c>
      <c r="B380" s="936"/>
      <c r="C380" s="850" t="s">
        <v>377</v>
      </c>
      <c r="D380" s="838"/>
      <c r="E380" s="836" t="s">
        <v>201</v>
      </c>
      <c r="F380" s="820" t="s">
        <v>23</v>
      </c>
      <c r="G380" s="360">
        <v>2</v>
      </c>
      <c r="H380" s="360" t="s">
        <v>71</v>
      </c>
      <c r="I380" s="360">
        <v>244</v>
      </c>
      <c r="J380" s="361">
        <v>349</v>
      </c>
      <c r="K380" s="532" t="s">
        <v>526</v>
      </c>
      <c r="L380" s="1023">
        <f>SUM(L381:L383)</f>
        <v>55484</v>
      </c>
      <c r="M380" s="363"/>
      <c r="N380" s="363">
        <f>SUM(N381:N383)</f>
        <v>0</v>
      </c>
      <c r="O380" s="1051">
        <f t="shared" si="944"/>
        <v>55484</v>
      </c>
      <c r="P380" s="571"/>
      <c r="Q380" s="367">
        <f t="shared" ref="Q380:S380" si="1273">SUM(Q381:Q383)</f>
        <v>893974.32</v>
      </c>
      <c r="R380" s="557">
        <f t="shared" si="1273"/>
        <v>0</v>
      </c>
      <c r="S380" s="539">
        <f t="shared" si="1273"/>
        <v>893974.32</v>
      </c>
      <c r="T380" s="557"/>
      <c r="U380" s="365"/>
      <c r="V380" s="320"/>
      <c r="W380" s="320"/>
      <c r="X380" s="320"/>
      <c r="Z380" s="367">
        <f t="shared" si="1150"/>
        <v>0</v>
      </c>
      <c r="AA380" s="363">
        <f t="shared" si="1150"/>
        <v>0</v>
      </c>
      <c r="AB380" s="280">
        <f t="shared" si="946"/>
        <v>0</v>
      </c>
      <c r="AC380" s="367">
        <f t="shared" si="1151"/>
        <v>20000</v>
      </c>
      <c r="AD380" s="363">
        <f t="shared" si="1151"/>
        <v>0</v>
      </c>
      <c r="AE380" s="280">
        <f t="shared" si="948"/>
        <v>20000</v>
      </c>
      <c r="AF380" s="367">
        <f t="shared" si="1152"/>
        <v>0</v>
      </c>
      <c r="AG380" s="363">
        <f t="shared" si="1152"/>
        <v>0</v>
      </c>
      <c r="AH380" s="280">
        <f t="shared" si="950"/>
        <v>0</v>
      </c>
      <c r="AI380" s="367">
        <f t="shared" si="1153"/>
        <v>283473.64</v>
      </c>
      <c r="AJ380" s="363">
        <f t="shared" si="1153"/>
        <v>0</v>
      </c>
      <c r="AK380" s="280">
        <f t="shared" si="952"/>
        <v>283473.64</v>
      </c>
      <c r="AL380" s="368"/>
      <c r="AM380" s="367">
        <f t="shared" si="1154"/>
        <v>20000</v>
      </c>
      <c r="AN380" s="363">
        <f t="shared" si="1154"/>
        <v>0</v>
      </c>
      <c r="AO380" s="280">
        <f t="shared" si="954"/>
        <v>20000</v>
      </c>
      <c r="AP380" s="367">
        <f t="shared" si="1155"/>
        <v>20000</v>
      </c>
      <c r="AQ380" s="363">
        <f t="shared" si="1155"/>
        <v>0</v>
      </c>
      <c r="AR380" s="280">
        <f t="shared" si="940"/>
        <v>20000</v>
      </c>
      <c r="AS380" s="367">
        <f t="shared" si="1156"/>
        <v>303473.64</v>
      </c>
      <c r="AT380" s="363">
        <f t="shared" si="1156"/>
        <v>0</v>
      </c>
      <c r="AU380" s="280">
        <f t="shared" si="942"/>
        <v>303473.64</v>
      </c>
      <c r="AV380" s="1253">
        <f t="shared" si="970"/>
        <v>-247989.64</v>
      </c>
      <c r="AW380" s="367">
        <f t="shared" ref="AW380:BS380" si="1274">SUM(AW381:AW383)</f>
        <v>0</v>
      </c>
      <c r="AX380" s="363">
        <f t="shared" si="1274"/>
        <v>0</v>
      </c>
      <c r="AY380" s="363">
        <f t="shared" si="1274"/>
        <v>0</v>
      </c>
      <c r="AZ380" s="363">
        <f t="shared" si="1274"/>
        <v>0</v>
      </c>
      <c r="BA380" s="363">
        <f t="shared" si="1274"/>
        <v>0</v>
      </c>
      <c r="BB380" s="369">
        <f t="shared" si="1274"/>
        <v>0</v>
      </c>
      <c r="BC380" s="367">
        <f t="shared" si="1274"/>
        <v>10000</v>
      </c>
      <c r="BD380" s="363">
        <f t="shared" si="1274"/>
        <v>0</v>
      </c>
      <c r="BE380" s="363">
        <f t="shared" si="1274"/>
        <v>10000</v>
      </c>
      <c r="BF380" s="363">
        <f t="shared" si="1274"/>
        <v>0</v>
      </c>
      <c r="BG380" s="363">
        <f t="shared" si="1274"/>
        <v>0</v>
      </c>
      <c r="BH380" s="369">
        <f t="shared" si="1274"/>
        <v>0</v>
      </c>
      <c r="BI380" s="367">
        <f t="shared" si="1274"/>
        <v>0</v>
      </c>
      <c r="BJ380" s="363">
        <f t="shared" si="1274"/>
        <v>0</v>
      </c>
      <c r="BK380" s="363">
        <f t="shared" si="1274"/>
        <v>0</v>
      </c>
      <c r="BL380" s="363">
        <f t="shared" si="1274"/>
        <v>0</v>
      </c>
      <c r="BM380" s="363">
        <f t="shared" si="1274"/>
        <v>0</v>
      </c>
      <c r="BN380" s="369">
        <f t="shared" si="1274"/>
        <v>0</v>
      </c>
      <c r="BO380" s="367">
        <f t="shared" si="1274"/>
        <v>0</v>
      </c>
      <c r="BP380" s="363">
        <f t="shared" si="1274"/>
        <v>0</v>
      </c>
      <c r="BQ380" s="363">
        <f t="shared" si="1274"/>
        <v>0</v>
      </c>
      <c r="BR380" s="363">
        <f t="shared" si="1274"/>
        <v>0</v>
      </c>
      <c r="BS380" s="363">
        <f t="shared" si="1274"/>
        <v>283473.64</v>
      </c>
      <c r="BT380" s="280"/>
    </row>
    <row r="381" spans="1:72" s="313" customFormat="1" ht="25.5">
      <c r="A381" s="287">
        <v>294</v>
      </c>
      <c r="B381" s="935"/>
      <c r="C381" s="840"/>
      <c r="D381" s="841"/>
      <c r="E381" s="839"/>
      <c r="F381" s="821" t="s">
        <v>23</v>
      </c>
      <c r="G381" s="314">
        <v>2</v>
      </c>
      <c r="H381" s="739" t="s">
        <v>71</v>
      </c>
      <c r="I381" s="739">
        <v>244</v>
      </c>
      <c r="J381" s="740">
        <v>349</v>
      </c>
      <c r="K381" s="317" t="s">
        <v>759</v>
      </c>
      <c r="L381" s="1013">
        <v>35484</v>
      </c>
      <c r="M381" s="318"/>
      <c r="N381" s="318"/>
      <c r="O381" s="1052">
        <f t="shared" si="944"/>
        <v>35484</v>
      </c>
      <c r="P381" s="329"/>
      <c r="Q381" s="319">
        <v>893974.32</v>
      </c>
      <c r="R381" s="329"/>
      <c r="S381" s="319">
        <v>893974.32</v>
      </c>
      <c r="T381" s="329"/>
      <c r="U381" s="335"/>
      <c r="V381" s="320"/>
      <c r="W381" s="320"/>
      <c r="X381" s="320"/>
      <c r="Z381" s="336">
        <f>AW381+AY381+BA381</f>
        <v>0</v>
      </c>
      <c r="AA381" s="337">
        <f>AX381+AZ381+BB381</f>
        <v>0</v>
      </c>
      <c r="AB381" s="338">
        <f>Z381-AA381</f>
        <v>0</v>
      </c>
      <c r="AC381" s="336">
        <f>BC381+BE381+BG381</f>
        <v>0</v>
      </c>
      <c r="AD381" s="337">
        <f>BD381+BF381+BH381</f>
        <v>0</v>
      </c>
      <c r="AE381" s="338">
        <f>AC381-AD381</f>
        <v>0</v>
      </c>
      <c r="AF381" s="336">
        <f>BI381+BK381+BM381</f>
        <v>0</v>
      </c>
      <c r="AG381" s="337">
        <f>BJ381+BL381+BN381</f>
        <v>0</v>
      </c>
      <c r="AH381" s="338">
        <f>AF381-AG381</f>
        <v>0</v>
      </c>
      <c r="AI381" s="336">
        <f>BO381+BQ381+BS381</f>
        <v>283473.64</v>
      </c>
      <c r="AJ381" s="337">
        <f>BP381+BR381+BT381</f>
        <v>0</v>
      </c>
      <c r="AK381" s="338">
        <f>AI381-AJ381</f>
        <v>283473.64</v>
      </c>
      <c r="AL381" s="342"/>
      <c r="AM381" s="336">
        <f>Z381+AC381</f>
        <v>0</v>
      </c>
      <c r="AN381" s="339">
        <f>AA381+AD381</f>
        <v>0</v>
      </c>
      <c r="AO381" s="340">
        <f>AM381-AN381</f>
        <v>0</v>
      </c>
      <c r="AP381" s="336">
        <f>Z381+AC381+AF381</f>
        <v>0</v>
      </c>
      <c r="AQ381" s="339">
        <f>AA381+AD381+AG381</f>
        <v>0</v>
      </c>
      <c r="AR381" s="340">
        <f>AP381-AQ381</f>
        <v>0</v>
      </c>
      <c r="AS381" s="341">
        <f>Z381+AC381+AF381+AI381</f>
        <v>283473.64</v>
      </c>
      <c r="AT381" s="339">
        <f>AA381+AD381+AG381+AJ381</f>
        <v>0</v>
      </c>
      <c r="AU381" s="340">
        <f>AS381-AT381</f>
        <v>283473.64</v>
      </c>
      <c r="AV381" s="1255"/>
      <c r="AW381" s="343"/>
      <c r="AX381" s="1098"/>
      <c r="AY381" s="345"/>
      <c r="AZ381" s="1098"/>
      <c r="BA381" s="345"/>
      <c r="BB381" s="1120"/>
      <c r="BC381" s="347"/>
      <c r="BD381" s="348"/>
      <c r="BE381" s="349"/>
      <c r="BF381" s="348"/>
      <c r="BG381" s="349"/>
      <c r="BH381" s="350"/>
      <c r="BI381" s="351"/>
      <c r="BJ381" s="352"/>
      <c r="BK381" s="337"/>
      <c r="BL381" s="352"/>
      <c r="BM381" s="337"/>
      <c r="BN381" s="353"/>
      <c r="BO381" s="354"/>
      <c r="BP381" s="355"/>
      <c r="BQ381" s="356"/>
      <c r="BR381" s="355"/>
      <c r="BS381" s="356">
        <f>873974.32-590500.68</f>
        <v>283473.64</v>
      </c>
      <c r="BT381" s="357"/>
    </row>
    <row r="382" spans="1:72" s="313" customFormat="1" ht="38.25">
      <c r="A382" s="287">
        <v>295</v>
      </c>
      <c r="B382" s="935"/>
      <c r="C382" s="840"/>
      <c r="D382" s="841"/>
      <c r="E382" s="839"/>
      <c r="F382" s="821" t="s">
        <v>23</v>
      </c>
      <c r="G382" s="314">
        <v>2</v>
      </c>
      <c r="H382" s="739" t="s">
        <v>71</v>
      </c>
      <c r="I382" s="739">
        <v>244</v>
      </c>
      <c r="J382" s="740">
        <v>349</v>
      </c>
      <c r="K382" s="317" t="s">
        <v>758</v>
      </c>
      <c r="L382" s="1013">
        <v>20000</v>
      </c>
      <c r="M382" s="318"/>
      <c r="N382" s="318"/>
      <c r="O382" s="1052">
        <f t="shared" si="944"/>
        <v>20000</v>
      </c>
      <c r="P382" s="329"/>
      <c r="Q382" s="319">
        <v>0</v>
      </c>
      <c r="R382" s="329"/>
      <c r="S382" s="319">
        <v>0</v>
      </c>
      <c r="T382" s="329"/>
      <c r="U382" s="335"/>
      <c r="V382" s="320"/>
      <c r="W382" s="320"/>
      <c r="X382" s="320"/>
      <c r="Z382" s="336">
        <f>AW382+AY382+BA382</f>
        <v>0</v>
      </c>
      <c r="AA382" s="337">
        <f>AX382+AZ382+BB382</f>
        <v>0</v>
      </c>
      <c r="AB382" s="338">
        <f>Z382-AA382</f>
        <v>0</v>
      </c>
      <c r="AC382" s="336">
        <f>BC382+BE382+BG382</f>
        <v>20000</v>
      </c>
      <c r="AD382" s="337">
        <f>BD382+BF382+BH382</f>
        <v>0</v>
      </c>
      <c r="AE382" s="338">
        <f>AC382-AD382</f>
        <v>20000</v>
      </c>
      <c r="AF382" s="336">
        <f>BI382+BK382+BM382</f>
        <v>0</v>
      </c>
      <c r="AG382" s="337">
        <f>BJ382+BL382+BN382</f>
        <v>0</v>
      </c>
      <c r="AH382" s="338">
        <f>AF382-AG382</f>
        <v>0</v>
      </c>
      <c r="AI382" s="336">
        <f>BO382+BQ382+BS382</f>
        <v>0</v>
      </c>
      <c r="AJ382" s="337">
        <f>BP382+BR382+BT382</f>
        <v>0</v>
      </c>
      <c r="AK382" s="338">
        <f>AI382-AJ382</f>
        <v>0</v>
      </c>
      <c r="AL382" s="342"/>
      <c r="AM382" s="336">
        <f>Z382+AC382</f>
        <v>20000</v>
      </c>
      <c r="AN382" s="339">
        <f>AA382+AD382</f>
        <v>0</v>
      </c>
      <c r="AO382" s="340">
        <f>AM382-AN382</f>
        <v>20000</v>
      </c>
      <c r="AP382" s="336">
        <f>Z382+AC382+AF382</f>
        <v>20000</v>
      </c>
      <c r="AQ382" s="339">
        <f>AA382+AD382+AG382</f>
        <v>0</v>
      </c>
      <c r="AR382" s="340">
        <f>AP382-AQ382</f>
        <v>20000</v>
      </c>
      <c r="AS382" s="341">
        <f>Z382+AC382+AF382+AI382</f>
        <v>20000</v>
      </c>
      <c r="AT382" s="339">
        <f>AA382+AD382+AG382+AJ382</f>
        <v>0</v>
      </c>
      <c r="AU382" s="340">
        <f>AS382-AT382</f>
        <v>20000</v>
      </c>
      <c r="AV382" s="1255"/>
      <c r="AW382" s="343"/>
      <c r="AX382" s="1098"/>
      <c r="AY382" s="345"/>
      <c r="AZ382" s="1098"/>
      <c r="BA382" s="345"/>
      <c r="BB382" s="1120"/>
      <c r="BC382" s="1134">
        <v>10000</v>
      </c>
      <c r="BD382" s="1140"/>
      <c r="BE382" s="1135">
        <v>10000</v>
      </c>
      <c r="BF382" s="348"/>
      <c r="BG382" s="349"/>
      <c r="BH382" s="350"/>
      <c r="BI382" s="351"/>
      <c r="BJ382" s="352"/>
      <c r="BK382" s="337"/>
      <c r="BL382" s="352"/>
      <c r="BM382" s="337"/>
      <c r="BN382" s="353"/>
      <c r="BO382" s="354"/>
      <c r="BP382" s="355"/>
      <c r="BQ382" s="356"/>
      <c r="BR382" s="355"/>
      <c r="BS382" s="356"/>
      <c r="BT382" s="357"/>
    </row>
    <row r="383" spans="1:72" s="615" customFormat="1" ht="25.5">
      <c r="A383" s="287">
        <v>296</v>
      </c>
      <c r="B383" s="935"/>
      <c r="C383" s="866"/>
      <c r="D383" s="867"/>
      <c r="E383" s="867"/>
      <c r="F383" s="832" t="s">
        <v>23</v>
      </c>
      <c r="G383" s="616">
        <v>2</v>
      </c>
      <c r="H383" s="749" t="s">
        <v>71</v>
      </c>
      <c r="I383" s="749">
        <v>244</v>
      </c>
      <c r="J383" s="750">
        <v>349</v>
      </c>
      <c r="K383" s="932" t="s">
        <v>214</v>
      </c>
      <c r="L383" s="1046">
        <v>0</v>
      </c>
      <c r="M383" s="619"/>
      <c r="N383" s="619"/>
      <c r="O383" s="1054">
        <f t="shared" ref="O383" si="1275">L383+N383</f>
        <v>0</v>
      </c>
      <c r="P383" s="988"/>
      <c r="Q383" s="656">
        <v>0</v>
      </c>
      <c r="R383" s="988"/>
      <c r="S383" s="656">
        <v>0</v>
      </c>
      <c r="T383" s="988"/>
      <c r="U383" s="621"/>
      <c r="V383" s="388"/>
      <c r="W383" s="388"/>
      <c r="X383" s="388"/>
      <c r="Z383" s="509">
        <f t="shared" ref="Z383:AA383" si="1276">AW383+AY383+BA383</f>
        <v>0</v>
      </c>
      <c r="AA383" s="622">
        <f t="shared" si="1276"/>
        <v>0</v>
      </c>
      <c r="AB383" s="623">
        <f t="shared" ref="AB383" si="1277">Z383-AA383</f>
        <v>0</v>
      </c>
      <c r="AC383" s="509">
        <f t="shared" ref="AC383:AD383" si="1278">BC383+BE383+BG383</f>
        <v>0</v>
      </c>
      <c r="AD383" s="622">
        <f t="shared" si="1278"/>
        <v>0</v>
      </c>
      <c r="AE383" s="623">
        <f t="shared" ref="AE383" si="1279">AC383-AD383</f>
        <v>0</v>
      </c>
      <c r="AF383" s="509">
        <f t="shared" ref="AF383:AG383" si="1280">BI383+BK383+BM383</f>
        <v>0</v>
      </c>
      <c r="AG383" s="622">
        <f t="shared" si="1280"/>
        <v>0</v>
      </c>
      <c r="AH383" s="623">
        <f t="shared" ref="AH383" si="1281">AF383-AG383</f>
        <v>0</v>
      </c>
      <c r="AI383" s="509">
        <f t="shared" ref="AI383:AJ383" si="1282">BO383+BQ383+BS383</f>
        <v>0</v>
      </c>
      <c r="AJ383" s="622">
        <f t="shared" si="1282"/>
        <v>0</v>
      </c>
      <c r="AK383" s="623">
        <f t="shared" ref="AK383" si="1283">AI383-AJ383</f>
        <v>0</v>
      </c>
      <c r="AL383" s="624"/>
      <c r="AM383" s="509">
        <f t="shared" ref="AM383:AN383" si="1284">Z383+AC383</f>
        <v>0</v>
      </c>
      <c r="AN383" s="625">
        <f t="shared" si="1284"/>
        <v>0</v>
      </c>
      <c r="AO383" s="626">
        <f t="shared" si="954"/>
        <v>0</v>
      </c>
      <c r="AP383" s="509">
        <f t="shared" ref="AP383:AQ383" si="1285">Z383+AC383+AF383</f>
        <v>0</v>
      </c>
      <c r="AQ383" s="625">
        <f t="shared" si="1285"/>
        <v>0</v>
      </c>
      <c r="AR383" s="626">
        <f t="shared" si="940"/>
        <v>0</v>
      </c>
      <c r="AS383" s="510">
        <f t="shared" ref="AS383:AT383" si="1286">Z383+AC383+AF383+AI383</f>
        <v>0</v>
      </c>
      <c r="AT383" s="625">
        <f t="shared" si="1286"/>
        <v>0</v>
      </c>
      <c r="AU383" s="626">
        <f t="shared" ref="AU383" si="1287">AS383-AT383</f>
        <v>0</v>
      </c>
      <c r="AV383" s="440"/>
      <c r="AW383" s="628"/>
      <c r="AX383" s="629"/>
      <c r="AY383" s="630"/>
      <c r="AZ383" s="629"/>
      <c r="BA383" s="630"/>
      <c r="BB383" s="631"/>
      <c r="BC383" s="632"/>
      <c r="BD383" s="633"/>
      <c r="BE383" s="634"/>
      <c r="BF383" s="633"/>
      <c r="BG383" s="634"/>
      <c r="BH383" s="635"/>
      <c r="BI383" s="636"/>
      <c r="BJ383" s="637"/>
      <c r="BK383" s="622"/>
      <c r="BL383" s="637"/>
      <c r="BM383" s="622"/>
      <c r="BN383" s="638"/>
      <c r="BO383" s="639"/>
      <c r="BP383" s="640"/>
      <c r="BQ383" s="641"/>
      <c r="BR383" s="640"/>
      <c r="BS383" s="641"/>
      <c r="BT383" s="642"/>
    </row>
    <row r="384" spans="1:72" s="31" customFormat="1" ht="15.75">
      <c r="A384" s="287">
        <v>297</v>
      </c>
      <c r="B384" s="933"/>
      <c r="C384" s="845"/>
      <c r="D384" s="849"/>
      <c r="E384" s="287" t="s">
        <v>201</v>
      </c>
      <c r="F384" s="521"/>
      <c r="G384" s="521"/>
      <c r="H384" s="521"/>
      <c r="I384" s="521"/>
      <c r="J384" s="521"/>
      <c r="K384" s="1191" t="s">
        <v>17</v>
      </c>
      <c r="L384" s="1047">
        <f>SUM(L243,L244,L246,L248,L249,L250,L251,L252,L260,L257,L263,L323,L265,L271,L273,L275,L277,L300,L310,L311,L315,L316,L326,L330,L334,L339,L346,L353,L375,L379,L380)</f>
        <v>11682442.91</v>
      </c>
      <c r="M384" s="13">
        <f t="shared" ref="M384:BT384" si="1288">SUM(M243,M244,M246,M248,M249,M250,M251,M252,M260,M257,M263,M323,M265,M271,M273,M275,M277,M300,M310,M311,M315,M316,M326,M330,M334,M339,M346,M353,M375,M379,M380)</f>
        <v>192442.91</v>
      </c>
      <c r="N384" s="13">
        <f t="shared" si="1288"/>
        <v>0</v>
      </c>
      <c r="O384" s="13">
        <f t="shared" si="1288"/>
        <v>11682442.91</v>
      </c>
      <c r="P384" s="570">
        <f t="shared" si="1288"/>
        <v>0</v>
      </c>
      <c r="Q384" s="264">
        <f t="shared" si="1288"/>
        <v>11490000</v>
      </c>
      <c r="R384" s="559">
        <f t="shared" si="1288"/>
        <v>0</v>
      </c>
      <c r="S384" s="543">
        <f t="shared" si="1288"/>
        <v>11490000</v>
      </c>
      <c r="T384" s="559">
        <f t="shared" si="1288"/>
        <v>0</v>
      </c>
      <c r="U384" s="334">
        <f t="shared" si="1288"/>
        <v>0</v>
      </c>
      <c r="V384" s="7">
        <f t="shared" si="1288"/>
        <v>0</v>
      </c>
      <c r="W384" s="7">
        <f t="shared" si="1288"/>
        <v>0</v>
      </c>
      <c r="X384" s="7" t="e">
        <f t="shared" si="1288"/>
        <v>#VALUE!</v>
      </c>
      <c r="Y384" s="31">
        <f t="shared" si="1288"/>
        <v>0</v>
      </c>
      <c r="Z384" s="264">
        <f t="shared" si="1288"/>
        <v>7594081.1699999999</v>
      </c>
      <c r="AA384" s="254">
        <f t="shared" si="1288"/>
        <v>740029.37</v>
      </c>
      <c r="AB384" s="270">
        <f t="shared" si="1288"/>
        <v>6854051.7999999998</v>
      </c>
      <c r="AC384" s="264">
        <f t="shared" si="1288"/>
        <v>1285142.3600000001</v>
      </c>
      <c r="AD384" s="254">
        <f t="shared" si="1288"/>
        <v>316848.95</v>
      </c>
      <c r="AE384" s="270">
        <f t="shared" si="1288"/>
        <v>968293.41</v>
      </c>
      <c r="AF384" s="264">
        <f t="shared" si="1288"/>
        <v>403564.2</v>
      </c>
      <c r="AG384" s="254">
        <f t="shared" si="1288"/>
        <v>146801.91</v>
      </c>
      <c r="AH384" s="270">
        <f t="shared" si="1288"/>
        <v>256762.29</v>
      </c>
      <c r="AI384" s="264">
        <f t="shared" si="1288"/>
        <v>3058570.25</v>
      </c>
      <c r="AJ384" s="254">
        <f t="shared" si="1288"/>
        <v>42994.07</v>
      </c>
      <c r="AK384" s="270">
        <f t="shared" si="1288"/>
        <v>3015576.18</v>
      </c>
      <c r="AL384" s="278">
        <f t="shared" si="1288"/>
        <v>0</v>
      </c>
      <c r="AM384" s="264">
        <f t="shared" si="1288"/>
        <v>8879223.5299999993</v>
      </c>
      <c r="AN384" s="248">
        <f t="shared" si="1288"/>
        <v>1056878.32</v>
      </c>
      <c r="AO384" s="281">
        <f t="shared" si="1288"/>
        <v>7822345.21</v>
      </c>
      <c r="AP384" s="264">
        <f t="shared" si="1288"/>
        <v>9282787.7300000004</v>
      </c>
      <c r="AQ384" s="248">
        <f t="shared" si="1288"/>
        <v>1203680.23</v>
      </c>
      <c r="AR384" s="281">
        <f t="shared" si="1288"/>
        <v>8079107.5</v>
      </c>
      <c r="AS384" s="264">
        <f t="shared" si="1288"/>
        <v>12341357.98</v>
      </c>
      <c r="AT384" s="248">
        <f t="shared" si="1288"/>
        <v>1246674.3</v>
      </c>
      <c r="AU384" s="281">
        <f t="shared" si="1288"/>
        <v>11094683.68</v>
      </c>
      <c r="AV384" s="1266">
        <f t="shared" si="1288"/>
        <v>-658915.06999999995</v>
      </c>
      <c r="AW384" s="278">
        <f t="shared" si="1288"/>
        <v>6582265.5599999996</v>
      </c>
      <c r="AX384" s="1113">
        <f t="shared" si="1288"/>
        <v>0</v>
      </c>
      <c r="AY384" s="278">
        <f t="shared" si="1288"/>
        <v>44430</v>
      </c>
      <c r="AZ384" s="1113">
        <f t="shared" si="1288"/>
        <v>333945.86</v>
      </c>
      <c r="BA384" s="278">
        <f t="shared" si="1288"/>
        <v>967385.61</v>
      </c>
      <c r="BB384" s="1113">
        <f t="shared" si="1288"/>
        <v>406083.51</v>
      </c>
      <c r="BC384" s="278">
        <f t="shared" si="1288"/>
        <v>209846.1</v>
      </c>
      <c r="BD384" s="278">
        <f t="shared" si="1288"/>
        <v>118202.1</v>
      </c>
      <c r="BE384" s="278">
        <f t="shared" si="1288"/>
        <v>730567.85</v>
      </c>
      <c r="BF384" s="278">
        <f t="shared" si="1288"/>
        <v>97863.24</v>
      </c>
      <c r="BG384" s="278">
        <f t="shared" si="1288"/>
        <v>344728.41</v>
      </c>
      <c r="BH384" s="278">
        <f t="shared" si="1288"/>
        <v>100783.61</v>
      </c>
      <c r="BI384" s="278">
        <f t="shared" si="1288"/>
        <v>165635.06</v>
      </c>
      <c r="BJ384" s="278">
        <f t="shared" si="1288"/>
        <v>104259.41</v>
      </c>
      <c r="BK384" s="278">
        <f t="shared" si="1288"/>
        <v>107878</v>
      </c>
      <c r="BL384" s="278">
        <f t="shared" si="1288"/>
        <v>8398</v>
      </c>
      <c r="BM384" s="278">
        <f t="shared" si="1288"/>
        <v>130051.14</v>
      </c>
      <c r="BN384" s="278">
        <f t="shared" si="1288"/>
        <v>34144.5</v>
      </c>
      <c r="BO384" s="278">
        <f t="shared" si="1288"/>
        <v>1070245.3</v>
      </c>
      <c r="BP384" s="278">
        <f t="shared" si="1288"/>
        <v>42994.07</v>
      </c>
      <c r="BQ384" s="278">
        <f t="shared" si="1288"/>
        <v>302305</v>
      </c>
      <c r="BR384" s="278">
        <f t="shared" si="1288"/>
        <v>0</v>
      </c>
      <c r="BS384" s="278">
        <f t="shared" si="1288"/>
        <v>1686019.95</v>
      </c>
      <c r="BT384" s="278">
        <f t="shared" si="1288"/>
        <v>0</v>
      </c>
    </row>
    <row r="385" spans="1:72" s="31" customFormat="1" ht="16.5" customHeight="1" thickBot="1">
      <c r="A385" s="287">
        <v>298</v>
      </c>
      <c r="B385" s="933"/>
      <c r="C385" s="845"/>
      <c r="D385" s="849"/>
      <c r="E385" s="287" t="s">
        <v>201</v>
      </c>
      <c r="F385" s="521"/>
      <c r="G385" s="521"/>
      <c r="H385" s="521"/>
      <c r="I385" s="521"/>
      <c r="J385" s="521"/>
      <c r="K385" s="1191" t="s">
        <v>21</v>
      </c>
      <c r="L385" s="1040">
        <f t="shared" ref="L385:T385" si="1289">L238+L384</f>
        <v>75011899.150000006</v>
      </c>
      <c r="M385" s="546">
        <f t="shared" si="1289"/>
        <v>192442.91</v>
      </c>
      <c r="N385" s="546">
        <f t="shared" si="1289"/>
        <v>-3379.25</v>
      </c>
      <c r="O385" s="546">
        <f t="shared" si="1289"/>
        <v>75008519.900000006</v>
      </c>
      <c r="P385" s="572">
        <f t="shared" si="1289"/>
        <v>9370294.1600000001</v>
      </c>
      <c r="Q385" s="545">
        <f t="shared" si="1289"/>
        <v>53696072.039999999</v>
      </c>
      <c r="R385" s="568">
        <f t="shared" si="1289"/>
        <v>0</v>
      </c>
      <c r="S385" s="554">
        <f t="shared" si="1289"/>
        <v>53288874.439999998</v>
      </c>
      <c r="T385" s="568">
        <f t="shared" si="1289"/>
        <v>0</v>
      </c>
      <c r="U385" s="334"/>
      <c r="V385" s="7"/>
      <c r="W385" s="7"/>
      <c r="X385" s="7"/>
      <c r="Z385" s="263">
        <f t="shared" ref="Z385:AK385" si="1290">Z238+Z384</f>
        <v>21169727.600000001</v>
      </c>
      <c r="AA385" s="253">
        <f t="shared" si="1290"/>
        <v>13634986.02</v>
      </c>
      <c r="AB385" s="269">
        <f t="shared" si="1290"/>
        <v>7534741.5800000001</v>
      </c>
      <c r="AC385" s="263">
        <f t="shared" si="1290"/>
        <v>23962099.920000002</v>
      </c>
      <c r="AD385" s="253">
        <f t="shared" si="1290"/>
        <v>846982.38</v>
      </c>
      <c r="AE385" s="269">
        <f t="shared" si="1290"/>
        <v>23115117.539999999</v>
      </c>
      <c r="AF385" s="263">
        <f t="shared" si="1290"/>
        <v>16168089.460000001</v>
      </c>
      <c r="AG385" s="253">
        <f t="shared" si="1290"/>
        <v>497003.62</v>
      </c>
      <c r="AH385" s="269">
        <f t="shared" si="1290"/>
        <v>15671085.84</v>
      </c>
      <c r="AI385" s="263">
        <f t="shared" si="1290"/>
        <v>16294365.66</v>
      </c>
      <c r="AJ385" s="253">
        <f t="shared" si="1290"/>
        <v>423165.07</v>
      </c>
      <c r="AK385" s="269">
        <f t="shared" si="1290"/>
        <v>15871200.59</v>
      </c>
      <c r="AL385" s="210"/>
      <c r="AM385" s="263">
        <f t="shared" si="1154"/>
        <v>45131827.520000003</v>
      </c>
      <c r="AN385" s="247">
        <f t="shared" si="1154"/>
        <v>14481968.4</v>
      </c>
      <c r="AO385" s="280">
        <f t="shared" si="954"/>
        <v>30649859.120000001</v>
      </c>
      <c r="AP385" s="263">
        <f t="shared" si="1155"/>
        <v>61299916.979999997</v>
      </c>
      <c r="AQ385" s="247">
        <f t="shared" si="1155"/>
        <v>14978972.02</v>
      </c>
      <c r="AR385" s="280">
        <f t="shared" si="940"/>
        <v>46320944.960000001</v>
      </c>
      <c r="AS385" s="263">
        <f>AS238+AS384</f>
        <v>77595082.640000001</v>
      </c>
      <c r="AT385" s="247">
        <f>AT238+AT384</f>
        <v>15402137.09</v>
      </c>
      <c r="AU385" s="280">
        <f>AU238+AU384</f>
        <v>62192945.549999997</v>
      </c>
      <c r="AV385" s="1269">
        <f t="shared" si="970"/>
        <v>-2583183.4900000002</v>
      </c>
      <c r="AW385" s="210"/>
      <c r="AX385" s="1113"/>
      <c r="AY385" s="210"/>
      <c r="AZ385" s="1113"/>
      <c r="BA385" s="210"/>
      <c r="BB385" s="1113"/>
      <c r="BC385" s="210"/>
      <c r="BD385" s="210"/>
      <c r="BE385" s="210"/>
      <c r="BF385" s="210"/>
      <c r="BG385" s="210"/>
      <c r="BH385" s="210"/>
      <c r="BI385" s="210"/>
      <c r="BJ385" s="210"/>
      <c r="BK385" s="210"/>
      <c r="BL385" s="210"/>
      <c r="BM385" s="210"/>
      <c r="BN385" s="210"/>
      <c r="BO385" s="210"/>
      <c r="BP385" s="210"/>
      <c r="BQ385" s="210"/>
      <c r="BR385" s="210"/>
      <c r="BS385" s="210"/>
      <c r="BT385" s="210"/>
    </row>
    <row r="386" spans="1:72" s="31" customFormat="1" ht="15.75">
      <c r="A386" s="287">
        <v>299</v>
      </c>
      <c r="B386" s="933"/>
      <c r="C386" s="845"/>
      <c r="D386" s="849"/>
      <c r="E386" s="287"/>
      <c r="F386" s="2"/>
      <c r="G386" s="2"/>
      <c r="H386" s="2"/>
      <c r="I386" s="2"/>
      <c r="J386" s="2"/>
      <c r="K386" s="209" t="s">
        <v>204</v>
      </c>
      <c r="L386" s="1035">
        <f>11490000+192442.91</f>
        <v>11682442.91</v>
      </c>
      <c r="M386" s="277">
        <v>192442.91</v>
      </c>
      <c r="N386" s="86"/>
      <c r="O386" s="996">
        <f>11490000+192442.91</f>
        <v>11682442.91</v>
      </c>
      <c r="P386" s="997"/>
      <c r="Q386" s="996">
        <v>11490000</v>
      </c>
      <c r="R386" s="997"/>
      <c r="S386" s="996">
        <v>11490000</v>
      </c>
      <c r="T386" s="332"/>
      <c r="U386" s="325"/>
      <c r="Z386" s="86"/>
      <c r="AA386" s="86"/>
      <c r="AB386" s="86"/>
      <c r="AC386" s="86"/>
      <c r="AD386" s="86"/>
      <c r="AE386" s="86"/>
      <c r="AF386" s="86"/>
      <c r="AG386" s="86"/>
      <c r="AH386" s="86"/>
      <c r="AI386" s="86"/>
      <c r="AJ386" s="86"/>
      <c r="AK386" s="86"/>
      <c r="AL386" s="87"/>
      <c r="AM386" s="86"/>
      <c r="AN386" s="86"/>
      <c r="AO386" s="86"/>
      <c r="AP386" s="86"/>
      <c r="AQ386" s="86"/>
      <c r="AR386" s="86"/>
      <c r="AS386" s="86"/>
      <c r="AT386" s="86"/>
      <c r="AU386" s="86"/>
      <c r="AV386" s="1269"/>
      <c r="AW386" s="86"/>
      <c r="AX386" s="1118"/>
      <c r="AY386" s="86"/>
      <c r="AZ386" s="1118"/>
      <c r="BA386" s="86"/>
      <c r="BB386" s="1118"/>
      <c r="BC386" s="86"/>
      <c r="BD386" s="86"/>
      <c r="BE386" s="86"/>
      <c r="BF386" s="86"/>
      <c r="BG386" s="86"/>
      <c r="BH386" s="86"/>
      <c r="BI386" s="86"/>
      <c r="BJ386" s="86"/>
      <c r="BK386" s="86"/>
      <c r="BL386" s="86"/>
      <c r="BM386" s="86"/>
      <c r="BN386" s="86"/>
      <c r="BO386" s="86"/>
      <c r="BP386" s="86"/>
      <c r="BQ386" s="86"/>
      <c r="BR386" s="86"/>
      <c r="BS386" s="86"/>
      <c r="BT386" s="86"/>
    </row>
    <row r="387" spans="1:72" s="31" customFormat="1" ht="15.75">
      <c r="A387" s="287">
        <v>300</v>
      </c>
      <c r="B387" s="933"/>
      <c r="C387" s="845"/>
      <c r="D387" s="849"/>
      <c r="E387" s="287"/>
      <c r="F387" s="2"/>
      <c r="G387" s="2"/>
      <c r="H387" s="2"/>
      <c r="I387" s="2"/>
      <c r="J387" s="2"/>
      <c r="K387" s="209" t="s">
        <v>368</v>
      </c>
      <c r="L387" s="1036">
        <f>L386-L384</f>
        <v>0</v>
      </c>
      <c r="M387" s="1036">
        <f>M386-M384</f>
        <v>0</v>
      </c>
      <c r="N387" s="86"/>
      <c r="O387" s="277">
        <f>O386-O384</f>
        <v>0</v>
      </c>
      <c r="P387" s="332"/>
      <c r="Q387" s="277">
        <f>Q386-Q384</f>
        <v>0</v>
      </c>
      <c r="R387" s="332"/>
      <c r="S387" s="277">
        <f>S386-S384</f>
        <v>0</v>
      </c>
      <c r="T387" s="332"/>
      <c r="U387" s="325"/>
      <c r="Z387" s="86"/>
      <c r="AA387" s="86"/>
      <c r="AB387" s="86"/>
      <c r="AC387" s="86"/>
      <c r="AD387" s="86"/>
      <c r="AE387" s="86"/>
      <c r="AF387" s="86"/>
      <c r="AG387" s="86"/>
      <c r="AH387" s="86"/>
      <c r="AI387" s="86"/>
      <c r="AJ387" s="86"/>
      <c r="AK387" s="86"/>
      <c r="AL387" s="87"/>
      <c r="AM387" s="86"/>
      <c r="AN387" s="86"/>
      <c r="AO387" s="86"/>
      <c r="AP387" s="86"/>
      <c r="AQ387" s="86"/>
      <c r="AR387" s="86"/>
      <c r="AS387" s="86"/>
      <c r="AT387" s="86"/>
      <c r="AU387" s="86"/>
      <c r="AV387" s="1269"/>
      <c r="AW387" s="86"/>
      <c r="AX387" s="1118"/>
      <c r="AY387" s="86"/>
      <c r="AZ387" s="1118"/>
      <c r="BA387" s="86"/>
      <c r="BB387" s="1118"/>
      <c r="BC387" s="86"/>
      <c r="BD387" s="86"/>
      <c r="BE387" s="86"/>
      <c r="BF387" s="86"/>
      <c r="BG387" s="86"/>
      <c r="BH387" s="86"/>
      <c r="BI387" s="86"/>
      <c r="BJ387" s="86"/>
      <c r="BK387" s="86"/>
      <c r="BL387" s="86"/>
      <c r="BM387" s="86"/>
      <c r="BN387" s="86"/>
      <c r="BO387" s="86"/>
      <c r="BP387" s="86"/>
      <c r="BQ387" s="86"/>
      <c r="BR387" s="86"/>
      <c r="BS387" s="86"/>
      <c r="BT387" s="86"/>
    </row>
    <row r="388" spans="1:72" ht="15.75">
      <c r="A388" s="287">
        <v>301</v>
      </c>
      <c r="L388" s="1048">
        <f>L384-L386-M384</f>
        <v>-192442.91</v>
      </c>
      <c r="O388" s="994">
        <f>O384-O386-M384</f>
        <v>-192442.91</v>
      </c>
      <c r="AV388" s="1242"/>
    </row>
    <row r="389" spans="1:72" ht="15.75">
      <c r="A389" s="287">
        <v>302</v>
      </c>
      <c r="K389" s="1189" t="s">
        <v>852</v>
      </c>
      <c r="L389" s="1186">
        <f>L385-M385</f>
        <v>74819456.239999995</v>
      </c>
      <c r="M389" s="1187"/>
      <c r="N389" s="1187"/>
      <c r="O389" s="1188">
        <f>O385-M385</f>
        <v>74816076.989999995</v>
      </c>
      <c r="AV389" s="1242"/>
    </row>
    <row r="390" spans="1:72" ht="15.75">
      <c r="A390" s="287">
        <v>303</v>
      </c>
      <c r="K390" s="1189" t="s">
        <v>853</v>
      </c>
      <c r="L390" s="1186">
        <f>L389-L237</f>
        <v>72590183.989999995</v>
      </c>
      <c r="M390" s="1187"/>
      <c r="N390" s="1187"/>
      <c r="O390" s="1188">
        <f>O389-O237</f>
        <v>72586804.739999995</v>
      </c>
      <c r="AV390" s="1242"/>
    </row>
    <row r="391" spans="1:72">
      <c r="A391" s="287">
        <v>304</v>
      </c>
      <c r="B391" s="936"/>
      <c r="K391" s="1205" t="s">
        <v>919</v>
      </c>
      <c r="L391" s="1016">
        <f>L389+M386</f>
        <v>75011899.150000006</v>
      </c>
      <c r="O391" s="101">
        <f>O389+M386</f>
        <v>75008519.900000006</v>
      </c>
      <c r="AV391" s="1242"/>
    </row>
    <row r="392" spans="1:72" ht="15.75">
      <c r="L392" s="1048">
        <v>11490000</v>
      </c>
      <c r="AV392" s="1271"/>
    </row>
    <row r="613" spans="1:72" ht="12.75" hidden="1" customHeight="1">
      <c r="A613" s="2"/>
      <c r="B613" s="1096"/>
      <c r="C613" s="2"/>
      <c r="D613" s="2"/>
      <c r="E613" s="2"/>
      <c r="L613" s="1049"/>
      <c r="M613" s="2"/>
      <c r="N613" s="2"/>
      <c r="O613" s="2"/>
      <c r="P613" s="2"/>
      <c r="Q613" s="2"/>
      <c r="R613" s="2"/>
      <c r="S613" s="2"/>
      <c r="T613" s="2"/>
      <c r="U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127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row>
    <row r="629" spans="1:72" ht="12.75" hidden="1" customHeight="1">
      <c r="A629" s="2"/>
      <c r="B629" s="1096"/>
      <c r="C629" s="2"/>
      <c r="D629" s="2"/>
      <c r="E629" s="2"/>
      <c r="L629" s="1049"/>
      <c r="M629" s="2"/>
      <c r="N629" s="2"/>
      <c r="O629" s="2"/>
      <c r="P629" s="2"/>
      <c r="Q629" s="2"/>
      <c r="R629" s="2"/>
      <c r="S629" s="2"/>
      <c r="T629" s="2"/>
      <c r="U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127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row>
  </sheetData>
  <autoFilter ref="A10:BV392"/>
  <mergeCells count="19">
    <mergeCell ref="BE9:BF9"/>
    <mergeCell ref="Z9:AB9"/>
    <mergeCell ref="AC9:AE9"/>
    <mergeCell ref="AF9:AH9"/>
    <mergeCell ref="AI9:AK9"/>
    <mergeCell ref="AM9:AO9"/>
    <mergeCell ref="AP9:AR9"/>
    <mergeCell ref="AS9:AU9"/>
    <mergeCell ref="AW9:AX9"/>
    <mergeCell ref="AY9:AZ9"/>
    <mergeCell ref="BA9:BB9"/>
    <mergeCell ref="BC9:BD9"/>
    <mergeCell ref="BS9:BT9"/>
    <mergeCell ref="BG9:BH9"/>
    <mergeCell ref="BI9:BJ9"/>
    <mergeCell ref="BK9:BL9"/>
    <mergeCell ref="BM9:BN9"/>
    <mergeCell ref="BO9:BP9"/>
    <mergeCell ref="BQ9:BR9"/>
  </mergeCells>
  <conditionalFormatting sqref="AS49:AS50 AS178:AS179 AS195:AS196 AS128:AS131 AS54 AS31 AS44 AS122 AS35 AS38">
    <cfRule type="expression" dxfId="3256" priority="1555">
      <formula>IF(L31=AS31,1,0)</formula>
    </cfRule>
  </conditionalFormatting>
  <conditionalFormatting sqref="AS237">
    <cfRule type="expression" dxfId="3255" priority="1554">
      <formula>IF(L237=AS237,1,0)</formula>
    </cfRule>
  </conditionalFormatting>
  <conditionalFormatting sqref="AS238">
    <cfRule type="expression" dxfId="3254" priority="1553">
      <formula>IF(L238=AS238,1,0)</formula>
    </cfRule>
  </conditionalFormatting>
  <conditionalFormatting sqref="L212">
    <cfRule type="cellIs" dxfId="3253" priority="1552" operator="notEqual">
      <formula>$L$211</formula>
    </cfRule>
  </conditionalFormatting>
  <conditionalFormatting sqref="O239">
    <cfRule type="cellIs" dxfId="3252" priority="1551" operator="notEqual">
      <formula>$O$237</formula>
    </cfRule>
  </conditionalFormatting>
  <conditionalFormatting sqref="L386">
    <cfRule type="cellIs" dxfId="3251" priority="1550" operator="notEqual">
      <formula>$L$384</formula>
    </cfRule>
  </conditionalFormatting>
  <conditionalFormatting sqref="AS4">
    <cfRule type="expression" dxfId="3250" priority="1549">
      <formula>IF(L4=AS4,1,0)</formula>
    </cfRule>
  </conditionalFormatting>
  <conditionalFormatting sqref="AS18:AS22">
    <cfRule type="expression" dxfId="3249" priority="1544">
      <formula>IF(L18=AS18,1,0)</formula>
    </cfRule>
  </conditionalFormatting>
  <conditionalFormatting sqref="AS29">
    <cfRule type="expression" dxfId="3248" priority="1548">
      <formula>IF(L29=AS29,1,0)</formula>
    </cfRule>
  </conditionalFormatting>
  <conditionalFormatting sqref="F4 F49:F50 F54 F35 F38">
    <cfRule type="cellIs" dxfId="3247" priority="1545" operator="equal">
      <formula>"3-001-2214"</formula>
    </cfRule>
    <cfRule type="cellIs" dxfId="3246" priority="1546" operator="equal">
      <formula>"3-001-5204"</formula>
    </cfRule>
    <cfRule type="cellIs" dxfId="3245" priority="1547" operator="equal">
      <formula>"3-001-0002"</formula>
    </cfRule>
  </conditionalFormatting>
  <conditionalFormatting sqref="AS57">
    <cfRule type="expression" dxfId="3244" priority="1520">
      <formula>IF(L57=AS57,1,0)</formula>
    </cfRule>
  </conditionalFormatting>
  <conditionalFormatting sqref="F18:F20 F22">
    <cfRule type="cellIs" dxfId="3243" priority="1541" operator="equal">
      <formula>"3-001-2214"</formula>
    </cfRule>
    <cfRule type="cellIs" dxfId="3242" priority="1542" operator="equal">
      <formula>"3-001-5204"</formula>
    </cfRule>
    <cfRule type="cellIs" dxfId="3241" priority="1543" operator="equal">
      <formula>"3-001-0002"</formula>
    </cfRule>
  </conditionalFormatting>
  <conditionalFormatting sqref="F16:F17">
    <cfRule type="cellIs" dxfId="3240" priority="1529" operator="equal">
      <formula>"3-001-2214"</formula>
    </cfRule>
    <cfRule type="cellIs" dxfId="3239" priority="1530" operator="equal">
      <formula>"3-001-5204"</formula>
    </cfRule>
    <cfRule type="cellIs" dxfId="3238" priority="1531" operator="equal">
      <formula>"3-001-0002"</formula>
    </cfRule>
  </conditionalFormatting>
  <conditionalFormatting sqref="AS3">
    <cfRule type="expression" dxfId="3237" priority="1540">
      <formula>IF(L3=AS3,1,0)</formula>
    </cfRule>
  </conditionalFormatting>
  <conditionalFormatting sqref="F3">
    <cfRule type="cellIs" dxfId="3236" priority="1537" operator="equal">
      <formula>"3-001-2214"</formula>
    </cfRule>
    <cfRule type="cellIs" dxfId="3235" priority="1538" operator="equal">
      <formula>"3-001-5204"</formula>
    </cfRule>
    <cfRule type="cellIs" dxfId="3234" priority="1539" operator="equal">
      <formula>"3-001-0002"</formula>
    </cfRule>
  </conditionalFormatting>
  <conditionalFormatting sqref="AS53">
    <cfRule type="expression" dxfId="3233" priority="1524">
      <formula>IF(L53=AS53,1,0)</formula>
    </cfRule>
  </conditionalFormatting>
  <conditionalFormatting sqref="F53">
    <cfRule type="cellIs" dxfId="3232" priority="1521" operator="equal">
      <formula>"3-001-2214"</formula>
    </cfRule>
    <cfRule type="cellIs" dxfId="3231" priority="1522" operator="equal">
      <formula>"3-001-5204"</formula>
    </cfRule>
    <cfRule type="cellIs" dxfId="3230" priority="1523" operator="equal">
      <formula>"3-001-0002"</formula>
    </cfRule>
  </conditionalFormatting>
  <conditionalFormatting sqref="AS33">
    <cfRule type="expression" dxfId="3229" priority="1516">
      <formula>IF(L33=AS33,1,0)</formula>
    </cfRule>
  </conditionalFormatting>
  <conditionalFormatting sqref="F57">
    <cfRule type="cellIs" dxfId="3228" priority="1517" operator="equal">
      <formula>"3-001-2214"</formula>
    </cfRule>
    <cfRule type="cellIs" dxfId="3227" priority="1518" operator="equal">
      <formula>"3-001-5204"</formula>
    </cfRule>
    <cfRule type="cellIs" dxfId="3226" priority="1519" operator="equal">
      <formula>"3-001-0002"</formula>
    </cfRule>
  </conditionalFormatting>
  <conditionalFormatting sqref="AS12 AS14">
    <cfRule type="expression" dxfId="3225" priority="1536">
      <formula>IF(L12=AS12,1,0)</formula>
    </cfRule>
  </conditionalFormatting>
  <conditionalFormatting sqref="F12 F14">
    <cfRule type="cellIs" dxfId="3224" priority="1533" operator="equal">
      <formula>"3-001-2214"</formula>
    </cfRule>
    <cfRule type="cellIs" dxfId="3223" priority="1534" operator="equal">
      <formula>"3-001-5204"</formula>
    </cfRule>
    <cfRule type="cellIs" dxfId="3222" priority="1535" operator="equal">
      <formula>"3-001-0002"</formula>
    </cfRule>
  </conditionalFormatting>
  <conditionalFormatting sqref="AS16:AS17">
    <cfRule type="expression" dxfId="3221" priority="1532">
      <formula>IF(L16=AS16,1,0)</formula>
    </cfRule>
  </conditionalFormatting>
  <conditionalFormatting sqref="F28">
    <cfRule type="cellIs" dxfId="3220" priority="1525" operator="equal">
      <formula>"3-001-2214"</formula>
    </cfRule>
    <cfRule type="cellIs" dxfId="3219" priority="1526" operator="equal">
      <formula>"3-001-5204"</formula>
    </cfRule>
    <cfRule type="cellIs" dxfId="3218" priority="1527" operator="equal">
      <formula>"3-001-0002"</formula>
    </cfRule>
  </conditionalFormatting>
  <conditionalFormatting sqref="AS28">
    <cfRule type="expression" dxfId="3217" priority="1528">
      <formula>IF(L28=AS28,1,0)</formula>
    </cfRule>
  </conditionalFormatting>
  <conditionalFormatting sqref="F33">
    <cfRule type="cellIs" dxfId="3216" priority="1513" operator="equal">
      <formula>"3-001-2214"</formula>
    </cfRule>
    <cfRule type="cellIs" dxfId="3215" priority="1514" operator="equal">
      <formula>"3-001-5204"</formula>
    </cfRule>
    <cfRule type="cellIs" dxfId="3214" priority="1515" operator="equal">
      <formula>"3-001-0002"</formula>
    </cfRule>
  </conditionalFormatting>
  <conditionalFormatting sqref="AS34">
    <cfRule type="expression" dxfId="3213" priority="1512">
      <formula>IF(L34=AS34,1,0)</formula>
    </cfRule>
  </conditionalFormatting>
  <conditionalFormatting sqref="F34">
    <cfRule type="cellIs" dxfId="3212" priority="1509" operator="equal">
      <formula>"3-001-2214"</formula>
    </cfRule>
    <cfRule type="cellIs" dxfId="3211" priority="1510" operator="equal">
      <formula>"3-001-5204"</formula>
    </cfRule>
    <cfRule type="cellIs" dxfId="3210" priority="1511" operator="equal">
      <formula>"3-001-0002"</formula>
    </cfRule>
  </conditionalFormatting>
  <conditionalFormatting sqref="AS30">
    <cfRule type="expression" dxfId="3209" priority="1508">
      <formula>IF(L30=AS30,1,0)</formula>
    </cfRule>
  </conditionalFormatting>
  <conditionalFormatting sqref="AS32">
    <cfRule type="expression" dxfId="3208" priority="1507">
      <formula>IF(L32=AS32,1,0)</formula>
    </cfRule>
  </conditionalFormatting>
  <conditionalFormatting sqref="AS41:AS42">
    <cfRule type="expression" dxfId="3207" priority="1506">
      <formula>IF(L41=AS41,1,0)</formula>
    </cfRule>
  </conditionalFormatting>
  <conditionalFormatting sqref="F41:F42 F44">
    <cfRule type="cellIs" dxfId="3206" priority="1503" operator="equal">
      <formula>"3-001-2214"</formula>
    </cfRule>
    <cfRule type="cellIs" dxfId="3205" priority="1504" operator="equal">
      <formula>"3-001-5204"</formula>
    </cfRule>
    <cfRule type="cellIs" dxfId="3204" priority="1505" operator="equal">
      <formula>"3-001-0002"</formula>
    </cfRule>
  </conditionalFormatting>
  <conditionalFormatting sqref="AS40">
    <cfRule type="expression" dxfId="3203" priority="1502">
      <formula>IF(L40=AS40,1,0)</formula>
    </cfRule>
  </conditionalFormatting>
  <conditionalFormatting sqref="F40">
    <cfRule type="cellIs" dxfId="3202" priority="1499" operator="equal">
      <formula>"3-001-2214"</formula>
    </cfRule>
    <cfRule type="cellIs" dxfId="3201" priority="1500" operator="equal">
      <formula>"3-001-5204"</formula>
    </cfRule>
    <cfRule type="cellIs" dxfId="3200" priority="1501" operator="equal">
      <formula>"3-001-0002"</formula>
    </cfRule>
  </conditionalFormatting>
  <conditionalFormatting sqref="AS39">
    <cfRule type="expression" dxfId="3199" priority="1498">
      <formula>IF(L39=AS39,1,0)</formula>
    </cfRule>
  </conditionalFormatting>
  <conditionalFormatting sqref="F39">
    <cfRule type="cellIs" dxfId="3198" priority="1495" operator="equal">
      <formula>"3-001-2214"</formula>
    </cfRule>
    <cfRule type="cellIs" dxfId="3197" priority="1496" operator="equal">
      <formula>"3-001-5204"</formula>
    </cfRule>
    <cfRule type="cellIs" dxfId="3196" priority="1497" operator="equal">
      <formula>"3-001-0002"</formula>
    </cfRule>
  </conditionalFormatting>
  <conditionalFormatting sqref="AS45">
    <cfRule type="expression" dxfId="3195" priority="1494">
      <formula>IF(L45=AS45,1,0)</formula>
    </cfRule>
  </conditionalFormatting>
  <conditionalFormatting sqref="F45">
    <cfRule type="cellIs" dxfId="3194" priority="1491" operator="equal">
      <formula>"3-001-2214"</formula>
    </cfRule>
    <cfRule type="cellIs" dxfId="3193" priority="1492" operator="equal">
      <formula>"3-001-5204"</formula>
    </cfRule>
    <cfRule type="cellIs" dxfId="3192" priority="1493" operator="equal">
      <formula>"3-001-0002"</formula>
    </cfRule>
  </conditionalFormatting>
  <conditionalFormatting sqref="AS48">
    <cfRule type="expression" dxfId="3191" priority="1490">
      <formula>IF(L48=AS48,1,0)</formula>
    </cfRule>
  </conditionalFormatting>
  <conditionalFormatting sqref="F48">
    <cfRule type="cellIs" dxfId="3190" priority="1487" operator="equal">
      <formula>"3-001-2214"</formula>
    </cfRule>
    <cfRule type="cellIs" dxfId="3189" priority="1488" operator="equal">
      <formula>"3-001-5204"</formula>
    </cfRule>
    <cfRule type="cellIs" dxfId="3188" priority="1489" operator="equal">
      <formula>"3-001-0002"</formula>
    </cfRule>
  </conditionalFormatting>
  <conditionalFormatting sqref="AS55:AS56">
    <cfRule type="expression" dxfId="3187" priority="1486">
      <formula>IF(L55=AS55,1,0)</formula>
    </cfRule>
  </conditionalFormatting>
  <conditionalFormatting sqref="F55:F56">
    <cfRule type="cellIs" dxfId="3186" priority="1483" operator="equal">
      <formula>"3-001-2214"</formula>
    </cfRule>
    <cfRule type="cellIs" dxfId="3185" priority="1484" operator="equal">
      <formula>"3-001-5204"</formula>
    </cfRule>
    <cfRule type="cellIs" dxfId="3184" priority="1485" operator="equal">
      <formula>"3-001-0002"</formula>
    </cfRule>
  </conditionalFormatting>
  <conditionalFormatting sqref="AS65">
    <cfRule type="expression" dxfId="3183" priority="1482">
      <formula>IF(L65=AS65,1,0)</formula>
    </cfRule>
  </conditionalFormatting>
  <conditionalFormatting sqref="F65">
    <cfRule type="cellIs" dxfId="3182" priority="1479" operator="equal">
      <formula>"3-001-2214"</formula>
    </cfRule>
    <cfRule type="cellIs" dxfId="3181" priority="1480" operator="equal">
      <formula>"3-001-5204"</formula>
    </cfRule>
    <cfRule type="cellIs" dxfId="3180" priority="1481" operator="equal">
      <formula>"3-001-0002"</formula>
    </cfRule>
  </conditionalFormatting>
  <conditionalFormatting sqref="AS58">
    <cfRule type="expression" dxfId="3179" priority="1478">
      <formula>IF(L58=AS58,1,0)</formula>
    </cfRule>
  </conditionalFormatting>
  <conditionalFormatting sqref="F58">
    <cfRule type="cellIs" dxfId="3178" priority="1475" operator="equal">
      <formula>"3-001-2214"</formula>
    </cfRule>
    <cfRule type="cellIs" dxfId="3177" priority="1476" operator="equal">
      <formula>"3-001-5204"</formula>
    </cfRule>
    <cfRule type="cellIs" dxfId="3176" priority="1477" operator="equal">
      <formula>"3-001-0002"</formula>
    </cfRule>
  </conditionalFormatting>
  <conditionalFormatting sqref="AS272">
    <cfRule type="expression" dxfId="3175" priority="1474">
      <formula>IF(L272=AS272,1,0)</formula>
    </cfRule>
  </conditionalFormatting>
  <conditionalFormatting sqref="F272">
    <cfRule type="cellIs" dxfId="3174" priority="1471" operator="equal">
      <formula>"3-001-2214"</formula>
    </cfRule>
    <cfRule type="cellIs" dxfId="3173" priority="1472" operator="equal">
      <formula>"3-001-5204"</formula>
    </cfRule>
    <cfRule type="cellIs" dxfId="3172" priority="1473" operator="equal">
      <formula>"3-001-0002"</formula>
    </cfRule>
  </conditionalFormatting>
  <conditionalFormatting sqref="AS51">
    <cfRule type="expression" dxfId="3171" priority="1470">
      <formula>IF(L51=AS51,1,0)</formula>
    </cfRule>
  </conditionalFormatting>
  <conditionalFormatting sqref="F51">
    <cfRule type="cellIs" dxfId="3170" priority="1467" operator="equal">
      <formula>"3-001-2214"</formula>
    </cfRule>
    <cfRule type="cellIs" dxfId="3169" priority="1468" operator="equal">
      <formula>"3-001-5204"</formula>
    </cfRule>
    <cfRule type="cellIs" dxfId="3168" priority="1469" operator="equal">
      <formula>"3-001-0002"</formula>
    </cfRule>
  </conditionalFormatting>
  <conditionalFormatting sqref="F70">
    <cfRule type="cellIs" dxfId="3167" priority="1455" operator="equal">
      <formula>"3-001-2214"</formula>
    </cfRule>
    <cfRule type="cellIs" dxfId="3166" priority="1456" operator="equal">
      <formula>"3-001-5204"</formula>
    </cfRule>
    <cfRule type="cellIs" dxfId="3165" priority="1457" operator="equal">
      <formula>"3-001-0002"</formula>
    </cfRule>
  </conditionalFormatting>
  <conditionalFormatting sqref="AS52">
    <cfRule type="expression" dxfId="3164" priority="1466">
      <formula>IF(L52=AS52,1,0)</formula>
    </cfRule>
  </conditionalFormatting>
  <conditionalFormatting sqref="F52">
    <cfRule type="cellIs" dxfId="3163" priority="1463" operator="equal">
      <formula>"3-001-2214"</formula>
    </cfRule>
    <cfRule type="cellIs" dxfId="3162" priority="1464" operator="equal">
      <formula>"3-001-5204"</formula>
    </cfRule>
    <cfRule type="cellIs" dxfId="3161" priority="1465" operator="equal">
      <formula>"3-001-0002"</formula>
    </cfRule>
  </conditionalFormatting>
  <conditionalFormatting sqref="AS72">
    <cfRule type="expression" dxfId="3160" priority="1462">
      <formula>IF(L72=AS72,1,0)</formula>
    </cfRule>
  </conditionalFormatting>
  <conditionalFormatting sqref="F72">
    <cfRule type="cellIs" dxfId="3159" priority="1459" operator="equal">
      <formula>"3-001-2214"</formula>
    </cfRule>
    <cfRule type="cellIs" dxfId="3158" priority="1460" operator="equal">
      <formula>"3-001-5204"</formula>
    </cfRule>
    <cfRule type="cellIs" dxfId="3157" priority="1461" operator="equal">
      <formula>"3-001-0002"</formula>
    </cfRule>
  </conditionalFormatting>
  <conditionalFormatting sqref="AS70">
    <cfRule type="expression" dxfId="3156" priority="1458">
      <formula>IF(L70=AS70,1,0)</formula>
    </cfRule>
  </conditionalFormatting>
  <conditionalFormatting sqref="F71">
    <cfRule type="cellIs" dxfId="3155" priority="1451" operator="equal">
      <formula>"3-001-2214"</formula>
    </cfRule>
    <cfRule type="cellIs" dxfId="3154" priority="1452" operator="equal">
      <formula>"3-001-5204"</formula>
    </cfRule>
    <cfRule type="cellIs" dxfId="3153" priority="1453" operator="equal">
      <formula>"3-001-0002"</formula>
    </cfRule>
  </conditionalFormatting>
  <conditionalFormatting sqref="AS71">
    <cfRule type="expression" dxfId="3152" priority="1454">
      <formula>IF(L71=AS71,1,0)</formula>
    </cfRule>
  </conditionalFormatting>
  <conditionalFormatting sqref="F73">
    <cfRule type="cellIs" dxfId="3151" priority="1423" operator="equal">
      <formula>"3-001-2214"</formula>
    </cfRule>
    <cfRule type="cellIs" dxfId="3150" priority="1424" operator="equal">
      <formula>"3-001-5204"</formula>
    </cfRule>
    <cfRule type="cellIs" dxfId="3149" priority="1425" operator="equal">
      <formula>"3-001-0002"</formula>
    </cfRule>
  </conditionalFormatting>
  <conditionalFormatting sqref="F86">
    <cfRule type="cellIs" dxfId="3148" priority="1419" operator="equal">
      <formula>"3-001-2214"</formula>
    </cfRule>
    <cfRule type="cellIs" dxfId="3147" priority="1420" operator="equal">
      <formula>"3-001-5204"</formula>
    </cfRule>
    <cfRule type="cellIs" dxfId="3146" priority="1421" operator="equal">
      <formula>"3-001-0002"</formula>
    </cfRule>
  </conditionalFormatting>
  <conditionalFormatting sqref="AS73">
    <cfRule type="expression" dxfId="3145" priority="1426">
      <formula>IF(L73=AS73,1,0)</formula>
    </cfRule>
  </conditionalFormatting>
  <conditionalFormatting sqref="F275">
    <cfRule type="cellIs" dxfId="3144" priority="1411" operator="equal">
      <formula>"3-001-2214"</formula>
    </cfRule>
    <cfRule type="cellIs" dxfId="3143" priority="1412" operator="equal">
      <formula>"3-001-5204"</formula>
    </cfRule>
    <cfRule type="cellIs" dxfId="3142" priority="1413" operator="equal">
      <formula>"3-001-0002"</formula>
    </cfRule>
  </conditionalFormatting>
  <conditionalFormatting sqref="AS86">
    <cfRule type="expression" dxfId="3141" priority="1422">
      <formula>IF(L86=AS86,1,0)</formula>
    </cfRule>
  </conditionalFormatting>
  <conditionalFormatting sqref="F276">
    <cfRule type="cellIs" dxfId="3140" priority="1415" operator="equal">
      <formula>"3-001-2214"</formula>
    </cfRule>
    <cfRule type="cellIs" dxfId="3139" priority="1416" operator="equal">
      <formula>"3-001-5204"</formula>
    </cfRule>
    <cfRule type="cellIs" dxfId="3138" priority="1417" operator="equal">
      <formula>"3-001-0002"</formula>
    </cfRule>
  </conditionalFormatting>
  <conditionalFormatting sqref="F82">
    <cfRule type="cellIs" dxfId="3137" priority="1439" operator="equal">
      <formula>"3-001-2214"</formula>
    </cfRule>
    <cfRule type="cellIs" dxfId="3136" priority="1440" operator="equal">
      <formula>"3-001-5204"</formula>
    </cfRule>
    <cfRule type="cellIs" dxfId="3135" priority="1441" operator="equal">
      <formula>"3-001-0002"</formula>
    </cfRule>
  </conditionalFormatting>
  <conditionalFormatting sqref="AS276">
    <cfRule type="expression" dxfId="3134" priority="1418">
      <formula>IF(L276=AS276,1,0)</formula>
    </cfRule>
  </conditionalFormatting>
  <conditionalFormatting sqref="AS275">
    <cfRule type="expression" dxfId="3133" priority="1414">
      <formula>IF(L275=AS275,1,0)</formula>
    </cfRule>
  </conditionalFormatting>
  <conditionalFormatting sqref="F127">
    <cfRule type="cellIs" dxfId="3132" priority="1332" operator="equal">
      <formula>"3-001-2214"</formula>
    </cfRule>
    <cfRule type="cellIs" dxfId="3131" priority="1333" operator="equal">
      <formula>"3-001-5204"</formula>
    </cfRule>
    <cfRule type="cellIs" dxfId="3130" priority="1334" operator="equal">
      <formula>"3-001-0002"</formula>
    </cfRule>
  </conditionalFormatting>
  <conditionalFormatting sqref="F128:F131">
    <cfRule type="cellIs" dxfId="3129" priority="1348" operator="equal">
      <formula>"3-001-2214"</formula>
    </cfRule>
    <cfRule type="cellIs" dxfId="3128" priority="1349" operator="equal">
      <formula>"3-001-5204"</formula>
    </cfRule>
    <cfRule type="cellIs" dxfId="3127" priority="1350" operator="equal">
      <formula>"3-001-0002"</formula>
    </cfRule>
  </conditionalFormatting>
  <conditionalFormatting sqref="AS127">
    <cfRule type="expression" dxfId="3126" priority="1335">
      <formula>IF(L127=AS127,1,0)</formula>
    </cfRule>
  </conditionalFormatting>
  <conditionalFormatting sqref="AS82">
    <cfRule type="expression" dxfId="3125" priority="1442">
      <formula>IF(L82=AS82,1,0)</formula>
    </cfRule>
  </conditionalFormatting>
  <conditionalFormatting sqref="F80">
    <cfRule type="cellIs" dxfId="3124" priority="1447" operator="equal">
      <formula>"3-001-2214"</formula>
    </cfRule>
    <cfRule type="cellIs" dxfId="3123" priority="1448" operator="equal">
      <formula>"3-001-5204"</formula>
    </cfRule>
    <cfRule type="cellIs" dxfId="3122" priority="1449" operator="equal">
      <formula>"3-001-0002"</formula>
    </cfRule>
  </conditionalFormatting>
  <conditionalFormatting sqref="F75">
    <cfRule type="cellIs" dxfId="3121" priority="1431" operator="equal">
      <formula>"3-001-2214"</formula>
    </cfRule>
    <cfRule type="cellIs" dxfId="3120" priority="1432" operator="equal">
      <formula>"3-001-5204"</formula>
    </cfRule>
    <cfRule type="cellIs" dxfId="3119" priority="1433" operator="equal">
      <formula>"3-001-0002"</formula>
    </cfRule>
  </conditionalFormatting>
  <conditionalFormatting sqref="AS80">
    <cfRule type="expression" dxfId="3118" priority="1450">
      <formula>IF(L80=AS80,1,0)</formula>
    </cfRule>
  </conditionalFormatting>
  <conditionalFormatting sqref="F78">
    <cfRule type="cellIs" dxfId="3117" priority="1443" operator="equal">
      <formula>"3-001-2214"</formula>
    </cfRule>
    <cfRule type="cellIs" dxfId="3116" priority="1444" operator="equal">
      <formula>"3-001-5204"</formula>
    </cfRule>
    <cfRule type="cellIs" dxfId="3115" priority="1445" operator="equal">
      <formula>"3-001-0002"</formula>
    </cfRule>
  </conditionalFormatting>
  <conditionalFormatting sqref="F124">
    <cfRule type="cellIs" dxfId="3114" priority="1351" operator="equal">
      <formula>"3-001-2214"</formula>
    </cfRule>
    <cfRule type="cellIs" dxfId="3113" priority="1352" operator="equal">
      <formula>"3-001-5204"</formula>
    </cfRule>
    <cfRule type="cellIs" dxfId="3112" priority="1353" operator="equal">
      <formula>"3-001-0002"</formula>
    </cfRule>
  </conditionalFormatting>
  <conditionalFormatting sqref="AS78">
    <cfRule type="expression" dxfId="3111" priority="1446">
      <formula>IF(L78=AS78,1,0)</formula>
    </cfRule>
  </conditionalFormatting>
  <conditionalFormatting sqref="AS75">
    <cfRule type="expression" dxfId="3110" priority="1434">
      <formula>IF(L75=AS75,1,0)</formula>
    </cfRule>
  </conditionalFormatting>
  <conditionalFormatting sqref="F74">
    <cfRule type="cellIs" dxfId="3109" priority="1435" operator="equal">
      <formula>"3-001-2214"</formula>
    </cfRule>
    <cfRule type="cellIs" dxfId="3108" priority="1436" operator="equal">
      <formula>"3-001-5204"</formula>
    </cfRule>
    <cfRule type="cellIs" dxfId="3107" priority="1437" operator="equal">
      <formula>"3-001-0002"</formula>
    </cfRule>
  </conditionalFormatting>
  <conditionalFormatting sqref="AS74">
    <cfRule type="expression" dxfId="3106" priority="1438">
      <formula>IF(L74=AS74,1,0)</formula>
    </cfRule>
  </conditionalFormatting>
  <conditionalFormatting sqref="F77">
    <cfRule type="cellIs" dxfId="3105" priority="1427" operator="equal">
      <formula>"3-001-2214"</formula>
    </cfRule>
    <cfRule type="cellIs" dxfId="3104" priority="1428" operator="equal">
      <formula>"3-001-5204"</formula>
    </cfRule>
    <cfRule type="cellIs" dxfId="3103" priority="1429" operator="equal">
      <formula>"3-001-0002"</formula>
    </cfRule>
  </conditionalFormatting>
  <conditionalFormatting sqref="AS77">
    <cfRule type="expression" dxfId="3102" priority="1430">
      <formula>IF(L77=AS77,1,0)</formula>
    </cfRule>
  </conditionalFormatting>
  <conditionalFormatting sqref="AS124">
    <cfRule type="expression" dxfId="3101" priority="1354">
      <formula>IF(L124=AS124,1,0)</formula>
    </cfRule>
  </conditionalFormatting>
  <conditionalFormatting sqref="F108">
    <cfRule type="cellIs" dxfId="3100" priority="1340" operator="equal">
      <formula>"3-001-2214"</formula>
    </cfRule>
    <cfRule type="cellIs" dxfId="3099" priority="1341" operator="equal">
      <formula>"3-001-5204"</formula>
    </cfRule>
    <cfRule type="cellIs" dxfId="3098" priority="1342" operator="equal">
      <formula>"3-001-0002"</formula>
    </cfRule>
  </conditionalFormatting>
  <conditionalFormatting sqref="F93">
    <cfRule type="cellIs" dxfId="3097" priority="1344" operator="equal">
      <formula>"3-001-2214"</formula>
    </cfRule>
    <cfRule type="cellIs" dxfId="3096" priority="1345" operator="equal">
      <formula>"3-001-5204"</formula>
    </cfRule>
    <cfRule type="cellIs" dxfId="3095" priority="1346" operator="equal">
      <formula>"3-001-0002"</formula>
    </cfRule>
  </conditionalFormatting>
  <conditionalFormatting sqref="AS93">
    <cfRule type="expression" dxfId="3094" priority="1347">
      <formula>IF(L93=AS93,1,0)</formula>
    </cfRule>
  </conditionalFormatting>
  <conditionalFormatting sqref="AS108">
    <cfRule type="expression" dxfId="3093" priority="1343">
      <formula>IF(L108=AS108,1,0)</formula>
    </cfRule>
  </conditionalFormatting>
  <conditionalFormatting sqref="F123">
    <cfRule type="cellIs" dxfId="3092" priority="1336" operator="equal">
      <formula>"3-001-2214"</formula>
    </cfRule>
    <cfRule type="cellIs" dxfId="3091" priority="1337" operator="equal">
      <formula>"3-001-5204"</formula>
    </cfRule>
    <cfRule type="cellIs" dxfId="3090" priority="1338" operator="equal">
      <formula>"3-001-0002"</formula>
    </cfRule>
  </conditionalFormatting>
  <conditionalFormatting sqref="AS123">
    <cfRule type="expression" dxfId="3089" priority="1339">
      <formula>IF(L123=AS123,1,0)</formula>
    </cfRule>
  </conditionalFormatting>
  <conditionalFormatting sqref="F132">
    <cfRule type="cellIs" dxfId="3088" priority="1328" operator="equal">
      <formula>"3-001-2214"</formula>
    </cfRule>
    <cfRule type="cellIs" dxfId="3087" priority="1329" operator="equal">
      <formula>"3-001-5204"</formula>
    </cfRule>
    <cfRule type="cellIs" dxfId="3086" priority="1330" operator="equal">
      <formula>"3-001-0002"</formula>
    </cfRule>
  </conditionalFormatting>
  <conditionalFormatting sqref="AS132">
    <cfRule type="expression" dxfId="3085" priority="1331">
      <formula>IF(L132=AS132,1,0)</formula>
    </cfRule>
  </conditionalFormatting>
  <conditionalFormatting sqref="F133">
    <cfRule type="cellIs" dxfId="3084" priority="1324" operator="equal">
      <formula>"3-001-2214"</formula>
    </cfRule>
    <cfRule type="cellIs" dxfId="3083" priority="1325" operator="equal">
      <formula>"3-001-5204"</formula>
    </cfRule>
    <cfRule type="cellIs" dxfId="3082" priority="1326" operator="equal">
      <formula>"3-001-0002"</formula>
    </cfRule>
  </conditionalFormatting>
  <conditionalFormatting sqref="F103">
    <cfRule type="cellIs" dxfId="3081" priority="1399" operator="equal">
      <formula>"3-001-2214"</formula>
    </cfRule>
    <cfRule type="cellIs" dxfId="3080" priority="1400" operator="equal">
      <formula>"3-001-5204"</formula>
    </cfRule>
    <cfRule type="cellIs" dxfId="3079" priority="1401" operator="equal">
      <formula>"3-001-0002"</formula>
    </cfRule>
  </conditionalFormatting>
  <conditionalFormatting sqref="AS133">
    <cfRule type="expression" dxfId="3078" priority="1327">
      <formula>IF(L133=AS133,1,0)</formula>
    </cfRule>
  </conditionalFormatting>
  <conditionalFormatting sqref="F104">
    <cfRule type="cellIs" dxfId="3077" priority="1403" operator="equal">
      <formula>"3-001-2214"</formula>
    </cfRule>
    <cfRule type="cellIs" dxfId="3076" priority="1404" operator="equal">
      <formula>"3-001-5204"</formula>
    </cfRule>
    <cfRule type="cellIs" dxfId="3075" priority="1405" operator="equal">
      <formula>"3-001-0002"</formula>
    </cfRule>
  </conditionalFormatting>
  <conditionalFormatting sqref="AS104">
    <cfRule type="expression" dxfId="3074" priority="1406">
      <formula>IF(L104=AS104,1,0)</formula>
    </cfRule>
  </conditionalFormatting>
  <conditionalFormatting sqref="AS103">
    <cfRule type="expression" dxfId="3073" priority="1402">
      <formula>IF(L103=AS103,1,0)</formula>
    </cfRule>
  </conditionalFormatting>
  <conditionalFormatting sqref="F87">
    <cfRule type="cellIs" dxfId="3072" priority="1395" operator="equal">
      <formula>"3-001-2214"</formula>
    </cfRule>
    <cfRule type="cellIs" dxfId="3071" priority="1396" operator="equal">
      <formula>"3-001-5204"</formula>
    </cfRule>
    <cfRule type="cellIs" dxfId="3070" priority="1397" operator="equal">
      <formula>"3-001-0002"</formula>
    </cfRule>
  </conditionalFormatting>
  <conditionalFormatting sqref="AS87">
    <cfRule type="expression" dxfId="3069" priority="1398">
      <formula>IF(L87=AS87,1,0)</formula>
    </cfRule>
  </conditionalFormatting>
  <conditionalFormatting sqref="F102">
    <cfRule type="cellIs" dxfId="3068" priority="1391" operator="equal">
      <formula>"3-001-2214"</formula>
    </cfRule>
    <cfRule type="cellIs" dxfId="3067" priority="1392" operator="equal">
      <formula>"3-001-5204"</formula>
    </cfRule>
    <cfRule type="cellIs" dxfId="3066" priority="1393" operator="equal">
      <formula>"3-001-0002"</formula>
    </cfRule>
  </conditionalFormatting>
  <conditionalFormatting sqref="AS102">
    <cfRule type="expression" dxfId="3065" priority="1394">
      <formula>IF(L102=AS102,1,0)</formula>
    </cfRule>
  </conditionalFormatting>
  <conditionalFormatting sqref="F100">
    <cfRule type="cellIs" dxfId="3064" priority="1383" operator="equal">
      <formula>"3-001-2214"</formula>
    </cfRule>
    <cfRule type="cellIs" dxfId="3063" priority="1384" operator="equal">
      <formula>"3-001-5204"</formula>
    </cfRule>
    <cfRule type="cellIs" dxfId="3062" priority="1385" operator="equal">
      <formula>"3-001-0002"</formula>
    </cfRule>
  </conditionalFormatting>
  <conditionalFormatting sqref="F101">
    <cfRule type="cellIs" dxfId="3061" priority="1387" operator="equal">
      <formula>"3-001-2214"</formula>
    </cfRule>
    <cfRule type="cellIs" dxfId="3060" priority="1388" operator="equal">
      <formula>"3-001-5204"</formula>
    </cfRule>
    <cfRule type="cellIs" dxfId="3059" priority="1389" operator="equal">
      <formula>"3-001-0002"</formula>
    </cfRule>
  </conditionalFormatting>
  <conditionalFormatting sqref="F94">
    <cfRule type="cellIs" dxfId="3058" priority="1367" operator="equal">
      <formula>"3-001-2214"</formula>
    </cfRule>
    <cfRule type="cellIs" dxfId="3057" priority="1368" operator="equal">
      <formula>"3-001-5204"</formula>
    </cfRule>
    <cfRule type="cellIs" dxfId="3056" priority="1369" operator="equal">
      <formula>"3-001-0002"</formula>
    </cfRule>
  </conditionalFormatting>
  <conditionalFormatting sqref="AS101">
    <cfRule type="expression" dxfId="3055" priority="1390">
      <formula>IF(L101=AS101,1,0)</formula>
    </cfRule>
  </conditionalFormatting>
  <conditionalFormatting sqref="AS100">
    <cfRule type="expression" dxfId="3054" priority="1386">
      <formula>IF(L100=AS100,1,0)</formula>
    </cfRule>
  </conditionalFormatting>
  <conditionalFormatting sqref="F99">
    <cfRule type="cellIs" dxfId="3053" priority="1379" operator="equal">
      <formula>"3-001-2214"</formula>
    </cfRule>
    <cfRule type="cellIs" dxfId="3052" priority="1380" operator="equal">
      <formula>"3-001-5204"</formula>
    </cfRule>
    <cfRule type="cellIs" dxfId="3051" priority="1381" operator="equal">
      <formula>"3-001-0002"</formula>
    </cfRule>
  </conditionalFormatting>
  <conditionalFormatting sqref="F98">
    <cfRule type="cellIs" dxfId="3050" priority="1375" operator="equal">
      <formula>"3-001-2214"</formula>
    </cfRule>
    <cfRule type="cellIs" dxfId="3049" priority="1376" operator="equal">
      <formula>"3-001-5204"</formula>
    </cfRule>
    <cfRule type="cellIs" dxfId="3048" priority="1377" operator="equal">
      <formula>"3-001-0002"</formula>
    </cfRule>
  </conditionalFormatting>
  <conditionalFormatting sqref="AS99">
    <cfRule type="expression" dxfId="3047" priority="1382">
      <formula>IF(L99=AS99,1,0)</formula>
    </cfRule>
  </conditionalFormatting>
  <conditionalFormatting sqref="AS98">
    <cfRule type="expression" dxfId="3046" priority="1378">
      <formula>IF(L98=AS98,1,0)</formula>
    </cfRule>
  </conditionalFormatting>
  <conditionalFormatting sqref="F95">
    <cfRule type="cellIs" dxfId="3045" priority="1371" operator="equal">
      <formula>"3-001-2214"</formula>
    </cfRule>
    <cfRule type="cellIs" dxfId="3044" priority="1372" operator="equal">
      <formula>"3-001-5204"</formula>
    </cfRule>
    <cfRule type="cellIs" dxfId="3043" priority="1373" operator="equal">
      <formula>"3-001-0002"</formula>
    </cfRule>
  </conditionalFormatting>
  <conditionalFormatting sqref="AS95">
    <cfRule type="expression" dxfId="3042" priority="1374">
      <formula>IF(L95=AS95,1,0)</formula>
    </cfRule>
  </conditionalFormatting>
  <conditionalFormatting sqref="AS94">
    <cfRule type="expression" dxfId="3041" priority="1370">
      <formula>IF(L94=AS94,1,0)</formula>
    </cfRule>
  </conditionalFormatting>
  <conditionalFormatting sqref="F109:F110 F122 F116:F119">
    <cfRule type="cellIs" dxfId="3040" priority="1363" operator="equal">
      <formula>"3-001-2214"</formula>
    </cfRule>
    <cfRule type="cellIs" dxfId="3039" priority="1364" operator="equal">
      <formula>"3-001-5204"</formula>
    </cfRule>
    <cfRule type="cellIs" dxfId="3038" priority="1365" operator="equal">
      <formula>"3-001-0002"</formula>
    </cfRule>
  </conditionalFormatting>
  <conditionalFormatting sqref="AS109:AS110 AS116:AS119">
    <cfRule type="expression" dxfId="3037" priority="1366">
      <formula>IF(L109=AS109,1,0)</formula>
    </cfRule>
  </conditionalFormatting>
  <conditionalFormatting sqref="F126">
    <cfRule type="cellIs" dxfId="3036" priority="1359" operator="equal">
      <formula>"3-001-2214"</formula>
    </cfRule>
    <cfRule type="cellIs" dxfId="3035" priority="1360" operator="equal">
      <formula>"3-001-5204"</formula>
    </cfRule>
    <cfRule type="cellIs" dxfId="3034" priority="1361" operator="equal">
      <formula>"3-001-0002"</formula>
    </cfRule>
  </conditionalFormatting>
  <conditionalFormatting sqref="AS126">
    <cfRule type="expression" dxfId="3033" priority="1362">
      <formula>IF(L126=AS126,1,0)</formula>
    </cfRule>
  </conditionalFormatting>
  <conditionalFormatting sqref="F125">
    <cfRule type="cellIs" dxfId="3032" priority="1355" operator="equal">
      <formula>"3-001-2214"</formula>
    </cfRule>
    <cfRule type="cellIs" dxfId="3031" priority="1356" operator="equal">
      <formula>"3-001-5204"</formula>
    </cfRule>
    <cfRule type="cellIs" dxfId="3030" priority="1357" operator="equal">
      <formula>"3-001-0002"</formula>
    </cfRule>
  </conditionalFormatting>
  <conditionalFormatting sqref="AS125">
    <cfRule type="expression" dxfId="3029" priority="1358">
      <formula>IF(L125=AS125,1,0)</formula>
    </cfRule>
  </conditionalFormatting>
  <conditionalFormatting sqref="F167">
    <cfRule type="cellIs" dxfId="3028" priority="1316" operator="equal">
      <formula>"3-001-2214"</formula>
    </cfRule>
    <cfRule type="cellIs" dxfId="3027" priority="1317" operator="equal">
      <formula>"3-001-5204"</formula>
    </cfRule>
    <cfRule type="cellIs" dxfId="3026" priority="1318" operator="equal">
      <formula>"3-001-0002"</formula>
    </cfRule>
  </conditionalFormatting>
  <conditionalFormatting sqref="F168">
    <cfRule type="cellIs" dxfId="3025" priority="1320" operator="equal">
      <formula>"3-001-2214"</formula>
    </cfRule>
    <cfRule type="cellIs" dxfId="3024" priority="1321" operator="equal">
      <formula>"3-001-5204"</formula>
    </cfRule>
    <cfRule type="cellIs" dxfId="3023" priority="1322" operator="equal">
      <formula>"3-001-0002"</formula>
    </cfRule>
  </conditionalFormatting>
  <conditionalFormatting sqref="AS168">
    <cfRule type="expression" dxfId="3022" priority="1323">
      <formula>IF(L168=AS168,1,0)</formula>
    </cfRule>
  </conditionalFormatting>
  <conditionalFormatting sqref="AS167">
    <cfRule type="expression" dxfId="3021" priority="1319">
      <formula>IF(L167=AS167,1,0)</formula>
    </cfRule>
  </conditionalFormatting>
  <conditionalFormatting sqref="F134">
    <cfRule type="cellIs" dxfId="3020" priority="1312" operator="equal">
      <formula>"3-001-2214"</formula>
    </cfRule>
    <cfRule type="cellIs" dxfId="3019" priority="1313" operator="equal">
      <formula>"3-001-5204"</formula>
    </cfRule>
    <cfRule type="cellIs" dxfId="3018" priority="1314" operator="equal">
      <formula>"3-001-0002"</formula>
    </cfRule>
  </conditionalFormatting>
  <conditionalFormatting sqref="AS134">
    <cfRule type="expression" dxfId="3017" priority="1315">
      <formula>IF(L134=AS134,1,0)</formula>
    </cfRule>
  </conditionalFormatting>
  <conditionalFormatting sqref="F166">
    <cfRule type="cellIs" dxfId="3016" priority="1308" operator="equal">
      <formula>"3-001-2214"</formula>
    </cfRule>
    <cfRule type="cellIs" dxfId="3015" priority="1309" operator="equal">
      <formula>"3-001-5204"</formula>
    </cfRule>
    <cfRule type="cellIs" dxfId="3014" priority="1310" operator="equal">
      <formula>"3-001-0002"</formula>
    </cfRule>
  </conditionalFormatting>
  <conditionalFormatting sqref="AS166">
    <cfRule type="expression" dxfId="3013" priority="1311">
      <formula>IF(L166=AS166,1,0)</formula>
    </cfRule>
  </conditionalFormatting>
  <conditionalFormatting sqref="F148">
    <cfRule type="cellIs" dxfId="3012" priority="1300" operator="equal">
      <formula>"3-001-2214"</formula>
    </cfRule>
    <cfRule type="cellIs" dxfId="3011" priority="1301" operator="equal">
      <formula>"3-001-5204"</formula>
    </cfRule>
    <cfRule type="cellIs" dxfId="3010" priority="1302" operator="equal">
      <formula>"3-001-0002"</formula>
    </cfRule>
  </conditionalFormatting>
  <conditionalFormatting sqref="F149">
    <cfRule type="cellIs" dxfId="3009" priority="1304" operator="equal">
      <formula>"3-001-2214"</formula>
    </cfRule>
    <cfRule type="cellIs" dxfId="3008" priority="1305" operator="equal">
      <formula>"3-001-5204"</formula>
    </cfRule>
    <cfRule type="cellIs" dxfId="3007" priority="1306" operator="equal">
      <formula>"3-001-0002"</formula>
    </cfRule>
  </conditionalFormatting>
  <conditionalFormatting sqref="AS149">
    <cfRule type="expression" dxfId="3006" priority="1307">
      <formula>IF(L149=AS149,1,0)</formula>
    </cfRule>
  </conditionalFormatting>
  <conditionalFormatting sqref="AS148">
    <cfRule type="expression" dxfId="3005" priority="1303">
      <formula>IF(L148=AS148,1,0)</formula>
    </cfRule>
  </conditionalFormatting>
  <conditionalFormatting sqref="F178:F179">
    <cfRule type="cellIs" dxfId="3004" priority="1297" operator="equal">
      <formula>"3-001-2214"</formula>
    </cfRule>
    <cfRule type="cellIs" dxfId="3003" priority="1298" operator="equal">
      <formula>"3-001-5204"</formula>
    </cfRule>
    <cfRule type="cellIs" dxfId="3002" priority="1299" operator="equal">
      <formula>"3-001-0002"</formula>
    </cfRule>
  </conditionalFormatting>
  <conditionalFormatting sqref="F186">
    <cfRule type="cellIs" dxfId="3001" priority="1289" operator="equal">
      <formula>"3-001-2214"</formula>
    </cfRule>
    <cfRule type="cellIs" dxfId="3000" priority="1290" operator="equal">
      <formula>"3-001-5204"</formula>
    </cfRule>
    <cfRule type="cellIs" dxfId="2999" priority="1291" operator="equal">
      <formula>"3-001-0002"</formula>
    </cfRule>
  </conditionalFormatting>
  <conditionalFormatting sqref="F187">
    <cfRule type="cellIs" dxfId="2998" priority="1293" operator="equal">
      <formula>"3-001-2214"</formula>
    </cfRule>
    <cfRule type="cellIs" dxfId="2997" priority="1294" operator="equal">
      <formula>"3-001-5204"</formula>
    </cfRule>
    <cfRule type="cellIs" dxfId="2996" priority="1295" operator="equal">
      <formula>"3-001-0002"</formula>
    </cfRule>
  </conditionalFormatting>
  <conditionalFormatting sqref="AS187">
    <cfRule type="expression" dxfId="2995" priority="1296">
      <formula>IF(L187=AS187,1,0)</formula>
    </cfRule>
  </conditionalFormatting>
  <conditionalFormatting sqref="AS186">
    <cfRule type="expression" dxfId="2994" priority="1292">
      <formula>IF(L186=AS186,1,0)</formula>
    </cfRule>
  </conditionalFormatting>
  <conditionalFormatting sqref="F195:F196">
    <cfRule type="cellIs" dxfId="2993" priority="1286" operator="equal">
      <formula>"3-001-2214"</formula>
    </cfRule>
    <cfRule type="cellIs" dxfId="2992" priority="1287" operator="equal">
      <formula>"3-001-5204"</formula>
    </cfRule>
    <cfRule type="cellIs" dxfId="2991" priority="1288" operator="equal">
      <formula>"3-001-0002"</formula>
    </cfRule>
  </conditionalFormatting>
  <conditionalFormatting sqref="F147">
    <cfRule type="cellIs" dxfId="2990" priority="1282" operator="equal">
      <formula>"3-001-2214"</formula>
    </cfRule>
    <cfRule type="cellIs" dxfId="2989" priority="1283" operator="equal">
      <formula>"3-001-5204"</formula>
    </cfRule>
    <cfRule type="cellIs" dxfId="2988" priority="1284" operator="equal">
      <formula>"3-001-0002"</formula>
    </cfRule>
  </conditionalFormatting>
  <conditionalFormatting sqref="AS147">
    <cfRule type="expression" dxfId="2987" priority="1285">
      <formula>IF(L147=AS147,1,0)</formula>
    </cfRule>
  </conditionalFormatting>
  <conditionalFormatting sqref="F177">
    <cfRule type="cellIs" dxfId="2986" priority="1278" operator="equal">
      <formula>"3-001-2214"</formula>
    </cfRule>
    <cfRule type="cellIs" dxfId="2985" priority="1279" operator="equal">
      <formula>"3-001-5204"</formula>
    </cfRule>
    <cfRule type="cellIs" dxfId="2984" priority="1280" operator="equal">
      <formula>"3-001-0002"</formula>
    </cfRule>
  </conditionalFormatting>
  <conditionalFormatting sqref="AS177">
    <cfRule type="expression" dxfId="2983" priority="1281">
      <formula>IF(L177=AS177,1,0)</formula>
    </cfRule>
  </conditionalFormatting>
  <conditionalFormatting sqref="F185">
    <cfRule type="cellIs" dxfId="2982" priority="1274" operator="equal">
      <formula>"3-001-2214"</formula>
    </cfRule>
    <cfRule type="cellIs" dxfId="2981" priority="1275" operator="equal">
      <formula>"3-001-5204"</formula>
    </cfRule>
    <cfRule type="cellIs" dxfId="2980" priority="1276" operator="equal">
      <formula>"3-001-0002"</formula>
    </cfRule>
  </conditionalFormatting>
  <conditionalFormatting sqref="AS185">
    <cfRule type="expression" dxfId="2979" priority="1277">
      <formula>IF(L185=AS185,1,0)</formula>
    </cfRule>
  </conditionalFormatting>
  <conditionalFormatting sqref="F194">
    <cfRule type="cellIs" dxfId="2978" priority="1270" operator="equal">
      <formula>"3-001-2214"</formula>
    </cfRule>
    <cfRule type="cellIs" dxfId="2977" priority="1271" operator="equal">
      <formula>"3-001-5204"</formula>
    </cfRule>
    <cfRule type="cellIs" dxfId="2976" priority="1272" operator="equal">
      <formula>"3-001-0002"</formula>
    </cfRule>
  </conditionalFormatting>
  <conditionalFormatting sqref="AS194">
    <cfRule type="expression" dxfId="2975" priority="1273">
      <formula>IF(L194=AS194,1,0)</formula>
    </cfRule>
  </conditionalFormatting>
  <conditionalFormatting sqref="F197">
    <cfRule type="cellIs" dxfId="2974" priority="1266" operator="equal">
      <formula>"3-001-2214"</formula>
    </cfRule>
    <cfRule type="cellIs" dxfId="2973" priority="1267" operator="equal">
      <formula>"3-001-5204"</formula>
    </cfRule>
    <cfRule type="cellIs" dxfId="2972" priority="1268" operator="equal">
      <formula>"3-001-0002"</formula>
    </cfRule>
  </conditionalFormatting>
  <conditionalFormatting sqref="AS197">
    <cfRule type="expression" dxfId="2971" priority="1269">
      <formula>IF(L197=AS197,1,0)</formula>
    </cfRule>
  </conditionalFormatting>
  <conditionalFormatting sqref="F120">
    <cfRule type="cellIs" dxfId="2970" priority="1262" operator="equal">
      <formula>"3-001-2214"</formula>
    </cfRule>
    <cfRule type="cellIs" dxfId="2969" priority="1263" operator="equal">
      <formula>"3-001-5204"</formula>
    </cfRule>
    <cfRule type="cellIs" dxfId="2968" priority="1264" operator="equal">
      <formula>"3-001-0002"</formula>
    </cfRule>
  </conditionalFormatting>
  <conditionalFormatting sqref="AS120">
    <cfRule type="expression" dxfId="2967" priority="1265">
      <formula>IF(L120=AS120,1,0)</formula>
    </cfRule>
  </conditionalFormatting>
  <conditionalFormatting sqref="AS198">
    <cfRule type="expression" dxfId="2966" priority="1261">
      <formula>IF(L198=AS198,1,0)</formula>
    </cfRule>
  </conditionalFormatting>
  <conditionalFormatting sqref="F198">
    <cfRule type="cellIs" dxfId="2965" priority="1258" operator="equal">
      <formula>"3-001-2214"</formula>
    </cfRule>
    <cfRule type="cellIs" dxfId="2964" priority="1259" operator="equal">
      <formula>"3-001-5204"</formula>
    </cfRule>
    <cfRule type="cellIs" dxfId="2963" priority="1260" operator="equal">
      <formula>"3-001-0002"</formula>
    </cfRule>
  </conditionalFormatting>
  <conditionalFormatting sqref="AS200">
    <cfRule type="expression" dxfId="2962" priority="1257">
      <formula>IF(L200=AS200,1,0)</formula>
    </cfRule>
  </conditionalFormatting>
  <conditionalFormatting sqref="F200">
    <cfRule type="cellIs" dxfId="2961" priority="1254" operator="equal">
      <formula>"3-001-2214"</formula>
    </cfRule>
    <cfRule type="cellIs" dxfId="2960" priority="1255" operator="equal">
      <formula>"3-001-5204"</formula>
    </cfRule>
    <cfRule type="cellIs" dxfId="2959" priority="1256" operator="equal">
      <formula>"3-001-0002"</formula>
    </cfRule>
  </conditionalFormatting>
  <conditionalFormatting sqref="AS339">
    <cfRule type="expression" dxfId="2958" priority="1253">
      <formula>IF(L339=AS339,1,0)</formula>
    </cfRule>
  </conditionalFormatting>
  <conditionalFormatting sqref="F339">
    <cfRule type="cellIs" dxfId="2957" priority="1250" operator="equal">
      <formula>"3-001-2214"</formula>
    </cfRule>
    <cfRule type="cellIs" dxfId="2956" priority="1251" operator="equal">
      <formula>"3-001-5204"</formula>
    </cfRule>
    <cfRule type="cellIs" dxfId="2955" priority="1252" operator="equal">
      <formula>"3-001-0002"</formula>
    </cfRule>
  </conditionalFormatting>
  <conditionalFormatting sqref="AS334">
    <cfRule type="expression" dxfId="2954" priority="1245">
      <formula>IF(L334=AS334,1,0)</formula>
    </cfRule>
  </conditionalFormatting>
  <conditionalFormatting sqref="F334">
    <cfRule type="cellIs" dxfId="2953" priority="1242" operator="equal">
      <formula>"3-001-2214"</formula>
    </cfRule>
    <cfRule type="cellIs" dxfId="2952" priority="1243" operator="equal">
      <formula>"3-001-5204"</formula>
    </cfRule>
    <cfRule type="cellIs" dxfId="2951" priority="1244" operator="equal">
      <formula>"3-001-0002"</formula>
    </cfRule>
  </conditionalFormatting>
  <conditionalFormatting sqref="AS375">
    <cfRule type="expression" dxfId="2950" priority="1241">
      <formula>IF(L375=AS375,1,0)</formula>
    </cfRule>
  </conditionalFormatting>
  <conditionalFormatting sqref="F375">
    <cfRule type="cellIs" dxfId="2949" priority="1238" operator="equal">
      <formula>"3-001-2214"</formula>
    </cfRule>
    <cfRule type="cellIs" dxfId="2948" priority="1239" operator="equal">
      <formula>"3-001-5204"</formula>
    </cfRule>
    <cfRule type="cellIs" dxfId="2947" priority="1240" operator="equal">
      <formula>"3-001-0002"</formula>
    </cfRule>
  </conditionalFormatting>
  <conditionalFormatting sqref="AS346">
    <cfRule type="expression" dxfId="2946" priority="1249">
      <formula>IF(L346=AS346,1,0)</formula>
    </cfRule>
  </conditionalFormatting>
  <conditionalFormatting sqref="F346">
    <cfRule type="cellIs" dxfId="2945" priority="1246" operator="equal">
      <formula>"3-001-2214"</formula>
    </cfRule>
    <cfRule type="cellIs" dxfId="2944" priority="1247" operator="equal">
      <formula>"3-001-5204"</formula>
    </cfRule>
    <cfRule type="cellIs" dxfId="2943" priority="1248" operator="equal">
      <formula>"3-001-0002"</formula>
    </cfRule>
  </conditionalFormatting>
  <conditionalFormatting sqref="AS201">
    <cfRule type="expression" dxfId="2942" priority="1237">
      <formula>IF(L201=AS201,1,0)</formula>
    </cfRule>
  </conditionalFormatting>
  <conditionalFormatting sqref="F201">
    <cfRule type="cellIs" dxfId="2941" priority="1234" operator="equal">
      <formula>"3-001-2214"</formula>
    </cfRule>
    <cfRule type="cellIs" dxfId="2940" priority="1235" operator="equal">
      <formula>"3-001-5204"</formula>
    </cfRule>
    <cfRule type="cellIs" dxfId="2939" priority="1236" operator="equal">
      <formula>"3-001-0002"</formula>
    </cfRule>
  </conditionalFormatting>
  <conditionalFormatting sqref="F380">
    <cfRule type="cellIs" dxfId="2938" priority="1226" operator="equal">
      <formula>"3-001-2214"</formula>
    </cfRule>
    <cfRule type="cellIs" dxfId="2937" priority="1227" operator="equal">
      <formula>"3-001-5204"</formula>
    </cfRule>
    <cfRule type="cellIs" dxfId="2936" priority="1228" operator="equal">
      <formula>"3-001-0002"</formula>
    </cfRule>
  </conditionalFormatting>
  <conditionalFormatting sqref="AS379">
    <cfRule type="expression" dxfId="2935" priority="1233">
      <formula>IF(L379=AS379,1,0)</formula>
    </cfRule>
  </conditionalFormatting>
  <conditionalFormatting sqref="F379">
    <cfRule type="cellIs" dxfId="2934" priority="1230" operator="equal">
      <formula>"3-001-2214"</formula>
    </cfRule>
    <cfRule type="cellIs" dxfId="2933" priority="1231" operator="equal">
      <formula>"3-001-5204"</formula>
    </cfRule>
    <cfRule type="cellIs" dxfId="2932" priority="1232" operator="equal">
      <formula>"3-001-0002"</formula>
    </cfRule>
  </conditionalFormatting>
  <conditionalFormatting sqref="AS380">
    <cfRule type="expression" dxfId="2931" priority="1229">
      <formula>IF(L380=AS380,1,0)</formula>
    </cfRule>
  </conditionalFormatting>
  <conditionalFormatting sqref="F336">
    <cfRule type="cellIs" dxfId="2930" priority="1222" operator="equal">
      <formula>"3-001-2214"</formula>
    </cfRule>
    <cfRule type="cellIs" dxfId="2929" priority="1223" operator="equal">
      <formula>"3-001-5204"</formula>
    </cfRule>
    <cfRule type="cellIs" dxfId="2928" priority="1224" operator="equal">
      <formula>"3-001-0002"</formula>
    </cfRule>
  </conditionalFormatting>
  <conditionalFormatting sqref="F335">
    <cfRule type="cellIs" dxfId="2927" priority="1218" operator="equal">
      <formula>"3-001-2214"</formula>
    </cfRule>
    <cfRule type="cellIs" dxfId="2926" priority="1219" operator="equal">
      <formula>"3-001-5204"</formula>
    </cfRule>
    <cfRule type="cellIs" dxfId="2925" priority="1220" operator="equal">
      <formula>"3-001-0002"</formula>
    </cfRule>
  </conditionalFormatting>
  <conditionalFormatting sqref="AS336">
    <cfRule type="expression" dxfId="2924" priority="1225">
      <formula>IF(L336=AS336,1,0)</formula>
    </cfRule>
  </conditionalFormatting>
  <conditionalFormatting sqref="F244">
    <cfRule type="cellIs" dxfId="2923" priority="1206" operator="equal">
      <formula>"3-001-2214"</formula>
    </cfRule>
    <cfRule type="cellIs" dxfId="2922" priority="1207" operator="equal">
      <formula>"3-001-5204"</formula>
    </cfRule>
    <cfRule type="cellIs" dxfId="2921" priority="1208" operator="equal">
      <formula>"3-001-0002"</formula>
    </cfRule>
  </conditionalFormatting>
  <conditionalFormatting sqref="AS335">
    <cfRule type="expression" dxfId="2920" priority="1221">
      <formula>IF(L335=AS335,1,0)</formula>
    </cfRule>
  </conditionalFormatting>
  <conditionalFormatting sqref="AS244">
    <cfRule type="expression" dxfId="2919" priority="1209">
      <formula>IF(L244=AS244,1,0)</formula>
    </cfRule>
  </conditionalFormatting>
  <conditionalFormatting sqref="AS204">
    <cfRule type="expression" dxfId="2918" priority="1217">
      <formula>IF(L204=AS204,1,0)</formula>
    </cfRule>
  </conditionalFormatting>
  <conditionalFormatting sqref="F204">
    <cfRule type="cellIs" dxfId="2917" priority="1214" operator="equal">
      <formula>"3-001-2214"</formula>
    </cfRule>
    <cfRule type="cellIs" dxfId="2916" priority="1215" operator="equal">
      <formula>"3-001-5204"</formula>
    </cfRule>
    <cfRule type="cellIs" dxfId="2915" priority="1216" operator="equal">
      <formula>"3-001-0002"</formula>
    </cfRule>
  </conditionalFormatting>
  <conditionalFormatting sqref="AS202">
    <cfRule type="expression" dxfId="2914" priority="1213">
      <formula>IF(L202=AS202,1,0)</formula>
    </cfRule>
  </conditionalFormatting>
  <conditionalFormatting sqref="F202">
    <cfRule type="cellIs" dxfId="2913" priority="1210" operator="equal">
      <formula>"3-001-2214"</formula>
    </cfRule>
    <cfRule type="cellIs" dxfId="2912" priority="1211" operator="equal">
      <formula>"3-001-5204"</formula>
    </cfRule>
    <cfRule type="cellIs" dxfId="2911" priority="1212" operator="equal">
      <formula>"3-001-0002"</formula>
    </cfRule>
  </conditionalFormatting>
  <conditionalFormatting sqref="AS85">
    <cfRule type="expression" dxfId="2910" priority="1197">
      <formula>IF(L85=AS85,1,0)</formula>
    </cfRule>
  </conditionalFormatting>
  <conditionalFormatting sqref="F85">
    <cfRule type="cellIs" dxfId="2909" priority="1194" operator="equal">
      <formula>"3-001-2214"</formula>
    </cfRule>
    <cfRule type="cellIs" dxfId="2908" priority="1195" operator="equal">
      <formula>"3-001-5204"</formula>
    </cfRule>
    <cfRule type="cellIs" dxfId="2907" priority="1196" operator="equal">
      <formula>"3-001-0002"</formula>
    </cfRule>
  </conditionalFormatting>
  <conditionalFormatting sqref="AS245">
    <cfRule type="expression" dxfId="2906" priority="1205">
      <formula>IF(L245=AS245,1,0)</formula>
    </cfRule>
  </conditionalFormatting>
  <conditionalFormatting sqref="F245">
    <cfRule type="cellIs" dxfId="2905" priority="1202" operator="equal">
      <formula>"3-001-2214"</formula>
    </cfRule>
    <cfRule type="cellIs" dxfId="2904" priority="1203" operator="equal">
      <formula>"3-001-5204"</formula>
    </cfRule>
    <cfRule type="cellIs" dxfId="2903" priority="1204" operator="equal">
      <formula>"3-001-0002"</formula>
    </cfRule>
  </conditionalFormatting>
  <conditionalFormatting sqref="AS315">
    <cfRule type="expression" dxfId="2902" priority="1201">
      <formula>IF(L315=AS315,1,0)</formula>
    </cfRule>
  </conditionalFormatting>
  <conditionalFormatting sqref="F315">
    <cfRule type="cellIs" dxfId="2901" priority="1198" operator="equal">
      <formula>"3-001-2214"</formula>
    </cfRule>
    <cfRule type="cellIs" dxfId="2900" priority="1199" operator="equal">
      <formula>"3-001-5204"</formula>
    </cfRule>
    <cfRule type="cellIs" dxfId="2899" priority="1200" operator="equal">
      <formula>"3-001-0002"</formula>
    </cfRule>
  </conditionalFormatting>
  <conditionalFormatting sqref="F279">
    <cfRule type="cellIs" dxfId="2898" priority="1162" operator="equal">
      <formula>"3-001-2214"</formula>
    </cfRule>
    <cfRule type="cellIs" dxfId="2897" priority="1163" operator="equal">
      <formula>"3-001-5204"</formula>
    </cfRule>
    <cfRule type="cellIs" dxfId="2896" priority="1164" operator="equal">
      <formula>"3-001-0002"</formula>
    </cfRule>
  </conditionalFormatting>
  <conditionalFormatting sqref="AS279">
    <cfRule type="expression" dxfId="2895" priority="1165">
      <formula>IF(L279=AS279,1,0)</formula>
    </cfRule>
  </conditionalFormatting>
  <conditionalFormatting sqref="F76">
    <cfRule type="cellIs" dxfId="2894" priority="1190" operator="equal">
      <formula>"3-001-2214"</formula>
    </cfRule>
    <cfRule type="cellIs" dxfId="2893" priority="1191" operator="equal">
      <formula>"3-001-5204"</formula>
    </cfRule>
    <cfRule type="cellIs" dxfId="2892" priority="1192" operator="equal">
      <formula>"3-001-0002"</formula>
    </cfRule>
  </conditionalFormatting>
  <conditionalFormatting sqref="F81">
    <cfRule type="cellIs" dxfId="2891" priority="1186" operator="equal">
      <formula>"3-001-2214"</formula>
    </cfRule>
    <cfRule type="cellIs" dxfId="2890" priority="1187" operator="equal">
      <formula>"3-001-5204"</formula>
    </cfRule>
    <cfRule type="cellIs" dxfId="2889" priority="1188" operator="equal">
      <formula>"3-001-0002"</formula>
    </cfRule>
  </conditionalFormatting>
  <conditionalFormatting sqref="AS76">
    <cfRule type="expression" dxfId="2888" priority="1193">
      <formula>IF(L76=AS76,1,0)</formula>
    </cfRule>
  </conditionalFormatting>
  <conditionalFormatting sqref="AS81">
    <cfRule type="expression" dxfId="2887" priority="1189">
      <formula>IF(L81=AS81,1,0)</formula>
    </cfRule>
  </conditionalFormatting>
  <conditionalFormatting sqref="AS277">
    <cfRule type="expression" dxfId="2886" priority="1185">
      <formula>IF(L277=AS277,1,0)</formula>
    </cfRule>
  </conditionalFormatting>
  <conditionalFormatting sqref="F277">
    <cfRule type="cellIs" dxfId="2885" priority="1182" operator="equal">
      <formula>"3-001-2214"</formula>
    </cfRule>
    <cfRule type="cellIs" dxfId="2884" priority="1183" operator="equal">
      <formula>"3-001-5204"</formula>
    </cfRule>
    <cfRule type="cellIs" dxfId="2883" priority="1184" operator="equal">
      <formula>"3-001-0002"</formula>
    </cfRule>
  </conditionalFormatting>
  <conditionalFormatting sqref="F286">
    <cfRule type="cellIs" dxfId="2882" priority="1154" operator="equal">
      <formula>"3-001-2214"</formula>
    </cfRule>
    <cfRule type="cellIs" dxfId="2881" priority="1155" operator="equal">
      <formula>"3-001-5204"</formula>
    </cfRule>
    <cfRule type="cellIs" dxfId="2880" priority="1156" operator="equal">
      <formula>"3-001-0002"</formula>
    </cfRule>
  </conditionalFormatting>
  <conditionalFormatting sqref="AS286">
    <cfRule type="expression" dxfId="2879" priority="1157">
      <formula>IF(L286=AS286,1,0)</formula>
    </cfRule>
  </conditionalFormatting>
  <conditionalFormatting sqref="F283">
    <cfRule type="cellIs" dxfId="2878" priority="1178" operator="equal">
      <formula>"3-001-2214"</formula>
    </cfRule>
    <cfRule type="cellIs" dxfId="2877" priority="1179" operator="equal">
      <formula>"3-001-5204"</formula>
    </cfRule>
    <cfRule type="cellIs" dxfId="2876" priority="1180" operator="equal">
      <formula>"3-001-0002"</formula>
    </cfRule>
  </conditionalFormatting>
  <conditionalFormatting sqref="F285">
    <cfRule type="cellIs" dxfId="2875" priority="1174" operator="equal">
      <formula>"3-001-2214"</formula>
    </cfRule>
    <cfRule type="cellIs" dxfId="2874" priority="1175" operator="equal">
      <formula>"3-001-5204"</formula>
    </cfRule>
    <cfRule type="cellIs" dxfId="2873" priority="1176" operator="equal">
      <formula>"3-001-0002"</formula>
    </cfRule>
  </conditionalFormatting>
  <conditionalFormatting sqref="AS283">
    <cfRule type="expression" dxfId="2872" priority="1181">
      <formula>IF(L283=AS283,1,0)</formula>
    </cfRule>
  </conditionalFormatting>
  <conditionalFormatting sqref="AS285">
    <cfRule type="expression" dxfId="2871" priority="1177">
      <formula>IF(L285=AS285,1,0)</formula>
    </cfRule>
  </conditionalFormatting>
  <conditionalFormatting sqref="F278">
    <cfRule type="cellIs" dxfId="2870" priority="1170" operator="equal">
      <formula>"3-001-2214"</formula>
    </cfRule>
    <cfRule type="cellIs" dxfId="2869" priority="1171" operator="equal">
      <formula>"3-001-5204"</formula>
    </cfRule>
    <cfRule type="cellIs" dxfId="2868" priority="1172" operator="equal">
      <formula>"3-001-0002"</formula>
    </cfRule>
  </conditionalFormatting>
  <conditionalFormatting sqref="AS278">
    <cfRule type="expression" dxfId="2867" priority="1173">
      <formula>IF(L278=AS278,1,0)</formula>
    </cfRule>
  </conditionalFormatting>
  <conditionalFormatting sqref="F280">
    <cfRule type="cellIs" dxfId="2866" priority="1166" operator="equal">
      <formula>"3-001-2214"</formula>
    </cfRule>
    <cfRule type="cellIs" dxfId="2865" priority="1167" operator="equal">
      <formula>"3-001-5204"</formula>
    </cfRule>
    <cfRule type="cellIs" dxfId="2864" priority="1168" operator="equal">
      <formula>"3-001-0002"</formula>
    </cfRule>
  </conditionalFormatting>
  <conditionalFormatting sqref="AS280">
    <cfRule type="expression" dxfId="2863" priority="1169">
      <formula>IF(L280=AS280,1,0)</formula>
    </cfRule>
  </conditionalFormatting>
  <conditionalFormatting sqref="AS284">
    <cfRule type="expression" dxfId="2862" priority="1161">
      <formula>IF(L284=AS284,1,0)</formula>
    </cfRule>
  </conditionalFormatting>
  <conditionalFormatting sqref="F284">
    <cfRule type="cellIs" dxfId="2861" priority="1158" operator="equal">
      <formula>"3-001-2214"</formula>
    </cfRule>
    <cfRule type="cellIs" dxfId="2860" priority="1159" operator="equal">
      <formula>"3-001-5204"</formula>
    </cfRule>
    <cfRule type="cellIs" dxfId="2859" priority="1160" operator="equal">
      <formula>"3-001-0002"</formula>
    </cfRule>
  </conditionalFormatting>
  <conditionalFormatting sqref="F299">
    <cfRule type="cellIs" dxfId="2858" priority="1146" operator="equal">
      <formula>"3-001-2214"</formula>
    </cfRule>
    <cfRule type="cellIs" dxfId="2857" priority="1147" operator="equal">
      <formula>"3-001-5204"</formula>
    </cfRule>
    <cfRule type="cellIs" dxfId="2856" priority="1148" operator="equal">
      <formula>"3-001-0002"</formula>
    </cfRule>
  </conditionalFormatting>
  <conditionalFormatting sqref="AS299">
    <cfRule type="expression" dxfId="2855" priority="1149">
      <formula>IF(L299=AS299,1,0)</formula>
    </cfRule>
  </conditionalFormatting>
  <conditionalFormatting sqref="F297">
    <cfRule type="cellIs" dxfId="2854" priority="1150" operator="equal">
      <formula>"3-001-2214"</formula>
    </cfRule>
    <cfRule type="cellIs" dxfId="2853" priority="1151" operator="equal">
      <formula>"3-001-5204"</formula>
    </cfRule>
    <cfRule type="cellIs" dxfId="2852" priority="1152" operator="equal">
      <formula>"3-001-0002"</formula>
    </cfRule>
  </conditionalFormatting>
  <conditionalFormatting sqref="AS297">
    <cfRule type="expression" dxfId="2851" priority="1153">
      <formula>IF(L297=AS297,1,0)</formula>
    </cfRule>
  </conditionalFormatting>
  <conditionalFormatting sqref="F289">
    <cfRule type="cellIs" dxfId="2850" priority="1142" operator="equal">
      <formula>"3-001-2214"</formula>
    </cfRule>
    <cfRule type="cellIs" dxfId="2849" priority="1143" operator="equal">
      <formula>"3-001-5204"</formula>
    </cfRule>
    <cfRule type="cellIs" dxfId="2848" priority="1144" operator="equal">
      <formula>"3-001-0002"</formula>
    </cfRule>
  </conditionalFormatting>
  <conditionalFormatting sqref="AS289">
    <cfRule type="expression" dxfId="2847" priority="1145">
      <formula>IF(L289=AS289,1,0)</formula>
    </cfRule>
  </conditionalFormatting>
  <conditionalFormatting sqref="AS290">
    <cfRule type="expression" dxfId="2846" priority="1141">
      <formula>IF(L290=AS290,1,0)</formula>
    </cfRule>
  </conditionalFormatting>
  <conditionalFormatting sqref="F290">
    <cfRule type="cellIs" dxfId="2845" priority="1138" operator="equal">
      <formula>"3-001-2214"</formula>
    </cfRule>
    <cfRule type="cellIs" dxfId="2844" priority="1139" operator="equal">
      <formula>"3-001-5204"</formula>
    </cfRule>
    <cfRule type="cellIs" dxfId="2843" priority="1140" operator="equal">
      <formula>"3-001-0002"</formula>
    </cfRule>
  </conditionalFormatting>
  <conditionalFormatting sqref="AS261:AS262">
    <cfRule type="expression" dxfId="2842" priority="1137">
      <formula>IF(L261=AS261,1,0)</formula>
    </cfRule>
  </conditionalFormatting>
  <conditionalFormatting sqref="F261:F262">
    <cfRule type="cellIs" dxfId="2841" priority="1134" operator="equal">
      <formula>"3-001-2214"</formula>
    </cfRule>
    <cfRule type="cellIs" dxfId="2840" priority="1135" operator="equal">
      <formula>"3-001-5204"</formula>
    </cfRule>
    <cfRule type="cellIs" dxfId="2839" priority="1136" operator="equal">
      <formula>"3-001-0002"</formula>
    </cfRule>
  </conditionalFormatting>
  <conditionalFormatting sqref="AS260">
    <cfRule type="expression" dxfId="2838" priority="1133">
      <formula>IF(L260=AS260,1,0)</formula>
    </cfRule>
  </conditionalFormatting>
  <conditionalFormatting sqref="F260">
    <cfRule type="cellIs" dxfId="2837" priority="1130" operator="equal">
      <formula>"3-001-2214"</formula>
    </cfRule>
    <cfRule type="cellIs" dxfId="2836" priority="1131" operator="equal">
      <formula>"3-001-5204"</formula>
    </cfRule>
    <cfRule type="cellIs" dxfId="2835" priority="1132" operator="equal">
      <formula>"3-001-0002"</formula>
    </cfRule>
  </conditionalFormatting>
  <conditionalFormatting sqref="AS217">
    <cfRule type="expression" dxfId="2834" priority="1129">
      <formula>IF(L217=AS217,1,0)</formula>
    </cfRule>
  </conditionalFormatting>
  <conditionalFormatting sqref="F217">
    <cfRule type="cellIs" dxfId="2833" priority="1126" operator="equal">
      <formula>"3-001-2214"</formula>
    </cfRule>
    <cfRule type="cellIs" dxfId="2832" priority="1127" operator="equal">
      <formula>"3-001-5204"</formula>
    </cfRule>
    <cfRule type="cellIs" dxfId="2831" priority="1128" operator="equal">
      <formula>"3-001-0002"</formula>
    </cfRule>
  </conditionalFormatting>
  <conditionalFormatting sqref="AS251">
    <cfRule type="expression" dxfId="2830" priority="1125">
      <formula>IF(L251=AS251,1,0)</formula>
    </cfRule>
  </conditionalFormatting>
  <conditionalFormatting sqref="F251">
    <cfRule type="cellIs" dxfId="2829" priority="1122" operator="equal">
      <formula>"3-001-2214"</formula>
    </cfRule>
    <cfRule type="cellIs" dxfId="2828" priority="1123" operator="equal">
      <formula>"3-001-5204"</formula>
    </cfRule>
    <cfRule type="cellIs" dxfId="2827" priority="1124" operator="equal">
      <formula>"3-001-0002"</formula>
    </cfRule>
  </conditionalFormatting>
  <conditionalFormatting sqref="AS252">
    <cfRule type="expression" dxfId="2826" priority="1121">
      <formula>IF(L252=AS252,1,0)</formula>
    </cfRule>
  </conditionalFormatting>
  <conditionalFormatting sqref="F252">
    <cfRule type="cellIs" dxfId="2825" priority="1118" operator="equal">
      <formula>"3-001-2214"</formula>
    </cfRule>
    <cfRule type="cellIs" dxfId="2824" priority="1119" operator="equal">
      <formula>"3-001-5204"</formula>
    </cfRule>
    <cfRule type="cellIs" dxfId="2823" priority="1120" operator="equal">
      <formula>"3-001-0002"</formula>
    </cfRule>
  </conditionalFormatting>
  <conditionalFormatting sqref="AS254:AS256">
    <cfRule type="expression" dxfId="2822" priority="1117">
      <formula>IF(L254=AS254,1,0)</formula>
    </cfRule>
  </conditionalFormatting>
  <conditionalFormatting sqref="F254:F256">
    <cfRule type="cellIs" dxfId="2821" priority="1114" operator="equal">
      <formula>"3-001-2214"</formula>
    </cfRule>
    <cfRule type="cellIs" dxfId="2820" priority="1115" operator="equal">
      <formula>"3-001-5204"</formula>
    </cfRule>
    <cfRule type="cellIs" dxfId="2819" priority="1116" operator="equal">
      <formula>"3-001-0002"</formula>
    </cfRule>
  </conditionalFormatting>
  <conditionalFormatting sqref="AS253">
    <cfRule type="expression" dxfId="2818" priority="1113">
      <formula>IF(L253=AS253,1,0)</formula>
    </cfRule>
  </conditionalFormatting>
  <conditionalFormatting sqref="F253">
    <cfRule type="cellIs" dxfId="2817" priority="1110" operator="equal">
      <formula>"3-001-2214"</formula>
    </cfRule>
    <cfRule type="cellIs" dxfId="2816" priority="1111" operator="equal">
      <formula>"3-001-5204"</formula>
    </cfRule>
    <cfRule type="cellIs" dxfId="2815" priority="1112" operator="equal">
      <formula>"3-001-0002"</formula>
    </cfRule>
  </conditionalFormatting>
  <conditionalFormatting sqref="AS263">
    <cfRule type="expression" dxfId="2814" priority="1105">
      <formula>IF(L263=AS263,1,0)</formula>
    </cfRule>
  </conditionalFormatting>
  <conditionalFormatting sqref="F263">
    <cfRule type="cellIs" dxfId="2813" priority="1102" operator="equal">
      <formula>"3-001-2214"</formula>
    </cfRule>
    <cfRule type="cellIs" dxfId="2812" priority="1103" operator="equal">
      <formula>"3-001-5204"</formula>
    </cfRule>
    <cfRule type="cellIs" dxfId="2811" priority="1104" operator="equal">
      <formula>"3-001-0002"</formula>
    </cfRule>
  </conditionalFormatting>
  <conditionalFormatting sqref="AS257">
    <cfRule type="expression" dxfId="2810" priority="1109">
      <formula>IF(L257=AS257,1,0)</formula>
    </cfRule>
  </conditionalFormatting>
  <conditionalFormatting sqref="F257">
    <cfRule type="cellIs" dxfId="2809" priority="1106" operator="equal">
      <formula>"3-001-2214"</formula>
    </cfRule>
    <cfRule type="cellIs" dxfId="2808" priority="1107" operator="equal">
      <formula>"3-001-5204"</formula>
    </cfRule>
    <cfRule type="cellIs" dxfId="2807" priority="1108" operator="equal">
      <formula>"3-001-0002"</formula>
    </cfRule>
  </conditionalFormatting>
  <conditionalFormatting sqref="AS264">
    <cfRule type="expression" dxfId="2806" priority="1101">
      <formula>IF(L264=AS264,1,0)</formula>
    </cfRule>
  </conditionalFormatting>
  <conditionalFormatting sqref="F264">
    <cfRule type="cellIs" dxfId="2805" priority="1098" operator="equal">
      <formula>"3-001-2214"</formula>
    </cfRule>
    <cfRule type="cellIs" dxfId="2804" priority="1099" operator="equal">
      <formula>"3-001-5204"</formula>
    </cfRule>
    <cfRule type="cellIs" dxfId="2803" priority="1100" operator="equal">
      <formula>"3-001-0002"</formula>
    </cfRule>
  </conditionalFormatting>
  <conditionalFormatting sqref="F248">
    <cfRule type="cellIs" dxfId="2802" priority="1086" operator="equal">
      <formula>"3-001-2214"</formula>
    </cfRule>
    <cfRule type="cellIs" dxfId="2801" priority="1087" operator="equal">
      <formula>"3-001-5204"</formula>
    </cfRule>
    <cfRule type="cellIs" dxfId="2800" priority="1088" operator="equal">
      <formula>"3-001-0002"</formula>
    </cfRule>
  </conditionalFormatting>
  <conditionalFormatting sqref="AS243">
    <cfRule type="expression" dxfId="2799" priority="1097">
      <formula>IF(L243=AS243,1,0)</formula>
    </cfRule>
  </conditionalFormatting>
  <conditionalFormatting sqref="F243">
    <cfRule type="cellIs" dxfId="2798" priority="1094" operator="equal">
      <formula>"3-001-2214"</formula>
    </cfRule>
    <cfRule type="cellIs" dxfId="2797" priority="1095" operator="equal">
      <formula>"3-001-5204"</formula>
    </cfRule>
    <cfRule type="cellIs" dxfId="2796" priority="1096" operator="equal">
      <formula>"3-001-0002"</formula>
    </cfRule>
  </conditionalFormatting>
  <conditionalFormatting sqref="AS250">
    <cfRule type="expression" dxfId="2795" priority="1093">
      <formula>IF(L250=AS250,1,0)</formula>
    </cfRule>
  </conditionalFormatting>
  <conditionalFormatting sqref="F250">
    <cfRule type="cellIs" dxfId="2794" priority="1090" operator="equal">
      <formula>"3-001-2214"</formula>
    </cfRule>
    <cfRule type="cellIs" dxfId="2793" priority="1091" operator="equal">
      <formula>"3-001-5204"</formula>
    </cfRule>
    <cfRule type="cellIs" dxfId="2792" priority="1092" operator="equal">
      <formula>"3-001-0002"</formula>
    </cfRule>
  </conditionalFormatting>
  <conditionalFormatting sqref="AS248">
    <cfRule type="expression" dxfId="2791" priority="1089">
      <formula>IF(L248=AS248,1,0)</formula>
    </cfRule>
  </conditionalFormatting>
  <conditionalFormatting sqref="F249">
    <cfRule type="cellIs" dxfId="2790" priority="1082" operator="equal">
      <formula>"3-001-2214"</formula>
    </cfRule>
    <cfRule type="cellIs" dxfId="2789" priority="1083" operator="equal">
      <formula>"3-001-5204"</formula>
    </cfRule>
    <cfRule type="cellIs" dxfId="2788" priority="1084" operator="equal">
      <formula>"3-001-0002"</formula>
    </cfRule>
  </conditionalFormatting>
  <conditionalFormatting sqref="AS249">
    <cfRule type="expression" dxfId="2787" priority="1085">
      <formula>IF(L249=AS249,1,0)</formula>
    </cfRule>
  </conditionalFormatting>
  <conditionalFormatting sqref="AS216">
    <cfRule type="expression" dxfId="2786" priority="1081">
      <formula>IF(L216=AS216,1,0)</formula>
    </cfRule>
  </conditionalFormatting>
  <conditionalFormatting sqref="F216">
    <cfRule type="cellIs" dxfId="2785" priority="1078" operator="equal">
      <formula>"3-001-2214"</formula>
    </cfRule>
    <cfRule type="cellIs" dxfId="2784" priority="1079" operator="equal">
      <formula>"3-001-5204"</formula>
    </cfRule>
    <cfRule type="cellIs" dxfId="2783" priority="1080" operator="equal">
      <formula>"3-001-0002"</formula>
    </cfRule>
  </conditionalFormatting>
  <conditionalFormatting sqref="AS385">
    <cfRule type="expression" dxfId="2782" priority="1077">
      <formula>IF(L385=AS385,1,0)</formula>
    </cfRule>
  </conditionalFormatting>
  <conditionalFormatting sqref="AS258">
    <cfRule type="expression" dxfId="2781" priority="1076">
      <formula>IF(L258=AS258,1,0)</formula>
    </cfRule>
  </conditionalFormatting>
  <conditionalFormatting sqref="F258">
    <cfRule type="cellIs" dxfId="2780" priority="1073" operator="equal">
      <formula>"3-001-2214"</formula>
    </cfRule>
    <cfRule type="cellIs" dxfId="2779" priority="1074" operator="equal">
      <formula>"3-001-5204"</formula>
    </cfRule>
    <cfRule type="cellIs" dxfId="2778" priority="1075" operator="equal">
      <formula>"3-001-0002"</formula>
    </cfRule>
  </conditionalFormatting>
  <conditionalFormatting sqref="AS259">
    <cfRule type="expression" dxfId="2777" priority="1072">
      <formula>IF(L259=AS259,1,0)</formula>
    </cfRule>
  </conditionalFormatting>
  <conditionalFormatting sqref="F259">
    <cfRule type="cellIs" dxfId="2776" priority="1069" operator="equal">
      <formula>"3-001-2214"</formula>
    </cfRule>
    <cfRule type="cellIs" dxfId="2775" priority="1070" operator="equal">
      <formula>"3-001-5204"</formula>
    </cfRule>
    <cfRule type="cellIs" dxfId="2774" priority="1071" operator="equal">
      <formula>"3-001-0002"</formula>
    </cfRule>
  </conditionalFormatting>
  <conditionalFormatting sqref="AS46">
    <cfRule type="expression" dxfId="2773" priority="1068">
      <formula>IF(L46=AS46,1,0)</formula>
    </cfRule>
  </conditionalFormatting>
  <conditionalFormatting sqref="F46">
    <cfRule type="cellIs" dxfId="2772" priority="1065" operator="equal">
      <formula>"3-001-2214"</formula>
    </cfRule>
    <cfRule type="cellIs" dxfId="2771" priority="1066" operator="equal">
      <formula>"3-001-5204"</formula>
    </cfRule>
    <cfRule type="cellIs" dxfId="2770" priority="1067" operator="equal">
      <formula>"3-001-0002"</formula>
    </cfRule>
  </conditionalFormatting>
  <conditionalFormatting sqref="AS47">
    <cfRule type="expression" dxfId="2769" priority="1064">
      <formula>IF(L47=AS47,1,0)</formula>
    </cfRule>
  </conditionalFormatting>
  <conditionalFormatting sqref="F47">
    <cfRule type="cellIs" dxfId="2768" priority="1061" operator="equal">
      <formula>"3-001-2214"</formula>
    </cfRule>
    <cfRule type="cellIs" dxfId="2767" priority="1062" operator="equal">
      <formula>"3-001-5204"</formula>
    </cfRule>
    <cfRule type="cellIs" dxfId="2766" priority="1063" operator="equal">
      <formula>"3-001-0002"</formula>
    </cfRule>
  </conditionalFormatting>
  <conditionalFormatting sqref="Q386">
    <cfRule type="cellIs" dxfId="2765" priority="1060" operator="notEqual">
      <formula>$Q$384</formula>
    </cfRule>
  </conditionalFormatting>
  <conditionalFormatting sqref="S386">
    <cfRule type="cellIs" dxfId="2764" priority="1059" operator="notEqual">
      <formula>$S$384</formula>
    </cfRule>
  </conditionalFormatting>
  <conditionalFormatting sqref="F205">
    <cfRule type="cellIs" dxfId="2763" priority="1055" operator="equal">
      <formula>"3-001-2214"</formula>
    </cfRule>
    <cfRule type="cellIs" dxfId="2762" priority="1056" operator="equal">
      <formula>"3-001-5204"</formula>
    </cfRule>
    <cfRule type="cellIs" dxfId="2761" priority="1057" operator="equal">
      <formula>"3-001-0002"</formula>
    </cfRule>
  </conditionalFormatting>
  <conditionalFormatting sqref="F206">
    <cfRule type="cellIs" dxfId="2760" priority="1052" operator="equal">
      <formula>"3-001-2214"</formula>
    </cfRule>
    <cfRule type="cellIs" dxfId="2759" priority="1053" operator="equal">
      <formula>"3-001-5204"</formula>
    </cfRule>
    <cfRule type="cellIs" dxfId="2758" priority="1054" operator="equal">
      <formula>"3-001-0002"</formula>
    </cfRule>
  </conditionalFormatting>
  <conditionalFormatting sqref="F207">
    <cfRule type="cellIs" dxfId="2757" priority="1049" operator="equal">
      <formula>"3-001-2214"</formula>
    </cfRule>
    <cfRule type="cellIs" dxfId="2756" priority="1050" operator="equal">
      <formula>"3-001-5204"</formula>
    </cfRule>
    <cfRule type="cellIs" dxfId="2755" priority="1051" operator="equal">
      <formula>"3-001-0002"</formula>
    </cfRule>
  </conditionalFormatting>
  <conditionalFormatting sqref="F208">
    <cfRule type="cellIs" dxfId="2754" priority="1046" operator="equal">
      <formula>"3-001-2214"</formula>
    </cfRule>
    <cfRule type="cellIs" dxfId="2753" priority="1047" operator="equal">
      <formula>"3-001-5204"</formula>
    </cfRule>
    <cfRule type="cellIs" dxfId="2752" priority="1048" operator="equal">
      <formula>"3-001-0002"</formula>
    </cfRule>
  </conditionalFormatting>
  <conditionalFormatting sqref="F209">
    <cfRule type="cellIs" dxfId="2751" priority="1043" operator="equal">
      <formula>"3-001-2214"</formula>
    </cfRule>
    <cfRule type="cellIs" dxfId="2750" priority="1044" operator="equal">
      <formula>"3-001-5204"</formula>
    </cfRule>
    <cfRule type="cellIs" dxfId="2749" priority="1045" operator="equal">
      <formula>"3-001-0002"</formula>
    </cfRule>
  </conditionalFormatting>
  <conditionalFormatting sqref="F210">
    <cfRule type="cellIs" dxfId="2748" priority="1040" operator="equal">
      <formula>"3-001-2214"</formula>
    </cfRule>
    <cfRule type="cellIs" dxfId="2747" priority="1041" operator="equal">
      <formula>"3-001-5204"</formula>
    </cfRule>
    <cfRule type="cellIs" dxfId="2746" priority="1042" operator="equal">
      <formula>"3-001-0002"</formula>
    </cfRule>
  </conditionalFormatting>
  <conditionalFormatting sqref="AS266">
    <cfRule type="expression" dxfId="2745" priority="1039">
      <formula>IF(L266=AS266,1,0)</formula>
    </cfRule>
  </conditionalFormatting>
  <conditionalFormatting sqref="F266">
    <cfRule type="cellIs" dxfId="2744" priority="1036" operator="equal">
      <formula>"3-001-2214"</formula>
    </cfRule>
    <cfRule type="cellIs" dxfId="2743" priority="1037" operator="equal">
      <formula>"3-001-5204"</formula>
    </cfRule>
    <cfRule type="cellIs" dxfId="2742" priority="1038" operator="equal">
      <formula>"3-001-0002"</formula>
    </cfRule>
  </conditionalFormatting>
  <conditionalFormatting sqref="AS270">
    <cfRule type="expression" dxfId="2741" priority="1035">
      <formula>IF(L270=AS270,1,0)</formula>
    </cfRule>
  </conditionalFormatting>
  <conditionalFormatting sqref="F270">
    <cfRule type="cellIs" dxfId="2740" priority="1032" operator="equal">
      <formula>"3-001-2214"</formula>
    </cfRule>
    <cfRule type="cellIs" dxfId="2739" priority="1033" operator="equal">
      <formula>"3-001-5204"</formula>
    </cfRule>
    <cfRule type="cellIs" dxfId="2738" priority="1034" operator="equal">
      <formula>"3-001-0002"</formula>
    </cfRule>
  </conditionalFormatting>
  <conditionalFormatting sqref="F337">
    <cfRule type="cellIs" dxfId="2737" priority="1028" operator="equal">
      <formula>"3-001-2214"</formula>
    </cfRule>
    <cfRule type="cellIs" dxfId="2736" priority="1029" operator="equal">
      <formula>"3-001-5204"</formula>
    </cfRule>
    <cfRule type="cellIs" dxfId="2735" priority="1030" operator="equal">
      <formula>"3-001-0002"</formula>
    </cfRule>
  </conditionalFormatting>
  <conditionalFormatting sqref="AS337">
    <cfRule type="expression" dxfId="2734" priority="1031">
      <formula>IF(L337=AS337,1,0)</formula>
    </cfRule>
  </conditionalFormatting>
  <conditionalFormatting sqref="AS338">
    <cfRule type="expression" dxfId="2733" priority="1027">
      <formula>IF(L338=AS338,1,0)</formula>
    </cfRule>
  </conditionalFormatting>
  <conditionalFormatting sqref="F338">
    <cfRule type="cellIs" dxfId="2732" priority="1024" operator="equal">
      <formula>"3-001-2214"</formula>
    </cfRule>
    <cfRule type="cellIs" dxfId="2731" priority="1025" operator="equal">
      <formula>"3-001-5204"</formula>
    </cfRule>
    <cfRule type="cellIs" dxfId="2730" priority="1026" operator="equal">
      <formula>"3-001-0002"</formula>
    </cfRule>
  </conditionalFormatting>
  <conditionalFormatting sqref="X213:X214">
    <cfRule type="cellIs" dxfId="2729" priority="1023" operator="notEqual">
      <formula>$L$212</formula>
    </cfRule>
  </conditionalFormatting>
  <conditionalFormatting sqref="AS265">
    <cfRule type="expression" dxfId="2728" priority="1022">
      <formula>IF(L265=AS265,1,0)</formula>
    </cfRule>
  </conditionalFormatting>
  <conditionalFormatting sqref="F265">
    <cfRule type="cellIs" dxfId="2727" priority="1019" operator="equal">
      <formula>"3-001-2214"</formula>
    </cfRule>
    <cfRule type="cellIs" dxfId="2726" priority="1020" operator="equal">
      <formula>"3-001-5204"</formula>
    </cfRule>
    <cfRule type="cellIs" dxfId="2725" priority="1021" operator="equal">
      <formula>"3-001-0002"</formula>
    </cfRule>
  </conditionalFormatting>
  <conditionalFormatting sqref="AS271">
    <cfRule type="expression" dxfId="2724" priority="1018">
      <formula>IF(L271=AS271,1,0)</formula>
    </cfRule>
  </conditionalFormatting>
  <conditionalFormatting sqref="F271">
    <cfRule type="cellIs" dxfId="2723" priority="1015" operator="equal">
      <formula>"3-001-2214"</formula>
    </cfRule>
    <cfRule type="cellIs" dxfId="2722" priority="1016" operator="equal">
      <formula>"3-001-5204"</formula>
    </cfRule>
    <cfRule type="cellIs" dxfId="2721" priority="1017" operator="equal">
      <formula>"3-001-0002"</formula>
    </cfRule>
  </conditionalFormatting>
  <conditionalFormatting sqref="AS43">
    <cfRule type="expression" dxfId="2720" priority="1014">
      <formula>IF(L43=AS43,1,0)</formula>
    </cfRule>
  </conditionalFormatting>
  <conditionalFormatting sqref="F43">
    <cfRule type="cellIs" dxfId="2719" priority="1011" operator="equal">
      <formula>"3-001-2214"</formula>
    </cfRule>
    <cfRule type="cellIs" dxfId="2718" priority="1012" operator="equal">
      <formula>"3-001-5204"</formula>
    </cfRule>
    <cfRule type="cellIs" dxfId="2717" priority="1013" operator="equal">
      <formula>"3-001-0002"</formula>
    </cfRule>
  </conditionalFormatting>
  <conditionalFormatting sqref="M386">
    <cfRule type="cellIs" dxfId="2716" priority="1010" operator="notEqual">
      <formula>$M$384</formula>
    </cfRule>
  </conditionalFormatting>
  <conditionalFormatting sqref="F5">
    <cfRule type="cellIs" dxfId="2715" priority="1007" operator="equal">
      <formula>"3-001-2214"</formula>
    </cfRule>
    <cfRule type="cellIs" dxfId="2714" priority="1008" operator="equal">
      <formula>"3-001-5204"</formula>
    </cfRule>
    <cfRule type="cellIs" dxfId="2713" priority="1009" operator="equal">
      <formula>"3-001-0002"</formula>
    </cfRule>
  </conditionalFormatting>
  <conditionalFormatting sqref="Q212">
    <cfRule type="cellIs" dxfId="2712" priority="1006" operator="notEqual">
      <formula>$Q$211</formula>
    </cfRule>
  </conditionalFormatting>
  <conditionalFormatting sqref="S212">
    <cfRule type="cellIs" dxfId="2711" priority="1005" operator="notEqual">
      <formula>$S$211</formula>
    </cfRule>
  </conditionalFormatting>
  <conditionalFormatting sqref="AS347">
    <cfRule type="expression" dxfId="2710" priority="1004">
      <formula>IF(L347=AS347,1,0)</formula>
    </cfRule>
  </conditionalFormatting>
  <conditionalFormatting sqref="AS348">
    <cfRule type="expression" dxfId="2709" priority="1003">
      <formula>IF(L348=AS348,1,0)</formula>
    </cfRule>
  </conditionalFormatting>
  <conditionalFormatting sqref="F281">
    <cfRule type="cellIs" dxfId="2708" priority="999" operator="equal">
      <formula>"3-001-2214"</formula>
    </cfRule>
    <cfRule type="cellIs" dxfId="2707" priority="1000" operator="equal">
      <formula>"3-001-5204"</formula>
    </cfRule>
    <cfRule type="cellIs" dxfId="2706" priority="1001" operator="equal">
      <formula>"3-001-0002"</formula>
    </cfRule>
  </conditionalFormatting>
  <conditionalFormatting sqref="AS281">
    <cfRule type="expression" dxfId="2705" priority="1002">
      <formula>IF(L281=AS281,1,0)</formula>
    </cfRule>
  </conditionalFormatting>
  <conditionalFormatting sqref="AS291">
    <cfRule type="expression" dxfId="2704" priority="998">
      <formula>IF(L291=AS291,1,0)</formula>
    </cfRule>
  </conditionalFormatting>
  <conditionalFormatting sqref="F291">
    <cfRule type="cellIs" dxfId="2703" priority="995" operator="equal">
      <formula>"3-001-2214"</formula>
    </cfRule>
    <cfRule type="cellIs" dxfId="2702" priority="996" operator="equal">
      <formula>"3-001-5204"</formula>
    </cfRule>
    <cfRule type="cellIs" dxfId="2701" priority="997" operator="equal">
      <formula>"3-001-0002"</formula>
    </cfRule>
  </conditionalFormatting>
  <conditionalFormatting sqref="AS292">
    <cfRule type="expression" dxfId="2700" priority="994">
      <formula>IF(L292=AS292,1,0)</formula>
    </cfRule>
  </conditionalFormatting>
  <conditionalFormatting sqref="F292">
    <cfRule type="cellIs" dxfId="2699" priority="991" operator="equal">
      <formula>"3-001-2214"</formula>
    </cfRule>
    <cfRule type="cellIs" dxfId="2698" priority="992" operator="equal">
      <formula>"3-001-5204"</formula>
    </cfRule>
    <cfRule type="cellIs" dxfId="2697" priority="993" operator="equal">
      <formula>"3-001-0002"</formula>
    </cfRule>
  </conditionalFormatting>
  <conditionalFormatting sqref="F137">
    <cfRule type="cellIs" dxfId="2696" priority="987" operator="equal">
      <formula>"3-001-2214"</formula>
    </cfRule>
    <cfRule type="cellIs" dxfId="2695" priority="988" operator="equal">
      <formula>"3-001-5204"</formula>
    </cfRule>
    <cfRule type="cellIs" dxfId="2694" priority="989" operator="equal">
      <formula>"3-001-0002"</formula>
    </cfRule>
  </conditionalFormatting>
  <conditionalFormatting sqref="AS137">
    <cfRule type="expression" dxfId="2693" priority="990">
      <formula>IF(L137=AS137,1,0)</formula>
    </cfRule>
  </conditionalFormatting>
  <conditionalFormatting sqref="F136">
    <cfRule type="cellIs" dxfId="2692" priority="983" operator="equal">
      <formula>"3-001-2214"</formula>
    </cfRule>
    <cfRule type="cellIs" dxfId="2691" priority="984" operator="equal">
      <formula>"3-001-5204"</formula>
    </cfRule>
    <cfRule type="cellIs" dxfId="2690" priority="985" operator="equal">
      <formula>"3-001-0002"</formula>
    </cfRule>
  </conditionalFormatting>
  <conditionalFormatting sqref="AS136">
    <cfRule type="expression" dxfId="2689" priority="986">
      <formula>IF(L136=AS136,1,0)</formula>
    </cfRule>
  </conditionalFormatting>
  <conditionalFormatting sqref="F135">
    <cfRule type="cellIs" dxfId="2688" priority="979" operator="equal">
      <formula>"3-001-2214"</formula>
    </cfRule>
    <cfRule type="cellIs" dxfId="2687" priority="980" operator="equal">
      <formula>"3-001-5204"</formula>
    </cfRule>
    <cfRule type="cellIs" dxfId="2686" priority="981" operator="equal">
      <formula>"3-001-0002"</formula>
    </cfRule>
  </conditionalFormatting>
  <conditionalFormatting sqref="AS135">
    <cfRule type="expression" dxfId="2685" priority="982">
      <formula>IF(L135=AS135,1,0)</formula>
    </cfRule>
  </conditionalFormatting>
  <conditionalFormatting sqref="AS13">
    <cfRule type="expression" dxfId="2684" priority="978">
      <formula>IF(L13=AS13,1,0)</formula>
    </cfRule>
  </conditionalFormatting>
  <conditionalFormatting sqref="F13">
    <cfRule type="cellIs" dxfId="2683" priority="975" operator="equal">
      <formula>"3-001-2214"</formula>
    </cfRule>
    <cfRule type="cellIs" dxfId="2682" priority="976" operator="equal">
      <formula>"3-001-5204"</formula>
    </cfRule>
    <cfRule type="cellIs" dxfId="2681" priority="977" operator="equal">
      <formula>"3-001-0002"</formula>
    </cfRule>
  </conditionalFormatting>
  <conditionalFormatting sqref="AS15">
    <cfRule type="expression" dxfId="2680" priority="974">
      <formula>IF(L15=AS15,1,0)</formula>
    </cfRule>
  </conditionalFormatting>
  <conditionalFormatting sqref="F15">
    <cfRule type="cellIs" dxfId="2679" priority="971" operator="equal">
      <formula>"3-001-2214"</formula>
    </cfRule>
    <cfRule type="cellIs" dxfId="2678" priority="972" operator="equal">
      <formula>"3-001-5204"</formula>
    </cfRule>
    <cfRule type="cellIs" dxfId="2677" priority="973" operator="equal">
      <formula>"3-001-0002"</formula>
    </cfRule>
  </conditionalFormatting>
  <conditionalFormatting sqref="AS293">
    <cfRule type="expression" dxfId="2676" priority="970">
      <formula>IF(L293=AS293,1,0)</formula>
    </cfRule>
  </conditionalFormatting>
  <conditionalFormatting sqref="F293">
    <cfRule type="cellIs" dxfId="2675" priority="967" operator="equal">
      <formula>"3-001-2214"</formula>
    </cfRule>
    <cfRule type="cellIs" dxfId="2674" priority="968" operator="equal">
      <formula>"3-001-5204"</formula>
    </cfRule>
    <cfRule type="cellIs" dxfId="2673" priority="969" operator="equal">
      <formula>"3-001-0002"</formula>
    </cfRule>
  </conditionalFormatting>
  <conditionalFormatting sqref="F88">
    <cfRule type="cellIs" dxfId="2672" priority="963" operator="equal">
      <formula>"3-001-2214"</formula>
    </cfRule>
    <cfRule type="cellIs" dxfId="2671" priority="964" operator="equal">
      <formula>"3-001-5204"</formula>
    </cfRule>
    <cfRule type="cellIs" dxfId="2670" priority="965" operator="equal">
      <formula>"3-001-0002"</formula>
    </cfRule>
  </conditionalFormatting>
  <conditionalFormatting sqref="AS88">
    <cfRule type="expression" dxfId="2669" priority="966">
      <formula>IF(L88=AS88,1,0)</formula>
    </cfRule>
  </conditionalFormatting>
  <conditionalFormatting sqref="F138">
    <cfRule type="cellIs" dxfId="2668" priority="959" operator="equal">
      <formula>"3-001-2214"</formula>
    </cfRule>
    <cfRule type="cellIs" dxfId="2667" priority="960" operator="equal">
      <formula>"3-001-5204"</formula>
    </cfRule>
    <cfRule type="cellIs" dxfId="2666" priority="961" operator="equal">
      <formula>"3-001-0002"</formula>
    </cfRule>
  </conditionalFormatting>
  <conditionalFormatting sqref="AS138">
    <cfRule type="expression" dxfId="2665" priority="962">
      <formula>IF(L138=AS138,1,0)</formula>
    </cfRule>
  </conditionalFormatting>
  <conditionalFormatting sqref="AS326">
    <cfRule type="expression" dxfId="2664" priority="958">
      <formula>IF(L326=AS326,1,0)</formula>
    </cfRule>
  </conditionalFormatting>
  <conditionalFormatting sqref="F326">
    <cfRule type="cellIs" dxfId="2663" priority="955" operator="equal">
      <formula>"3-001-2214"</formula>
    </cfRule>
    <cfRule type="cellIs" dxfId="2662" priority="956" operator="equal">
      <formula>"3-001-5204"</formula>
    </cfRule>
    <cfRule type="cellIs" dxfId="2661" priority="957" operator="equal">
      <formula>"3-001-0002"</formula>
    </cfRule>
  </conditionalFormatting>
  <conditionalFormatting sqref="F327">
    <cfRule type="cellIs" dxfId="2660" priority="951" operator="equal">
      <formula>"3-001-2214"</formula>
    </cfRule>
    <cfRule type="cellIs" dxfId="2659" priority="952" operator="equal">
      <formula>"3-001-5204"</formula>
    </cfRule>
    <cfRule type="cellIs" dxfId="2658" priority="953" operator="equal">
      <formula>"3-001-0002"</formula>
    </cfRule>
  </conditionalFormatting>
  <conditionalFormatting sqref="AS327">
    <cfRule type="expression" dxfId="2657" priority="954">
      <formula>IF(L327=AS327,1,0)</formula>
    </cfRule>
  </conditionalFormatting>
  <conditionalFormatting sqref="AS329">
    <cfRule type="expression" dxfId="2656" priority="950">
      <formula>IF(L329=AS329,1,0)</formula>
    </cfRule>
  </conditionalFormatting>
  <conditionalFormatting sqref="F329">
    <cfRule type="cellIs" dxfId="2655" priority="947" operator="equal">
      <formula>"3-001-2214"</formula>
    </cfRule>
    <cfRule type="cellIs" dxfId="2654" priority="948" operator="equal">
      <formula>"3-001-5204"</formula>
    </cfRule>
    <cfRule type="cellIs" dxfId="2653" priority="949" operator="equal">
      <formula>"3-001-0002"</formula>
    </cfRule>
  </conditionalFormatting>
  <conditionalFormatting sqref="AS353">
    <cfRule type="expression" dxfId="2652" priority="946">
      <formula>IF(L353=AS353,1,0)</formula>
    </cfRule>
  </conditionalFormatting>
  <conditionalFormatting sqref="F353">
    <cfRule type="cellIs" dxfId="2651" priority="943" operator="equal">
      <formula>"3-001-2214"</formula>
    </cfRule>
    <cfRule type="cellIs" dxfId="2650" priority="944" operator="equal">
      <formula>"3-001-5204"</formula>
    </cfRule>
    <cfRule type="cellIs" dxfId="2649" priority="945" operator="equal">
      <formula>"3-001-0002"</formula>
    </cfRule>
  </conditionalFormatting>
  <conditionalFormatting sqref="F354">
    <cfRule type="cellIs" dxfId="2648" priority="939" operator="equal">
      <formula>"3-001-2214"</formula>
    </cfRule>
    <cfRule type="cellIs" dxfId="2647" priority="940" operator="equal">
      <formula>"3-001-5204"</formula>
    </cfRule>
    <cfRule type="cellIs" dxfId="2646" priority="941" operator="equal">
      <formula>"3-001-0002"</formula>
    </cfRule>
  </conditionalFormatting>
  <conditionalFormatting sqref="AS354">
    <cfRule type="expression" dxfId="2645" priority="942">
      <formula>IF(L354=AS354,1,0)</formula>
    </cfRule>
  </conditionalFormatting>
  <conditionalFormatting sqref="AS374">
    <cfRule type="expression" dxfId="2644" priority="938">
      <formula>IF(L374=AS374,1,0)</formula>
    </cfRule>
  </conditionalFormatting>
  <conditionalFormatting sqref="F374">
    <cfRule type="cellIs" dxfId="2643" priority="935" operator="equal">
      <formula>"3-001-2214"</formula>
    </cfRule>
    <cfRule type="cellIs" dxfId="2642" priority="936" operator="equal">
      <formula>"3-001-5204"</formula>
    </cfRule>
    <cfRule type="cellIs" dxfId="2641" priority="937" operator="equal">
      <formula>"3-001-0002"</formula>
    </cfRule>
  </conditionalFormatting>
  <conditionalFormatting sqref="F348">
    <cfRule type="cellIs" dxfId="2640" priority="932" operator="equal">
      <formula>"3-001-2214"</formula>
    </cfRule>
    <cfRule type="cellIs" dxfId="2639" priority="933" operator="equal">
      <formula>"3-001-5204"</formula>
    </cfRule>
    <cfRule type="cellIs" dxfId="2638" priority="934" operator="equal">
      <formula>"3-001-0002"</formula>
    </cfRule>
  </conditionalFormatting>
  <conditionalFormatting sqref="F347">
    <cfRule type="cellIs" dxfId="2637" priority="929" operator="equal">
      <formula>"3-001-2214"</formula>
    </cfRule>
    <cfRule type="cellIs" dxfId="2636" priority="930" operator="equal">
      <formula>"3-001-5204"</formula>
    </cfRule>
    <cfRule type="cellIs" dxfId="2635" priority="931" operator="equal">
      <formula>"3-001-0002"</formula>
    </cfRule>
  </conditionalFormatting>
  <conditionalFormatting sqref="F356">
    <cfRule type="cellIs" dxfId="2634" priority="925" operator="equal">
      <formula>"3-001-2214"</formula>
    </cfRule>
    <cfRule type="cellIs" dxfId="2633" priority="926" operator="equal">
      <formula>"3-001-5204"</formula>
    </cfRule>
    <cfRule type="cellIs" dxfId="2632" priority="927" operator="equal">
      <formula>"3-001-0002"</formula>
    </cfRule>
  </conditionalFormatting>
  <conditionalFormatting sqref="AS356">
    <cfRule type="expression" dxfId="2631" priority="928">
      <formula>IF(L356=AS356,1,0)</formula>
    </cfRule>
  </conditionalFormatting>
  <conditionalFormatting sqref="AW212:AX212">
    <cfRule type="cellIs" dxfId="2630" priority="924" operator="notEqual">
      <formula>$AW$211</formula>
    </cfRule>
  </conditionalFormatting>
  <conditionalFormatting sqref="F89">
    <cfRule type="cellIs" dxfId="2629" priority="920" operator="equal">
      <formula>"3-001-2214"</formula>
    </cfRule>
    <cfRule type="cellIs" dxfId="2628" priority="921" operator="equal">
      <formula>"3-001-5204"</formula>
    </cfRule>
    <cfRule type="cellIs" dxfId="2627" priority="922" operator="equal">
      <formula>"3-001-0002"</formula>
    </cfRule>
  </conditionalFormatting>
  <conditionalFormatting sqref="AS89">
    <cfRule type="expression" dxfId="2626" priority="923">
      <formula>IF(L89=AS89,1,0)</formula>
    </cfRule>
  </conditionalFormatting>
  <conditionalFormatting sqref="O212">
    <cfRule type="cellIs" dxfId="2625" priority="919" operator="notEqual">
      <formula>$O$211</formula>
    </cfRule>
  </conditionalFormatting>
  <conditionalFormatting sqref="AS310">
    <cfRule type="expression" dxfId="2624" priority="918">
      <formula>IF(L310=AS310,1,0)</formula>
    </cfRule>
  </conditionalFormatting>
  <conditionalFormatting sqref="F310">
    <cfRule type="cellIs" dxfId="2623" priority="915" operator="equal">
      <formula>"3-001-2214"</formula>
    </cfRule>
    <cfRule type="cellIs" dxfId="2622" priority="916" operator="equal">
      <formula>"3-001-5204"</formula>
    </cfRule>
    <cfRule type="cellIs" dxfId="2621" priority="917" operator="equal">
      <formula>"3-001-0002"</formula>
    </cfRule>
  </conditionalFormatting>
  <conditionalFormatting sqref="AS23">
    <cfRule type="expression" dxfId="2620" priority="914">
      <formula>IF(L23=AS23,1,0)</formula>
    </cfRule>
  </conditionalFormatting>
  <conditionalFormatting sqref="F23">
    <cfRule type="cellIs" dxfId="2619" priority="911" operator="equal">
      <formula>"3-001-2214"</formula>
    </cfRule>
    <cfRule type="cellIs" dxfId="2618" priority="912" operator="equal">
      <formula>"3-001-5204"</formula>
    </cfRule>
    <cfRule type="cellIs" dxfId="2617" priority="913" operator="equal">
      <formula>"3-001-0002"</formula>
    </cfRule>
  </conditionalFormatting>
  <conditionalFormatting sqref="F355">
    <cfRule type="cellIs" dxfId="2616" priority="907" operator="equal">
      <formula>"3-001-2214"</formula>
    </cfRule>
    <cfRule type="cellIs" dxfId="2615" priority="908" operator="equal">
      <formula>"3-001-5204"</formula>
    </cfRule>
    <cfRule type="cellIs" dxfId="2614" priority="909" operator="equal">
      <formula>"3-001-0002"</formula>
    </cfRule>
  </conditionalFormatting>
  <conditionalFormatting sqref="AS355">
    <cfRule type="expression" dxfId="2613" priority="910">
      <formula>IF(L355=AS355,1,0)</formula>
    </cfRule>
  </conditionalFormatting>
  <conditionalFormatting sqref="AS27">
    <cfRule type="expression" dxfId="2612" priority="906">
      <formula>IF(L27=AS27,1,0)</formula>
    </cfRule>
  </conditionalFormatting>
  <conditionalFormatting sqref="F27">
    <cfRule type="cellIs" dxfId="2611" priority="903" operator="equal">
      <formula>"3-001-2214"</formula>
    </cfRule>
    <cfRule type="cellIs" dxfId="2610" priority="904" operator="equal">
      <formula>"3-001-5204"</formula>
    </cfRule>
    <cfRule type="cellIs" dxfId="2609" priority="905" operator="equal">
      <formula>"3-001-0002"</formula>
    </cfRule>
  </conditionalFormatting>
  <conditionalFormatting sqref="AS378">
    <cfRule type="expression" dxfId="2608" priority="902">
      <formula>IF(L378=AS378,1,0)</formula>
    </cfRule>
  </conditionalFormatting>
  <conditionalFormatting sqref="F378">
    <cfRule type="cellIs" dxfId="2607" priority="899" operator="equal">
      <formula>"3-001-2214"</formula>
    </cfRule>
    <cfRule type="cellIs" dxfId="2606" priority="900" operator="equal">
      <formula>"3-001-5204"</formula>
    </cfRule>
    <cfRule type="cellIs" dxfId="2605" priority="901" operator="equal">
      <formula>"3-001-0002"</formula>
    </cfRule>
  </conditionalFormatting>
  <conditionalFormatting sqref="AS376">
    <cfRule type="expression" dxfId="2604" priority="898">
      <formula>IF(L376=AS376,1,0)</formula>
    </cfRule>
  </conditionalFormatting>
  <conditionalFormatting sqref="F376">
    <cfRule type="cellIs" dxfId="2603" priority="895" operator="equal">
      <formula>"3-001-2214"</formula>
    </cfRule>
    <cfRule type="cellIs" dxfId="2602" priority="896" operator="equal">
      <formula>"3-001-5204"</formula>
    </cfRule>
    <cfRule type="cellIs" dxfId="2601" priority="897" operator="equal">
      <formula>"3-001-0002"</formula>
    </cfRule>
  </conditionalFormatting>
  <conditionalFormatting sqref="AS377">
    <cfRule type="expression" dxfId="2600" priority="894">
      <formula>IF(L377=AS377,1,0)</formula>
    </cfRule>
  </conditionalFormatting>
  <conditionalFormatting sqref="F377">
    <cfRule type="cellIs" dxfId="2599" priority="891" operator="equal">
      <formula>"3-001-2214"</formula>
    </cfRule>
    <cfRule type="cellIs" dxfId="2598" priority="892" operator="equal">
      <formula>"3-001-5204"</formula>
    </cfRule>
    <cfRule type="cellIs" dxfId="2597" priority="893" operator="equal">
      <formula>"3-001-0002"</formula>
    </cfRule>
  </conditionalFormatting>
  <conditionalFormatting sqref="F359">
    <cfRule type="cellIs" dxfId="2596" priority="887" operator="equal">
      <formula>"3-001-2214"</formula>
    </cfRule>
    <cfRule type="cellIs" dxfId="2595" priority="888" operator="equal">
      <formula>"3-001-5204"</formula>
    </cfRule>
    <cfRule type="cellIs" dxfId="2594" priority="889" operator="equal">
      <formula>"3-001-0002"</formula>
    </cfRule>
  </conditionalFormatting>
  <conditionalFormatting sqref="AS359">
    <cfRule type="expression" dxfId="2593" priority="890">
      <formula>IF(L359=AS359,1,0)</formula>
    </cfRule>
  </conditionalFormatting>
  <conditionalFormatting sqref="F360">
    <cfRule type="cellIs" dxfId="2592" priority="883" operator="equal">
      <formula>"3-001-2214"</formula>
    </cfRule>
    <cfRule type="cellIs" dxfId="2591" priority="884" operator="equal">
      <formula>"3-001-5204"</formula>
    </cfRule>
    <cfRule type="cellIs" dxfId="2590" priority="885" operator="equal">
      <formula>"3-001-0002"</formula>
    </cfRule>
  </conditionalFormatting>
  <conditionalFormatting sqref="AS360">
    <cfRule type="expression" dxfId="2589" priority="886">
      <formula>IF(L360=AS360,1,0)</formula>
    </cfRule>
  </conditionalFormatting>
  <conditionalFormatting sqref="F357">
    <cfRule type="cellIs" dxfId="2588" priority="879" operator="equal">
      <formula>"3-001-2214"</formula>
    </cfRule>
    <cfRule type="cellIs" dxfId="2587" priority="880" operator="equal">
      <formula>"3-001-5204"</formula>
    </cfRule>
    <cfRule type="cellIs" dxfId="2586" priority="881" operator="equal">
      <formula>"3-001-0002"</formula>
    </cfRule>
  </conditionalFormatting>
  <conditionalFormatting sqref="AS357">
    <cfRule type="expression" dxfId="2585" priority="882">
      <formula>IF(L357=AS357,1,0)</formula>
    </cfRule>
  </conditionalFormatting>
  <conditionalFormatting sqref="O386">
    <cfRule type="cellIs" dxfId="2584" priority="878" operator="notEqual">
      <formula>$O$384</formula>
    </cfRule>
  </conditionalFormatting>
  <conditionalFormatting sqref="AS26">
    <cfRule type="expression" dxfId="2583" priority="877">
      <formula>IF(L26=AS26,1,0)</formula>
    </cfRule>
  </conditionalFormatting>
  <conditionalFormatting sqref="F26">
    <cfRule type="cellIs" dxfId="2582" priority="874" operator="equal">
      <formula>"3-001-2214"</formula>
    </cfRule>
    <cfRule type="cellIs" dxfId="2581" priority="875" operator="equal">
      <formula>"3-001-5204"</formula>
    </cfRule>
    <cfRule type="cellIs" dxfId="2580" priority="876" operator="equal">
      <formula>"3-001-0002"</formula>
    </cfRule>
  </conditionalFormatting>
  <conditionalFormatting sqref="AS316">
    <cfRule type="expression" dxfId="2579" priority="873">
      <formula>IF(L316=AS316,1,0)</formula>
    </cfRule>
  </conditionalFormatting>
  <conditionalFormatting sqref="F316">
    <cfRule type="cellIs" dxfId="2578" priority="870" operator="equal">
      <formula>"3-001-2214"</formula>
    </cfRule>
    <cfRule type="cellIs" dxfId="2577" priority="871" operator="equal">
      <formula>"3-001-5204"</formula>
    </cfRule>
    <cfRule type="cellIs" dxfId="2576" priority="872" operator="equal">
      <formula>"3-001-0002"</formula>
    </cfRule>
  </conditionalFormatting>
  <conditionalFormatting sqref="F322">
    <cfRule type="cellIs" dxfId="2575" priority="866" operator="equal">
      <formula>"3-001-2214"</formula>
    </cfRule>
    <cfRule type="cellIs" dxfId="2574" priority="867" operator="equal">
      <formula>"3-001-5204"</formula>
    </cfRule>
    <cfRule type="cellIs" dxfId="2573" priority="868" operator="equal">
      <formula>"3-001-0002"</formula>
    </cfRule>
  </conditionalFormatting>
  <conditionalFormatting sqref="AS322">
    <cfRule type="expression" dxfId="2572" priority="869">
      <formula>IF(L322=AS322,1,0)</formula>
    </cfRule>
  </conditionalFormatting>
  <conditionalFormatting sqref="F317">
    <cfRule type="cellIs" dxfId="2571" priority="862" operator="equal">
      <formula>"3-001-2214"</formula>
    </cfRule>
    <cfRule type="cellIs" dxfId="2570" priority="863" operator="equal">
      <formula>"3-001-5204"</formula>
    </cfRule>
    <cfRule type="cellIs" dxfId="2569" priority="864" operator="equal">
      <formula>"3-001-0002"</formula>
    </cfRule>
  </conditionalFormatting>
  <conditionalFormatting sqref="AS317">
    <cfRule type="expression" dxfId="2568" priority="865">
      <formula>IF(L317=AS317,1,0)</formula>
    </cfRule>
  </conditionalFormatting>
  <conditionalFormatting sqref="F318">
    <cfRule type="cellIs" dxfId="2567" priority="858" operator="equal">
      <formula>"3-001-2214"</formula>
    </cfRule>
    <cfRule type="cellIs" dxfId="2566" priority="859" operator="equal">
      <formula>"3-001-5204"</formula>
    </cfRule>
    <cfRule type="cellIs" dxfId="2565" priority="860" operator="equal">
      <formula>"3-001-0002"</formula>
    </cfRule>
  </conditionalFormatting>
  <conditionalFormatting sqref="AS318">
    <cfRule type="expression" dxfId="2564" priority="861">
      <formula>IF(L318=AS318,1,0)</formula>
    </cfRule>
  </conditionalFormatting>
  <conditionalFormatting sqref="AS25">
    <cfRule type="expression" dxfId="2563" priority="857">
      <formula>IF(L25=AS25,1,0)</formula>
    </cfRule>
  </conditionalFormatting>
  <conditionalFormatting sqref="F25">
    <cfRule type="cellIs" dxfId="2562" priority="854" operator="equal">
      <formula>"3-001-2214"</formula>
    </cfRule>
    <cfRule type="cellIs" dxfId="2561" priority="855" operator="equal">
      <formula>"3-001-5204"</formula>
    </cfRule>
    <cfRule type="cellIs" dxfId="2560" priority="856" operator="equal">
      <formula>"3-001-0002"</formula>
    </cfRule>
  </conditionalFormatting>
  <conditionalFormatting sqref="AS24">
    <cfRule type="expression" dxfId="2559" priority="853">
      <formula>IF(L24=AS24,1,0)</formula>
    </cfRule>
  </conditionalFormatting>
  <conditionalFormatting sqref="F24">
    <cfRule type="cellIs" dxfId="2558" priority="850" operator="equal">
      <formula>"3-001-2214"</formula>
    </cfRule>
    <cfRule type="cellIs" dxfId="2557" priority="851" operator="equal">
      <formula>"3-001-5204"</formula>
    </cfRule>
    <cfRule type="cellIs" dxfId="2556" priority="852" operator="equal">
      <formula>"3-001-0002"</formula>
    </cfRule>
  </conditionalFormatting>
  <conditionalFormatting sqref="F90">
    <cfRule type="cellIs" dxfId="2555" priority="846" operator="equal">
      <formula>"3-001-2214"</formula>
    </cfRule>
    <cfRule type="cellIs" dxfId="2554" priority="847" operator="equal">
      <formula>"3-001-5204"</formula>
    </cfRule>
    <cfRule type="cellIs" dxfId="2553" priority="848" operator="equal">
      <formula>"3-001-0002"</formula>
    </cfRule>
  </conditionalFormatting>
  <conditionalFormatting sqref="AS90">
    <cfRule type="expression" dxfId="2552" priority="849">
      <formula>IF(L90=AS90,1,0)</formula>
    </cfRule>
  </conditionalFormatting>
  <conditionalFormatting sqref="F91">
    <cfRule type="cellIs" dxfId="2551" priority="842" operator="equal">
      <formula>"3-001-2214"</formula>
    </cfRule>
    <cfRule type="cellIs" dxfId="2550" priority="843" operator="equal">
      <formula>"3-001-5204"</formula>
    </cfRule>
    <cfRule type="cellIs" dxfId="2549" priority="844" operator="equal">
      <formula>"3-001-0002"</formula>
    </cfRule>
  </conditionalFormatting>
  <conditionalFormatting sqref="AS91">
    <cfRule type="expression" dxfId="2548" priority="845">
      <formula>IF(L91=AS91,1,0)</formula>
    </cfRule>
  </conditionalFormatting>
  <conditionalFormatting sqref="F92">
    <cfRule type="cellIs" dxfId="2547" priority="838" operator="equal">
      <formula>"3-001-2214"</formula>
    </cfRule>
    <cfRule type="cellIs" dxfId="2546" priority="839" operator="equal">
      <formula>"3-001-5204"</formula>
    </cfRule>
    <cfRule type="cellIs" dxfId="2545" priority="840" operator="equal">
      <formula>"3-001-0002"</formula>
    </cfRule>
  </conditionalFormatting>
  <conditionalFormatting sqref="AS92">
    <cfRule type="expression" dxfId="2544" priority="841">
      <formula>IF(L92=AS92,1,0)</formula>
    </cfRule>
  </conditionalFormatting>
  <conditionalFormatting sqref="F140">
    <cfRule type="cellIs" dxfId="2543" priority="834" operator="equal">
      <formula>"3-001-2214"</formula>
    </cfRule>
    <cfRule type="cellIs" dxfId="2542" priority="835" operator="equal">
      <formula>"3-001-5204"</formula>
    </cfRule>
    <cfRule type="cellIs" dxfId="2541" priority="836" operator="equal">
      <formula>"3-001-0002"</formula>
    </cfRule>
  </conditionalFormatting>
  <conditionalFormatting sqref="AS140">
    <cfRule type="expression" dxfId="2540" priority="837">
      <formula>IF(L140=AS140,1,0)</formula>
    </cfRule>
  </conditionalFormatting>
  <conditionalFormatting sqref="F139">
    <cfRule type="cellIs" dxfId="2539" priority="830" operator="equal">
      <formula>"3-001-2214"</formula>
    </cfRule>
    <cfRule type="cellIs" dxfId="2538" priority="831" operator="equal">
      <formula>"3-001-5204"</formula>
    </cfRule>
    <cfRule type="cellIs" dxfId="2537" priority="832" operator="equal">
      <formula>"3-001-0002"</formula>
    </cfRule>
  </conditionalFormatting>
  <conditionalFormatting sqref="AS139">
    <cfRule type="expression" dxfId="2536" priority="833">
      <formula>IF(L139=AS139,1,0)</formula>
    </cfRule>
  </conditionalFormatting>
  <conditionalFormatting sqref="F141">
    <cfRule type="cellIs" dxfId="2535" priority="826" operator="equal">
      <formula>"3-001-2214"</formula>
    </cfRule>
    <cfRule type="cellIs" dxfId="2534" priority="827" operator="equal">
      <formula>"3-001-5204"</formula>
    </cfRule>
    <cfRule type="cellIs" dxfId="2533" priority="828" operator="equal">
      <formula>"3-001-0002"</formula>
    </cfRule>
  </conditionalFormatting>
  <conditionalFormatting sqref="AS141">
    <cfRule type="expression" dxfId="2532" priority="829">
      <formula>IF(L141=AS141,1,0)</formula>
    </cfRule>
  </conditionalFormatting>
  <conditionalFormatting sqref="F142">
    <cfRule type="cellIs" dxfId="2531" priority="822" operator="equal">
      <formula>"3-001-2214"</formula>
    </cfRule>
    <cfRule type="cellIs" dxfId="2530" priority="823" operator="equal">
      <formula>"3-001-5204"</formula>
    </cfRule>
    <cfRule type="cellIs" dxfId="2529" priority="824" operator="equal">
      <formula>"3-001-0002"</formula>
    </cfRule>
  </conditionalFormatting>
  <conditionalFormatting sqref="AS142">
    <cfRule type="expression" dxfId="2528" priority="825">
      <formula>IF(L142=AS142,1,0)</formula>
    </cfRule>
  </conditionalFormatting>
  <conditionalFormatting sqref="F143">
    <cfRule type="cellIs" dxfId="2527" priority="818" operator="equal">
      <formula>"3-001-2214"</formula>
    </cfRule>
    <cfRule type="cellIs" dxfId="2526" priority="819" operator="equal">
      <formula>"3-001-5204"</formula>
    </cfRule>
    <cfRule type="cellIs" dxfId="2525" priority="820" operator="equal">
      <formula>"3-001-0002"</formula>
    </cfRule>
  </conditionalFormatting>
  <conditionalFormatting sqref="AS143">
    <cfRule type="expression" dxfId="2524" priority="821">
      <formula>IF(L143=AS143,1,0)</formula>
    </cfRule>
  </conditionalFormatting>
  <conditionalFormatting sqref="F144">
    <cfRule type="cellIs" dxfId="2523" priority="814" operator="equal">
      <formula>"3-001-2214"</formula>
    </cfRule>
    <cfRule type="cellIs" dxfId="2522" priority="815" operator="equal">
      <formula>"3-001-5204"</formula>
    </cfRule>
    <cfRule type="cellIs" dxfId="2521" priority="816" operator="equal">
      <formula>"3-001-0002"</formula>
    </cfRule>
  </conditionalFormatting>
  <conditionalFormatting sqref="AS144">
    <cfRule type="expression" dxfId="2520" priority="817">
      <formula>IF(L144=AS144,1,0)</formula>
    </cfRule>
  </conditionalFormatting>
  <conditionalFormatting sqref="AS268">
    <cfRule type="expression" dxfId="2519" priority="813">
      <formula>IF(L268=AS268,1,0)</formula>
    </cfRule>
  </conditionalFormatting>
  <conditionalFormatting sqref="F268">
    <cfRule type="cellIs" dxfId="2518" priority="810" operator="equal">
      <formula>"3-001-2214"</formula>
    </cfRule>
    <cfRule type="cellIs" dxfId="2517" priority="811" operator="equal">
      <formula>"3-001-5204"</formula>
    </cfRule>
    <cfRule type="cellIs" dxfId="2516" priority="812" operator="equal">
      <formula>"3-001-0002"</formula>
    </cfRule>
  </conditionalFormatting>
  <conditionalFormatting sqref="AS296">
    <cfRule type="expression" dxfId="2515" priority="809">
      <formula>IF(L296=AS296,1,0)</formula>
    </cfRule>
  </conditionalFormatting>
  <conditionalFormatting sqref="F296">
    <cfRule type="cellIs" dxfId="2514" priority="806" operator="equal">
      <formula>"3-001-2214"</formula>
    </cfRule>
    <cfRule type="cellIs" dxfId="2513" priority="807" operator="equal">
      <formula>"3-001-5204"</formula>
    </cfRule>
    <cfRule type="cellIs" dxfId="2512" priority="808" operator="equal">
      <formula>"3-001-0002"</formula>
    </cfRule>
  </conditionalFormatting>
  <conditionalFormatting sqref="F288">
    <cfRule type="cellIs" dxfId="2511" priority="802" operator="equal">
      <formula>"3-001-2214"</formula>
    </cfRule>
    <cfRule type="cellIs" dxfId="2510" priority="803" operator="equal">
      <formula>"3-001-5204"</formula>
    </cfRule>
    <cfRule type="cellIs" dxfId="2509" priority="804" operator="equal">
      <formula>"3-001-0002"</formula>
    </cfRule>
  </conditionalFormatting>
  <conditionalFormatting sqref="AS288">
    <cfRule type="expression" dxfId="2508" priority="805">
      <formula>IF(L288=AS288,1,0)</formula>
    </cfRule>
  </conditionalFormatting>
  <conditionalFormatting sqref="F361">
    <cfRule type="cellIs" dxfId="2507" priority="798" operator="equal">
      <formula>"3-001-2214"</formula>
    </cfRule>
    <cfRule type="cellIs" dxfId="2506" priority="799" operator="equal">
      <formula>"3-001-5204"</formula>
    </cfRule>
    <cfRule type="cellIs" dxfId="2505" priority="800" operator="equal">
      <formula>"3-001-0002"</formula>
    </cfRule>
  </conditionalFormatting>
  <conditionalFormatting sqref="AS361">
    <cfRule type="expression" dxfId="2504" priority="801">
      <formula>IF(L361=AS361,1,0)</formula>
    </cfRule>
  </conditionalFormatting>
  <conditionalFormatting sqref="F146">
    <cfRule type="cellIs" dxfId="2503" priority="794" operator="equal">
      <formula>"3-001-2214"</formula>
    </cfRule>
    <cfRule type="cellIs" dxfId="2502" priority="795" operator="equal">
      <formula>"3-001-5204"</formula>
    </cfRule>
    <cfRule type="cellIs" dxfId="2501" priority="796" operator="equal">
      <formula>"3-001-0002"</formula>
    </cfRule>
  </conditionalFormatting>
  <conditionalFormatting sqref="AS146">
    <cfRule type="expression" dxfId="2500" priority="797">
      <formula>IF(L146=AS146,1,0)</formula>
    </cfRule>
  </conditionalFormatting>
  <conditionalFormatting sqref="F150">
    <cfRule type="cellIs" dxfId="2499" priority="790" operator="equal">
      <formula>"3-001-2214"</formula>
    </cfRule>
    <cfRule type="cellIs" dxfId="2498" priority="791" operator="equal">
      <formula>"3-001-5204"</formula>
    </cfRule>
    <cfRule type="cellIs" dxfId="2497" priority="792" operator="equal">
      <formula>"3-001-0002"</formula>
    </cfRule>
  </conditionalFormatting>
  <conditionalFormatting sqref="AS150">
    <cfRule type="expression" dxfId="2496" priority="793">
      <formula>IF(L150=AS150,1,0)</formula>
    </cfRule>
  </conditionalFormatting>
  <conditionalFormatting sqref="F145">
    <cfRule type="cellIs" dxfId="2495" priority="786" operator="equal">
      <formula>"3-001-2214"</formula>
    </cfRule>
    <cfRule type="cellIs" dxfId="2494" priority="787" operator="equal">
      <formula>"3-001-5204"</formula>
    </cfRule>
    <cfRule type="cellIs" dxfId="2493" priority="788" operator="equal">
      <formula>"3-001-0002"</formula>
    </cfRule>
  </conditionalFormatting>
  <conditionalFormatting sqref="AS145">
    <cfRule type="expression" dxfId="2492" priority="789">
      <formula>IF(L145=AS145,1,0)</formula>
    </cfRule>
  </conditionalFormatting>
  <conditionalFormatting sqref="F282">
    <cfRule type="cellIs" dxfId="2491" priority="782" operator="equal">
      <formula>"3-001-2214"</formula>
    </cfRule>
    <cfRule type="cellIs" dxfId="2490" priority="783" operator="equal">
      <formula>"3-001-5204"</formula>
    </cfRule>
    <cfRule type="cellIs" dxfId="2489" priority="784" operator="equal">
      <formula>"3-001-0002"</formula>
    </cfRule>
  </conditionalFormatting>
  <conditionalFormatting sqref="AS282">
    <cfRule type="expression" dxfId="2488" priority="785">
      <formula>IF(L282=AS282,1,0)</formula>
    </cfRule>
  </conditionalFormatting>
  <conditionalFormatting sqref="AS67">
    <cfRule type="expression" dxfId="2487" priority="781">
      <formula>IF(L67=AS67,1,0)</formula>
    </cfRule>
  </conditionalFormatting>
  <conditionalFormatting sqref="F67">
    <cfRule type="cellIs" dxfId="2486" priority="778" operator="equal">
      <formula>"3-001-2214"</formula>
    </cfRule>
    <cfRule type="cellIs" dxfId="2485" priority="779" operator="equal">
      <formula>"3-001-5204"</formula>
    </cfRule>
    <cfRule type="cellIs" dxfId="2484" priority="780" operator="equal">
      <formula>"3-001-0002"</formula>
    </cfRule>
  </conditionalFormatting>
  <conditionalFormatting sqref="F68">
    <cfRule type="cellIs" dxfId="2483" priority="770" operator="equal">
      <formula>"3-001-2214"</formula>
    </cfRule>
    <cfRule type="cellIs" dxfId="2482" priority="771" operator="equal">
      <formula>"3-001-5204"</formula>
    </cfRule>
    <cfRule type="cellIs" dxfId="2481" priority="772" operator="equal">
      <formula>"3-001-0002"</formula>
    </cfRule>
  </conditionalFormatting>
  <conditionalFormatting sqref="AS68">
    <cfRule type="expression" dxfId="2480" priority="773">
      <formula>IF(L68=AS68,1,0)</formula>
    </cfRule>
  </conditionalFormatting>
  <conditionalFormatting sqref="F69">
    <cfRule type="cellIs" dxfId="2479" priority="774" operator="equal">
      <formula>"3-001-2214"</formula>
    </cfRule>
    <cfRule type="cellIs" dxfId="2478" priority="775" operator="equal">
      <formula>"3-001-5204"</formula>
    </cfRule>
    <cfRule type="cellIs" dxfId="2477" priority="776" operator="equal">
      <formula>"3-001-0002"</formula>
    </cfRule>
  </conditionalFormatting>
  <conditionalFormatting sqref="AS69">
    <cfRule type="expression" dxfId="2476" priority="777">
      <formula>IF(L69=AS69,1,0)</formula>
    </cfRule>
  </conditionalFormatting>
  <conditionalFormatting sqref="AS64">
    <cfRule type="expression" dxfId="2475" priority="769">
      <formula>IF(L64=AS64,1,0)</formula>
    </cfRule>
  </conditionalFormatting>
  <conditionalFormatting sqref="F64">
    <cfRule type="cellIs" dxfId="2474" priority="766" operator="equal">
      <formula>"3-001-2214"</formula>
    </cfRule>
    <cfRule type="cellIs" dxfId="2473" priority="767" operator="equal">
      <formula>"3-001-5204"</formula>
    </cfRule>
    <cfRule type="cellIs" dxfId="2472" priority="768" operator="equal">
      <formula>"3-001-0002"</formula>
    </cfRule>
  </conditionalFormatting>
  <conditionalFormatting sqref="AS63">
    <cfRule type="expression" dxfId="2471" priority="765">
      <formula>IF(L63=AS63,1,0)</formula>
    </cfRule>
  </conditionalFormatting>
  <conditionalFormatting sqref="F63">
    <cfRule type="cellIs" dxfId="2470" priority="762" operator="equal">
      <formula>"3-001-2214"</formula>
    </cfRule>
    <cfRule type="cellIs" dxfId="2469" priority="763" operator="equal">
      <formula>"3-001-5204"</formula>
    </cfRule>
    <cfRule type="cellIs" dxfId="2468" priority="764" operator="equal">
      <formula>"3-001-0002"</formula>
    </cfRule>
  </conditionalFormatting>
  <conditionalFormatting sqref="F294">
    <cfRule type="cellIs" dxfId="2467" priority="758" operator="equal">
      <formula>"3-001-2214"</formula>
    </cfRule>
    <cfRule type="cellIs" dxfId="2466" priority="759" operator="equal">
      <formula>"3-001-5204"</formula>
    </cfRule>
    <cfRule type="cellIs" dxfId="2465" priority="760" operator="equal">
      <formula>"3-001-0002"</formula>
    </cfRule>
  </conditionalFormatting>
  <conditionalFormatting sqref="AS294">
    <cfRule type="expression" dxfId="2464" priority="761">
      <formula>IF(L294=AS294,1,0)</formula>
    </cfRule>
  </conditionalFormatting>
  <conditionalFormatting sqref="F295">
    <cfRule type="cellIs" dxfId="2463" priority="754" operator="equal">
      <formula>"3-001-2214"</formula>
    </cfRule>
    <cfRule type="cellIs" dxfId="2462" priority="755" operator="equal">
      <formula>"3-001-5204"</formula>
    </cfRule>
    <cfRule type="cellIs" dxfId="2461" priority="756" operator="equal">
      <formula>"3-001-0002"</formula>
    </cfRule>
  </conditionalFormatting>
  <conditionalFormatting sqref="AS295">
    <cfRule type="expression" dxfId="2460" priority="757">
      <formula>IF(L295=AS295,1,0)</formula>
    </cfRule>
  </conditionalFormatting>
  <conditionalFormatting sqref="F319">
    <cfRule type="cellIs" dxfId="2459" priority="750" operator="equal">
      <formula>"3-001-2214"</formula>
    </cfRule>
    <cfRule type="cellIs" dxfId="2458" priority="751" operator="equal">
      <formula>"3-001-5204"</formula>
    </cfRule>
    <cfRule type="cellIs" dxfId="2457" priority="752" operator="equal">
      <formula>"3-001-0002"</formula>
    </cfRule>
  </conditionalFormatting>
  <conditionalFormatting sqref="AS319">
    <cfRule type="expression" dxfId="2456" priority="753">
      <formula>IF(L319=AS319,1,0)</formula>
    </cfRule>
  </conditionalFormatting>
  <conditionalFormatting sqref="F358">
    <cfRule type="cellIs" dxfId="2455" priority="746" operator="equal">
      <formula>"3-001-2214"</formula>
    </cfRule>
    <cfRule type="cellIs" dxfId="2454" priority="747" operator="equal">
      <formula>"3-001-5204"</formula>
    </cfRule>
    <cfRule type="cellIs" dxfId="2453" priority="748" operator="equal">
      <formula>"3-001-0002"</formula>
    </cfRule>
  </conditionalFormatting>
  <conditionalFormatting sqref="AS358">
    <cfRule type="expression" dxfId="2452" priority="749">
      <formula>IF(L358=AS358,1,0)</formula>
    </cfRule>
  </conditionalFormatting>
  <conditionalFormatting sqref="F328">
    <cfRule type="cellIs" dxfId="2451" priority="742" operator="equal">
      <formula>"3-001-2214"</formula>
    </cfRule>
    <cfRule type="cellIs" dxfId="2450" priority="743" operator="equal">
      <formula>"3-001-5204"</formula>
    </cfRule>
    <cfRule type="cellIs" dxfId="2449" priority="744" operator="equal">
      <formula>"3-001-0002"</formula>
    </cfRule>
  </conditionalFormatting>
  <conditionalFormatting sqref="AS328">
    <cfRule type="expression" dxfId="2448" priority="745">
      <formula>IF(L328=AS328,1,0)</formula>
    </cfRule>
  </conditionalFormatting>
  <conditionalFormatting sqref="F363">
    <cfRule type="cellIs" dxfId="2447" priority="738" operator="equal">
      <formula>"3-001-2214"</formula>
    </cfRule>
    <cfRule type="cellIs" dxfId="2446" priority="739" operator="equal">
      <formula>"3-001-5204"</formula>
    </cfRule>
    <cfRule type="cellIs" dxfId="2445" priority="740" operator="equal">
      <formula>"3-001-0002"</formula>
    </cfRule>
  </conditionalFormatting>
  <conditionalFormatting sqref="AS363">
    <cfRule type="expression" dxfId="2444" priority="741">
      <formula>IF(L363=AS363,1,0)</formula>
    </cfRule>
  </conditionalFormatting>
  <conditionalFormatting sqref="AS349">
    <cfRule type="expression" dxfId="2443" priority="737">
      <formula>IF(L349=AS349,1,0)</formula>
    </cfRule>
  </conditionalFormatting>
  <conditionalFormatting sqref="F349">
    <cfRule type="cellIs" dxfId="2442" priority="734" operator="equal">
      <formula>"3-001-2214"</formula>
    </cfRule>
    <cfRule type="cellIs" dxfId="2441" priority="735" operator="equal">
      <formula>"3-001-5204"</formula>
    </cfRule>
    <cfRule type="cellIs" dxfId="2440" priority="736" operator="equal">
      <formula>"3-001-0002"</formula>
    </cfRule>
  </conditionalFormatting>
  <conditionalFormatting sqref="AS199">
    <cfRule type="expression" dxfId="2439" priority="733">
      <formula>IF(L199=AS199,1,0)</formula>
    </cfRule>
  </conditionalFormatting>
  <conditionalFormatting sqref="F199">
    <cfRule type="cellIs" dxfId="2438" priority="730" operator="equal">
      <formula>"3-001-2214"</formula>
    </cfRule>
    <cfRule type="cellIs" dxfId="2437" priority="731" operator="equal">
      <formula>"3-001-5204"</formula>
    </cfRule>
    <cfRule type="cellIs" dxfId="2436" priority="732" operator="equal">
      <formula>"3-001-0002"</formula>
    </cfRule>
  </conditionalFormatting>
  <conditionalFormatting sqref="F320">
    <cfRule type="cellIs" dxfId="2435" priority="726" operator="equal">
      <formula>"3-001-2214"</formula>
    </cfRule>
    <cfRule type="cellIs" dxfId="2434" priority="727" operator="equal">
      <formula>"3-001-5204"</formula>
    </cfRule>
    <cfRule type="cellIs" dxfId="2433" priority="728" operator="equal">
      <formula>"3-001-0002"</formula>
    </cfRule>
  </conditionalFormatting>
  <conditionalFormatting sqref="AS320">
    <cfRule type="expression" dxfId="2432" priority="729">
      <formula>IF(L320=AS320,1,0)</formula>
    </cfRule>
  </conditionalFormatting>
  <conditionalFormatting sqref="F21">
    <cfRule type="cellIs" dxfId="2431" priority="723" operator="equal">
      <formula>"3-001-2214"</formula>
    </cfRule>
    <cfRule type="cellIs" dxfId="2430" priority="724" operator="equal">
      <formula>"3-001-5204"</formula>
    </cfRule>
    <cfRule type="cellIs" dxfId="2429" priority="725" operator="equal">
      <formula>"3-001-0002"</formula>
    </cfRule>
  </conditionalFormatting>
  <conditionalFormatting sqref="AS66">
    <cfRule type="expression" dxfId="2428" priority="722">
      <formula>IF(L66=AS66,1,0)</formula>
    </cfRule>
  </conditionalFormatting>
  <conditionalFormatting sqref="F66">
    <cfRule type="cellIs" dxfId="2427" priority="719" operator="equal">
      <formula>"3-001-2214"</formula>
    </cfRule>
    <cfRule type="cellIs" dxfId="2426" priority="720" operator="equal">
      <formula>"3-001-5204"</formula>
    </cfRule>
    <cfRule type="cellIs" dxfId="2425" priority="721" operator="equal">
      <formula>"3-001-0002"</formula>
    </cfRule>
  </conditionalFormatting>
  <conditionalFormatting sqref="AS351">
    <cfRule type="expression" dxfId="2424" priority="718">
      <formula>IF(L351=AS351,1,0)</formula>
    </cfRule>
  </conditionalFormatting>
  <conditionalFormatting sqref="F351">
    <cfRule type="cellIs" dxfId="2423" priority="715" operator="equal">
      <formula>"3-001-2214"</formula>
    </cfRule>
    <cfRule type="cellIs" dxfId="2422" priority="716" operator="equal">
      <formula>"3-001-5204"</formula>
    </cfRule>
    <cfRule type="cellIs" dxfId="2421" priority="717" operator="equal">
      <formula>"3-001-0002"</formula>
    </cfRule>
  </conditionalFormatting>
  <conditionalFormatting sqref="AS350">
    <cfRule type="expression" dxfId="2420" priority="714">
      <formula>IF(L350=AS350,1,0)</formula>
    </cfRule>
  </conditionalFormatting>
  <conditionalFormatting sqref="F350">
    <cfRule type="cellIs" dxfId="2419" priority="711" operator="equal">
      <formula>"3-001-2214"</formula>
    </cfRule>
    <cfRule type="cellIs" dxfId="2418" priority="712" operator="equal">
      <formula>"3-001-5204"</formula>
    </cfRule>
    <cfRule type="cellIs" dxfId="2417" priority="713" operator="equal">
      <formula>"3-001-0002"</formula>
    </cfRule>
  </conditionalFormatting>
  <conditionalFormatting sqref="AS267">
    <cfRule type="expression" dxfId="2416" priority="710">
      <formula>IF(L267=AS267,1,0)</formula>
    </cfRule>
  </conditionalFormatting>
  <conditionalFormatting sqref="F267">
    <cfRule type="cellIs" dxfId="2415" priority="707" operator="equal">
      <formula>"3-001-2214"</formula>
    </cfRule>
    <cfRule type="cellIs" dxfId="2414" priority="708" operator="equal">
      <formula>"3-001-5204"</formula>
    </cfRule>
    <cfRule type="cellIs" dxfId="2413" priority="709" operator="equal">
      <formula>"3-001-0002"</formula>
    </cfRule>
  </conditionalFormatting>
  <conditionalFormatting sqref="F364">
    <cfRule type="cellIs" dxfId="2412" priority="703" operator="equal">
      <formula>"3-001-2214"</formula>
    </cfRule>
    <cfRule type="cellIs" dxfId="2411" priority="704" operator="equal">
      <formula>"3-001-5204"</formula>
    </cfRule>
    <cfRule type="cellIs" dxfId="2410" priority="705" operator="equal">
      <formula>"3-001-0002"</formula>
    </cfRule>
  </conditionalFormatting>
  <conditionalFormatting sqref="AS364">
    <cfRule type="expression" dxfId="2409" priority="706">
      <formula>IF(L364=AS364,1,0)</formula>
    </cfRule>
  </conditionalFormatting>
  <conditionalFormatting sqref="AS269">
    <cfRule type="expression" dxfId="2408" priority="702">
      <formula>IF(L269=AS269,1,0)</formula>
    </cfRule>
  </conditionalFormatting>
  <conditionalFormatting sqref="F269">
    <cfRule type="cellIs" dxfId="2407" priority="699" operator="equal">
      <formula>"3-001-2214"</formula>
    </cfRule>
    <cfRule type="cellIs" dxfId="2406" priority="700" operator="equal">
      <formula>"3-001-5204"</formula>
    </cfRule>
    <cfRule type="cellIs" dxfId="2405" priority="701" operator="equal">
      <formula>"3-001-0002"</formula>
    </cfRule>
  </conditionalFormatting>
  <conditionalFormatting sqref="F362">
    <cfRule type="cellIs" dxfId="2404" priority="695" operator="equal">
      <formula>"3-001-2214"</formula>
    </cfRule>
    <cfRule type="cellIs" dxfId="2403" priority="696" operator="equal">
      <formula>"3-001-5204"</formula>
    </cfRule>
    <cfRule type="cellIs" dxfId="2402" priority="697" operator="equal">
      <formula>"3-001-0002"</formula>
    </cfRule>
  </conditionalFormatting>
  <conditionalFormatting sqref="AS362">
    <cfRule type="expression" dxfId="2401" priority="698">
      <formula>IF(L362=AS362,1,0)</formula>
    </cfRule>
  </conditionalFormatting>
  <conditionalFormatting sqref="AS341">
    <cfRule type="expression" dxfId="2400" priority="694">
      <formula>IF(L341=AS341,1,0)</formula>
    </cfRule>
  </conditionalFormatting>
  <conditionalFormatting sqref="AS340">
    <cfRule type="expression" dxfId="2399" priority="693">
      <formula>IF(L340=AS340,1,0)</formula>
    </cfRule>
  </conditionalFormatting>
  <conditionalFormatting sqref="F340">
    <cfRule type="cellIs" dxfId="2398" priority="690" operator="equal">
      <formula>"3-001-2214"</formula>
    </cfRule>
    <cfRule type="cellIs" dxfId="2397" priority="691" operator="equal">
      <formula>"3-001-5204"</formula>
    </cfRule>
    <cfRule type="cellIs" dxfId="2396" priority="692" operator="equal">
      <formula>"3-001-0002"</formula>
    </cfRule>
  </conditionalFormatting>
  <conditionalFormatting sqref="F341">
    <cfRule type="cellIs" dxfId="2395" priority="687" operator="equal">
      <formula>"3-001-2214"</formula>
    </cfRule>
    <cfRule type="cellIs" dxfId="2394" priority="688" operator="equal">
      <formula>"3-001-5204"</formula>
    </cfRule>
    <cfRule type="cellIs" dxfId="2393" priority="689" operator="equal">
      <formula>"3-001-0002"</formula>
    </cfRule>
  </conditionalFormatting>
  <conditionalFormatting sqref="AS345">
    <cfRule type="expression" dxfId="2392" priority="686">
      <formula>IF(L345=AS345,1,0)</formula>
    </cfRule>
  </conditionalFormatting>
  <conditionalFormatting sqref="F345">
    <cfRule type="cellIs" dxfId="2391" priority="683" operator="equal">
      <formula>"3-001-2214"</formula>
    </cfRule>
    <cfRule type="cellIs" dxfId="2390" priority="684" operator="equal">
      <formula>"3-001-5204"</formula>
    </cfRule>
    <cfRule type="cellIs" dxfId="2389" priority="685" operator="equal">
      <formula>"3-001-0002"</formula>
    </cfRule>
  </conditionalFormatting>
  <conditionalFormatting sqref="F366">
    <cfRule type="cellIs" dxfId="2388" priority="679" operator="equal">
      <formula>"3-001-2214"</formula>
    </cfRule>
    <cfRule type="cellIs" dxfId="2387" priority="680" operator="equal">
      <formula>"3-001-5204"</formula>
    </cfRule>
    <cfRule type="cellIs" dxfId="2386" priority="681" operator="equal">
      <formula>"3-001-0002"</formula>
    </cfRule>
  </conditionalFormatting>
  <conditionalFormatting sqref="AS366">
    <cfRule type="expression" dxfId="2385" priority="682">
      <formula>IF(L366=AS366,1,0)</formula>
    </cfRule>
  </conditionalFormatting>
  <conditionalFormatting sqref="AS352">
    <cfRule type="expression" dxfId="2384" priority="674">
      <formula>IF(L352=AS352,1,0)</formula>
    </cfRule>
  </conditionalFormatting>
  <conditionalFormatting sqref="F352">
    <cfRule type="cellIs" dxfId="2383" priority="671" operator="equal">
      <formula>"3-001-2214"</formula>
    </cfRule>
    <cfRule type="cellIs" dxfId="2382" priority="672" operator="equal">
      <formula>"3-001-5204"</formula>
    </cfRule>
    <cfRule type="cellIs" dxfId="2381" priority="673" operator="equal">
      <formula>"3-001-0002"</formula>
    </cfRule>
  </conditionalFormatting>
  <conditionalFormatting sqref="AS342">
    <cfRule type="expression" dxfId="2380" priority="670">
      <formula>IF(L342=AS342,1,0)</formula>
    </cfRule>
  </conditionalFormatting>
  <conditionalFormatting sqref="F342">
    <cfRule type="cellIs" dxfId="2379" priority="667" operator="equal">
      <formula>"3-001-2214"</formula>
    </cfRule>
    <cfRule type="cellIs" dxfId="2378" priority="668" operator="equal">
      <formula>"3-001-5204"</formula>
    </cfRule>
    <cfRule type="cellIs" dxfId="2377" priority="669" operator="equal">
      <formula>"3-001-0002"</formula>
    </cfRule>
  </conditionalFormatting>
  <conditionalFormatting sqref="F156">
    <cfRule type="cellIs" dxfId="2376" priority="663" operator="equal">
      <formula>"3-001-2214"</formula>
    </cfRule>
    <cfRule type="cellIs" dxfId="2375" priority="664" operator="equal">
      <formula>"3-001-5204"</formula>
    </cfRule>
    <cfRule type="cellIs" dxfId="2374" priority="665" operator="equal">
      <formula>"3-001-0002"</formula>
    </cfRule>
  </conditionalFormatting>
  <conditionalFormatting sqref="AS156">
    <cfRule type="expression" dxfId="2373" priority="666">
      <formula>IF(L156=AS156,1,0)</formula>
    </cfRule>
  </conditionalFormatting>
  <conditionalFormatting sqref="F155">
    <cfRule type="cellIs" dxfId="2372" priority="659" operator="equal">
      <formula>"3-001-2214"</formula>
    </cfRule>
    <cfRule type="cellIs" dxfId="2371" priority="660" operator="equal">
      <formula>"3-001-5204"</formula>
    </cfRule>
    <cfRule type="cellIs" dxfId="2370" priority="661" operator="equal">
      <formula>"3-001-0002"</formula>
    </cfRule>
  </conditionalFormatting>
  <conditionalFormatting sqref="AS155">
    <cfRule type="expression" dxfId="2369" priority="662">
      <formula>IF(L155=AS155,1,0)</formula>
    </cfRule>
  </conditionalFormatting>
  <conditionalFormatting sqref="F154">
    <cfRule type="cellIs" dxfId="2368" priority="655" operator="equal">
      <formula>"3-001-2214"</formula>
    </cfRule>
    <cfRule type="cellIs" dxfId="2367" priority="656" operator="equal">
      <formula>"3-001-5204"</formula>
    </cfRule>
    <cfRule type="cellIs" dxfId="2366" priority="657" operator="equal">
      <formula>"3-001-0002"</formula>
    </cfRule>
  </conditionalFormatting>
  <conditionalFormatting sqref="AS154">
    <cfRule type="expression" dxfId="2365" priority="658">
      <formula>IF(L154=AS154,1,0)</formula>
    </cfRule>
  </conditionalFormatting>
  <conditionalFormatting sqref="F153">
    <cfRule type="cellIs" dxfId="2364" priority="651" operator="equal">
      <formula>"3-001-2214"</formula>
    </cfRule>
    <cfRule type="cellIs" dxfId="2363" priority="652" operator="equal">
      <formula>"3-001-5204"</formula>
    </cfRule>
    <cfRule type="cellIs" dxfId="2362" priority="653" operator="equal">
      <formula>"3-001-0002"</formula>
    </cfRule>
  </conditionalFormatting>
  <conditionalFormatting sqref="AS153">
    <cfRule type="expression" dxfId="2361" priority="654">
      <formula>IF(L153=AS153,1,0)</formula>
    </cfRule>
  </conditionalFormatting>
  <conditionalFormatting sqref="F152">
    <cfRule type="cellIs" dxfId="2360" priority="647" operator="equal">
      <formula>"3-001-2214"</formula>
    </cfRule>
    <cfRule type="cellIs" dxfId="2359" priority="648" operator="equal">
      <formula>"3-001-5204"</formula>
    </cfRule>
    <cfRule type="cellIs" dxfId="2358" priority="649" operator="equal">
      <formula>"3-001-0002"</formula>
    </cfRule>
  </conditionalFormatting>
  <conditionalFormatting sqref="AS152">
    <cfRule type="expression" dxfId="2357" priority="650">
      <formula>IF(L152=AS152,1,0)</formula>
    </cfRule>
  </conditionalFormatting>
  <conditionalFormatting sqref="F151">
    <cfRule type="cellIs" dxfId="2356" priority="643" operator="equal">
      <formula>"3-001-2214"</formula>
    </cfRule>
    <cfRule type="cellIs" dxfId="2355" priority="644" operator="equal">
      <formula>"3-001-5204"</formula>
    </cfRule>
    <cfRule type="cellIs" dxfId="2354" priority="645" operator="equal">
      <formula>"3-001-0002"</formula>
    </cfRule>
  </conditionalFormatting>
  <conditionalFormatting sqref="AS151">
    <cfRule type="expression" dxfId="2353" priority="646">
      <formula>IF(L151=AS151,1,0)</formula>
    </cfRule>
  </conditionalFormatting>
  <conditionalFormatting sqref="F367">
    <cfRule type="cellIs" dxfId="2352" priority="639" operator="equal">
      <formula>"3-001-2214"</formula>
    </cfRule>
    <cfRule type="cellIs" dxfId="2351" priority="640" operator="equal">
      <formula>"3-001-5204"</formula>
    </cfRule>
    <cfRule type="cellIs" dxfId="2350" priority="641" operator="equal">
      <formula>"3-001-0002"</formula>
    </cfRule>
  </conditionalFormatting>
  <conditionalFormatting sqref="AS367">
    <cfRule type="expression" dxfId="2349" priority="642">
      <formula>IF(L367=AS367,1,0)</formula>
    </cfRule>
  </conditionalFormatting>
  <conditionalFormatting sqref="F321">
    <cfRule type="cellIs" dxfId="2348" priority="635" operator="equal">
      <formula>"3-001-2214"</formula>
    </cfRule>
    <cfRule type="cellIs" dxfId="2347" priority="636" operator="equal">
      <formula>"3-001-5204"</formula>
    </cfRule>
    <cfRule type="cellIs" dxfId="2346" priority="637" operator="equal">
      <formula>"3-001-0002"</formula>
    </cfRule>
  </conditionalFormatting>
  <conditionalFormatting sqref="AS321">
    <cfRule type="expression" dxfId="2345" priority="638">
      <formula>IF(L321=AS321,1,0)</formula>
    </cfRule>
  </conditionalFormatting>
  <conditionalFormatting sqref="AS323">
    <cfRule type="expression" dxfId="2344" priority="634">
      <formula>IF(L323=AS323,1,0)</formula>
    </cfRule>
  </conditionalFormatting>
  <conditionalFormatting sqref="F323">
    <cfRule type="cellIs" dxfId="2343" priority="631" operator="equal">
      <formula>"3-001-2214"</formula>
    </cfRule>
    <cfRule type="cellIs" dxfId="2342" priority="632" operator="equal">
      <formula>"3-001-5204"</formula>
    </cfRule>
    <cfRule type="cellIs" dxfId="2341" priority="633" operator="equal">
      <formula>"3-001-0002"</formula>
    </cfRule>
  </conditionalFormatting>
  <conditionalFormatting sqref="F324">
    <cfRule type="cellIs" dxfId="2340" priority="627" operator="equal">
      <formula>"3-001-2214"</formula>
    </cfRule>
    <cfRule type="cellIs" dxfId="2339" priority="628" operator="equal">
      <formula>"3-001-5204"</formula>
    </cfRule>
    <cfRule type="cellIs" dxfId="2338" priority="629" operator="equal">
      <formula>"3-001-0002"</formula>
    </cfRule>
  </conditionalFormatting>
  <conditionalFormatting sqref="AS324">
    <cfRule type="expression" dxfId="2337" priority="630">
      <formula>IF(L324=AS324,1,0)</formula>
    </cfRule>
  </conditionalFormatting>
  <conditionalFormatting sqref="AS325">
    <cfRule type="expression" dxfId="2336" priority="626">
      <formula>IF(L325=AS325,1,0)</formula>
    </cfRule>
  </conditionalFormatting>
  <conditionalFormatting sqref="F325">
    <cfRule type="cellIs" dxfId="2335" priority="623" operator="equal">
      <formula>"3-001-2214"</formula>
    </cfRule>
    <cfRule type="cellIs" dxfId="2334" priority="624" operator="equal">
      <formula>"3-001-5204"</formula>
    </cfRule>
    <cfRule type="cellIs" dxfId="2333" priority="625" operator="equal">
      <formula>"3-001-0002"</formula>
    </cfRule>
  </conditionalFormatting>
  <conditionalFormatting sqref="AS383">
    <cfRule type="expression" dxfId="2332" priority="622">
      <formula>IF(L383=AS383,1,0)</formula>
    </cfRule>
  </conditionalFormatting>
  <conditionalFormatting sqref="F383">
    <cfRule type="cellIs" dxfId="2331" priority="619" operator="equal">
      <formula>"3-001-2214"</formula>
    </cfRule>
    <cfRule type="cellIs" dxfId="2330" priority="620" operator="equal">
      <formula>"3-001-5204"</formula>
    </cfRule>
    <cfRule type="cellIs" dxfId="2329" priority="621" operator="equal">
      <formula>"3-001-0002"</formula>
    </cfRule>
  </conditionalFormatting>
  <conditionalFormatting sqref="AS382">
    <cfRule type="expression" dxfId="2328" priority="618">
      <formula>IF(L382=AS382,1,0)</formula>
    </cfRule>
  </conditionalFormatting>
  <conditionalFormatting sqref="F382">
    <cfRule type="cellIs" dxfId="2327" priority="615" operator="equal">
      <formula>"3-001-2214"</formula>
    </cfRule>
    <cfRule type="cellIs" dxfId="2326" priority="616" operator="equal">
      <formula>"3-001-5204"</formula>
    </cfRule>
    <cfRule type="cellIs" dxfId="2325" priority="617" operator="equal">
      <formula>"3-001-0002"</formula>
    </cfRule>
  </conditionalFormatting>
  <conditionalFormatting sqref="AS381">
    <cfRule type="expression" dxfId="2324" priority="614">
      <formula>IF(L381=AS381,1,0)</formula>
    </cfRule>
  </conditionalFormatting>
  <conditionalFormatting sqref="F381">
    <cfRule type="cellIs" dxfId="2323" priority="611" operator="equal">
      <formula>"3-001-2214"</formula>
    </cfRule>
    <cfRule type="cellIs" dxfId="2322" priority="612" operator="equal">
      <formula>"3-001-5204"</formula>
    </cfRule>
    <cfRule type="cellIs" dxfId="2321" priority="613" operator="equal">
      <formula>"3-001-0002"</formula>
    </cfRule>
  </conditionalFormatting>
  <conditionalFormatting sqref="F157">
    <cfRule type="cellIs" dxfId="2320" priority="607" operator="equal">
      <formula>"3-001-2214"</formula>
    </cfRule>
    <cfRule type="cellIs" dxfId="2319" priority="608" operator="equal">
      <formula>"3-001-5204"</formula>
    </cfRule>
    <cfRule type="cellIs" dxfId="2318" priority="609" operator="equal">
      <formula>"3-001-0002"</formula>
    </cfRule>
  </conditionalFormatting>
  <conditionalFormatting sqref="AS157">
    <cfRule type="expression" dxfId="2317" priority="610">
      <formula>IF(L157=AS157,1,0)</formula>
    </cfRule>
  </conditionalFormatting>
  <conditionalFormatting sqref="F246">
    <cfRule type="cellIs" dxfId="2316" priority="603" operator="equal">
      <formula>"3-001-2214"</formula>
    </cfRule>
    <cfRule type="cellIs" dxfId="2315" priority="604" operator="equal">
      <formula>"3-001-5204"</formula>
    </cfRule>
    <cfRule type="cellIs" dxfId="2314" priority="605" operator="equal">
      <formula>"3-001-0002"</formula>
    </cfRule>
  </conditionalFormatting>
  <conditionalFormatting sqref="AS246">
    <cfRule type="expression" dxfId="2313" priority="606">
      <formula>IF(L246=AS246,1,0)</formula>
    </cfRule>
  </conditionalFormatting>
  <conditionalFormatting sqref="AS247">
    <cfRule type="expression" dxfId="2312" priority="602">
      <formula>IF(L247=AS247,1,0)</formula>
    </cfRule>
  </conditionalFormatting>
  <conditionalFormatting sqref="F247">
    <cfRule type="cellIs" dxfId="2311" priority="599" operator="equal">
      <formula>"3-001-2214"</formula>
    </cfRule>
    <cfRule type="cellIs" dxfId="2310" priority="600" operator="equal">
      <formula>"3-001-5204"</formula>
    </cfRule>
    <cfRule type="cellIs" dxfId="2309" priority="601" operator="equal">
      <formula>"3-001-0002"</formula>
    </cfRule>
  </conditionalFormatting>
  <conditionalFormatting sqref="F273">
    <cfRule type="cellIs" dxfId="2308" priority="595" operator="equal">
      <formula>"3-001-2214"</formula>
    </cfRule>
    <cfRule type="cellIs" dxfId="2307" priority="596" operator="equal">
      <formula>"3-001-5204"</formula>
    </cfRule>
    <cfRule type="cellIs" dxfId="2306" priority="597" operator="equal">
      <formula>"3-001-0002"</formula>
    </cfRule>
  </conditionalFormatting>
  <conditionalFormatting sqref="AS273">
    <cfRule type="expression" dxfId="2305" priority="598">
      <formula>IF(L273=AS273,1,0)</formula>
    </cfRule>
  </conditionalFormatting>
  <conditionalFormatting sqref="AS274">
    <cfRule type="expression" dxfId="2304" priority="594">
      <formula>IF(L274=AS274,1,0)</formula>
    </cfRule>
  </conditionalFormatting>
  <conditionalFormatting sqref="F274">
    <cfRule type="cellIs" dxfId="2303" priority="591" operator="equal">
      <formula>"3-001-2214"</formula>
    </cfRule>
    <cfRule type="cellIs" dxfId="2302" priority="592" operator="equal">
      <formula>"3-001-5204"</formula>
    </cfRule>
    <cfRule type="cellIs" dxfId="2301" priority="593" operator="equal">
      <formula>"3-001-0002"</formula>
    </cfRule>
  </conditionalFormatting>
  <conditionalFormatting sqref="F97">
    <cfRule type="cellIs" dxfId="2300" priority="587" operator="equal">
      <formula>"3-001-2214"</formula>
    </cfRule>
    <cfRule type="cellIs" dxfId="2299" priority="588" operator="equal">
      <formula>"3-001-5204"</formula>
    </cfRule>
    <cfRule type="cellIs" dxfId="2298" priority="589" operator="equal">
      <formula>"3-001-0002"</formula>
    </cfRule>
  </conditionalFormatting>
  <conditionalFormatting sqref="AS97">
    <cfRule type="expression" dxfId="2297" priority="590">
      <formula>IF(L97=AS97,1,0)</formula>
    </cfRule>
  </conditionalFormatting>
  <conditionalFormatting sqref="F96">
    <cfRule type="cellIs" dxfId="2296" priority="583" operator="equal">
      <formula>"3-001-2214"</formula>
    </cfRule>
    <cfRule type="cellIs" dxfId="2295" priority="584" operator="equal">
      <formula>"3-001-5204"</formula>
    </cfRule>
    <cfRule type="cellIs" dxfId="2294" priority="585" operator="equal">
      <formula>"3-001-0002"</formula>
    </cfRule>
  </conditionalFormatting>
  <conditionalFormatting sqref="AS96">
    <cfRule type="expression" dxfId="2293" priority="586">
      <formula>IF(L96=AS96,1,0)</formula>
    </cfRule>
  </conditionalFormatting>
  <conditionalFormatting sqref="F158">
    <cfRule type="cellIs" dxfId="2292" priority="579" operator="equal">
      <formula>"3-001-2214"</formula>
    </cfRule>
    <cfRule type="cellIs" dxfId="2291" priority="580" operator="equal">
      <formula>"3-001-5204"</formula>
    </cfRule>
    <cfRule type="cellIs" dxfId="2290" priority="581" operator="equal">
      <formula>"3-001-0002"</formula>
    </cfRule>
  </conditionalFormatting>
  <conditionalFormatting sqref="AS158">
    <cfRule type="expression" dxfId="2289" priority="582">
      <formula>IF(L158=AS158,1,0)</formula>
    </cfRule>
  </conditionalFormatting>
  <conditionalFormatting sqref="AS311">
    <cfRule type="expression" dxfId="2288" priority="578">
      <formula>IF(L311=AS311,1,0)</formula>
    </cfRule>
  </conditionalFormatting>
  <conditionalFormatting sqref="F311">
    <cfRule type="cellIs" dxfId="2287" priority="575" operator="equal">
      <formula>"3-001-2214"</formula>
    </cfRule>
    <cfRule type="cellIs" dxfId="2286" priority="576" operator="equal">
      <formula>"3-001-5204"</formula>
    </cfRule>
    <cfRule type="cellIs" dxfId="2285" priority="577" operator="equal">
      <formula>"3-001-0002"</formula>
    </cfRule>
  </conditionalFormatting>
  <conditionalFormatting sqref="F312">
    <cfRule type="cellIs" dxfId="2284" priority="571" operator="equal">
      <formula>"3-001-2214"</formula>
    </cfRule>
    <cfRule type="cellIs" dxfId="2283" priority="572" operator="equal">
      <formula>"3-001-5204"</formula>
    </cfRule>
    <cfRule type="cellIs" dxfId="2282" priority="573" operator="equal">
      <formula>"3-001-0002"</formula>
    </cfRule>
  </conditionalFormatting>
  <conditionalFormatting sqref="AS312">
    <cfRule type="expression" dxfId="2281" priority="574">
      <formula>IF(L312=AS312,1,0)</formula>
    </cfRule>
  </conditionalFormatting>
  <conditionalFormatting sqref="AS314">
    <cfRule type="expression" dxfId="2280" priority="570">
      <formula>IF(L314=AS314,1,0)</formula>
    </cfRule>
  </conditionalFormatting>
  <conditionalFormatting sqref="F314">
    <cfRule type="cellIs" dxfId="2279" priority="567" operator="equal">
      <formula>"3-001-2214"</formula>
    </cfRule>
    <cfRule type="cellIs" dxfId="2278" priority="568" operator="equal">
      <formula>"3-001-5204"</formula>
    </cfRule>
    <cfRule type="cellIs" dxfId="2277" priority="569" operator="equal">
      <formula>"3-001-0002"</formula>
    </cfRule>
  </conditionalFormatting>
  <conditionalFormatting sqref="F161">
    <cfRule type="cellIs" dxfId="2276" priority="563" operator="equal">
      <formula>"3-001-2214"</formula>
    </cfRule>
    <cfRule type="cellIs" dxfId="2275" priority="564" operator="equal">
      <formula>"3-001-5204"</formula>
    </cfRule>
    <cfRule type="cellIs" dxfId="2274" priority="565" operator="equal">
      <formula>"3-001-0002"</formula>
    </cfRule>
  </conditionalFormatting>
  <conditionalFormatting sqref="AS161">
    <cfRule type="expression" dxfId="2273" priority="566">
      <formula>IF(L161=AS161,1,0)</formula>
    </cfRule>
  </conditionalFormatting>
  <conditionalFormatting sqref="AS162">
    <cfRule type="expression" dxfId="2272" priority="562">
      <formula>IF(L162=AS162,1,0)</formula>
    </cfRule>
  </conditionalFormatting>
  <conditionalFormatting sqref="F162">
    <cfRule type="cellIs" dxfId="2271" priority="559" operator="equal">
      <formula>"3-001-2214"</formula>
    </cfRule>
    <cfRule type="cellIs" dxfId="2270" priority="560" operator="equal">
      <formula>"3-001-5204"</formula>
    </cfRule>
    <cfRule type="cellIs" dxfId="2269" priority="561" operator="equal">
      <formula>"3-001-0002"</formula>
    </cfRule>
  </conditionalFormatting>
  <conditionalFormatting sqref="F368">
    <cfRule type="cellIs" dxfId="2268" priority="555" operator="equal">
      <formula>"3-001-2214"</formula>
    </cfRule>
    <cfRule type="cellIs" dxfId="2267" priority="556" operator="equal">
      <formula>"3-001-5204"</formula>
    </cfRule>
    <cfRule type="cellIs" dxfId="2266" priority="557" operator="equal">
      <formula>"3-001-0002"</formula>
    </cfRule>
  </conditionalFormatting>
  <conditionalFormatting sqref="AS368">
    <cfRule type="expression" dxfId="2265" priority="558">
      <formula>IF(L368=AS368,1,0)</formula>
    </cfRule>
  </conditionalFormatting>
  <conditionalFormatting sqref="F163">
    <cfRule type="cellIs" dxfId="2264" priority="551" operator="equal">
      <formula>"3-001-2214"</formula>
    </cfRule>
    <cfRule type="cellIs" dxfId="2263" priority="552" operator="equal">
      <formula>"3-001-5204"</formula>
    </cfRule>
    <cfRule type="cellIs" dxfId="2262" priority="553" operator="equal">
      <formula>"3-001-0002"</formula>
    </cfRule>
  </conditionalFormatting>
  <conditionalFormatting sqref="AS163">
    <cfRule type="expression" dxfId="2261" priority="554">
      <formula>IF(L163=AS163,1,0)</formula>
    </cfRule>
  </conditionalFormatting>
  <conditionalFormatting sqref="F164">
    <cfRule type="cellIs" dxfId="2260" priority="547" operator="equal">
      <formula>"3-001-2214"</formula>
    </cfRule>
    <cfRule type="cellIs" dxfId="2259" priority="548" operator="equal">
      <formula>"3-001-5204"</formula>
    </cfRule>
    <cfRule type="cellIs" dxfId="2258" priority="549" operator="equal">
      <formula>"3-001-0002"</formula>
    </cfRule>
  </conditionalFormatting>
  <conditionalFormatting sqref="AS164">
    <cfRule type="expression" dxfId="2257" priority="550">
      <formula>IF(L164=AS164,1,0)</formula>
    </cfRule>
  </conditionalFormatting>
  <conditionalFormatting sqref="F287">
    <cfRule type="cellIs" dxfId="2256" priority="543" operator="equal">
      <formula>"3-001-2214"</formula>
    </cfRule>
    <cfRule type="cellIs" dxfId="2255" priority="544" operator="equal">
      <formula>"3-001-5204"</formula>
    </cfRule>
    <cfRule type="cellIs" dxfId="2254" priority="545" operator="equal">
      <formula>"3-001-0002"</formula>
    </cfRule>
  </conditionalFormatting>
  <conditionalFormatting sqref="AS287">
    <cfRule type="expression" dxfId="2253" priority="546">
      <formula>IF(L287=AS287,1,0)</formula>
    </cfRule>
  </conditionalFormatting>
  <conditionalFormatting sqref="F169">
    <cfRule type="cellIs" dxfId="2252" priority="539" operator="equal">
      <formula>"3-001-2214"</formula>
    </cfRule>
    <cfRule type="cellIs" dxfId="2251" priority="540" operator="equal">
      <formula>"3-001-5204"</formula>
    </cfRule>
    <cfRule type="cellIs" dxfId="2250" priority="541" operator="equal">
      <formula>"3-001-0002"</formula>
    </cfRule>
  </conditionalFormatting>
  <conditionalFormatting sqref="AS169">
    <cfRule type="expression" dxfId="2249" priority="542">
      <formula>IF(L169=AS169,1,0)</formula>
    </cfRule>
  </conditionalFormatting>
  <conditionalFormatting sqref="F79">
    <cfRule type="cellIs" dxfId="2248" priority="535" operator="equal">
      <formula>"3-001-2214"</formula>
    </cfRule>
    <cfRule type="cellIs" dxfId="2247" priority="536" operator="equal">
      <formula>"3-001-5204"</formula>
    </cfRule>
    <cfRule type="cellIs" dxfId="2246" priority="537" operator="equal">
      <formula>"3-001-0002"</formula>
    </cfRule>
  </conditionalFormatting>
  <conditionalFormatting sqref="AS79">
    <cfRule type="expression" dxfId="2245" priority="538">
      <formula>IF(L79=AS79,1,0)</formula>
    </cfRule>
  </conditionalFormatting>
  <conditionalFormatting sqref="AS36">
    <cfRule type="expression" dxfId="2244" priority="534">
      <formula>IF(L36=AS36,1,0)</formula>
    </cfRule>
  </conditionalFormatting>
  <conditionalFormatting sqref="F36">
    <cfRule type="cellIs" dxfId="2243" priority="531" operator="equal">
      <formula>"3-001-2214"</formula>
    </cfRule>
    <cfRule type="cellIs" dxfId="2242" priority="532" operator="equal">
      <formula>"3-001-5204"</formula>
    </cfRule>
    <cfRule type="cellIs" dxfId="2241" priority="533" operator="equal">
      <formula>"3-001-0002"</formula>
    </cfRule>
  </conditionalFormatting>
  <conditionalFormatting sqref="AS37">
    <cfRule type="expression" dxfId="2240" priority="530">
      <formula>IF(L37=AS37,1,0)</formula>
    </cfRule>
  </conditionalFormatting>
  <conditionalFormatting sqref="F37">
    <cfRule type="cellIs" dxfId="2239" priority="527" operator="equal">
      <formula>"3-001-2214"</formula>
    </cfRule>
    <cfRule type="cellIs" dxfId="2238" priority="528" operator="equal">
      <formula>"3-001-5204"</formula>
    </cfRule>
    <cfRule type="cellIs" dxfId="2237" priority="529" operator="equal">
      <formula>"3-001-0002"</formula>
    </cfRule>
  </conditionalFormatting>
  <conditionalFormatting sqref="AS343">
    <cfRule type="expression" dxfId="2236" priority="526">
      <formula>IF(L343=AS343,1,0)</formula>
    </cfRule>
  </conditionalFormatting>
  <conditionalFormatting sqref="F343">
    <cfRule type="cellIs" dxfId="2235" priority="523" operator="equal">
      <formula>"3-001-2214"</formula>
    </cfRule>
    <cfRule type="cellIs" dxfId="2234" priority="524" operator="equal">
      <formula>"3-001-5204"</formula>
    </cfRule>
    <cfRule type="cellIs" dxfId="2233" priority="525" operator="equal">
      <formula>"3-001-0002"</formula>
    </cfRule>
  </conditionalFormatting>
  <conditionalFormatting sqref="F369">
    <cfRule type="cellIs" dxfId="2232" priority="519" operator="equal">
      <formula>"3-001-2214"</formula>
    </cfRule>
    <cfRule type="cellIs" dxfId="2231" priority="520" operator="equal">
      <formula>"3-001-5204"</formula>
    </cfRule>
    <cfRule type="cellIs" dxfId="2230" priority="521" operator="equal">
      <formula>"3-001-0002"</formula>
    </cfRule>
  </conditionalFormatting>
  <conditionalFormatting sqref="AS369">
    <cfRule type="expression" dxfId="2229" priority="522">
      <formula>IF(L369=AS369,1,0)</formula>
    </cfRule>
  </conditionalFormatting>
  <conditionalFormatting sqref="F170">
    <cfRule type="cellIs" dxfId="2228" priority="515" operator="equal">
      <formula>"3-001-2214"</formula>
    </cfRule>
    <cfRule type="cellIs" dxfId="2227" priority="516" operator="equal">
      <formula>"3-001-5204"</formula>
    </cfRule>
    <cfRule type="cellIs" dxfId="2226" priority="517" operator="equal">
      <formula>"3-001-0002"</formula>
    </cfRule>
  </conditionalFormatting>
  <conditionalFormatting sqref="AS170">
    <cfRule type="expression" dxfId="2225" priority="518">
      <formula>IF(L170=AS170,1,0)</formula>
    </cfRule>
  </conditionalFormatting>
  <conditionalFormatting sqref="AS236">
    <cfRule type="expression" dxfId="2224" priority="514">
      <formula>IF(L236=AS236,1,0)</formula>
    </cfRule>
  </conditionalFormatting>
  <conditionalFormatting sqref="F236">
    <cfRule type="cellIs" dxfId="2223" priority="511" operator="equal">
      <formula>"3-001-2214"</formula>
    </cfRule>
    <cfRule type="cellIs" dxfId="2222" priority="512" operator="equal">
      <formula>"3-001-5204"</formula>
    </cfRule>
    <cfRule type="cellIs" dxfId="2221" priority="513" operator="equal">
      <formula>"3-001-0002"</formula>
    </cfRule>
  </conditionalFormatting>
  <conditionalFormatting sqref="AS233">
    <cfRule type="expression" dxfId="2220" priority="510">
      <formula>IF(L233=AS233,1,0)</formula>
    </cfRule>
  </conditionalFormatting>
  <conditionalFormatting sqref="F233">
    <cfRule type="cellIs" dxfId="2219" priority="507" operator="equal">
      <formula>"3-001-2214"</formula>
    </cfRule>
    <cfRule type="cellIs" dxfId="2218" priority="508" operator="equal">
      <formula>"3-001-5204"</formula>
    </cfRule>
    <cfRule type="cellIs" dxfId="2217" priority="509" operator="equal">
      <formula>"3-001-0002"</formula>
    </cfRule>
  </conditionalFormatting>
  <conditionalFormatting sqref="F105">
    <cfRule type="cellIs" dxfId="2216" priority="502" operator="equal">
      <formula>"3-001-2214"</formula>
    </cfRule>
    <cfRule type="cellIs" dxfId="2215" priority="503" operator="equal">
      <formula>"3-001-5204"</formula>
    </cfRule>
    <cfRule type="cellIs" dxfId="2214" priority="504" operator="equal">
      <formula>"3-001-0002"</formula>
    </cfRule>
  </conditionalFormatting>
  <conditionalFormatting sqref="AS105">
    <cfRule type="expression" dxfId="2213" priority="505">
      <formula>IF(L105=AS105,1,0)</formula>
    </cfRule>
  </conditionalFormatting>
  <conditionalFormatting sqref="F172">
    <cfRule type="cellIs" dxfId="2212" priority="498" operator="equal">
      <formula>"3-001-2214"</formula>
    </cfRule>
    <cfRule type="cellIs" dxfId="2211" priority="499" operator="equal">
      <formula>"3-001-5204"</formula>
    </cfRule>
    <cfRule type="cellIs" dxfId="2210" priority="500" operator="equal">
      <formula>"3-001-0002"</formula>
    </cfRule>
  </conditionalFormatting>
  <conditionalFormatting sqref="AS172">
    <cfRule type="expression" dxfId="2209" priority="501">
      <formula>IF(L172=AS172,1,0)</formula>
    </cfRule>
  </conditionalFormatting>
  <conditionalFormatting sqref="F171">
    <cfRule type="cellIs" dxfId="2208" priority="494" operator="equal">
      <formula>"3-001-2214"</formula>
    </cfRule>
    <cfRule type="cellIs" dxfId="2207" priority="495" operator="equal">
      <formula>"3-001-5204"</formula>
    </cfRule>
    <cfRule type="cellIs" dxfId="2206" priority="496" operator="equal">
      <formula>"3-001-0002"</formula>
    </cfRule>
  </conditionalFormatting>
  <conditionalFormatting sqref="AS171">
    <cfRule type="expression" dxfId="2205" priority="497">
      <formula>IF(L171=AS171,1,0)</formula>
    </cfRule>
  </conditionalFormatting>
  <conditionalFormatting sqref="F165">
    <cfRule type="cellIs" dxfId="2204" priority="490" operator="equal">
      <formula>"3-001-2214"</formula>
    </cfRule>
    <cfRule type="cellIs" dxfId="2203" priority="491" operator="equal">
      <formula>"3-001-5204"</formula>
    </cfRule>
    <cfRule type="cellIs" dxfId="2202" priority="492" operator="equal">
      <formula>"3-001-0002"</formula>
    </cfRule>
  </conditionalFormatting>
  <conditionalFormatting sqref="AS165">
    <cfRule type="expression" dxfId="2201" priority="493">
      <formula>IF(L165=AS165,1,0)</formula>
    </cfRule>
  </conditionalFormatting>
  <conditionalFormatting sqref="F106">
    <cfRule type="cellIs" dxfId="2200" priority="486" operator="equal">
      <formula>"3-001-2214"</formula>
    </cfRule>
    <cfRule type="cellIs" dxfId="2199" priority="487" operator="equal">
      <formula>"3-001-5204"</formula>
    </cfRule>
    <cfRule type="cellIs" dxfId="2198" priority="488" operator="equal">
      <formula>"3-001-0002"</formula>
    </cfRule>
  </conditionalFormatting>
  <conditionalFormatting sqref="AS106">
    <cfRule type="expression" dxfId="2197" priority="489">
      <formula>IF(L106=AS106,1,0)</formula>
    </cfRule>
  </conditionalFormatting>
  <conditionalFormatting sqref="F174">
    <cfRule type="cellIs" dxfId="2196" priority="482" operator="equal">
      <formula>"3-001-2214"</formula>
    </cfRule>
    <cfRule type="cellIs" dxfId="2195" priority="483" operator="equal">
      <formula>"3-001-5204"</formula>
    </cfRule>
    <cfRule type="cellIs" dxfId="2194" priority="484" operator="equal">
      <formula>"3-001-0002"</formula>
    </cfRule>
  </conditionalFormatting>
  <conditionalFormatting sqref="AS174">
    <cfRule type="expression" dxfId="2193" priority="485">
      <formula>IF(L174=AS174,1,0)</formula>
    </cfRule>
  </conditionalFormatting>
  <conditionalFormatting sqref="F173">
    <cfRule type="cellIs" dxfId="2192" priority="478" operator="equal">
      <formula>"3-001-2214"</formula>
    </cfRule>
    <cfRule type="cellIs" dxfId="2191" priority="479" operator="equal">
      <formula>"3-001-5204"</formula>
    </cfRule>
    <cfRule type="cellIs" dxfId="2190" priority="480" operator="equal">
      <formula>"3-001-0002"</formula>
    </cfRule>
  </conditionalFormatting>
  <conditionalFormatting sqref="AS173">
    <cfRule type="expression" dxfId="2189" priority="481">
      <formula>IF(L173=AS173,1,0)</formula>
    </cfRule>
  </conditionalFormatting>
  <conditionalFormatting sqref="F83">
    <cfRule type="cellIs" dxfId="2188" priority="470" operator="equal">
      <formula>"3-001-2214"</formula>
    </cfRule>
    <cfRule type="cellIs" dxfId="2187" priority="471" operator="equal">
      <formula>"3-001-5204"</formula>
    </cfRule>
    <cfRule type="cellIs" dxfId="2186" priority="472" operator="equal">
      <formula>"3-001-0002"</formula>
    </cfRule>
  </conditionalFormatting>
  <conditionalFormatting sqref="AS83">
    <cfRule type="expression" dxfId="2185" priority="473">
      <formula>IF(L83=AS83,1,0)</formula>
    </cfRule>
  </conditionalFormatting>
  <conditionalFormatting sqref="AS61">
    <cfRule type="expression" dxfId="2184" priority="469">
      <formula>IF(L61=AS61,1,0)</formula>
    </cfRule>
  </conditionalFormatting>
  <conditionalFormatting sqref="F61">
    <cfRule type="cellIs" dxfId="2183" priority="466" operator="equal">
      <formula>"3-001-2214"</formula>
    </cfRule>
    <cfRule type="cellIs" dxfId="2182" priority="467" operator="equal">
      <formula>"3-001-5204"</formula>
    </cfRule>
    <cfRule type="cellIs" dxfId="2181" priority="468" operator="equal">
      <formula>"3-001-0002"</formula>
    </cfRule>
  </conditionalFormatting>
  <conditionalFormatting sqref="AS60">
    <cfRule type="expression" dxfId="2180" priority="465">
      <formula>IF(L60=AS60,1,0)</formula>
    </cfRule>
  </conditionalFormatting>
  <conditionalFormatting sqref="F60">
    <cfRule type="cellIs" dxfId="2179" priority="462" operator="equal">
      <formula>"3-001-2214"</formula>
    </cfRule>
    <cfRule type="cellIs" dxfId="2178" priority="463" operator="equal">
      <formula>"3-001-5204"</formula>
    </cfRule>
    <cfRule type="cellIs" dxfId="2177" priority="464" operator="equal">
      <formula>"3-001-0002"</formula>
    </cfRule>
  </conditionalFormatting>
  <conditionalFormatting sqref="L239">
    <cfRule type="cellIs" dxfId="2176" priority="461" operator="notEqual">
      <formula>$L$237</formula>
    </cfRule>
  </conditionalFormatting>
  <conditionalFormatting sqref="Q239">
    <cfRule type="cellIs" dxfId="2175" priority="460" operator="notEqual">
      <formula>$Q$237</formula>
    </cfRule>
  </conditionalFormatting>
  <conditionalFormatting sqref="S239">
    <cfRule type="cellIs" dxfId="2174" priority="459" operator="notEqual">
      <formula>$S$237</formula>
    </cfRule>
  </conditionalFormatting>
  <conditionalFormatting sqref="AS234">
    <cfRule type="expression" dxfId="2173" priority="458">
      <formula>IF(L234=AS234,1,0)</formula>
    </cfRule>
  </conditionalFormatting>
  <conditionalFormatting sqref="F234">
    <cfRule type="cellIs" dxfId="2172" priority="455" operator="equal">
      <formula>"3-001-2214"</formula>
    </cfRule>
    <cfRule type="cellIs" dxfId="2171" priority="456" operator="equal">
      <formula>"3-001-5204"</formula>
    </cfRule>
    <cfRule type="cellIs" dxfId="2170" priority="457" operator="equal">
      <formula>"3-001-0002"</formula>
    </cfRule>
  </conditionalFormatting>
  <conditionalFormatting sqref="AS235">
    <cfRule type="expression" dxfId="2169" priority="454">
      <formula>IF(L235=AS235,1,0)</formula>
    </cfRule>
  </conditionalFormatting>
  <conditionalFormatting sqref="F235">
    <cfRule type="cellIs" dxfId="2168" priority="451" operator="equal">
      <formula>"3-001-2214"</formula>
    </cfRule>
    <cfRule type="cellIs" dxfId="2167" priority="452" operator="equal">
      <formula>"3-001-5204"</formula>
    </cfRule>
    <cfRule type="cellIs" dxfId="2166" priority="453" operator="equal">
      <formula>"3-001-0002"</formula>
    </cfRule>
  </conditionalFormatting>
  <conditionalFormatting sqref="AS218">
    <cfRule type="expression" dxfId="2165" priority="446">
      <formula>IF(L218=AS218,1,0)</formula>
    </cfRule>
  </conditionalFormatting>
  <conditionalFormatting sqref="F218">
    <cfRule type="cellIs" dxfId="2164" priority="443" operator="equal">
      <formula>"3-001-2214"</formula>
    </cfRule>
    <cfRule type="cellIs" dxfId="2163" priority="444" operator="equal">
      <formula>"3-001-5204"</formula>
    </cfRule>
    <cfRule type="cellIs" dxfId="2162" priority="445" operator="equal">
      <formula>"3-001-0002"</formula>
    </cfRule>
  </conditionalFormatting>
  <conditionalFormatting sqref="AS223">
    <cfRule type="expression" dxfId="2161" priority="442">
      <formula>IF(L223=AS223,1,0)</formula>
    </cfRule>
  </conditionalFormatting>
  <conditionalFormatting sqref="F223">
    <cfRule type="cellIs" dxfId="2160" priority="439" operator="equal">
      <formula>"3-001-2214"</formula>
    </cfRule>
    <cfRule type="cellIs" dxfId="2159" priority="440" operator="equal">
      <formula>"3-001-5204"</formula>
    </cfRule>
    <cfRule type="cellIs" dxfId="2158" priority="441" operator="equal">
      <formula>"3-001-0002"</formula>
    </cfRule>
  </conditionalFormatting>
  <conditionalFormatting sqref="AS232">
    <cfRule type="expression" dxfId="2157" priority="262">
      <formula>IF(L232=AS232,1,0)</formula>
    </cfRule>
  </conditionalFormatting>
  <conditionalFormatting sqref="F232">
    <cfRule type="cellIs" dxfId="2156" priority="259" operator="equal">
      <formula>"3-001-2214"</formula>
    </cfRule>
    <cfRule type="cellIs" dxfId="2155" priority="260" operator="equal">
      <formula>"3-001-5204"</formula>
    </cfRule>
    <cfRule type="cellIs" dxfId="2154" priority="261" operator="equal">
      <formula>"3-001-0002"</formula>
    </cfRule>
  </conditionalFormatting>
  <conditionalFormatting sqref="AS230">
    <cfRule type="expression" dxfId="2153" priority="258">
      <formula>IF(L230=AS230,1,0)</formula>
    </cfRule>
  </conditionalFormatting>
  <conditionalFormatting sqref="F230">
    <cfRule type="cellIs" dxfId="2152" priority="255" operator="equal">
      <formula>"3-001-2214"</formula>
    </cfRule>
    <cfRule type="cellIs" dxfId="2151" priority="256" operator="equal">
      <formula>"3-001-5204"</formula>
    </cfRule>
    <cfRule type="cellIs" dxfId="2150" priority="257" operator="equal">
      <formula>"3-001-0002"</formula>
    </cfRule>
  </conditionalFormatting>
  <conditionalFormatting sqref="AS229">
    <cfRule type="expression" dxfId="2149" priority="234">
      <formula>IF(L229=AS229,1,0)</formula>
    </cfRule>
  </conditionalFormatting>
  <conditionalFormatting sqref="F229">
    <cfRule type="cellIs" dxfId="2148" priority="231" operator="equal">
      <formula>"3-001-2214"</formula>
    </cfRule>
    <cfRule type="cellIs" dxfId="2147" priority="232" operator="equal">
      <formula>"3-001-5204"</formula>
    </cfRule>
    <cfRule type="cellIs" dxfId="2146" priority="233" operator="equal">
      <formula>"3-001-0002"</formula>
    </cfRule>
  </conditionalFormatting>
  <conditionalFormatting sqref="AS227">
    <cfRule type="expression" dxfId="2145" priority="230">
      <formula>IF(L227=AS227,1,0)</formula>
    </cfRule>
  </conditionalFormatting>
  <conditionalFormatting sqref="F227">
    <cfRule type="cellIs" dxfId="2144" priority="227" operator="equal">
      <formula>"3-001-2214"</formula>
    </cfRule>
    <cfRule type="cellIs" dxfId="2143" priority="228" operator="equal">
      <formula>"3-001-5204"</formula>
    </cfRule>
    <cfRule type="cellIs" dxfId="2142" priority="229" operator="equal">
      <formula>"3-001-0002"</formula>
    </cfRule>
  </conditionalFormatting>
  <conditionalFormatting sqref="AS225">
    <cfRule type="expression" dxfId="2141" priority="226">
      <formula>IF(L225=AS225,1,0)</formula>
    </cfRule>
  </conditionalFormatting>
  <conditionalFormatting sqref="F225">
    <cfRule type="cellIs" dxfId="2140" priority="223" operator="equal">
      <formula>"3-001-2214"</formula>
    </cfRule>
    <cfRule type="cellIs" dxfId="2139" priority="224" operator="equal">
      <formula>"3-001-5204"</formula>
    </cfRule>
    <cfRule type="cellIs" dxfId="2138" priority="225" operator="equal">
      <formula>"3-001-0002"</formula>
    </cfRule>
  </conditionalFormatting>
  <conditionalFormatting sqref="AS228">
    <cfRule type="expression" dxfId="2137" priority="222">
      <formula>IF(L228=AS228,1,0)</formula>
    </cfRule>
  </conditionalFormatting>
  <conditionalFormatting sqref="F228">
    <cfRule type="cellIs" dxfId="2136" priority="219" operator="equal">
      <formula>"3-001-2214"</formula>
    </cfRule>
    <cfRule type="cellIs" dxfId="2135" priority="220" operator="equal">
      <formula>"3-001-5204"</formula>
    </cfRule>
    <cfRule type="cellIs" dxfId="2134" priority="221" operator="equal">
      <formula>"3-001-0002"</formula>
    </cfRule>
  </conditionalFormatting>
  <conditionalFormatting sqref="AS221">
    <cfRule type="expression" dxfId="2133" priority="218">
      <formula>IF(L221=AS221,1,0)</formula>
    </cfRule>
  </conditionalFormatting>
  <conditionalFormatting sqref="F221">
    <cfRule type="cellIs" dxfId="2132" priority="215" operator="equal">
      <formula>"3-001-2214"</formula>
    </cfRule>
    <cfRule type="cellIs" dxfId="2131" priority="216" operator="equal">
      <formula>"3-001-5204"</formula>
    </cfRule>
    <cfRule type="cellIs" dxfId="2130" priority="217" operator="equal">
      <formula>"3-001-0002"</formula>
    </cfRule>
  </conditionalFormatting>
  <conditionalFormatting sqref="AS220">
    <cfRule type="expression" dxfId="2129" priority="202">
      <formula>IF(L220=AS220,1,0)</formula>
    </cfRule>
  </conditionalFormatting>
  <conditionalFormatting sqref="F220">
    <cfRule type="cellIs" dxfId="2128" priority="199" operator="equal">
      <formula>"3-001-2214"</formula>
    </cfRule>
    <cfRule type="cellIs" dxfId="2127" priority="200" operator="equal">
      <formula>"3-001-5204"</formula>
    </cfRule>
    <cfRule type="cellIs" dxfId="2126" priority="201" operator="equal">
      <formula>"3-001-0002"</formula>
    </cfRule>
  </conditionalFormatting>
  <conditionalFormatting sqref="AS222">
    <cfRule type="expression" dxfId="2125" priority="186">
      <formula>IF(L222=AS222,1,0)</formula>
    </cfRule>
  </conditionalFormatting>
  <conditionalFormatting sqref="F222">
    <cfRule type="cellIs" dxfId="2124" priority="183" operator="equal">
      <formula>"3-001-2214"</formula>
    </cfRule>
    <cfRule type="cellIs" dxfId="2123" priority="184" operator="equal">
      <formula>"3-001-5204"</formula>
    </cfRule>
    <cfRule type="cellIs" dxfId="2122" priority="185" operator="equal">
      <formula>"3-001-0002"</formula>
    </cfRule>
  </conditionalFormatting>
  <conditionalFormatting sqref="AS226">
    <cfRule type="expression" dxfId="2121" priority="182">
      <formula>IF(L226=AS226,1,0)</formula>
    </cfRule>
  </conditionalFormatting>
  <conditionalFormatting sqref="F226">
    <cfRule type="cellIs" dxfId="2120" priority="179" operator="equal">
      <formula>"3-001-2214"</formula>
    </cfRule>
    <cfRule type="cellIs" dxfId="2119" priority="180" operator="equal">
      <formula>"3-001-5204"</formula>
    </cfRule>
    <cfRule type="cellIs" dxfId="2118" priority="181" operator="equal">
      <formula>"3-001-0002"</formula>
    </cfRule>
  </conditionalFormatting>
  <conditionalFormatting sqref="AS231">
    <cfRule type="expression" dxfId="2117" priority="178">
      <formula>IF(L231=AS231,1,0)</formula>
    </cfRule>
  </conditionalFormatting>
  <conditionalFormatting sqref="F231">
    <cfRule type="cellIs" dxfId="2116" priority="175" operator="equal">
      <formula>"3-001-2214"</formula>
    </cfRule>
    <cfRule type="cellIs" dxfId="2115" priority="176" operator="equal">
      <formula>"3-001-5204"</formula>
    </cfRule>
    <cfRule type="cellIs" dxfId="2114" priority="177" operator="equal">
      <formula>"3-001-0002"</formula>
    </cfRule>
  </conditionalFormatting>
  <conditionalFormatting sqref="AS219">
    <cfRule type="expression" dxfId="2113" priority="174">
      <formula>IF(L219=AS219,1,0)</formula>
    </cfRule>
  </conditionalFormatting>
  <conditionalFormatting sqref="F219">
    <cfRule type="cellIs" dxfId="2112" priority="171" operator="equal">
      <formula>"3-001-2214"</formula>
    </cfRule>
    <cfRule type="cellIs" dxfId="2111" priority="172" operator="equal">
      <formula>"3-001-5204"</formula>
    </cfRule>
    <cfRule type="cellIs" dxfId="2110" priority="173" operator="equal">
      <formula>"3-001-0002"</formula>
    </cfRule>
  </conditionalFormatting>
  <conditionalFormatting sqref="AS224">
    <cfRule type="expression" dxfId="2109" priority="170">
      <formula>IF(L224=AS224,1,0)</formula>
    </cfRule>
  </conditionalFormatting>
  <conditionalFormatting sqref="F224">
    <cfRule type="cellIs" dxfId="2108" priority="167" operator="equal">
      <formula>"3-001-2214"</formula>
    </cfRule>
    <cfRule type="cellIs" dxfId="2107" priority="168" operator="equal">
      <formula>"3-001-5204"</formula>
    </cfRule>
    <cfRule type="cellIs" dxfId="2106" priority="169" operator="equal">
      <formula>"3-001-0002"</formula>
    </cfRule>
  </conditionalFormatting>
  <conditionalFormatting sqref="AS62">
    <cfRule type="expression" dxfId="2105" priority="166">
      <formula>IF(L62=AS62,1,0)</formula>
    </cfRule>
  </conditionalFormatting>
  <conditionalFormatting sqref="F62">
    <cfRule type="cellIs" dxfId="2104" priority="163" operator="equal">
      <formula>"3-001-2214"</formula>
    </cfRule>
    <cfRule type="cellIs" dxfId="2103" priority="164" operator="equal">
      <formula>"3-001-5204"</formula>
    </cfRule>
    <cfRule type="cellIs" dxfId="2102" priority="165" operator="equal">
      <formula>"3-001-0002"</formula>
    </cfRule>
  </conditionalFormatting>
  <conditionalFormatting sqref="F175">
    <cfRule type="cellIs" dxfId="2101" priority="159" operator="equal">
      <formula>"3-001-2214"</formula>
    </cfRule>
    <cfRule type="cellIs" dxfId="2100" priority="160" operator="equal">
      <formula>"3-001-5204"</formula>
    </cfRule>
    <cfRule type="cellIs" dxfId="2099" priority="161" operator="equal">
      <formula>"3-001-0002"</formula>
    </cfRule>
  </conditionalFormatting>
  <conditionalFormatting sqref="AS175">
    <cfRule type="expression" dxfId="2098" priority="162">
      <formula>IF(L175=AS175,1,0)</formula>
    </cfRule>
  </conditionalFormatting>
  <conditionalFormatting sqref="F176">
    <cfRule type="cellIs" dxfId="2097" priority="155" operator="equal">
      <formula>"3-001-2214"</formula>
    </cfRule>
    <cfRule type="cellIs" dxfId="2096" priority="156" operator="equal">
      <formula>"3-001-5204"</formula>
    </cfRule>
    <cfRule type="cellIs" dxfId="2095" priority="157" operator="equal">
      <formula>"3-001-0002"</formula>
    </cfRule>
  </conditionalFormatting>
  <conditionalFormatting sqref="AS176">
    <cfRule type="expression" dxfId="2094" priority="158">
      <formula>IF(L176=AS176,1,0)</formula>
    </cfRule>
  </conditionalFormatting>
  <conditionalFormatting sqref="AS59">
    <cfRule type="expression" dxfId="2093" priority="154">
      <formula>IF(L59=AS59,1,0)</formula>
    </cfRule>
  </conditionalFormatting>
  <conditionalFormatting sqref="F59">
    <cfRule type="cellIs" dxfId="2092" priority="151" operator="equal">
      <formula>"3-001-2214"</formula>
    </cfRule>
    <cfRule type="cellIs" dxfId="2091" priority="152" operator="equal">
      <formula>"3-001-5204"</formula>
    </cfRule>
    <cfRule type="cellIs" dxfId="2090" priority="153" operator="equal">
      <formula>"3-001-0002"</formula>
    </cfRule>
  </conditionalFormatting>
  <conditionalFormatting sqref="F365">
    <cfRule type="cellIs" dxfId="2089" priority="147" operator="equal">
      <formula>"3-001-2214"</formula>
    </cfRule>
    <cfRule type="cellIs" dxfId="2088" priority="148" operator="equal">
      <formula>"3-001-5204"</formula>
    </cfRule>
    <cfRule type="cellIs" dxfId="2087" priority="149" operator="equal">
      <formula>"3-001-0002"</formula>
    </cfRule>
  </conditionalFormatting>
  <conditionalFormatting sqref="AS365">
    <cfRule type="expression" dxfId="2086" priority="150">
      <formula>IF(L365=AS365,1,0)</formula>
    </cfRule>
  </conditionalFormatting>
  <conditionalFormatting sqref="AS331:AS332">
    <cfRule type="expression" dxfId="2085" priority="146">
      <formula>IF(L331=AS331,1,0)</formula>
    </cfRule>
  </conditionalFormatting>
  <conditionalFormatting sqref="F331:F332">
    <cfRule type="cellIs" dxfId="2084" priority="143" operator="equal">
      <formula>"3-001-2214"</formula>
    </cfRule>
    <cfRule type="cellIs" dxfId="2083" priority="144" operator="equal">
      <formula>"3-001-5204"</formula>
    </cfRule>
    <cfRule type="cellIs" dxfId="2082" priority="145" operator="equal">
      <formula>"3-001-0002"</formula>
    </cfRule>
  </conditionalFormatting>
  <conditionalFormatting sqref="F333">
    <cfRule type="cellIs" dxfId="2081" priority="139" operator="equal">
      <formula>"3-001-2214"</formula>
    </cfRule>
    <cfRule type="cellIs" dxfId="2080" priority="140" operator="equal">
      <formula>"3-001-5204"</formula>
    </cfRule>
    <cfRule type="cellIs" dxfId="2079" priority="141" operator="equal">
      <formula>"3-001-0002"</formula>
    </cfRule>
  </conditionalFormatting>
  <conditionalFormatting sqref="AS333">
    <cfRule type="expression" dxfId="2078" priority="142">
      <formula>IF(L333=AS333,1,0)</formula>
    </cfRule>
  </conditionalFormatting>
  <conditionalFormatting sqref="F330">
    <cfRule type="cellIs" dxfId="2077" priority="135" operator="equal">
      <formula>"3-001-2214"</formula>
    </cfRule>
    <cfRule type="cellIs" dxfId="2076" priority="136" operator="equal">
      <formula>"3-001-5204"</formula>
    </cfRule>
    <cfRule type="cellIs" dxfId="2075" priority="137" operator="equal">
      <formula>"3-001-0002"</formula>
    </cfRule>
  </conditionalFormatting>
  <conditionalFormatting sqref="AS330">
    <cfRule type="expression" dxfId="2074" priority="138">
      <formula>IF(L330=AS330,1,0)</formula>
    </cfRule>
  </conditionalFormatting>
  <conditionalFormatting sqref="F300">
    <cfRule type="cellIs" dxfId="2073" priority="131" operator="equal">
      <formula>"3-001-2214"</formula>
    </cfRule>
    <cfRule type="cellIs" dxfId="2072" priority="132" operator="equal">
      <formula>"3-001-5204"</formula>
    </cfRule>
    <cfRule type="cellIs" dxfId="2071" priority="133" operator="equal">
      <formula>"3-001-0002"</formula>
    </cfRule>
  </conditionalFormatting>
  <conditionalFormatting sqref="AS300">
    <cfRule type="expression" dxfId="2070" priority="134">
      <formula>IF(L300=AS300,1,0)</formula>
    </cfRule>
  </conditionalFormatting>
  <conditionalFormatting sqref="AS308">
    <cfRule type="expression" dxfId="2069" priority="130">
      <formula>IF(L308=AS308,1,0)</formula>
    </cfRule>
  </conditionalFormatting>
  <conditionalFormatting sqref="F309">
    <cfRule type="cellIs" dxfId="2068" priority="122" operator="equal">
      <formula>"3-001-2214"</formula>
    </cfRule>
    <cfRule type="cellIs" dxfId="2067" priority="123" operator="equal">
      <formula>"3-001-5204"</formula>
    </cfRule>
    <cfRule type="cellIs" dxfId="2066" priority="124" operator="equal">
      <formula>"3-001-0002"</formula>
    </cfRule>
  </conditionalFormatting>
  <conditionalFormatting sqref="AS309">
    <cfRule type="expression" dxfId="2065" priority="125">
      <formula>IF(L309=AS309,1,0)</formula>
    </cfRule>
  </conditionalFormatting>
  <conditionalFormatting sqref="F301:F306 F308">
    <cfRule type="cellIs" dxfId="2064" priority="126" operator="equal">
      <formula>"3-001-2214"</formula>
    </cfRule>
    <cfRule type="cellIs" dxfId="2063" priority="127" operator="equal">
      <formula>"3-001-5204"</formula>
    </cfRule>
    <cfRule type="cellIs" dxfId="2062" priority="128" operator="equal">
      <formula>"3-001-0002"</formula>
    </cfRule>
  </conditionalFormatting>
  <conditionalFormatting sqref="AS301:AS306">
    <cfRule type="expression" dxfId="2061" priority="129">
      <formula>IF(L301=AS301,1,0)</formula>
    </cfRule>
  </conditionalFormatting>
  <conditionalFormatting sqref="F307">
    <cfRule type="cellIs" dxfId="2060" priority="118" operator="equal">
      <formula>"3-001-2214"</formula>
    </cfRule>
    <cfRule type="cellIs" dxfId="2059" priority="119" operator="equal">
      <formula>"3-001-5204"</formula>
    </cfRule>
    <cfRule type="cellIs" dxfId="2058" priority="120" operator="equal">
      <formula>"3-001-0002"</formula>
    </cfRule>
  </conditionalFormatting>
  <conditionalFormatting sqref="AS307">
    <cfRule type="expression" dxfId="2057" priority="121">
      <formula>IF(L307=AS307,1,0)</formula>
    </cfRule>
  </conditionalFormatting>
  <conditionalFormatting sqref="F84">
    <cfRule type="cellIs" dxfId="2056" priority="114" operator="equal">
      <formula>"3-001-2214"</formula>
    </cfRule>
    <cfRule type="cellIs" dxfId="2055" priority="115" operator="equal">
      <formula>"3-001-5204"</formula>
    </cfRule>
    <cfRule type="cellIs" dxfId="2054" priority="116" operator="equal">
      <formula>"3-001-0002"</formula>
    </cfRule>
  </conditionalFormatting>
  <conditionalFormatting sqref="AS84">
    <cfRule type="expression" dxfId="2053" priority="117">
      <formula>IF(L84=AS84,1,0)</formula>
    </cfRule>
  </conditionalFormatting>
  <conditionalFormatting sqref="AS203">
    <cfRule type="expression" dxfId="2052" priority="113">
      <formula>IF(L203=AS203,1,0)</formula>
    </cfRule>
  </conditionalFormatting>
  <conditionalFormatting sqref="F203">
    <cfRule type="cellIs" dxfId="2051" priority="110" operator="equal">
      <formula>"3-001-2214"</formula>
    </cfRule>
    <cfRule type="cellIs" dxfId="2050" priority="111" operator="equal">
      <formula>"3-001-5204"</formula>
    </cfRule>
    <cfRule type="cellIs" dxfId="2049" priority="112" operator="equal">
      <formula>"3-001-0002"</formula>
    </cfRule>
  </conditionalFormatting>
  <conditionalFormatting sqref="F313">
    <cfRule type="cellIs" dxfId="2048" priority="106" operator="equal">
      <formula>"3-001-2214"</formula>
    </cfRule>
    <cfRule type="cellIs" dxfId="2047" priority="107" operator="equal">
      <formula>"3-001-5204"</formula>
    </cfRule>
    <cfRule type="cellIs" dxfId="2046" priority="108" operator="equal">
      <formula>"3-001-0002"</formula>
    </cfRule>
  </conditionalFormatting>
  <conditionalFormatting sqref="AS313">
    <cfRule type="expression" dxfId="2045" priority="109">
      <formula>IF(L313=AS313,1,0)</formula>
    </cfRule>
  </conditionalFormatting>
  <conditionalFormatting sqref="L6:L8 O6:S8">
    <cfRule type="cellIs" dxfId="2044" priority="105" operator="notEqual">
      <formula>0</formula>
    </cfRule>
  </conditionalFormatting>
  <conditionalFormatting sqref="F370">
    <cfRule type="cellIs" dxfId="2043" priority="101" operator="equal">
      <formula>"3-001-2214"</formula>
    </cfRule>
    <cfRule type="cellIs" dxfId="2042" priority="102" operator="equal">
      <formula>"3-001-5204"</formula>
    </cfRule>
    <cfRule type="cellIs" dxfId="2041" priority="103" operator="equal">
      <formula>"3-001-0002"</formula>
    </cfRule>
  </conditionalFormatting>
  <conditionalFormatting sqref="AS370">
    <cfRule type="expression" dxfId="2040" priority="104">
      <formula>IF(L370=AS370,1,0)</formula>
    </cfRule>
  </conditionalFormatting>
  <conditionalFormatting sqref="F115">
    <cfRule type="cellIs" dxfId="2039" priority="97" operator="equal">
      <formula>"3-001-2214"</formula>
    </cfRule>
    <cfRule type="cellIs" dxfId="2038" priority="98" operator="equal">
      <formula>"3-001-5204"</formula>
    </cfRule>
    <cfRule type="cellIs" dxfId="2037" priority="99" operator="equal">
      <formula>"3-001-0002"</formula>
    </cfRule>
  </conditionalFormatting>
  <conditionalFormatting sqref="AS115">
    <cfRule type="expression" dxfId="2036" priority="100">
      <formula>IF(L115=AS115,1,0)</formula>
    </cfRule>
  </conditionalFormatting>
  <conditionalFormatting sqref="F113">
    <cfRule type="cellIs" dxfId="2035" priority="93" operator="equal">
      <formula>"3-001-2214"</formula>
    </cfRule>
    <cfRule type="cellIs" dxfId="2034" priority="94" operator="equal">
      <formula>"3-001-5204"</formula>
    </cfRule>
    <cfRule type="cellIs" dxfId="2033" priority="95" operator="equal">
      <formula>"3-001-0002"</formula>
    </cfRule>
  </conditionalFormatting>
  <conditionalFormatting sqref="AS113">
    <cfRule type="expression" dxfId="2032" priority="96">
      <formula>IF(L113=AS113,1,0)</formula>
    </cfRule>
  </conditionalFormatting>
  <conditionalFormatting sqref="F112">
    <cfRule type="cellIs" dxfId="2031" priority="89" operator="equal">
      <formula>"3-001-2214"</formula>
    </cfRule>
    <cfRule type="cellIs" dxfId="2030" priority="90" operator="equal">
      <formula>"3-001-5204"</formula>
    </cfRule>
    <cfRule type="cellIs" dxfId="2029" priority="91" operator="equal">
      <formula>"3-001-0002"</formula>
    </cfRule>
  </conditionalFormatting>
  <conditionalFormatting sqref="AS112">
    <cfRule type="expression" dxfId="2028" priority="92">
      <formula>IF(L112=AS112,1,0)</formula>
    </cfRule>
  </conditionalFormatting>
  <conditionalFormatting sqref="F111">
    <cfRule type="cellIs" dxfId="2027" priority="85" operator="equal">
      <formula>"3-001-2214"</formula>
    </cfRule>
    <cfRule type="cellIs" dxfId="2026" priority="86" operator="equal">
      <formula>"3-001-5204"</formula>
    </cfRule>
    <cfRule type="cellIs" dxfId="2025" priority="87" operator="equal">
      <formula>"3-001-0002"</formula>
    </cfRule>
  </conditionalFormatting>
  <conditionalFormatting sqref="AS111">
    <cfRule type="expression" dxfId="2024" priority="88">
      <formula>IF(L111=AS111,1,0)</formula>
    </cfRule>
  </conditionalFormatting>
  <conditionalFormatting sqref="AS180">
    <cfRule type="expression" dxfId="2023" priority="84">
      <formula>IF(L180=AS180,1,0)</formula>
    </cfRule>
  </conditionalFormatting>
  <conditionalFormatting sqref="F180">
    <cfRule type="cellIs" dxfId="2022" priority="81" operator="equal">
      <formula>"3-001-2214"</formula>
    </cfRule>
    <cfRule type="cellIs" dxfId="2021" priority="82" operator="equal">
      <formula>"3-001-5204"</formula>
    </cfRule>
    <cfRule type="cellIs" dxfId="2020" priority="83" operator="equal">
      <formula>"3-001-0002"</formula>
    </cfRule>
  </conditionalFormatting>
  <conditionalFormatting sqref="AS121">
    <cfRule type="expression" dxfId="2019" priority="80">
      <formula>IF(L121=AS121,1,0)</formula>
    </cfRule>
  </conditionalFormatting>
  <conditionalFormatting sqref="F121">
    <cfRule type="cellIs" dxfId="2018" priority="77" operator="equal">
      <formula>"3-001-2214"</formula>
    </cfRule>
    <cfRule type="cellIs" dxfId="2017" priority="78" operator="equal">
      <formula>"3-001-5204"</formula>
    </cfRule>
    <cfRule type="cellIs" dxfId="2016" priority="79" operator="equal">
      <formula>"3-001-0002"</formula>
    </cfRule>
  </conditionalFormatting>
  <conditionalFormatting sqref="F160">
    <cfRule type="cellIs" dxfId="2015" priority="73" operator="equal">
      <formula>"3-001-2214"</formula>
    </cfRule>
    <cfRule type="cellIs" dxfId="2014" priority="74" operator="equal">
      <formula>"3-001-5204"</formula>
    </cfRule>
    <cfRule type="cellIs" dxfId="2013" priority="75" operator="equal">
      <formula>"3-001-0002"</formula>
    </cfRule>
  </conditionalFormatting>
  <conditionalFormatting sqref="AS160">
    <cfRule type="expression" dxfId="2012" priority="76">
      <formula>IF(L160=AS160,1,0)</formula>
    </cfRule>
  </conditionalFormatting>
  <conditionalFormatting sqref="F159">
    <cfRule type="cellIs" dxfId="2011" priority="69" operator="equal">
      <formula>"3-001-2214"</formula>
    </cfRule>
    <cfRule type="cellIs" dxfId="2010" priority="70" operator="equal">
      <formula>"3-001-5204"</formula>
    </cfRule>
    <cfRule type="cellIs" dxfId="2009" priority="71" operator="equal">
      <formula>"3-001-0002"</formula>
    </cfRule>
  </conditionalFormatting>
  <conditionalFormatting sqref="AS159">
    <cfRule type="expression" dxfId="2008" priority="72">
      <formula>IF(L159=AS159,1,0)</formula>
    </cfRule>
  </conditionalFormatting>
  <conditionalFormatting sqref="F107">
    <cfRule type="cellIs" dxfId="2007" priority="65" operator="equal">
      <formula>"3-001-2214"</formula>
    </cfRule>
    <cfRule type="cellIs" dxfId="2006" priority="66" operator="equal">
      <formula>"3-001-5204"</formula>
    </cfRule>
    <cfRule type="cellIs" dxfId="2005" priority="67" operator="equal">
      <formula>"3-001-0002"</formula>
    </cfRule>
  </conditionalFormatting>
  <conditionalFormatting sqref="AS107">
    <cfRule type="expression" dxfId="2004" priority="68">
      <formula>IF(L107=AS107,1,0)</formula>
    </cfRule>
  </conditionalFormatting>
  <conditionalFormatting sqref="F188">
    <cfRule type="cellIs" dxfId="2003" priority="61" operator="equal">
      <formula>"3-001-2214"</formula>
    </cfRule>
    <cfRule type="cellIs" dxfId="2002" priority="62" operator="equal">
      <formula>"3-001-5204"</formula>
    </cfRule>
    <cfRule type="cellIs" dxfId="2001" priority="63" operator="equal">
      <formula>"3-001-0002"</formula>
    </cfRule>
  </conditionalFormatting>
  <conditionalFormatting sqref="AS188">
    <cfRule type="expression" dxfId="2000" priority="64">
      <formula>IF(L188=AS188,1,0)</formula>
    </cfRule>
  </conditionalFormatting>
  <conditionalFormatting sqref="F298">
    <cfRule type="cellIs" dxfId="1999" priority="57" operator="equal">
      <formula>"3-001-2214"</formula>
    </cfRule>
    <cfRule type="cellIs" dxfId="1998" priority="58" operator="equal">
      <formula>"3-001-5204"</formula>
    </cfRule>
    <cfRule type="cellIs" dxfId="1997" priority="59" operator="equal">
      <formula>"3-001-0002"</formula>
    </cfRule>
  </conditionalFormatting>
  <conditionalFormatting sqref="AS298">
    <cfRule type="expression" dxfId="1996" priority="60">
      <formula>IF(L298=AS298,1,0)</formula>
    </cfRule>
  </conditionalFormatting>
  <conditionalFormatting sqref="AS181">
    <cfRule type="expression" dxfId="1995" priority="56">
      <formula>IF(L181=AS181,1,0)</formula>
    </cfRule>
  </conditionalFormatting>
  <conditionalFormatting sqref="F181">
    <cfRule type="cellIs" dxfId="1994" priority="53" operator="equal">
      <formula>"3-001-2214"</formula>
    </cfRule>
    <cfRule type="cellIs" dxfId="1993" priority="54" operator="equal">
      <formula>"3-001-5204"</formula>
    </cfRule>
    <cfRule type="cellIs" dxfId="1992" priority="55" operator="equal">
      <formula>"3-001-0002"</formula>
    </cfRule>
  </conditionalFormatting>
  <conditionalFormatting sqref="AS182">
    <cfRule type="expression" dxfId="1991" priority="52">
      <formula>IF(L182=AS182,1,0)</formula>
    </cfRule>
  </conditionalFormatting>
  <conditionalFormatting sqref="F182">
    <cfRule type="cellIs" dxfId="1990" priority="49" operator="equal">
      <formula>"3-001-2214"</formula>
    </cfRule>
    <cfRule type="cellIs" dxfId="1989" priority="50" operator="equal">
      <formula>"3-001-5204"</formula>
    </cfRule>
    <cfRule type="cellIs" dxfId="1988" priority="51" operator="equal">
      <formula>"3-001-0002"</formula>
    </cfRule>
  </conditionalFormatting>
  <conditionalFormatting sqref="F371">
    <cfRule type="cellIs" dxfId="1987" priority="45" operator="equal">
      <formula>"3-001-2214"</formula>
    </cfRule>
    <cfRule type="cellIs" dxfId="1986" priority="46" operator="equal">
      <formula>"3-001-5204"</formula>
    </cfRule>
    <cfRule type="cellIs" dxfId="1985" priority="47" operator="equal">
      <formula>"3-001-0002"</formula>
    </cfRule>
  </conditionalFormatting>
  <conditionalFormatting sqref="AS371">
    <cfRule type="expression" dxfId="1984" priority="48">
      <formula>IF(L371=AS371,1,0)</formula>
    </cfRule>
  </conditionalFormatting>
  <conditionalFormatting sqref="F372">
    <cfRule type="cellIs" dxfId="1983" priority="41" operator="equal">
      <formula>"3-001-2214"</formula>
    </cfRule>
    <cfRule type="cellIs" dxfId="1982" priority="42" operator="equal">
      <formula>"3-001-5204"</formula>
    </cfRule>
    <cfRule type="cellIs" dxfId="1981" priority="43" operator="equal">
      <formula>"3-001-0002"</formula>
    </cfRule>
  </conditionalFormatting>
  <conditionalFormatting sqref="AS372">
    <cfRule type="expression" dxfId="1980" priority="44">
      <formula>IF(L372=AS372,1,0)</formula>
    </cfRule>
  </conditionalFormatting>
  <conditionalFormatting sqref="F373">
    <cfRule type="cellIs" dxfId="1979" priority="37" operator="equal">
      <formula>"3-001-2214"</formula>
    </cfRule>
    <cfRule type="cellIs" dxfId="1978" priority="38" operator="equal">
      <formula>"3-001-5204"</formula>
    </cfRule>
    <cfRule type="cellIs" dxfId="1977" priority="39" operator="equal">
      <formula>"3-001-0002"</formula>
    </cfRule>
  </conditionalFormatting>
  <conditionalFormatting sqref="AS373">
    <cfRule type="expression" dxfId="1976" priority="40">
      <formula>IF(L373=AS373,1,0)</formula>
    </cfRule>
  </conditionalFormatting>
  <conditionalFormatting sqref="F344">
    <cfRule type="cellIs" dxfId="1975" priority="33" operator="equal">
      <formula>"3-001-2214"</formula>
    </cfRule>
    <cfRule type="cellIs" dxfId="1974" priority="34" operator="equal">
      <formula>"3-001-5204"</formula>
    </cfRule>
    <cfRule type="cellIs" dxfId="1973" priority="35" operator="equal">
      <formula>"3-001-0002"</formula>
    </cfRule>
  </conditionalFormatting>
  <conditionalFormatting sqref="AS344">
    <cfRule type="expression" dxfId="1972" priority="36">
      <formula>IF(L344=AS344,1,0)</formula>
    </cfRule>
  </conditionalFormatting>
  <conditionalFormatting sqref="F114">
    <cfRule type="cellIs" dxfId="1971" priority="29" operator="equal">
      <formula>"3-001-2214"</formula>
    </cfRule>
    <cfRule type="cellIs" dxfId="1970" priority="30" operator="equal">
      <formula>"3-001-5204"</formula>
    </cfRule>
    <cfRule type="cellIs" dxfId="1969" priority="31" operator="equal">
      <formula>"3-001-0002"</formula>
    </cfRule>
  </conditionalFormatting>
  <conditionalFormatting sqref="AS114">
    <cfRule type="expression" dxfId="1968" priority="32">
      <formula>IF(L114=AS114,1,0)</formula>
    </cfRule>
  </conditionalFormatting>
  <conditionalFormatting sqref="AS183">
    <cfRule type="expression" dxfId="1967" priority="28">
      <formula>IF(L183=AS183,1,0)</formula>
    </cfRule>
  </conditionalFormatting>
  <conditionalFormatting sqref="F183">
    <cfRule type="cellIs" dxfId="1966" priority="25" operator="equal">
      <formula>"3-001-2214"</formula>
    </cfRule>
    <cfRule type="cellIs" dxfId="1965" priority="26" operator="equal">
      <formula>"3-001-5204"</formula>
    </cfRule>
    <cfRule type="cellIs" dxfId="1964" priority="27" operator="equal">
      <formula>"3-001-0002"</formula>
    </cfRule>
  </conditionalFormatting>
  <conditionalFormatting sqref="AS184">
    <cfRule type="expression" dxfId="1963" priority="24">
      <formula>IF(L184=AS184,1,0)</formula>
    </cfRule>
  </conditionalFormatting>
  <conditionalFormatting sqref="F184">
    <cfRule type="cellIs" dxfId="1962" priority="21" operator="equal">
      <formula>"3-001-2214"</formula>
    </cfRule>
    <cfRule type="cellIs" dxfId="1961" priority="22" operator="equal">
      <formula>"3-001-5204"</formula>
    </cfRule>
    <cfRule type="cellIs" dxfId="1960" priority="23" operator="equal">
      <formula>"3-001-0002"</formula>
    </cfRule>
  </conditionalFormatting>
  <conditionalFormatting sqref="F189">
    <cfRule type="cellIs" dxfId="1959" priority="17" operator="equal">
      <formula>"3-001-2214"</formula>
    </cfRule>
    <cfRule type="cellIs" dxfId="1958" priority="18" operator="equal">
      <formula>"3-001-5204"</formula>
    </cfRule>
    <cfRule type="cellIs" dxfId="1957" priority="19" operator="equal">
      <formula>"3-001-0002"</formula>
    </cfRule>
  </conditionalFormatting>
  <conditionalFormatting sqref="AS189">
    <cfRule type="expression" dxfId="1956" priority="20">
      <formula>IF(L189=AS189,1,0)</formula>
    </cfRule>
  </conditionalFormatting>
  <conditionalFormatting sqref="F192">
    <cfRule type="cellIs" dxfId="1955" priority="13" operator="equal">
      <formula>"3-001-2214"</formula>
    </cfRule>
    <cfRule type="cellIs" dxfId="1954" priority="14" operator="equal">
      <formula>"3-001-5204"</formula>
    </cfRule>
    <cfRule type="cellIs" dxfId="1953" priority="15" operator="equal">
      <formula>"3-001-0002"</formula>
    </cfRule>
  </conditionalFormatting>
  <conditionalFormatting sqref="AS192">
    <cfRule type="expression" dxfId="1952" priority="16">
      <formula>IF(L192=AS192,1,0)</formula>
    </cfRule>
  </conditionalFormatting>
  <conditionalFormatting sqref="F191">
    <cfRule type="cellIs" dxfId="1951" priority="9" operator="equal">
      <formula>"3-001-2214"</formula>
    </cfRule>
    <cfRule type="cellIs" dxfId="1950" priority="10" operator="equal">
      <formula>"3-001-5204"</formula>
    </cfRule>
    <cfRule type="cellIs" dxfId="1949" priority="11" operator="equal">
      <formula>"3-001-0002"</formula>
    </cfRule>
  </conditionalFormatting>
  <conditionalFormatting sqref="AS191">
    <cfRule type="expression" dxfId="1948" priority="12">
      <formula>IF(L191=AS191,1,0)</formula>
    </cfRule>
  </conditionalFormatting>
  <conditionalFormatting sqref="F190">
    <cfRule type="cellIs" dxfId="1947" priority="5" operator="equal">
      <formula>"3-001-2214"</formula>
    </cfRule>
    <cfRule type="cellIs" dxfId="1946" priority="6" operator="equal">
      <formula>"3-001-5204"</formula>
    </cfRule>
    <cfRule type="cellIs" dxfId="1945" priority="7" operator="equal">
      <formula>"3-001-0002"</formula>
    </cfRule>
  </conditionalFormatting>
  <conditionalFormatting sqref="AS190">
    <cfRule type="expression" dxfId="1944" priority="8">
      <formula>IF(L190=AS190,1,0)</formula>
    </cfRule>
  </conditionalFormatting>
  <conditionalFormatting sqref="F193">
    <cfRule type="cellIs" dxfId="1943" priority="1" operator="equal">
      <formula>"3-001-2214"</formula>
    </cfRule>
    <cfRule type="cellIs" dxfId="1942" priority="2" operator="equal">
      <formula>"3-001-5204"</formula>
    </cfRule>
    <cfRule type="cellIs" dxfId="1941" priority="3" operator="equal">
      <formula>"3-001-0002"</formula>
    </cfRule>
  </conditionalFormatting>
  <conditionalFormatting sqref="AS193">
    <cfRule type="expression" dxfId="1940" priority="4">
      <formula>IF(L193=AS193,1,0)</formula>
    </cfRule>
  </conditionalFormatting>
  <printOptions horizontalCentered="1"/>
  <pageMargins left="0.23622047244094491" right="0.23622047244094491" top="0.35433070866141736" bottom="0.35433070866141736" header="0.31496062992125984" footer="0.31496062992125984"/>
  <pageSetup paperSize="9" scale="10" fitToHeight="2" orientation="portrait" r:id="rId1"/>
  <headerFooter alignWithMargins="0"/>
  <legacyDrawing r:id="rId2"/>
  <extLst>
    <ext xmlns:x14="http://schemas.microsoft.com/office/spreadsheetml/2009/9/main" uri="{78C0D931-6437-407d-A8EE-F0AAD7539E65}">
      <x14:conditionalFormattings>
        <x14:conditionalFormatting xmlns:xm="http://schemas.microsoft.com/office/excel/2006/main">
          <x14:cfRule type="expression" priority="1058" id="{68E9519C-B1A6-4B0F-8D6B-56395065E5CC}">
            <xm:f>IF('добавятся в 2021'!J119='добавятся в 2021'!AP119,1,0)</xm:f>
            <x14:dxf>
              <fill>
                <patternFill>
                  <bgColor rgb="FF00B050"/>
                </patternFill>
              </fill>
            </x14:dxf>
          </x14:cfRule>
          <xm:sqref>AS205:AS210</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4">
    <tabColor rgb="FF66FF66"/>
    <pageSetUpPr fitToPage="1"/>
  </sheetPr>
  <dimension ref="A1:R40"/>
  <sheetViews>
    <sheetView view="pageBreakPreview" zoomScale="55" zoomScaleNormal="75" zoomScaleSheetLayoutView="55" zoomScalePageLayoutView="85" workbookViewId="0">
      <selection activeCell="K12" sqref="K12"/>
    </sheetView>
  </sheetViews>
  <sheetFormatPr defaultRowHeight="24" customHeight="1"/>
  <cols>
    <col min="1" max="1" width="19.28515625" customWidth="1"/>
    <col min="2" max="2" width="12.42578125" customWidth="1"/>
    <col min="3" max="3" width="34.85546875" customWidth="1"/>
    <col min="4" max="4" width="9.7109375" customWidth="1"/>
    <col min="5" max="5" width="13" customWidth="1"/>
    <col min="6" max="6" width="46.42578125" customWidth="1"/>
    <col min="7" max="7" width="21.5703125" customWidth="1"/>
    <col min="8" max="8" width="16.85546875" hidden="1" customWidth="1"/>
    <col min="9" max="10" width="21.5703125" customWidth="1"/>
    <col min="11" max="11" width="100.140625" style="756" customWidth="1"/>
    <col min="12" max="12" width="10.5703125" bestFit="1" customWidth="1"/>
    <col min="14" max="14" width="12.28515625" bestFit="1" customWidth="1"/>
  </cols>
  <sheetData>
    <row r="1" spans="1:12" s="755" customFormat="1" ht="44.25" customHeight="1">
      <c r="A1" s="753" t="s">
        <v>475</v>
      </c>
      <c r="B1" s="977"/>
      <c r="C1" s="977"/>
      <c r="D1" s="977"/>
      <c r="E1" s="978"/>
      <c r="F1" s="978"/>
      <c r="G1" s="978"/>
      <c r="H1" s="978"/>
      <c r="I1" s="978"/>
      <c r="J1" s="978"/>
      <c r="K1" s="159"/>
    </row>
    <row r="2" spans="1:12" s="755" customFormat="1" ht="33" customHeight="1">
      <c r="A2" s="757" t="s">
        <v>781</v>
      </c>
      <c r="B2" s="977"/>
      <c r="C2" s="977"/>
      <c r="D2" s="977"/>
      <c r="E2" s="978"/>
      <c r="F2" s="978"/>
      <c r="G2" s="978"/>
      <c r="H2" s="978"/>
      <c r="I2" s="978"/>
      <c r="J2" s="978"/>
      <c r="K2" s="159"/>
    </row>
    <row r="3" spans="1:12" s="755" customFormat="1" ht="37.5" customHeight="1">
      <c r="A3" s="757" t="s">
        <v>782</v>
      </c>
      <c r="B3" s="977"/>
      <c r="C3" s="977"/>
      <c r="D3" s="977"/>
      <c r="E3" s="978"/>
      <c r="F3" s="978"/>
      <c r="G3" s="978"/>
      <c r="H3" s="978"/>
      <c r="I3" s="978"/>
      <c r="J3" s="978"/>
      <c r="K3" s="159"/>
    </row>
    <row r="4" spans="1:12" s="755" customFormat="1" ht="60.75" customHeight="1">
      <c r="A4" s="757" t="s">
        <v>106</v>
      </c>
      <c r="B4" s="977"/>
      <c r="C4" s="977"/>
      <c r="D4" s="977"/>
      <c r="E4" s="978"/>
      <c r="F4" s="978"/>
      <c r="G4" s="978"/>
      <c r="H4" s="978"/>
      <c r="I4" s="978"/>
      <c r="J4" s="978"/>
      <c r="K4" s="159"/>
    </row>
    <row r="5" spans="1:12" s="755" customFormat="1" ht="42" customHeight="1">
      <c r="A5" s="757" t="s">
        <v>437</v>
      </c>
      <c r="B5" s="977"/>
      <c r="C5" s="977"/>
      <c r="D5" s="977"/>
      <c r="E5" s="978"/>
      <c r="F5" s="978"/>
      <c r="G5" s="978"/>
      <c r="H5" s="978"/>
      <c r="I5" s="978"/>
      <c r="J5" s="978"/>
      <c r="K5" s="159"/>
    </row>
    <row r="6" spans="1:12" ht="24" customHeight="1">
      <c r="A6" s="979"/>
      <c r="B6" s="979"/>
      <c r="C6" s="979"/>
      <c r="D6" s="980"/>
      <c r="E6" s="980"/>
      <c r="F6" s="980"/>
      <c r="G6" s="980"/>
      <c r="H6" s="980"/>
      <c r="I6" s="980"/>
      <c r="J6" s="980"/>
      <c r="K6" s="159"/>
    </row>
    <row r="7" spans="1:12" ht="69" customHeight="1">
      <c r="A7" s="1510" t="s">
        <v>791</v>
      </c>
      <c r="B7" s="1510"/>
      <c r="C7" s="1510"/>
      <c r="D7" s="1510"/>
      <c r="E7" s="1510"/>
      <c r="F7" s="1510"/>
      <c r="G7" s="1510"/>
      <c r="H7" s="1510"/>
      <c r="I7" s="1510"/>
      <c r="J7" s="1510"/>
      <c r="K7" s="1510"/>
    </row>
    <row r="8" spans="1:12" ht="24" customHeight="1">
      <c r="A8" s="980"/>
      <c r="B8" s="980"/>
      <c r="C8" s="980"/>
      <c r="D8" s="980"/>
      <c r="E8" s="980"/>
      <c r="F8" s="980"/>
      <c r="G8" s="980"/>
      <c r="H8" s="980"/>
      <c r="I8" s="980"/>
      <c r="J8" s="980"/>
      <c r="K8" s="159"/>
    </row>
    <row r="9" spans="1:12" s="989" customFormat="1" ht="51" customHeight="1">
      <c r="A9" s="1182" t="s">
        <v>1</v>
      </c>
      <c r="B9" s="1182" t="s">
        <v>2</v>
      </c>
      <c r="C9" s="1522" t="s">
        <v>80</v>
      </c>
      <c r="D9" s="1522"/>
      <c r="E9" s="1522"/>
      <c r="F9" s="1182" t="s">
        <v>81</v>
      </c>
      <c r="G9" s="1182" t="s">
        <v>82</v>
      </c>
      <c r="H9" s="1182"/>
      <c r="I9" s="1182" t="s">
        <v>83</v>
      </c>
      <c r="J9" s="1182" t="s">
        <v>84</v>
      </c>
      <c r="K9" s="1182" t="s">
        <v>85</v>
      </c>
      <c r="L9" s="990"/>
    </row>
    <row r="10" spans="1:12" s="758" customFormat="1" ht="21">
      <c r="A10" s="1523" t="s">
        <v>86</v>
      </c>
      <c r="B10" s="1523"/>
      <c r="C10" s="1523"/>
      <c r="D10" s="1523"/>
      <c r="E10" s="1523"/>
      <c r="F10" s="1523"/>
      <c r="G10" s="1523"/>
      <c r="H10" s="1523"/>
      <c r="I10" s="1523"/>
      <c r="J10" s="1523"/>
      <c r="K10" s="1523"/>
    </row>
    <row r="11" spans="1:12" s="758" customFormat="1" ht="23.25" customHeight="1">
      <c r="A11" s="1524" t="s">
        <v>788</v>
      </c>
      <c r="B11" s="1524"/>
      <c r="C11" s="1524"/>
      <c r="D11" s="1524"/>
      <c r="E11" s="1524"/>
      <c r="F11" s="1524"/>
      <c r="G11" s="1524"/>
      <c r="H11" s="1524"/>
      <c r="I11" s="1524"/>
      <c r="J11" s="1524"/>
      <c r="K11" s="1524"/>
    </row>
    <row r="12" spans="1:12" s="758" customFormat="1" ht="86.25" customHeight="1">
      <c r="A12" s="1185" t="s">
        <v>7</v>
      </c>
      <c r="B12" s="1185">
        <v>4</v>
      </c>
      <c r="C12" s="1528" t="s">
        <v>787</v>
      </c>
      <c r="D12" s="1529"/>
      <c r="E12" s="1530"/>
      <c r="F12" s="1537" t="s">
        <v>849</v>
      </c>
      <c r="G12" s="173">
        <f>50522159.64-1076526.32</f>
        <v>49445633.32</v>
      </c>
      <c r="H12" s="173"/>
      <c r="I12" s="173">
        <v>10458445.41</v>
      </c>
      <c r="J12" s="173">
        <f>G12+I12</f>
        <v>59904078.729999997</v>
      </c>
      <c r="K12" s="1190" t="s">
        <v>850</v>
      </c>
    </row>
    <row r="13" spans="1:12" s="989" customFormat="1" ht="33.75" customHeight="1">
      <c r="A13" s="1183" t="s">
        <v>31</v>
      </c>
      <c r="B13" s="1182">
        <v>4</v>
      </c>
      <c r="C13" s="1531"/>
      <c r="D13" s="1532"/>
      <c r="E13" s="1533"/>
      <c r="F13" s="1538"/>
      <c r="G13" s="764">
        <v>715900</v>
      </c>
      <c r="H13" s="202"/>
      <c r="I13" s="202">
        <v>79500</v>
      </c>
      <c r="J13" s="764">
        <f t="shared" ref="J13:J15" si="0">G13+I13</f>
        <v>795400</v>
      </c>
      <c r="K13" s="1525" t="s">
        <v>846</v>
      </c>
    </row>
    <row r="14" spans="1:12" s="989" customFormat="1" ht="33.75" customHeight="1">
      <c r="A14" s="1183" t="s">
        <v>30</v>
      </c>
      <c r="B14" s="1182">
        <v>4</v>
      </c>
      <c r="C14" s="1531"/>
      <c r="D14" s="1532"/>
      <c r="E14" s="1533"/>
      <c r="F14" s="1538"/>
      <c r="G14" s="764">
        <v>306800</v>
      </c>
      <c r="H14" s="202"/>
      <c r="I14" s="202">
        <v>34100</v>
      </c>
      <c r="J14" s="764">
        <f t="shared" si="0"/>
        <v>340900</v>
      </c>
      <c r="K14" s="1526"/>
    </row>
    <row r="15" spans="1:12" s="989" customFormat="1" ht="33.75" customHeight="1">
      <c r="A15" s="1183" t="s">
        <v>7</v>
      </c>
      <c r="B15" s="1182">
        <v>4</v>
      </c>
      <c r="C15" s="1534"/>
      <c r="D15" s="1535"/>
      <c r="E15" s="1536"/>
      <c r="F15" s="1539"/>
      <c r="G15" s="764">
        <v>53826.32</v>
      </c>
      <c r="H15" s="202"/>
      <c r="I15" s="202">
        <v>5978.94</v>
      </c>
      <c r="J15" s="764">
        <f t="shared" si="0"/>
        <v>59805.26</v>
      </c>
      <c r="K15" s="1527"/>
    </row>
    <row r="16" spans="1:12" s="763" customFormat="1" ht="21">
      <c r="A16" s="1514" t="s">
        <v>104</v>
      </c>
      <c r="B16" s="1515"/>
      <c r="C16" s="1515"/>
      <c r="D16" s="1515"/>
      <c r="E16" s="1515"/>
      <c r="F16" s="1516"/>
      <c r="G16" s="198">
        <f>SUM(G12:G15)</f>
        <v>50522159.640000001</v>
      </c>
      <c r="H16" s="198">
        <f t="shared" ref="H16:J16" si="1">SUM(H12:H15)</f>
        <v>0</v>
      </c>
      <c r="I16" s="198">
        <f t="shared" si="1"/>
        <v>10578024.35</v>
      </c>
      <c r="J16" s="198">
        <f t="shared" si="1"/>
        <v>61100183.990000002</v>
      </c>
      <c r="K16" s="762"/>
    </row>
    <row r="17" spans="1:18" s="758" customFormat="1" ht="27.75" customHeight="1">
      <c r="A17" s="1523" t="s">
        <v>87</v>
      </c>
      <c r="B17" s="1523"/>
      <c r="C17" s="1523"/>
      <c r="D17" s="1523"/>
      <c r="E17" s="1523"/>
      <c r="F17" s="1523"/>
      <c r="G17" s="1523"/>
      <c r="H17" s="1523"/>
      <c r="I17" s="1523"/>
      <c r="J17" s="1523"/>
      <c r="K17" s="1523"/>
    </row>
    <row r="18" spans="1:18" s="758" customFormat="1" ht="44.25" customHeight="1">
      <c r="A18" s="1182" t="s">
        <v>1</v>
      </c>
      <c r="B18" s="1182" t="s">
        <v>2</v>
      </c>
      <c r="C18" s="1182" t="s">
        <v>3</v>
      </c>
      <c r="D18" s="1182" t="s">
        <v>4</v>
      </c>
      <c r="E18" s="1182" t="s">
        <v>5</v>
      </c>
      <c r="F18" s="1182" t="s">
        <v>6</v>
      </c>
      <c r="G18" s="1182" t="s">
        <v>82</v>
      </c>
      <c r="H18" s="1182"/>
      <c r="I18" s="1182" t="s">
        <v>83</v>
      </c>
      <c r="J18" s="1182" t="s">
        <v>84</v>
      </c>
      <c r="K18" s="1182" t="s">
        <v>85</v>
      </c>
    </row>
    <row r="19" spans="1:18" s="989" customFormat="1" ht="24" customHeight="1">
      <c r="A19" s="1524" t="s">
        <v>794</v>
      </c>
      <c r="B19" s="1524"/>
      <c r="C19" s="1524"/>
      <c r="D19" s="1524"/>
      <c r="E19" s="1524"/>
      <c r="F19" s="1524"/>
      <c r="G19" s="1524"/>
      <c r="H19" s="1524"/>
      <c r="I19" s="1524"/>
      <c r="J19" s="1524"/>
      <c r="K19" s="1524"/>
      <c r="L19" s="990"/>
      <c r="M19" s="990"/>
      <c r="N19" s="990"/>
      <c r="O19" s="990"/>
      <c r="P19" s="990"/>
      <c r="Q19" s="990"/>
      <c r="R19" s="990"/>
    </row>
    <row r="20" spans="1:18" s="989" customFormat="1" ht="33.75" customHeight="1">
      <c r="A20" s="1185" t="s">
        <v>7</v>
      </c>
      <c r="B20" s="1184">
        <v>4</v>
      </c>
      <c r="C20" s="1185" t="s">
        <v>69</v>
      </c>
      <c r="D20" s="1185">
        <v>111</v>
      </c>
      <c r="E20" s="1185">
        <v>211</v>
      </c>
      <c r="F20" s="146" t="s">
        <v>8</v>
      </c>
      <c r="G20" s="764">
        <v>22572922.84</v>
      </c>
      <c r="H20" s="202"/>
      <c r="I20" s="202">
        <v>8032600.1600000001</v>
      </c>
      <c r="J20" s="764">
        <f t="shared" ref="J20:J21" si="2">G20+I20</f>
        <v>30605523</v>
      </c>
      <c r="K20" s="1517" t="s">
        <v>851</v>
      </c>
    </row>
    <row r="21" spans="1:18" s="989" customFormat="1" ht="40.5">
      <c r="A21" s="1185" t="s">
        <v>7</v>
      </c>
      <c r="B21" s="1184">
        <v>4</v>
      </c>
      <c r="C21" s="1185" t="s">
        <v>69</v>
      </c>
      <c r="D21" s="1185">
        <v>119</v>
      </c>
      <c r="E21" s="1185">
        <v>213</v>
      </c>
      <c r="F21" s="146" t="s">
        <v>10</v>
      </c>
      <c r="G21" s="764">
        <v>6560084.6900000004</v>
      </c>
      <c r="H21" s="202"/>
      <c r="I21" s="202">
        <v>2425845.25</v>
      </c>
      <c r="J21" s="764">
        <f t="shared" si="2"/>
        <v>8985929.9399999995</v>
      </c>
      <c r="K21" s="1519"/>
    </row>
    <row r="22" spans="1:18" s="989" customFormat="1" ht="33.75" customHeight="1">
      <c r="A22" s="1183" t="s">
        <v>31</v>
      </c>
      <c r="B22" s="1182">
        <v>4</v>
      </c>
      <c r="C22" s="1183" t="s">
        <v>47</v>
      </c>
      <c r="D22" s="1183">
        <v>244</v>
      </c>
      <c r="E22" s="1183">
        <v>310</v>
      </c>
      <c r="F22" s="146" t="s">
        <v>532</v>
      </c>
      <c r="G22" s="764">
        <v>715900</v>
      </c>
      <c r="H22" s="202"/>
      <c r="I22" s="202">
        <v>79500</v>
      </c>
      <c r="J22" s="764">
        <f t="shared" ref="J22:J24" si="3">G22+I22</f>
        <v>795400</v>
      </c>
      <c r="K22" s="1525" t="s">
        <v>847</v>
      </c>
    </row>
    <row r="23" spans="1:18" s="989" customFormat="1" ht="33.75" customHeight="1">
      <c r="A23" s="1183" t="s">
        <v>30</v>
      </c>
      <c r="B23" s="1182">
        <v>4</v>
      </c>
      <c r="C23" s="1183" t="s">
        <v>47</v>
      </c>
      <c r="D23" s="1183">
        <v>244</v>
      </c>
      <c r="E23" s="1183">
        <v>310</v>
      </c>
      <c r="F23" s="146" t="s">
        <v>532</v>
      </c>
      <c r="G23" s="764">
        <v>306800</v>
      </c>
      <c r="H23" s="202"/>
      <c r="I23" s="202">
        <v>34100</v>
      </c>
      <c r="J23" s="764">
        <f t="shared" si="3"/>
        <v>340900</v>
      </c>
      <c r="K23" s="1526"/>
    </row>
    <row r="24" spans="1:18" s="989" customFormat="1" ht="33.75" customHeight="1">
      <c r="A24" s="1183" t="s">
        <v>7</v>
      </c>
      <c r="B24" s="1182">
        <v>4</v>
      </c>
      <c r="C24" s="1183" t="s">
        <v>47</v>
      </c>
      <c r="D24" s="1183">
        <v>244</v>
      </c>
      <c r="E24" s="1183">
        <v>310</v>
      </c>
      <c r="F24" s="146" t="s">
        <v>532</v>
      </c>
      <c r="G24" s="764">
        <v>53826.32</v>
      </c>
      <c r="H24" s="202"/>
      <c r="I24" s="202">
        <v>5978.94</v>
      </c>
      <c r="J24" s="764">
        <f t="shared" si="3"/>
        <v>59805.26</v>
      </c>
      <c r="K24" s="1527"/>
    </row>
    <row r="25" spans="1:18" s="763" customFormat="1" ht="21">
      <c r="A25" s="1511" t="s">
        <v>17</v>
      </c>
      <c r="B25" s="1512"/>
      <c r="C25" s="1512"/>
      <c r="D25" s="1512"/>
      <c r="E25" s="1512"/>
      <c r="F25" s="1513"/>
      <c r="G25" s="198">
        <f>SUM(G20:G24)</f>
        <v>30209533.850000001</v>
      </c>
      <c r="H25" s="198">
        <f t="shared" ref="H25:J25" si="4">SUM(H20:H24)</f>
        <v>0</v>
      </c>
      <c r="I25" s="198">
        <f t="shared" si="4"/>
        <v>10578024.35</v>
      </c>
      <c r="J25" s="198">
        <f t="shared" si="4"/>
        <v>40787558.200000003</v>
      </c>
      <c r="K25" s="766"/>
    </row>
    <row r="26" spans="1:18" ht="17.25" customHeight="1">
      <c r="A26" s="980"/>
      <c r="B26" s="980"/>
      <c r="C26" s="980"/>
      <c r="D26" s="980"/>
      <c r="E26" s="980"/>
      <c r="F26" s="980"/>
      <c r="G26" s="980"/>
      <c r="H26" s="980"/>
      <c r="I26" s="980"/>
      <c r="J26" s="980"/>
      <c r="K26" s="159"/>
    </row>
    <row r="27" spans="1:18" ht="22.5" customHeight="1">
      <c r="A27" s="980"/>
      <c r="B27" s="980"/>
      <c r="C27" s="980"/>
      <c r="D27" s="980"/>
      <c r="E27" s="982"/>
      <c r="F27" s="982"/>
      <c r="G27" s="982"/>
      <c r="H27" s="980"/>
      <c r="I27" s="980"/>
      <c r="J27" s="980"/>
      <c r="K27" s="983"/>
    </row>
    <row r="28" spans="1:18" s="768" customFormat="1" ht="33">
      <c r="A28" s="768" t="s">
        <v>88</v>
      </c>
      <c r="F28" s="769"/>
      <c r="J28" s="768" t="s">
        <v>89</v>
      </c>
      <c r="K28" s="1172"/>
      <c r="L28" s="134"/>
      <c r="M28" s="134"/>
      <c r="N28" s="134"/>
      <c r="O28" s="134"/>
      <c r="P28" s="134"/>
    </row>
    <row r="29" spans="1:18" ht="15.75" customHeight="1">
      <c r="A29" s="980"/>
      <c r="B29" s="980"/>
      <c r="C29" s="980"/>
      <c r="D29" s="980"/>
      <c r="E29" s="980"/>
      <c r="F29" s="980"/>
      <c r="G29" s="980"/>
      <c r="H29" s="980"/>
      <c r="I29" s="980"/>
      <c r="J29" s="980"/>
      <c r="K29" s="983"/>
    </row>
    <row r="30" spans="1:18" ht="24" hidden="1" customHeight="1">
      <c r="A30" s="980"/>
      <c r="B30" s="980"/>
      <c r="C30" s="980"/>
      <c r="D30" s="980"/>
      <c r="E30" s="980"/>
      <c r="F30" s="980"/>
      <c r="G30" s="980"/>
      <c r="H30" s="980"/>
      <c r="I30" s="980"/>
      <c r="J30" s="980"/>
      <c r="K30" s="983"/>
    </row>
    <row r="31" spans="1:18" ht="25.5" hidden="1" customHeight="1">
      <c r="A31" s="980"/>
      <c r="B31" s="980"/>
      <c r="C31" s="980"/>
      <c r="D31" s="980"/>
      <c r="E31" s="980"/>
      <c r="F31" s="980"/>
      <c r="G31" s="980"/>
      <c r="H31" s="980"/>
      <c r="I31" s="980"/>
      <c r="J31" s="980"/>
      <c r="K31" s="983"/>
    </row>
    <row r="32" spans="1:18" ht="24" hidden="1" customHeight="1">
      <c r="A32" s="980"/>
      <c r="B32" s="980"/>
      <c r="C32" s="980"/>
      <c r="D32" s="980"/>
      <c r="E32" s="980"/>
      <c r="F32" s="980"/>
      <c r="G32" s="980"/>
      <c r="H32" s="980"/>
      <c r="I32" s="980"/>
      <c r="J32" s="980"/>
      <c r="K32" s="983"/>
    </row>
    <row r="33" spans="1:16" ht="105" customHeight="1">
      <c r="A33" s="980"/>
      <c r="B33" s="980"/>
      <c r="C33" s="980"/>
      <c r="D33" s="980"/>
      <c r="E33" s="980"/>
      <c r="F33" s="980"/>
      <c r="G33" s="980"/>
      <c r="H33" s="980"/>
      <c r="I33" s="980"/>
      <c r="J33" s="980"/>
      <c r="K33" s="983"/>
    </row>
    <row r="34" spans="1:16" s="758" customFormat="1" ht="21">
      <c r="A34" s="983" t="s">
        <v>90</v>
      </c>
      <c r="B34" s="983"/>
      <c r="C34" s="983"/>
      <c r="D34" s="983"/>
      <c r="E34" s="983"/>
      <c r="F34" s="983"/>
      <c r="G34" s="983"/>
      <c r="H34" s="983"/>
      <c r="I34" s="983"/>
      <c r="J34" s="983"/>
      <c r="K34" s="983"/>
      <c r="L34"/>
      <c r="M34"/>
      <c r="N34"/>
      <c r="O34"/>
      <c r="P34"/>
    </row>
    <row r="35" spans="1:16" s="758" customFormat="1" ht="21">
      <c r="A35" s="983" t="s">
        <v>433</v>
      </c>
      <c r="B35" s="983"/>
      <c r="C35" s="983"/>
      <c r="D35" s="983"/>
      <c r="E35" s="983"/>
      <c r="F35" s="983"/>
      <c r="G35" s="983"/>
      <c r="H35" s="983"/>
      <c r="I35" s="983"/>
      <c r="J35" s="983"/>
      <c r="K35" s="983"/>
      <c r="L35"/>
      <c r="M35"/>
      <c r="N35"/>
      <c r="O35"/>
      <c r="P35"/>
    </row>
    <row r="36" spans="1:16" s="758" customFormat="1" ht="21">
      <c r="A36" s="983" t="s">
        <v>27</v>
      </c>
      <c r="B36" s="983"/>
      <c r="C36" s="983"/>
      <c r="D36" s="983"/>
      <c r="E36" s="983"/>
      <c r="F36" s="983"/>
      <c r="G36" s="983"/>
      <c r="H36" s="983"/>
      <c r="I36" s="983"/>
      <c r="J36" s="983"/>
      <c r="K36" s="983"/>
      <c r="L36"/>
      <c r="M36"/>
      <c r="N36"/>
      <c r="O36"/>
      <c r="P36"/>
    </row>
    <row r="37" spans="1:16" ht="24" customHeight="1">
      <c r="K37" s="983"/>
    </row>
    <row r="38" spans="1:16" ht="24" customHeight="1">
      <c r="K38" s="983"/>
    </row>
    <row r="39" spans="1:16" ht="24" customHeight="1">
      <c r="K39" s="983"/>
    </row>
    <row r="40" spans="1:16" ht="24" customHeight="1">
      <c r="K40" s="983"/>
    </row>
  </sheetData>
  <mergeCells count="13">
    <mergeCell ref="A25:F25"/>
    <mergeCell ref="A7:K7"/>
    <mergeCell ref="C9:E9"/>
    <mergeCell ref="A10:K10"/>
    <mergeCell ref="A11:K11"/>
    <mergeCell ref="K13:K15"/>
    <mergeCell ref="A16:F16"/>
    <mergeCell ref="A17:K17"/>
    <mergeCell ref="A19:K19"/>
    <mergeCell ref="K22:K24"/>
    <mergeCell ref="K20:K21"/>
    <mergeCell ref="C12:E15"/>
    <mergeCell ref="F12:F15"/>
  </mergeCells>
  <printOptions horizontalCentered="1"/>
  <pageMargins left="0.39370078740157483" right="0.39370078740157483" top="0.39370078740157483" bottom="0.19685039370078741" header="0.31496062992125984" footer="0.31496062992125984"/>
  <pageSetup paperSize="9" scale="46"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5">
    <tabColor rgb="FF66FF66"/>
    <pageSetUpPr fitToPage="1"/>
  </sheetPr>
  <dimension ref="A1:R26"/>
  <sheetViews>
    <sheetView view="pageBreakPreview" topLeftCell="A4" zoomScale="55" zoomScaleNormal="75" zoomScaleSheetLayoutView="55" zoomScalePageLayoutView="85" workbookViewId="0">
      <selection activeCell="K19" sqref="K19"/>
    </sheetView>
  </sheetViews>
  <sheetFormatPr defaultRowHeight="24" customHeight="1"/>
  <cols>
    <col min="1" max="1" width="17.85546875" customWidth="1"/>
    <col min="2" max="2" width="10.85546875" customWidth="1"/>
    <col min="3" max="3" width="34" customWidth="1"/>
    <col min="4" max="4" width="10.42578125" customWidth="1"/>
    <col min="5" max="5" width="12.85546875" customWidth="1"/>
    <col min="6" max="6" width="27.7109375" customWidth="1"/>
    <col min="7" max="7" width="23.42578125" customWidth="1"/>
    <col min="8" max="8" width="23.42578125" hidden="1" customWidth="1"/>
    <col min="9" max="9" width="17.85546875" customWidth="1"/>
    <col min="10" max="10" width="22" customWidth="1"/>
    <col min="11" max="11" width="114" style="756" customWidth="1"/>
    <col min="13" max="13" width="204.5703125" customWidth="1"/>
  </cols>
  <sheetData>
    <row r="1" spans="1:18" s="755" customFormat="1" ht="44.25" customHeight="1">
      <c r="A1" s="753" t="s">
        <v>475</v>
      </c>
      <c r="B1" s="977"/>
      <c r="C1" s="977"/>
      <c r="D1" s="977"/>
      <c r="E1" s="978"/>
      <c r="F1" s="978"/>
      <c r="G1" s="978"/>
      <c r="H1" s="978"/>
      <c r="I1" s="978"/>
      <c r="J1" s="978"/>
      <c r="K1" s="159"/>
    </row>
    <row r="2" spans="1:18" s="755" customFormat="1" ht="33" customHeight="1">
      <c r="A2" s="757" t="s">
        <v>781</v>
      </c>
      <c r="B2" s="977"/>
      <c r="C2" s="977"/>
      <c r="D2" s="977"/>
      <c r="E2" s="978"/>
      <c r="F2" s="978"/>
      <c r="G2" s="978"/>
      <c r="H2" s="978"/>
      <c r="I2" s="978"/>
      <c r="J2" s="978"/>
      <c r="K2" s="159"/>
    </row>
    <row r="3" spans="1:18" s="755" customFormat="1" ht="37.5" customHeight="1">
      <c r="A3" s="757" t="s">
        <v>782</v>
      </c>
      <c r="B3" s="977"/>
      <c r="C3" s="977"/>
      <c r="D3" s="977"/>
      <c r="E3" s="978"/>
      <c r="F3" s="978"/>
      <c r="G3" s="978"/>
      <c r="H3" s="978"/>
      <c r="I3" s="978"/>
      <c r="J3" s="978"/>
      <c r="K3" s="159"/>
    </row>
    <row r="4" spans="1:18" s="755" customFormat="1" ht="60.75" customHeight="1">
      <c r="A4" s="757" t="s">
        <v>106</v>
      </c>
      <c r="B4" s="977"/>
      <c r="C4" s="977"/>
      <c r="D4" s="977"/>
      <c r="E4" s="978"/>
      <c r="F4" s="978"/>
      <c r="G4" s="978"/>
      <c r="H4" s="978"/>
      <c r="I4" s="978"/>
      <c r="J4" s="978"/>
      <c r="K4" s="159"/>
    </row>
    <row r="5" spans="1:18" s="755" customFormat="1" ht="42" customHeight="1">
      <c r="A5" s="757" t="s">
        <v>437</v>
      </c>
      <c r="B5" s="977"/>
      <c r="C5" s="977"/>
      <c r="D5" s="977"/>
      <c r="E5" s="978"/>
      <c r="F5" s="978"/>
      <c r="G5" s="978"/>
      <c r="H5" s="978"/>
      <c r="I5" s="978"/>
      <c r="J5" s="978"/>
      <c r="K5" s="159"/>
    </row>
    <row r="6" spans="1:18" ht="24" customHeight="1">
      <c r="A6" s="979"/>
      <c r="B6" s="979"/>
      <c r="C6" s="979"/>
      <c r="D6" s="980"/>
      <c r="E6" s="980"/>
      <c r="F6" s="980"/>
      <c r="G6" s="980"/>
      <c r="H6" s="980"/>
      <c r="I6" s="980"/>
      <c r="J6" s="980"/>
      <c r="K6" s="159"/>
    </row>
    <row r="7" spans="1:18" ht="69" customHeight="1">
      <c r="A7" s="1510" t="s">
        <v>434</v>
      </c>
      <c r="B7" s="1510"/>
      <c r="C7" s="1510"/>
      <c r="D7" s="1510"/>
      <c r="E7" s="1510"/>
      <c r="F7" s="1510"/>
      <c r="G7" s="1510"/>
      <c r="H7" s="1510"/>
      <c r="I7" s="1510"/>
      <c r="J7" s="1510"/>
      <c r="K7" s="1510"/>
    </row>
    <row r="8" spans="1:18" ht="24" customHeight="1">
      <c r="A8" s="980"/>
      <c r="B8" s="980"/>
      <c r="C8" s="980"/>
      <c r="D8" s="980"/>
      <c r="E8" s="980"/>
      <c r="F8" s="980"/>
      <c r="G8" s="980"/>
      <c r="H8" s="980"/>
      <c r="I8" s="980"/>
      <c r="J8" s="980"/>
      <c r="K8" s="159"/>
    </row>
    <row r="9" spans="1:18" s="989" customFormat="1" ht="51" customHeight="1">
      <c r="A9" s="1178" t="s">
        <v>1</v>
      </c>
      <c r="B9" s="1178" t="s">
        <v>2</v>
      </c>
      <c r="C9" s="1178" t="s">
        <v>3</v>
      </c>
      <c r="D9" s="1178" t="s">
        <v>4</v>
      </c>
      <c r="E9" s="1178" t="s">
        <v>5</v>
      </c>
      <c r="F9" s="1178" t="s">
        <v>6</v>
      </c>
      <c r="G9" s="1178" t="s">
        <v>82</v>
      </c>
      <c r="H9" s="1178"/>
      <c r="I9" s="1178" t="s">
        <v>83</v>
      </c>
      <c r="J9" s="1178" t="s">
        <v>84</v>
      </c>
      <c r="K9" s="1178" t="s">
        <v>85</v>
      </c>
      <c r="L9" s="990"/>
    </row>
    <row r="10" spans="1:18" s="989" customFormat="1" ht="24" customHeight="1">
      <c r="A10" s="1506" t="s">
        <v>505</v>
      </c>
      <c r="B10" s="1506"/>
      <c r="C10" s="1506"/>
      <c r="D10" s="1506"/>
      <c r="E10" s="1506"/>
      <c r="F10" s="1506"/>
      <c r="G10" s="1506"/>
      <c r="H10" s="1506"/>
      <c r="I10" s="1506"/>
      <c r="J10" s="1506"/>
      <c r="K10" s="1506"/>
      <c r="L10" s="990"/>
      <c r="N10" s="990"/>
      <c r="O10" s="990"/>
      <c r="P10" s="990"/>
      <c r="Q10" s="990"/>
      <c r="R10" s="990"/>
    </row>
    <row r="11" spans="1:18" s="991" customFormat="1" ht="108" customHeight="1">
      <c r="A11" s="1179" t="s">
        <v>7</v>
      </c>
      <c r="B11" s="1178">
        <v>4</v>
      </c>
      <c r="C11" s="1179" t="s">
        <v>69</v>
      </c>
      <c r="D11" s="1179">
        <v>111</v>
      </c>
      <c r="E11" s="1179">
        <v>211</v>
      </c>
      <c r="F11" s="146" t="s">
        <v>8</v>
      </c>
      <c r="G11" s="764">
        <v>23045723.579999998</v>
      </c>
      <c r="H11" s="202"/>
      <c r="I11" s="202">
        <v>-472800.74</v>
      </c>
      <c r="J11" s="764">
        <f>G11+I11</f>
        <v>22572922.84</v>
      </c>
      <c r="K11" s="1517" t="s">
        <v>835</v>
      </c>
      <c r="M11" s="989"/>
    </row>
    <row r="12" spans="1:18" s="991" customFormat="1" ht="108" customHeight="1">
      <c r="A12" s="1179" t="s">
        <v>7</v>
      </c>
      <c r="B12" s="1178">
        <v>4</v>
      </c>
      <c r="C12" s="1179" t="s">
        <v>477</v>
      </c>
      <c r="D12" s="1179">
        <v>111</v>
      </c>
      <c r="E12" s="1179">
        <v>211</v>
      </c>
      <c r="F12" s="146" t="s">
        <v>8</v>
      </c>
      <c r="G12" s="764">
        <v>236972.16</v>
      </c>
      <c r="H12" s="202"/>
      <c r="I12" s="202">
        <v>472800.74</v>
      </c>
      <c r="J12" s="764">
        <f>G12+I12</f>
        <v>709772.9</v>
      </c>
      <c r="K12" s="1518"/>
      <c r="M12" s="989"/>
    </row>
    <row r="13" spans="1:18" s="992" customFormat="1" ht="108" customHeight="1">
      <c r="A13" s="1179" t="s">
        <v>7</v>
      </c>
      <c r="B13" s="1178">
        <v>4</v>
      </c>
      <c r="C13" s="1179" t="s">
        <v>69</v>
      </c>
      <c r="D13" s="1179">
        <v>119</v>
      </c>
      <c r="E13" s="1179">
        <v>213</v>
      </c>
      <c r="F13" s="146" t="s">
        <v>10</v>
      </c>
      <c r="G13" s="764">
        <v>6605204.9900000002</v>
      </c>
      <c r="H13" s="202"/>
      <c r="I13" s="202">
        <v>-45120.3</v>
      </c>
      <c r="J13" s="764">
        <f>G13+I13</f>
        <v>6560084.6900000004</v>
      </c>
      <c r="K13" s="1518"/>
      <c r="M13" s="989"/>
    </row>
    <row r="14" spans="1:18" s="992" customFormat="1" ht="108" customHeight="1">
      <c r="A14" s="1179" t="s">
        <v>7</v>
      </c>
      <c r="B14" s="1178">
        <v>4</v>
      </c>
      <c r="C14" s="1179" t="s">
        <v>477</v>
      </c>
      <c r="D14" s="1179">
        <v>119</v>
      </c>
      <c r="E14" s="1179">
        <v>213</v>
      </c>
      <c r="F14" s="146" t="s">
        <v>10</v>
      </c>
      <c r="G14" s="764">
        <v>71565.58</v>
      </c>
      <c r="H14" s="202"/>
      <c r="I14" s="202">
        <v>45120.3</v>
      </c>
      <c r="J14" s="764">
        <f>G14+I14</f>
        <v>116685.88</v>
      </c>
      <c r="K14" s="1519"/>
      <c r="M14" s="989"/>
    </row>
    <row r="15" spans="1:18" s="763" customFormat="1" ht="21">
      <c r="A15" s="1511" t="s">
        <v>17</v>
      </c>
      <c r="B15" s="1512"/>
      <c r="C15" s="1512"/>
      <c r="D15" s="1512"/>
      <c r="E15" s="1512"/>
      <c r="F15" s="1513"/>
      <c r="G15" s="198">
        <f>SUM(G11:G14)</f>
        <v>29959466.309999999</v>
      </c>
      <c r="H15" s="198">
        <f>SUM(H11:H14)</f>
        <v>0</v>
      </c>
      <c r="I15" s="198">
        <f>SUM(I11:I14)</f>
        <v>0</v>
      </c>
      <c r="J15" s="198">
        <f>SUM(J11:J14)</f>
        <v>29959466.309999999</v>
      </c>
      <c r="K15" s="766"/>
      <c r="M15" s="989"/>
    </row>
    <row r="16" spans="1:18" ht="24" customHeight="1">
      <c r="A16" s="980"/>
      <c r="B16" s="980"/>
      <c r="C16" s="980"/>
      <c r="D16" s="980"/>
      <c r="E16" s="980"/>
      <c r="F16" s="980"/>
      <c r="G16" s="980"/>
      <c r="H16" s="980"/>
      <c r="I16" s="980"/>
      <c r="J16" s="980"/>
      <c r="K16" s="159"/>
      <c r="M16" s="989"/>
    </row>
    <row r="17" spans="1:11" ht="32.25" customHeight="1">
      <c r="A17" s="980"/>
      <c r="B17" s="980"/>
      <c r="C17" s="980"/>
      <c r="D17" s="980"/>
      <c r="E17" s="980"/>
      <c r="F17" s="980"/>
      <c r="G17" s="982"/>
      <c r="H17" s="980"/>
      <c r="I17" s="980"/>
      <c r="J17" s="980"/>
      <c r="K17" s="983"/>
    </row>
    <row r="18" spans="1:11" s="194" customFormat="1" ht="33">
      <c r="C18" s="768" t="s">
        <v>88</v>
      </c>
      <c r="D18" s="768"/>
      <c r="E18" s="768"/>
      <c r="F18" s="769"/>
      <c r="G18" s="768" t="s">
        <v>89</v>
      </c>
      <c r="H18" s="768"/>
      <c r="I18" s="768"/>
      <c r="K18" s="983"/>
    </row>
    <row r="19" spans="1:11" ht="24" customHeight="1">
      <c r="A19" s="980"/>
      <c r="B19" s="980"/>
      <c r="C19" s="980"/>
      <c r="D19" s="980"/>
      <c r="E19" s="980"/>
      <c r="F19" s="980"/>
      <c r="G19" s="980"/>
      <c r="H19" s="980"/>
      <c r="I19" s="980"/>
      <c r="J19" s="980"/>
      <c r="K19" s="983"/>
    </row>
    <row r="20" spans="1:11" ht="24" customHeight="1">
      <c r="A20" s="980"/>
      <c r="B20" s="980"/>
      <c r="C20" s="980"/>
      <c r="D20" s="980"/>
      <c r="E20" s="980"/>
      <c r="F20" s="980"/>
      <c r="G20" s="980"/>
      <c r="H20" s="980"/>
      <c r="I20" s="980"/>
      <c r="J20" s="980"/>
      <c r="K20" s="983"/>
    </row>
    <row r="21" spans="1:11" ht="25.5" customHeight="1">
      <c r="A21" s="980"/>
      <c r="B21" s="980"/>
      <c r="C21" s="980"/>
      <c r="D21" s="980"/>
      <c r="E21" s="980"/>
      <c r="F21" s="980"/>
      <c r="G21" s="980"/>
      <c r="H21" s="980"/>
      <c r="I21" s="980"/>
      <c r="J21" s="980"/>
      <c r="K21" s="983"/>
    </row>
    <row r="22" spans="1:11" ht="20.25">
      <c r="A22" s="980"/>
      <c r="B22" s="980"/>
      <c r="C22" s="980"/>
      <c r="D22" s="980"/>
      <c r="E22" s="980"/>
      <c r="F22" s="980"/>
      <c r="G22" s="980"/>
      <c r="H22" s="980"/>
      <c r="I22" s="980"/>
      <c r="J22" s="980"/>
      <c r="K22" s="983"/>
    </row>
    <row r="23" spans="1:11" ht="27" customHeight="1">
      <c r="A23" s="980"/>
      <c r="B23" s="980"/>
      <c r="C23" s="980"/>
      <c r="D23" s="980"/>
      <c r="E23" s="980"/>
      <c r="F23" s="980"/>
      <c r="G23" s="980"/>
      <c r="H23" s="980"/>
      <c r="I23" s="980"/>
      <c r="J23" s="980"/>
      <c r="K23" s="983"/>
    </row>
    <row r="24" spans="1:11" s="758" customFormat="1" ht="21">
      <c r="A24" s="983" t="s">
        <v>90</v>
      </c>
      <c r="B24" s="983"/>
      <c r="C24" s="983"/>
      <c r="D24" s="983"/>
      <c r="E24" s="983"/>
      <c r="F24" s="983"/>
      <c r="G24" s="983"/>
      <c r="H24" s="983"/>
      <c r="I24" s="983"/>
      <c r="J24" s="983"/>
      <c r="K24" s="983"/>
    </row>
    <row r="25" spans="1:11" s="758" customFormat="1" ht="21">
      <c r="A25" s="983" t="s">
        <v>433</v>
      </c>
      <c r="B25" s="983"/>
      <c r="C25" s="983"/>
      <c r="D25" s="983"/>
      <c r="E25" s="983"/>
      <c r="F25" s="983"/>
      <c r="G25" s="983"/>
      <c r="H25" s="983"/>
      <c r="I25" s="983"/>
      <c r="J25" s="983"/>
      <c r="K25" s="983"/>
    </row>
    <row r="26" spans="1:11" s="758" customFormat="1" ht="21">
      <c r="A26" s="983" t="s">
        <v>27</v>
      </c>
      <c r="B26" s="983"/>
      <c r="C26" s="983"/>
      <c r="D26" s="983"/>
      <c r="E26" s="983"/>
      <c r="F26" s="983"/>
      <c r="G26" s="983"/>
      <c r="H26" s="983"/>
      <c r="I26" s="983"/>
      <c r="J26" s="983"/>
      <c r="K26" s="983"/>
    </row>
  </sheetData>
  <mergeCells count="4">
    <mergeCell ref="A7:K7"/>
    <mergeCell ref="A10:K10"/>
    <mergeCell ref="K11:K14"/>
    <mergeCell ref="A15:F15"/>
  </mergeCells>
  <printOptions horizontalCentered="1"/>
  <pageMargins left="0.39370078740157483" right="0.39370078740157483" top="0.78740157480314965" bottom="0.39370078740157483" header="0.31496062992125984" footer="0.31496062992125984"/>
  <pageSetup paperSize="9" scale="46"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0">
    <tabColor rgb="FF66FF66"/>
    <pageSetUpPr fitToPage="1"/>
  </sheetPr>
  <dimension ref="A1:R51"/>
  <sheetViews>
    <sheetView view="pageBreakPreview" topLeftCell="B1" zoomScale="55" zoomScaleNormal="75" zoomScaleSheetLayoutView="55" zoomScalePageLayoutView="85" workbookViewId="0">
      <selection activeCell="J20" sqref="J20"/>
    </sheetView>
  </sheetViews>
  <sheetFormatPr defaultRowHeight="24" customHeight="1"/>
  <cols>
    <col min="1" max="1" width="19.28515625" customWidth="1"/>
    <col min="2" max="2" width="12.42578125" customWidth="1"/>
    <col min="3" max="3" width="32.7109375" customWidth="1"/>
    <col min="4" max="4" width="9.7109375" customWidth="1"/>
    <col min="5" max="5" width="13" customWidth="1"/>
    <col min="6" max="6" width="46.42578125" customWidth="1"/>
    <col min="7" max="7" width="21.5703125" customWidth="1"/>
    <col min="8" max="8" width="16.85546875" hidden="1" customWidth="1"/>
    <col min="9" max="9" width="18.140625" customWidth="1"/>
    <col min="10" max="10" width="21.5703125" customWidth="1"/>
    <col min="11" max="11" width="218.140625" style="756" customWidth="1"/>
    <col min="12" max="12" width="10.5703125" bestFit="1" customWidth="1"/>
    <col min="14" max="14" width="12.28515625" bestFit="1" customWidth="1"/>
  </cols>
  <sheetData>
    <row r="1" spans="1:12" s="755" customFormat="1" ht="44.25" customHeight="1">
      <c r="A1" s="753" t="s">
        <v>475</v>
      </c>
      <c r="B1" s="977"/>
      <c r="C1" s="977"/>
      <c r="D1" s="977"/>
      <c r="E1" s="978"/>
      <c r="F1" s="978"/>
      <c r="G1" s="978"/>
      <c r="H1" s="978"/>
      <c r="I1" s="978"/>
      <c r="J1" s="978"/>
      <c r="K1" s="159"/>
    </row>
    <row r="2" spans="1:12" s="755" customFormat="1" ht="33" customHeight="1">
      <c r="A2" s="757" t="s">
        <v>781</v>
      </c>
      <c r="B2" s="977"/>
      <c r="C2" s="977"/>
      <c r="D2" s="977"/>
      <c r="E2" s="978"/>
      <c r="F2" s="978"/>
      <c r="G2" s="978"/>
      <c r="H2" s="978"/>
      <c r="I2" s="978"/>
      <c r="J2" s="978"/>
      <c r="K2" s="159"/>
    </row>
    <row r="3" spans="1:12" s="755" customFormat="1" ht="37.5" customHeight="1">
      <c r="A3" s="757" t="s">
        <v>782</v>
      </c>
      <c r="B3" s="977"/>
      <c r="C3" s="977"/>
      <c r="D3" s="977"/>
      <c r="E3" s="978"/>
      <c r="F3" s="978"/>
      <c r="G3" s="978"/>
      <c r="H3" s="978"/>
      <c r="I3" s="978"/>
      <c r="J3" s="978"/>
      <c r="K3" s="159"/>
    </row>
    <row r="4" spans="1:12" s="755" customFormat="1" ht="60.75" customHeight="1">
      <c r="A4" s="757" t="s">
        <v>106</v>
      </c>
      <c r="B4" s="977"/>
      <c r="C4" s="977"/>
      <c r="D4" s="977"/>
      <c r="E4" s="978"/>
      <c r="F4" s="978"/>
      <c r="G4" s="978"/>
      <c r="H4" s="978"/>
      <c r="I4" s="978"/>
      <c r="J4" s="978"/>
      <c r="K4" s="159"/>
    </row>
    <row r="5" spans="1:12" s="755" customFormat="1" ht="42" customHeight="1">
      <c r="A5" s="757" t="s">
        <v>437</v>
      </c>
      <c r="B5" s="977"/>
      <c r="C5" s="977"/>
      <c r="D5" s="977"/>
      <c r="E5" s="978"/>
      <c r="F5" s="978"/>
      <c r="G5" s="978"/>
      <c r="H5" s="978"/>
      <c r="I5" s="978"/>
      <c r="J5" s="978"/>
      <c r="K5" s="159"/>
    </row>
    <row r="6" spans="1:12" ht="24" customHeight="1">
      <c r="A6" s="979"/>
      <c r="B6" s="979"/>
      <c r="C6" s="979"/>
      <c r="D6" s="980"/>
      <c r="E6" s="980"/>
      <c r="F6" s="980"/>
      <c r="G6" s="980"/>
      <c r="H6" s="980"/>
      <c r="I6" s="980"/>
      <c r="J6" s="980"/>
      <c r="K6" s="159"/>
    </row>
    <row r="7" spans="1:12" ht="69" customHeight="1">
      <c r="A7" s="1510" t="s">
        <v>791</v>
      </c>
      <c r="B7" s="1510"/>
      <c r="C7" s="1510"/>
      <c r="D7" s="1510"/>
      <c r="E7" s="1510"/>
      <c r="F7" s="1510"/>
      <c r="G7" s="1510"/>
      <c r="H7" s="1510"/>
      <c r="I7" s="1510"/>
      <c r="J7" s="1510"/>
      <c r="K7" s="1510"/>
    </row>
    <row r="8" spans="1:12" ht="24" customHeight="1">
      <c r="A8" s="980"/>
      <c r="B8" s="980"/>
      <c r="C8" s="980"/>
      <c r="D8" s="980"/>
      <c r="E8" s="980"/>
      <c r="F8" s="980"/>
      <c r="G8" s="980"/>
      <c r="H8" s="980"/>
      <c r="I8" s="980"/>
      <c r="J8" s="980"/>
      <c r="K8" s="159"/>
    </row>
    <row r="9" spans="1:12" s="989" customFormat="1" ht="51" customHeight="1">
      <c r="A9" s="1162" t="s">
        <v>1</v>
      </c>
      <c r="B9" s="1162" t="s">
        <v>2</v>
      </c>
      <c r="C9" s="1522" t="s">
        <v>80</v>
      </c>
      <c r="D9" s="1522"/>
      <c r="E9" s="1522"/>
      <c r="F9" s="1174" t="s">
        <v>81</v>
      </c>
      <c r="G9" s="1162" t="s">
        <v>82</v>
      </c>
      <c r="H9" s="1162"/>
      <c r="I9" s="1162" t="s">
        <v>83</v>
      </c>
      <c r="J9" s="1162" t="s">
        <v>84</v>
      </c>
      <c r="K9" s="1162" t="s">
        <v>85</v>
      </c>
      <c r="L9" s="990"/>
    </row>
    <row r="10" spans="1:12" s="758" customFormat="1" ht="21">
      <c r="A10" s="1523" t="s">
        <v>86</v>
      </c>
      <c r="B10" s="1523"/>
      <c r="C10" s="1523"/>
      <c r="D10" s="1523"/>
      <c r="E10" s="1523"/>
      <c r="F10" s="1523"/>
      <c r="G10" s="1523"/>
      <c r="H10" s="1523"/>
      <c r="I10" s="1523"/>
      <c r="J10" s="1523"/>
      <c r="K10" s="1523"/>
    </row>
    <row r="11" spans="1:12" s="758" customFormat="1" ht="23.25" customHeight="1">
      <c r="A11" s="1524" t="s">
        <v>788</v>
      </c>
      <c r="B11" s="1524"/>
      <c r="C11" s="1524"/>
      <c r="D11" s="1524"/>
      <c r="E11" s="1524"/>
      <c r="F11" s="1524"/>
      <c r="G11" s="1524"/>
      <c r="H11" s="1524"/>
      <c r="I11" s="1524"/>
      <c r="J11" s="1524"/>
      <c r="K11" s="1524"/>
    </row>
    <row r="12" spans="1:12" s="989" customFormat="1" ht="35.25" customHeight="1">
      <c r="A12" s="1173" t="s">
        <v>31</v>
      </c>
      <c r="B12" s="1174">
        <v>4</v>
      </c>
      <c r="C12" s="1528" t="s">
        <v>787</v>
      </c>
      <c r="D12" s="1529"/>
      <c r="E12" s="1530"/>
      <c r="F12" s="1537" t="s">
        <v>788</v>
      </c>
      <c r="G12" s="764">
        <v>715900</v>
      </c>
      <c r="H12" s="202"/>
      <c r="I12" s="202">
        <v>79500</v>
      </c>
      <c r="J12" s="764">
        <f t="shared" ref="J12:J14" si="0">G12+I12</f>
        <v>795400</v>
      </c>
      <c r="K12" s="1543" t="s">
        <v>792</v>
      </c>
    </row>
    <row r="13" spans="1:12" s="989" customFormat="1" ht="35.25" customHeight="1">
      <c r="A13" s="1173" t="s">
        <v>30</v>
      </c>
      <c r="B13" s="1174">
        <v>4</v>
      </c>
      <c r="C13" s="1531"/>
      <c r="D13" s="1532"/>
      <c r="E13" s="1533"/>
      <c r="F13" s="1538"/>
      <c r="G13" s="764">
        <v>306800</v>
      </c>
      <c r="H13" s="202"/>
      <c r="I13" s="202">
        <v>34100</v>
      </c>
      <c r="J13" s="764">
        <f t="shared" si="0"/>
        <v>340900</v>
      </c>
      <c r="K13" s="1544"/>
    </row>
    <row r="14" spans="1:12" s="989" customFormat="1" ht="35.25" customHeight="1">
      <c r="A14" s="1173" t="s">
        <v>7</v>
      </c>
      <c r="B14" s="1174">
        <v>4</v>
      </c>
      <c r="C14" s="1534"/>
      <c r="D14" s="1535"/>
      <c r="E14" s="1536"/>
      <c r="F14" s="1539"/>
      <c r="G14" s="764">
        <v>53826.32</v>
      </c>
      <c r="H14" s="202"/>
      <c r="I14" s="202">
        <v>6022.63</v>
      </c>
      <c r="J14" s="764">
        <f t="shared" si="0"/>
        <v>59848.95</v>
      </c>
      <c r="K14" s="1545"/>
    </row>
    <row r="15" spans="1:12" s="763" customFormat="1" ht="21">
      <c r="A15" s="1514" t="s">
        <v>104</v>
      </c>
      <c r="B15" s="1515"/>
      <c r="C15" s="1515"/>
      <c r="D15" s="1515"/>
      <c r="E15" s="1515"/>
      <c r="F15" s="1516"/>
      <c r="G15" s="198">
        <f>SUM(G12:G14)</f>
        <v>1076526.32</v>
      </c>
      <c r="H15" s="198">
        <f>SUM(H12:H14)</f>
        <v>0</v>
      </c>
      <c r="I15" s="198">
        <f>SUM(I12:I14)</f>
        <v>119622.63</v>
      </c>
      <c r="J15" s="198">
        <f>SUM(J12:J14)</f>
        <v>1196148.95</v>
      </c>
      <c r="K15" s="762"/>
    </row>
    <row r="16" spans="1:12" s="758" customFormat="1" ht="27.75" customHeight="1">
      <c r="A16" s="1523" t="s">
        <v>87</v>
      </c>
      <c r="B16" s="1523"/>
      <c r="C16" s="1523"/>
      <c r="D16" s="1523"/>
      <c r="E16" s="1523"/>
      <c r="F16" s="1523"/>
      <c r="G16" s="1523"/>
      <c r="H16" s="1523"/>
      <c r="I16" s="1523"/>
      <c r="J16" s="1523"/>
      <c r="K16" s="1523"/>
    </row>
    <row r="17" spans="1:18" s="758" customFormat="1" ht="44.25" customHeight="1">
      <c r="A17" s="1174" t="s">
        <v>1</v>
      </c>
      <c r="B17" s="1174" t="s">
        <v>2</v>
      </c>
      <c r="C17" s="1174" t="s">
        <v>3</v>
      </c>
      <c r="D17" s="1174" t="s">
        <v>4</v>
      </c>
      <c r="E17" s="1174" t="s">
        <v>5</v>
      </c>
      <c r="F17" s="1174" t="s">
        <v>6</v>
      </c>
      <c r="G17" s="1174" t="s">
        <v>82</v>
      </c>
      <c r="H17" s="1174"/>
      <c r="I17" s="1174" t="s">
        <v>83</v>
      </c>
      <c r="J17" s="1174" t="s">
        <v>84</v>
      </c>
      <c r="K17" s="1174" t="s">
        <v>85</v>
      </c>
    </row>
    <row r="18" spans="1:18" s="989" customFormat="1" ht="24" customHeight="1">
      <c r="A18" s="1524" t="s">
        <v>794</v>
      </c>
      <c r="B18" s="1524"/>
      <c r="C18" s="1524"/>
      <c r="D18" s="1524"/>
      <c r="E18" s="1524"/>
      <c r="F18" s="1524"/>
      <c r="G18" s="1524"/>
      <c r="H18" s="1524"/>
      <c r="I18" s="1524"/>
      <c r="J18" s="1524"/>
      <c r="K18" s="1524"/>
      <c r="L18" s="990"/>
      <c r="M18" s="990"/>
      <c r="N18" s="990"/>
      <c r="O18" s="990"/>
      <c r="P18" s="990"/>
      <c r="Q18" s="990"/>
      <c r="R18" s="990"/>
    </row>
    <row r="19" spans="1:18" s="989" customFormat="1" ht="29.25" customHeight="1">
      <c r="A19" s="1161" t="s">
        <v>7</v>
      </c>
      <c r="B19" s="1162">
        <v>4</v>
      </c>
      <c r="C19" s="1161" t="s">
        <v>71</v>
      </c>
      <c r="D19" s="1161">
        <v>112</v>
      </c>
      <c r="E19" s="1161">
        <v>214</v>
      </c>
      <c r="F19" s="146" t="s">
        <v>35</v>
      </c>
      <c r="G19" s="764">
        <v>1000000</v>
      </c>
      <c r="H19" s="202"/>
      <c r="I19" s="202">
        <v>-6734</v>
      </c>
      <c r="J19" s="764">
        <f t="shared" ref="J19:J20" si="1">G19+I19</f>
        <v>993266</v>
      </c>
      <c r="K19" s="1543" t="s">
        <v>783</v>
      </c>
    </row>
    <row r="20" spans="1:18" s="989" customFormat="1" ht="40.5" customHeight="1">
      <c r="A20" s="1161" t="s">
        <v>7</v>
      </c>
      <c r="B20" s="1162">
        <v>4</v>
      </c>
      <c r="C20" s="1161" t="s">
        <v>71</v>
      </c>
      <c r="D20" s="1161">
        <v>112</v>
      </c>
      <c r="E20" s="1161">
        <v>226</v>
      </c>
      <c r="F20" s="146" t="s">
        <v>771</v>
      </c>
      <c r="G20" s="764">
        <v>0</v>
      </c>
      <c r="H20" s="202"/>
      <c r="I20" s="202">
        <v>6734</v>
      </c>
      <c r="J20" s="764">
        <f t="shared" si="1"/>
        <v>6734</v>
      </c>
      <c r="K20" s="1544"/>
    </row>
    <row r="21" spans="1:18" s="989" customFormat="1" ht="29.25" customHeight="1">
      <c r="A21" s="1163" t="s">
        <v>31</v>
      </c>
      <c r="B21" s="1164">
        <v>4</v>
      </c>
      <c r="C21" s="1163" t="s">
        <v>47</v>
      </c>
      <c r="D21" s="1163">
        <v>244</v>
      </c>
      <c r="E21" s="1163">
        <v>310</v>
      </c>
      <c r="F21" s="146" t="s">
        <v>532</v>
      </c>
      <c r="G21" s="764">
        <v>715900</v>
      </c>
      <c r="H21" s="202"/>
      <c r="I21" s="202">
        <v>79500</v>
      </c>
      <c r="J21" s="764">
        <f t="shared" ref="J21:J22" si="2">G21+I21</f>
        <v>795400</v>
      </c>
      <c r="K21" s="1543" t="s">
        <v>789</v>
      </c>
    </row>
    <row r="22" spans="1:18" s="989" customFormat="1" ht="29.25" customHeight="1">
      <c r="A22" s="1163" t="s">
        <v>30</v>
      </c>
      <c r="B22" s="1164">
        <v>4</v>
      </c>
      <c r="C22" s="1163" t="s">
        <v>47</v>
      </c>
      <c r="D22" s="1163">
        <v>244</v>
      </c>
      <c r="E22" s="1163">
        <v>310</v>
      </c>
      <c r="F22" s="146" t="s">
        <v>532</v>
      </c>
      <c r="G22" s="764">
        <v>306800</v>
      </c>
      <c r="H22" s="202"/>
      <c r="I22" s="202">
        <v>34100</v>
      </c>
      <c r="J22" s="764">
        <f t="shared" si="2"/>
        <v>340900</v>
      </c>
      <c r="K22" s="1544"/>
    </row>
    <row r="23" spans="1:18" s="989" customFormat="1" ht="29.25" customHeight="1">
      <c r="A23" s="1163" t="s">
        <v>7</v>
      </c>
      <c r="B23" s="1164">
        <v>4</v>
      </c>
      <c r="C23" s="1163" t="s">
        <v>47</v>
      </c>
      <c r="D23" s="1163">
        <v>244</v>
      </c>
      <c r="E23" s="1163">
        <v>310</v>
      </c>
      <c r="F23" s="146" t="s">
        <v>532</v>
      </c>
      <c r="G23" s="764">
        <v>53826.32</v>
      </c>
      <c r="H23" s="202"/>
      <c r="I23" s="202">
        <v>6022.63</v>
      </c>
      <c r="J23" s="764">
        <f t="shared" ref="J23" si="3">G23+I23</f>
        <v>59848.95</v>
      </c>
      <c r="K23" s="1545"/>
    </row>
    <row r="24" spans="1:18" s="763" customFormat="1" ht="21">
      <c r="A24" s="1511" t="s">
        <v>17</v>
      </c>
      <c r="B24" s="1512"/>
      <c r="C24" s="1512"/>
      <c r="D24" s="1512"/>
      <c r="E24" s="1512"/>
      <c r="F24" s="1513"/>
      <c r="G24" s="198">
        <f>SUM(G19:G23)</f>
        <v>2076526.32</v>
      </c>
      <c r="H24" s="198">
        <f t="shared" ref="H24:J24" si="4">SUM(H19:H23)</f>
        <v>0</v>
      </c>
      <c r="I24" s="198">
        <f t="shared" si="4"/>
        <v>119622.63</v>
      </c>
      <c r="J24" s="198">
        <f t="shared" si="4"/>
        <v>2196148.9500000002</v>
      </c>
      <c r="K24" s="766"/>
    </row>
    <row r="25" spans="1:18" s="758" customFormat="1" ht="24" customHeight="1">
      <c r="A25" s="1506" t="s">
        <v>793</v>
      </c>
      <c r="B25" s="1506"/>
      <c r="C25" s="1506"/>
      <c r="D25" s="1506"/>
      <c r="E25" s="1506"/>
      <c r="F25" s="1506"/>
      <c r="G25" s="1506"/>
      <c r="H25" s="1506"/>
      <c r="I25" s="1506"/>
      <c r="J25" s="1506"/>
      <c r="K25" s="1506"/>
      <c r="L25" s="976"/>
      <c r="M25" s="976"/>
      <c r="N25" s="976"/>
      <c r="O25" s="976"/>
      <c r="P25" s="976"/>
      <c r="Q25" s="976"/>
      <c r="R25" s="976"/>
    </row>
    <row r="26" spans="1:18" ht="45.75" customHeight="1">
      <c r="A26" s="1161" t="s">
        <v>23</v>
      </c>
      <c r="B26" s="1161">
        <v>2</v>
      </c>
      <c r="C26" s="1161" t="s">
        <v>71</v>
      </c>
      <c r="D26" s="1161">
        <v>244</v>
      </c>
      <c r="E26" s="765">
        <v>226</v>
      </c>
      <c r="F26" s="146" t="s">
        <v>538</v>
      </c>
      <c r="G26" s="764">
        <v>2469358.94</v>
      </c>
      <c r="H26" s="764"/>
      <c r="I26" s="764">
        <v>-183706</v>
      </c>
      <c r="J26" s="764">
        <f t="shared" ref="J26:J34" si="5">G26+I26</f>
        <v>2285652.94</v>
      </c>
      <c r="K26" s="1540" t="s">
        <v>784</v>
      </c>
    </row>
    <row r="27" spans="1:18" ht="45.75" customHeight="1">
      <c r="A27" s="1161" t="s">
        <v>23</v>
      </c>
      <c r="B27" s="1161">
        <v>2</v>
      </c>
      <c r="C27" s="1161" t="s">
        <v>71</v>
      </c>
      <c r="D27" s="1161">
        <v>244</v>
      </c>
      <c r="E27" s="765">
        <v>310</v>
      </c>
      <c r="F27" s="146" t="s">
        <v>532</v>
      </c>
      <c r="G27" s="764">
        <v>64790</v>
      </c>
      <c r="H27" s="202"/>
      <c r="I27" s="202">
        <v>43188</v>
      </c>
      <c r="J27" s="764">
        <f t="shared" si="5"/>
        <v>107978</v>
      </c>
      <c r="K27" s="1540"/>
    </row>
    <row r="28" spans="1:18" s="1169" customFormat="1" ht="137.25" customHeight="1">
      <c r="A28" s="1165" t="s">
        <v>23</v>
      </c>
      <c r="B28" s="1165">
        <v>2</v>
      </c>
      <c r="C28" s="1165" t="s">
        <v>71</v>
      </c>
      <c r="D28" s="1165">
        <v>244</v>
      </c>
      <c r="E28" s="1165">
        <v>341</v>
      </c>
      <c r="F28" s="1166" t="s">
        <v>800</v>
      </c>
      <c r="G28" s="1167">
        <v>0</v>
      </c>
      <c r="H28" s="1168"/>
      <c r="I28" s="1168">
        <v>1159</v>
      </c>
      <c r="J28" s="764">
        <f t="shared" si="5"/>
        <v>1159</v>
      </c>
      <c r="K28" s="1540"/>
    </row>
    <row r="29" spans="1:18" s="1170" customFormat="1" ht="45.75" customHeight="1">
      <c r="A29" s="1165" t="s">
        <v>23</v>
      </c>
      <c r="B29" s="1165">
        <v>2</v>
      </c>
      <c r="C29" s="1165" t="s">
        <v>71</v>
      </c>
      <c r="D29" s="1165">
        <v>244</v>
      </c>
      <c r="E29" s="1165">
        <v>346</v>
      </c>
      <c r="F29" s="1166" t="s">
        <v>799</v>
      </c>
      <c r="G29" s="1167">
        <v>78320</v>
      </c>
      <c r="H29" s="1168"/>
      <c r="I29" s="1168">
        <v>72367</v>
      </c>
      <c r="J29" s="764">
        <f t="shared" si="5"/>
        <v>150687</v>
      </c>
      <c r="K29" s="1540"/>
    </row>
    <row r="30" spans="1:18" s="1171" customFormat="1" ht="86.25" customHeight="1">
      <c r="A30" s="1165" t="s">
        <v>23</v>
      </c>
      <c r="B30" s="1165">
        <v>2</v>
      </c>
      <c r="C30" s="1165" t="s">
        <v>71</v>
      </c>
      <c r="D30" s="1165">
        <v>112</v>
      </c>
      <c r="E30" s="1165">
        <v>212</v>
      </c>
      <c r="F30" s="1166" t="s">
        <v>785</v>
      </c>
      <c r="G30" s="1167">
        <v>0</v>
      </c>
      <c r="H30" s="1167"/>
      <c r="I30" s="1167">
        <v>13300</v>
      </c>
      <c r="J30" s="764">
        <f t="shared" si="5"/>
        <v>13300</v>
      </c>
      <c r="K30" s="1540"/>
    </row>
    <row r="31" spans="1:18" s="1171" customFormat="1" ht="86.25" customHeight="1">
      <c r="A31" s="1165" t="s">
        <v>23</v>
      </c>
      <c r="B31" s="1165">
        <v>2</v>
      </c>
      <c r="C31" s="1165" t="s">
        <v>71</v>
      </c>
      <c r="D31" s="1165">
        <v>112</v>
      </c>
      <c r="E31" s="1165">
        <v>226</v>
      </c>
      <c r="F31" s="1166" t="s">
        <v>786</v>
      </c>
      <c r="G31" s="1167">
        <v>0</v>
      </c>
      <c r="H31" s="1167"/>
      <c r="I31" s="1167">
        <v>39692</v>
      </c>
      <c r="J31" s="764">
        <f t="shared" ref="J31:J32" si="6">G31+I31</f>
        <v>39692</v>
      </c>
      <c r="K31" s="1540"/>
    </row>
    <row r="32" spans="1:18" s="1171" customFormat="1" ht="86.25" customHeight="1">
      <c r="A32" s="1165" t="s">
        <v>23</v>
      </c>
      <c r="B32" s="1165">
        <v>2</v>
      </c>
      <c r="C32" s="1165" t="s">
        <v>71</v>
      </c>
      <c r="D32" s="1165">
        <v>244</v>
      </c>
      <c r="E32" s="1165">
        <v>225</v>
      </c>
      <c r="F32" s="1166" t="s">
        <v>149</v>
      </c>
      <c r="G32" s="1167">
        <v>95000</v>
      </c>
      <c r="H32" s="1167"/>
      <c r="I32" s="1167">
        <v>14000</v>
      </c>
      <c r="J32" s="764">
        <f t="shared" si="6"/>
        <v>109000</v>
      </c>
      <c r="K32" s="1540"/>
    </row>
    <row r="33" spans="1:16" s="1171" customFormat="1" ht="50.25" customHeight="1">
      <c r="A33" s="1165" t="s">
        <v>23</v>
      </c>
      <c r="B33" s="1165">
        <v>2</v>
      </c>
      <c r="C33" s="1165" t="s">
        <v>71</v>
      </c>
      <c r="D33" s="1165">
        <v>244</v>
      </c>
      <c r="E33" s="1165">
        <v>349</v>
      </c>
      <c r="F33" s="1166" t="s">
        <v>526</v>
      </c>
      <c r="G33" s="1167">
        <v>1011574.32</v>
      </c>
      <c r="H33" s="1167"/>
      <c r="I33" s="1167">
        <v>-590500.68000000005</v>
      </c>
      <c r="J33" s="764">
        <f t="shared" si="5"/>
        <v>421073.64</v>
      </c>
      <c r="K33" s="1541" t="s">
        <v>798</v>
      </c>
    </row>
    <row r="34" spans="1:16" s="1171" customFormat="1" ht="29.25" customHeight="1">
      <c r="A34" s="1165" t="s">
        <v>23</v>
      </c>
      <c r="B34" s="1165">
        <v>2</v>
      </c>
      <c r="C34" s="1165" t="s">
        <v>71</v>
      </c>
      <c r="D34" s="1165">
        <v>853</v>
      </c>
      <c r="E34" s="1165">
        <v>295</v>
      </c>
      <c r="F34" s="1166" t="s">
        <v>795</v>
      </c>
      <c r="G34" s="1167">
        <v>0</v>
      </c>
      <c r="H34" s="1167"/>
      <c r="I34" s="1167">
        <v>590500.68000000005</v>
      </c>
      <c r="J34" s="764">
        <f t="shared" si="5"/>
        <v>590500.68000000005</v>
      </c>
      <c r="K34" s="1542"/>
    </row>
    <row r="35" spans="1:16" s="763" customFormat="1" ht="21">
      <c r="A35" s="1514" t="s">
        <v>104</v>
      </c>
      <c r="B35" s="1515"/>
      <c r="C35" s="1515"/>
      <c r="D35" s="1515"/>
      <c r="E35" s="1515"/>
      <c r="F35" s="1516"/>
      <c r="G35" s="198">
        <f>SUM(G26:G34)</f>
        <v>3719043.26</v>
      </c>
      <c r="H35" s="198"/>
      <c r="I35" s="198">
        <f>SUM(I26:I34)</f>
        <v>0</v>
      </c>
      <c r="J35" s="198">
        <f>SUM(J26:J34)</f>
        <v>3719043.26</v>
      </c>
      <c r="K35" s="766"/>
    </row>
    <row r="36" spans="1:16" s="763" customFormat="1" ht="21">
      <c r="A36" s="1511" t="s">
        <v>24</v>
      </c>
      <c r="B36" s="1512"/>
      <c r="C36" s="1512"/>
      <c r="D36" s="1512"/>
      <c r="E36" s="1512"/>
      <c r="F36" s="1513"/>
      <c r="G36" s="198">
        <f>G24+G35</f>
        <v>5795569.5800000001</v>
      </c>
      <c r="H36" s="198"/>
      <c r="I36" s="198">
        <f>I24+I35</f>
        <v>119622.63</v>
      </c>
      <c r="J36" s="198">
        <f>J24+J35</f>
        <v>5915192.21</v>
      </c>
      <c r="K36" s="766"/>
    </row>
    <row r="37" spans="1:16" ht="17.25" customHeight="1">
      <c r="A37" s="980"/>
      <c r="B37" s="980"/>
      <c r="C37" s="980"/>
      <c r="D37" s="980"/>
      <c r="E37" s="980"/>
      <c r="F37" s="980"/>
      <c r="G37" s="980"/>
      <c r="H37" s="980"/>
      <c r="I37" s="980"/>
      <c r="J37" s="980"/>
      <c r="K37" s="159"/>
    </row>
    <row r="38" spans="1:16" ht="22.5" customHeight="1">
      <c r="A38" s="980"/>
      <c r="B38" s="980"/>
      <c r="C38" s="980"/>
      <c r="D38" s="980"/>
      <c r="E38" s="982"/>
      <c r="F38" s="982"/>
      <c r="G38" s="982"/>
      <c r="H38" s="980"/>
      <c r="I38" s="980"/>
      <c r="J38" s="980"/>
      <c r="K38" s="983"/>
    </row>
    <row r="39" spans="1:16" s="768" customFormat="1" ht="33">
      <c r="A39" s="768" t="s">
        <v>88</v>
      </c>
      <c r="F39" s="769"/>
      <c r="J39" s="768" t="s">
        <v>89</v>
      </c>
      <c r="K39" s="1172"/>
      <c r="L39" s="134"/>
      <c r="M39" s="134"/>
      <c r="N39" s="134"/>
      <c r="O39" s="134"/>
      <c r="P39" s="134"/>
    </row>
    <row r="40" spans="1:16" ht="15.75" customHeight="1">
      <c r="A40" s="980"/>
      <c r="B40" s="980"/>
      <c r="C40" s="980"/>
      <c r="D40" s="980"/>
      <c r="E40" s="980"/>
      <c r="F40" s="980"/>
      <c r="G40" s="980"/>
      <c r="H40" s="980"/>
      <c r="I40" s="980"/>
      <c r="J40" s="980"/>
      <c r="K40" s="983"/>
    </row>
    <row r="41" spans="1:16" ht="24" hidden="1" customHeight="1">
      <c r="A41" s="980"/>
      <c r="B41" s="980"/>
      <c r="C41" s="980"/>
      <c r="D41" s="980"/>
      <c r="E41" s="980"/>
      <c r="F41" s="980"/>
      <c r="G41" s="980"/>
      <c r="H41" s="980"/>
      <c r="I41" s="980"/>
      <c r="J41" s="980"/>
      <c r="K41" s="983"/>
    </row>
    <row r="42" spans="1:16" ht="25.5" hidden="1" customHeight="1">
      <c r="A42" s="980"/>
      <c r="B42" s="980"/>
      <c r="C42" s="980"/>
      <c r="D42" s="980"/>
      <c r="E42" s="980"/>
      <c r="F42" s="980"/>
      <c r="G42" s="980"/>
      <c r="H42" s="980"/>
      <c r="I42" s="980"/>
      <c r="J42" s="980"/>
      <c r="K42" s="983"/>
    </row>
    <row r="43" spans="1:16" ht="24" hidden="1" customHeight="1">
      <c r="A43" s="980"/>
      <c r="B43" s="980"/>
      <c r="C43" s="980"/>
      <c r="D43" s="980"/>
      <c r="E43" s="980"/>
      <c r="F43" s="980"/>
      <c r="G43" s="980"/>
      <c r="H43" s="980"/>
      <c r="I43" s="980"/>
      <c r="J43" s="980"/>
      <c r="K43" s="983"/>
    </row>
    <row r="44" spans="1:16" ht="15.75" customHeight="1">
      <c r="A44" s="980"/>
      <c r="B44" s="980"/>
      <c r="C44" s="980"/>
      <c r="D44" s="980"/>
      <c r="E44" s="980"/>
      <c r="F44" s="980"/>
      <c r="G44" s="980"/>
      <c r="H44" s="980"/>
      <c r="I44" s="980"/>
      <c r="J44" s="980"/>
      <c r="K44" s="983"/>
    </row>
    <row r="45" spans="1:16" s="758" customFormat="1" ht="21">
      <c r="A45" s="983" t="s">
        <v>90</v>
      </c>
      <c r="B45" s="983"/>
      <c r="C45" s="983"/>
      <c r="D45" s="983"/>
      <c r="E45" s="983"/>
      <c r="F45" s="983"/>
      <c r="G45" s="983"/>
      <c r="H45" s="983"/>
      <c r="I45" s="983"/>
      <c r="J45" s="983"/>
      <c r="K45" s="983"/>
      <c r="L45"/>
      <c r="M45"/>
      <c r="N45"/>
      <c r="O45"/>
      <c r="P45"/>
    </row>
    <row r="46" spans="1:16" s="758" customFormat="1" ht="21">
      <c r="A46" s="983" t="s">
        <v>433</v>
      </c>
      <c r="B46" s="983"/>
      <c r="C46" s="983"/>
      <c r="D46" s="983"/>
      <c r="E46" s="983"/>
      <c r="F46" s="983"/>
      <c r="G46" s="983"/>
      <c r="H46" s="983"/>
      <c r="I46" s="983"/>
      <c r="J46" s="983"/>
      <c r="K46" s="983"/>
      <c r="L46"/>
      <c r="M46"/>
      <c r="N46"/>
      <c r="O46"/>
      <c r="P46"/>
    </row>
    <row r="47" spans="1:16" s="758" customFormat="1" ht="21">
      <c r="A47" s="983" t="s">
        <v>27</v>
      </c>
      <c r="B47" s="983"/>
      <c r="C47" s="983"/>
      <c r="D47" s="983"/>
      <c r="E47" s="983"/>
      <c r="F47" s="983"/>
      <c r="G47" s="983"/>
      <c r="H47" s="983"/>
      <c r="I47" s="983"/>
      <c r="J47" s="983"/>
      <c r="K47" s="983"/>
      <c r="L47"/>
      <c r="M47"/>
      <c r="N47"/>
      <c r="O47"/>
      <c r="P47"/>
    </row>
    <row r="48" spans="1:16" ht="24" customHeight="1">
      <c r="K48" s="983"/>
    </row>
    <row r="49" spans="11:11" ht="24" customHeight="1">
      <c r="K49" s="983"/>
    </row>
    <row r="50" spans="11:11" ht="24" customHeight="1">
      <c r="K50" s="983"/>
    </row>
    <row r="51" spans="11:11" ht="24" customHeight="1">
      <c r="K51" s="983"/>
    </row>
  </sheetData>
  <mergeCells count="18">
    <mergeCell ref="C12:E14"/>
    <mergeCell ref="A15:F15"/>
    <mergeCell ref="K26:K32"/>
    <mergeCell ref="K33:K34"/>
    <mergeCell ref="A35:F35"/>
    <mergeCell ref="A36:F36"/>
    <mergeCell ref="A7:K7"/>
    <mergeCell ref="A18:K18"/>
    <mergeCell ref="K19:K20"/>
    <mergeCell ref="A24:F24"/>
    <mergeCell ref="A25:K25"/>
    <mergeCell ref="A10:K10"/>
    <mergeCell ref="K21:K23"/>
    <mergeCell ref="A11:K11"/>
    <mergeCell ref="K12:K14"/>
    <mergeCell ref="A16:K16"/>
    <mergeCell ref="C9:E9"/>
    <mergeCell ref="F12:F14"/>
  </mergeCells>
  <printOptions horizontalCentered="1"/>
  <pageMargins left="0.39370078740157483" right="0.39370078740157483" top="0.39370078740157483" bottom="0.19685039370078741" header="0.31496062992125984" footer="0.31496062992125984"/>
  <pageSetup paperSize="9" scale="33"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1">
    <tabColor rgb="FF66FF66"/>
    <pageSetUpPr fitToPage="1"/>
  </sheetPr>
  <dimension ref="A1:K35"/>
  <sheetViews>
    <sheetView view="pageBreakPreview" topLeftCell="A4" zoomScale="55" zoomScaleNormal="75" zoomScaleSheetLayoutView="55" zoomScalePageLayoutView="85" workbookViewId="0">
      <selection activeCell="F26" sqref="F26"/>
    </sheetView>
  </sheetViews>
  <sheetFormatPr defaultRowHeight="24" customHeight="1"/>
  <cols>
    <col min="1" max="1" width="22.85546875" customWidth="1"/>
    <col min="2" max="2" width="19.140625" customWidth="1"/>
    <col min="3" max="3" width="37.5703125" customWidth="1"/>
    <col min="4" max="4" width="12.5703125" customWidth="1"/>
    <col min="5" max="5" width="17.5703125" customWidth="1"/>
    <col min="6" max="6" width="57.42578125" customWidth="1"/>
    <col min="7" max="7" width="23.42578125" customWidth="1"/>
    <col min="8" max="8" width="23.42578125" hidden="1" customWidth="1"/>
    <col min="9" max="9" width="22.28515625" customWidth="1"/>
    <col min="10" max="10" width="25.140625" customWidth="1"/>
    <col min="11" max="11" width="80.7109375" style="756" customWidth="1"/>
  </cols>
  <sheetData>
    <row r="1" spans="1:11" s="755" customFormat="1" ht="44.25" customHeight="1">
      <c r="A1" s="753" t="s">
        <v>76</v>
      </c>
      <c r="B1" s="754"/>
      <c r="C1" s="754"/>
      <c r="D1" s="754"/>
      <c r="K1" s="756"/>
    </row>
    <row r="2" spans="1:11" s="755" customFormat="1" ht="33" customHeight="1">
      <c r="A2" s="757" t="s">
        <v>77</v>
      </c>
      <c r="B2" s="754"/>
      <c r="C2" s="754"/>
      <c r="D2" s="754"/>
      <c r="K2" s="756"/>
    </row>
    <row r="3" spans="1:11" s="755" customFormat="1" ht="37.5" customHeight="1">
      <c r="A3" s="757" t="s">
        <v>78</v>
      </c>
      <c r="B3" s="754"/>
      <c r="C3" s="754"/>
      <c r="D3" s="754"/>
      <c r="K3" s="756"/>
    </row>
    <row r="4" spans="1:11" s="755" customFormat="1" ht="60.75" customHeight="1">
      <c r="A4" s="757" t="s">
        <v>106</v>
      </c>
      <c r="B4" s="754"/>
      <c r="C4" s="754"/>
      <c r="D4" s="754"/>
      <c r="K4" s="756"/>
    </row>
    <row r="5" spans="1:11" s="755" customFormat="1" ht="42" customHeight="1">
      <c r="A5" s="757" t="s">
        <v>437</v>
      </c>
      <c r="B5" s="754"/>
      <c r="C5" s="754"/>
      <c r="D5" s="754"/>
      <c r="K5" s="756"/>
    </row>
    <row r="6" spans="1:11" ht="24" customHeight="1">
      <c r="A6" s="134"/>
      <c r="B6" s="134"/>
      <c r="C6" s="134"/>
    </row>
    <row r="7" spans="1:11" ht="69" customHeight="1">
      <c r="A7" s="1510" t="s">
        <v>434</v>
      </c>
      <c r="B7" s="1510"/>
      <c r="C7" s="1510"/>
      <c r="D7" s="1510"/>
      <c r="E7" s="1510"/>
      <c r="F7" s="1510"/>
      <c r="G7" s="1510"/>
      <c r="H7" s="1510"/>
      <c r="I7" s="1510"/>
      <c r="J7" s="1510"/>
      <c r="K7" s="1510"/>
    </row>
    <row r="9" spans="1:11" s="758" customFormat="1" ht="66.75" customHeight="1">
      <c r="A9" s="773" t="s">
        <v>1</v>
      </c>
      <c r="B9" s="773" t="s">
        <v>2</v>
      </c>
      <c r="C9" s="1549" t="s">
        <v>80</v>
      </c>
      <c r="D9" s="1549"/>
      <c r="E9" s="1549"/>
      <c r="F9" s="773" t="s">
        <v>81</v>
      </c>
      <c r="G9" s="773" t="s">
        <v>82</v>
      </c>
      <c r="H9" s="773"/>
      <c r="I9" s="773" t="s">
        <v>435</v>
      </c>
      <c r="J9" s="773" t="s">
        <v>84</v>
      </c>
      <c r="K9" s="773" t="s">
        <v>85</v>
      </c>
    </row>
    <row r="10" spans="1:11" s="758" customFormat="1" ht="21">
      <c r="A10" s="1523" t="s">
        <v>86</v>
      </c>
      <c r="B10" s="1523"/>
      <c r="C10" s="1523"/>
      <c r="D10" s="1523"/>
      <c r="E10" s="1523"/>
      <c r="F10" s="1523"/>
      <c r="G10" s="1523"/>
      <c r="H10" s="1523"/>
      <c r="I10" s="1523"/>
      <c r="J10" s="1523"/>
      <c r="K10" s="1523"/>
    </row>
    <row r="11" spans="1:11" s="758" customFormat="1" ht="23.25" customHeight="1">
      <c r="A11" s="1524" t="s">
        <v>430</v>
      </c>
      <c r="B11" s="1524"/>
      <c r="C11" s="1524"/>
      <c r="D11" s="1524"/>
      <c r="E11" s="1524"/>
      <c r="F11" s="1524"/>
      <c r="G11" s="1524"/>
      <c r="H11" s="1524"/>
      <c r="I11" s="1524"/>
      <c r="J11" s="1524"/>
      <c r="K11" s="1524"/>
    </row>
    <row r="12" spans="1:11" s="758" customFormat="1" ht="60.75" customHeight="1">
      <c r="A12" s="773"/>
      <c r="B12" s="773">
        <v>2</v>
      </c>
      <c r="C12" s="1550" t="s">
        <v>94</v>
      </c>
      <c r="D12" s="1550"/>
      <c r="E12" s="1550"/>
      <c r="F12" s="773" t="s">
        <v>431</v>
      </c>
      <c r="G12" s="173">
        <v>0</v>
      </c>
      <c r="H12" s="173"/>
      <c r="I12" s="173">
        <v>192442.91</v>
      </c>
      <c r="J12" s="173">
        <f>G12+I12</f>
        <v>192442.91</v>
      </c>
      <c r="K12" s="759" t="s">
        <v>438</v>
      </c>
    </row>
    <row r="13" spans="1:11" s="763" customFormat="1" ht="21">
      <c r="A13" s="770"/>
      <c r="B13" s="770"/>
      <c r="C13" s="774" t="s">
        <v>104</v>
      </c>
      <c r="D13" s="770"/>
      <c r="E13" s="760"/>
      <c r="F13" s="761"/>
      <c r="G13" s="198">
        <f>SUM(G12:G12)</f>
        <v>0</v>
      </c>
      <c r="H13" s="198">
        <f>SUM(H12:H12)</f>
        <v>0</v>
      </c>
      <c r="I13" s="198">
        <f>SUM(I12:I12)</f>
        <v>192442.91</v>
      </c>
      <c r="J13" s="198">
        <f>SUM(J12:J12)</f>
        <v>192442.91</v>
      </c>
      <c r="K13" s="762"/>
    </row>
    <row r="14" spans="1:11" s="758" customFormat="1" ht="27.75" customHeight="1">
      <c r="A14" s="1523" t="s">
        <v>87</v>
      </c>
      <c r="B14" s="1523"/>
      <c r="C14" s="1523"/>
      <c r="D14" s="1523"/>
      <c r="E14" s="1523"/>
      <c r="F14" s="1523"/>
      <c r="G14" s="1523"/>
      <c r="H14" s="1523"/>
      <c r="I14" s="1523"/>
      <c r="J14" s="1523"/>
      <c r="K14" s="1523"/>
    </row>
    <row r="15" spans="1:11" s="758" customFormat="1" ht="51" customHeight="1">
      <c r="A15" s="771" t="s">
        <v>1</v>
      </c>
      <c r="B15" s="771" t="s">
        <v>2</v>
      </c>
      <c r="C15" s="771" t="s">
        <v>3</v>
      </c>
      <c r="D15" s="771" t="s">
        <v>4</v>
      </c>
      <c r="E15" s="771" t="s">
        <v>5</v>
      </c>
      <c r="F15" s="771" t="s">
        <v>6</v>
      </c>
      <c r="G15" s="771" t="s">
        <v>82</v>
      </c>
      <c r="H15" s="771"/>
      <c r="I15" s="771" t="s">
        <v>83</v>
      </c>
      <c r="J15" s="771" t="s">
        <v>84</v>
      </c>
      <c r="K15" s="771" t="s">
        <v>85</v>
      </c>
    </row>
    <row r="16" spans="1:11" s="758" customFormat="1" ht="24" customHeight="1">
      <c r="A16" s="1506" t="s">
        <v>436</v>
      </c>
      <c r="B16" s="1506"/>
      <c r="C16" s="1506"/>
      <c r="D16" s="1506"/>
      <c r="E16" s="1506"/>
      <c r="F16" s="1506"/>
      <c r="G16" s="1506"/>
      <c r="H16" s="1506"/>
      <c r="I16" s="1506"/>
      <c r="J16" s="1506"/>
      <c r="K16" s="1506"/>
    </row>
    <row r="17" spans="1:11" s="758" customFormat="1" ht="72" customHeight="1">
      <c r="A17" s="773" t="s">
        <v>23</v>
      </c>
      <c r="B17" s="773">
        <v>2</v>
      </c>
      <c r="C17" s="773" t="s">
        <v>69</v>
      </c>
      <c r="D17" s="773">
        <v>111</v>
      </c>
      <c r="E17" s="773">
        <v>211</v>
      </c>
      <c r="F17" s="146" t="s">
        <v>8</v>
      </c>
      <c r="G17" s="764">
        <v>4950667.96</v>
      </c>
      <c r="H17" s="202"/>
      <c r="I17" s="202">
        <v>112442.91</v>
      </c>
      <c r="J17" s="764">
        <f>G17+I17</f>
        <v>5063110.87</v>
      </c>
      <c r="K17" s="1546" t="s">
        <v>442</v>
      </c>
    </row>
    <row r="18" spans="1:11" ht="72" customHeight="1">
      <c r="A18" s="773" t="s">
        <v>23</v>
      </c>
      <c r="B18" s="773">
        <v>2</v>
      </c>
      <c r="C18" s="773" t="s">
        <v>69</v>
      </c>
      <c r="D18" s="773">
        <v>119</v>
      </c>
      <c r="E18" s="765">
        <v>213</v>
      </c>
      <c r="F18" s="146" t="s">
        <v>10</v>
      </c>
      <c r="G18" s="764">
        <v>1484134.59</v>
      </c>
      <c r="H18" s="202"/>
      <c r="I18" s="202">
        <v>4100</v>
      </c>
      <c r="J18" s="764">
        <f t="shared" ref="J18:J23" si="0">G18+I18</f>
        <v>1488234.59</v>
      </c>
      <c r="K18" s="1547"/>
    </row>
    <row r="19" spans="1:11" s="194" customFormat="1" ht="72" customHeight="1">
      <c r="A19" s="773" t="s">
        <v>23</v>
      </c>
      <c r="B19" s="773">
        <v>2</v>
      </c>
      <c r="C19" s="773" t="s">
        <v>71</v>
      </c>
      <c r="D19" s="773">
        <v>112</v>
      </c>
      <c r="E19" s="765">
        <v>266</v>
      </c>
      <c r="F19" s="146" t="s">
        <v>220</v>
      </c>
      <c r="G19" s="764">
        <v>1020</v>
      </c>
      <c r="H19" s="764"/>
      <c r="I19" s="764">
        <v>900</v>
      </c>
      <c r="J19" s="764">
        <f t="shared" si="0"/>
        <v>1920</v>
      </c>
      <c r="K19" s="1547"/>
    </row>
    <row r="20" spans="1:11" ht="72" customHeight="1">
      <c r="A20" s="773" t="s">
        <v>23</v>
      </c>
      <c r="B20" s="773">
        <v>2</v>
      </c>
      <c r="C20" s="773" t="s">
        <v>71</v>
      </c>
      <c r="D20" s="773">
        <v>244</v>
      </c>
      <c r="E20" s="765">
        <v>222</v>
      </c>
      <c r="F20" s="146" t="s">
        <v>12</v>
      </c>
      <c r="G20" s="764">
        <v>276566.34999999998</v>
      </c>
      <c r="H20" s="764"/>
      <c r="I20" s="764">
        <v>15000</v>
      </c>
      <c r="J20" s="764">
        <f t="shared" si="0"/>
        <v>291566.34999999998</v>
      </c>
      <c r="K20" s="1547"/>
    </row>
    <row r="21" spans="1:11" ht="72" customHeight="1">
      <c r="A21" s="773" t="s">
        <v>23</v>
      </c>
      <c r="B21" s="773">
        <v>2</v>
      </c>
      <c r="C21" s="773" t="s">
        <v>71</v>
      </c>
      <c r="D21" s="773">
        <v>244</v>
      </c>
      <c r="E21" s="765">
        <v>225</v>
      </c>
      <c r="F21" s="146" t="s">
        <v>439</v>
      </c>
      <c r="G21" s="764">
        <v>182466.04</v>
      </c>
      <c r="H21" s="764"/>
      <c r="I21" s="764">
        <v>5000</v>
      </c>
      <c r="J21" s="764">
        <f t="shared" si="0"/>
        <v>187466.04</v>
      </c>
      <c r="K21" s="1547"/>
    </row>
    <row r="22" spans="1:11" ht="72" customHeight="1">
      <c r="A22" s="773" t="s">
        <v>23</v>
      </c>
      <c r="B22" s="773">
        <v>2</v>
      </c>
      <c r="C22" s="773" t="s">
        <v>71</v>
      </c>
      <c r="D22" s="773">
        <v>244</v>
      </c>
      <c r="E22" s="765">
        <v>226</v>
      </c>
      <c r="F22" s="146" t="s">
        <v>170</v>
      </c>
      <c r="G22" s="764">
        <v>3021544.14</v>
      </c>
      <c r="H22" s="202"/>
      <c r="I22" s="202">
        <v>35000</v>
      </c>
      <c r="J22" s="764">
        <f t="shared" si="0"/>
        <v>3056544.14</v>
      </c>
      <c r="K22" s="1547"/>
    </row>
    <row r="23" spans="1:11" ht="72" customHeight="1">
      <c r="A23" s="773" t="s">
        <v>23</v>
      </c>
      <c r="B23" s="773">
        <v>2</v>
      </c>
      <c r="C23" s="773" t="s">
        <v>71</v>
      </c>
      <c r="D23" s="773">
        <v>244</v>
      </c>
      <c r="E23" s="765">
        <v>346</v>
      </c>
      <c r="F23" s="772" t="s">
        <v>109</v>
      </c>
      <c r="G23" s="764">
        <v>247501.44</v>
      </c>
      <c r="H23" s="764"/>
      <c r="I23" s="764">
        <v>20000</v>
      </c>
      <c r="J23" s="764">
        <f t="shared" si="0"/>
        <v>267501.44</v>
      </c>
      <c r="K23" s="1548"/>
    </row>
    <row r="24" spans="1:11" s="763" customFormat="1" ht="21">
      <c r="A24" s="770"/>
      <c r="B24" s="770"/>
      <c r="C24" s="774" t="s">
        <v>104</v>
      </c>
      <c r="D24" s="770"/>
      <c r="E24" s="760"/>
      <c r="F24" s="761"/>
      <c r="G24" s="198">
        <f>SUM(G17:G23)</f>
        <v>10163900.52</v>
      </c>
      <c r="H24" s="198">
        <f>SUM(H17:H23)</f>
        <v>0</v>
      </c>
      <c r="I24" s="198">
        <f>SUM(I17:I23)</f>
        <v>192442.91</v>
      </c>
      <c r="J24" s="198">
        <f>SUM(J17:J23)</f>
        <v>10356343.43</v>
      </c>
      <c r="K24" s="766"/>
    </row>
    <row r="26" spans="1:11" ht="55.5" customHeight="1">
      <c r="G26" s="767"/>
    </row>
    <row r="27" spans="1:11" s="194" customFormat="1" ht="33">
      <c r="C27" s="768" t="s">
        <v>88</v>
      </c>
      <c r="D27" s="768"/>
      <c r="E27" s="768"/>
      <c r="F27" s="769"/>
      <c r="G27" s="768" t="s">
        <v>432</v>
      </c>
      <c r="H27" s="768"/>
      <c r="I27" s="768"/>
    </row>
    <row r="30" spans="1:11" ht="77.25" customHeight="1"/>
    <row r="32" spans="1:11" ht="27" customHeight="1"/>
    <row r="33" spans="1:1" s="758" customFormat="1" ht="21">
      <c r="A33" s="758" t="s">
        <v>90</v>
      </c>
    </row>
    <row r="34" spans="1:1" s="758" customFormat="1" ht="21">
      <c r="A34" s="758" t="s">
        <v>433</v>
      </c>
    </row>
    <row r="35" spans="1:1" s="758" customFormat="1" ht="21">
      <c r="A35" s="758" t="s">
        <v>27</v>
      </c>
    </row>
  </sheetData>
  <mergeCells count="8">
    <mergeCell ref="A16:K16"/>
    <mergeCell ref="K17:K23"/>
    <mergeCell ref="A7:K7"/>
    <mergeCell ref="C9:E9"/>
    <mergeCell ref="A10:K10"/>
    <mergeCell ref="A11:K11"/>
    <mergeCell ref="C12:E12"/>
    <mergeCell ref="A14:K14"/>
  </mergeCells>
  <printOptions horizontalCentered="1"/>
  <pageMargins left="0.23622047244094491" right="0.23622047244094491" top="0.74803149606299213" bottom="0.19685039370078741" header="0.31496062992125984" footer="0.31496062992125984"/>
  <pageSetup paperSize="9" scale="36" orientation="landscape" horizontalDpi="4294967295" verticalDpi="4294967295"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2">
    <tabColor rgb="FF66FF66"/>
    <pageSetUpPr fitToPage="1"/>
  </sheetPr>
  <dimension ref="A1:K35"/>
  <sheetViews>
    <sheetView topLeftCell="A6" zoomScale="55" zoomScaleNormal="55" workbookViewId="0">
      <selection activeCell="A16" sqref="A16:K16"/>
    </sheetView>
  </sheetViews>
  <sheetFormatPr defaultRowHeight="24" customHeight="1"/>
  <cols>
    <col min="1" max="1" width="22.85546875" style="780" bestFit="1" customWidth="1"/>
    <col min="2" max="2" width="19.140625" style="780" bestFit="1" customWidth="1"/>
    <col min="3" max="3" width="37.5703125" style="780" bestFit="1" customWidth="1"/>
    <col min="4" max="4" width="12.5703125" style="780" bestFit="1" customWidth="1"/>
    <col min="5" max="5" width="17.5703125" style="780" bestFit="1" customWidth="1"/>
    <col min="6" max="6" width="57.42578125" style="780" bestFit="1" customWidth="1"/>
    <col min="7" max="7" width="23.42578125" style="780" bestFit="1" customWidth="1"/>
    <col min="8" max="8" width="23.42578125" style="780" hidden="1" bestFit="1" customWidth="1"/>
    <col min="9" max="9" width="22.28515625" style="780" bestFit="1" customWidth="1"/>
    <col min="10" max="10" width="25.140625" style="780" bestFit="1" customWidth="1"/>
    <col min="11" max="11" width="123.28515625" style="799" bestFit="1" customWidth="1"/>
    <col min="12" max="16384" width="9.140625" style="780"/>
  </cols>
  <sheetData>
    <row r="1" spans="1:11" s="776" customFormat="1" ht="44.25" hidden="1" customHeight="1">
      <c r="A1" s="775" t="s">
        <v>76</v>
      </c>
      <c r="K1" s="777"/>
    </row>
    <row r="2" spans="1:11" s="776" customFormat="1" ht="33" hidden="1" customHeight="1">
      <c r="A2" s="778" t="s">
        <v>77</v>
      </c>
      <c r="K2" s="777"/>
    </row>
    <row r="3" spans="1:11" s="776" customFormat="1" ht="37.5" hidden="1" customHeight="1">
      <c r="A3" s="778" t="s">
        <v>78</v>
      </c>
      <c r="K3" s="777"/>
    </row>
    <row r="4" spans="1:11" s="776" customFormat="1" ht="60.75" hidden="1" customHeight="1">
      <c r="A4" s="778" t="s">
        <v>106</v>
      </c>
      <c r="K4" s="777"/>
    </row>
    <row r="5" spans="1:11" s="776" customFormat="1" ht="42" hidden="1" customHeight="1">
      <c r="A5" s="778" t="s">
        <v>437</v>
      </c>
      <c r="K5" s="777"/>
    </row>
    <row r="6" spans="1:11" s="779" customFormat="1" ht="24" customHeight="1"/>
    <row r="7" spans="1:11" ht="69" customHeight="1">
      <c r="A7" s="1552" t="s">
        <v>440</v>
      </c>
      <c r="B7" s="1552"/>
      <c r="C7" s="1552"/>
      <c r="D7" s="1552"/>
      <c r="E7" s="1552"/>
      <c r="F7" s="1552"/>
      <c r="G7" s="1552"/>
      <c r="H7" s="1552"/>
      <c r="I7" s="1552"/>
      <c r="J7" s="1552"/>
      <c r="K7" s="1552"/>
    </row>
    <row r="9" spans="1:11" s="782" customFormat="1" ht="66.75" customHeight="1">
      <c r="A9" s="781" t="s">
        <v>1</v>
      </c>
      <c r="B9" s="781" t="s">
        <v>2</v>
      </c>
      <c r="C9" s="1553" t="s">
        <v>80</v>
      </c>
      <c r="D9" s="1553"/>
      <c r="E9" s="1553"/>
      <c r="F9" s="781" t="s">
        <v>81</v>
      </c>
      <c r="G9" s="781" t="s">
        <v>82</v>
      </c>
      <c r="H9" s="781"/>
      <c r="I9" s="781" t="s">
        <v>435</v>
      </c>
      <c r="J9" s="781" t="s">
        <v>84</v>
      </c>
      <c r="K9" s="781" t="s">
        <v>85</v>
      </c>
    </row>
    <row r="10" spans="1:11" s="782" customFormat="1" ht="21">
      <c r="A10" s="1554" t="s">
        <v>86</v>
      </c>
      <c r="B10" s="1554"/>
      <c r="C10" s="1554"/>
      <c r="D10" s="1554"/>
      <c r="E10" s="1554"/>
      <c r="F10" s="1554"/>
      <c r="G10" s="1554"/>
      <c r="H10" s="1554"/>
      <c r="I10" s="1554"/>
      <c r="J10" s="1554"/>
      <c r="K10" s="1554"/>
    </row>
    <row r="11" spans="1:11" s="782" customFormat="1" ht="23.25" customHeight="1">
      <c r="A11" s="1555" t="s">
        <v>430</v>
      </c>
      <c r="B11" s="1555"/>
      <c r="C11" s="1555"/>
      <c r="D11" s="1555"/>
      <c r="E11" s="1555"/>
      <c r="F11" s="1555"/>
      <c r="G11" s="1555"/>
      <c r="H11" s="1555"/>
      <c r="I11" s="1555"/>
      <c r="J11" s="1555"/>
      <c r="K11" s="1555"/>
    </row>
    <row r="12" spans="1:11" s="782" customFormat="1" ht="60.75" customHeight="1">
      <c r="A12" s="781"/>
      <c r="B12" s="781">
        <v>2</v>
      </c>
      <c r="C12" s="1556" t="s">
        <v>94</v>
      </c>
      <c r="D12" s="1556"/>
      <c r="E12" s="1556"/>
      <c r="F12" s="781" t="s">
        <v>431</v>
      </c>
      <c r="G12" s="783">
        <v>0</v>
      </c>
      <c r="H12" s="783"/>
      <c r="I12" s="783">
        <v>192442.91</v>
      </c>
      <c r="J12" s="783">
        <f>G12+I12</f>
        <v>192442.91</v>
      </c>
      <c r="K12" s="784" t="s">
        <v>438</v>
      </c>
    </row>
    <row r="13" spans="1:11" s="790" customFormat="1" ht="21">
      <c r="A13" s="785"/>
      <c r="B13" s="785"/>
      <c r="C13" s="786" t="s">
        <v>104</v>
      </c>
      <c r="D13" s="785"/>
      <c r="E13" s="785"/>
      <c r="F13" s="787"/>
      <c r="G13" s="788">
        <f>SUM(G12:G12)</f>
        <v>0</v>
      </c>
      <c r="H13" s="788">
        <f>SUM(H12:H12)</f>
        <v>0</v>
      </c>
      <c r="I13" s="788">
        <f>SUM(I12:I12)</f>
        <v>192442.91</v>
      </c>
      <c r="J13" s="788">
        <f>SUM(J12:J12)</f>
        <v>192442.91</v>
      </c>
      <c r="K13" s="789"/>
    </row>
    <row r="14" spans="1:11" s="782" customFormat="1" ht="27.75" customHeight="1">
      <c r="A14" s="1554" t="s">
        <v>87</v>
      </c>
      <c r="B14" s="1554"/>
      <c r="C14" s="1554"/>
      <c r="D14" s="1554"/>
      <c r="E14" s="1554"/>
      <c r="F14" s="1554"/>
      <c r="G14" s="1554"/>
      <c r="H14" s="1554"/>
      <c r="I14" s="1554"/>
      <c r="J14" s="1554"/>
      <c r="K14" s="1554"/>
    </row>
    <row r="15" spans="1:11" s="782" customFormat="1" ht="51" customHeight="1">
      <c r="A15" s="791" t="s">
        <v>1</v>
      </c>
      <c r="B15" s="791" t="s">
        <v>2</v>
      </c>
      <c r="C15" s="791" t="s">
        <v>3</v>
      </c>
      <c r="D15" s="791" t="s">
        <v>4</v>
      </c>
      <c r="E15" s="791" t="s">
        <v>5</v>
      </c>
      <c r="F15" s="791" t="s">
        <v>6</v>
      </c>
      <c r="G15" s="791" t="s">
        <v>82</v>
      </c>
      <c r="H15" s="791"/>
      <c r="I15" s="791" t="s">
        <v>83</v>
      </c>
      <c r="J15" s="791" t="s">
        <v>84</v>
      </c>
      <c r="K15" s="791" t="s">
        <v>85</v>
      </c>
    </row>
    <row r="16" spans="1:11" s="782" customFormat="1" ht="24" customHeight="1">
      <c r="A16" s="1551" t="s">
        <v>436</v>
      </c>
      <c r="B16" s="1551"/>
      <c r="C16" s="1551"/>
      <c r="D16" s="1551"/>
      <c r="E16" s="1551"/>
      <c r="F16" s="1551"/>
      <c r="G16" s="1551"/>
      <c r="H16" s="1551"/>
      <c r="I16" s="1551"/>
      <c r="J16" s="1551"/>
      <c r="K16" s="1551"/>
    </row>
    <row r="17" spans="1:11" s="782" customFormat="1" ht="72" customHeight="1">
      <c r="A17" s="781" t="s">
        <v>23</v>
      </c>
      <c r="B17" s="781">
        <v>2</v>
      </c>
      <c r="C17" s="781" t="s">
        <v>69</v>
      </c>
      <c r="D17" s="781">
        <v>111</v>
      </c>
      <c r="E17" s="781">
        <v>211</v>
      </c>
      <c r="F17" s="792" t="s">
        <v>8</v>
      </c>
      <c r="G17" s="793">
        <v>4950667.96</v>
      </c>
      <c r="H17" s="794"/>
      <c r="I17" s="794">
        <v>112442.91</v>
      </c>
      <c r="J17" s="793">
        <v>5063110.87</v>
      </c>
      <c r="K17" s="1546" t="s">
        <v>442</v>
      </c>
    </row>
    <row r="18" spans="1:11" ht="72" customHeight="1">
      <c r="A18" s="781" t="s">
        <v>23</v>
      </c>
      <c r="B18" s="781">
        <v>2</v>
      </c>
      <c r="C18" s="781" t="s">
        <v>69</v>
      </c>
      <c r="D18" s="781">
        <v>119</v>
      </c>
      <c r="E18" s="781">
        <v>213</v>
      </c>
      <c r="F18" s="792" t="s">
        <v>10</v>
      </c>
      <c r="G18" s="793">
        <v>1484134.59</v>
      </c>
      <c r="H18" s="794"/>
      <c r="I18" s="794">
        <v>4100</v>
      </c>
      <c r="J18" s="793">
        <v>1488234.59</v>
      </c>
      <c r="K18" s="1547"/>
    </row>
    <row r="19" spans="1:11" s="795" customFormat="1" ht="72" customHeight="1">
      <c r="A19" s="781" t="s">
        <v>23</v>
      </c>
      <c r="B19" s="781">
        <v>2</v>
      </c>
      <c r="C19" s="781" t="s">
        <v>71</v>
      </c>
      <c r="D19" s="781">
        <v>112</v>
      </c>
      <c r="E19" s="781">
        <v>266</v>
      </c>
      <c r="F19" s="792" t="s">
        <v>220</v>
      </c>
      <c r="G19" s="793">
        <v>1020</v>
      </c>
      <c r="H19" s="793"/>
      <c r="I19" s="793">
        <v>900</v>
      </c>
      <c r="J19" s="793">
        <v>1920</v>
      </c>
      <c r="K19" s="1547"/>
    </row>
    <row r="20" spans="1:11" ht="72" customHeight="1">
      <c r="A20" s="781" t="s">
        <v>23</v>
      </c>
      <c r="B20" s="781">
        <v>2</v>
      </c>
      <c r="C20" s="781" t="s">
        <v>71</v>
      </c>
      <c r="D20" s="781">
        <v>244</v>
      </c>
      <c r="E20" s="781">
        <v>222</v>
      </c>
      <c r="F20" s="792" t="s">
        <v>12</v>
      </c>
      <c r="G20" s="793">
        <v>276566.34999999998</v>
      </c>
      <c r="H20" s="793"/>
      <c r="I20" s="793">
        <v>15000</v>
      </c>
      <c r="J20" s="793">
        <v>291566.34999999998</v>
      </c>
      <c r="K20" s="1547"/>
    </row>
    <row r="21" spans="1:11" ht="72" customHeight="1">
      <c r="A21" s="781" t="s">
        <v>23</v>
      </c>
      <c r="B21" s="781">
        <v>2</v>
      </c>
      <c r="C21" s="781" t="s">
        <v>71</v>
      </c>
      <c r="D21" s="781">
        <v>244</v>
      </c>
      <c r="E21" s="781">
        <v>225</v>
      </c>
      <c r="F21" s="792" t="s">
        <v>439</v>
      </c>
      <c r="G21" s="793">
        <v>182466.04</v>
      </c>
      <c r="H21" s="793"/>
      <c r="I21" s="793">
        <v>5000</v>
      </c>
      <c r="J21" s="793">
        <v>187466.04</v>
      </c>
      <c r="K21" s="1547"/>
    </row>
    <row r="22" spans="1:11" ht="72" customHeight="1">
      <c r="A22" s="781" t="s">
        <v>23</v>
      </c>
      <c r="B22" s="781">
        <v>2</v>
      </c>
      <c r="C22" s="781" t="s">
        <v>71</v>
      </c>
      <c r="D22" s="781">
        <v>244</v>
      </c>
      <c r="E22" s="781">
        <v>226</v>
      </c>
      <c r="F22" s="792" t="s">
        <v>170</v>
      </c>
      <c r="G22" s="793">
        <v>3021544.14</v>
      </c>
      <c r="H22" s="794"/>
      <c r="I22" s="794">
        <v>35000</v>
      </c>
      <c r="J22" s="793">
        <v>3056544.14</v>
      </c>
      <c r="K22" s="1547"/>
    </row>
    <row r="23" spans="1:11" ht="72" customHeight="1">
      <c r="A23" s="781" t="s">
        <v>23</v>
      </c>
      <c r="B23" s="781">
        <v>2</v>
      </c>
      <c r="C23" s="781" t="s">
        <v>71</v>
      </c>
      <c r="D23" s="781">
        <v>244</v>
      </c>
      <c r="E23" s="781">
        <v>346</v>
      </c>
      <c r="F23" s="796" t="s">
        <v>109</v>
      </c>
      <c r="G23" s="793">
        <v>247501.44</v>
      </c>
      <c r="H23" s="793"/>
      <c r="I23" s="793">
        <v>20000</v>
      </c>
      <c r="J23" s="793">
        <v>267501.44</v>
      </c>
      <c r="K23" s="1548"/>
    </row>
    <row r="24" spans="1:11" s="790" customFormat="1" ht="30" customHeight="1">
      <c r="A24" s="785"/>
      <c r="B24" s="785"/>
      <c r="C24" s="786" t="s">
        <v>104</v>
      </c>
      <c r="D24" s="785"/>
      <c r="E24" s="785"/>
      <c r="F24" s="787"/>
      <c r="G24" s="788">
        <f>SUM(G17:G23)</f>
        <v>10163900.52</v>
      </c>
      <c r="H24" s="788">
        <f>SUM(H17:H23)</f>
        <v>0</v>
      </c>
      <c r="I24" s="788">
        <f>SUM(I17:I23)</f>
        <v>192442.91</v>
      </c>
      <c r="J24" s="788">
        <f>SUM(J17:J23)</f>
        <v>10356343.43</v>
      </c>
      <c r="K24" s="797"/>
    </row>
    <row r="26" spans="1:11" ht="55.5" customHeight="1">
      <c r="G26" s="798"/>
    </row>
    <row r="27" spans="1:11" s="795" customFormat="1" ht="33">
      <c r="C27" s="800" t="s">
        <v>25</v>
      </c>
      <c r="D27" s="800"/>
      <c r="E27" s="800"/>
      <c r="F27" s="800"/>
      <c r="G27" s="800" t="s">
        <v>441</v>
      </c>
      <c r="H27" s="800"/>
      <c r="I27" s="800"/>
    </row>
    <row r="30" spans="1:11" ht="77.25" customHeight="1"/>
    <row r="32" spans="1:11" ht="27" hidden="1" customHeight="1"/>
    <row r="33" spans="1:1" s="782" customFormat="1" ht="21" hidden="1">
      <c r="A33" s="782" t="s">
        <v>90</v>
      </c>
    </row>
    <row r="34" spans="1:1" s="782" customFormat="1" ht="21" hidden="1">
      <c r="A34" s="782" t="s">
        <v>433</v>
      </c>
    </row>
    <row r="35" spans="1:1" s="782" customFormat="1" ht="21" hidden="1">
      <c r="A35" s="782" t="s">
        <v>27</v>
      </c>
    </row>
  </sheetData>
  <mergeCells count="8">
    <mergeCell ref="A16:K16"/>
    <mergeCell ref="K17:K23"/>
    <mergeCell ref="A7:K7"/>
    <mergeCell ref="C9:E9"/>
    <mergeCell ref="A10:K10"/>
    <mergeCell ref="A11:K11"/>
    <mergeCell ref="C12:E12"/>
    <mergeCell ref="A14:K14"/>
  </mergeCells>
  <pageMargins left="0.23622047244094491" right="0.23622047244094491" top="0.74803149606299213" bottom="0.19685039370078738" header="0.31496062992125984" footer="0.31496062992125984"/>
  <pageSetup paperSize="9" scale="39" orientation="landscape" horizontalDpi="4294967295" verticalDpi="4294967295"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7">
    <pageSetUpPr fitToPage="1"/>
  </sheetPr>
  <dimension ref="A1:J54"/>
  <sheetViews>
    <sheetView view="pageBreakPreview" topLeftCell="A34" zoomScale="60" zoomScaleNormal="75" workbookViewId="0">
      <selection activeCell="G51" sqref="G51"/>
    </sheetView>
  </sheetViews>
  <sheetFormatPr defaultRowHeight="24" customHeight="1"/>
  <cols>
    <col min="1" max="1" width="19.42578125" customWidth="1"/>
    <col min="2" max="2" width="17" customWidth="1"/>
    <col min="3" max="3" width="32.140625" customWidth="1"/>
    <col min="4" max="4" width="11.5703125" customWidth="1"/>
    <col min="5" max="5" width="11.7109375" customWidth="1"/>
    <col min="6" max="6" width="52" customWidth="1"/>
    <col min="7" max="7" width="23.28515625" customWidth="1"/>
    <col min="8" max="8" width="21.7109375" customWidth="1"/>
    <col min="9" max="9" width="25.28515625" customWidth="1"/>
    <col min="10" max="10" width="103" customWidth="1"/>
  </cols>
  <sheetData>
    <row r="1" spans="1:10" ht="44.25" customHeight="1">
      <c r="A1" s="195" t="s">
        <v>76</v>
      </c>
      <c r="B1" s="196"/>
      <c r="C1" s="196"/>
      <c r="D1" s="136"/>
    </row>
    <row r="2" spans="1:10" ht="29.25" customHeight="1">
      <c r="A2" s="197" t="s">
        <v>77</v>
      </c>
      <c r="B2" s="196"/>
      <c r="C2" s="196"/>
      <c r="D2" s="136"/>
    </row>
    <row r="3" spans="1:10" ht="37.5" customHeight="1">
      <c r="A3" s="197" t="s">
        <v>78</v>
      </c>
      <c r="B3" s="196"/>
      <c r="C3" s="196"/>
      <c r="D3" s="136"/>
    </row>
    <row r="4" spans="1:10" ht="54.75" customHeight="1">
      <c r="A4" s="197" t="s">
        <v>106</v>
      </c>
      <c r="B4" s="196"/>
      <c r="C4" s="196"/>
      <c r="D4" s="136"/>
    </row>
    <row r="5" spans="1:10" ht="42" customHeight="1">
      <c r="A5" s="197" t="s">
        <v>92</v>
      </c>
      <c r="B5" s="196"/>
      <c r="C5" s="196"/>
      <c r="D5" s="136"/>
    </row>
    <row r="6" spans="1:10" ht="24" customHeight="1">
      <c r="A6" s="134"/>
      <c r="B6" s="134"/>
      <c r="C6" s="134"/>
    </row>
    <row r="7" spans="1:10" ht="75" customHeight="1">
      <c r="A7" s="1560" t="s">
        <v>93</v>
      </c>
      <c r="B7" s="1560"/>
      <c r="C7" s="1560"/>
      <c r="D7" s="1560"/>
      <c r="E7" s="1560"/>
      <c r="F7" s="1560"/>
      <c r="G7" s="1560"/>
      <c r="H7" s="1560"/>
      <c r="I7" s="1560"/>
      <c r="J7" s="1560"/>
    </row>
    <row r="9" spans="1:10" ht="41.25" customHeight="1">
      <c r="A9" s="160" t="s">
        <v>1</v>
      </c>
      <c r="B9" s="160" t="s">
        <v>2</v>
      </c>
      <c r="C9" s="1522" t="s">
        <v>80</v>
      </c>
      <c r="D9" s="1522"/>
      <c r="E9" s="1522"/>
      <c r="F9" s="160" t="s">
        <v>81</v>
      </c>
      <c r="G9" s="160" t="s">
        <v>82</v>
      </c>
      <c r="H9" s="160" t="s">
        <v>83</v>
      </c>
      <c r="I9" s="160" t="s">
        <v>84</v>
      </c>
      <c r="J9" s="160" t="s">
        <v>85</v>
      </c>
    </row>
    <row r="10" spans="1:10" ht="24" customHeight="1">
      <c r="A10" s="1557" t="s">
        <v>86</v>
      </c>
      <c r="B10" s="1557"/>
      <c r="C10" s="1557"/>
      <c r="D10" s="1557"/>
      <c r="E10" s="1557"/>
      <c r="F10" s="1557"/>
      <c r="G10" s="1557"/>
      <c r="H10" s="1557"/>
      <c r="I10" s="1557"/>
      <c r="J10" s="1557"/>
    </row>
    <row r="11" spans="1:10" ht="54" customHeight="1">
      <c r="A11" s="186"/>
      <c r="B11" s="186">
        <v>2</v>
      </c>
      <c r="C11" s="1550" t="s">
        <v>113</v>
      </c>
      <c r="D11" s="1550"/>
      <c r="E11" s="1550"/>
      <c r="F11" s="1563" t="s">
        <v>114</v>
      </c>
      <c r="G11" s="173">
        <v>13894328.91</v>
      </c>
      <c r="H11" s="173">
        <v>152709.04999999999</v>
      </c>
      <c r="I11" s="173">
        <f>G11+H11</f>
        <v>14047037.960000001</v>
      </c>
      <c r="J11" s="1561" t="s">
        <v>115</v>
      </c>
    </row>
    <row r="12" spans="1:10" ht="56.25" customHeight="1">
      <c r="A12" s="160"/>
      <c r="B12" s="160">
        <v>4</v>
      </c>
      <c r="C12" s="1550" t="s">
        <v>113</v>
      </c>
      <c r="D12" s="1550"/>
      <c r="E12" s="1550"/>
      <c r="F12" s="1564"/>
      <c r="G12" s="173">
        <v>64105760.780000001</v>
      </c>
      <c r="H12" s="173">
        <v>594533.98</v>
      </c>
      <c r="I12" s="173">
        <f>G12+H12</f>
        <v>64700294.759999998</v>
      </c>
      <c r="J12" s="1562"/>
    </row>
    <row r="13" spans="1:10" ht="131.25" customHeight="1">
      <c r="A13" s="181"/>
      <c r="B13" s="181">
        <v>5</v>
      </c>
      <c r="C13" s="1550" t="s">
        <v>103</v>
      </c>
      <c r="D13" s="1550"/>
      <c r="E13" s="1550"/>
      <c r="F13" s="181" t="s">
        <v>128</v>
      </c>
      <c r="G13" s="173">
        <v>904550.59</v>
      </c>
      <c r="H13" s="173">
        <v>870735</v>
      </c>
      <c r="I13" s="173">
        <f>G13+H13</f>
        <v>1775285.59</v>
      </c>
      <c r="J13" s="193" t="s">
        <v>129</v>
      </c>
    </row>
    <row r="14" spans="1:10" s="200" customFormat="1" ht="30" customHeight="1">
      <c r="A14" s="187"/>
      <c r="B14" s="187"/>
      <c r="C14" s="1559" t="s">
        <v>104</v>
      </c>
      <c r="D14" s="1559"/>
      <c r="E14" s="1559"/>
      <c r="F14" s="187"/>
      <c r="G14" s="198">
        <f>SUM(G11:G13)</f>
        <v>78904640.280000001</v>
      </c>
      <c r="H14" s="198">
        <f>SUM(H11:H13)</f>
        <v>1617978.03</v>
      </c>
      <c r="I14" s="198">
        <f>SUM(I11:I13)</f>
        <v>80522618.310000002</v>
      </c>
      <c r="J14" s="201"/>
    </row>
    <row r="15" spans="1:10" ht="24" customHeight="1">
      <c r="A15" s="1557" t="s">
        <v>87</v>
      </c>
      <c r="B15" s="1557"/>
      <c r="C15" s="1557"/>
      <c r="D15" s="1557"/>
      <c r="E15" s="1557"/>
      <c r="F15" s="1557"/>
      <c r="G15" s="1557"/>
      <c r="H15" s="1557"/>
      <c r="I15" s="1557"/>
      <c r="J15" s="1557"/>
    </row>
    <row r="16" spans="1:10" ht="44.25" customHeight="1">
      <c r="A16" s="160" t="s">
        <v>1</v>
      </c>
      <c r="B16" s="160" t="s">
        <v>2</v>
      </c>
      <c r="C16" s="160" t="s">
        <v>3</v>
      </c>
      <c r="D16" s="160" t="s">
        <v>4</v>
      </c>
      <c r="E16" s="160" t="s">
        <v>5</v>
      </c>
      <c r="F16" s="160" t="s">
        <v>6</v>
      </c>
      <c r="G16" s="160" t="s">
        <v>82</v>
      </c>
      <c r="H16" s="160" t="s">
        <v>83</v>
      </c>
      <c r="I16" s="160" t="s">
        <v>84</v>
      </c>
      <c r="J16" s="160" t="s">
        <v>85</v>
      </c>
    </row>
    <row r="17" spans="1:10" ht="33.75" customHeight="1">
      <c r="A17" s="1506" t="s">
        <v>116</v>
      </c>
      <c r="B17" s="1506"/>
      <c r="C17" s="1506"/>
      <c r="D17" s="1506"/>
      <c r="E17" s="1506"/>
      <c r="F17" s="1506"/>
      <c r="G17" s="1506"/>
      <c r="H17" s="1506"/>
      <c r="I17" s="1506"/>
      <c r="J17" s="1506"/>
    </row>
    <row r="18" spans="1:10" ht="75" customHeight="1">
      <c r="A18" s="188" t="s">
        <v>23</v>
      </c>
      <c r="B18" s="188">
        <v>2</v>
      </c>
      <c r="C18" s="188" t="s">
        <v>69</v>
      </c>
      <c r="D18" s="188">
        <v>119</v>
      </c>
      <c r="E18" s="161">
        <v>213</v>
      </c>
      <c r="F18" s="189" t="s">
        <v>10</v>
      </c>
      <c r="G18" s="173">
        <v>1437646.13</v>
      </c>
      <c r="H18" s="173">
        <v>27709.05</v>
      </c>
      <c r="I18" s="173">
        <f>G18+H18</f>
        <v>1465355.18</v>
      </c>
      <c r="J18" s="193" t="s">
        <v>121</v>
      </c>
    </row>
    <row r="19" spans="1:10" ht="51.75" customHeight="1">
      <c r="A19" s="188" t="s">
        <v>23</v>
      </c>
      <c r="B19" s="188">
        <v>2</v>
      </c>
      <c r="C19" s="188" t="s">
        <v>71</v>
      </c>
      <c r="D19" s="188">
        <v>244</v>
      </c>
      <c r="E19" s="161">
        <v>225</v>
      </c>
      <c r="F19" s="189" t="s">
        <v>14</v>
      </c>
      <c r="G19" s="173">
        <v>409991.63</v>
      </c>
      <c r="H19" s="173">
        <v>20000</v>
      </c>
      <c r="I19" s="173">
        <f>G19+H19</f>
        <v>429991.63</v>
      </c>
      <c r="J19" s="193" t="s">
        <v>117</v>
      </c>
    </row>
    <row r="20" spans="1:10" ht="51.75" customHeight="1">
      <c r="A20" s="188" t="s">
        <v>23</v>
      </c>
      <c r="B20" s="188">
        <v>2</v>
      </c>
      <c r="C20" s="188" t="s">
        <v>71</v>
      </c>
      <c r="D20" s="188">
        <v>244</v>
      </c>
      <c r="E20" s="161">
        <v>222</v>
      </c>
      <c r="F20" s="189" t="s">
        <v>12</v>
      </c>
      <c r="G20" s="173">
        <v>236954.25</v>
      </c>
      <c r="H20" s="173">
        <v>15000</v>
      </c>
      <c r="I20" s="173">
        <f>G20+H20</f>
        <v>251954.25</v>
      </c>
      <c r="J20" s="193" t="s">
        <v>118</v>
      </c>
    </row>
    <row r="21" spans="1:10" ht="81.75" customHeight="1">
      <c r="A21" s="188" t="s">
        <v>23</v>
      </c>
      <c r="B21" s="188">
        <v>2</v>
      </c>
      <c r="C21" s="188" t="s">
        <v>71</v>
      </c>
      <c r="D21" s="188">
        <v>244</v>
      </c>
      <c r="E21" s="161">
        <v>226</v>
      </c>
      <c r="F21" s="189" t="s">
        <v>15</v>
      </c>
      <c r="G21" s="173">
        <v>3146739.18</v>
      </c>
      <c r="H21" s="173">
        <v>70000</v>
      </c>
      <c r="I21" s="173">
        <f>G21+H21</f>
        <v>3216739.18</v>
      </c>
      <c r="J21" s="193" t="s">
        <v>119</v>
      </c>
    </row>
    <row r="22" spans="1:10" ht="72.75" customHeight="1">
      <c r="A22" s="188" t="s">
        <v>23</v>
      </c>
      <c r="B22" s="188">
        <v>2</v>
      </c>
      <c r="C22" s="188" t="s">
        <v>71</v>
      </c>
      <c r="D22" s="188">
        <v>244</v>
      </c>
      <c r="E22" s="161">
        <v>346</v>
      </c>
      <c r="F22" s="189" t="s">
        <v>109</v>
      </c>
      <c r="G22" s="173">
        <v>254922.44</v>
      </c>
      <c r="H22" s="173">
        <v>20000</v>
      </c>
      <c r="I22" s="173">
        <f>G22+H22</f>
        <v>274922.44</v>
      </c>
      <c r="J22" s="193" t="s">
        <v>120</v>
      </c>
    </row>
    <row r="23" spans="1:10" ht="24" customHeight="1">
      <c r="A23" s="188"/>
      <c r="B23" s="188"/>
      <c r="C23" s="162" t="s">
        <v>104</v>
      </c>
      <c r="D23" s="188"/>
      <c r="E23" s="161"/>
      <c r="F23" s="189"/>
      <c r="G23" s="173">
        <f>SUM(G18:G22)</f>
        <v>5486253.6299999999</v>
      </c>
      <c r="H23" s="173">
        <f>SUM(H18:H22)</f>
        <v>152709.04999999999</v>
      </c>
      <c r="I23" s="173">
        <f>SUM(I18:I22)</f>
        <v>5638962.6799999997</v>
      </c>
      <c r="J23" s="140"/>
    </row>
    <row r="24" spans="1:10" ht="24" customHeight="1">
      <c r="A24" s="1506" t="s">
        <v>122</v>
      </c>
      <c r="B24" s="1506"/>
      <c r="C24" s="1506"/>
      <c r="D24" s="1506"/>
      <c r="E24" s="1506"/>
      <c r="F24" s="1506"/>
      <c r="G24" s="1506"/>
      <c r="H24" s="1506"/>
      <c r="I24" s="1506"/>
      <c r="J24" s="1506"/>
    </row>
    <row r="25" spans="1:10" ht="51.75" customHeight="1">
      <c r="A25" s="188" t="s">
        <v>7</v>
      </c>
      <c r="B25" s="188">
        <v>4</v>
      </c>
      <c r="C25" s="188" t="s">
        <v>71</v>
      </c>
      <c r="D25" s="188">
        <v>111</v>
      </c>
      <c r="E25" s="161">
        <v>266</v>
      </c>
      <c r="F25" s="189" t="s">
        <v>124</v>
      </c>
      <c r="G25" s="173">
        <v>69800</v>
      </c>
      <c r="H25" s="173">
        <v>35000</v>
      </c>
      <c r="I25" s="173">
        <f t="shared" ref="I25:I35" si="0">G25+H25</f>
        <v>104800</v>
      </c>
      <c r="J25" s="1558" t="s">
        <v>125</v>
      </c>
    </row>
    <row r="26" spans="1:10" ht="67.5" customHeight="1">
      <c r="A26" s="188" t="s">
        <v>7</v>
      </c>
      <c r="B26" s="188">
        <v>4</v>
      </c>
      <c r="C26" s="188" t="s">
        <v>71</v>
      </c>
      <c r="D26" s="188">
        <v>112</v>
      </c>
      <c r="E26" s="161">
        <v>266</v>
      </c>
      <c r="F26" s="189" t="s">
        <v>123</v>
      </c>
      <c r="G26" s="173">
        <v>53240</v>
      </c>
      <c r="H26" s="173">
        <v>-35000</v>
      </c>
      <c r="I26" s="173">
        <f t="shared" si="0"/>
        <v>18240</v>
      </c>
      <c r="J26" s="1558"/>
    </row>
    <row r="27" spans="1:10" ht="84" customHeight="1">
      <c r="A27" s="188" t="s">
        <v>135</v>
      </c>
      <c r="B27" s="188">
        <v>4</v>
      </c>
      <c r="C27" s="188" t="s">
        <v>69</v>
      </c>
      <c r="D27" s="188">
        <v>119</v>
      </c>
      <c r="E27" s="161">
        <v>213</v>
      </c>
      <c r="F27" s="189" t="s">
        <v>10</v>
      </c>
      <c r="G27" s="173">
        <v>0</v>
      </c>
      <c r="H27" s="173">
        <v>594533.98</v>
      </c>
      <c r="I27" s="173">
        <f t="shared" si="0"/>
        <v>594533.98</v>
      </c>
      <c r="J27" s="193" t="s">
        <v>121</v>
      </c>
    </row>
    <row r="28" spans="1:10" ht="76.5" customHeight="1">
      <c r="A28" s="188" t="s">
        <v>7</v>
      </c>
      <c r="B28" s="188">
        <v>4</v>
      </c>
      <c r="C28" s="188" t="s">
        <v>71</v>
      </c>
      <c r="D28" s="188">
        <v>244</v>
      </c>
      <c r="E28" s="161">
        <v>223</v>
      </c>
      <c r="F28" s="189" t="s">
        <v>13</v>
      </c>
      <c r="G28" s="173">
        <v>1487566.76</v>
      </c>
      <c r="H28" s="173">
        <f>-32544.27+(-30000)+(-100000)</f>
        <v>-162544.26999999999</v>
      </c>
      <c r="I28" s="173">
        <f t="shared" si="0"/>
        <v>1325022.49</v>
      </c>
      <c r="J28" s="193" t="s">
        <v>127</v>
      </c>
    </row>
    <row r="29" spans="1:10" ht="109.5" customHeight="1">
      <c r="A29" s="188" t="s">
        <v>7</v>
      </c>
      <c r="B29" s="188">
        <v>4</v>
      </c>
      <c r="C29" s="188" t="s">
        <v>71</v>
      </c>
      <c r="D29" s="188">
        <v>244</v>
      </c>
      <c r="E29" s="161">
        <v>225</v>
      </c>
      <c r="F29" s="189" t="s">
        <v>14</v>
      </c>
      <c r="G29" s="173">
        <v>1257963.77</v>
      </c>
      <c r="H29" s="173">
        <v>30000</v>
      </c>
      <c r="I29" s="173">
        <f t="shared" si="0"/>
        <v>1287963.77</v>
      </c>
      <c r="J29" s="193" t="s">
        <v>126</v>
      </c>
    </row>
    <row r="30" spans="1:10" ht="106.5" customHeight="1">
      <c r="A30" s="188" t="s">
        <v>7</v>
      </c>
      <c r="B30" s="188">
        <v>4</v>
      </c>
      <c r="C30" s="188" t="s">
        <v>71</v>
      </c>
      <c r="D30" s="188">
        <v>244</v>
      </c>
      <c r="E30" s="161">
        <v>224</v>
      </c>
      <c r="F30" s="189" t="s">
        <v>15</v>
      </c>
      <c r="G30" s="173">
        <v>8815770</v>
      </c>
      <c r="H30" s="173">
        <v>32544.27</v>
      </c>
      <c r="I30" s="173">
        <f t="shared" si="0"/>
        <v>8848314.2699999996</v>
      </c>
      <c r="J30" s="193" t="s">
        <v>130</v>
      </c>
    </row>
    <row r="31" spans="1:10" ht="108.75" customHeight="1">
      <c r="A31" s="188" t="s">
        <v>7</v>
      </c>
      <c r="B31" s="188">
        <v>4</v>
      </c>
      <c r="C31" s="188" t="s">
        <v>71</v>
      </c>
      <c r="D31" s="188">
        <v>244</v>
      </c>
      <c r="E31" s="161">
        <v>226</v>
      </c>
      <c r="F31" s="189" t="s">
        <v>15</v>
      </c>
      <c r="G31" s="173">
        <v>1213548.25</v>
      </c>
      <c r="H31" s="173">
        <v>100000</v>
      </c>
      <c r="I31" s="173">
        <f t="shared" si="0"/>
        <v>1313548.25</v>
      </c>
      <c r="J31" s="193" t="s">
        <v>131</v>
      </c>
    </row>
    <row r="32" spans="1:10" ht="40.5">
      <c r="A32" s="188" t="s">
        <v>30</v>
      </c>
      <c r="B32" s="188">
        <v>4</v>
      </c>
      <c r="C32" s="188" t="s">
        <v>47</v>
      </c>
      <c r="D32" s="188">
        <v>244</v>
      </c>
      <c r="E32" s="161">
        <v>226</v>
      </c>
      <c r="F32" s="189" t="s">
        <v>15</v>
      </c>
      <c r="G32" s="173">
        <v>169385.08</v>
      </c>
      <c r="H32" s="173">
        <v>-4.67</v>
      </c>
      <c r="I32" s="173">
        <f t="shared" si="0"/>
        <v>169380.41</v>
      </c>
      <c r="J32" s="1568" t="s">
        <v>132</v>
      </c>
    </row>
    <row r="33" spans="1:10" ht="40.5">
      <c r="A33" s="188" t="s">
        <v>31</v>
      </c>
      <c r="B33" s="188">
        <v>4</v>
      </c>
      <c r="C33" s="188" t="s">
        <v>47</v>
      </c>
      <c r="D33" s="188">
        <v>244</v>
      </c>
      <c r="E33" s="161">
        <v>226</v>
      </c>
      <c r="F33" s="189" t="s">
        <v>15</v>
      </c>
      <c r="G33" s="173">
        <v>395212.59</v>
      </c>
      <c r="H33" s="173">
        <v>4.67</v>
      </c>
      <c r="I33" s="173">
        <f t="shared" si="0"/>
        <v>395217.26</v>
      </c>
      <c r="J33" s="1569"/>
    </row>
    <row r="34" spans="1:10" ht="40.5">
      <c r="A34" s="188" t="s">
        <v>30</v>
      </c>
      <c r="B34" s="188">
        <v>4</v>
      </c>
      <c r="C34" s="188" t="s">
        <v>47</v>
      </c>
      <c r="D34" s="188">
        <v>244</v>
      </c>
      <c r="E34" s="161">
        <v>310</v>
      </c>
      <c r="F34" s="189" t="s">
        <v>20</v>
      </c>
      <c r="G34" s="173">
        <v>674139.96</v>
      </c>
      <c r="H34" s="173">
        <v>-15.33</v>
      </c>
      <c r="I34" s="173">
        <f t="shared" si="0"/>
        <v>674124.63</v>
      </c>
      <c r="J34" s="1569"/>
    </row>
    <row r="35" spans="1:10" ht="40.5">
      <c r="A35" s="188" t="s">
        <v>31</v>
      </c>
      <c r="B35" s="188">
        <v>4</v>
      </c>
      <c r="C35" s="188" t="s">
        <v>47</v>
      </c>
      <c r="D35" s="188">
        <v>244</v>
      </c>
      <c r="E35" s="161">
        <v>310</v>
      </c>
      <c r="F35" s="189" t="s">
        <v>20</v>
      </c>
      <c r="G35" s="173">
        <v>1572916.6</v>
      </c>
      <c r="H35" s="173">
        <v>15.33</v>
      </c>
      <c r="I35" s="173">
        <f t="shared" si="0"/>
        <v>1572931.93</v>
      </c>
      <c r="J35" s="1570"/>
    </row>
    <row r="36" spans="1:10" ht="30" customHeight="1">
      <c r="A36" s="188"/>
      <c r="B36" s="188"/>
      <c r="C36" s="188" t="s">
        <v>104</v>
      </c>
      <c r="D36" s="188"/>
      <c r="E36" s="161"/>
      <c r="F36" s="189"/>
      <c r="G36" s="173">
        <f>SUM(G25:G35)</f>
        <v>15709543.01</v>
      </c>
      <c r="H36" s="173">
        <f>SUM(H25:H35)</f>
        <v>594533.98</v>
      </c>
      <c r="I36" s="173">
        <f>SUM(I25:I35)</f>
        <v>16304076.99</v>
      </c>
      <c r="J36" s="140"/>
    </row>
    <row r="37" spans="1:10" ht="33.75" customHeight="1">
      <c r="A37" s="1506" t="s">
        <v>105</v>
      </c>
      <c r="B37" s="1506"/>
      <c r="C37" s="1506"/>
      <c r="D37" s="1506"/>
      <c r="E37" s="1506"/>
      <c r="F37" s="1506"/>
      <c r="G37" s="1506"/>
      <c r="H37" s="1506"/>
      <c r="I37" s="1506"/>
      <c r="J37" s="1506"/>
    </row>
    <row r="38" spans="1:10" ht="40.5">
      <c r="A38" s="188" t="s">
        <v>110</v>
      </c>
      <c r="B38" s="188">
        <v>5</v>
      </c>
      <c r="C38" s="188" t="s">
        <v>136</v>
      </c>
      <c r="D38" s="188">
        <v>244</v>
      </c>
      <c r="E38" s="161">
        <v>226</v>
      </c>
      <c r="F38" s="189" t="s">
        <v>108</v>
      </c>
      <c r="G38" s="173">
        <v>0</v>
      </c>
      <c r="H38" s="173">
        <f>451467-2590</f>
        <v>448877</v>
      </c>
      <c r="I38" s="173">
        <f t="shared" ref="I38:I43" si="1">G38+H38</f>
        <v>448877</v>
      </c>
      <c r="J38" s="1568" t="s">
        <v>129</v>
      </c>
    </row>
    <row r="39" spans="1:10" ht="40.5">
      <c r="A39" s="188" t="s">
        <v>110</v>
      </c>
      <c r="B39" s="188">
        <v>5</v>
      </c>
      <c r="C39" s="188" t="s">
        <v>136</v>
      </c>
      <c r="D39" s="188">
        <v>244</v>
      </c>
      <c r="E39" s="161">
        <v>310</v>
      </c>
      <c r="F39" s="189" t="s">
        <v>20</v>
      </c>
      <c r="G39" s="173">
        <v>0</v>
      </c>
      <c r="H39" s="173">
        <f>40500+164995</f>
        <v>205495</v>
      </c>
      <c r="I39" s="173">
        <f t="shared" si="1"/>
        <v>205495</v>
      </c>
      <c r="J39" s="1569"/>
    </row>
    <row r="40" spans="1:10" ht="42.75" customHeight="1">
      <c r="A40" s="188" t="s">
        <v>110</v>
      </c>
      <c r="B40" s="188">
        <v>5</v>
      </c>
      <c r="C40" s="188" t="s">
        <v>136</v>
      </c>
      <c r="D40" s="188">
        <v>244</v>
      </c>
      <c r="E40" s="161">
        <v>345</v>
      </c>
      <c r="F40" s="189" t="s">
        <v>111</v>
      </c>
      <c r="G40" s="173">
        <v>0</v>
      </c>
      <c r="H40" s="173">
        <f>9500+2590</f>
        <v>12090</v>
      </c>
      <c r="I40" s="173">
        <f t="shared" si="1"/>
        <v>12090</v>
      </c>
      <c r="J40" s="1569"/>
    </row>
    <row r="41" spans="1:10" ht="84" customHeight="1">
      <c r="A41" s="188" t="s">
        <v>110</v>
      </c>
      <c r="B41" s="188">
        <v>5</v>
      </c>
      <c r="C41" s="188" t="s">
        <v>136</v>
      </c>
      <c r="D41" s="188">
        <v>244</v>
      </c>
      <c r="E41" s="161">
        <v>346</v>
      </c>
      <c r="F41" s="189" t="s">
        <v>112</v>
      </c>
      <c r="G41" s="173">
        <v>0</v>
      </c>
      <c r="H41" s="173">
        <f>104273+100000</f>
        <v>204273</v>
      </c>
      <c r="I41" s="173">
        <f t="shared" si="1"/>
        <v>204273</v>
      </c>
      <c r="J41" s="1570"/>
    </row>
    <row r="42" spans="1:10" ht="55.5" customHeight="1">
      <c r="A42" s="188" t="s">
        <v>107</v>
      </c>
      <c r="B42" s="188">
        <v>5</v>
      </c>
      <c r="C42" s="188" t="s">
        <v>69</v>
      </c>
      <c r="D42" s="188">
        <v>244</v>
      </c>
      <c r="E42" s="161">
        <v>211</v>
      </c>
      <c r="F42" s="189" t="s">
        <v>8</v>
      </c>
      <c r="G42" s="173">
        <v>377922.32</v>
      </c>
      <c r="H42" s="173">
        <v>57961</v>
      </c>
      <c r="I42" s="173">
        <f t="shared" si="1"/>
        <v>435883.32</v>
      </c>
      <c r="J42" s="1568" t="s">
        <v>134</v>
      </c>
    </row>
    <row r="43" spans="1:10" ht="83.25" customHeight="1">
      <c r="A43" s="188" t="s">
        <v>107</v>
      </c>
      <c r="B43" s="188">
        <v>5</v>
      </c>
      <c r="C43" s="188" t="s">
        <v>71</v>
      </c>
      <c r="D43" s="188">
        <v>244</v>
      </c>
      <c r="E43" s="161">
        <v>226</v>
      </c>
      <c r="F43" s="189" t="s">
        <v>108</v>
      </c>
      <c r="G43" s="173">
        <v>195616</v>
      </c>
      <c r="H43" s="173">
        <v>-57961</v>
      </c>
      <c r="I43" s="173">
        <f t="shared" si="1"/>
        <v>137655</v>
      </c>
      <c r="J43" s="1570"/>
    </row>
    <row r="44" spans="1:10" ht="40.5" customHeight="1">
      <c r="A44" s="188"/>
      <c r="B44" s="188"/>
      <c r="C44" s="188" t="s">
        <v>104</v>
      </c>
      <c r="D44" s="188"/>
      <c r="E44" s="161"/>
      <c r="F44" s="189"/>
      <c r="G44" s="173">
        <f>SUM(G38:G43)</f>
        <v>573538.31999999995</v>
      </c>
      <c r="H44" s="173">
        <f>SUM(H38:H43)</f>
        <v>870735</v>
      </c>
      <c r="I44" s="173">
        <f>SUM(I38:I43)</f>
        <v>1444273.32</v>
      </c>
      <c r="J44" s="202"/>
    </row>
    <row r="45" spans="1:10" s="200" customFormat="1" ht="40.5" customHeight="1">
      <c r="A45" s="1565" t="s">
        <v>133</v>
      </c>
      <c r="B45" s="1566"/>
      <c r="C45" s="1566"/>
      <c r="D45" s="1566"/>
      <c r="E45" s="1566"/>
      <c r="F45" s="1567"/>
      <c r="G45" s="198">
        <f>G23+G36+G44</f>
        <v>21769334.960000001</v>
      </c>
      <c r="H45" s="198">
        <f>H23+H36+H44</f>
        <v>1617978.03</v>
      </c>
      <c r="I45" s="198">
        <f>I23+I36+I44</f>
        <v>23387312.989999998</v>
      </c>
      <c r="J45" s="199"/>
    </row>
    <row r="46" spans="1:10" ht="15"/>
    <row r="47" spans="1:10" ht="15"/>
    <row r="48" spans="1:10" s="194" customFormat="1" ht="33">
      <c r="C48" s="194" t="s">
        <v>88</v>
      </c>
      <c r="I48" s="194" t="s">
        <v>89</v>
      </c>
    </row>
    <row r="52" spans="1:1" ht="23.25">
      <c r="A52" s="159" t="s">
        <v>90</v>
      </c>
    </row>
    <row r="53" spans="1:1" ht="24" customHeight="1">
      <c r="A53" s="159" t="s">
        <v>91</v>
      </c>
    </row>
    <row r="54" spans="1:1" ht="24" customHeight="1">
      <c r="A54" s="159" t="s">
        <v>27</v>
      </c>
    </row>
  </sheetData>
  <mergeCells count="18">
    <mergeCell ref="A45:F45"/>
    <mergeCell ref="J32:J35"/>
    <mergeCell ref="A37:J37"/>
    <mergeCell ref="J38:J41"/>
    <mergeCell ref="J42:J43"/>
    <mergeCell ref="A15:J15"/>
    <mergeCell ref="A24:J24"/>
    <mergeCell ref="J25:J26"/>
    <mergeCell ref="C14:E14"/>
    <mergeCell ref="A7:J7"/>
    <mergeCell ref="C9:E9"/>
    <mergeCell ref="A10:J10"/>
    <mergeCell ref="C12:E12"/>
    <mergeCell ref="C13:E13"/>
    <mergeCell ref="C11:E11"/>
    <mergeCell ref="J11:J12"/>
    <mergeCell ref="F11:F12"/>
    <mergeCell ref="A17:J17"/>
  </mergeCells>
  <pageMargins left="0.70866141732283472" right="0.70866141732283472" top="0.74803149606299213" bottom="0.74803149606299213" header="0.31496062992125984" footer="0.31496062992125984"/>
  <pageSetup paperSize="9" scale="37" fitToHeight="2" orientation="landscape" r:id="rId1"/>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1:J31"/>
  <sheetViews>
    <sheetView zoomScale="75" zoomScaleNormal="75" workbookViewId="0">
      <selection activeCell="J20" sqref="J20"/>
    </sheetView>
  </sheetViews>
  <sheetFormatPr defaultRowHeight="15"/>
  <cols>
    <col min="1" max="1" width="25.5703125" customWidth="1"/>
    <col min="2" max="2" width="10.140625" customWidth="1"/>
    <col min="3" max="3" width="37.42578125" customWidth="1"/>
    <col min="4" max="4" width="11.5703125" customWidth="1"/>
    <col min="5" max="5" width="11.7109375" customWidth="1"/>
    <col min="6" max="6" width="37.5703125" customWidth="1"/>
    <col min="7" max="7" width="23.28515625" customWidth="1"/>
    <col min="8" max="8" width="21.7109375" customWidth="1"/>
    <col min="9" max="9" width="25.28515625" customWidth="1"/>
    <col min="10" max="10" width="116.85546875" customWidth="1"/>
  </cols>
  <sheetData>
    <row r="1" spans="1:10" ht="26.25">
      <c r="A1" s="133" t="s">
        <v>76</v>
      </c>
      <c r="B1" s="134"/>
      <c r="C1" s="135"/>
      <c r="D1" s="136"/>
    </row>
    <row r="2" spans="1:10" ht="26.25">
      <c r="A2" s="137" t="s">
        <v>77</v>
      </c>
      <c r="B2" s="134"/>
      <c r="C2" s="135"/>
      <c r="D2" s="136"/>
    </row>
    <row r="3" spans="1:10" ht="26.25">
      <c r="A3" s="137" t="s">
        <v>78</v>
      </c>
      <c r="B3" s="134"/>
      <c r="C3" s="135"/>
      <c r="D3" s="136"/>
    </row>
    <row r="4" spans="1:10" ht="26.25">
      <c r="A4" s="137" t="s">
        <v>79</v>
      </c>
      <c r="B4" s="134"/>
      <c r="C4" s="135"/>
      <c r="D4" s="136"/>
    </row>
    <row r="5" spans="1:10" ht="32.25" customHeight="1">
      <c r="A5" s="137" t="s">
        <v>92</v>
      </c>
      <c r="B5" s="134"/>
      <c r="C5" s="135"/>
      <c r="D5" s="136"/>
    </row>
    <row r="6" spans="1:10">
      <c r="A6" s="138"/>
      <c r="B6" s="138"/>
      <c r="C6" s="138"/>
    </row>
    <row r="7" spans="1:10" ht="75.75" customHeight="1">
      <c r="A7" s="1560" t="s">
        <v>93</v>
      </c>
      <c r="B7" s="1560"/>
      <c r="C7" s="1560"/>
      <c r="D7" s="1560"/>
      <c r="E7" s="1560"/>
      <c r="F7" s="1560"/>
      <c r="G7" s="1560"/>
      <c r="H7" s="1560"/>
      <c r="I7" s="1560"/>
      <c r="J7" s="1560"/>
    </row>
    <row r="9" spans="1:10" ht="60" customHeight="1">
      <c r="A9" s="139" t="s">
        <v>1</v>
      </c>
      <c r="B9" s="139" t="s">
        <v>2</v>
      </c>
      <c r="C9" s="1574" t="s">
        <v>80</v>
      </c>
      <c r="D9" s="1575"/>
      <c r="E9" s="1576"/>
      <c r="F9" s="139" t="s">
        <v>81</v>
      </c>
      <c r="G9" s="139" t="s">
        <v>82</v>
      </c>
      <c r="H9" s="139" t="s">
        <v>83</v>
      </c>
      <c r="I9" s="139" t="s">
        <v>84</v>
      </c>
      <c r="J9" s="139" t="s">
        <v>85</v>
      </c>
    </row>
    <row r="10" spans="1:10" ht="22.5">
      <c r="A10" s="1577" t="s">
        <v>86</v>
      </c>
      <c r="B10" s="1578"/>
      <c r="C10" s="1578"/>
      <c r="D10" s="1578"/>
      <c r="E10" s="1578"/>
      <c r="F10" s="1578"/>
      <c r="G10" s="1578"/>
      <c r="H10" s="1578"/>
      <c r="I10" s="1578"/>
      <c r="J10" s="1579"/>
    </row>
    <row r="11" spans="1:10" ht="23.25" customHeight="1">
      <c r="A11" s="1571" t="s">
        <v>96</v>
      </c>
      <c r="B11" s="1572"/>
      <c r="C11" s="1572"/>
      <c r="D11" s="1572"/>
      <c r="E11" s="1572"/>
      <c r="F11" s="1572"/>
      <c r="G11" s="1572"/>
      <c r="H11" s="1572"/>
      <c r="I11" s="1572"/>
      <c r="J11" s="1573"/>
    </row>
    <row r="12" spans="1:10" ht="60" customHeight="1">
      <c r="A12" s="139"/>
      <c r="B12" s="139">
        <v>2</v>
      </c>
      <c r="C12" s="1580" t="s">
        <v>94</v>
      </c>
      <c r="D12" s="1581"/>
      <c r="E12" s="1582"/>
      <c r="F12" s="139" t="s">
        <v>95</v>
      </c>
      <c r="G12" s="140">
        <v>12701250</v>
      </c>
      <c r="H12" s="141">
        <v>1168536.1599999999</v>
      </c>
      <c r="I12" s="142">
        <f>G12+H12</f>
        <v>13869786.16</v>
      </c>
      <c r="J12" s="143" t="s">
        <v>100</v>
      </c>
    </row>
    <row r="13" spans="1:10" ht="22.5">
      <c r="A13" s="1577" t="s">
        <v>87</v>
      </c>
      <c r="B13" s="1578"/>
      <c r="C13" s="1578"/>
      <c r="D13" s="1578"/>
      <c r="E13" s="1578"/>
      <c r="F13" s="1578"/>
      <c r="G13" s="1578"/>
      <c r="H13" s="1578"/>
      <c r="I13" s="1578"/>
      <c r="J13" s="1579"/>
    </row>
    <row r="14" spans="1:10" ht="60" customHeight="1">
      <c r="A14" s="139" t="s">
        <v>1</v>
      </c>
      <c r="B14" s="139" t="s">
        <v>2</v>
      </c>
      <c r="C14" s="139" t="s">
        <v>3</v>
      </c>
      <c r="D14" s="139" t="s">
        <v>4</v>
      </c>
      <c r="E14" s="139" t="s">
        <v>5</v>
      </c>
      <c r="F14" s="139" t="s">
        <v>6</v>
      </c>
      <c r="G14" s="139" t="s">
        <v>82</v>
      </c>
      <c r="H14" s="139" t="s">
        <v>83</v>
      </c>
      <c r="I14" s="139" t="s">
        <v>84</v>
      </c>
      <c r="J14" s="139" t="s">
        <v>85</v>
      </c>
    </row>
    <row r="15" spans="1:10" ht="23.25" customHeight="1">
      <c r="A15" s="1571" t="s">
        <v>96</v>
      </c>
      <c r="B15" s="1572"/>
      <c r="C15" s="1572"/>
      <c r="D15" s="1572"/>
      <c r="E15" s="1572"/>
      <c r="F15" s="1572"/>
      <c r="G15" s="1572"/>
      <c r="H15" s="1572"/>
      <c r="I15" s="1572"/>
      <c r="J15" s="1573"/>
    </row>
    <row r="16" spans="1:10" ht="48.75" customHeight="1">
      <c r="A16" s="144" t="s">
        <v>23</v>
      </c>
      <c r="B16" s="144">
        <v>2</v>
      </c>
      <c r="C16" s="144" t="s">
        <v>69</v>
      </c>
      <c r="D16" s="144">
        <v>111</v>
      </c>
      <c r="E16" s="145">
        <v>211</v>
      </c>
      <c r="F16" s="146" t="s">
        <v>8</v>
      </c>
      <c r="G16" s="141">
        <f>4302112.92</f>
        <v>4302112.92</v>
      </c>
      <c r="H16" s="142">
        <v>616536.16</v>
      </c>
      <c r="I16" s="142">
        <f>G16+H16</f>
        <v>4918649.08</v>
      </c>
      <c r="J16" s="147" t="s">
        <v>98</v>
      </c>
    </row>
    <row r="17" spans="1:10" ht="40.5">
      <c r="A17" s="144" t="s">
        <v>23</v>
      </c>
      <c r="B17" s="144">
        <v>2</v>
      </c>
      <c r="C17" s="144" t="s">
        <v>69</v>
      </c>
      <c r="D17" s="144">
        <v>119</v>
      </c>
      <c r="E17" s="145">
        <v>213</v>
      </c>
      <c r="F17" s="146" t="s">
        <v>10</v>
      </c>
      <c r="G17" s="141">
        <f>1296103.38</f>
        <v>1296103.3799999999</v>
      </c>
      <c r="H17" s="141">
        <v>117000</v>
      </c>
      <c r="I17" s="142">
        <f>G17+H17</f>
        <v>1413103.38</v>
      </c>
      <c r="J17" s="158" t="s">
        <v>99</v>
      </c>
    </row>
    <row r="18" spans="1:10" ht="46.5" customHeight="1">
      <c r="A18" s="144" t="s">
        <v>23</v>
      </c>
      <c r="B18" s="144">
        <v>2</v>
      </c>
      <c r="C18" s="144" t="s">
        <v>71</v>
      </c>
      <c r="D18" s="144">
        <v>244</v>
      </c>
      <c r="E18" s="145">
        <v>226</v>
      </c>
      <c r="F18" s="146" t="s">
        <v>15</v>
      </c>
      <c r="G18" s="141">
        <f>2841006.08-129266.9</f>
        <v>2711739.18</v>
      </c>
      <c r="H18" s="141">
        <v>435000</v>
      </c>
      <c r="I18" s="142">
        <f>G18+H18</f>
        <v>3146739.18</v>
      </c>
      <c r="J18" s="157" t="s">
        <v>97</v>
      </c>
    </row>
    <row r="19" spans="1:10" ht="33" customHeight="1">
      <c r="A19" s="144"/>
      <c r="B19" s="144"/>
      <c r="C19" s="144"/>
      <c r="D19" s="144"/>
      <c r="E19" s="145"/>
      <c r="F19" s="148"/>
      <c r="G19" s="141"/>
      <c r="H19" s="141">
        <f>SUM(H16:H18)</f>
        <v>1168536.1599999999</v>
      </c>
      <c r="I19" s="141"/>
      <c r="J19" s="141"/>
    </row>
    <row r="20" spans="1:10" ht="54" customHeight="1">
      <c r="A20" s="149"/>
      <c r="B20" s="149"/>
      <c r="C20" s="149"/>
      <c r="D20" s="149"/>
      <c r="E20" s="150"/>
      <c r="F20" s="151"/>
      <c r="G20" s="152"/>
      <c r="H20" s="153"/>
      <c r="I20" s="154"/>
      <c r="J20" s="155"/>
    </row>
    <row r="21" spans="1:10" ht="26.25">
      <c r="B21" s="156" t="s">
        <v>88</v>
      </c>
      <c r="C21" s="156"/>
      <c r="D21" s="156"/>
      <c r="E21" s="156"/>
      <c r="F21" s="136"/>
      <c r="G21" s="156"/>
      <c r="H21" s="156" t="s">
        <v>89</v>
      </c>
    </row>
    <row r="29" spans="1:10">
      <c r="A29" t="s">
        <v>90</v>
      </c>
    </row>
    <row r="30" spans="1:10">
      <c r="A30" t="s">
        <v>91</v>
      </c>
    </row>
    <row r="31" spans="1:10">
      <c r="A31" t="s">
        <v>27</v>
      </c>
    </row>
  </sheetData>
  <mergeCells count="7">
    <mergeCell ref="A15:J15"/>
    <mergeCell ref="A7:J7"/>
    <mergeCell ref="C9:E9"/>
    <mergeCell ref="A10:J10"/>
    <mergeCell ref="A11:J11"/>
    <mergeCell ref="C12:E12"/>
    <mergeCell ref="A13:J13"/>
  </mergeCells>
  <pageMargins left="0.70866141732283472" right="0.70866141732283472" top="0.74803149606299213" bottom="0.74803149606299213" header="0.31496062992125984" footer="0.31496062992125984"/>
  <pageSetup paperSize="9" scale="40" orientation="landscape" horizontalDpi="4294967295" verticalDpi="4294967295"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3" filterMode="1">
    <tabColor rgb="FF92D050"/>
    <outlinePr summaryBelow="0" summaryRight="0"/>
    <pageSetUpPr fitToPage="1"/>
  </sheetPr>
  <dimension ref="A1:BS436"/>
  <sheetViews>
    <sheetView view="pageBreakPreview" topLeftCell="B1" zoomScale="65" zoomScaleNormal="85" zoomScaleSheetLayoutView="65" workbookViewId="0">
      <pane xSplit="44" ySplit="10" topLeftCell="AT21" activePane="bottomRight" state="frozen"/>
      <selection activeCell="D3" sqref="D3"/>
      <selection pane="topRight" activeCell="AT3" sqref="AT3"/>
      <selection pane="bottomLeft" activeCell="D11" sqref="D11"/>
      <selection pane="bottomRight" activeCell="F68" sqref="F68"/>
    </sheetView>
  </sheetViews>
  <sheetFormatPr defaultRowHeight="15" outlineLevelRow="2" outlineLevelCol="2"/>
  <cols>
    <col min="1" max="1" width="5.140625" style="2" hidden="1" customWidth="1"/>
    <col min="2" max="2" width="12.5703125" style="2" customWidth="1"/>
    <col min="3" max="3" width="13.140625" style="2" customWidth="1"/>
    <col min="4" max="4" width="8.7109375" style="2" customWidth="1"/>
    <col min="5" max="5" width="6.5703125" style="2" customWidth="1"/>
    <col min="6" max="6" width="17.85546875" style="2" customWidth="1"/>
    <col min="7" max="7" width="9" style="2" customWidth="1"/>
    <col min="8" max="8" width="8.28515625" style="2" customWidth="1"/>
    <col min="9" max="9" width="45.140625" style="2" customWidth="1"/>
    <col min="10" max="10" width="16.5703125" style="88" customWidth="1"/>
    <col min="11" max="11" width="15.28515625" style="88" customWidth="1" outlineLevel="1"/>
    <col min="12" max="12" width="15.28515625" style="88" hidden="1" customWidth="1" outlineLevel="1" collapsed="1"/>
    <col min="13" max="13" width="15.5703125" style="326" hidden="1" customWidth="1" outlineLevel="2"/>
    <col min="14" max="14" width="17.5703125" style="88" customWidth="1" outlineLevel="1" collapsed="1"/>
    <col min="15" max="15" width="15.85546875" style="326" hidden="1" customWidth="1" outlineLevel="2"/>
    <col min="16" max="16" width="17.5703125" style="88" customWidth="1" outlineLevel="1" collapsed="1"/>
    <col min="17" max="17" width="13.7109375" style="326" hidden="1" customWidth="1" outlineLevel="2"/>
    <col min="18" max="18" width="2.85546875" style="324" customWidth="1"/>
    <col min="19" max="19" width="16.5703125" style="2" customWidth="1" outlineLevel="1"/>
    <col min="20" max="20" width="11.85546875" style="2" customWidth="1" outlineLevel="1"/>
    <col min="21" max="21" width="11.5703125" style="2" customWidth="1" outlineLevel="1"/>
    <col min="22" max="22" width="2.85546875" style="2" customWidth="1" collapsed="1"/>
    <col min="23" max="25" width="15.28515625" style="88" hidden="1" customWidth="1" outlineLevel="2"/>
    <col min="26" max="26" width="16.140625" style="88" hidden="1" customWidth="1" outlineLevel="2"/>
    <col min="27" max="27" width="15.28515625" style="88" hidden="1" customWidth="1" outlineLevel="2"/>
    <col min="28" max="28" width="15.85546875" style="88" hidden="1" customWidth="1" outlineLevel="2"/>
    <col min="29" max="34" width="15.28515625" style="88" hidden="1" customWidth="1" outlineLevel="2"/>
    <col min="35" max="35" width="2.85546875" style="274" customWidth="1" collapsed="1"/>
    <col min="36" max="36" width="15.85546875" style="88" hidden="1" customWidth="1" outlineLevel="2"/>
    <col min="37" max="37" width="15.28515625" style="88" hidden="1" customWidth="1" outlineLevel="2"/>
    <col min="38" max="39" width="15.85546875" style="88" hidden="1" customWidth="1" outlineLevel="2"/>
    <col min="40" max="40" width="15.28515625" style="88" hidden="1" customWidth="1" outlineLevel="2"/>
    <col min="41" max="41" width="16" style="88" hidden="1" customWidth="1" outlineLevel="2"/>
    <col min="42" max="42" width="15.85546875" style="88" customWidth="1"/>
    <col min="43" max="43" width="15.28515625" style="88" customWidth="1"/>
    <col min="44" max="44" width="16" style="88" customWidth="1"/>
    <col min="45" max="45" width="8.7109375" style="591" customWidth="1"/>
    <col min="46" max="46" width="15.28515625" style="88" customWidth="1"/>
    <col min="47" max="47" width="15.28515625" style="88" hidden="1" customWidth="1"/>
    <col min="48" max="48" width="15.28515625" style="88" customWidth="1"/>
    <col min="49" max="49" width="15.28515625" style="88" hidden="1" customWidth="1"/>
    <col min="50" max="50" width="16" style="88" customWidth="1"/>
    <col min="51" max="51" width="15.28515625" style="88" hidden="1" customWidth="1"/>
    <col min="52" max="52" width="15.28515625" style="88" customWidth="1"/>
    <col min="53" max="53" width="15.28515625" style="88" hidden="1" customWidth="1"/>
    <col min="54" max="54" width="15.28515625" style="88" customWidth="1"/>
    <col min="55" max="55" width="15.28515625" style="88" hidden="1" customWidth="1"/>
    <col min="56" max="56" width="15.28515625" style="88" customWidth="1"/>
    <col min="57" max="57" width="15.28515625" style="88" hidden="1" customWidth="1"/>
    <col min="58" max="58" width="15.28515625" style="88" customWidth="1"/>
    <col min="59" max="59" width="15.28515625" style="88" hidden="1" customWidth="1"/>
    <col min="60" max="60" width="15.28515625" style="88" customWidth="1"/>
    <col min="61" max="61" width="15.28515625" style="88" hidden="1" customWidth="1"/>
    <col min="62" max="62" width="15.28515625" style="88" customWidth="1"/>
    <col min="63" max="63" width="15.28515625" style="88" hidden="1" customWidth="1"/>
    <col min="64" max="64" width="15.28515625" style="88" customWidth="1"/>
    <col min="65" max="65" width="15.28515625" style="88" hidden="1" customWidth="1"/>
    <col min="66" max="66" width="15.28515625" style="88" customWidth="1"/>
    <col min="67" max="67" width="15.28515625" style="88" hidden="1" customWidth="1"/>
    <col min="68" max="68" width="15.28515625" style="88" customWidth="1"/>
    <col min="69" max="69" width="15.28515625" style="88" hidden="1" customWidth="1"/>
    <col min="70" max="70" width="18.28515625" style="2" customWidth="1"/>
    <col min="71" max="84" width="15.85546875" style="2" customWidth="1"/>
    <col min="85" max="244" width="9.140625" style="2"/>
    <col min="245" max="245" width="16.28515625" style="2" customWidth="1"/>
    <col min="246" max="246" width="9.5703125" style="2" customWidth="1"/>
    <col min="247" max="247" width="25.85546875" style="2" customWidth="1"/>
    <col min="248" max="248" width="10.7109375" style="2" customWidth="1"/>
    <col min="249" max="249" width="40.42578125" style="2" customWidth="1"/>
    <col min="250" max="250" width="30.5703125" style="2" customWidth="1"/>
    <col min="251" max="251" width="16.42578125" style="2" customWidth="1"/>
    <col min="252" max="252" width="13" style="2" bestFit="1" customWidth="1"/>
    <col min="253" max="500" width="9.140625" style="2"/>
    <col min="501" max="501" width="16.28515625" style="2" customWidth="1"/>
    <col min="502" max="502" width="9.5703125" style="2" customWidth="1"/>
    <col min="503" max="503" width="25.85546875" style="2" customWidth="1"/>
    <col min="504" max="504" width="10.7109375" style="2" customWidth="1"/>
    <col min="505" max="505" width="40.42578125" style="2" customWidth="1"/>
    <col min="506" max="506" width="30.5703125" style="2" customWidth="1"/>
    <col min="507" max="507" width="16.42578125" style="2" customWidth="1"/>
    <col min="508" max="508" width="13" style="2" bestFit="1" customWidth="1"/>
    <col min="509" max="756" width="9.140625" style="2"/>
    <col min="757" max="757" width="16.28515625" style="2" customWidth="1"/>
    <col min="758" max="758" width="9.5703125" style="2" customWidth="1"/>
    <col min="759" max="759" width="25.85546875" style="2" customWidth="1"/>
    <col min="760" max="760" width="10.7109375" style="2" customWidth="1"/>
    <col min="761" max="761" width="40.42578125" style="2" customWidth="1"/>
    <col min="762" max="762" width="30.5703125" style="2" customWidth="1"/>
    <col min="763" max="763" width="16.42578125" style="2" customWidth="1"/>
    <col min="764" max="764" width="13" style="2" bestFit="1" customWidth="1"/>
    <col min="765" max="1012" width="9.140625" style="2"/>
    <col min="1013" max="1013" width="16.28515625" style="2" customWidth="1"/>
    <col min="1014" max="1014" width="9.5703125" style="2" customWidth="1"/>
    <col min="1015" max="1015" width="25.85546875" style="2" customWidth="1"/>
    <col min="1016" max="1016" width="10.7109375" style="2" customWidth="1"/>
    <col min="1017" max="1017" width="40.42578125" style="2" customWidth="1"/>
    <col min="1018" max="1018" width="30.5703125" style="2" customWidth="1"/>
    <col min="1019" max="1019" width="16.42578125" style="2" customWidth="1"/>
    <col min="1020" max="1020" width="13" style="2" bestFit="1" customWidth="1"/>
    <col min="1021" max="1268" width="9.140625" style="2"/>
    <col min="1269" max="1269" width="16.28515625" style="2" customWidth="1"/>
    <col min="1270" max="1270" width="9.5703125" style="2" customWidth="1"/>
    <col min="1271" max="1271" width="25.85546875" style="2" customWidth="1"/>
    <col min="1272" max="1272" width="10.7109375" style="2" customWidth="1"/>
    <col min="1273" max="1273" width="40.42578125" style="2" customWidth="1"/>
    <col min="1274" max="1274" width="30.5703125" style="2" customWidth="1"/>
    <col min="1275" max="1275" width="16.42578125" style="2" customWidth="1"/>
    <col min="1276" max="1276" width="13" style="2" bestFit="1" customWidth="1"/>
    <col min="1277" max="1524" width="9.140625" style="2"/>
    <col min="1525" max="1525" width="16.28515625" style="2" customWidth="1"/>
    <col min="1526" max="1526" width="9.5703125" style="2" customWidth="1"/>
    <col min="1527" max="1527" width="25.85546875" style="2" customWidth="1"/>
    <col min="1528" max="1528" width="10.7109375" style="2" customWidth="1"/>
    <col min="1529" max="1529" width="40.42578125" style="2" customWidth="1"/>
    <col min="1530" max="1530" width="30.5703125" style="2" customWidth="1"/>
    <col min="1531" max="1531" width="16.42578125" style="2" customWidth="1"/>
    <col min="1532" max="1532" width="13" style="2" bestFit="1" customWidth="1"/>
    <col min="1533" max="1780" width="9.140625" style="2"/>
    <col min="1781" max="1781" width="16.28515625" style="2" customWidth="1"/>
    <col min="1782" max="1782" width="9.5703125" style="2" customWidth="1"/>
    <col min="1783" max="1783" width="25.85546875" style="2" customWidth="1"/>
    <col min="1784" max="1784" width="10.7109375" style="2" customWidth="1"/>
    <col min="1785" max="1785" width="40.42578125" style="2" customWidth="1"/>
    <col min="1786" max="1786" width="30.5703125" style="2" customWidth="1"/>
    <col min="1787" max="1787" width="16.42578125" style="2" customWidth="1"/>
    <col min="1788" max="1788" width="13" style="2" bestFit="1" customWidth="1"/>
    <col min="1789" max="2036" width="9.140625" style="2"/>
    <col min="2037" max="2037" width="16.28515625" style="2" customWidth="1"/>
    <col min="2038" max="2038" width="9.5703125" style="2" customWidth="1"/>
    <col min="2039" max="2039" width="25.85546875" style="2" customWidth="1"/>
    <col min="2040" max="2040" width="10.7109375" style="2" customWidth="1"/>
    <col min="2041" max="2041" width="40.42578125" style="2" customWidth="1"/>
    <col min="2042" max="2042" width="30.5703125" style="2" customWidth="1"/>
    <col min="2043" max="2043" width="16.42578125" style="2" customWidth="1"/>
    <col min="2044" max="2044" width="13" style="2" bestFit="1" customWidth="1"/>
    <col min="2045" max="2292" width="9.140625" style="2"/>
    <col min="2293" max="2293" width="16.28515625" style="2" customWidth="1"/>
    <col min="2294" max="2294" width="9.5703125" style="2" customWidth="1"/>
    <col min="2295" max="2295" width="25.85546875" style="2" customWidth="1"/>
    <col min="2296" max="2296" width="10.7109375" style="2" customWidth="1"/>
    <col min="2297" max="2297" width="40.42578125" style="2" customWidth="1"/>
    <col min="2298" max="2298" width="30.5703125" style="2" customWidth="1"/>
    <col min="2299" max="2299" width="16.42578125" style="2" customWidth="1"/>
    <col min="2300" max="2300" width="13" style="2" bestFit="1" customWidth="1"/>
    <col min="2301" max="2548" width="9.140625" style="2"/>
    <col min="2549" max="2549" width="16.28515625" style="2" customWidth="1"/>
    <col min="2550" max="2550" width="9.5703125" style="2" customWidth="1"/>
    <col min="2551" max="2551" width="25.85546875" style="2" customWidth="1"/>
    <col min="2552" max="2552" width="10.7109375" style="2" customWidth="1"/>
    <col min="2553" max="2553" width="40.42578125" style="2" customWidth="1"/>
    <col min="2554" max="2554" width="30.5703125" style="2" customWidth="1"/>
    <col min="2555" max="2555" width="16.42578125" style="2" customWidth="1"/>
    <col min="2556" max="2556" width="13" style="2" bestFit="1" customWidth="1"/>
    <col min="2557" max="2804" width="9.140625" style="2"/>
    <col min="2805" max="2805" width="16.28515625" style="2" customWidth="1"/>
    <col min="2806" max="2806" width="9.5703125" style="2" customWidth="1"/>
    <col min="2807" max="2807" width="25.85546875" style="2" customWidth="1"/>
    <col min="2808" max="2808" width="10.7109375" style="2" customWidth="1"/>
    <col min="2809" max="2809" width="40.42578125" style="2" customWidth="1"/>
    <col min="2810" max="2810" width="30.5703125" style="2" customWidth="1"/>
    <col min="2811" max="2811" width="16.42578125" style="2" customWidth="1"/>
    <col min="2812" max="2812" width="13" style="2" bestFit="1" customWidth="1"/>
    <col min="2813" max="3060" width="9.140625" style="2"/>
    <col min="3061" max="3061" width="16.28515625" style="2" customWidth="1"/>
    <col min="3062" max="3062" width="9.5703125" style="2" customWidth="1"/>
    <col min="3063" max="3063" width="25.85546875" style="2" customWidth="1"/>
    <col min="3064" max="3064" width="10.7109375" style="2" customWidth="1"/>
    <col min="3065" max="3065" width="40.42578125" style="2" customWidth="1"/>
    <col min="3066" max="3066" width="30.5703125" style="2" customWidth="1"/>
    <col min="3067" max="3067" width="16.42578125" style="2" customWidth="1"/>
    <col min="3068" max="3068" width="13" style="2" bestFit="1" customWidth="1"/>
    <col min="3069" max="3316" width="9.140625" style="2"/>
    <col min="3317" max="3317" width="16.28515625" style="2" customWidth="1"/>
    <col min="3318" max="3318" width="9.5703125" style="2" customWidth="1"/>
    <col min="3319" max="3319" width="25.85546875" style="2" customWidth="1"/>
    <col min="3320" max="3320" width="10.7109375" style="2" customWidth="1"/>
    <col min="3321" max="3321" width="40.42578125" style="2" customWidth="1"/>
    <col min="3322" max="3322" width="30.5703125" style="2" customWidth="1"/>
    <col min="3323" max="3323" width="16.42578125" style="2" customWidth="1"/>
    <col min="3324" max="3324" width="13" style="2" bestFit="1" customWidth="1"/>
    <col min="3325" max="3572" width="9.140625" style="2"/>
    <col min="3573" max="3573" width="16.28515625" style="2" customWidth="1"/>
    <col min="3574" max="3574" width="9.5703125" style="2" customWidth="1"/>
    <col min="3575" max="3575" width="25.85546875" style="2" customWidth="1"/>
    <col min="3576" max="3576" width="10.7109375" style="2" customWidth="1"/>
    <col min="3577" max="3577" width="40.42578125" style="2" customWidth="1"/>
    <col min="3578" max="3578" width="30.5703125" style="2" customWidth="1"/>
    <col min="3579" max="3579" width="16.42578125" style="2" customWidth="1"/>
    <col min="3580" max="3580" width="13" style="2" bestFit="1" customWidth="1"/>
    <col min="3581" max="3828" width="9.140625" style="2"/>
    <col min="3829" max="3829" width="16.28515625" style="2" customWidth="1"/>
    <col min="3830" max="3830" width="9.5703125" style="2" customWidth="1"/>
    <col min="3831" max="3831" width="25.85546875" style="2" customWidth="1"/>
    <col min="3832" max="3832" width="10.7109375" style="2" customWidth="1"/>
    <col min="3833" max="3833" width="40.42578125" style="2" customWidth="1"/>
    <col min="3834" max="3834" width="30.5703125" style="2" customWidth="1"/>
    <col min="3835" max="3835" width="16.42578125" style="2" customWidth="1"/>
    <col min="3836" max="3836" width="13" style="2" bestFit="1" customWidth="1"/>
    <col min="3837" max="4084" width="9.140625" style="2"/>
    <col min="4085" max="4085" width="16.28515625" style="2" customWidth="1"/>
    <col min="4086" max="4086" width="9.5703125" style="2" customWidth="1"/>
    <col min="4087" max="4087" width="25.85546875" style="2" customWidth="1"/>
    <col min="4088" max="4088" width="10.7109375" style="2" customWidth="1"/>
    <col min="4089" max="4089" width="40.42578125" style="2" customWidth="1"/>
    <col min="4090" max="4090" width="30.5703125" style="2" customWidth="1"/>
    <col min="4091" max="4091" width="16.42578125" style="2" customWidth="1"/>
    <col min="4092" max="4092" width="13" style="2" bestFit="1" customWidth="1"/>
    <col min="4093" max="4340" width="9.140625" style="2"/>
    <col min="4341" max="4341" width="16.28515625" style="2" customWidth="1"/>
    <col min="4342" max="4342" width="9.5703125" style="2" customWidth="1"/>
    <col min="4343" max="4343" width="25.85546875" style="2" customWidth="1"/>
    <col min="4344" max="4344" width="10.7109375" style="2" customWidth="1"/>
    <col min="4345" max="4345" width="40.42578125" style="2" customWidth="1"/>
    <col min="4346" max="4346" width="30.5703125" style="2" customWidth="1"/>
    <col min="4347" max="4347" width="16.42578125" style="2" customWidth="1"/>
    <col min="4348" max="4348" width="13" style="2" bestFit="1" customWidth="1"/>
    <col min="4349" max="4596" width="9.140625" style="2"/>
    <col min="4597" max="4597" width="16.28515625" style="2" customWidth="1"/>
    <col min="4598" max="4598" width="9.5703125" style="2" customWidth="1"/>
    <col min="4599" max="4599" width="25.85546875" style="2" customWidth="1"/>
    <col min="4600" max="4600" width="10.7109375" style="2" customWidth="1"/>
    <col min="4601" max="4601" width="40.42578125" style="2" customWidth="1"/>
    <col min="4602" max="4602" width="30.5703125" style="2" customWidth="1"/>
    <col min="4603" max="4603" width="16.42578125" style="2" customWidth="1"/>
    <col min="4604" max="4604" width="13" style="2" bestFit="1" customWidth="1"/>
    <col min="4605" max="4852" width="9.140625" style="2"/>
    <col min="4853" max="4853" width="16.28515625" style="2" customWidth="1"/>
    <col min="4854" max="4854" width="9.5703125" style="2" customWidth="1"/>
    <col min="4855" max="4855" width="25.85546875" style="2" customWidth="1"/>
    <col min="4856" max="4856" width="10.7109375" style="2" customWidth="1"/>
    <col min="4857" max="4857" width="40.42578125" style="2" customWidth="1"/>
    <col min="4858" max="4858" width="30.5703125" style="2" customWidth="1"/>
    <col min="4859" max="4859" width="16.42578125" style="2" customWidth="1"/>
    <col min="4860" max="4860" width="13" style="2" bestFit="1" customWidth="1"/>
    <col min="4861" max="5108" width="9.140625" style="2"/>
    <col min="5109" max="5109" width="16.28515625" style="2" customWidth="1"/>
    <col min="5110" max="5110" width="9.5703125" style="2" customWidth="1"/>
    <col min="5111" max="5111" width="25.85546875" style="2" customWidth="1"/>
    <col min="5112" max="5112" width="10.7109375" style="2" customWidth="1"/>
    <col min="5113" max="5113" width="40.42578125" style="2" customWidth="1"/>
    <col min="5114" max="5114" width="30.5703125" style="2" customWidth="1"/>
    <col min="5115" max="5115" width="16.42578125" style="2" customWidth="1"/>
    <col min="5116" max="5116" width="13" style="2" bestFit="1" customWidth="1"/>
    <col min="5117" max="5364" width="9.140625" style="2"/>
    <col min="5365" max="5365" width="16.28515625" style="2" customWidth="1"/>
    <col min="5366" max="5366" width="9.5703125" style="2" customWidth="1"/>
    <col min="5367" max="5367" width="25.85546875" style="2" customWidth="1"/>
    <col min="5368" max="5368" width="10.7109375" style="2" customWidth="1"/>
    <col min="5369" max="5369" width="40.42578125" style="2" customWidth="1"/>
    <col min="5370" max="5370" width="30.5703125" style="2" customWidth="1"/>
    <col min="5371" max="5371" width="16.42578125" style="2" customWidth="1"/>
    <col min="5372" max="5372" width="13" style="2" bestFit="1" customWidth="1"/>
    <col min="5373" max="5620" width="9.140625" style="2"/>
    <col min="5621" max="5621" width="16.28515625" style="2" customWidth="1"/>
    <col min="5622" max="5622" width="9.5703125" style="2" customWidth="1"/>
    <col min="5623" max="5623" width="25.85546875" style="2" customWidth="1"/>
    <col min="5624" max="5624" width="10.7109375" style="2" customWidth="1"/>
    <col min="5625" max="5625" width="40.42578125" style="2" customWidth="1"/>
    <col min="5626" max="5626" width="30.5703125" style="2" customWidth="1"/>
    <col min="5627" max="5627" width="16.42578125" style="2" customWidth="1"/>
    <col min="5628" max="5628" width="13" style="2" bestFit="1" customWidth="1"/>
    <col min="5629" max="5876" width="9.140625" style="2"/>
    <col min="5877" max="5877" width="16.28515625" style="2" customWidth="1"/>
    <col min="5878" max="5878" width="9.5703125" style="2" customWidth="1"/>
    <col min="5879" max="5879" width="25.85546875" style="2" customWidth="1"/>
    <col min="5880" max="5880" width="10.7109375" style="2" customWidth="1"/>
    <col min="5881" max="5881" width="40.42578125" style="2" customWidth="1"/>
    <col min="5882" max="5882" width="30.5703125" style="2" customWidth="1"/>
    <col min="5883" max="5883" width="16.42578125" style="2" customWidth="1"/>
    <col min="5884" max="5884" width="13" style="2" bestFit="1" customWidth="1"/>
    <col min="5885" max="6132" width="9.140625" style="2"/>
    <col min="6133" max="6133" width="16.28515625" style="2" customWidth="1"/>
    <col min="6134" max="6134" width="9.5703125" style="2" customWidth="1"/>
    <col min="6135" max="6135" width="25.85546875" style="2" customWidth="1"/>
    <col min="6136" max="6136" width="10.7109375" style="2" customWidth="1"/>
    <col min="6137" max="6137" width="40.42578125" style="2" customWidth="1"/>
    <col min="6138" max="6138" width="30.5703125" style="2" customWidth="1"/>
    <col min="6139" max="6139" width="16.42578125" style="2" customWidth="1"/>
    <col min="6140" max="6140" width="13" style="2" bestFit="1" customWidth="1"/>
    <col min="6141" max="6388" width="9.140625" style="2"/>
    <col min="6389" max="6389" width="16.28515625" style="2" customWidth="1"/>
    <col min="6390" max="6390" width="9.5703125" style="2" customWidth="1"/>
    <col min="6391" max="6391" width="25.85546875" style="2" customWidth="1"/>
    <col min="6392" max="6392" width="10.7109375" style="2" customWidth="1"/>
    <col min="6393" max="6393" width="40.42578125" style="2" customWidth="1"/>
    <col min="6394" max="6394" width="30.5703125" style="2" customWidth="1"/>
    <col min="6395" max="6395" width="16.42578125" style="2" customWidth="1"/>
    <col min="6396" max="6396" width="13" style="2" bestFit="1" customWidth="1"/>
    <col min="6397" max="6644" width="9.140625" style="2"/>
    <col min="6645" max="6645" width="16.28515625" style="2" customWidth="1"/>
    <col min="6646" max="6646" width="9.5703125" style="2" customWidth="1"/>
    <col min="6647" max="6647" width="25.85546875" style="2" customWidth="1"/>
    <col min="6648" max="6648" width="10.7109375" style="2" customWidth="1"/>
    <col min="6649" max="6649" width="40.42578125" style="2" customWidth="1"/>
    <col min="6650" max="6650" width="30.5703125" style="2" customWidth="1"/>
    <col min="6651" max="6651" width="16.42578125" style="2" customWidth="1"/>
    <col min="6652" max="6652" width="13" style="2" bestFit="1" customWidth="1"/>
    <col min="6653" max="6900" width="9.140625" style="2"/>
    <col min="6901" max="6901" width="16.28515625" style="2" customWidth="1"/>
    <col min="6902" max="6902" width="9.5703125" style="2" customWidth="1"/>
    <col min="6903" max="6903" width="25.85546875" style="2" customWidth="1"/>
    <col min="6904" max="6904" width="10.7109375" style="2" customWidth="1"/>
    <col min="6905" max="6905" width="40.42578125" style="2" customWidth="1"/>
    <col min="6906" max="6906" width="30.5703125" style="2" customWidth="1"/>
    <col min="6907" max="6907" width="16.42578125" style="2" customWidth="1"/>
    <col min="6908" max="6908" width="13" style="2" bestFit="1" customWidth="1"/>
    <col min="6909" max="7156" width="9.140625" style="2"/>
    <col min="7157" max="7157" width="16.28515625" style="2" customWidth="1"/>
    <col min="7158" max="7158" width="9.5703125" style="2" customWidth="1"/>
    <col min="7159" max="7159" width="25.85546875" style="2" customWidth="1"/>
    <col min="7160" max="7160" width="10.7109375" style="2" customWidth="1"/>
    <col min="7161" max="7161" width="40.42578125" style="2" customWidth="1"/>
    <col min="7162" max="7162" width="30.5703125" style="2" customWidth="1"/>
    <col min="7163" max="7163" width="16.42578125" style="2" customWidth="1"/>
    <col min="7164" max="7164" width="13" style="2" bestFit="1" customWidth="1"/>
    <col min="7165" max="7412" width="9.140625" style="2"/>
    <col min="7413" max="7413" width="16.28515625" style="2" customWidth="1"/>
    <col min="7414" max="7414" width="9.5703125" style="2" customWidth="1"/>
    <col min="7415" max="7415" width="25.85546875" style="2" customWidth="1"/>
    <col min="7416" max="7416" width="10.7109375" style="2" customWidth="1"/>
    <col min="7417" max="7417" width="40.42578125" style="2" customWidth="1"/>
    <col min="7418" max="7418" width="30.5703125" style="2" customWidth="1"/>
    <col min="7419" max="7419" width="16.42578125" style="2" customWidth="1"/>
    <col min="7420" max="7420" width="13" style="2" bestFit="1" customWidth="1"/>
    <col min="7421" max="7668" width="9.140625" style="2"/>
    <col min="7669" max="7669" width="16.28515625" style="2" customWidth="1"/>
    <col min="7670" max="7670" width="9.5703125" style="2" customWidth="1"/>
    <col min="7671" max="7671" width="25.85546875" style="2" customWidth="1"/>
    <col min="7672" max="7672" width="10.7109375" style="2" customWidth="1"/>
    <col min="7673" max="7673" width="40.42578125" style="2" customWidth="1"/>
    <col min="7674" max="7674" width="30.5703125" style="2" customWidth="1"/>
    <col min="7675" max="7675" width="16.42578125" style="2" customWidth="1"/>
    <col min="7676" max="7676" width="13" style="2" bestFit="1" customWidth="1"/>
    <col min="7677" max="7924" width="9.140625" style="2"/>
    <col min="7925" max="7925" width="16.28515625" style="2" customWidth="1"/>
    <col min="7926" max="7926" width="9.5703125" style="2" customWidth="1"/>
    <col min="7927" max="7927" width="25.85546875" style="2" customWidth="1"/>
    <col min="7928" max="7928" width="10.7109375" style="2" customWidth="1"/>
    <col min="7929" max="7929" width="40.42578125" style="2" customWidth="1"/>
    <col min="7930" max="7930" width="30.5703125" style="2" customWidth="1"/>
    <col min="7931" max="7931" width="16.42578125" style="2" customWidth="1"/>
    <col min="7932" max="7932" width="13" style="2" bestFit="1" customWidth="1"/>
    <col min="7933" max="8180" width="9.140625" style="2"/>
    <col min="8181" max="8181" width="16.28515625" style="2" customWidth="1"/>
    <col min="8182" max="8182" width="9.5703125" style="2" customWidth="1"/>
    <col min="8183" max="8183" width="25.85546875" style="2" customWidth="1"/>
    <col min="8184" max="8184" width="10.7109375" style="2" customWidth="1"/>
    <col min="8185" max="8185" width="40.42578125" style="2" customWidth="1"/>
    <col min="8186" max="8186" width="30.5703125" style="2" customWidth="1"/>
    <col min="8187" max="8187" width="16.42578125" style="2" customWidth="1"/>
    <col min="8188" max="8188" width="13" style="2" bestFit="1" customWidth="1"/>
    <col min="8189" max="8436" width="9.140625" style="2"/>
    <col min="8437" max="8437" width="16.28515625" style="2" customWidth="1"/>
    <col min="8438" max="8438" width="9.5703125" style="2" customWidth="1"/>
    <col min="8439" max="8439" width="25.85546875" style="2" customWidth="1"/>
    <col min="8440" max="8440" width="10.7109375" style="2" customWidth="1"/>
    <col min="8441" max="8441" width="40.42578125" style="2" customWidth="1"/>
    <col min="8442" max="8442" width="30.5703125" style="2" customWidth="1"/>
    <col min="8443" max="8443" width="16.42578125" style="2" customWidth="1"/>
    <col min="8444" max="8444" width="13" style="2" bestFit="1" customWidth="1"/>
    <col min="8445" max="8692" width="9.140625" style="2"/>
    <col min="8693" max="8693" width="16.28515625" style="2" customWidth="1"/>
    <col min="8694" max="8694" width="9.5703125" style="2" customWidth="1"/>
    <col min="8695" max="8695" width="25.85546875" style="2" customWidth="1"/>
    <col min="8696" max="8696" width="10.7109375" style="2" customWidth="1"/>
    <col min="8697" max="8697" width="40.42578125" style="2" customWidth="1"/>
    <col min="8698" max="8698" width="30.5703125" style="2" customWidth="1"/>
    <col min="8699" max="8699" width="16.42578125" style="2" customWidth="1"/>
    <col min="8700" max="8700" width="13" style="2" bestFit="1" customWidth="1"/>
    <col min="8701" max="8948" width="9.140625" style="2"/>
    <col min="8949" max="8949" width="16.28515625" style="2" customWidth="1"/>
    <col min="8950" max="8950" width="9.5703125" style="2" customWidth="1"/>
    <col min="8951" max="8951" width="25.85546875" style="2" customWidth="1"/>
    <col min="8952" max="8952" width="10.7109375" style="2" customWidth="1"/>
    <col min="8953" max="8953" width="40.42578125" style="2" customWidth="1"/>
    <col min="8954" max="8954" width="30.5703125" style="2" customWidth="1"/>
    <col min="8955" max="8955" width="16.42578125" style="2" customWidth="1"/>
    <col min="8956" max="8956" width="13" style="2" bestFit="1" customWidth="1"/>
    <col min="8957" max="9204" width="9.140625" style="2"/>
    <col min="9205" max="9205" width="16.28515625" style="2" customWidth="1"/>
    <col min="9206" max="9206" width="9.5703125" style="2" customWidth="1"/>
    <col min="9207" max="9207" width="25.85546875" style="2" customWidth="1"/>
    <col min="9208" max="9208" width="10.7109375" style="2" customWidth="1"/>
    <col min="9209" max="9209" width="40.42578125" style="2" customWidth="1"/>
    <col min="9210" max="9210" width="30.5703125" style="2" customWidth="1"/>
    <col min="9211" max="9211" width="16.42578125" style="2" customWidth="1"/>
    <col min="9212" max="9212" width="13" style="2" bestFit="1" customWidth="1"/>
    <col min="9213" max="9460" width="9.140625" style="2"/>
    <col min="9461" max="9461" width="16.28515625" style="2" customWidth="1"/>
    <col min="9462" max="9462" width="9.5703125" style="2" customWidth="1"/>
    <col min="9463" max="9463" width="25.85546875" style="2" customWidth="1"/>
    <col min="9464" max="9464" width="10.7109375" style="2" customWidth="1"/>
    <col min="9465" max="9465" width="40.42578125" style="2" customWidth="1"/>
    <col min="9466" max="9466" width="30.5703125" style="2" customWidth="1"/>
    <col min="9467" max="9467" width="16.42578125" style="2" customWidth="1"/>
    <col min="9468" max="9468" width="13" style="2" bestFit="1" customWidth="1"/>
    <col min="9469" max="9716" width="9.140625" style="2"/>
    <col min="9717" max="9717" width="16.28515625" style="2" customWidth="1"/>
    <col min="9718" max="9718" width="9.5703125" style="2" customWidth="1"/>
    <col min="9719" max="9719" width="25.85546875" style="2" customWidth="1"/>
    <col min="9720" max="9720" width="10.7109375" style="2" customWidth="1"/>
    <col min="9721" max="9721" width="40.42578125" style="2" customWidth="1"/>
    <col min="9722" max="9722" width="30.5703125" style="2" customWidth="1"/>
    <col min="9723" max="9723" width="16.42578125" style="2" customWidth="1"/>
    <col min="9724" max="9724" width="13" style="2" bestFit="1" customWidth="1"/>
    <col min="9725" max="9972" width="9.140625" style="2"/>
    <col min="9973" max="9973" width="16.28515625" style="2" customWidth="1"/>
    <col min="9974" max="9974" width="9.5703125" style="2" customWidth="1"/>
    <col min="9975" max="9975" width="25.85546875" style="2" customWidth="1"/>
    <col min="9976" max="9976" width="10.7109375" style="2" customWidth="1"/>
    <col min="9977" max="9977" width="40.42578125" style="2" customWidth="1"/>
    <col min="9978" max="9978" width="30.5703125" style="2" customWidth="1"/>
    <col min="9979" max="9979" width="16.42578125" style="2" customWidth="1"/>
    <col min="9980" max="9980" width="13" style="2" bestFit="1" customWidth="1"/>
    <col min="9981" max="10228" width="9.140625" style="2"/>
    <col min="10229" max="10229" width="16.28515625" style="2" customWidth="1"/>
    <col min="10230" max="10230" width="9.5703125" style="2" customWidth="1"/>
    <col min="10231" max="10231" width="25.85546875" style="2" customWidth="1"/>
    <col min="10232" max="10232" width="10.7109375" style="2" customWidth="1"/>
    <col min="10233" max="10233" width="40.42578125" style="2" customWidth="1"/>
    <col min="10234" max="10234" width="30.5703125" style="2" customWidth="1"/>
    <col min="10235" max="10235" width="16.42578125" style="2" customWidth="1"/>
    <col min="10236" max="10236" width="13" style="2" bestFit="1" customWidth="1"/>
    <col min="10237" max="10484" width="9.140625" style="2"/>
    <col min="10485" max="10485" width="16.28515625" style="2" customWidth="1"/>
    <col min="10486" max="10486" width="9.5703125" style="2" customWidth="1"/>
    <col min="10487" max="10487" width="25.85546875" style="2" customWidth="1"/>
    <col min="10488" max="10488" width="10.7109375" style="2" customWidth="1"/>
    <col min="10489" max="10489" width="40.42578125" style="2" customWidth="1"/>
    <col min="10490" max="10490" width="30.5703125" style="2" customWidth="1"/>
    <col min="10491" max="10491" width="16.42578125" style="2" customWidth="1"/>
    <col min="10492" max="10492" width="13" style="2" bestFit="1" customWidth="1"/>
    <col min="10493" max="10740" width="9.140625" style="2"/>
    <col min="10741" max="10741" width="16.28515625" style="2" customWidth="1"/>
    <col min="10742" max="10742" width="9.5703125" style="2" customWidth="1"/>
    <col min="10743" max="10743" width="25.85546875" style="2" customWidth="1"/>
    <col min="10744" max="10744" width="10.7109375" style="2" customWidth="1"/>
    <col min="10745" max="10745" width="40.42578125" style="2" customWidth="1"/>
    <col min="10746" max="10746" width="30.5703125" style="2" customWidth="1"/>
    <col min="10747" max="10747" width="16.42578125" style="2" customWidth="1"/>
    <col min="10748" max="10748" width="13" style="2" bestFit="1" customWidth="1"/>
    <col min="10749" max="10996" width="9.140625" style="2"/>
    <col min="10997" max="10997" width="16.28515625" style="2" customWidth="1"/>
    <col min="10998" max="10998" width="9.5703125" style="2" customWidth="1"/>
    <col min="10999" max="10999" width="25.85546875" style="2" customWidth="1"/>
    <col min="11000" max="11000" width="10.7109375" style="2" customWidth="1"/>
    <col min="11001" max="11001" width="40.42578125" style="2" customWidth="1"/>
    <col min="11002" max="11002" width="30.5703125" style="2" customWidth="1"/>
    <col min="11003" max="11003" width="16.42578125" style="2" customWidth="1"/>
    <col min="11004" max="11004" width="13" style="2" bestFit="1" customWidth="1"/>
    <col min="11005" max="11252" width="9.140625" style="2"/>
    <col min="11253" max="11253" width="16.28515625" style="2" customWidth="1"/>
    <col min="11254" max="11254" width="9.5703125" style="2" customWidth="1"/>
    <col min="11255" max="11255" width="25.85546875" style="2" customWidth="1"/>
    <col min="11256" max="11256" width="10.7109375" style="2" customWidth="1"/>
    <col min="11257" max="11257" width="40.42578125" style="2" customWidth="1"/>
    <col min="11258" max="11258" width="30.5703125" style="2" customWidth="1"/>
    <col min="11259" max="11259" width="16.42578125" style="2" customWidth="1"/>
    <col min="11260" max="11260" width="13" style="2" bestFit="1" customWidth="1"/>
    <col min="11261" max="11508" width="9.140625" style="2"/>
    <col min="11509" max="11509" width="16.28515625" style="2" customWidth="1"/>
    <col min="11510" max="11510" width="9.5703125" style="2" customWidth="1"/>
    <col min="11511" max="11511" width="25.85546875" style="2" customWidth="1"/>
    <col min="11512" max="11512" width="10.7109375" style="2" customWidth="1"/>
    <col min="11513" max="11513" width="40.42578125" style="2" customWidth="1"/>
    <col min="11514" max="11514" width="30.5703125" style="2" customWidth="1"/>
    <col min="11515" max="11515" width="16.42578125" style="2" customWidth="1"/>
    <col min="11516" max="11516" width="13" style="2" bestFit="1" customWidth="1"/>
    <col min="11517" max="11764" width="9.140625" style="2"/>
    <col min="11765" max="11765" width="16.28515625" style="2" customWidth="1"/>
    <col min="11766" max="11766" width="9.5703125" style="2" customWidth="1"/>
    <col min="11767" max="11767" width="25.85546875" style="2" customWidth="1"/>
    <col min="11768" max="11768" width="10.7109375" style="2" customWidth="1"/>
    <col min="11769" max="11769" width="40.42578125" style="2" customWidth="1"/>
    <col min="11770" max="11770" width="30.5703125" style="2" customWidth="1"/>
    <col min="11771" max="11771" width="16.42578125" style="2" customWidth="1"/>
    <col min="11772" max="11772" width="13" style="2" bestFit="1" customWidth="1"/>
    <col min="11773" max="12020" width="9.140625" style="2"/>
    <col min="12021" max="12021" width="16.28515625" style="2" customWidth="1"/>
    <col min="12022" max="12022" width="9.5703125" style="2" customWidth="1"/>
    <col min="12023" max="12023" width="25.85546875" style="2" customWidth="1"/>
    <col min="12024" max="12024" width="10.7109375" style="2" customWidth="1"/>
    <col min="12025" max="12025" width="40.42578125" style="2" customWidth="1"/>
    <col min="12026" max="12026" width="30.5703125" style="2" customWidth="1"/>
    <col min="12027" max="12027" width="16.42578125" style="2" customWidth="1"/>
    <col min="12028" max="12028" width="13" style="2" bestFit="1" customWidth="1"/>
    <col min="12029" max="12276" width="9.140625" style="2"/>
    <col min="12277" max="12277" width="16.28515625" style="2" customWidth="1"/>
    <col min="12278" max="12278" width="9.5703125" style="2" customWidth="1"/>
    <col min="12279" max="12279" width="25.85546875" style="2" customWidth="1"/>
    <col min="12280" max="12280" width="10.7109375" style="2" customWidth="1"/>
    <col min="12281" max="12281" width="40.42578125" style="2" customWidth="1"/>
    <col min="12282" max="12282" width="30.5703125" style="2" customWidth="1"/>
    <col min="12283" max="12283" width="16.42578125" style="2" customWidth="1"/>
    <col min="12284" max="12284" width="13" style="2" bestFit="1" customWidth="1"/>
    <col min="12285" max="12532" width="9.140625" style="2"/>
    <col min="12533" max="12533" width="16.28515625" style="2" customWidth="1"/>
    <col min="12534" max="12534" width="9.5703125" style="2" customWidth="1"/>
    <col min="12535" max="12535" width="25.85546875" style="2" customWidth="1"/>
    <col min="12536" max="12536" width="10.7109375" style="2" customWidth="1"/>
    <col min="12537" max="12537" width="40.42578125" style="2" customWidth="1"/>
    <col min="12538" max="12538" width="30.5703125" style="2" customWidth="1"/>
    <col min="12539" max="12539" width="16.42578125" style="2" customWidth="1"/>
    <col min="12540" max="12540" width="13" style="2" bestFit="1" customWidth="1"/>
    <col min="12541" max="12788" width="9.140625" style="2"/>
    <col min="12789" max="12789" width="16.28515625" style="2" customWidth="1"/>
    <col min="12790" max="12790" width="9.5703125" style="2" customWidth="1"/>
    <col min="12791" max="12791" width="25.85546875" style="2" customWidth="1"/>
    <col min="12792" max="12792" width="10.7109375" style="2" customWidth="1"/>
    <col min="12793" max="12793" width="40.42578125" style="2" customWidth="1"/>
    <col min="12794" max="12794" width="30.5703125" style="2" customWidth="1"/>
    <col min="12795" max="12795" width="16.42578125" style="2" customWidth="1"/>
    <col min="12796" max="12796" width="13" style="2" bestFit="1" customWidth="1"/>
    <col min="12797" max="13044" width="9.140625" style="2"/>
    <col min="13045" max="13045" width="16.28515625" style="2" customWidth="1"/>
    <col min="13046" max="13046" width="9.5703125" style="2" customWidth="1"/>
    <col min="13047" max="13047" width="25.85546875" style="2" customWidth="1"/>
    <col min="13048" max="13048" width="10.7109375" style="2" customWidth="1"/>
    <col min="13049" max="13049" width="40.42578125" style="2" customWidth="1"/>
    <col min="13050" max="13050" width="30.5703125" style="2" customWidth="1"/>
    <col min="13051" max="13051" width="16.42578125" style="2" customWidth="1"/>
    <col min="13052" max="13052" width="13" style="2" bestFit="1" customWidth="1"/>
    <col min="13053" max="13300" width="9.140625" style="2"/>
    <col min="13301" max="13301" width="16.28515625" style="2" customWidth="1"/>
    <col min="13302" max="13302" width="9.5703125" style="2" customWidth="1"/>
    <col min="13303" max="13303" width="25.85546875" style="2" customWidth="1"/>
    <col min="13304" max="13304" width="10.7109375" style="2" customWidth="1"/>
    <col min="13305" max="13305" width="40.42578125" style="2" customWidth="1"/>
    <col min="13306" max="13306" width="30.5703125" style="2" customWidth="1"/>
    <col min="13307" max="13307" width="16.42578125" style="2" customWidth="1"/>
    <col min="13308" max="13308" width="13" style="2" bestFit="1" customWidth="1"/>
    <col min="13309" max="13556" width="9.140625" style="2"/>
    <col min="13557" max="13557" width="16.28515625" style="2" customWidth="1"/>
    <col min="13558" max="13558" width="9.5703125" style="2" customWidth="1"/>
    <col min="13559" max="13559" width="25.85546875" style="2" customWidth="1"/>
    <col min="13560" max="13560" width="10.7109375" style="2" customWidth="1"/>
    <col min="13561" max="13561" width="40.42578125" style="2" customWidth="1"/>
    <col min="13562" max="13562" width="30.5703125" style="2" customWidth="1"/>
    <col min="13563" max="13563" width="16.42578125" style="2" customWidth="1"/>
    <col min="13564" max="13564" width="13" style="2" bestFit="1" customWidth="1"/>
    <col min="13565" max="13812" width="9.140625" style="2"/>
    <col min="13813" max="13813" width="16.28515625" style="2" customWidth="1"/>
    <col min="13814" max="13814" width="9.5703125" style="2" customWidth="1"/>
    <col min="13815" max="13815" width="25.85546875" style="2" customWidth="1"/>
    <col min="13816" max="13816" width="10.7109375" style="2" customWidth="1"/>
    <col min="13817" max="13817" width="40.42578125" style="2" customWidth="1"/>
    <col min="13818" max="13818" width="30.5703125" style="2" customWidth="1"/>
    <col min="13819" max="13819" width="16.42578125" style="2" customWidth="1"/>
    <col min="13820" max="13820" width="13" style="2" bestFit="1" customWidth="1"/>
    <col min="13821" max="14068" width="9.140625" style="2"/>
    <col min="14069" max="14069" width="16.28515625" style="2" customWidth="1"/>
    <col min="14070" max="14070" width="9.5703125" style="2" customWidth="1"/>
    <col min="14071" max="14071" width="25.85546875" style="2" customWidth="1"/>
    <col min="14072" max="14072" width="10.7109375" style="2" customWidth="1"/>
    <col min="14073" max="14073" width="40.42578125" style="2" customWidth="1"/>
    <col min="14074" max="14074" width="30.5703125" style="2" customWidth="1"/>
    <col min="14075" max="14075" width="16.42578125" style="2" customWidth="1"/>
    <col min="14076" max="14076" width="13" style="2" bestFit="1" customWidth="1"/>
    <col min="14077" max="14324" width="9.140625" style="2"/>
    <col min="14325" max="14325" width="16.28515625" style="2" customWidth="1"/>
    <col min="14326" max="14326" width="9.5703125" style="2" customWidth="1"/>
    <col min="14327" max="14327" width="25.85546875" style="2" customWidth="1"/>
    <col min="14328" max="14328" width="10.7109375" style="2" customWidth="1"/>
    <col min="14329" max="14329" width="40.42578125" style="2" customWidth="1"/>
    <col min="14330" max="14330" width="30.5703125" style="2" customWidth="1"/>
    <col min="14331" max="14331" width="16.42578125" style="2" customWidth="1"/>
    <col min="14332" max="14332" width="13" style="2" bestFit="1" customWidth="1"/>
    <col min="14333" max="14580" width="9.140625" style="2"/>
    <col min="14581" max="14581" width="16.28515625" style="2" customWidth="1"/>
    <col min="14582" max="14582" width="9.5703125" style="2" customWidth="1"/>
    <col min="14583" max="14583" width="25.85546875" style="2" customWidth="1"/>
    <col min="14584" max="14584" width="10.7109375" style="2" customWidth="1"/>
    <col min="14585" max="14585" width="40.42578125" style="2" customWidth="1"/>
    <col min="14586" max="14586" width="30.5703125" style="2" customWidth="1"/>
    <col min="14587" max="14587" width="16.42578125" style="2" customWidth="1"/>
    <col min="14588" max="14588" width="13" style="2" bestFit="1" customWidth="1"/>
    <col min="14589" max="14836" width="9.140625" style="2"/>
    <col min="14837" max="14837" width="16.28515625" style="2" customWidth="1"/>
    <col min="14838" max="14838" width="9.5703125" style="2" customWidth="1"/>
    <col min="14839" max="14839" width="25.85546875" style="2" customWidth="1"/>
    <col min="14840" max="14840" width="10.7109375" style="2" customWidth="1"/>
    <col min="14841" max="14841" width="40.42578125" style="2" customWidth="1"/>
    <col min="14842" max="14842" width="30.5703125" style="2" customWidth="1"/>
    <col min="14843" max="14843" width="16.42578125" style="2" customWidth="1"/>
    <col min="14844" max="14844" width="13" style="2" bestFit="1" customWidth="1"/>
    <col min="14845" max="15092" width="9.140625" style="2"/>
    <col min="15093" max="15093" width="16.28515625" style="2" customWidth="1"/>
    <col min="15094" max="15094" width="9.5703125" style="2" customWidth="1"/>
    <col min="15095" max="15095" width="25.85546875" style="2" customWidth="1"/>
    <col min="15096" max="15096" width="10.7109375" style="2" customWidth="1"/>
    <col min="15097" max="15097" width="40.42578125" style="2" customWidth="1"/>
    <col min="15098" max="15098" width="30.5703125" style="2" customWidth="1"/>
    <col min="15099" max="15099" width="16.42578125" style="2" customWidth="1"/>
    <col min="15100" max="15100" width="13" style="2" bestFit="1" customWidth="1"/>
    <col min="15101" max="15348" width="9.140625" style="2"/>
    <col min="15349" max="15349" width="16.28515625" style="2" customWidth="1"/>
    <col min="15350" max="15350" width="9.5703125" style="2" customWidth="1"/>
    <col min="15351" max="15351" width="25.85546875" style="2" customWidth="1"/>
    <col min="15352" max="15352" width="10.7109375" style="2" customWidth="1"/>
    <col min="15353" max="15353" width="40.42578125" style="2" customWidth="1"/>
    <col min="15354" max="15354" width="30.5703125" style="2" customWidth="1"/>
    <col min="15355" max="15355" width="16.42578125" style="2" customWidth="1"/>
    <col min="15356" max="15356" width="13" style="2" bestFit="1" customWidth="1"/>
    <col min="15357" max="15604" width="9.140625" style="2"/>
    <col min="15605" max="15605" width="16.28515625" style="2" customWidth="1"/>
    <col min="15606" max="15606" width="9.5703125" style="2" customWidth="1"/>
    <col min="15607" max="15607" width="25.85546875" style="2" customWidth="1"/>
    <col min="15608" max="15608" width="10.7109375" style="2" customWidth="1"/>
    <col min="15609" max="15609" width="40.42578125" style="2" customWidth="1"/>
    <col min="15610" max="15610" width="30.5703125" style="2" customWidth="1"/>
    <col min="15611" max="15611" width="16.42578125" style="2" customWidth="1"/>
    <col min="15612" max="15612" width="13" style="2" bestFit="1" customWidth="1"/>
    <col min="15613" max="15860" width="9.140625" style="2"/>
    <col min="15861" max="15861" width="16.28515625" style="2" customWidth="1"/>
    <col min="15862" max="15862" width="9.5703125" style="2" customWidth="1"/>
    <col min="15863" max="15863" width="25.85546875" style="2" customWidth="1"/>
    <col min="15864" max="15864" width="10.7109375" style="2" customWidth="1"/>
    <col min="15865" max="15865" width="40.42578125" style="2" customWidth="1"/>
    <col min="15866" max="15866" width="30.5703125" style="2" customWidth="1"/>
    <col min="15867" max="15867" width="16.42578125" style="2" customWidth="1"/>
    <col min="15868" max="15868" width="13" style="2" bestFit="1" customWidth="1"/>
    <col min="15869" max="16116" width="9.140625" style="2"/>
    <col min="16117" max="16117" width="16.28515625" style="2" customWidth="1"/>
    <col min="16118" max="16118" width="9.5703125" style="2" customWidth="1"/>
    <col min="16119" max="16119" width="25.85546875" style="2" customWidth="1"/>
    <col min="16120" max="16120" width="10.7109375" style="2" customWidth="1"/>
    <col min="16121" max="16121" width="40.42578125" style="2" customWidth="1"/>
    <col min="16122" max="16122" width="30.5703125" style="2" customWidth="1"/>
    <col min="16123" max="16123" width="16.42578125" style="2" customWidth="1"/>
    <col min="16124" max="16124" width="13" style="2" bestFit="1" customWidth="1"/>
    <col min="16125" max="16384" width="9.140625" style="2"/>
  </cols>
  <sheetData>
    <row r="1" spans="1:71" ht="15" customHeight="1"/>
    <row r="2" spans="1:71" ht="15" customHeight="1"/>
    <row r="3" spans="1:71" s="86" customFormat="1" ht="15.75">
      <c r="A3" s="358"/>
      <c r="B3" s="359"/>
      <c r="C3" s="86" t="s">
        <v>201</v>
      </c>
      <c r="D3" s="646"/>
      <c r="E3" s="645"/>
      <c r="F3" s="645"/>
      <c r="G3" s="645"/>
      <c r="H3" s="647"/>
      <c r="I3" s="648" t="s">
        <v>215</v>
      </c>
      <c r="J3" s="10">
        <f t="shared" ref="J3:Q3" si="0">J4</f>
        <v>0</v>
      </c>
      <c r="K3" s="10">
        <f t="shared" si="0"/>
        <v>0</v>
      </c>
      <c r="L3" s="10">
        <f t="shared" si="0"/>
        <v>0</v>
      </c>
      <c r="M3" s="364">
        <f t="shared" si="0"/>
        <v>0</v>
      </c>
      <c r="N3" s="10">
        <f t="shared" si="0"/>
        <v>0</v>
      </c>
      <c r="O3" s="364">
        <f t="shared" si="0"/>
        <v>0</v>
      </c>
      <c r="P3" s="10">
        <f t="shared" si="0"/>
        <v>0</v>
      </c>
      <c r="Q3" s="364">
        <f t="shared" si="0"/>
        <v>0</v>
      </c>
      <c r="R3" s="334"/>
      <c r="S3" s="305"/>
      <c r="T3" s="305"/>
      <c r="U3" s="305"/>
      <c r="W3" s="367">
        <f>AT3+AV3+AX3</f>
        <v>0</v>
      </c>
      <c r="X3" s="363">
        <f>AU3+AW3+AY3</f>
        <v>0</v>
      </c>
      <c r="Y3" s="280">
        <f>W3-X3</f>
        <v>0</v>
      </c>
      <c r="Z3" s="367">
        <f>AZ3+BB3+BD3</f>
        <v>0</v>
      </c>
      <c r="AA3" s="363">
        <f>BA3+BC3+BE3</f>
        <v>0</v>
      </c>
      <c r="AB3" s="280">
        <f>Z3-AA3</f>
        <v>0</v>
      </c>
      <c r="AC3" s="367">
        <f>BF3+BH3+BJ3</f>
        <v>0</v>
      </c>
      <c r="AD3" s="363">
        <f>BG3+BI3+BK3</f>
        <v>0</v>
      </c>
      <c r="AE3" s="280">
        <f>AC3-AD3</f>
        <v>0</v>
      </c>
      <c r="AF3" s="367">
        <f>BL3+BN3+BP3</f>
        <v>0</v>
      </c>
      <c r="AG3" s="363">
        <f>BM3+BO3+BQ3</f>
        <v>0</v>
      </c>
      <c r="AH3" s="280">
        <f>AF3-AG3</f>
        <v>0</v>
      </c>
      <c r="AI3" s="210"/>
      <c r="AJ3" s="367">
        <f>W3+Z3</f>
        <v>0</v>
      </c>
      <c r="AK3" s="363">
        <f>X3+AA3</f>
        <v>0</v>
      </c>
      <c r="AL3" s="280">
        <f>AJ3-AK3</f>
        <v>0</v>
      </c>
      <c r="AM3" s="367">
        <f>W3+Z3+AC3</f>
        <v>0</v>
      </c>
      <c r="AN3" s="363">
        <f>X3+AA3+AD3</f>
        <v>0</v>
      </c>
      <c r="AO3" s="280">
        <f>AM3-AN3</f>
        <v>0</v>
      </c>
      <c r="AP3" s="263">
        <f>W3+Z3+AC3+AF3</f>
        <v>0</v>
      </c>
      <c r="AQ3" s="10">
        <f>X3+AA3+AD3+AG3</f>
        <v>0</v>
      </c>
      <c r="AR3" s="650">
        <f>AP3-AQ3</f>
        <v>0</v>
      </c>
      <c r="AS3" s="607"/>
      <c r="AT3" s="263">
        <f t="shared" ref="AT3:BQ3" si="1">AT4</f>
        <v>0</v>
      </c>
      <c r="AU3" s="363">
        <f t="shared" si="1"/>
        <v>0</v>
      </c>
      <c r="AV3" s="10">
        <f t="shared" si="1"/>
        <v>0</v>
      </c>
      <c r="AW3" s="363">
        <f t="shared" si="1"/>
        <v>0</v>
      </c>
      <c r="AX3" s="10">
        <f t="shared" si="1"/>
        <v>0</v>
      </c>
      <c r="AY3" s="369">
        <f t="shared" si="1"/>
        <v>0</v>
      </c>
      <c r="AZ3" s="263">
        <f t="shared" si="1"/>
        <v>0</v>
      </c>
      <c r="BA3" s="363">
        <f t="shared" si="1"/>
        <v>0</v>
      </c>
      <c r="BB3" s="10">
        <f t="shared" si="1"/>
        <v>0</v>
      </c>
      <c r="BC3" s="363">
        <f t="shared" si="1"/>
        <v>0</v>
      </c>
      <c r="BD3" s="10">
        <f t="shared" si="1"/>
        <v>0</v>
      </c>
      <c r="BE3" s="369">
        <f t="shared" si="1"/>
        <v>0</v>
      </c>
      <c r="BF3" s="263">
        <f t="shared" si="1"/>
        <v>0</v>
      </c>
      <c r="BG3" s="363">
        <f t="shared" si="1"/>
        <v>0</v>
      </c>
      <c r="BH3" s="10">
        <f t="shared" si="1"/>
        <v>0</v>
      </c>
      <c r="BI3" s="363">
        <f t="shared" si="1"/>
        <v>0</v>
      </c>
      <c r="BJ3" s="10">
        <f t="shared" si="1"/>
        <v>0</v>
      </c>
      <c r="BK3" s="369">
        <f t="shared" si="1"/>
        <v>0</v>
      </c>
      <c r="BL3" s="263">
        <f t="shared" si="1"/>
        <v>0</v>
      </c>
      <c r="BM3" s="363">
        <f t="shared" si="1"/>
        <v>0</v>
      </c>
      <c r="BN3" s="10">
        <f t="shared" si="1"/>
        <v>0</v>
      </c>
      <c r="BO3" s="363">
        <f t="shared" si="1"/>
        <v>0</v>
      </c>
      <c r="BP3" s="10">
        <f t="shared" si="1"/>
        <v>0</v>
      </c>
      <c r="BQ3" s="280">
        <f t="shared" si="1"/>
        <v>0</v>
      </c>
    </row>
    <row r="4" spans="1:71" s="313" customFormat="1">
      <c r="D4" s="373"/>
      <c r="E4" s="315"/>
      <c r="F4" s="314"/>
      <c r="G4" s="314"/>
      <c r="H4" s="316"/>
      <c r="I4" s="317" t="s">
        <v>214</v>
      </c>
      <c r="J4" s="318"/>
      <c r="K4" s="318"/>
      <c r="L4" s="318"/>
      <c r="M4" s="329"/>
      <c r="N4" s="319"/>
      <c r="O4" s="329"/>
      <c r="P4" s="319"/>
      <c r="Q4" s="329"/>
      <c r="R4" s="335"/>
      <c r="S4" s="320"/>
      <c r="T4" s="320"/>
      <c r="U4" s="320"/>
      <c r="W4" s="336">
        <f>AT4+AV4+AX4</f>
        <v>0</v>
      </c>
      <c r="X4" s="337">
        <f>AU4+AW4+AY4</f>
        <v>0</v>
      </c>
      <c r="Y4" s="338">
        <f>W4-X4</f>
        <v>0</v>
      </c>
      <c r="Z4" s="336">
        <f>AZ4+BB4+BD4</f>
        <v>0</v>
      </c>
      <c r="AA4" s="337">
        <f>BA4+BC4+BE4</f>
        <v>0</v>
      </c>
      <c r="AB4" s="338">
        <f>Z4-AA4</f>
        <v>0</v>
      </c>
      <c r="AC4" s="336">
        <f>BF4+BH4+BJ4</f>
        <v>0</v>
      </c>
      <c r="AD4" s="337">
        <f>BG4+BI4+BK4</f>
        <v>0</v>
      </c>
      <c r="AE4" s="338">
        <f>AC4-AD4</f>
        <v>0</v>
      </c>
      <c r="AF4" s="336">
        <f>BL4+BN4+BP4</f>
        <v>0</v>
      </c>
      <c r="AG4" s="337">
        <f>BM4+BO4+BQ4</f>
        <v>0</v>
      </c>
      <c r="AH4" s="338">
        <f>AF4-AG4</f>
        <v>0</v>
      </c>
      <c r="AI4" s="342"/>
      <c r="AJ4" s="336">
        <f>W4+Z4</f>
        <v>0</v>
      </c>
      <c r="AK4" s="339">
        <f>X4+AA4</f>
        <v>0</v>
      </c>
      <c r="AL4" s="340">
        <f>AJ4-AK4</f>
        <v>0</v>
      </c>
      <c r="AM4" s="336">
        <f>W4+Z4+AC4</f>
        <v>0</v>
      </c>
      <c r="AN4" s="339">
        <f>X4+AA4+AD4</f>
        <v>0</v>
      </c>
      <c r="AO4" s="340">
        <f>AM4-AN4</f>
        <v>0</v>
      </c>
      <c r="AP4" s="341">
        <f>W4+Z4+AC4+AF4</f>
        <v>0</v>
      </c>
      <c r="AQ4" s="319">
        <f>X4+AA4+AD4+AG4</f>
        <v>0</v>
      </c>
      <c r="AR4" s="651">
        <f>AP4-AQ4</f>
        <v>0</v>
      </c>
      <c r="AS4" s="589"/>
      <c r="AT4" s="336"/>
      <c r="AU4" s="344"/>
      <c r="AV4" s="319"/>
      <c r="AW4" s="344"/>
      <c r="AX4" s="319"/>
      <c r="AY4" s="346"/>
      <c r="AZ4" s="336"/>
      <c r="BA4" s="348"/>
      <c r="BB4" s="319"/>
      <c r="BC4" s="348"/>
      <c r="BD4" s="319"/>
      <c r="BE4" s="350"/>
      <c r="BF4" s="336"/>
      <c r="BG4" s="352"/>
      <c r="BH4" s="319"/>
      <c r="BI4" s="352"/>
      <c r="BJ4" s="319"/>
      <c r="BK4" s="353"/>
      <c r="BL4" s="336"/>
      <c r="BM4" s="355"/>
      <c r="BN4" s="319"/>
      <c r="BO4" s="355"/>
      <c r="BP4" s="319"/>
      <c r="BQ4" s="357"/>
    </row>
    <row r="5" spans="1:71" ht="18.75">
      <c r="D5" s="322" t="s">
        <v>137</v>
      </c>
      <c r="E5" s="322"/>
      <c r="F5" s="322"/>
      <c r="G5" s="322"/>
      <c r="H5" s="322"/>
      <c r="I5" s="322"/>
      <c r="J5" s="322"/>
      <c r="K5" s="322"/>
      <c r="L5" s="322"/>
      <c r="M5" s="327"/>
      <c r="N5" s="322"/>
      <c r="O5" s="327"/>
      <c r="P5" s="2"/>
      <c r="Q5" s="327"/>
      <c r="W5" s="2"/>
      <c r="X5" s="2"/>
      <c r="Y5" s="2"/>
      <c r="Z5" s="2"/>
      <c r="AA5" s="2"/>
      <c r="AB5" s="2"/>
      <c r="AC5" s="2"/>
      <c r="AD5" s="2"/>
      <c r="AE5" s="2"/>
      <c r="AF5" s="2"/>
      <c r="AG5" s="2"/>
      <c r="AH5" s="2"/>
      <c r="AI5" s="273"/>
      <c r="AJ5" s="2"/>
      <c r="AK5" s="2"/>
      <c r="AL5" s="2"/>
      <c r="AM5" s="2"/>
      <c r="AN5" s="2"/>
      <c r="AO5" s="2"/>
      <c r="AP5" s="2"/>
      <c r="AQ5" s="2"/>
      <c r="AR5" s="644"/>
      <c r="AS5" s="273"/>
      <c r="AT5" s="643"/>
      <c r="AU5" s="643"/>
      <c r="AV5" s="643"/>
      <c r="AW5" s="643"/>
      <c r="AX5" s="643"/>
      <c r="AY5" s="643"/>
      <c r="AZ5" s="643"/>
      <c r="BA5" s="643"/>
      <c r="BB5" s="643"/>
      <c r="BC5" s="643"/>
      <c r="BD5" s="643"/>
      <c r="BE5" s="643"/>
      <c r="BF5" s="643"/>
      <c r="BG5" s="643"/>
      <c r="BH5" s="643"/>
      <c r="BI5" s="643"/>
      <c r="BJ5" s="643"/>
      <c r="BK5" s="643" t="e">
        <f t="shared" ref="BK5:BO5" si="2">ROUND(BK12/$AS$5,0)</f>
        <v>#DIV/0!</v>
      </c>
      <c r="BL5" s="643"/>
      <c r="BM5" s="643" t="e">
        <f t="shared" si="2"/>
        <v>#DIV/0!</v>
      </c>
      <c r="BN5" s="643"/>
      <c r="BO5" s="643" t="e">
        <f t="shared" si="2"/>
        <v>#DIV/0!</v>
      </c>
      <c r="BP5" s="643"/>
      <c r="BQ5" s="2"/>
    </row>
    <row r="6" spans="1:71" ht="18.75">
      <c r="D6" s="323" t="s">
        <v>29</v>
      </c>
      <c r="E6" s="321"/>
      <c r="F6" s="321"/>
      <c r="G6" s="321"/>
      <c r="H6" s="321"/>
      <c r="I6" s="321"/>
      <c r="J6" s="321"/>
      <c r="K6" s="321"/>
      <c r="L6" s="321"/>
      <c r="N6" s="321"/>
      <c r="P6" s="2"/>
      <c r="W6" s="2"/>
      <c r="X6" s="2"/>
      <c r="Y6" s="2"/>
      <c r="Z6" s="2"/>
      <c r="AA6" s="2"/>
      <c r="AB6" s="2"/>
      <c r="AC6" s="2"/>
      <c r="AD6" s="2"/>
      <c r="AE6" s="2"/>
      <c r="AF6" s="2"/>
      <c r="AG6" s="2"/>
      <c r="AH6" s="2"/>
      <c r="AI6" s="273"/>
      <c r="AJ6" s="2"/>
      <c r="AK6" s="2"/>
      <c r="AL6" s="2"/>
      <c r="AM6" s="2"/>
      <c r="AN6" s="2"/>
      <c r="AO6" s="2"/>
      <c r="AP6" s="2"/>
      <c r="AQ6" s="2"/>
      <c r="AR6" s="2"/>
      <c r="AS6" s="590"/>
      <c r="AT6" s="2"/>
      <c r="AU6" s="2"/>
      <c r="AV6" s="2"/>
      <c r="AW6" s="2"/>
      <c r="AX6" s="2"/>
      <c r="AY6" s="2"/>
      <c r="AZ6" s="2"/>
      <c r="BA6" s="2"/>
      <c r="BB6" s="2"/>
      <c r="BC6" s="2"/>
      <c r="BD6" s="2"/>
      <c r="BE6" s="2"/>
      <c r="BF6" s="2"/>
      <c r="BG6" s="2"/>
      <c r="BH6" s="2"/>
      <c r="BI6" s="2"/>
      <c r="BJ6" s="2"/>
      <c r="BK6" s="2"/>
      <c r="BL6" s="2"/>
      <c r="BM6" s="2"/>
      <c r="BN6" s="2"/>
      <c r="BO6" s="2"/>
      <c r="BP6" s="2"/>
      <c r="BQ6" s="2"/>
    </row>
    <row r="7" spans="1:71" ht="15.75" thickBot="1">
      <c r="AX7" s="386">
        <f>AY7-AT12-AV12-AX12</f>
        <v>704242</v>
      </c>
      <c r="AY7" s="385">
        <v>9724242</v>
      </c>
      <c r="BD7" s="387">
        <f>BE7-AZ12-BB12-BD12</f>
        <v>-3915758</v>
      </c>
      <c r="BE7" s="385">
        <v>9724242</v>
      </c>
      <c r="BJ7" s="386">
        <f>BK7-BF12-BH12-BJ12</f>
        <v>9101546.2599999998</v>
      </c>
      <c r="BK7" s="385">
        <v>9724242</v>
      </c>
      <c r="BP7" s="386">
        <f>BQ7-BL12-BN12-BP12</f>
        <v>5820673.9400000004</v>
      </c>
      <c r="BQ7" s="385">
        <f>ROUND($J$12*25%,2)</f>
        <v>5820673.9400000004</v>
      </c>
    </row>
    <row r="8" spans="1:71" ht="27" customHeight="1" thickBot="1">
      <c r="F8" s="4"/>
      <c r="G8" s="4"/>
      <c r="J8" s="101"/>
      <c r="N8" s="5"/>
      <c r="P8" s="5" t="s">
        <v>0</v>
      </c>
      <c r="S8" s="649" t="s">
        <v>382</v>
      </c>
      <c r="T8" s="649" t="s">
        <v>391</v>
      </c>
      <c r="U8" s="649" t="s">
        <v>383</v>
      </c>
      <c r="W8" s="1489" t="s">
        <v>182</v>
      </c>
      <c r="X8" s="1490"/>
      <c r="Y8" s="1491"/>
      <c r="Z8" s="1489" t="s">
        <v>181</v>
      </c>
      <c r="AA8" s="1490"/>
      <c r="AB8" s="1491"/>
      <c r="AC8" s="1489" t="s">
        <v>186</v>
      </c>
      <c r="AD8" s="1490"/>
      <c r="AE8" s="1491"/>
      <c r="AF8" s="1489" t="s">
        <v>189</v>
      </c>
      <c r="AG8" s="1490"/>
      <c r="AH8" s="1491"/>
      <c r="AI8" s="275"/>
      <c r="AJ8" s="1492" t="s">
        <v>188</v>
      </c>
      <c r="AK8" s="1493"/>
      <c r="AL8" s="1494"/>
      <c r="AM8" s="1492" t="s">
        <v>187</v>
      </c>
      <c r="AN8" s="1493"/>
      <c r="AO8" s="1494"/>
      <c r="AP8" s="1585" t="s">
        <v>213</v>
      </c>
      <c r="AQ8" s="1586"/>
      <c r="AR8" s="1587"/>
      <c r="AS8" s="592"/>
      <c r="AT8" s="1584" t="s">
        <v>179</v>
      </c>
      <c r="AU8" s="1496"/>
      <c r="AV8" s="1583" t="s">
        <v>178</v>
      </c>
      <c r="AW8" s="1496"/>
      <c r="AX8" s="1583" t="s">
        <v>180</v>
      </c>
      <c r="AY8" s="1497"/>
      <c r="AZ8" s="1584" t="s">
        <v>183</v>
      </c>
      <c r="BA8" s="1488"/>
      <c r="BB8" s="1583" t="s">
        <v>184</v>
      </c>
      <c r="BC8" s="1488"/>
      <c r="BD8" s="1583" t="s">
        <v>185</v>
      </c>
      <c r="BE8" s="1501"/>
      <c r="BF8" s="1584" t="s">
        <v>190</v>
      </c>
      <c r="BG8" s="1503"/>
      <c r="BH8" s="1583" t="s">
        <v>191</v>
      </c>
      <c r="BI8" s="1503"/>
      <c r="BJ8" s="1583" t="s">
        <v>192</v>
      </c>
      <c r="BK8" s="1504"/>
      <c r="BL8" s="1584" t="s">
        <v>193</v>
      </c>
      <c r="BM8" s="1499"/>
      <c r="BN8" s="1583" t="s">
        <v>194</v>
      </c>
      <c r="BO8" s="1499"/>
      <c r="BP8" s="1583" t="s">
        <v>195</v>
      </c>
      <c r="BQ8" s="1500"/>
      <c r="BR8" s="307" t="s">
        <v>198</v>
      </c>
      <c r="BS8" s="307" t="s">
        <v>199</v>
      </c>
    </row>
    <row r="9" spans="1:71" s="31" customFormat="1" ht="73.5" customHeight="1">
      <c r="A9" s="577" t="s">
        <v>377</v>
      </c>
      <c r="B9" s="578" t="s">
        <v>380</v>
      </c>
      <c r="C9" s="579" t="s">
        <v>200</v>
      </c>
      <c r="D9" s="713" t="s">
        <v>1</v>
      </c>
      <c r="E9" s="713" t="s">
        <v>2</v>
      </c>
      <c r="F9" s="713" t="s">
        <v>68</v>
      </c>
      <c r="G9" s="713" t="s">
        <v>4</v>
      </c>
      <c r="H9" s="713" t="s">
        <v>5</v>
      </c>
      <c r="I9" s="713" t="s">
        <v>6</v>
      </c>
      <c r="J9" s="714" t="s">
        <v>399</v>
      </c>
      <c r="K9" s="714" t="s">
        <v>73</v>
      </c>
      <c r="L9" s="714" t="s">
        <v>203</v>
      </c>
      <c r="M9" s="658" t="s">
        <v>62</v>
      </c>
      <c r="N9" s="714" t="s">
        <v>50</v>
      </c>
      <c r="O9" s="658" t="s">
        <v>62</v>
      </c>
      <c r="P9" s="714" t="s">
        <v>138</v>
      </c>
      <c r="Q9" s="659" t="s">
        <v>62</v>
      </c>
      <c r="R9" s="325"/>
      <c r="S9" s="12" t="s">
        <v>210</v>
      </c>
      <c r="T9" s="12" t="s">
        <v>211</v>
      </c>
      <c r="U9" s="12" t="s">
        <v>212</v>
      </c>
      <c r="W9" s="261" t="s">
        <v>82</v>
      </c>
      <c r="X9" s="252" t="s">
        <v>177</v>
      </c>
      <c r="Y9" s="268" t="s">
        <v>196</v>
      </c>
      <c r="Z9" s="261" t="s">
        <v>82</v>
      </c>
      <c r="AA9" s="252" t="s">
        <v>177</v>
      </c>
      <c r="AB9" s="268" t="s">
        <v>196</v>
      </c>
      <c r="AC9" s="261" t="s">
        <v>82</v>
      </c>
      <c r="AD9" s="252" t="s">
        <v>177</v>
      </c>
      <c r="AE9" s="268" t="s">
        <v>196</v>
      </c>
      <c r="AF9" s="261" t="s">
        <v>82</v>
      </c>
      <c r="AG9" s="252" t="s">
        <v>177</v>
      </c>
      <c r="AH9" s="268" t="s">
        <v>196</v>
      </c>
      <c r="AI9" s="276"/>
      <c r="AJ9" s="261" t="s">
        <v>82</v>
      </c>
      <c r="AK9" s="246" t="s">
        <v>177</v>
      </c>
      <c r="AL9" s="279" t="s">
        <v>196</v>
      </c>
      <c r="AM9" s="261" t="s">
        <v>82</v>
      </c>
      <c r="AN9" s="246" t="s">
        <v>177</v>
      </c>
      <c r="AO9" s="279" t="s">
        <v>196</v>
      </c>
      <c r="AP9" s="261" t="s">
        <v>82</v>
      </c>
      <c r="AQ9" s="90" t="s">
        <v>177</v>
      </c>
      <c r="AR9" s="652" t="s">
        <v>196</v>
      </c>
      <c r="AS9" s="593"/>
      <c r="AT9" s="653" t="s">
        <v>82</v>
      </c>
      <c r="AU9" s="286" t="s">
        <v>177</v>
      </c>
      <c r="AV9" s="89" t="s">
        <v>82</v>
      </c>
      <c r="AW9" s="286" t="s">
        <v>177</v>
      </c>
      <c r="AX9" s="89" t="s">
        <v>82</v>
      </c>
      <c r="AY9" s="291" t="s">
        <v>177</v>
      </c>
      <c r="AZ9" s="653" t="s">
        <v>82</v>
      </c>
      <c r="BA9" s="294" t="s">
        <v>177</v>
      </c>
      <c r="BB9" s="89" t="s">
        <v>82</v>
      </c>
      <c r="BC9" s="294" t="s">
        <v>177</v>
      </c>
      <c r="BD9" s="89" t="s">
        <v>82</v>
      </c>
      <c r="BE9" s="296" t="s">
        <v>177</v>
      </c>
      <c r="BF9" s="653" t="s">
        <v>82</v>
      </c>
      <c r="BG9" s="298" t="s">
        <v>177</v>
      </c>
      <c r="BH9" s="89" t="s">
        <v>82</v>
      </c>
      <c r="BI9" s="298" t="s">
        <v>177</v>
      </c>
      <c r="BJ9" s="89" t="s">
        <v>82</v>
      </c>
      <c r="BK9" s="300" t="s">
        <v>177</v>
      </c>
      <c r="BL9" s="653" t="s">
        <v>82</v>
      </c>
      <c r="BM9" s="303" t="s">
        <v>177</v>
      </c>
      <c r="BN9" s="89" t="s">
        <v>82</v>
      </c>
      <c r="BO9" s="303" t="s">
        <v>177</v>
      </c>
      <c r="BP9" s="89" t="s">
        <v>82</v>
      </c>
      <c r="BQ9" s="284" t="s">
        <v>177</v>
      </c>
    </row>
    <row r="10" spans="1:71" s="523" customFormat="1" ht="47.25" hidden="1" customHeight="1" thickBot="1">
      <c r="B10" s="524"/>
      <c r="D10" s="681"/>
      <c r="E10" s="682"/>
      <c r="F10" s="682"/>
      <c r="G10" s="682"/>
      <c r="H10" s="683"/>
      <c r="I10" s="684" t="s">
        <v>376</v>
      </c>
      <c r="J10" s="685">
        <f t="shared" ref="J10:Q10" si="3">SUBTOTAL(9,J12:J129,J134:J135,J141:J190)</f>
        <v>62064992.890000001</v>
      </c>
      <c r="K10" s="685">
        <f t="shared" si="3"/>
        <v>0</v>
      </c>
      <c r="L10" s="685">
        <f t="shared" si="3"/>
        <v>0</v>
      </c>
      <c r="M10" s="575">
        <f t="shared" si="3"/>
        <v>17797897.969999999</v>
      </c>
      <c r="N10" s="685">
        <f t="shared" si="3"/>
        <v>53696072.039999999</v>
      </c>
      <c r="O10" s="575">
        <f t="shared" si="3"/>
        <v>0</v>
      </c>
      <c r="P10" s="685">
        <f t="shared" si="3"/>
        <v>53288874.439999998</v>
      </c>
      <c r="Q10" s="576">
        <f t="shared" si="3"/>
        <v>0</v>
      </c>
      <c r="R10" s="527"/>
      <c r="S10" s="528"/>
      <c r="T10" s="528"/>
      <c r="U10" s="528"/>
      <c r="W10" s="575">
        <f t="shared" ref="W10:AH10" si="4">SUBTOTAL(9,W12:W129,W134:W135,W141:W190)</f>
        <v>20837615.649999999</v>
      </c>
      <c r="X10" s="575">
        <f t="shared" si="4"/>
        <v>0</v>
      </c>
      <c r="Y10" s="575">
        <f t="shared" si="4"/>
        <v>20837615.649999999</v>
      </c>
      <c r="Z10" s="575">
        <f t="shared" si="4"/>
        <v>23291382.27</v>
      </c>
      <c r="AA10" s="575">
        <f t="shared" si="4"/>
        <v>0</v>
      </c>
      <c r="AB10" s="575">
        <f t="shared" si="4"/>
        <v>23291382.27</v>
      </c>
      <c r="AC10" s="575">
        <f t="shared" si="4"/>
        <v>8492548.9100000001</v>
      </c>
      <c r="AD10" s="575">
        <f t="shared" si="4"/>
        <v>0</v>
      </c>
      <c r="AE10" s="575">
        <f t="shared" si="4"/>
        <v>8492548.9100000001</v>
      </c>
      <c r="AF10" s="575">
        <f t="shared" si="4"/>
        <v>9141594.1300000008</v>
      </c>
      <c r="AG10" s="575">
        <f t="shared" si="4"/>
        <v>0</v>
      </c>
      <c r="AH10" s="575">
        <f t="shared" si="4"/>
        <v>9141594.1300000008</v>
      </c>
      <c r="AI10" s="529"/>
      <c r="AJ10" s="575">
        <f t="shared" ref="AJ10:AR10" si="5">SUBTOTAL(9,AJ12:AJ129,AJ134:AJ135,AJ141:AJ190)</f>
        <v>44128997.920000002</v>
      </c>
      <c r="AK10" s="575">
        <f t="shared" si="5"/>
        <v>0</v>
      </c>
      <c r="AL10" s="575">
        <f t="shared" si="5"/>
        <v>44128997.920000002</v>
      </c>
      <c r="AM10" s="575">
        <f t="shared" si="5"/>
        <v>52621546.829999998</v>
      </c>
      <c r="AN10" s="575">
        <f t="shared" si="5"/>
        <v>0</v>
      </c>
      <c r="AO10" s="575">
        <f t="shared" si="5"/>
        <v>52621546.829999998</v>
      </c>
      <c r="AP10" s="575">
        <f t="shared" si="5"/>
        <v>61763140.960000001</v>
      </c>
      <c r="AQ10" s="575">
        <f t="shared" si="5"/>
        <v>0</v>
      </c>
      <c r="AR10" s="575">
        <f t="shared" si="5"/>
        <v>61763140.960000001</v>
      </c>
      <c r="AS10" s="594"/>
      <c r="AT10" s="575">
        <f t="shared" ref="AT10:BQ10" si="6">SUBTOTAL(9,AT12:AT129,AT134:AT135,AT141:AT190)</f>
        <v>7941665.5599999996</v>
      </c>
      <c r="AU10" s="575">
        <f t="shared" si="6"/>
        <v>0</v>
      </c>
      <c r="AV10" s="575">
        <f t="shared" si="6"/>
        <v>4864603.38</v>
      </c>
      <c r="AW10" s="575">
        <f t="shared" si="6"/>
        <v>0</v>
      </c>
      <c r="AX10" s="575">
        <f t="shared" si="6"/>
        <v>8031346.71</v>
      </c>
      <c r="AY10" s="575">
        <f t="shared" si="6"/>
        <v>0</v>
      </c>
      <c r="AZ10" s="575">
        <f t="shared" si="6"/>
        <v>5728155.2599999998</v>
      </c>
      <c r="BA10" s="575">
        <f t="shared" si="6"/>
        <v>0</v>
      </c>
      <c r="BB10" s="575">
        <f t="shared" si="6"/>
        <v>4900616.41</v>
      </c>
      <c r="BC10" s="575">
        <f t="shared" si="6"/>
        <v>0</v>
      </c>
      <c r="BD10" s="575">
        <f t="shared" si="6"/>
        <v>12662610.6</v>
      </c>
      <c r="BE10" s="575">
        <f t="shared" si="6"/>
        <v>0</v>
      </c>
      <c r="BF10" s="575">
        <f t="shared" si="6"/>
        <v>5117306.66</v>
      </c>
      <c r="BG10" s="575">
        <f t="shared" si="6"/>
        <v>0</v>
      </c>
      <c r="BH10" s="575">
        <f t="shared" si="6"/>
        <v>1910553.16</v>
      </c>
      <c r="BI10" s="575">
        <f t="shared" si="6"/>
        <v>0</v>
      </c>
      <c r="BJ10" s="575">
        <f t="shared" si="6"/>
        <v>1464689.09</v>
      </c>
      <c r="BK10" s="575">
        <f t="shared" si="6"/>
        <v>0</v>
      </c>
      <c r="BL10" s="575">
        <f t="shared" si="6"/>
        <v>1738472.83</v>
      </c>
      <c r="BM10" s="575">
        <f t="shared" si="6"/>
        <v>0</v>
      </c>
      <c r="BN10" s="575">
        <f t="shared" si="6"/>
        <v>1895710.78</v>
      </c>
      <c r="BO10" s="575">
        <f t="shared" si="6"/>
        <v>0</v>
      </c>
      <c r="BP10" s="575">
        <f t="shared" si="6"/>
        <v>5507410.5199999996</v>
      </c>
      <c r="BQ10" s="575">
        <f t="shared" si="6"/>
        <v>0</v>
      </c>
    </row>
    <row r="11" spans="1:71" s="31" customFormat="1" ht="42" customHeight="1" thickBot="1">
      <c r="C11" s="31" t="s">
        <v>201</v>
      </c>
      <c r="D11" s="715" t="s">
        <v>400</v>
      </c>
      <c r="E11" s="715"/>
      <c r="F11" s="715"/>
      <c r="G11" s="715"/>
      <c r="H11" s="715"/>
      <c r="I11" s="715"/>
      <c r="J11" s="715"/>
      <c r="K11" s="715"/>
      <c r="L11" s="715"/>
      <c r="M11" s="333"/>
      <c r="N11" s="715"/>
      <c r="O11" s="333"/>
      <c r="P11" s="718"/>
      <c r="Q11" s="333"/>
      <c r="R11" s="325"/>
      <c r="S11" s="308"/>
      <c r="T11" s="308"/>
      <c r="U11" s="308"/>
      <c r="W11" s="262"/>
      <c r="X11" s="3"/>
      <c r="Y11" s="257"/>
      <c r="Z11" s="262"/>
      <c r="AA11" s="3"/>
      <c r="AB11" s="257"/>
      <c r="AC11" s="262"/>
      <c r="AD11" s="3"/>
      <c r="AE11" s="257"/>
      <c r="AF11" s="262"/>
      <c r="AG11" s="3"/>
      <c r="AH11" s="257"/>
      <c r="AI11" s="3"/>
      <c r="AJ11" s="262"/>
      <c r="AK11" s="3"/>
      <c r="AL11" s="257"/>
      <c r="AM11" s="262"/>
      <c r="AN11" s="3"/>
      <c r="AO11" s="257"/>
      <c r="AP11" s="262"/>
      <c r="AQ11" s="3"/>
      <c r="AR11" s="257"/>
      <c r="AS11" s="598"/>
      <c r="AT11" s="289"/>
      <c r="AU11" s="287"/>
      <c r="AV11" s="287"/>
      <c r="AW11" s="287"/>
      <c r="AX11" s="287"/>
      <c r="AY11" s="292"/>
      <c r="AZ11" s="289"/>
      <c r="BA11" s="287"/>
      <c r="BB11" s="287"/>
      <c r="BC11" s="287"/>
      <c r="BD11" s="287"/>
      <c r="BE11" s="292"/>
      <c r="BF11" s="289"/>
      <c r="BG11" s="287"/>
      <c r="BH11" s="287"/>
      <c r="BI11" s="287"/>
      <c r="BJ11" s="287"/>
      <c r="BK11" s="292"/>
      <c r="BL11" s="289"/>
      <c r="BM11" s="287"/>
      <c r="BN11" s="287"/>
      <c r="BO11" s="287"/>
      <c r="BP11" s="287"/>
      <c r="BQ11" s="290"/>
    </row>
    <row r="12" spans="1:71" s="86" customFormat="1" ht="31.5">
      <c r="A12" s="378"/>
      <c r="B12" s="379"/>
      <c r="C12" s="86" t="s">
        <v>201</v>
      </c>
      <c r="D12" s="646" t="s">
        <v>7</v>
      </c>
      <c r="E12" s="646">
        <v>4</v>
      </c>
      <c r="F12" s="646" t="s">
        <v>69</v>
      </c>
      <c r="G12" s="646">
        <v>111</v>
      </c>
      <c r="H12" s="716">
        <v>211</v>
      </c>
      <c r="I12" s="717" t="s">
        <v>8</v>
      </c>
      <c r="J12" s="13">
        <v>23282695.739999998</v>
      </c>
      <c r="K12" s="13"/>
      <c r="L12" s="13"/>
      <c r="M12" s="660">
        <f>41959190-J12-J141</f>
        <v>13725826.300000001</v>
      </c>
      <c r="N12" s="13">
        <v>24496803.949999999</v>
      </c>
      <c r="O12" s="660"/>
      <c r="P12" s="13">
        <v>24191233.949999999</v>
      </c>
      <c r="Q12" s="664"/>
      <c r="R12" s="334"/>
      <c r="S12" s="305"/>
      <c r="T12" s="305"/>
      <c r="U12" s="305"/>
      <c r="W12" s="382">
        <f t="shared" ref="W12:X44" si="7">AT12+AV12+AX12</f>
        <v>9020000</v>
      </c>
      <c r="X12" s="247">
        <f t="shared" si="7"/>
        <v>0</v>
      </c>
      <c r="Y12" s="383">
        <f t="shared" ref="Y12:Y75" si="8">W12-X12</f>
        <v>9020000</v>
      </c>
      <c r="Z12" s="382">
        <f t="shared" ref="Z12:AA44" si="9">AZ12+BB12+BD12</f>
        <v>13640000</v>
      </c>
      <c r="AA12" s="247">
        <f t="shared" si="9"/>
        <v>0</v>
      </c>
      <c r="AB12" s="383">
        <f t="shared" ref="AB12:AB75" si="10">Z12-AA12</f>
        <v>13640000</v>
      </c>
      <c r="AC12" s="382">
        <f t="shared" ref="AC12:AD44" si="11">BF12+BH12+BJ12</f>
        <v>622695.74</v>
      </c>
      <c r="AD12" s="247">
        <f t="shared" si="11"/>
        <v>0</v>
      </c>
      <c r="AE12" s="383">
        <f t="shared" ref="AE12:AE75" si="12">AC12-AD12</f>
        <v>622695.74</v>
      </c>
      <c r="AF12" s="382">
        <f t="shared" ref="AF12:AG44" si="13">BL12+BN12+BP12</f>
        <v>0</v>
      </c>
      <c r="AG12" s="247">
        <f t="shared" si="13"/>
        <v>0</v>
      </c>
      <c r="AH12" s="383">
        <f t="shared" ref="AH12:AH75" si="14">AF12-AG12</f>
        <v>0</v>
      </c>
      <c r="AI12" s="210"/>
      <c r="AJ12" s="382">
        <f t="shared" ref="AJ12:AK44" si="15">W12+Z12</f>
        <v>22660000</v>
      </c>
      <c r="AK12" s="247">
        <f t="shared" si="15"/>
        <v>0</v>
      </c>
      <c r="AL12" s="383">
        <f t="shared" ref="AL12:AL75" si="16">AJ12-AK12</f>
        <v>22660000</v>
      </c>
      <c r="AM12" s="382">
        <f t="shared" ref="AM12:AN44" si="17">W12+Z12+AC12</f>
        <v>23282695.739999998</v>
      </c>
      <c r="AN12" s="247">
        <f t="shared" si="17"/>
        <v>0</v>
      </c>
      <c r="AO12" s="383">
        <f t="shared" ref="AO12:AO75" si="18">AM12-AN12</f>
        <v>23282695.739999998</v>
      </c>
      <c r="AP12" s="263">
        <f>W12+Z12+AC12+AF12</f>
        <v>23282695.739999998</v>
      </c>
      <c r="AQ12" s="10">
        <f t="shared" ref="AQ12:AQ75" si="19">X12+AA12+AD12+AG12</f>
        <v>0</v>
      </c>
      <c r="AR12" s="650">
        <f t="shared" ref="AR12:AR75" si="20">AP12-AQ12</f>
        <v>23282695.739999998</v>
      </c>
      <c r="AS12" s="607">
        <f t="shared" ref="AS12:AS75" si="21">J12-AP12</f>
        <v>0</v>
      </c>
      <c r="AT12" s="263">
        <v>1390000</v>
      </c>
      <c r="AU12" s="247"/>
      <c r="AV12" s="10">
        <v>2420000</v>
      </c>
      <c r="AW12" s="247"/>
      <c r="AX12" s="10">
        <v>5210000</v>
      </c>
      <c r="AY12" s="384"/>
      <c r="AZ12" s="263">
        <v>2420000</v>
      </c>
      <c r="BA12" s="247"/>
      <c r="BB12" s="10">
        <v>2420000</v>
      </c>
      <c r="BC12" s="247"/>
      <c r="BD12" s="10">
        <v>8800000</v>
      </c>
      <c r="BE12" s="384"/>
      <c r="BF12" s="263">
        <v>622695.74</v>
      </c>
      <c r="BG12" s="247"/>
      <c r="BH12" s="10"/>
      <c r="BI12" s="247"/>
      <c r="BJ12" s="10"/>
      <c r="BK12" s="384"/>
      <c r="BL12" s="263"/>
      <c r="BM12" s="247"/>
      <c r="BN12" s="10"/>
      <c r="BO12" s="247"/>
      <c r="BP12" s="10"/>
      <c r="BQ12" s="383"/>
      <c r="BR12" s="86">
        <v>0.01</v>
      </c>
      <c r="BS12" s="86" t="s">
        <v>197</v>
      </c>
    </row>
    <row r="13" spans="1:71" s="86" customFormat="1" ht="31.5">
      <c r="A13" s="358"/>
      <c r="B13" s="359"/>
      <c r="C13" s="86" t="s">
        <v>201</v>
      </c>
      <c r="D13" s="646" t="s">
        <v>7</v>
      </c>
      <c r="E13" s="646">
        <v>4</v>
      </c>
      <c r="F13" s="646" t="s">
        <v>69</v>
      </c>
      <c r="G13" s="646">
        <v>119</v>
      </c>
      <c r="H13" s="716">
        <v>213</v>
      </c>
      <c r="I13" s="717" t="s">
        <v>10</v>
      </c>
      <c r="J13" s="13">
        <v>6926770.5700000003</v>
      </c>
      <c r="K13" s="13"/>
      <c r="L13" s="13"/>
      <c r="M13" s="661">
        <f>12475243.59-J13-J144</f>
        <v>4064338.43</v>
      </c>
      <c r="N13" s="13">
        <v>7276356.8899999997</v>
      </c>
      <c r="O13" s="661"/>
      <c r="P13" s="13">
        <v>7185672.04</v>
      </c>
      <c r="Q13" s="665"/>
      <c r="R13" s="334"/>
      <c r="S13" s="305"/>
      <c r="T13" s="305"/>
      <c r="U13" s="305"/>
      <c r="W13" s="367">
        <f t="shared" si="7"/>
        <v>1150620</v>
      </c>
      <c r="X13" s="363">
        <f t="shared" si="7"/>
        <v>0</v>
      </c>
      <c r="Y13" s="280">
        <f t="shared" si="8"/>
        <v>1150620</v>
      </c>
      <c r="Z13" s="367">
        <f t="shared" si="9"/>
        <v>3035100</v>
      </c>
      <c r="AA13" s="363">
        <f t="shared" si="9"/>
        <v>0</v>
      </c>
      <c r="AB13" s="280">
        <f t="shared" si="10"/>
        <v>3035100</v>
      </c>
      <c r="AC13" s="367">
        <f t="shared" si="11"/>
        <v>2741050.57</v>
      </c>
      <c r="AD13" s="363">
        <f t="shared" si="11"/>
        <v>0</v>
      </c>
      <c r="AE13" s="280">
        <f t="shared" si="12"/>
        <v>2741050.57</v>
      </c>
      <c r="AF13" s="367">
        <f t="shared" si="13"/>
        <v>0</v>
      </c>
      <c r="AG13" s="363">
        <f t="shared" si="13"/>
        <v>0</v>
      </c>
      <c r="AH13" s="280">
        <f t="shared" si="14"/>
        <v>0</v>
      </c>
      <c r="AI13" s="210"/>
      <c r="AJ13" s="367">
        <f t="shared" si="15"/>
        <v>4185720</v>
      </c>
      <c r="AK13" s="363">
        <f t="shared" si="15"/>
        <v>0</v>
      </c>
      <c r="AL13" s="280">
        <f t="shared" si="16"/>
        <v>4185720</v>
      </c>
      <c r="AM13" s="367">
        <f t="shared" si="17"/>
        <v>6926770.5700000003</v>
      </c>
      <c r="AN13" s="363">
        <f t="shared" si="17"/>
        <v>0</v>
      </c>
      <c r="AO13" s="280">
        <f t="shared" si="18"/>
        <v>6926770.5700000003</v>
      </c>
      <c r="AP13" s="263">
        <f t="shared" ref="AP13:AQ62" si="22">W13+Z13+AC13+AF13</f>
        <v>6926770.5700000003</v>
      </c>
      <c r="AQ13" s="10">
        <f t="shared" si="19"/>
        <v>0</v>
      </c>
      <c r="AR13" s="650">
        <f t="shared" si="20"/>
        <v>6926770.5700000003</v>
      </c>
      <c r="AS13" s="607">
        <f t="shared" si="21"/>
        <v>0</v>
      </c>
      <c r="AT13" s="263">
        <v>0</v>
      </c>
      <c r="AU13" s="363"/>
      <c r="AV13" s="10">
        <f>AT12*30.2%</f>
        <v>419780</v>
      </c>
      <c r="AW13" s="363"/>
      <c r="AX13" s="10">
        <f>AV12*30.2%</f>
        <v>730840</v>
      </c>
      <c r="AY13" s="369"/>
      <c r="AZ13" s="263">
        <f>AX12*30.2%</f>
        <v>1573420</v>
      </c>
      <c r="BA13" s="363"/>
      <c r="BB13" s="10">
        <f>AZ12*30.2%</f>
        <v>730840</v>
      </c>
      <c r="BC13" s="363"/>
      <c r="BD13" s="10">
        <f>BB12*30.2%</f>
        <v>730840</v>
      </c>
      <c r="BE13" s="369"/>
      <c r="BF13" s="263">
        <f>BD12*30.2%</f>
        <v>2657600</v>
      </c>
      <c r="BG13" s="363"/>
      <c r="BH13" s="10">
        <f>BF12*30.2%</f>
        <v>188054.11</v>
      </c>
      <c r="BI13" s="363"/>
      <c r="BJ13" s="10">
        <f>BH12*30.2%-68794.05-35809.49</f>
        <v>-104603.54</v>
      </c>
      <c r="BK13" s="369"/>
      <c r="BL13" s="263"/>
      <c r="BM13" s="363"/>
      <c r="BN13" s="10">
        <f>BL12*30.2%</f>
        <v>0</v>
      </c>
      <c r="BO13" s="363"/>
      <c r="BP13" s="10">
        <f>BN12*30.2%</f>
        <v>0</v>
      </c>
      <c r="BQ13" s="280"/>
      <c r="BS13" s="86" t="s">
        <v>197</v>
      </c>
    </row>
    <row r="14" spans="1:71" s="86" customFormat="1" ht="31.5">
      <c r="A14" s="358"/>
      <c r="B14" s="359"/>
      <c r="C14" s="86" t="s">
        <v>201</v>
      </c>
      <c r="D14" s="646" t="s">
        <v>135</v>
      </c>
      <c r="E14" s="646">
        <v>4</v>
      </c>
      <c r="F14" s="646" t="s">
        <v>69</v>
      </c>
      <c r="G14" s="646">
        <v>119</v>
      </c>
      <c r="H14" s="716">
        <v>213</v>
      </c>
      <c r="I14" s="717" t="s">
        <v>401</v>
      </c>
      <c r="J14" s="13"/>
      <c r="K14" s="13"/>
      <c r="L14" s="13"/>
      <c r="M14" s="661"/>
      <c r="N14" s="13"/>
      <c r="O14" s="661"/>
      <c r="P14" s="13"/>
      <c r="Q14" s="665"/>
      <c r="R14" s="334"/>
      <c r="S14" s="305"/>
      <c r="T14" s="305"/>
      <c r="U14" s="305"/>
      <c r="W14" s="367">
        <f t="shared" si="7"/>
        <v>0</v>
      </c>
      <c r="X14" s="363">
        <f t="shared" si="7"/>
        <v>0</v>
      </c>
      <c r="Y14" s="280">
        <f t="shared" si="8"/>
        <v>0</v>
      </c>
      <c r="Z14" s="367">
        <f t="shared" si="9"/>
        <v>0</v>
      </c>
      <c r="AA14" s="363">
        <f t="shared" si="9"/>
        <v>0</v>
      </c>
      <c r="AB14" s="280">
        <f t="shared" si="10"/>
        <v>0</v>
      </c>
      <c r="AC14" s="367">
        <f t="shared" si="11"/>
        <v>0</v>
      </c>
      <c r="AD14" s="363">
        <f t="shared" si="11"/>
        <v>0</v>
      </c>
      <c r="AE14" s="280">
        <f t="shared" si="12"/>
        <v>0</v>
      </c>
      <c r="AF14" s="367">
        <f t="shared" si="13"/>
        <v>0</v>
      </c>
      <c r="AG14" s="363">
        <f t="shared" si="13"/>
        <v>0</v>
      </c>
      <c r="AH14" s="280">
        <f t="shared" si="14"/>
        <v>0</v>
      </c>
      <c r="AI14" s="210"/>
      <c r="AJ14" s="367">
        <f t="shared" si="15"/>
        <v>0</v>
      </c>
      <c r="AK14" s="363">
        <f t="shared" si="15"/>
        <v>0</v>
      </c>
      <c r="AL14" s="280">
        <f t="shared" si="16"/>
        <v>0</v>
      </c>
      <c r="AM14" s="367">
        <f t="shared" si="17"/>
        <v>0</v>
      </c>
      <c r="AN14" s="363">
        <f t="shared" si="17"/>
        <v>0</v>
      </c>
      <c r="AO14" s="280">
        <f t="shared" si="18"/>
        <v>0</v>
      </c>
      <c r="AP14" s="263">
        <f t="shared" si="22"/>
        <v>0</v>
      </c>
      <c r="AQ14" s="10">
        <f t="shared" si="19"/>
        <v>0</v>
      </c>
      <c r="AR14" s="650">
        <f t="shared" si="20"/>
        <v>0</v>
      </c>
      <c r="AS14" s="607">
        <f t="shared" si="21"/>
        <v>0</v>
      </c>
      <c r="AT14" s="263"/>
      <c r="AU14" s="363"/>
      <c r="AV14" s="10"/>
      <c r="AW14" s="363"/>
      <c r="AX14" s="10"/>
      <c r="AY14" s="369"/>
      <c r="AZ14" s="263"/>
      <c r="BA14" s="363"/>
      <c r="BB14" s="10"/>
      <c r="BC14" s="363"/>
      <c r="BD14" s="10"/>
      <c r="BE14" s="369"/>
      <c r="BF14" s="263"/>
      <c r="BG14" s="363"/>
      <c r="BH14" s="10"/>
      <c r="BI14" s="363"/>
      <c r="BJ14" s="10"/>
      <c r="BK14" s="369"/>
      <c r="BL14" s="263"/>
      <c r="BM14" s="363"/>
      <c r="BN14" s="10"/>
      <c r="BO14" s="363"/>
      <c r="BP14" s="10"/>
      <c r="BQ14" s="280"/>
    </row>
    <row r="15" spans="1:71" s="86" customFormat="1" ht="111" customHeight="1" collapsed="1">
      <c r="A15" s="378" t="s">
        <v>377</v>
      </c>
      <c r="B15" s="379"/>
      <c r="C15" s="86" t="s">
        <v>201</v>
      </c>
      <c r="D15" s="646" t="s">
        <v>7</v>
      </c>
      <c r="E15" s="646">
        <v>4</v>
      </c>
      <c r="F15" s="646" t="s">
        <v>71</v>
      </c>
      <c r="G15" s="646">
        <v>111</v>
      </c>
      <c r="H15" s="716">
        <v>211</v>
      </c>
      <c r="I15" s="717" t="s">
        <v>402</v>
      </c>
      <c r="J15" s="13">
        <f>SUM(J16:J19)</f>
        <v>101000</v>
      </c>
      <c r="K15" s="13"/>
      <c r="L15" s="13"/>
      <c r="M15" s="662"/>
      <c r="N15" s="13">
        <f>SUM(N16:N19)</f>
        <v>115000</v>
      </c>
      <c r="O15" s="663"/>
      <c r="P15" s="13">
        <f t="shared" ref="P15" si="23">SUM(P16:P19)</f>
        <v>87000</v>
      </c>
      <c r="Q15" s="666"/>
      <c r="R15" s="334"/>
      <c r="S15" s="305"/>
      <c r="T15" s="305"/>
      <c r="U15" s="305"/>
      <c r="W15" s="382">
        <f t="shared" si="7"/>
        <v>19000</v>
      </c>
      <c r="X15" s="247">
        <f t="shared" si="7"/>
        <v>0</v>
      </c>
      <c r="Y15" s="383">
        <f t="shared" si="8"/>
        <v>19000</v>
      </c>
      <c r="Z15" s="382">
        <f t="shared" si="9"/>
        <v>29000</v>
      </c>
      <c r="AA15" s="247">
        <f t="shared" si="9"/>
        <v>0</v>
      </c>
      <c r="AB15" s="383">
        <f t="shared" si="10"/>
        <v>29000</v>
      </c>
      <c r="AC15" s="382">
        <f t="shared" si="11"/>
        <v>14000</v>
      </c>
      <c r="AD15" s="247">
        <f t="shared" si="11"/>
        <v>0</v>
      </c>
      <c r="AE15" s="383">
        <f t="shared" si="12"/>
        <v>14000</v>
      </c>
      <c r="AF15" s="382">
        <f t="shared" si="13"/>
        <v>39000</v>
      </c>
      <c r="AG15" s="247">
        <f t="shared" si="13"/>
        <v>0</v>
      </c>
      <c r="AH15" s="383">
        <f t="shared" si="14"/>
        <v>39000</v>
      </c>
      <c r="AI15" s="210"/>
      <c r="AJ15" s="382">
        <f t="shared" si="15"/>
        <v>48000</v>
      </c>
      <c r="AK15" s="247">
        <f t="shared" si="15"/>
        <v>0</v>
      </c>
      <c r="AL15" s="383">
        <f t="shared" si="16"/>
        <v>48000</v>
      </c>
      <c r="AM15" s="382">
        <f t="shared" si="17"/>
        <v>62000</v>
      </c>
      <c r="AN15" s="247">
        <f t="shared" si="17"/>
        <v>0</v>
      </c>
      <c r="AO15" s="383">
        <f t="shared" si="18"/>
        <v>62000</v>
      </c>
      <c r="AP15" s="263">
        <f t="shared" si="22"/>
        <v>101000</v>
      </c>
      <c r="AQ15" s="10">
        <f t="shared" si="19"/>
        <v>0</v>
      </c>
      <c r="AR15" s="650">
        <f t="shared" si="20"/>
        <v>101000</v>
      </c>
      <c r="AS15" s="607">
        <f t="shared" si="21"/>
        <v>0</v>
      </c>
      <c r="AT15" s="263">
        <f t="shared" ref="AT15:BQ15" si="24">SUM(AT16:AT19)</f>
        <v>9000</v>
      </c>
      <c r="AU15" s="247">
        <f t="shared" si="24"/>
        <v>0</v>
      </c>
      <c r="AV15" s="10">
        <f t="shared" si="24"/>
        <v>0</v>
      </c>
      <c r="AW15" s="247">
        <f t="shared" si="24"/>
        <v>0</v>
      </c>
      <c r="AX15" s="10">
        <f t="shared" si="24"/>
        <v>10000</v>
      </c>
      <c r="AY15" s="384">
        <f t="shared" si="24"/>
        <v>0</v>
      </c>
      <c r="AZ15" s="263">
        <f t="shared" si="24"/>
        <v>9000</v>
      </c>
      <c r="BA15" s="247">
        <f t="shared" si="24"/>
        <v>0</v>
      </c>
      <c r="BB15" s="10">
        <f t="shared" si="24"/>
        <v>20000</v>
      </c>
      <c r="BC15" s="247">
        <f t="shared" si="24"/>
        <v>0</v>
      </c>
      <c r="BD15" s="10">
        <f t="shared" si="24"/>
        <v>0</v>
      </c>
      <c r="BE15" s="384">
        <f t="shared" si="24"/>
        <v>0</v>
      </c>
      <c r="BF15" s="263">
        <f t="shared" si="24"/>
        <v>9000</v>
      </c>
      <c r="BG15" s="247">
        <f t="shared" si="24"/>
        <v>0</v>
      </c>
      <c r="BH15" s="10">
        <f t="shared" si="24"/>
        <v>5000</v>
      </c>
      <c r="BI15" s="247">
        <f t="shared" si="24"/>
        <v>0</v>
      </c>
      <c r="BJ15" s="10">
        <f t="shared" si="24"/>
        <v>0</v>
      </c>
      <c r="BK15" s="384">
        <f t="shared" si="24"/>
        <v>0</v>
      </c>
      <c r="BL15" s="263">
        <f t="shared" si="24"/>
        <v>19000</v>
      </c>
      <c r="BM15" s="247">
        <f t="shared" si="24"/>
        <v>0</v>
      </c>
      <c r="BN15" s="10">
        <f t="shared" si="24"/>
        <v>20000</v>
      </c>
      <c r="BO15" s="247">
        <f t="shared" si="24"/>
        <v>0</v>
      </c>
      <c r="BP15" s="10">
        <f t="shared" si="24"/>
        <v>0</v>
      </c>
      <c r="BQ15" s="383">
        <f t="shared" si="24"/>
        <v>0</v>
      </c>
    </row>
    <row r="16" spans="1:71" s="313" customFormat="1" ht="25.5" hidden="1" outlineLevel="1">
      <c r="D16" s="686" t="s">
        <v>7</v>
      </c>
      <c r="E16" s="687">
        <v>4</v>
      </c>
      <c r="F16" s="688" t="s">
        <v>71</v>
      </c>
      <c r="G16" s="688">
        <v>111</v>
      </c>
      <c r="H16" s="689">
        <v>211</v>
      </c>
      <c r="I16" s="690" t="s">
        <v>316</v>
      </c>
      <c r="J16" s="691">
        <v>10000</v>
      </c>
      <c r="K16" s="692"/>
      <c r="L16" s="692"/>
      <c r="M16" s="559"/>
      <c r="N16" s="691">
        <f>10000*3</f>
        <v>30000</v>
      </c>
      <c r="O16" s="559"/>
      <c r="P16" s="691">
        <v>10000</v>
      </c>
      <c r="Q16" s="559"/>
      <c r="R16" s="335"/>
      <c r="S16" s="320"/>
      <c r="T16" s="320"/>
      <c r="U16" s="320"/>
      <c r="W16" s="336">
        <f t="shared" si="7"/>
        <v>10000</v>
      </c>
      <c r="X16" s="337">
        <f t="shared" si="7"/>
        <v>0</v>
      </c>
      <c r="Y16" s="338">
        <f t="shared" si="8"/>
        <v>10000</v>
      </c>
      <c r="Z16" s="336">
        <f t="shared" si="9"/>
        <v>0</v>
      </c>
      <c r="AA16" s="337">
        <f t="shared" si="9"/>
        <v>0</v>
      </c>
      <c r="AB16" s="338">
        <f t="shared" si="10"/>
        <v>0</v>
      </c>
      <c r="AC16" s="336">
        <f t="shared" si="11"/>
        <v>0</v>
      </c>
      <c r="AD16" s="337">
        <f t="shared" si="11"/>
        <v>0</v>
      </c>
      <c r="AE16" s="338">
        <f t="shared" si="12"/>
        <v>0</v>
      </c>
      <c r="AF16" s="336">
        <f t="shared" si="13"/>
        <v>0</v>
      </c>
      <c r="AG16" s="337">
        <f t="shared" si="13"/>
        <v>0</v>
      </c>
      <c r="AH16" s="338">
        <f t="shared" si="14"/>
        <v>0</v>
      </c>
      <c r="AI16" s="342"/>
      <c r="AJ16" s="336">
        <f t="shared" si="15"/>
        <v>10000</v>
      </c>
      <c r="AK16" s="339">
        <f t="shared" si="15"/>
        <v>0</v>
      </c>
      <c r="AL16" s="340">
        <f t="shared" si="16"/>
        <v>10000</v>
      </c>
      <c r="AM16" s="336">
        <f t="shared" si="17"/>
        <v>10000</v>
      </c>
      <c r="AN16" s="339">
        <f t="shared" si="17"/>
        <v>0</v>
      </c>
      <c r="AO16" s="340">
        <f t="shared" si="18"/>
        <v>10000</v>
      </c>
      <c r="AP16" s="341">
        <f t="shared" si="22"/>
        <v>10000</v>
      </c>
      <c r="AQ16" s="339">
        <f t="shared" si="19"/>
        <v>0</v>
      </c>
      <c r="AR16" s="340">
        <f t="shared" si="20"/>
        <v>10000</v>
      </c>
      <c r="AS16" s="589">
        <f t="shared" si="21"/>
        <v>0</v>
      </c>
      <c r="AT16" s="343"/>
      <c r="AU16" s="344"/>
      <c r="AV16" s="345"/>
      <c r="AW16" s="344"/>
      <c r="AX16" s="345">
        <v>10000</v>
      </c>
      <c r="AY16" s="346"/>
      <c r="AZ16" s="347"/>
      <c r="BA16" s="348"/>
      <c r="BB16" s="349"/>
      <c r="BC16" s="348"/>
      <c r="BD16" s="349"/>
      <c r="BE16" s="350"/>
      <c r="BF16" s="351"/>
      <c r="BG16" s="352"/>
      <c r="BH16" s="337"/>
      <c r="BI16" s="352"/>
      <c r="BJ16" s="337"/>
      <c r="BK16" s="353"/>
      <c r="BL16" s="354"/>
      <c r="BM16" s="355"/>
      <c r="BN16" s="356"/>
      <c r="BO16" s="355"/>
      <c r="BP16" s="356"/>
      <c r="BQ16" s="357"/>
    </row>
    <row r="17" spans="1:71" s="313" customFormat="1" ht="25.5" hidden="1" outlineLevel="1">
      <c r="D17" s="373" t="s">
        <v>7</v>
      </c>
      <c r="E17" s="315">
        <v>4</v>
      </c>
      <c r="F17" s="314" t="s">
        <v>71</v>
      </c>
      <c r="G17" s="314">
        <v>111</v>
      </c>
      <c r="H17" s="316">
        <v>211</v>
      </c>
      <c r="I17" s="533" t="s">
        <v>317</v>
      </c>
      <c r="J17" s="341">
        <f>20000*2</f>
        <v>40000</v>
      </c>
      <c r="K17" s="318"/>
      <c r="L17" s="318"/>
      <c r="M17" s="559"/>
      <c r="N17" s="341">
        <f>20000*2</f>
        <v>40000</v>
      </c>
      <c r="O17" s="559"/>
      <c r="P17" s="341">
        <f>20000*2</f>
        <v>40000</v>
      </c>
      <c r="Q17" s="559"/>
      <c r="R17" s="335"/>
      <c r="S17" s="320"/>
      <c r="T17" s="320"/>
      <c r="U17" s="320"/>
      <c r="W17" s="336">
        <f t="shared" si="7"/>
        <v>0</v>
      </c>
      <c r="X17" s="337">
        <f t="shared" si="7"/>
        <v>0</v>
      </c>
      <c r="Y17" s="338">
        <f t="shared" si="8"/>
        <v>0</v>
      </c>
      <c r="Z17" s="336">
        <f t="shared" si="9"/>
        <v>20000</v>
      </c>
      <c r="AA17" s="337">
        <f t="shared" si="9"/>
        <v>0</v>
      </c>
      <c r="AB17" s="338">
        <f t="shared" si="10"/>
        <v>20000</v>
      </c>
      <c r="AC17" s="336">
        <f t="shared" si="11"/>
        <v>0</v>
      </c>
      <c r="AD17" s="337">
        <f t="shared" si="11"/>
        <v>0</v>
      </c>
      <c r="AE17" s="338">
        <f t="shared" si="12"/>
        <v>0</v>
      </c>
      <c r="AF17" s="336">
        <f t="shared" si="13"/>
        <v>20000</v>
      </c>
      <c r="AG17" s="337">
        <f t="shared" si="13"/>
        <v>0</v>
      </c>
      <c r="AH17" s="338">
        <f t="shared" si="14"/>
        <v>20000</v>
      </c>
      <c r="AI17" s="342"/>
      <c r="AJ17" s="336">
        <f t="shared" si="15"/>
        <v>20000</v>
      </c>
      <c r="AK17" s="339">
        <f t="shared" si="15"/>
        <v>0</v>
      </c>
      <c r="AL17" s="340">
        <f t="shared" si="16"/>
        <v>20000</v>
      </c>
      <c r="AM17" s="336">
        <f t="shared" si="17"/>
        <v>20000</v>
      </c>
      <c r="AN17" s="339">
        <f t="shared" si="17"/>
        <v>0</v>
      </c>
      <c r="AO17" s="340">
        <f t="shared" si="18"/>
        <v>20000</v>
      </c>
      <c r="AP17" s="341">
        <f t="shared" si="22"/>
        <v>40000</v>
      </c>
      <c r="AQ17" s="339">
        <f t="shared" si="19"/>
        <v>0</v>
      </c>
      <c r="AR17" s="340">
        <f t="shared" si="20"/>
        <v>40000</v>
      </c>
      <c r="AS17" s="589">
        <f t="shared" si="21"/>
        <v>0</v>
      </c>
      <c r="AT17" s="343"/>
      <c r="AU17" s="344"/>
      <c r="AV17" s="345"/>
      <c r="AW17" s="344"/>
      <c r="AX17" s="345"/>
      <c r="AY17" s="346"/>
      <c r="AZ17" s="347"/>
      <c r="BA17" s="348"/>
      <c r="BB17" s="349">
        <v>20000</v>
      </c>
      <c r="BC17" s="348"/>
      <c r="BD17" s="349"/>
      <c r="BE17" s="350"/>
      <c r="BF17" s="351"/>
      <c r="BG17" s="352"/>
      <c r="BH17" s="337"/>
      <c r="BI17" s="352"/>
      <c r="BJ17" s="337"/>
      <c r="BK17" s="353"/>
      <c r="BL17" s="354"/>
      <c r="BM17" s="355"/>
      <c r="BN17" s="356">
        <v>20000</v>
      </c>
      <c r="BO17" s="355"/>
      <c r="BP17" s="356"/>
      <c r="BQ17" s="357"/>
    </row>
    <row r="18" spans="1:71" s="313" customFormat="1" ht="25.5" hidden="1" outlineLevel="1">
      <c r="D18" s="373" t="s">
        <v>7</v>
      </c>
      <c r="E18" s="315">
        <v>4</v>
      </c>
      <c r="F18" s="314" t="s">
        <v>71</v>
      </c>
      <c r="G18" s="314">
        <v>111</v>
      </c>
      <c r="H18" s="316">
        <v>211</v>
      </c>
      <c r="I18" s="533" t="s">
        <v>318</v>
      </c>
      <c r="J18" s="341">
        <f>5000*3</f>
        <v>15000</v>
      </c>
      <c r="K18" s="318"/>
      <c r="L18" s="318"/>
      <c r="M18" s="559"/>
      <c r="N18" s="341">
        <f>5000*3</f>
        <v>15000</v>
      </c>
      <c r="O18" s="559"/>
      <c r="P18" s="341">
        <f>5000*3</f>
        <v>15000</v>
      </c>
      <c r="Q18" s="559"/>
      <c r="R18" s="335"/>
      <c r="S18" s="320"/>
      <c r="T18" s="320"/>
      <c r="U18" s="320"/>
      <c r="W18" s="336">
        <f t="shared" si="7"/>
        <v>0</v>
      </c>
      <c r="X18" s="337">
        <f t="shared" si="7"/>
        <v>0</v>
      </c>
      <c r="Y18" s="338">
        <f t="shared" si="8"/>
        <v>0</v>
      </c>
      <c r="Z18" s="336">
        <f t="shared" si="9"/>
        <v>0</v>
      </c>
      <c r="AA18" s="337">
        <f t="shared" si="9"/>
        <v>0</v>
      </c>
      <c r="AB18" s="338">
        <f t="shared" si="10"/>
        <v>0</v>
      </c>
      <c r="AC18" s="336">
        <f t="shared" si="11"/>
        <v>5000</v>
      </c>
      <c r="AD18" s="337">
        <f t="shared" si="11"/>
        <v>0</v>
      </c>
      <c r="AE18" s="338">
        <f t="shared" si="12"/>
        <v>5000</v>
      </c>
      <c r="AF18" s="336">
        <f t="shared" si="13"/>
        <v>10000</v>
      </c>
      <c r="AG18" s="337">
        <f t="shared" si="13"/>
        <v>0</v>
      </c>
      <c r="AH18" s="338">
        <f t="shared" si="14"/>
        <v>10000</v>
      </c>
      <c r="AI18" s="342"/>
      <c r="AJ18" s="336">
        <f t="shared" si="15"/>
        <v>0</v>
      </c>
      <c r="AK18" s="339">
        <f t="shared" si="15"/>
        <v>0</v>
      </c>
      <c r="AL18" s="340">
        <f t="shared" si="16"/>
        <v>0</v>
      </c>
      <c r="AM18" s="336">
        <f t="shared" si="17"/>
        <v>5000</v>
      </c>
      <c r="AN18" s="339">
        <f t="shared" si="17"/>
        <v>0</v>
      </c>
      <c r="AO18" s="340">
        <f t="shared" si="18"/>
        <v>5000</v>
      </c>
      <c r="AP18" s="341">
        <f t="shared" si="22"/>
        <v>15000</v>
      </c>
      <c r="AQ18" s="339">
        <f t="shared" si="19"/>
        <v>0</v>
      </c>
      <c r="AR18" s="340">
        <f t="shared" si="20"/>
        <v>15000</v>
      </c>
      <c r="AS18" s="589">
        <f t="shared" si="21"/>
        <v>0</v>
      </c>
      <c r="AT18" s="343"/>
      <c r="AU18" s="344"/>
      <c r="AV18" s="345"/>
      <c r="AW18" s="344"/>
      <c r="AX18" s="345"/>
      <c r="AY18" s="346"/>
      <c r="AZ18" s="347"/>
      <c r="BA18" s="348"/>
      <c r="BB18" s="349"/>
      <c r="BC18" s="348"/>
      <c r="BD18" s="349"/>
      <c r="BE18" s="350"/>
      <c r="BF18" s="351"/>
      <c r="BG18" s="352"/>
      <c r="BH18" s="337">
        <v>5000</v>
      </c>
      <c r="BI18" s="352"/>
      <c r="BJ18" s="337"/>
      <c r="BK18" s="353"/>
      <c r="BL18" s="354">
        <v>10000</v>
      </c>
      <c r="BM18" s="355"/>
      <c r="BN18" s="356"/>
      <c r="BO18" s="355"/>
      <c r="BP18" s="356"/>
      <c r="BQ18" s="357"/>
    </row>
    <row r="19" spans="1:71" s="313" customFormat="1" ht="38.25" hidden="1" outlineLevel="1">
      <c r="D19" s="373" t="s">
        <v>7</v>
      </c>
      <c r="E19" s="315">
        <v>4</v>
      </c>
      <c r="F19" s="314" t="s">
        <v>71</v>
      </c>
      <c r="G19" s="314">
        <v>111</v>
      </c>
      <c r="H19" s="316">
        <v>211</v>
      </c>
      <c r="I19" s="533" t="s">
        <v>322</v>
      </c>
      <c r="J19" s="341">
        <f>1000*9*4</f>
        <v>36000</v>
      </c>
      <c r="K19" s="318"/>
      <c r="L19" s="318"/>
      <c r="M19" s="559"/>
      <c r="N19" s="341">
        <f>1000*7*4+1000*1*2</f>
        <v>30000</v>
      </c>
      <c r="O19" s="559"/>
      <c r="P19" s="341">
        <f>1000*4*4+1000*2*3</f>
        <v>22000</v>
      </c>
      <c r="Q19" s="559"/>
      <c r="R19" s="335"/>
      <c r="S19" s="320"/>
      <c r="T19" s="320"/>
      <c r="U19" s="320"/>
      <c r="W19" s="336">
        <f t="shared" si="7"/>
        <v>9000</v>
      </c>
      <c r="X19" s="337">
        <f t="shared" si="7"/>
        <v>0</v>
      </c>
      <c r="Y19" s="338">
        <f t="shared" si="8"/>
        <v>9000</v>
      </c>
      <c r="Z19" s="336">
        <f t="shared" si="9"/>
        <v>9000</v>
      </c>
      <c r="AA19" s="337">
        <f t="shared" si="9"/>
        <v>0</v>
      </c>
      <c r="AB19" s="338">
        <f t="shared" si="10"/>
        <v>9000</v>
      </c>
      <c r="AC19" s="336">
        <f t="shared" si="11"/>
        <v>9000</v>
      </c>
      <c r="AD19" s="337">
        <f t="shared" si="11"/>
        <v>0</v>
      </c>
      <c r="AE19" s="338">
        <f t="shared" si="12"/>
        <v>9000</v>
      </c>
      <c r="AF19" s="336">
        <f t="shared" si="13"/>
        <v>9000</v>
      </c>
      <c r="AG19" s="337">
        <f t="shared" si="13"/>
        <v>0</v>
      </c>
      <c r="AH19" s="338">
        <f t="shared" si="14"/>
        <v>9000</v>
      </c>
      <c r="AI19" s="342"/>
      <c r="AJ19" s="336">
        <f t="shared" si="15"/>
        <v>18000</v>
      </c>
      <c r="AK19" s="339">
        <f t="shared" si="15"/>
        <v>0</v>
      </c>
      <c r="AL19" s="340">
        <f t="shared" si="16"/>
        <v>18000</v>
      </c>
      <c r="AM19" s="336">
        <f t="shared" si="17"/>
        <v>27000</v>
      </c>
      <c r="AN19" s="339">
        <f t="shared" si="17"/>
        <v>0</v>
      </c>
      <c r="AO19" s="340">
        <f t="shared" si="18"/>
        <v>27000</v>
      </c>
      <c r="AP19" s="341">
        <f t="shared" si="22"/>
        <v>36000</v>
      </c>
      <c r="AQ19" s="339">
        <f t="shared" si="19"/>
        <v>0</v>
      </c>
      <c r="AR19" s="340">
        <f t="shared" si="20"/>
        <v>36000</v>
      </c>
      <c r="AS19" s="589">
        <f t="shared" si="21"/>
        <v>0</v>
      </c>
      <c r="AT19" s="343">
        <v>9000</v>
      </c>
      <c r="AU19" s="344"/>
      <c r="AV19" s="345"/>
      <c r="AW19" s="344"/>
      <c r="AX19" s="345"/>
      <c r="AY19" s="346"/>
      <c r="AZ19" s="347">
        <v>9000</v>
      </c>
      <c r="BA19" s="348"/>
      <c r="BB19" s="349"/>
      <c r="BC19" s="348"/>
      <c r="BD19" s="349"/>
      <c r="BE19" s="350"/>
      <c r="BF19" s="351">
        <v>9000</v>
      </c>
      <c r="BG19" s="352"/>
      <c r="BH19" s="337"/>
      <c r="BI19" s="352"/>
      <c r="BJ19" s="337"/>
      <c r="BK19" s="353"/>
      <c r="BL19" s="354">
        <v>9000</v>
      </c>
      <c r="BM19" s="355"/>
      <c r="BN19" s="356"/>
      <c r="BO19" s="355"/>
      <c r="BP19" s="356"/>
      <c r="BQ19" s="357"/>
    </row>
    <row r="20" spans="1:71" s="86" customFormat="1" ht="63">
      <c r="A20" s="358"/>
      <c r="B20" s="359"/>
      <c r="C20" s="86" t="s">
        <v>201</v>
      </c>
      <c r="D20" s="646" t="s">
        <v>7</v>
      </c>
      <c r="E20" s="646">
        <v>4</v>
      </c>
      <c r="F20" s="646" t="s">
        <v>71</v>
      </c>
      <c r="G20" s="646">
        <v>112</v>
      </c>
      <c r="H20" s="716">
        <v>266</v>
      </c>
      <c r="I20" s="717" t="s">
        <v>403</v>
      </c>
      <c r="J20" s="13">
        <f>122483.46+80287.02</f>
        <v>202770.48</v>
      </c>
      <c r="K20" s="13"/>
      <c r="L20" s="13"/>
      <c r="M20" s="661"/>
      <c r="N20" s="13">
        <v>174498.02</v>
      </c>
      <c r="O20" s="661"/>
      <c r="P20" s="13">
        <v>146516.96</v>
      </c>
      <c r="Q20" s="665"/>
      <c r="R20" s="334"/>
      <c r="S20" s="305"/>
      <c r="T20" s="305"/>
      <c r="U20" s="305"/>
      <c r="W20" s="367">
        <f t="shared" si="7"/>
        <v>0</v>
      </c>
      <c r="X20" s="363">
        <f t="shared" si="7"/>
        <v>0</v>
      </c>
      <c r="Y20" s="280">
        <f t="shared" si="8"/>
        <v>0</v>
      </c>
      <c r="Z20" s="367">
        <f t="shared" si="9"/>
        <v>0</v>
      </c>
      <c r="AA20" s="363">
        <f t="shared" si="9"/>
        <v>0</v>
      </c>
      <c r="AB20" s="280">
        <f t="shared" si="10"/>
        <v>0</v>
      </c>
      <c r="AC20" s="367">
        <f t="shared" si="11"/>
        <v>202770.48</v>
      </c>
      <c r="AD20" s="363">
        <f t="shared" si="11"/>
        <v>0</v>
      </c>
      <c r="AE20" s="280">
        <f t="shared" si="12"/>
        <v>202770.48</v>
      </c>
      <c r="AF20" s="367">
        <f t="shared" si="13"/>
        <v>0</v>
      </c>
      <c r="AG20" s="363">
        <f t="shared" si="13"/>
        <v>0</v>
      </c>
      <c r="AH20" s="280">
        <f t="shared" si="14"/>
        <v>0</v>
      </c>
      <c r="AI20" s="210"/>
      <c r="AJ20" s="367">
        <f t="shared" si="15"/>
        <v>0</v>
      </c>
      <c r="AK20" s="363">
        <f t="shared" si="15"/>
        <v>0</v>
      </c>
      <c r="AL20" s="280">
        <f t="shared" si="16"/>
        <v>0</v>
      </c>
      <c r="AM20" s="367">
        <f t="shared" si="17"/>
        <v>202770.48</v>
      </c>
      <c r="AN20" s="363">
        <f t="shared" si="17"/>
        <v>0</v>
      </c>
      <c r="AO20" s="280">
        <f t="shared" si="18"/>
        <v>202770.48</v>
      </c>
      <c r="AP20" s="263">
        <f t="shared" si="22"/>
        <v>202770.48</v>
      </c>
      <c r="AQ20" s="10">
        <f t="shared" si="19"/>
        <v>0</v>
      </c>
      <c r="AR20" s="650">
        <f t="shared" si="20"/>
        <v>202770.48</v>
      </c>
      <c r="AS20" s="607">
        <f t="shared" si="21"/>
        <v>0</v>
      </c>
      <c r="AT20" s="263"/>
      <c r="AU20" s="363"/>
      <c r="AV20" s="10"/>
      <c r="AW20" s="363"/>
      <c r="AX20" s="10"/>
      <c r="AY20" s="369"/>
      <c r="AZ20" s="263"/>
      <c r="BA20" s="363"/>
      <c r="BB20" s="10"/>
      <c r="BC20" s="363"/>
      <c r="BD20" s="10"/>
      <c r="BE20" s="369"/>
      <c r="BF20" s="263"/>
      <c r="BG20" s="363"/>
      <c r="BH20" s="10">
        <v>122483.46</v>
      </c>
      <c r="BI20" s="363"/>
      <c r="BJ20" s="10">
        <v>80287.02</v>
      </c>
      <c r="BK20" s="369"/>
      <c r="BL20" s="263"/>
      <c r="BM20" s="363"/>
      <c r="BN20" s="10"/>
      <c r="BO20" s="363"/>
      <c r="BP20" s="10"/>
      <c r="BQ20" s="280"/>
    </row>
    <row r="21" spans="1:71" s="86" customFormat="1" ht="47.25" customHeight="1" collapsed="1">
      <c r="A21" s="378" t="s">
        <v>377</v>
      </c>
      <c r="B21" s="359"/>
      <c r="C21" s="86" t="s">
        <v>201</v>
      </c>
      <c r="D21" s="646" t="s">
        <v>7</v>
      </c>
      <c r="E21" s="646">
        <v>4</v>
      </c>
      <c r="F21" s="646" t="s">
        <v>71</v>
      </c>
      <c r="G21" s="646">
        <v>119</v>
      </c>
      <c r="H21" s="716">
        <v>213</v>
      </c>
      <c r="I21" s="717" t="s">
        <v>404</v>
      </c>
      <c r="J21" s="13">
        <f>SUM(J22:J25)</f>
        <v>80866.679999999993</v>
      </c>
      <c r="K21" s="13"/>
      <c r="L21" s="13"/>
      <c r="M21" s="661"/>
      <c r="N21" s="13">
        <f>SUM(N22:N25)</f>
        <v>78368.399999999994</v>
      </c>
      <c r="O21" s="661"/>
      <c r="P21" s="13">
        <f>SUM(P22:P25)</f>
        <v>63878.12</v>
      </c>
      <c r="Q21" s="665"/>
      <c r="R21" s="334"/>
      <c r="S21" s="305"/>
      <c r="T21" s="305"/>
      <c r="U21" s="305"/>
      <c r="W21" s="367">
        <f t="shared" si="7"/>
        <v>0</v>
      </c>
      <c r="X21" s="363">
        <f t="shared" si="7"/>
        <v>0</v>
      </c>
      <c r="Y21" s="280">
        <f t="shared" si="8"/>
        <v>0</v>
      </c>
      <c r="Z21" s="367">
        <f t="shared" si="9"/>
        <v>33306.68</v>
      </c>
      <c r="AA21" s="363">
        <f t="shared" si="9"/>
        <v>0</v>
      </c>
      <c r="AB21" s="280">
        <f t="shared" si="10"/>
        <v>33306.68</v>
      </c>
      <c r="AC21" s="367">
        <f t="shared" si="11"/>
        <v>38500</v>
      </c>
      <c r="AD21" s="363">
        <f t="shared" si="11"/>
        <v>0</v>
      </c>
      <c r="AE21" s="280">
        <f t="shared" si="12"/>
        <v>38500</v>
      </c>
      <c r="AF21" s="367">
        <f t="shared" si="13"/>
        <v>9060</v>
      </c>
      <c r="AG21" s="363">
        <f t="shared" si="13"/>
        <v>0</v>
      </c>
      <c r="AH21" s="280">
        <f t="shared" si="14"/>
        <v>9060</v>
      </c>
      <c r="AI21" s="210"/>
      <c r="AJ21" s="367">
        <f t="shared" si="15"/>
        <v>33306.68</v>
      </c>
      <c r="AK21" s="363">
        <f t="shared" si="15"/>
        <v>0</v>
      </c>
      <c r="AL21" s="280">
        <f t="shared" si="16"/>
        <v>33306.68</v>
      </c>
      <c r="AM21" s="367">
        <f t="shared" si="17"/>
        <v>71806.679999999993</v>
      </c>
      <c r="AN21" s="363">
        <f t="shared" si="17"/>
        <v>0</v>
      </c>
      <c r="AO21" s="280">
        <f t="shared" si="18"/>
        <v>71806.679999999993</v>
      </c>
      <c r="AP21" s="263">
        <f t="shared" si="22"/>
        <v>80866.679999999993</v>
      </c>
      <c r="AQ21" s="10">
        <f t="shared" si="19"/>
        <v>0</v>
      </c>
      <c r="AR21" s="650">
        <f t="shared" si="20"/>
        <v>80866.679999999993</v>
      </c>
      <c r="AS21" s="607">
        <f t="shared" si="21"/>
        <v>0</v>
      </c>
      <c r="AT21" s="263">
        <f t="shared" ref="AT21:BQ21" si="25">SUM(AT22:AT25)</f>
        <v>0</v>
      </c>
      <c r="AU21" s="363">
        <f t="shared" si="25"/>
        <v>0</v>
      </c>
      <c r="AV21" s="10">
        <f t="shared" si="25"/>
        <v>0</v>
      </c>
      <c r="AW21" s="363">
        <f t="shared" si="25"/>
        <v>0</v>
      </c>
      <c r="AX21" s="10">
        <f t="shared" si="25"/>
        <v>0</v>
      </c>
      <c r="AY21" s="369">
        <f t="shared" si="25"/>
        <v>0</v>
      </c>
      <c r="AZ21" s="263">
        <f t="shared" si="25"/>
        <v>3020</v>
      </c>
      <c r="BA21" s="363">
        <f t="shared" si="25"/>
        <v>0</v>
      </c>
      <c r="BB21" s="10">
        <f t="shared" si="25"/>
        <v>0</v>
      </c>
      <c r="BC21" s="363">
        <f t="shared" si="25"/>
        <v>0</v>
      </c>
      <c r="BD21" s="10">
        <f t="shared" si="25"/>
        <v>30286.68</v>
      </c>
      <c r="BE21" s="369">
        <f t="shared" si="25"/>
        <v>0</v>
      </c>
      <c r="BF21" s="263">
        <f t="shared" si="25"/>
        <v>0</v>
      </c>
      <c r="BG21" s="363">
        <f t="shared" si="25"/>
        <v>0</v>
      </c>
      <c r="BH21" s="10">
        <f t="shared" si="25"/>
        <v>36990</v>
      </c>
      <c r="BI21" s="363">
        <f t="shared" si="25"/>
        <v>0</v>
      </c>
      <c r="BJ21" s="10">
        <f t="shared" si="25"/>
        <v>1510</v>
      </c>
      <c r="BK21" s="369">
        <f t="shared" si="25"/>
        <v>0</v>
      </c>
      <c r="BL21" s="263">
        <f t="shared" si="25"/>
        <v>0</v>
      </c>
      <c r="BM21" s="363">
        <f t="shared" si="25"/>
        <v>0</v>
      </c>
      <c r="BN21" s="10">
        <f t="shared" si="25"/>
        <v>3020</v>
      </c>
      <c r="BO21" s="363">
        <f t="shared" si="25"/>
        <v>0</v>
      </c>
      <c r="BP21" s="10">
        <f t="shared" si="25"/>
        <v>6040</v>
      </c>
      <c r="BQ21" s="280">
        <f t="shared" si="25"/>
        <v>0</v>
      </c>
    </row>
    <row r="22" spans="1:71" s="313" customFormat="1" ht="51" hidden="1" outlineLevel="1">
      <c r="C22" s="313" t="s">
        <v>201</v>
      </c>
      <c r="D22" s="719" t="s">
        <v>7</v>
      </c>
      <c r="E22" s="720">
        <v>4</v>
      </c>
      <c r="F22" s="719" t="s">
        <v>71</v>
      </c>
      <c r="G22" s="719">
        <v>119</v>
      </c>
      <c r="H22" s="721">
        <v>213</v>
      </c>
      <c r="I22" s="722" t="s">
        <v>405</v>
      </c>
      <c r="J22" s="723">
        <v>3020</v>
      </c>
      <c r="K22" s="723"/>
      <c r="L22" s="723"/>
      <c r="M22" s="667"/>
      <c r="N22" s="724">
        <f>3020*3</f>
        <v>9060</v>
      </c>
      <c r="O22" s="667"/>
      <c r="P22" s="724">
        <v>3020</v>
      </c>
      <c r="Q22" s="669"/>
      <c r="R22" s="335"/>
      <c r="S22" s="320"/>
      <c r="T22" s="320"/>
      <c r="U22" s="320"/>
      <c r="W22" s="336">
        <f t="shared" si="7"/>
        <v>0</v>
      </c>
      <c r="X22" s="337">
        <f t="shared" si="7"/>
        <v>0</v>
      </c>
      <c r="Y22" s="338">
        <f t="shared" si="8"/>
        <v>0</v>
      </c>
      <c r="Z22" s="336">
        <f t="shared" si="9"/>
        <v>3020</v>
      </c>
      <c r="AA22" s="337">
        <f t="shared" si="9"/>
        <v>0</v>
      </c>
      <c r="AB22" s="338">
        <f t="shared" si="10"/>
        <v>3020</v>
      </c>
      <c r="AC22" s="336">
        <f t="shared" si="11"/>
        <v>0</v>
      </c>
      <c r="AD22" s="337">
        <f t="shared" si="11"/>
        <v>0</v>
      </c>
      <c r="AE22" s="338">
        <f t="shared" si="12"/>
        <v>0</v>
      </c>
      <c r="AF22" s="336">
        <f t="shared" si="13"/>
        <v>0</v>
      </c>
      <c r="AG22" s="337">
        <f t="shared" si="13"/>
        <v>0</v>
      </c>
      <c r="AH22" s="338">
        <f t="shared" si="14"/>
        <v>0</v>
      </c>
      <c r="AI22" s="342"/>
      <c r="AJ22" s="336">
        <f t="shared" si="15"/>
        <v>3020</v>
      </c>
      <c r="AK22" s="339">
        <f t="shared" si="15"/>
        <v>0</v>
      </c>
      <c r="AL22" s="340">
        <f t="shared" si="16"/>
        <v>3020</v>
      </c>
      <c r="AM22" s="336">
        <f t="shared" si="17"/>
        <v>3020</v>
      </c>
      <c r="AN22" s="339">
        <f t="shared" si="17"/>
        <v>0</v>
      </c>
      <c r="AO22" s="340">
        <f t="shared" si="18"/>
        <v>3020</v>
      </c>
      <c r="AP22" s="341">
        <f t="shared" si="22"/>
        <v>3020</v>
      </c>
      <c r="AQ22" s="319">
        <f t="shared" si="19"/>
        <v>0</v>
      </c>
      <c r="AR22" s="651">
        <f t="shared" si="20"/>
        <v>3020</v>
      </c>
      <c r="AS22" s="589">
        <f t="shared" si="21"/>
        <v>0</v>
      </c>
      <c r="AT22" s="336"/>
      <c r="AU22" s="344"/>
      <c r="AV22" s="319"/>
      <c r="AW22" s="344"/>
      <c r="AX22" s="319"/>
      <c r="AY22" s="346"/>
      <c r="AZ22" s="336">
        <v>3020</v>
      </c>
      <c r="BA22" s="348"/>
      <c r="BB22" s="319"/>
      <c r="BC22" s="348"/>
      <c r="BD22" s="319"/>
      <c r="BE22" s="350"/>
      <c r="BF22" s="336"/>
      <c r="BG22" s="352"/>
      <c r="BH22" s="319"/>
      <c r="BI22" s="352"/>
      <c r="BJ22" s="319"/>
      <c r="BK22" s="353"/>
      <c r="BL22" s="336"/>
      <c r="BM22" s="355"/>
      <c r="BN22" s="319"/>
      <c r="BO22" s="355"/>
      <c r="BP22" s="319"/>
      <c r="BQ22" s="357"/>
    </row>
    <row r="23" spans="1:71" s="313" customFormat="1" ht="38.25" hidden="1" outlineLevel="1">
      <c r="C23" s="313" t="s">
        <v>201</v>
      </c>
      <c r="D23" s="719" t="s">
        <v>7</v>
      </c>
      <c r="E23" s="720">
        <v>4</v>
      </c>
      <c r="F23" s="719" t="s">
        <v>71</v>
      </c>
      <c r="G23" s="719">
        <v>119</v>
      </c>
      <c r="H23" s="721">
        <v>213</v>
      </c>
      <c r="I23" s="722" t="s">
        <v>406</v>
      </c>
      <c r="J23" s="723">
        <f>6040*2</f>
        <v>12080</v>
      </c>
      <c r="K23" s="723"/>
      <c r="L23" s="723"/>
      <c r="M23" s="667"/>
      <c r="N23" s="723">
        <f>6040*2</f>
        <v>12080</v>
      </c>
      <c r="O23" s="667"/>
      <c r="P23" s="723">
        <f>6040*2</f>
        <v>12080</v>
      </c>
      <c r="Q23" s="669"/>
      <c r="R23" s="335"/>
      <c r="S23" s="320"/>
      <c r="T23" s="320"/>
      <c r="U23" s="320"/>
      <c r="W23" s="336">
        <f t="shared" si="7"/>
        <v>0</v>
      </c>
      <c r="X23" s="337">
        <f t="shared" si="7"/>
        <v>0</v>
      </c>
      <c r="Y23" s="338">
        <f t="shared" si="8"/>
        <v>0</v>
      </c>
      <c r="Z23" s="336">
        <f t="shared" si="9"/>
        <v>6040</v>
      </c>
      <c r="AA23" s="337">
        <f t="shared" si="9"/>
        <v>0</v>
      </c>
      <c r="AB23" s="338">
        <f t="shared" si="10"/>
        <v>6040</v>
      </c>
      <c r="AC23" s="336">
        <f t="shared" si="11"/>
        <v>0</v>
      </c>
      <c r="AD23" s="337">
        <f t="shared" si="11"/>
        <v>0</v>
      </c>
      <c r="AE23" s="338">
        <f t="shared" si="12"/>
        <v>0</v>
      </c>
      <c r="AF23" s="336">
        <f t="shared" si="13"/>
        <v>6040</v>
      </c>
      <c r="AG23" s="337">
        <f t="shared" si="13"/>
        <v>0</v>
      </c>
      <c r="AH23" s="338">
        <f t="shared" si="14"/>
        <v>6040</v>
      </c>
      <c r="AI23" s="342"/>
      <c r="AJ23" s="336">
        <f t="shared" si="15"/>
        <v>6040</v>
      </c>
      <c r="AK23" s="339">
        <f t="shared" si="15"/>
        <v>0</v>
      </c>
      <c r="AL23" s="340">
        <f t="shared" si="16"/>
        <v>6040</v>
      </c>
      <c r="AM23" s="336">
        <f t="shared" si="17"/>
        <v>6040</v>
      </c>
      <c r="AN23" s="339">
        <f t="shared" si="17"/>
        <v>0</v>
      </c>
      <c r="AO23" s="340">
        <f t="shared" si="18"/>
        <v>6040</v>
      </c>
      <c r="AP23" s="341">
        <f t="shared" si="22"/>
        <v>12080</v>
      </c>
      <c r="AQ23" s="319">
        <f t="shared" si="19"/>
        <v>0</v>
      </c>
      <c r="AR23" s="651">
        <f t="shared" si="20"/>
        <v>12080</v>
      </c>
      <c r="AS23" s="589">
        <f t="shared" si="21"/>
        <v>0</v>
      </c>
      <c r="AT23" s="336"/>
      <c r="AU23" s="344"/>
      <c r="AV23" s="319"/>
      <c r="AW23" s="344"/>
      <c r="AX23" s="319"/>
      <c r="AY23" s="346"/>
      <c r="AZ23" s="336"/>
      <c r="BA23" s="348"/>
      <c r="BB23" s="319"/>
      <c r="BC23" s="348"/>
      <c r="BD23" s="319">
        <v>6040</v>
      </c>
      <c r="BE23" s="350"/>
      <c r="BF23" s="336"/>
      <c r="BG23" s="352"/>
      <c r="BH23" s="319"/>
      <c r="BI23" s="352"/>
      <c r="BJ23" s="319"/>
      <c r="BK23" s="353"/>
      <c r="BL23" s="336"/>
      <c r="BM23" s="355"/>
      <c r="BN23" s="319"/>
      <c r="BO23" s="355"/>
      <c r="BP23" s="319">
        <v>6040</v>
      </c>
      <c r="BQ23" s="357"/>
    </row>
    <row r="24" spans="1:71" s="313" customFormat="1" ht="38.25" hidden="1" outlineLevel="1">
      <c r="C24" s="313" t="s">
        <v>201</v>
      </c>
      <c r="D24" s="719" t="s">
        <v>7</v>
      </c>
      <c r="E24" s="720">
        <v>4</v>
      </c>
      <c r="F24" s="719" t="s">
        <v>71</v>
      </c>
      <c r="G24" s="719">
        <v>119</v>
      </c>
      <c r="H24" s="721">
        <v>213</v>
      </c>
      <c r="I24" s="722" t="s">
        <v>407</v>
      </c>
      <c r="J24" s="723">
        <f>1510*3</f>
        <v>4530</v>
      </c>
      <c r="K24" s="723"/>
      <c r="L24" s="723"/>
      <c r="M24" s="667"/>
      <c r="N24" s="723">
        <f>1510*3</f>
        <v>4530</v>
      </c>
      <c r="O24" s="667"/>
      <c r="P24" s="723">
        <f>1510*3</f>
        <v>4530</v>
      </c>
      <c r="Q24" s="669"/>
      <c r="R24" s="335"/>
      <c r="S24" s="320"/>
      <c r="T24" s="320"/>
      <c r="U24" s="320"/>
      <c r="W24" s="336">
        <f t="shared" si="7"/>
        <v>0</v>
      </c>
      <c r="X24" s="337">
        <f t="shared" si="7"/>
        <v>0</v>
      </c>
      <c r="Y24" s="338">
        <f t="shared" si="8"/>
        <v>0</v>
      </c>
      <c r="Z24" s="336">
        <f t="shared" si="9"/>
        <v>0</v>
      </c>
      <c r="AA24" s="337">
        <f t="shared" si="9"/>
        <v>0</v>
      </c>
      <c r="AB24" s="338">
        <f t="shared" si="10"/>
        <v>0</v>
      </c>
      <c r="AC24" s="336">
        <f t="shared" si="11"/>
        <v>1510</v>
      </c>
      <c r="AD24" s="337">
        <f t="shared" si="11"/>
        <v>0</v>
      </c>
      <c r="AE24" s="338">
        <f t="shared" si="12"/>
        <v>1510</v>
      </c>
      <c r="AF24" s="336">
        <f t="shared" si="13"/>
        <v>3020</v>
      </c>
      <c r="AG24" s="337">
        <f t="shared" si="13"/>
        <v>0</v>
      </c>
      <c r="AH24" s="338">
        <f t="shared" si="14"/>
        <v>3020</v>
      </c>
      <c r="AI24" s="342"/>
      <c r="AJ24" s="336">
        <f t="shared" si="15"/>
        <v>0</v>
      </c>
      <c r="AK24" s="339">
        <f t="shared" si="15"/>
        <v>0</v>
      </c>
      <c r="AL24" s="340">
        <f t="shared" si="16"/>
        <v>0</v>
      </c>
      <c r="AM24" s="336">
        <f t="shared" si="17"/>
        <v>1510</v>
      </c>
      <c r="AN24" s="339">
        <f t="shared" si="17"/>
        <v>0</v>
      </c>
      <c r="AO24" s="340">
        <f t="shared" si="18"/>
        <v>1510</v>
      </c>
      <c r="AP24" s="341">
        <f t="shared" si="22"/>
        <v>4530</v>
      </c>
      <c r="AQ24" s="319">
        <f t="shared" si="19"/>
        <v>0</v>
      </c>
      <c r="AR24" s="651">
        <f t="shared" si="20"/>
        <v>4530</v>
      </c>
      <c r="AS24" s="589">
        <f t="shared" si="21"/>
        <v>0</v>
      </c>
      <c r="AT24" s="336"/>
      <c r="AU24" s="344"/>
      <c r="AV24" s="319"/>
      <c r="AW24" s="344"/>
      <c r="AX24" s="319"/>
      <c r="AY24" s="346"/>
      <c r="AZ24" s="336"/>
      <c r="BA24" s="348"/>
      <c r="BB24" s="319"/>
      <c r="BC24" s="348"/>
      <c r="BD24" s="319"/>
      <c r="BE24" s="350"/>
      <c r="BF24" s="336"/>
      <c r="BG24" s="352"/>
      <c r="BH24" s="319"/>
      <c r="BI24" s="352"/>
      <c r="BJ24" s="319">
        <v>1510</v>
      </c>
      <c r="BK24" s="353"/>
      <c r="BL24" s="336"/>
      <c r="BM24" s="355"/>
      <c r="BN24" s="319">
        <v>3020</v>
      </c>
      <c r="BO24" s="355"/>
      <c r="BP24" s="319"/>
      <c r="BQ24" s="357"/>
    </row>
    <row r="25" spans="1:71" s="313" customFormat="1" ht="63.75" hidden="1" outlineLevel="1">
      <c r="C25" s="313" t="s">
        <v>201</v>
      </c>
      <c r="D25" s="719" t="s">
        <v>7</v>
      </c>
      <c r="E25" s="720">
        <v>4</v>
      </c>
      <c r="F25" s="719" t="s">
        <v>71</v>
      </c>
      <c r="G25" s="719">
        <v>119</v>
      </c>
      <c r="H25" s="721">
        <v>213</v>
      </c>
      <c r="I25" s="722" t="s">
        <v>408</v>
      </c>
      <c r="J25" s="723">
        <v>61236.68</v>
      </c>
      <c r="K25" s="723"/>
      <c r="L25" s="723"/>
      <c r="M25" s="667"/>
      <c r="N25" s="724">
        <v>52698.400000000001</v>
      </c>
      <c r="O25" s="667"/>
      <c r="P25" s="724">
        <v>44248.12</v>
      </c>
      <c r="Q25" s="669"/>
      <c r="R25" s="335"/>
      <c r="S25" s="320"/>
      <c r="T25" s="320"/>
      <c r="U25" s="320"/>
      <c r="W25" s="336">
        <f t="shared" si="7"/>
        <v>0</v>
      </c>
      <c r="X25" s="337">
        <f t="shared" si="7"/>
        <v>0</v>
      </c>
      <c r="Y25" s="338">
        <f t="shared" si="8"/>
        <v>0</v>
      </c>
      <c r="Z25" s="336">
        <f t="shared" si="9"/>
        <v>24246.68</v>
      </c>
      <c r="AA25" s="337">
        <f t="shared" si="9"/>
        <v>0</v>
      </c>
      <c r="AB25" s="338">
        <f t="shared" si="10"/>
        <v>24246.68</v>
      </c>
      <c r="AC25" s="336">
        <f t="shared" si="11"/>
        <v>36990</v>
      </c>
      <c r="AD25" s="337">
        <f t="shared" si="11"/>
        <v>0</v>
      </c>
      <c r="AE25" s="338">
        <f t="shared" si="12"/>
        <v>36990</v>
      </c>
      <c r="AF25" s="336">
        <f t="shared" si="13"/>
        <v>0</v>
      </c>
      <c r="AG25" s="337">
        <f t="shared" si="13"/>
        <v>0</v>
      </c>
      <c r="AH25" s="338">
        <f t="shared" si="14"/>
        <v>0</v>
      </c>
      <c r="AI25" s="342"/>
      <c r="AJ25" s="336">
        <f t="shared" si="15"/>
        <v>24246.68</v>
      </c>
      <c r="AK25" s="339">
        <f t="shared" si="15"/>
        <v>0</v>
      </c>
      <c r="AL25" s="340">
        <f t="shared" si="16"/>
        <v>24246.68</v>
      </c>
      <c r="AM25" s="336">
        <f t="shared" si="17"/>
        <v>61236.68</v>
      </c>
      <c r="AN25" s="339">
        <f t="shared" si="17"/>
        <v>0</v>
      </c>
      <c r="AO25" s="340">
        <f t="shared" si="18"/>
        <v>61236.68</v>
      </c>
      <c r="AP25" s="341">
        <f t="shared" si="22"/>
        <v>61236.68</v>
      </c>
      <c r="AQ25" s="319">
        <f t="shared" si="19"/>
        <v>0</v>
      </c>
      <c r="AR25" s="651">
        <f t="shared" si="20"/>
        <v>61236.68</v>
      </c>
      <c r="AS25" s="589">
        <f t="shared" si="21"/>
        <v>0</v>
      </c>
      <c r="AT25" s="336"/>
      <c r="AU25" s="344"/>
      <c r="AV25" s="319"/>
      <c r="AW25" s="344"/>
      <c r="AX25" s="319"/>
      <c r="AY25" s="346"/>
      <c r="AZ25" s="336"/>
      <c r="BA25" s="348"/>
      <c r="BB25" s="319"/>
      <c r="BC25" s="348"/>
      <c r="BD25" s="319">
        <v>24246.68</v>
      </c>
      <c r="BE25" s="350"/>
      <c r="BF25" s="336"/>
      <c r="BG25" s="352"/>
      <c r="BH25" s="319">
        <v>36990</v>
      </c>
      <c r="BI25" s="352"/>
      <c r="BJ25" s="319"/>
      <c r="BK25" s="353"/>
      <c r="BL25" s="336"/>
      <c r="BM25" s="355"/>
      <c r="BN25" s="319"/>
      <c r="BO25" s="355"/>
      <c r="BP25" s="319"/>
      <c r="BQ25" s="357"/>
    </row>
    <row r="26" spans="1:71" s="86" customFormat="1" ht="31.5">
      <c r="A26" s="378"/>
      <c r="B26" s="379" t="s">
        <v>227</v>
      </c>
      <c r="C26" s="86" t="s">
        <v>201</v>
      </c>
      <c r="D26" s="646" t="s">
        <v>7</v>
      </c>
      <c r="E26" s="646">
        <v>4</v>
      </c>
      <c r="F26" s="646" t="s">
        <v>409</v>
      </c>
      <c r="G26" s="646">
        <v>111</v>
      </c>
      <c r="H26" s="716">
        <v>211</v>
      </c>
      <c r="I26" s="717" t="s">
        <v>410</v>
      </c>
      <c r="J26" s="13">
        <v>0</v>
      </c>
      <c r="K26" s="13"/>
      <c r="L26" s="13"/>
      <c r="M26" s="662"/>
      <c r="N26" s="13"/>
      <c r="O26" s="662"/>
      <c r="P26" s="13"/>
      <c r="Q26" s="666"/>
      <c r="R26" s="334"/>
      <c r="S26" s="305"/>
      <c r="T26" s="305"/>
      <c r="U26" s="305"/>
      <c r="W26" s="382">
        <f t="shared" si="7"/>
        <v>0</v>
      </c>
      <c r="X26" s="247">
        <f t="shared" si="7"/>
        <v>0</v>
      </c>
      <c r="Y26" s="383">
        <f t="shared" si="8"/>
        <v>0</v>
      </c>
      <c r="Z26" s="382">
        <f t="shared" si="9"/>
        <v>0</v>
      </c>
      <c r="AA26" s="247">
        <f t="shared" si="9"/>
        <v>0</v>
      </c>
      <c r="AB26" s="383">
        <f t="shared" si="10"/>
        <v>0</v>
      </c>
      <c r="AC26" s="382">
        <f t="shared" si="11"/>
        <v>0</v>
      </c>
      <c r="AD26" s="247">
        <f t="shared" si="11"/>
        <v>0</v>
      </c>
      <c r="AE26" s="383">
        <f t="shared" si="12"/>
        <v>0</v>
      </c>
      <c r="AF26" s="382">
        <f t="shared" si="13"/>
        <v>0</v>
      </c>
      <c r="AG26" s="247">
        <f t="shared" si="13"/>
        <v>0</v>
      </c>
      <c r="AH26" s="383">
        <f t="shared" si="14"/>
        <v>0</v>
      </c>
      <c r="AI26" s="210"/>
      <c r="AJ26" s="382">
        <f t="shared" si="15"/>
        <v>0</v>
      </c>
      <c r="AK26" s="247">
        <f t="shared" si="15"/>
        <v>0</v>
      </c>
      <c r="AL26" s="383">
        <f t="shared" si="16"/>
        <v>0</v>
      </c>
      <c r="AM26" s="382">
        <f t="shared" si="17"/>
        <v>0</v>
      </c>
      <c r="AN26" s="247">
        <f t="shared" si="17"/>
        <v>0</v>
      </c>
      <c r="AO26" s="383">
        <f t="shared" si="18"/>
        <v>0</v>
      </c>
      <c r="AP26" s="263">
        <f t="shared" si="22"/>
        <v>0</v>
      </c>
      <c r="AQ26" s="10">
        <f t="shared" si="19"/>
        <v>0</v>
      </c>
      <c r="AR26" s="650">
        <f t="shared" si="20"/>
        <v>0</v>
      </c>
      <c r="AS26" s="607">
        <f t="shared" si="21"/>
        <v>0</v>
      </c>
      <c r="AT26" s="263"/>
      <c r="AU26" s="247"/>
      <c r="AV26" s="10"/>
      <c r="AW26" s="247"/>
      <c r="AX26" s="10"/>
      <c r="AY26" s="384"/>
      <c r="AZ26" s="263"/>
      <c r="BA26" s="247"/>
      <c r="BB26" s="10"/>
      <c r="BC26" s="247"/>
      <c r="BD26" s="10"/>
      <c r="BE26" s="384"/>
      <c r="BF26" s="263"/>
      <c r="BG26" s="247"/>
      <c r="BH26" s="10"/>
      <c r="BI26" s="247"/>
      <c r="BJ26" s="10"/>
      <c r="BK26" s="384"/>
      <c r="BL26" s="263"/>
      <c r="BM26" s="247"/>
      <c r="BN26" s="10"/>
      <c r="BO26" s="247"/>
      <c r="BP26" s="10"/>
      <c r="BQ26" s="383"/>
      <c r="BS26" s="86" t="s">
        <v>197</v>
      </c>
    </row>
    <row r="27" spans="1:71" s="86" customFormat="1" ht="31.5">
      <c r="A27" s="358"/>
      <c r="B27" s="359" t="s">
        <v>227</v>
      </c>
      <c r="C27" s="86" t="s">
        <v>201</v>
      </c>
      <c r="D27" s="646" t="s">
        <v>7</v>
      </c>
      <c r="E27" s="646">
        <v>4</v>
      </c>
      <c r="F27" s="646" t="s">
        <v>409</v>
      </c>
      <c r="G27" s="646">
        <v>119</v>
      </c>
      <c r="H27" s="716">
        <v>213</v>
      </c>
      <c r="I27" s="717" t="s">
        <v>411</v>
      </c>
      <c r="J27" s="13">
        <v>0</v>
      </c>
      <c r="K27" s="13"/>
      <c r="L27" s="13"/>
      <c r="M27" s="661"/>
      <c r="N27" s="13"/>
      <c r="O27" s="661"/>
      <c r="P27" s="13"/>
      <c r="Q27" s="665"/>
      <c r="R27" s="334"/>
      <c r="S27" s="305"/>
      <c r="T27" s="305"/>
      <c r="U27" s="305"/>
      <c r="W27" s="367">
        <f t="shared" si="7"/>
        <v>0</v>
      </c>
      <c r="X27" s="363">
        <f t="shared" si="7"/>
        <v>0</v>
      </c>
      <c r="Y27" s="280">
        <f t="shared" si="8"/>
        <v>0</v>
      </c>
      <c r="Z27" s="367">
        <f t="shared" si="9"/>
        <v>0</v>
      </c>
      <c r="AA27" s="363">
        <f t="shared" si="9"/>
        <v>0</v>
      </c>
      <c r="AB27" s="280">
        <f t="shared" si="10"/>
        <v>0</v>
      </c>
      <c r="AC27" s="367">
        <f t="shared" si="11"/>
        <v>0</v>
      </c>
      <c r="AD27" s="363">
        <f t="shared" si="11"/>
        <v>0</v>
      </c>
      <c r="AE27" s="280">
        <f t="shared" si="12"/>
        <v>0</v>
      </c>
      <c r="AF27" s="367">
        <f t="shared" si="13"/>
        <v>0</v>
      </c>
      <c r="AG27" s="363">
        <f t="shared" si="13"/>
        <v>0</v>
      </c>
      <c r="AH27" s="280">
        <f t="shared" si="14"/>
        <v>0</v>
      </c>
      <c r="AI27" s="210"/>
      <c r="AJ27" s="367">
        <f t="shared" si="15"/>
        <v>0</v>
      </c>
      <c r="AK27" s="363">
        <f t="shared" si="15"/>
        <v>0</v>
      </c>
      <c r="AL27" s="280">
        <f t="shared" si="16"/>
        <v>0</v>
      </c>
      <c r="AM27" s="367">
        <f t="shared" si="17"/>
        <v>0</v>
      </c>
      <c r="AN27" s="363">
        <f t="shared" si="17"/>
        <v>0</v>
      </c>
      <c r="AO27" s="280">
        <f t="shared" si="18"/>
        <v>0</v>
      </c>
      <c r="AP27" s="263">
        <f t="shared" si="22"/>
        <v>0</v>
      </c>
      <c r="AQ27" s="10">
        <f t="shared" si="19"/>
        <v>0</v>
      </c>
      <c r="AR27" s="650">
        <f t="shared" si="20"/>
        <v>0</v>
      </c>
      <c r="AS27" s="607">
        <f t="shared" si="21"/>
        <v>0</v>
      </c>
      <c r="AT27" s="263"/>
      <c r="AU27" s="363"/>
      <c r="AV27" s="10"/>
      <c r="AW27" s="363"/>
      <c r="AX27" s="10"/>
      <c r="AY27" s="369"/>
      <c r="AZ27" s="263"/>
      <c r="BA27" s="363"/>
      <c r="BB27" s="10"/>
      <c r="BC27" s="363"/>
      <c r="BD27" s="10"/>
      <c r="BE27" s="369"/>
      <c r="BF27" s="263"/>
      <c r="BG27" s="363"/>
      <c r="BH27" s="10"/>
      <c r="BI27" s="363"/>
      <c r="BJ27" s="10"/>
      <c r="BK27" s="369"/>
      <c r="BL27" s="263"/>
      <c r="BM27" s="363"/>
      <c r="BN27" s="10"/>
      <c r="BO27" s="363"/>
      <c r="BP27" s="10"/>
      <c r="BQ27" s="280"/>
      <c r="BS27" s="86" t="s">
        <v>197</v>
      </c>
    </row>
    <row r="28" spans="1:71" s="86" customFormat="1" ht="31.5">
      <c r="A28" s="358"/>
      <c r="B28" s="359"/>
      <c r="C28" s="86" t="s">
        <v>201</v>
      </c>
      <c r="D28" s="646" t="s">
        <v>7</v>
      </c>
      <c r="E28" s="646">
        <v>4</v>
      </c>
      <c r="F28" s="646" t="s">
        <v>71</v>
      </c>
      <c r="G28" s="646">
        <v>112</v>
      </c>
      <c r="H28" s="716">
        <v>214</v>
      </c>
      <c r="I28" s="717" t="s">
        <v>35</v>
      </c>
      <c r="J28" s="13">
        <v>1000000</v>
      </c>
      <c r="K28" s="13"/>
      <c r="L28" s="13"/>
      <c r="M28" s="661"/>
      <c r="N28" s="13">
        <v>900000</v>
      </c>
      <c r="O28" s="661"/>
      <c r="P28" s="13">
        <v>1000000</v>
      </c>
      <c r="Q28" s="665"/>
      <c r="R28" s="334"/>
      <c r="S28" s="305"/>
      <c r="T28" s="305"/>
      <c r="U28" s="305"/>
      <c r="W28" s="367">
        <f t="shared" si="7"/>
        <v>0</v>
      </c>
      <c r="X28" s="363">
        <f t="shared" si="7"/>
        <v>0</v>
      </c>
      <c r="Y28" s="280">
        <f t="shared" si="8"/>
        <v>0</v>
      </c>
      <c r="Z28" s="367">
        <f t="shared" si="9"/>
        <v>800000</v>
      </c>
      <c r="AA28" s="363">
        <f t="shared" si="9"/>
        <v>0</v>
      </c>
      <c r="AB28" s="280">
        <f t="shared" si="10"/>
        <v>800000</v>
      </c>
      <c r="AC28" s="367">
        <f t="shared" si="11"/>
        <v>200000</v>
      </c>
      <c r="AD28" s="363">
        <f t="shared" si="11"/>
        <v>0</v>
      </c>
      <c r="AE28" s="280">
        <f t="shared" si="12"/>
        <v>200000</v>
      </c>
      <c r="AF28" s="367">
        <f t="shared" si="13"/>
        <v>0</v>
      </c>
      <c r="AG28" s="363">
        <f t="shared" si="13"/>
        <v>0</v>
      </c>
      <c r="AH28" s="280">
        <f t="shared" si="14"/>
        <v>0</v>
      </c>
      <c r="AI28" s="210"/>
      <c r="AJ28" s="367">
        <f t="shared" si="15"/>
        <v>800000</v>
      </c>
      <c r="AK28" s="363">
        <f t="shared" si="15"/>
        <v>0</v>
      </c>
      <c r="AL28" s="280">
        <f t="shared" si="16"/>
        <v>800000</v>
      </c>
      <c r="AM28" s="367">
        <f t="shared" si="17"/>
        <v>1000000</v>
      </c>
      <c r="AN28" s="363">
        <f t="shared" si="17"/>
        <v>0</v>
      </c>
      <c r="AO28" s="280">
        <f t="shared" si="18"/>
        <v>1000000</v>
      </c>
      <c r="AP28" s="263">
        <f t="shared" si="22"/>
        <v>1000000</v>
      </c>
      <c r="AQ28" s="10">
        <f t="shared" si="19"/>
        <v>0</v>
      </c>
      <c r="AR28" s="650">
        <f t="shared" si="20"/>
        <v>1000000</v>
      </c>
      <c r="AS28" s="607">
        <f t="shared" si="21"/>
        <v>0</v>
      </c>
      <c r="AT28" s="263"/>
      <c r="AU28" s="363"/>
      <c r="AV28" s="10"/>
      <c r="AW28" s="363"/>
      <c r="AX28" s="10"/>
      <c r="AY28" s="369"/>
      <c r="AZ28" s="263"/>
      <c r="BA28" s="363"/>
      <c r="BB28" s="10"/>
      <c r="BC28" s="363"/>
      <c r="BD28" s="10">
        <v>800000</v>
      </c>
      <c r="BE28" s="369"/>
      <c r="BF28" s="263"/>
      <c r="BG28" s="363"/>
      <c r="BH28" s="10">
        <v>200000</v>
      </c>
      <c r="BI28" s="363"/>
      <c r="BJ28" s="10"/>
      <c r="BK28" s="369"/>
      <c r="BL28" s="263"/>
      <c r="BM28" s="363"/>
      <c r="BN28" s="10"/>
      <c r="BO28" s="363"/>
      <c r="BP28" s="10"/>
      <c r="BQ28" s="280"/>
    </row>
    <row r="29" spans="1:71" s="86" customFormat="1" ht="63">
      <c r="A29" s="358"/>
      <c r="B29" s="359"/>
      <c r="C29" s="86" t="s">
        <v>201</v>
      </c>
      <c r="D29" s="646" t="s">
        <v>7</v>
      </c>
      <c r="E29" s="646">
        <v>4</v>
      </c>
      <c r="F29" s="646" t="s">
        <v>71</v>
      </c>
      <c r="G29" s="646">
        <v>111</v>
      </c>
      <c r="H29" s="716">
        <v>266</v>
      </c>
      <c r="I29" s="717" t="s">
        <v>43</v>
      </c>
      <c r="J29" s="13"/>
      <c r="K29" s="13"/>
      <c r="L29" s="13"/>
      <c r="M29" s="661"/>
      <c r="N29" s="13"/>
      <c r="O29" s="661"/>
      <c r="P29" s="13"/>
      <c r="Q29" s="665"/>
      <c r="R29" s="334"/>
      <c r="S29" s="305"/>
      <c r="T29" s="305"/>
      <c r="U29" s="305"/>
      <c r="W29" s="367">
        <f t="shared" si="7"/>
        <v>0</v>
      </c>
      <c r="X29" s="363">
        <f t="shared" si="7"/>
        <v>0</v>
      </c>
      <c r="Y29" s="280">
        <f t="shared" si="8"/>
        <v>0</v>
      </c>
      <c r="Z29" s="367">
        <f t="shared" si="9"/>
        <v>0</v>
      </c>
      <c r="AA29" s="363">
        <f t="shared" si="9"/>
        <v>0</v>
      </c>
      <c r="AB29" s="280">
        <f t="shared" si="10"/>
        <v>0</v>
      </c>
      <c r="AC29" s="367">
        <f t="shared" si="11"/>
        <v>0</v>
      </c>
      <c r="AD29" s="363">
        <f t="shared" si="11"/>
        <v>0</v>
      </c>
      <c r="AE29" s="280">
        <f t="shared" si="12"/>
        <v>0</v>
      </c>
      <c r="AF29" s="367">
        <f t="shared" si="13"/>
        <v>0</v>
      </c>
      <c r="AG29" s="363">
        <f t="shared" si="13"/>
        <v>0</v>
      </c>
      <c r="AH29" s="280">
        <f t="shared" si="14"/>
        <v>0</v>
      </c>
      <c r="AI29" s="210"/>
      <c r="AJ29" s="367">
        <f t="shared" si="15"/>
        <v>0</v>
      </c>
      <c r="AK29" s="363">
        <f t="shared" si="15"/>
        <v>0</v>
      </c>
      <c r="AL29" s="280">
        <f t="shared" si="16"/>
        <v>0</v>
      </c>
      <c r="AM29" s="367">
        <f t="shared" si="17"/>
        <v>0</v>
      </c>
      <c r="AN29" s="363">
        <f t="shared" si="17"/>
        <v>0</v>
      </c>
      <c r="AO29" s="280">
        <f t="shared" si="18"/>
        <v>0</v>
      </c>
      <c r="AP29" s="263">
        <f t="shared" si="22"/>
        <v>0</v>
      </c>
      <c r="AQ29" s="10">
        <f t="shared" si="19"/>
        <v>0</v>
      </c>
      <c r="AR29" s="650">
        <f t="shared" si="20"/>
        <v>0</v>
      </c>
      <c r="AS29" s="607">
        <f t="shared" si="21"/>
        <v>0</v>
      </c>
      <c r="AT29" s="263"/>
      <c r="AU29" s="363"/>
      <c r="AV29" s="10"/>
      <c r="AW29" s="363"/>
      <c r="AX29" s="10"/>
      <c r="AY29" s="369"/>
      <c r="AZ29" s="263"/>
      <c r="BA29" s="363"/>
      <c r="BB29" s="10"/>
      <c r="BC29" s="363"/>
      <c r="BD29" s="10"/>
      <c r="BE29" s="369"/>
      <c r="BF29" s="263"/>
      <c r="BG29" s="363"/>
      <c r="BH29" s="10"/>
      <c r="BI29" s="363"/>
      <c r="BJ29" s="10"/>
      <c r="BK29" s="369"/>
      <c r="BL29" s="263"/>
      <c r="BM29" s="363"/>
      <c r="BN29" s="10"/>
      <c r="BO29" s="363"/>
      <c r="BP29" s="10"/>
      <c r="BQ29" s="280"/>
    </row>
    <row r="30" spans="1:71" s="86" customFormat="1" ht="47.25">
      <c r="A30" s="358"/>
      <c r="B30" s="359"/>
      <c r="C30" s="86" t="s">
        <v>201</v>
      </c>
      <c r="D30" s="646" t="s">
        <v>7</v>
      </c>
      <c r="E30" s="646">
        <v>4</v>
      </c>
      <c r="F30" s="646" t="s">
        <v>71</v>
      </c>
      <c r="G30" s="646">
        <v>112</v>
      </c>
      <c r="H30" s="716">
        <v>266</v>
      </c>
      <c r="I30" s="717" t="s">
        <v>220</v>
      </c>
      <c r="J30" s="13">
        <f>3060</f>
        <v>3060</v>
      </c>
      <c r="K30" s="13"/>
      <c r="L30" s="13"/>
      <c r="M30" s="661"/>
      <c r="N30" s="13">
        <v>1105</v>
      </c>
      <c r="O30" s="661"/>
      <c r="P30" s="13">
        <v>0</v>
      </c>
      <c r="Q30" s="665"/>
      <c r="R30" s="334"/>
      <c r="S30" s="305"/>
      <c r="T30" s="305"/>
      <c r="U30" s="305"/>
      <c r="W30" s="367">
        <f t="shared" si="7"/>
        <v>510</v>
      </c>
      <c r="X30" s="363">
        <f t="shared" si="7"/>
        <v>0</v>
      </c>
      <c r="Y30" s="280">
        <f t="shared" si="8"/>
        <v>510</v>
      </c>
      <c r="Z30" s="367">
        <f t="shared" si="9"/>
        <v>765</v>
      </c>
      <c r="AA30" s="363">
        <f t="shared" si="9"/>
        <v>0</v>
      </c>
      <c r="AB30" s="280">
        <f t="shared" si="10"/>
        <v>765</v>
      </c>
      <c r="AC30" s="367">
        <f t="shared" si="11"/>
        <v>765</v>
      </c>
      <c r="AD30" s="363">
        <f t="shared" si="11"/>
        <v>0</v>
      </c>
      <c r="AE30" s="280">
        <f t="shared" si="12"/>
        <v>765</v>
      </c>
      <c r="AF30" s="367">
        <f t="shared" si="13"/>
        <v>1020</v>
      </c>
      <c r="AG30" s="363">
        <f t="shared" si="13"/>
        <v>0</v>
      </c>
      <c r="AH30" s="280">
        <f t="shared" si="14"/>
        <v>1020</v>
      </c>
      <c r="AI30" s="210"/>
      <c r="AJ30" s="367">
        <f t="shared" si="15"/>
        <v>1275</v>
      </c>
      <c r="AK30" s="363">
        <f t="shared" si="15"/>
        <v>0</v>
      </c>
      <c r="AL30" s="280">
        <f t="shared" si="16"/>
        <v>1275</v>
      </c>
      <c r="AM30" s="367">
        <f t="shared" si="17"/>
        <v>2040</v>
      </c>
      <c r="AN30" s="363">
        <f t="shared" si="17"/>
        <v>0</v>
      </c>
      <c r="AO30" s="280">
        <f t="shared" si="18"/>
        <v>2040</v>
      </c>
      <c r="AP30" s="263">
        <f t="shared" si="22"/>
        <v>3060</v>
      </c>
      <c r="AQ30" s="10">
        <f t="shared" si="19"/>
        <v>0</v>
      </c>
      <c r="AR30" s="650">
        <f t="shared" si="20"/>
        <v>3060</v>
      </c>
      <c r="AS30" s="607">
        <f t="shared" si="21"/>
        <v>0</v>
      </c>
      <c r="AT30" s="263"/>
      <c r="AU30" s="363"/>
      <c r="AV30" s="10">
        <f>3*85</f>
        <v>255</v>
      </c>
      <c r="AW30" s="363"/>
      <c r="AX30" s="10">
        <f>3*85</f>
        <v>255</v>
      </c>
      <c r="AY30" s="369"/>
      <c r="AZ30" s="263">
        <f>3*85</f>
        <v>255</v>
      </c>
      <c r="BA30" s="363"/>
      <c r="BB30" s="10">
        <f>3*85</f>
        <v>255</v>
      </c>
      <c r="BC30" s="363"/>
      <c r="BD30" s="10">
        <f>3*85</f>
        <v>255</v>
      </c>
      <c r="BE30" s="369"/>
      <c r="BF30" s="263">
        <f>3*85</f>
        <v>255</v>
      </c>
      <c r="BG30" s="363"/>
      <c r="BH30" s="10">
        <f>3*85</f>
        <v>255</v>
      </c>
      <c r="BI30" s="363"/>
      <c r="BJ30" s="10">
        <f>3*85</f>
        <v>255</v>
      </c>
      <c r="BK30" s="369"/>
      <c r="BL30" s="263">
        <f>3*85</f>
        <v>255</v>
      </c>
      <c r="BM30" s="363"/>
      <c r="BN30" s="10">
        <f>3*85</f>
        <v>255</v>
      </c>
      <c r="BO30" s="363"/>
      <c r="BP30" s="10">
        <f>3*85*2</f>
        <v>510</v>
      </c>
      <c r="BQ30" s="280"/>
    </row>
    <row r="31" spans="1:71" s="86" customFormat="1" ht="31.5" customHeight="1" collapsed="1">
      <c r="A31" s="378" t="s">
        <v>377</v>
      </c>
      <c r="B31" s="359"/>
      <c r="C31" s="86" t="s">
        <v>201</v>
      </c>
      <c r="D31" s="646" t="s">
        <v>7</v>
      </c>
      <c r="E31" s="646">
        <v>4</v>
      </c>
      <c r="F31" s="646" t="s">
        <v>71</v>
      </c>
      <c r="G31" s="646">
        <v>244</v>
      </c>
      <c r="H31" s="716">
        <v>221</v>
      </c>
      <c r="I31" s="717" t="s">
        <v>11</v>
      </c>
      <c r="J31" s="13">
        <f>SUM(J32:J35)</f>
        <v>196510.7</v>
      </c>
      <c r="K31" s="13"/>
      <c r="L31" s="13"/>
      <c r="M31" s="661"/>
      <c r="N31" s="13">
        <f>SUM(N32:N35)</f>
        <v>196510.72</v>
      </c>
      <c r="O31" s="668"/>
      <c r="P31" s="13">
        <f t="shared" ref="P31" si="26">SUM(P32:P35)</f>
        <v>197767.89</v>
      </c>
      <c r="Q31" s="665"/>
      <c r="R31" s="334"/>
      <c r="S31" s="305"/>
      <c r="T31" s="305"/>
      <c r="U31" s="305"/>
      <c r="W31" s="367">
        <f t="shared" si="7"/>
        <v>36280</v>
      </c>
      <c r="X31" s="363">
        <f t="shared" si="7"/>
        <v>0</v>
      </c>
      <c r="Y31" s="280">
        <f t="shared" si="8"/>
        <v>36280</v>
      </c>
      <c r="Z31" s="367">
        <f t="shared" si="9"/>
        <v>52670</v>
      </c>
      <c r="AA31" s="363">
        <f t="shared" si="9"/>
        <v>0</v>
      </c>
      <c r="AB31" s="280">
        <f t="shared" si="10"/>
        <v>52670</v>
      </c>
      <c r="AC31" s="367">
        <f t="shared" si="11"/>
        <v>52400.7</v>
      </c>
      <c r="AD31" s="363">
        <f t="shared" si="11"/>
        <v>0</v>
      </c>
      <c r="AE31" s="280">
        <f t="shared" si="12"/>
        <v>52400.7</v>
      </c>
      <c r="AF31" s="367">
        <f t="shared" si="13"/>
        <v>55160</v>
      </c>
      <c r="AG31" s="363">
        <f t="shared" si="13"/>
        <v>0</v>
      </c>
      <c r="AH31" s="280">
        <f t="shared" si="14"/>
        <v>55160</v>
      </c>
      <c r="AI31" s="210"/>
      <c r="AJ31" s="367">
        <f t="shared" si="15"/>
        <v>88950</v>
      </c>
      <c r="AK31" s="363">
        <f t="shared" si="15"/>
        <v>0</v>
      </c>
      <c r="AL31" s="280">
        <f t="shared" si="16"/>
        <v>88950</v>
      </c>
      <c r="AM31" s="367">
        <f t="shared" si="17"/>
        <v>141350.70000000001</v>
      </c>
      <c r="AN31" s="363">
        <f t="shared" si="17"/>
        <v>0</v>
      </c>
      <c r="AO31" s="280">
        <f t="shared" si="18"/>
        <v>141350.70000000001</v>
      </c>
      <c r="AP31" s="263">
        <f t="shared" si="22"/>
        <v>196510.7</v>
      </c>
      <c r="AQ31" s="10">
        <f t="shared" si="19"/>
        <v>0</v>
      </c>
      <c r="AR31" s="650">
        <f t="shared" si="20"/>
        <v>196510.7</v>
      </c>
      <c r="AS31" s="607">
        <f t="shared" si="21"/>
        <v>0</v>
      </c>
      <c r="AT31" s="263">
        <f t="shared" ref="AT31:BQ31" si="27">SUM(AT32:AT35)</f>
        <v>0</v>
      </c>
      <c r="AU31" s="363">
        <f t="shared" si="27"/>
        <v>0</v>
      </c>
      <c r="AV31" s="10">
        <f t="shared" si="27"/>
        <v>18390</v>
      </c>
      <c r="AW31" s="363">
        <f t="shared" si="27"/>
        <v>0</v>
      </c>
      <c r="AX31" s="10">
        <f t="shared" si="27"/>
        <v>17890</v>
      </c>
      <c r="AY31" s="369">
        <f t="shared" si="27"/>
        <v>0</v>
      </c>
      <c r="AZ31" s="263">
        <f t="shared" si="27"/>
        <v>17390</v>
      </c>
      <c r="BA31" s="363">
        <f t="shared" si="27"/>
        <v>0</v>
      </c>
      <c r="BB31" s="10">
        <f t="shared" si="27"/>
        <v>17890</v>
      </c>
      <c r="BC31" s="363">
        <f t="shared" si="27"/>
        <v>0</v>
      </c>
      <c r="BD31" s="10">
        <f t="shared" si="27"/>
        <v>17390</v>
      </c>
      <c r="BE31" s="369">
        <f t="shared" si="27"/>
        <v>0</v>
      </c>
      <c r="BF31" s="263">
        <f t="shared" si="27"/>
        <v>17620.7</v>
      </c>
      <c r="BG31" s="363">
        <f t="shared" si="27"/>
        <v>0</v>
      </c>
      <c r="BH31" s="10">
        <f t="shared" si="27"/>
        <v>17390</v>
      </c>
      <c r="BI31" s="363">
        <f t="shared" si="27"/>
        <v>0</v>
      </c>
      <c r="BJ31" s="10">
        <f t="shared" si="27"/>
        <v>17390</v>
      </c>
      <c r="BK31" s="369">
        <f t="shared" si="27"/>
        <v>0</v>
      </c>
      <c r="BL31" s="263">
        <f t="shared" si="27"/>
        <v>17390</v>
      </c>
      <c r="BM31" s="363">
        <f t="shared" si="27"/>
        <v>0</v>
      </c>
      <c r="BN31" s="10">
        <f t="shared" si="27"/>
        <v>12590</v>
      </c>
      <c r="BO31" s="363">
        <f t="shared" si="27"/>
        <v>0</v>
      </c>
      <c r="BP31" s="10">
        <f t="shared" si="27"/>
        <v>25180</v>
      </c>
      <c r="BQ31" s="280">
        <f t="shared" si="27"/>
        <v>0</v>
      </c>
    </row>
    <row r="32" spans="1:71" s="313" customFormat="1" ht="25.5" hidden="1" outlineLevel="1">
      <c r="D32" s="686" t="s">
        <v>7</v>
      </c>
      <c r="E32" s="687">
        <v>4</v>
      </c>
      <c r="F32" s="688" t="s">
        <v>71</v>
      </c>
      <c r="G32" s="688">
        <v>244</v>
      </c>
      <c r="H32" s="689">
        <v>221</v>
      </c>
      <c r="I32" s="690" t="s">
        <v>236</v>
      </c>
      <c r="J32" s="691">
        <v>2230.6999999999998</v>
      </c>
      <c r="K32" s="692"/>
      <c r="L32" s="692"/>
      <c r="M32" s="559"/>
      <c r="N32" s="693">
        <v>2230.7199999999998</v>
      </c>
      <c r="O32" s="559"/>
      <c r="P32" s="693">
        <v>3487.89</v>
      </c>
      <c r="Q32" s="559"/>
      <c r="R32" s="335"/>
      <c r="S32" s="320"/>
      <c r="T32" s="320"/>
      <c r="U32" s="320"/>
      <c r="W32" s="336">
        <f t="shared" si="7"/>
        <v>1500</v>
      </c>
      <c r="X32" s="337">
        <f t="shared" si="7"/>
        <v>0</v>
      </c>
      <c r="Y32" s="338">
        <f t="shared" si="8"/>
        <v>1500</v>
      </c>
      <c r="Z32" s="336">
        <f t="shared" si="9"/>
        <v>500</v>
      </c>
      <c r="AA32" s="337">
        <f t="shared" si="9"/>
        <v>0</v>
      </c>
      <c r="AB32" s="338">
        <f t="shared" si="10"/>
        <v>500</v>
      </c>
      <c r="AC32" s="336">
        <f t="shared" si="11"/>
        <v>230.7</v>
      </c>
      <c r="AD32" s="337">
        <f t="shared" si="11"/>
        <v>0</v>
      </c>
      <c r="AE32" s="338">
        <f t="shared" si="12"/>
        <v>230.7</v>
      </c>
      <c r="AF32" s="336">
        <f t="shared" si="13"/>
        <v>0</v>
      </c>
      <c r="AG32" s="337">
        <f t="shared" si="13"/>
        <v>0</v>
      </c>
      <c r="AH32" s="338">
        <f t="shared" si="14"/>
        <v>0</v>
      </c>
      <c r="AI32" s="342"/>
      <c r="AJ32" s="336">
        <f t="shared" si="15"/>
        <v>2000</v>
      </c>
      <c r="AK32" s="339">
        <f t="shared" si="15"/>
        <v>0</v>
      </c>
      <c r="AL32" s="340">
        <f t="shared" si="16"/>
        <v>2000</v>
      </c>
      <c r="AM32" s="336">
        <f t="shared" si="17"/>
        <v>2230.6999999999998</v>
      </c>
      <c r="AN32" s="339">
        <f t="shared" si="17"/>
        <v>0</v>
      </c>
      <c r="AO32" s="340">
        <f t="shared" si="18"/>
        <v>2230.6999999999998</v>
      </c>
      <c r="AP32" s="341">
        <f t="shared" si="22"/>
        <v>2230.6999999999998</v>
      </c>
      <c r="AQ32" s="339">
        <f t="shared" si="19"/>
        <v>0</v>
      </c>
      <c r="AR32" s="340">
        <f t="shared" si="20"/>
        <v>2230.6999999999998</v>
      </c>
      <c r="AS32" s="589">
        <f t="shared" si="21"/>
        <v>0</v>
      </c>
      <c r="AT32" s="343"/>
      <c r="AU32" s="344"/>
      <c r="AV32" s="345">
        <v>1000</v>
      </c>
      <c r="AW32" s="344"/>
      <c r="AX32" s="345">
        <v>500</v>
      </c>
      <c r="AY32" s="346"/>
      <c r="AZ32" s="347"/>
      <c r="BA32" s="348"/>
      <c r="BB32" s="349">
        <v>500</v>
      </c>
      <c r="BC32" s="348"/>
      <c r="BD32" s="349"/>
      <c r="BE32" s="350"/>
      <c r="BF32" s="351">
        <v>230.7</v>
      </c>
      <c r="BG32" s="352"/>
      <c r="BH32" s="337"/>
      <c r="BI32" s="352"/>
      <c r="BJ32" s="337"/>
      <c r="BK32" s="353"/>
      <c r="BL32" s="354"/>
      <c r="BM32" s="355"/>
      <c r="BN32" s="356"/>
      <c r="BO32" s="355"/>
      <c r="BP32" s="356"/>
      <c r="BQ32" s="357"/>
    </row>
    <row r="33" spans="1:69" s="313" customFormat="1" ht="25.5" hidden="1" outlineLevel="1">
      <c r="D33" s="373" t="s">
        <v>7</v>
      </c>
      <c r="E33" s="315">
        <v>4</v>
      </c>
      <c r="F33" s="314" t="s">
        <v>71</v>
      </c>
      <c r="G33" s="314">
        <v>244</v>
      </c>
      <c r="H33" s="316">
        <v>221</v>
      </c>
      <c r="I33" s="533" t="s">
        <v>228</v>
      </c>
      <c r="J33" s="341">
        <v>63480</v>
      </c>
      <c r="K33" s="318"/>
      <c r="L33" s="318"/>
      <c r="M33" s="559"/>
      <c r="N33" s="336">
        <v>63480</v>
      </c>
      <c r="O33" s="559"/>
      <c r="P33" s="336">
        <v>63480</v>
      </c>
      <c r="Q33" s="559"/>
      <c r="R33" s="335"/>
      <c r="S33" s="596" t="s">
        <v>231</v>
      </c>
      <c r="T33" s="610"/>
      <c r="U33" s="597" t="s">
        <v>381</v>
      </c>
      <c r="W33" s="336">
        <f t="shared" si="7"/>
        <v>10580</v>
      </c>
      <c r="X33" s="337">
        <f t="shared" si="7"/>
        <v>0</v>
      </c>
      <c r="Y33" s="338">
        <f t="shared" si="8"/>
        <v>10580</v>
      </c>
      <c r="Z33" s="336">
        <f t="shared" si="9"/>
        <v>15870</v>
      </c>
      <c r="AA33" s="337">
        <f t="shared" si="9"/>
        <v>0</v>
      </c>
      <c r="AB33" s="338">
        <f t="shared" si="10"/>
        <v>15870</v>
      </c>
      <c r="AC33" s="336">
        <f t="shared" si="11"/>
        <v>15870</v>
      </c>
      <c r="AD33" s="337">
        <f t="shared" si="11"/>
        <v>0</v>
      </c>
      <c r="AE33" s="338">
        <f t="shared" si="12"/>
        <v>15870</v>
      </c>
      <c r="AF33" s="336">
        <f t="shared" si="13"/>
        <v>21160</v>
      </c>
      <c r="AG33" s="337">
        <f t="shared" si="13"/>
        <v>0</v>
      </c>
      <c r="AH33" s="338">
        <f t="shared" si="14"/>
        <v>21160</v>
      </c>
      <c r="AI33" s="342"/>
      <c r="AJ33" s="336">
        <f t="shared" si="15"/>
        <v>26450</v>
      </c>
      <c r="AK33" s="339">
        <f t="shared" si="15"/>
        <v>0</v>
      </c>
      <c r="AL33" s="340">
        <f t="shared" si="16"/>
        <v>26450</v>
      </c>
      <c r="AM33" s="336">
        <f t="shared" si="17"/>
        <v>42320</v>
      </c>
      <c r="AN33" s="339">
        <f t="shared" si="17"/>
        <v>0</v>
      </c>
      <c r="AO33" s="340">
        <f t="shared" si="18"/>
        <v>42320</v>
      </c>
      <c r="AP33" s="341">
        <f t="shared" si="22"/>
        <v>63480</v>
      </c>
      <c r="AQ33" s="339">
        <f t="shared" si="19"/>
        <v>0</v>
      </c>
      <c r="AR33" s="340">
        <f t="shared" si="20"/>
        <v>63480</v>
      </c>
      <c r="AS33" s="589">
        <f t="shared" si="21"/>
        <v>0</v>
      </c>
      <c r="AT33" s="343"/>
      <c r="AU33" s="344"/>
      <c r="AV33" s="345">
        <v>5290</v>
      </c>
      <c r="AW33" s="344"/>
      <c r="AX33" s="345">
        <v>5290</v>
      </c>
      <c r="AY33" s="346"/>
      <c r="AZ33" s="347">
        <v>5290</v>
      </c>
      <c r="BA33" s="348"/>
      <c r="BB33" s="349">
        <v>5290</v>
      </c>
      <c r="BC33" s="348"/>
      <c r="BD33" s="349">
        <v>5290</v>
      </c>
      <c r="BE33" s="350"/>
      <c r="BF33" s="351">
        <v>5290</v>
      </c>
      <c r="BG33" s="352"/>
      <c r="BH33" s="337">
        <v>5290</v>
      </c>
      <c r="BI33" s="352"/>
      <c r="BJ33" s="337">
        <v>5290</v>
      </c>
      <c r="BK33" s="353"/>
      <c r="BL33" s="354">
        <v>5290</v>
      </c>
      <c r="BM33" s="355"/>
      <c r="BN33" s="356">
        <v>5290</v>
      </c>
      <c r="BO33" s="355"/>
      <c r="BP33" s="356">
        <f>5290*2</f>
        <v>10580</v>
      </c>
      <c r="BQ33" s="357"/>
    </row>
    <row r="34" spans="1:69" s="313" customFormat="1" ht="25.5" hidden="1" outlineLevel="1">
      <c r="D34" s="373" t="s">
        <v>7</v>
      </c>
      <c r="E34" s="315">
        <v>4</v>
      </c>
      <c r="F34" s="314" t="s">
        <v>71</v>
      </c>
      <c r="G34" s="314">
        <v>244</v>
      </c>
      <c r="H34" s="316">
        <v>221</v>
      </c>
      <c r="I34" s="533" t="s">
        <v>229</v>
      </c>
      <c r="J34" s="341">
        <v>87600</v>
      </c>
      <c r="K34" s="318"/>
      <c r="L34" s="318"/>
      <c r="M34" s="559"/>
      <c r="N34" s="336">
        <v>87600</v>
      </c>
      <c r="O34" s="559"/>
      <c r="P34" s="336">
        <v>87600</v>
      </c>
      <c r="Q34" s="559"/>
      <c r="R34" s="335"/>
      <c r="S34" s="596" t="s">
        <v>231</v>
      </c>
      <c r="T34" s="610"/>
      <c r="U34" s="597" t="s">
        <v>381</v>
      </c>
      <c r="W34" s="336">
        <f t="shared" si="7"/>
        <v>14600</v>
      </c>
      <c r="X34" s="337">
        <f t="shared" si="7"/>
        <v>0</v>
      </c>
      <c r="Y34" s="338">
        <f t="shared" si="8"/>
        <v>14600</v>
      </c>
      <c r="Z34" s="336">
        <f t="shared" si="9"/>
        <v>21900</v>
      </c>
      <c r="AA34" s="337">
        <f t="shared" si="9"/>
        <v>0</v>
      </c>
      <c r="AB34" s="338">
        <f t="shared" si="10"/>
        <v>21900</v>
      </c>
      <c r="AC34" s="336">
        <f t="shared" si="11"/>
        <v>21900</v>
      </c>
      <c r="AD34" s="337">
        <f t="shared" si="11"/>
        <v>0</v>
      </c>
      <c r="AE34" s="338">
        <f t="shared" si="12"/>
        <v>21900</v>
      </c>
      <c r="AF34" s="336">
        <f t="shared" si="13"/>
        <v>29200</v>
      </c>
      <c r="AG34" s="337">
        <f t="shared" si="13"/>
        <v>0</v>
      </c>
      <c r="AH34" s="338">
        <f t="shared" si="14"/>
        <v>29200</v>
      </c>
      <c r="AI34" s="342"/>
      <c r="AJ34" s="336">
        <f t="shared" si="15"/>
        <v>36500</v>
      </c>
      <c r="AK34" s="339">
        <f t="shared" si="15"/>
        <v>0</v>
      </c>
      <c r="AL34" s="340">
        <f t="shared" si="16"/>
        <v>36500</v>
      </c>
      <c r="AM34" s="336">
        <f t="shared" si="17"/>
        <v>58400</v>
      </c>
      <c r="AN34" s="339">
        <f t="shared" si="17"/>
        <v>0</v>
      </c>
      <c r="AO34" s="340">
        <f t="shared" si="18"/>
        <v>58400</v>
      </c>
      <c r="AP34" s="341">
        <f t="shared" si="22"/>
        <v>87600</v>
      </c>
      <c r="AQ34" s="339">
        <f t="shared" si="19"/>
        <v>0</v>
      </c>
      <c r="AR34" s="340">
        <f t="shared" si="20"/>
        <v>87600</v>
      </c>
      <c r="AS34" s="589">
        <f t="shared" si="21"/>
        <v>0</v>
      </c>
      <c r="AT34" s="343"/>
      <c r="AU34" s="344"/>
      <c r="AV34" s="345">
        <v>7300</v>
      </c>
      <c r="AW34" s="344"/>
      <c r="AX34" s="345">
        <v>7300</v>
      </c>
      <c r="AY34" s="346"/>
      <c r="AZ34" s="347">
        <v>7300</v>
      </c>
      <c r="BA34" s="348"/>
      <c r="BB34" s="349">
        <v>7300</v>
      </c>
      <c r="BC34" s="348"/>
      <c r="BD34" s="349">
        <v>7300</v>
      </c>
      <c r="BE34" s="350"/>
      <c r="BF34" s="351">
        <v>7300</v>
      </c>
      <c r="BG34" s="352"/>
      <c r="BH34" s="337">
        <v>7300</v>
      </c>
      <c r="BI34" s="352"/>
      <c r="BJ34" s="337">
        <v>7300</v>
      </c>
      <c r="BK34" s="353"/>
      <c r="BL34" s="354">
        <v>7300</v>
      </c>
      <c r="BM34" s="355"/>
      <c r="BN34" s="356">
        <v>7300</v>
      </c>
      <c r="BO34" s="355"/>
      <c r="BP34" s="356">
        <f>7300*2</f>
        <v>14600</v>
      </c>
      <c r="BQ34" s="357"/>
    </row>
    <row r="35" spans="1:69" s="313" customFormat="1" ht="63.75" hidden="1" outlineLevel="1">
      <c r="D35" s="373" t="s">
        <v>7</v>
      </c>
      <c r="E35" s="315">
        <v>4</v>
      </c>
      <c r="F35" s="314" t="s">
        <v>71</v>
      </c>
      <c r="G35" s="314">
        <v>244</v>
      </c>
      <c r="H35" s="316">
        <v>221</v>
      </c>
      <c r="I35" s="533" t="s">
        <v>230</v>
      </c>
      <c r="J35" s="341">
        <v>43200</v>
      </c>
      <c r="K35" s="318"/>
      <c r="L35" s="318"/>
      <c r="M35" s="559"/>
      <c r="N35" s="336">
        <v>43200</v>
      </c>
      <c r="O35" s="559"/>
      <c r="P35" s="336">
        <v>43200</v>
      </c>
      <c r="Q35" s="559"/>
      <c r="R35" s="335"/>
      <c r="S35" s="596" t="s">
        <v>234</v>
      </c>
      <c r="T35" s="610" t="s">
        <v>393</v>
      </c>
      <c r="U35" s="597" t="s">
        <v>381</v>
      </c>
      <c r="W35" s="336">
        <f t="shared" si="7"/>
        <v>9600</v>
      </c>
      <c r="X35" s="337">
        <f t="shared" si="7"/>
        <v>0</v>
      </c>
      <c r="Y35" s="338">
        <f t="shared" si="8"/>
        <v>9600</v>
      </c>
      <c r="Z35" s="336">
        <f t="shared" si="9"/>
        <v>14400</v>
      </c>
      <c r="AA35" s="337">
        <f t="shared" si="9"/>
        <v>0</v>
      </c>
      <c r="AB35" s="338">
        <f t="shared" si="10"/>
        <v>14400</v>
      </c>
      <c r="AC35" s="336">
        <f t="shared" si="11"/>
        <v>14400</v>
      </c>
      <c r="AD35" s="337">
        <f t="shared" si="11"/>
        <v>0</v>
      </c>
      <c r="AE35" s="338">
        <f t="shared" si="12"/>
        <v>14400</v>
      </c>
      <c r="AF35" s="336">
        <f t="shared" si="13"/>
        <v>4800</v>
      </c>
      <c r="AG35" s="337">
        <f t="shared" si="13"/>
        <v>0</v>
      </c>
      <c r="AH35" s="338">
        <f t="shared" si="14"/>
        <v>4800</v>
      </c>
      <c r="AI35" s="342"/>
      <c r="AJ35" s="336">
        <f t="shared" si="15"/>
        <v>24000</v>
      </c>
      <c r="AK35" s="339">
        <f t="shared" si="15"/>
        <v>0</v>
      </c>
      <c r="AL35" s="340">
        <f t="shared" si="16"/>
        <v>24000</v>
      </c>
      <c r="AM35" s="336">
        <f t="shared" si="17"/>
        <v>38400</v>
      </c>
      <c r="AN35" s="339">
        <f t="shared" si="17"/>
        <v>0</v>
      </c>
      <c r="AO35" s="340">
        <f t="shared" si="18"/>
        <v>38400</v>
      </c>
      <c r="AP35" s="341">
        <f t="shared" si="22"/>
        <v>43200</v>
      </c>
      <c r="AQ35" s="339">
        <f t="shared" si="19"/>
        <v>0</v>
      </c>
      <c r="AR35" s="340">
        <f t="shared" si="20"/>
        <v>43200</v>
      </c>
      <c r="AS35" s="589">
        <f t="shared" si="21"/>
        <v>0</v>
      </c>
      <c r="AT35" s="343"/>
      <c r="AU35" s="344"/>
      <c r="AV35" s="345">
        <v>4800</v>
      </c>
      <c r="AW35" s="344"/>
      <c r="AX35" s="345">
        <v>4800</v>
      </c>
      <c r="AY35" s="346"/>
      <c r="AZ35" s="347">
        <v>4800</v>
      </c>
      <c r="BA35" s="348"/>
      <c r="BB35" s="349">
        <v>4800</v>
      </c>
      <c r="BC35" s="348"/>
      <c r="BD35" s="349">
        <v>4800</v>
      </c>
      <c r="BE35" s="350"/>
      <c r="BF35" s="351">
        <v>4800</v>
      </c>
      <c r="BG35" s="352"/>
      <c r="BH35" s="337">
        <v>4800</v>
      </c>
      <c r="BI35" s="352"/>
      <c r="BJ35" s="337">
        <v>4800</v>
      </c>
      <c r="BK35" s="353"/>
      <c r="BL35" s="354">
        <v>4800</v>
      </c>
      <c r="BM35" s="355"/>
      <c r="BN35" s="356"/>
      <c r="BO35" s="355"/>
      <c r="BP35" s="356"/>
      <c r="BQ35" s="357"/>
    </row>
    <row r="36" spans="1:69" s="86" customFormat="1" ht="31.5" customHeight="1" collapsed="1">
      <c r="A36" s="378" t="s">
        <v>377</v>
      </c>
      <c r="B36" s="359"/>
      <c r="C36" s="86" t="s">
        <v>201</v>
      </c>
      <c r="D36" s="646" t="s">
        <v>7</v>
      </c>
      <c r="E36" s="646">
        <v>4</v>
      </c>
      <c r="F36" s="646" t="s">
        <v>71</v>
      </c>
      <c r="G36" s="646">
        <v>244</v>
      </c>
      <c r="H36" s="716">
        <v>222</v>
      </c>
      <c r="I36" s="717" t="s">
        <v>12</v>
      </c>
      <c r="J36" s="13">
        <f>SUM(J37:J38)</f>
        <v>137727.94</v>
      </c>
      <c r="K36" s="13"/>
      <c r="L36" s="13"/>
      <c r="M36" s="661"/>
      <c r="N36" s="13">
        <f>SUM(N37:N38)</f>
        <v>137727.94</v>
      </c>
      <c r="O36" s="661"/>
      <c r="P36" s="13">
        <f>SUM(P37:P38)</f>
        <v>138609.04999999999</v>
      </c>
      <c r="Q36" s="665"/>
      <c r="R36" s="334"/>
      <c r="S36" s="305"/>
      <c r="T36" s="305"/>
      <c r="U36" s="305"/>
      <c r="W36" s="367">
        <f t="shared" si="7"/>
        <v>10000</v>
      </c>
      <c r="X36" s="363">
        <f t="shared" si="7"/>
        <v>0</v>
      </c>
      <c r="Y36" s="280">
        <f t="shared" si="8"/>
        <v>10000</v>
      </c>
      <c r="Z36" s="367">
        <f t="shared" si="9"/>
        <v>55000</v>
      </c>
      <c r="AA36" s="363">
        <f t="shared" si="9"/>
        <v>0</v>
      </c>
      <c r="AB36" s="280">
        <f t="shared" si="10"/>
        <v>55000</v>
      </c>
      <c r="AC36" s="367">
        <f t="shared" si="11"/>
        <v>30000</v>
      </c>
      <c r="AD36" s="363">
        <f t="shared" si="11"/>
        <v>0</v>
      </c>
      <c r="AE36" s="280">
        <f t="shared" si="12"/>
        <v>30000</v>
      </c>
      <c r="AF36" s="367">
        <f t="shared" si="13"/>
        <v>42727.94</v>
      </c>
      <c r="AG36" s="363">
        <f t="shared" si="13"/>
        <v>0</v>
      </c>
      <c r="AH36" s="280">
        <f t="shared" si="14"/>
        <v>42727.94</v>
      </c>
      <c r="AI36" s="210"/>
      <c r="AJ36" s="367">
        <f t="shared" si="15"/>
        <v>65000</v>
      </c>
      <c r="AK36" s="363">
        <f t="shared" si="15"/>
        <v>0</v>
      </c>
      <c r="AL36" s="280">
        <f t="shared" si="16"/>
        <v>65000</v>
      </c>
      <c r="AM36" s="367">
        <f t="shared" si="17"/>
        <v>95000</v>
      </c>
      <c r="AN36" s="363">
        <f t="shared" si="17"/>
        <v>0</v>
      </c>
      <c r="AO36" s="280">
        <f t="shared" si="18"/>
        <v>95000</v>
      </c>
      <c r="AP36" s="263">
        <f t="shared" si="22"/>
        <v>137727.94</v>
      </c>
      <c r="AQ36" s="10">
        <f t="shared" si="19"/>
        <v>0</v>
      </c>
      <c r="AR36" s="650">
        <f t="shared" si="20"/>
        <v>137727.94</v>
      </c>
      <c r="AS36" s="607">
        <f t="shared" si="21"/>
        <v>0</v>
      </c>
      <c r="AT36" s="263">
        <f t="shared" ref="AT36:BQ36" si="28">SUM(AT37:AT38)</f>
        <v>0</v>
      </c>
      <c r="AU36" s="363">
        <f t="shared" si="28"/>
        <v>0</v>
      </c>
      <c r="AV36" s="10">
        <f t="shared" si="28"/>
        <v>5000</v>
      </c>
      <c r="AW36" s="363">
        <f t="shared" si="28"/>
        <v>0</v>
      </c>
      <c r="AX36" s="10">
        <f t="shared" si="28"/>
        <v>5000</v>
      </c>
      <c r="AY36" s="369">
        <f t="shared" si="28"/>
        <v>0</v>
      </c>
      <c r="AZ36" s="263">
        <f t="shared" si="28"/>
        <v>30000</v>
      </c>
      <c r="BA36" s="363">
        <f t="shared" si="28"/>
        <v>0</v>
      </c>
      <c r="BB36" s="10">
        <f t="shared" si="28"/>
        <v>20000</v>
      </c>
      <c r="BC36" s="363">
        <f t="shared" si="28"/>
        <v>0</v>
      </c>
      <c r="BD36" s="10">
        <f t="shared" si="28"/>
        <v>5000</v>
      </c>
      <c r="BE36" s="369">
        <f t="shared" si="28"/>
        <v>0</v>
      </c>
      <c r="BF36" s="263">
        <f t="shared" si="28"/>
        <v>5000</v>
      </c>
      <c r="BG36" s="363">
        <f t="shared" si="28"/>
        <v>0</v>
      </c>
      <c r="BH36" s="10">
        <f t="shared" si="28"/>
        <v>20000</v>
      </c>
      <c r="BI36" s="363">
        <f t="shared" si="28"/>
        <v>0</v>
      </c>
      <c r="BJ36" s="10">
        <f t="shared" si="28"/>
        <v>5000</v>
      </c>
      <c r="BK36" s="369">
        <f t="shared" si="28"/>
        <v>0</v>
      </c>
      <c r="BL36" s="263">
        <f t="shared" si="28"/>
        <v>5000</v>
      </c>
      <c r="BM36" s="363">
        <f t="shared" si="28"/>
        <v>0</v>
      </c>
      <c r="BN36" s="10">
        <f t="shared" si="28"/>
        <v>5000</v>
      </c>
      <c r="BO36" s="363">
        <f t="shared" si="28"/>
        <v>0</v>
      </c>
      <c r="BP36" s="10">
        <f t="shared" si="28"/>
        <v>32727.94</v>
      </c>
      <c r="BQ36" s="280">
        <f t="shared" si="28"/>
        <v>0</v>
      </c>
    </row>
    <row r="37" spans="1:69" s="313" customFormat="1" ht="25.5" hidden="1" outlineLevel="1">
      <c r="D37" s="686" t="s">
        <v>7</v>
      </c>
      <c r="E37" s="687">
        <v>4</v>
      </c>
      <c r="F37" s="688" t="s">
        <v>71</v>
      </c>
      <c r="G37" s="688">
        <v>244</v>
      </c>
      <c r="H37" s="689">
        <v>222</v>
      </c>
      <c r="I37" s="690" t="s">
        <v>245</v>
      </c>
      <c r="J37" s="691">
        <f>137727.94-77727.94</f>
        <v>60000</v>
      </c>
      <c r="K37" s="692"/>
      <c r="L37" s="692"/>
      <c r="M37" s="559"/>
      <c r="N37" s="693">
        <v>137727.94</v>
      </c>
      <c r="O37" s="559"/>
      <c r="P37" s="693">
        <v>138609.04999999999</v>
      </c>
      <c r="Q37" s="559"/>
      <c r="R37" s="335"/>
      <c r="S37" s="597" t="s">
        <v>240</v>
      </c>
      <c r="T37" s="610"/>
      <c r="U37" s="597" t="s">
        <v>381</v>
      </c>
      <c r="W37" s="336">
        <f t="shared" si="7"/>
        <v>10000</v>
      </c>
      <c r="X37" s="337">
        <f t="shared" si="7"/>
        <v>0</v>
      </c>
      <c r="Y37" s="338">
        <f t="shared" si="8"/>
        <v>10000</v>
      </c>
      <c r="Z37" s="336">
        <f t="shared" si="9"/>
        <v>15000</v>
      </c>
      <c r="AA37" s="337">
        <f t="shared" si="9"/>
        <v>0</v>
      </c>
      <c r="AB37" s="338">
        <f t="shared" si="10"/>
        <v>15000</v>
      </c>
      <c r="AC37" s="336">
        <f t="shared" si="11"/>
        <v>15000</v>
      </c>
      <c r="AD37" s="337">
        <f t="shared" si="11"/>
        <v>0</v>
      </c>
      <c r="AE37" s="338">
        <f t="shared" si="12"/>
        <v>15000</v>
      </c>
      <c r="AF37" s="336">
        <f t="shared" si="13"/>
        <v>20000</v>
      </c>
      <c r="AG37" s="337">
        <f t="shared" si="13"/>
        <v>0</v>
      </c>
      <c r="AH37" s="338">
        <f t="shared" si="14"/>
        <v>20000</v>
      </c>
      <c r="AI37" s="342"/>
      <c r="AJ37" s="336">
        <f t="shared" si="15"/>
        <v>25000</v>
      </c>
      <c r="AK37" s="339">
        <f t="shared" si="15"/>
        <v>0</v>
      </c>
      <c r="AL37" s="340">
        <f t="shared" si="16"/>
        <v>25000</v>
      </c>
      <c r="AM37" s="336">
        <f t="shared" si="17"/>
        <v>40000</v>
      </c>
      <c r="AN37" s="339">
        <f t="shared" si="17"/>
        <v>0</v>
      </c>
      <c r="AO37" s="340">
        <f t="shared" si="18"/>
        <v>40000</v>
      </c>
      <c r="AP37" s="341">
        <f t="shared" si="22"/>
        <v>60000</v>
      </c>
      <c r="AQ37" s="339">
        <f t="shared" si="19"/>
        <v>0</v>
      </c>
      <c r="AR37" s="340">
        <f t="shared" si="20"/>
        <v>60000</v>
      </c>
      <c r="AS37" s="589">
        <f t="shared" si="21"/>
        <v>0</v>
      </c>
      <c r="AT37" s="343"/>
      <c r="AU37" s="344"/>
      <c r="AV37" s="345">
        <v>5000</v>
      </c>
      <c r="AW37" s="344"/>
      <c r="AX37" s="345">
        <v>5000</v>
      </c>
      <c r="AY37" s="346"/>
      <c r="AZ37" s="347">
        <v>5000</v>
      </c>
      <c r="BA37" s="348"/>
      <c r="BB37" s="349">
        <v>5000</v>
      </c>
      <c r="BC37" s="348"/>
      <c r="BD37" s="349">
        <v>5000</v>
      </c>
      <c r="BE37" s="350"/>
      <c r="BF37" s="351">
        <v>5000</v>
      </c>
      <c r="BG37" s="352"/>
      <c r="BH37" s="337">
        <v>5000</v>
      </c>
      <c r="BI37" s="352"/>
      <c r="BJ37" s="337">
        <v>5000</v>
      </c>
      <c r="BK37" s="353"/>
      <c r="BL37" s="354">
        <v>5000</v>
      </c>
      <c r="BM37" s="355"/>
      <c r="BN37" s="356">
        <v>5000</v>
      </c>
      <c r="BO37" s="355"/>
      <c r="BP37" s="356">
        <f>5000*2</f>
        <v>10000</v>
      </c>
      <c r="BQ37" s="357"/>
    </row>
    <row r="38" spans="1:69" s="313" customFormat="1" ht="25.5" hidden="1" outlineLevel="1">
      <c r="D38" s="373" t="s">
        <v>7</v>
      </c>
      <c r="E38" s="315">
        <v>4</v>
      </c>
      <c r="F38" s="314" t="s">
        <v>71</v>
      </c>
      <c r="G38" s="314">
        <v>244</v>
      </c>
      <c r="H38" s="316">
        <v>222</v>
      </c>
      <c r="I38" s="533" t="s">
        <v>244</v>
      </c>
      <c r="J38" s="341">
        <v>77727.94</v>
      </c>
      <c r="K38" s="318"/>
      <c r="L38" s="318"/>
      <c r="M38" s="559"/>
      <c r="N38" s="336">
        <v>0</v>
      </c>
      <c r="O38" s="559"/>
      <c r="P38" s="336">
        <v>0</v>
      </c>
      <c r="Q38" s="559"/>
      <c r="R38" s="335"/>
      <c r="S38" s="597" t="s">
        <v>237</v>
      </c>
      <c r="T38" s="597"/>
      <c r="U38" s="597" t="s">
        <v>381</v>
      </c>
      <c r="W38" s="336">
        <f t="shared" si="7"/>
        <v>0</v>
      </c>
      <c r="X38" s="337">
        <f t="shared" si="7"/>
        <v>0</v>
      </c>
      <c r="Y38" s="338">
        <f t="shared" si="8"/>
        <v>0</v>
      </c>
      <c r="Z38" s="336">
        <f t="shared" si="9"/>
        <v>40000</v>
      </c>
      <c r="AA38" s="337">
        <f t="shared" si="9"/>
        <v>0</v>
      </c>
      <c r="AB38" s="338">
        <f t="shared" si="10"/>
        <v>40000</v>
      </c>
      <c r="AC38" s="336">
        <f t="shared" si="11"/>
        <v>15000</v>
      </c>
      <c r="AD38" s="337">
        <f t="shared" si="11"/>
        <v>0</v>
      </c>
      <c r="AE38" s="338">
        <f t="shared" si="12"/>
        <v>15000</v>
      </c>
      <c r="AF38" s="336">
        <f t="shared" si="13"/>
        <v>22727.94</v>
      </c>
      <c r="AG38" s="337">
        <f t="shared" si="13"/>
        <v>0</v>
      </c>
      <c r="AH38" s="338">
        <f t="shared" si="14"/>
        <v>22727.94</v>
      </c>
      <c r="AI38" s="342"/>
      <c r="AJ38" s="336">
        <f t="shared" si="15"/>
        <v>40000</v>
      </c>
      <c r="AK38" s="339">
        <f t="shared" si="15"/>
        <v>0</v>
      </c>
      <c r="AL38" s="340">
        <f t="shared" si="16"/>
        <v>40000</v>
      </c>
      <c r="AM38" s="336">
        <f t="shared" si="17"/>
        <v>55000</v>
      </c>
      <c r="AN38" s="339">
        <f t="shared" si="17"/>
        <v>0</v>
      </c>
      <c r="AO38" s="340">
        <f t="shared" si="18"/>
        <v>55000</v>
      </c>
      <c r="AP38" s="341">
        <f t="shared" si="22"/>
        <v>77727.94</v>
      </c>
      <c r="AQ38" s="339">
        <f t="shared" si="19"/>
        <v>0</v>
      </c>
      <c r="AR38" s="340">
        <f t="shared" si="20"/>
        <v>77727.94</v>
      </c>
      <c r="AS38" s="589">
        <f t="shared" si="21"/>
        <v>0</v>
      </c>
      <c r="AT38" s="343"/>
      <c r="AU38" s="344"/>
      <c r="AV38" s="345"/>
      <c r="AW38" s="344"/>
      <c r="AX38" s="345"/>
      <c r="AY38" s="346"/>
      <c r="AZ38" s="347">
        <v>25000</v>
      </c>
      <c r="BA38" s="348"/>
      <c r="BB38" s="349">
        <v>15000</v>
      </c>
      <c r="BC38" s="348"/>
      <c r="BD38" s="349"/>
      <c r="BE38" s="350"/>
      <c r="BF38" s="351"/>
      <c r="BG38" s="352"/>
      <c r="BH38" s="337">
        <v>15000</v>
      </c>
      <c r="BI38" s="352"/>
      <c r="BJ38" s="337"/>
      <c r="BK38" s="353"/>
      <c r="BL38" s="354"/>
      <c r="BM38" s="355"/>
      <c r="BN38" s="356"/>
      <c r="BO38" s="355"/>
      <c r="BP38" s="356">
        <v>22727.94</v>
      </c>
      <c r="BQ38" s="357"/>
    </row>
    <row r="39" spans="1:69" s="86" customFormat="1" ht="31.5" customHeight="1" collapsed="1">
      <c r="A39" s="378" t="s">
        <v>377</v>
      </c>
      <c r="B39" s="359"/>
      <c r="C39" s="86" t="s">
        <v>201</v>
      </c>
      <c r="D39" s="646" t="s">
        <v>7</v>
      </c>
      <c r="E39" s="646">
        <v>4</v>
      </c>
      <c r="F39" s="646" t="s">
        <v>71</v>
      </c>
      <c r="G39" s="646">
        <v>244</v>
      </c>
      <c r="H39" s="716">
        <v>223</v>
      </c>
      <c r="I39" s="717" t="s">
        <v>13</v>
      </c>
      <c r="J39" s="13">
        <f>SUM(J40:J41)</f>
        <v>1044506.81</v>
      </c>
      <c r="K39" s="13"/>
      <c r="L39" s="13"/>
      <c r="M39" s="661"/>
      <c r="N39" s="13">
        <f>SUM(N40:N41)</f>
        <v>1121133.8700000001</v>
      </c>
      <c r="O39" s="661"/>
      <c r="P39" s="13">
        <f>SUM(P40:P41)</f>
        <v>1129802.1399999999</v>
      </c>
      <c r="Q39" s="665"/>
      <c r="R39" s="334"/>
      <c r="S39" s="305"/>
      <c r="T39" s="305"/>
      <c r="U39" s="305"/>
      <c r="W39" s="367">
        <f t="shared" si="7"/>
        <v>255340</v>
      </c>
      <c r="X39" s="363">
        <f t="shared" si="7"/>
        <v>0</v>
      </c>
      <c r="Y39" s="280">
        <f t="shared" si="8"/>
        <v>255340</v>
      </c>
      <c r="Z39" s="367">
        <f t="shared" si="9"/>
        <v>278010</v>
      </c>
      <c r="AA39" s="363">
        <f t="shared" si="9"/>
        <v>0</v>
      </c>
      <c r="AB39" s="280">
        <f t="shared" si="10"/>
        <v>278010</v>
      </c>
      <c r="AC39" s="367">
        <f t="shared" si="11"/>
        <v>168010</v>
      </c>
      <c r="AD39" s="363">
        <f t="shared" si="11"/>
        <v>0</v>
      </c>
      <c r="AE39" s="280">
        <f t="shared" si="12"/>
        <v>168010</v>
      </c>
      <c r="AF39" s="367">
        <f t="shared" si="13"/>
        <v>343146.81</v>
      </c>
      <c r="AG39" s="363">
        <f t="shared" si="13"/>
        <v>0</v>
      </c>
      <c r="AH39" s="280">
        <f t="shared" si="14"/>
        <v>343146.81</v>
      </c>
      <c r="AI39" s="210"/>
      <c r="AJ39" s="367">
        <f t="shared" si="15"/>
        <v>533350</v>
      </c>
      <c r="AK39" s="363">
        <f t="shared" si="15"/>
        <v>0</v>
      </c>
      <c r="AL39" s="280">
        <f t="shared" si="16"/>
        <v>533350</v>
      </c>
      <c r="AM39" s="367">
        <f t="shared" si="17"/>
        <v>701360</v>
      </c>
      <c r="AN39" s="363">
        <f t="shared" si="17"/>
        <v>0</v>
      </c>
      <c r="AO39" s="280">
        <f t="shared" si="18"/>
        <v>701360</v>
      </c>
      <c r="AP39" s="263">
        <f t="shared" si="22"/>
        <v>1044506.81</v>
      </c>
      <c r="AQ39" s="10">
        <f t="shared" si="19"/>
        <v>0</v>
      </c>
      <c r="AR39" s="650">
        <f t="shared" si="20"/>
        <v>1044506.81</v>
      </c>
      <c r="AS39" s="607">
        <f t="shared" si="21"/>
        <v>0</v>
      </c>
      <c r="AT39" s="263">
        <f t="shared" ref="AT39:BQ39" si="29">SUM(AT40:AT41)</f>
        <v>0</v>
      </c>
      <c r="AU39" s="363">
        <f t="shared" si="29"/>
        <v>0</v>
      </c>
      <c r="AV39" s="10">
        <f t="shared" si="29"/>
        <v>132670</v>
      </c>
      <c r="AW39" s="363">
        <f t="shared" si="29"/>
        <v>0</v>
      </c>
      <c r="AX39" s="10">
        <f t="shared" si="29"/>
        <v>122670</v>
      </c>
      <c r="AY39" s="369">
        <f t="shared" si="29"/>
        <v>0</v>
      </c>
      <c r="AZ39" s="263">
        <f t="shared" si="29"/>
        <v>112670</v>
      </c>
      <c r="BA39" s="363">
        <f t="shared" si="29"/>
        <v>0</v>
      </c>
      <c r="BB39" s="10">
        <f t="shared" si="29"/>
        <v>102670</v>
      </c>
      <c r="BC39" s="363">
        <f t="shared" si="29"/>
        <v>0</v>
      </c>
      <c r="BD39" s="10">
        <f t="shared" si="29"/>
        <v>62670</v>
      </c>
      <c r="BE39" s="369">
        <f t="shared" si="29"/>
        <v>0</v>
      </c>
      <c r="BF39" s="263">
        <f t="shared" si="29"/>
        <v>62670</v>
      </c>
      <c r="BG39" s="363">
        <f t="shared" si="29"/>
        <v>0</v>
      </c>
      <c r="BH39" s="10">
        <f t="shared" si="29"/>
        <v>52670</v>
      </c>
      <c r="BI39" s="363">
        <f t="shared" si="29"/>
        <v>0</v>
      </c>
      <c r="BJ39" s="10">
        <f t="shared" si="29"/>
        <v>52670</v>
      </c>
      <c r="BK39" s="369">
        <f t="shared" si="29"/>
        <v>0</v>
      </c>
      <c r="BL39" s="263">
        <f t="shared" si="29"/>
        <v>82670</v>
      </c>
      <c r="BM39" s="363">
        <f t="shared" si="29"/>
        <v>0</v>
      </c>
      <c r="BN39" s="10">
        <f t="shared" si="29"/>
        <v>122670</v>
      </c>
      <c r="BO39" s="363">
        <f t="shared" si="29"/>
        <v>0</v>
      </c>
      <c r="BP39" s="10">
        <f t="shared" si="29"/>
        <v>137806.81</v>
      </c>
      <c r="BQ39" s="280">
        <f t="shared" si="29"/>
        <v>0</v>
      </c>
    </row>
    <row r="40" spans="1:69" s="313" customFormat="1" ht="25.5" hidden="1" outlineLevel="1">
      <c r="D40" s="686" t="s">
        <v>7</v>
      </c>
      <c r="E40" s="687">
        <v>4</v>
      </c>
      <c r="F40" s="688" t="s">
        <v>71</v>
      </c>
      <c r="G40" s="688">
        <v>244</v>
      </c>
      <c r="H40" s="689">
        <v>223</v>
      </c>
      <c r="I40" s="690" t="s">
        <v>246</v>
      </c>
      <c r="J40" s="691">
        <v>1016987.56</v>
      </c>
      <c r="K40" s="692"/>
      <c r="L40" s="692"/>
      <c r="M40" s="559"/>
      <c r="N40" s="693">
        <v>1092480.0900000001</v>
      </c>
      <c r="O40" s="559"/>
      <c r="P40" s="693">
        <v>1100951.1299999999</v>
      </c>
      <c r="Q40" s="559"/>
      <c r="R40" s="335"/>
      <c r="S40" s="320" t="s">
        <v>247</v>
      </c>
      <c r="T40" s="388" t="s">
        <v>248</v>
      </c>
      <c r="U40" s="388" t="s">
        <v>249</v>
      </c>
      <c r="W40" s="336">
        <f t="shared" si="7"/>
        <v>250000</v>
      </c>
      <c r="X40" s="337">
        <f t="shared" si="7"/>
        <v>0</v>
      </c>
      <c r="Y40" s="338">
        <f t="shared" si="8"/>
        <v>250000</v>
      </c>
      <c r="Z40" s="336">
        <f t="shared" si="9"/>
        <v>270000</v>
      </c>
      <c r="AA40" s="337">
        <f t="shared" si="9"/>
        <v>0</v>
      </c>
      <c r="AB40" s="338">
        <f t="shared" si="10"/>
        <v>270000</v>
      </c>
      <c r="AC40" s="336">
        <f t="shared" si="11"/>
        <v>160000</v>
      </c>
      <c r="AD40" s="337">
        <f t="shared" si="11"/>
        <v>0</v>
      </c>
      <c r="AE40" s="338">
        <f t="shared" si="12"/>
        <v>160000</v>
      </c>
      <c r="AF40" s="336">
        <f t="shared" si="13"/>
        <v>336987.56</v>
      </c>
      <c r="AG40" s="337">
        <f t="shared" si="13"/>
        <v>0</v>
      </c>
      <c r="AH40" s="338">
        <f t="shared" si="14"/>
        <v>336987.56</v>
      </c>
      <c r="AI40" s="342"/>
      <c r="AJ40" s="336">
        <f t="shared" si="15"/>
        <v>520000</v>
      </c>
      <c r="AK40" s="339">
        <f t="shared" si="15"/>
        <v>0</v>
      </c>
      <c r="AL40" s="340">
        <f t="shared" si="16"/>
        <v>520000</v>
      </c>
      <c r="AM40" s="336">
        <f t="shared" si="17"/>
        <v>680000</v>
      </c>
      <c r="AN40" s="339">
        <f t="shared" si="17"/>
        <v>0</v>
      </c>
      <c r="AO40" s="340">
        <f t="shared" si="18"/>
        <v>680000</v>
      </c>
      <c r="AP40" s="341">
        <f t="shared" si="22"/>
        <v>1016987.56</v>
      </c>
      <c r="AQ40" s="339">
        <f t="shared" si="19"/>
        <v>0</v>
      </c>
      <c r="AR40" s="340">
        <f t="shared" si="20"/>
        <v>1016987.56</v>
      </c>
      <c r="AS40" s="589">
        <f t="shared" si="21"/>
        <v>0</v>
      </c>
      <c r="AT40" s="343"/>
      <c r="AU40" s="344"/>
      <c r="AV40" s="345">
        <v>130000</v>
      </c>
      <c r="AW40" s="344"/>
      <c r="AX40" s="345">
        <v>120000</v>
      </c>
      <c r="AY40" s="346"/>
      <c r="AZ40" s="347">
        <v>110000</v>
      </c>
      <c r="BA40" s="348"/>
      <c r="BB40" s="349">
        <v>100000</v>
      </c>
      <c r="BC40" s="348"/>
      <c r="BD40" s="349">
        <v>60000</v>
      </c>
      <c r="BE40" s="350"/>
      <c r="BF40" s="351">
        <v>60000</v>
      </c>
      <c r="BG40" s="352"/>
      <c r="BH40" s="337">
        <v>50000</v>
      </c>
      <c r="BI40" s="352"/>
      <c r="BJ40" s="337">
        <v>50000</v>
      </c>
      <c r="BK40" s="353"/>
      <c r="BL40" s="354">
        <v>80000</v>
      </c>
      <c r="BM40" s="355"/>
      <c r="BN40" s="356">
        <v>120000</v>
      </c>
      <c r="BO40" s="355"/>
      <c r="BP40" s="356">
        <f>130000+6987.56</f>
        <v>136987.56</v>
      </c>
      <c r="BQ40" s="357"/>
    </row>
    <row r="41" spans="1:69" s="313" customFormat="1" ht="25.5" hidden="1" outlineLevel="1">
      <c r="D41" s="373" t="s">
        <v>7</v>
      </c>
      <c r="E41" s="315">
        <v>4</v>
      </c>
      <c r="F41" s="314" t="s">
        <v>71</v>
      </c>
      <c r="G41" s="314">
        <v>244</v>
      </c>
      <c r="H41" s="316">
        <v>223</v>
      </c>
      <c r="I41" s="533" t="s">
        <v>252</v>
      </c>
      <c r="J41" s="341">
        <v>27519.25</v>
      </c>
      <c r="K41" s="318"/>
      <c r="L41" s="318"/>
      <c r="M41" s="559"/>
      <c r="N41" s="336">
        <v>28653.78</v>
      </c>
      <c r="O41" s="559"/>
      <c r="P41" s="336">
        <v>28851.01</v>
      </c>
      <c r="Q41" s="559"/>
      <c r="R41" s="335"/>
      <c r="S41" s="320" t="s">
        <v>250</v>
      </c>
      <c r="T41" s="388" t="s">
        <v>251</v>
      </c>
      <c r="U41" s="388" t="s">
        <v>243</v>
      </c>
      <c r="W41" s="336">
        <f t="shared" si="7"/>
        <v>5340</v>
      </c>
      <c r="X41" s="337">
        <f t="shared" si="7"/>
        <v>0</v>
      </c>
      <c r="Y41" s="338">
        <f t="shared" si="8"/>
        <v>5340</v>
      </c>
      <c r="Z41" s="336">
        <f t="shared" si="9"/>
        <v>8010</v>
      </c>
      <c r="AA41" s="337">
        <f t="shared" si="9"/>
        <v>0</v>
      </c>
      <c r="AB41" s="338">
        <f t="shared" si="10"/>
        <v>8010</v>
      </c>
      <c r="AC41" s="336">
        <f t="shared" si="11"/>
        <v>8010</v>
      </c>
      <c r="AD41" s="337">
        <f t="shared" si="11"/>
        <v>0</v>
      </c>
      <c r="AE41" s="338">
        <f t="shared" si="12"/>
        <v>8010</v>
      </c>
      <c r="AF41" s="336">
        <f t="shared" si="13"/>
        <v>6159.25</v>
      </c>
      <c r="AG41" s="337">
        <f t="shared" si="13"/>
        <v>0</v>
      </c>
      <c r="AH41" s="338">
        <f t="shared" si="14"/>
        <v>6159.25</v>
      </c>
      <c r="AI41" s="342"/>
      <c r="AJ41" s="336">
        <f t="shared" si="15"/>
        <v>13350</v>
      </c>
      <c r="AK41" s="339">
        <f t="shared" si="15"/>
        <v>0</v>
      </c>
      <c r="AL41" s="340">
        <f t="shared" si="16"/>
        <v>13350</v>
      </c>
      <c r="AM41" s="336">
        <f t="shared" si="17"/>
        <v>21360</v>
      </c>
      <c r="AN41" s="339">
        <f t="shared" si="17"/>
        <v>0</v>
      </c>
      <c r="AO41" s="340">
        <f t="shared" si="18"/>
        <v>21360</v>
      </c>
      <c r="AP41" s="341">
        <f t="shared" si="22"/>
        <v>27519.25</v>
      </c>
      <c r="AQ41" s="339">
        <f t="shared" si="19"/>
        <v>0</v>
      </c>
      <c r="AR41" s="340">
        <f t="shared" si="20"/>
        <v>27519.25</v>
      </c>
      <c r="AS41" s="589">
        <f t="shared" si="21"/>
        <v>0</v>
      </c>
      <c r="AT41" s="343"/>
      <c r="AU41" s="344"/>
      <c r="AV41" s="345">
        <v>2670</v>
      </c>
      <c r="AW41" s="344"/>
      <c r="AX41" s="345">
        <v>2670</v>
      </c>
      <c r="AY41" s="346"/>
      <c r="AZ41" s="347">
        <v>2670</v>
      </c>
      <c r="BA41" s="348"/>
      <c r="BB41" s="349">
        <v>2670</v>
      </c>
      <c r="BC41" s="348"/>
      <c r="BD41" s="349">
        <v>2670</v>
      </c>
      <c r="BE41" s="350"/>
      <c r="BF41" s="351">
        <v>2670</v>
      </c>
      <c r="BG41" s="352"/>
      <c r="BH41" s="337">
        <v>2670</v>
      </c>
      <c r="BI41" s="352"/>
      <c r="BJ41" s="337">
        <v>2670</v>
      </c>
      <c r="BK41" s="353"/>
      <c r="BL41" s="354">
        <v>2670</v>
      </c>
      <c r="BM41" s="355"/>
      <c r="BN41" s="356">
        <v>2670</v>
      </c>
      <c r="BO41" s="355"/>
      <c r="BP41" s="356">
        <v>819.25</v>
      </c>
      <c r="BQ41" s="357"/>
    </row>
    <row r="42" spans="1:69" s="86" customFormat="1" ht="31.5" customHeight="1" collapsed="1">
      <c r="A42" s="378" t="s">
        <v>377</v>
      </c>
      <c r="B42" s="359"/>
      <c r="C42" s="86" t="s">
        <v>201</v>
      </c>
      <c r="D42" s="646" t="s">
        <v>7</v>
      </c>
      <c r="E42" s="646">
        <v>4</v>
      </c>
      <c r="F42" s="646" t="s">
        <v>71</v>
      </c>
      <c r="G42" s="646">
        <v>244</v>
      </c>
      <c r="H42" s="716">
        <v>224</v>
      </c>
      <c r="I42" s="717" t="s">
        <v>151</v>
      </c>
      <c r="J42" s="13">
        <f>J43</f>
        <v>12428476.800000001</v>
      </c>
      <c r="K42" s="13"/>
      <c r="L42" s="13"/>
      <c r="M42" s="661">
        <f>12428476.8-J42</f>
        <v>0</v>
      </c>
      <c r="N42" s="13">
        <f>N43</f>
        <v>3668142.76</v>
      </c>
      <c r="O42" s="670"/>
      <c r="P42" s="13">
        <f t="shared" ref="P42" si="30">P43</f>
        <v>3648174.72</v>
      </c>
      <c r="Q42" s="665"/>
      <c r="R42" s="334"/>
      <c r="S42" s="305"/>
      <c r="T42" s="305"/>
      <c r="U42" s="305"/>
      <c r="W42" s="367">
        <f>AT42+AV42+AX42</f>
        <v>2071412.8</v>
      </c>
      <c r="X42" s="363">
        <f>AU42+AW42+AY42</f>
        <v>0</v>
      </c>
      <c r="Y42" s="280">
        <f>W42-X42</f>
        <v>2071412.8</v>
      </c>
      <c r="Z42" s="367">
        <f>AZ42+BB42+BD42</f>
        <v>3107119.2</v>
      </c>
      <c r="AA42" s="363">
        <f>BA42+BC42+BE42</f>
        <v>0</v>
      </c>
      <c r="AB42" s="280">
        <f>Z42-AA42</f>
        <v>3107119.2</v>
      </c>
      <c r="AC42" s="367">
        <f>BF42+BH42+BJ42</f>
        <v>3107119.2</v>
      </c>
      <c r="AD42" s="363">
        <f>BG42+BI42+BK42</f>
        <v>0</v>
      </c>
      <c r="AE42" s="280">
        <f>AC42-AD42</f>
        <v>3107119.2</v>
      </c>
      <c r="AF42" s="367">
        <f>BL42+BN42+BP42</f>
        <v>4142825.6</v>
      </c>
      <c r="AG42" s="363">
        <f>BM42+BO42+BQ42</f>
        <v>0</v>
      </c>
      <c r="AH42" s="280">
        <f>AF42-AG42</f>
        <v>4142825.6</v>
      </c>
      <c r="AI42" s="210"/>
      <c r="AJ42" s="367">
        <f>W42+Z42</f>
        <v>5178532</v>
      </c>
      <c r="AK42" s="363">
        <f>X42+AA42</f>
        <v>0</v>
      </c>
      <c r="AL42" s="280">
        <f>AJ42-AK42</f>
        <v>5178532</v>
      </c>
      <c r="AM42" s="367">
        <f>W42+Z42+AC42</f>
        <v>8285651.2000000002</v>
      </c>
      <c r="AN42" s="363">
        <f>X42+AA42+AD42</f>
        <v>0</v>
      </c>
      <c r="AO42" s="280">
        <f>AM42-AN42</f>
        <v>8285651.2000000002</v>
      </c>
      <c r="AP42" s="263">
        <f>W42+Z42+AC42+AF42</f>
        <v>12428476.800000001</v>
      </c>
      <c r="AQ42" s="10">
        <f>X42+AA42+AD42+AG42</f>
        <v>0</v>
      </c>
      <c r="AR42" s="650">
        <f>AP42-AQ42</f>
        <v>12428476.800000001</v>
      </c>
      <c r="AS42" s="607">
        <f t="shared" si="21"/>
        <v>0</v>
      </c>
      <c r="AT42" s="263">
        <f t="shared" ref="AT42:BQ42" si="31">AT43</f>
        <v>0</v>
      </c>
      <c r="AU42" s="363">
        <f t="shared" si="31"/>
        <v>0</v>
      </c>
      <c r="AV42" s="10">
        <f t="shared" si="31"/>
        <v>1035706.4</v>
      </c>
      <c r="AW42" s="363">
        <f t="shared" si="31"/>
        <v>0</v>
      </c>
      <c r="AX42" s="10">
        <f t="shared" si="31"/>
        <v>1035706.4</v>
      </c>
      <c r="AY42" s="369">
        <f t="shared" si="31"/>
        <v>0</v>
      </c>
      <c r="AZ42" s="263">
        <f t="shared" si="31"/>
        <v>1035706.4</v>
      </c>
      <c r="BA42" s="363">
        <f t="shared" si="31"/>
        <v>0</v>
      </c>
      <c r="BB42" s="10">
        <f t="shared" si="31"/>
        <v>1035706.4</v>
      </c>
      <c r="BC42" s="363">
        <f t="shared" si="31"/>
        <v>0</v>
      </c>
      <c r="BD42" s="10">
        <f t="shared" si="31"/>
        <v>1035706.4</v>
      </c>
      <c r="BE42" s="369">
        <f t="shared" si="31"/>
        <v>0</v>
      </c>
      <c r="BF42" s="263">
        <f t="shared" si="31"/>
        <v>1035706.4</v>
      </c>
      <c r="BG42" s="363">
        <f t="shared" si="31"/>
        <v>0</v>
      </c>
      <c r="BH42" s="10">
        <f t="shared" si="31"/>
        <v>1035706.4</v>
      </c>
      <c r="BI42" s="363">
        <f t="shared" si="31"/>
        <v>0</v>
      </c>
      <c r="BJ42" s="10">
        <f t="shared" si="31"/>
        <v>1035706.4</v>
      </c>
      <c r="BK42" s="369">
        <f t="shared" si="31"/>
        <v>0</v>
      </c>
      <c r="BL42" s="263">
        <f t="shared" si="31"/>
        <v>1035706.4</v>
      </c>
      <c r="BM42" s="363">
        <f t="shared" si="31"/>
        <v>0</v>
      </c>
      <c r="BN42" s="10">
        <f t="shared" si="31"/>
        <v>1035706.4</v>
      </c>
      <c r="BO42" s="363">
        <f t="shared" si="31"/>
        <v>0</v>
      </c>
      <c r="BP42" s="10">
        <f t="shared" si="31"/>
        <v>2071412.8</v>
      </c>
      <c r="BQ42" s="280">
        <f t="shared" si="31"/>
        <v>0</v>
      </c>
    </row>
    <row r="43" spans="1:69" s="313" customFormat="1" ht="38.25" hidden="1" outlineLevel="1">
      <c r="D43" s="686" t="s">
        <v>7</v>
      </c>
      <c r="E43" s="687">
        <v>4</v>
      </c>
      <c r="F43" s="688" t="s">
        <v>71</v>
      </c>
      <c r="G43" s="688">
        <v>244</v>
      </c>
      <c r="H43" s="689">
        <v>224</v>
      </c>
      <c r="I43" s="690" t="s">
        <v>264</v>
      </c>
      <c r="J43" s="694">
        <v>12428476.800000001</v>
      </c>
      <c r="K43" s="692"/>
      <c r="L43" s="692"/>
      <c r="M43" s="559"/>
      <c r="N43" s="694">
        <v>3668142.76</v>
      </c>
      <c r="O43" s="560"/>
      <c r="P43" s="694">
        <v>3648174.72</v>
      </c>
      <c r="Q43" s="559"/>
      <c r="R43" s="335"/>
      <c r="S43" s="320" t="s">
        <v>265</v>
      </c>
      <c r="T43" s="320"/>
      <c r="U43" s="320"/>
      <c r="W43" s="336">
        <f>AT43+AV43+AX43</f>
        <v>2071412.8</v>
      </c>
      <c r="X43" s="337">
        <f>AU43+AW43+AY43</f>
        <v>0</v>
      </c>
      <c r="Y43" s="338">
        <f>W43-X43</f>
        <v>2071412.8</v>
      </c>
      <c r="Z43" s="336">
        <f>AZ43+BB43+BD43</f>
        <v>3107119.2</v>
      </c>
      <c r="AA43" s="337">
        <f>BA43+BC43+BE43</f>
        <v>0</v>
      </c>
      <c r="AB43" s="338">
        <f>Z43-AA43</f>
        <v>3107119.2</v>
      </c>
      <c r="AC43" s="336">
        <f>BF43+BH43+BJ43</f>
        <v>3107119.2</v>
      </c>
      <c r="AD43" s="337">
        <f>BG43+BI43+BK43</f>
        <v>0</v>
      </c>
      <c r="AE43" s="338">
        <f>AC43-AD43</f>
        <v>3107119.2</v>
      </c>
      <c r="AF43" s="336">
        <f>BL43+BN43+BP43</f>
        <v>4142825.6</v>
      </c>
      <c r="AG43" s="337">
        <f>BM43+BO43+BQ43</f>
        <v>0</v>
      </c>
      <c r="AH43" s="338">
        <f>AF43-AG43</f>
        <v>4142825.6</v>
      </c>
      <c r="AI43" s="342"/>
      <c r="AJ43" s="336">
        <f>W43+Z43</f>
        <v>5178532</v>
      </c>
      <c r="AK43" s="339">
        <f>X43+AA43</f>
        <v>0</v>
      </c>
      <c r="AL43" s="340">
        <f>AJ43-AK43</f>
        <v>5178532</v>
      </c>
      <c r="AM43" s="336">
        <f>W43+Z43+AC43</f>
        <v>8285651.2000000002</v>
      </c>
      <c r="AN43" s="339">
        <f>X43+AA43+AD43</f>
        <v>0</v>
      </c>
      <c r="AO43" s="340">
        <f>AM43-AN43</f>
        <v>8285651.2000000002</v>
      </c>
      <c r="AP43" s="341">
        <f>W43+Z43+AC43+AF43</f>
        <v>12428476.800000001</v>
      </c>
      <c r="AQ43" s="339">
        <f>X43+AA43+AD43+AG43</f>
        <v>0</v>
      </c>
      <c r="AR43" s="340">
        <f>AP43-AQ43</f>
        <v>12428476.800000001</v>
      </c>
      <c r="AS43" s="589">
        <f t="shared" si="21"/>
        <v>0</v>
      </c>
      <c r="AT43" s="343"/>
      <c r="AU43" s="344"/>
      <c r="AV43" s="345">
        <v>1035706.4</v>
      </c>
      <c r="AW43" s="344"/>
      <c r="AX43" s="345">
        <v>1035706.4</v>
      </c>
      <c r="AY43" s="346"/>
      <c r="AZ43" s="347">
        <v>1035706.4</v>
      </c>
      <c r="BA43" s="348"/>
      <c r="BB43" s="349">
        <v>1035706.4</v>
      </c>
      <c r="BC43" s="348"/>
      <c r="BD43" s="349">
        <v>1035706.4</v>
      </c>
      <c r="BE43" s="350"/>
      <c r="BF43" s="351">
        <v>1035706.4</v>
      </c>
      <c r="BG43" s="352"/>
      <c r="BH43" s="337">
        <v>1035706.4</v>
      </c>
      <c r="BI43" s="352"/>
      <c r="BJ43" s="337">
        <v>1035706.4</v>
      </c>
      <c r="BK43" s="353"/>
      <c r="BL43" s="354">
        <v>1035706.4</v>
      </c>
      <c r="BM43" s="355"/>
      <c r="BN43" s="356">
        <v>1035706.4</v>
      </c>
      <c r="BO43" s="355"/>
      <c r="BP43" s="356">
        <f>1035706.4*2</f>
        <v>2071412.8</v>
      </c>
      <c r="BQ43" s="357"/>
    </row>
    <row r="44" spans="1:69" s="86" customFormat="1" ht="31.5" customHeight="1" collapsed="1">
      <c r="A44" s="378" t="s">
        <v>377</v>
      </c>
      <c r="B44" s="359" t="s">
        <v>206</v>
      </c>
      <c r="C44" s="86" t="s">
        <v>201</v>
      </c>
      <c r="D44" s="646" t="s">
        <v>7</v>
      </c>
      <c r="E44" s="646">
        <v>4</v>
      </c>
      <c r="F44" s="646" t="s">
        <v>71</v>
      </c>
      <c r="G44" s="646">
        <v>244</v>
      </c>
      <c r="H44" s="716">
        <v>225</v>
      </c>
      <c r="I44" s="717" t="s">
        <v>149</v>
      </c>
      <c r="J44" s="13">
        <f>SUM(J45:J47)</f>
        <v>77583.179999999993</v>
      </c>
      <c r="K44" s="13"/>
      <c r="L44" s="13"/>
      <c r="M44" s="661"/>
      <c r="N44" s="13">
        <f>SUM(N45:N47)</f>
        <v>81611.22</v>
      </c>
      <c r="O44" s="661"/>
      <c r="P44" s="13">
        <f>SUM(P45:P47)</f>
        <v>81611.22</v>
      </c>
      <c r="Q44" s="665"/>
      <c r="R44" s="334"/>
      <c r="S44" s="305"/>
      <c r="T44" s="305"/>
      <c r="U44" s="305"/>
      <c r="W44" s="367">
        <f t="shared" si="7"/>
        <v>10580.52</v>
      </c>
      <c r="X44" s="363">
        <f t="shared" si="7"/>
        <v>0</v>
      </c>
      <c r="Y44" s="280">
        <f t="shared" si="8"/>
        <v>10580.52</v>
      </c>
      <c r="Z44" s="367">
        <f t="shared" si="9"/>
        <v>21870.78</v>
      </c>
      <c r="AA44" s="363">
        <f t="shared" si="9"/>
        <v>0</v>
      </c>
      <c r="AB44" s="280">
        <f t="shared" si="10"/>
        <v>21870.78</v>
      </c>
      <c r="AC44" s="367">
        <f t="shared" si="11"/>
        <v>13870.78</v>
      </c>
      <c r="AD44" s="363">
        <f t="shared" si="11"/>
        <v>0</v>
      </c>
      <c r="AE44" s="280">
        <f t="shared" si="12"/>
        <v>13870.78</v>
      </c>
      <c r="AF44" s="367">
        <f t="shared" si="13"/>
        <v>29161.040000000001</v>
      </c>
      <c r="AG44" s="363">
        <f t="shared" si="13"/>
        <v>0</v>
      </c>
      <c r="AH44" s="280">
        <f t="shared" si="14"/>
        <v>29161.040000000001</v>
      </c>
      <c r="AI44" s="210"/>
      <c r="AJ44" s="367">
        <f t="shared" si="15"/>
        <v>32451.3</v>
      </c>
      <c r="AK44" s="363">
        <f t="shared" si="15"/>
        <v>0</v>
      </c>
      <c r="AL44" s="280">
        <f t="shared" si="16"/>
        <v>32451.3</v>
      </c>
      <c r="AM44" s="367">
        <f t="shared" si="17"/>
        <v>46322.080000000002</v>
      </c>
      <c r="AN44" s="363">
        <f t="shared" si="17"/>
        <v>0</v>
      </c>
      <c r="AO44" s="280">
        <f t="shared" si="18"/>
        <v>46322.080000000002</v>
      </c>
      <c r="AP44" s="263">
        <f t="shared" si="22"/>
        <v>75483.12</v>
      </c>
      <c r="AQ44" s="10">
        <f t="shared" si="19"/>
        <v>0</v>
      </c>
      <c r="AR44" s="650">
        <f t="shared" si="20"/>
        <v>75483.12</v>
      </c>
      <c r="AS44" s="607">
        <f t="shared" si="21"/>
        <v>2100.06</v>
      </c>
      <c r="AT44" s="263">
        <f t="shared" ref="AT44:BQ44" si="32">SUM(AT45:AT47)</f>
        <v>0</v>
      </c>
      <c r="AU44" s="363">
        <f t="shared" si="32"/>
        <v>0</v>
      </c>
      <c r="AV44" s="10">
        <f t="shared" si="32"/>
        <v>3290.26</v>
      </c>
      <c r="AW44" s="363">
        <f t="shared" si="32"/>
        <v>0</v>
      </c>
      <c r="AX44" s="10">
        <f t="shared" si="32"/>
        <v>7290.26</v>
      </c>
      <c r="AY44" s="369">
        <f t="shared" si="32"/>
        <v>0</v>
      </c>
      <c r="AZ44" s="263">
        <f t="shared" si="32"/>
        <v>7290.26</v>
      </c>
      <c r="BA44" s="363">
        <f t="shared" si="32"/>
        <v>0</v>
      </c>
      <c r="BB44" s="10">
        <f t="shared" si="32"/>
        <v>7290.26</v>
      </c>
      <c r="BC44" s="363">
        <f t="shared" si="32"/>
        <v>0</v>
      </c>
      <c r="BD44" s="10">
        <f t="shared" si="32"/>
        <v>7290.26</v>
      </c>
      <c r="BE44" s="369">
        <f t="shared" si="32"/>
        <v>0</v>
      </c>
      <c r="BF44" s="263">
        <f t="shared" si="32"/>
        <v>7290.26</v>
      </c>
      <c r="BG44" s="363">
        <f t="shared" si="32"/>
        <v>0</v>
      </c>
      <c r="BH44" s="10">
        <f t="shared" si="32"/>
        <v>3290.26</v>
      </c>
      <c r="BI44" s="363">
        <f t="shared" si="32"/>
        <v>0</v>
      </c>
      <c r="BJ44" s="10">
        <f t="shared" si="32"/>
        <v>3290.26</v>
      </c>
      <c r="BK44" s="369">
        <f t="shared" si="32"/>
        <v>0</v>
      </c>
      <c r="BL44" s="263">
        <f t="shared" si="32"/>
        <v>7290.26</v>
      </c>
      <c r="BM44" s="363">
        <f t="shared" si="32"/>
        <v>0</v>
      </c>
      <c r="BN44" s="10">
        <f t="shared" si="32"/>
        <v>7290.26</v>
      </c>
      <c r="BO44" s="363">
        <f t="shared" si="32"/>
        <v>0</v>
      </c>
      <c r="BP44" s="10">
        <f t="shared" si="32"/>
        <v>14580.52</v>
      </c>
      <c r="BQ44" s="280">
        <f t="shared" si="32"/>
        <v>0</v>
      </c>
    </row>
    <row r="45" spans="1:69" s="313" customFormat="1" ht="63.75" hidden="1" outlineLevel="1">
      <c r="B45" s="389" t="s">
        <v>259</v>
      </c>
      <c r="D45" s="686" t="s">
        <v>7</v>
      </c>
      <c r="E45" s="687">
        <v>4</v>
      </c>
      <c r="F45" s="688" t="s">
        <v>71</v>
      </c>
      <c r="G45" s="688">
        <v>244</v>
      </c>
      <c r="H45" s="689">
        <v>225</v>
      </c>
      <c r="I45" s="690" t="s">
        <v>262</v>
      </c>
      <c r="J45" s="691">
        <f>18311.28-4028.04</f>
        <v>14283.24</v>
      </c>
      <c r="K45" s="692"/>
      <c r="L45" s="692"/>
      <c r="M45" s="559"/>
      <c r="N45" s="691">
        <v>18311.28</v>
      </c>
      <c r="O45" s="559"/>
      <c r="P45" s="691">
        <v>18311.28</v>
      </c>
      <c r="Q45" s="559"/>
      <c r="R45" s="335"/>
      <c r="S45" s="596" t="s">
        <v>253</v>
      </c>
      <c r="T45" s="597" t="s">
        <v>394</v>
      </c>
      <c r="U45" s="597" t="s">
        <v>381</v>
      </c>
      <c r="W45" s="336">
        <f t="shared" ref="W45:X80" si="33">AT45+AV45+AX45</f>
        <v>2380.54</v>
      </c>
      <c r="X45" s="337">
        <f t="shared" si="33"/>
        <v>0</v>
      </c>
      <c r="Y45" s="338">
        <f t="shared" si="8"/>
        <v>2380.54</v>
      </c>
      <c r="Z45" s="336">
        <f t="shared" ref="Z45:AA80" si="34">AZ45+BB45+BD45</f>
        <v>3570.81</v>
      </c>
      <c r="AA45" s="337">
        <f t="shared" si="34"/>
        <v>0</v>
      </c>
      <c r="AB45" s="338">
        <f t="shared" si="10"/>
        <v>3570.81</v>
      </c>
      <c r="AC45" s="336">
        <f t="shared" ref="AC45:AD80" si="35">BF45+BH45+BJ45</f>
        <v>3570.81</v>
      </c>
      <c r="AD45" s="337">
        <f t="shared" si="35"/>
        <v>0</v>
      </c>
      <c r="AE45" s="338">
        <f t="shared" si="12"/>
        <v>3570.81</v>
      </c>
      <c r="AF45" s="336">
        <f t="shared" ref="AF45:AG80" si="36">BL45+BN45+BP45</f>
        <v>4761.08</v>
      </c>
      <c r="AG45" s="337">
        <f t="shared" si="36"/>
        <v>0</v>
      </c>
      <c r="AH45" s="338">
        <f t="shared" si="14"/>
        <v>4761.08</v>
      </c>
      <c r="AI45" s="342"/>
      <c r="AJ45" s="336">
        <f t="shared" ref="AJ45:AK80" si="37">W45+Z45</f>
        <v>5951.35</v>
      </c>
      <c r="AK45" s="339">
        <f t="shared" si="37"/>
        <v>0</v>
      </c>
      <c r="AL45" s="340">
        <f t="shared" si="16"/>
        <v>5951.35</v>
      </c>
      <c r="AM45" s="336">
        <f t="shared" ref="AM45:AN80" si="38">W45+Z45+AC45</f>
        <v>9522.16</v>
      </c>
      <c r="AN45" s="339">
        <f t="shared" si="38"/>
        <v>0</v>
      </c>
      <c r="AO45" s="340">
        <f t="shared" si="18"/>
        <v>9522.16</v>
      </c>
      <c r="AP45" s="341">
        <f t="shared" si="22"/>
        <v>14283.24</v>
      </c>
      <c r="AQ45" s="339">
        <f t="shared" si="19"/>
        <v>0</v>
      </c>
      <c r="AR45" s="340">
        <f t="shared" si="20"/>
        <v>14283.24</v>
      </c>
      <c r="AS45" s="589">
        <f t="shared" si="21"/>
        <v>0</v>
      </c>
      <c r="AT45" s="343"/>
      <c r="AU45" s="344"/>
      <c r="AV45" s="345">
        <v>1190.27</v>
      </c>
      <c r="AW45" s="344"/>
      <c r="AX45" s="345">
        <v>1190.27</v>
      </c>
      <c r="AY45" s="346"/>
      <c r="AZ45" s="347">
        <v>1190.27</v>
      </c>
      <c r="BA45" s="348"/>
      <c r="BB45" s="349">
        <v>1190.27</v>
      </c>
      <c r="BC45" s="348"/>
      <c r="BD45" s="349">
        <v>1190.27</v>
      </c>
      <c r="BE45" s="350"/>
      <c r="BF45" s="351">
        <v>1190.27</v>
      </c>
      <c r="BG45" s="352"/>
      <c r="BH45" s="337">
        <v>1190.27</v>
      </c>
      <c r="BI45" s="352"/>
      <c r="BJ45" s="337">
        <v>1190.27</v>
      </c>
      <c r="BK45" s="353"/>
      <c r="BL45" s="354">
        <v>1190.27</v>
      </c>
      <c r="BM45" s="355"/>
      <c r="BN45" s="356">
        <v>1190.27</v>
      </c>
      <c r="BO45" s="355"/>
      <c r="BP45" s="356">
        <f>1190.27*2</f>
        <v>2380.54</v>
      </c>
      <c r="BQ45" s="357"/>
    </row>
    <row r="46" spans="1:69" s="313" customFormat="1" ht="76.5" hidden="1" outlineLevel="1">
      <c r="B46" s="390" t="s">
        <v>259</v>
      </c>
      <c r="D46" s="373" t="s">
        <v>7</v>
      </c>
      <c r="E46" s="315">
        <v>4</v>
      </c>
      <c r="F46" s="314" t="s">
        <v>71</v>
      </c>
      <c r="G46" s="314">
        <v>244</v>
      </c>
      <c r="H46" s="316">
        <v>225</v>
      </c>
      <c r="I46" s="533" t="s">
        <v>263</v>
      </c>
      <c r="J46" s="341">
        <v>25199.88</v>
      </c>
      <c r="K46" s="318"/>
      <c r="L46" s="318"/>
      <c r="M46" s="559"/>
      <c r="N46" s="341">
        <v>25199.88</v>
      </c>
      <c r="O46" s="559"/>
      <c r="P46" s="341">
        <v>25199.88</v>
      </c>
      <c r="Q46" s="559"/>
      <c r="R46" s="335"/>
      <c r="S46" s="596" t="s">
        <v>255</v>
      </c>
      <c r="T46" s="610"/>
      <c r="U46" s="597" t="s">
        <v>387</v>
      </c>
      <c r="W46" s="336">
        <f t="shared" si="33"/>
        <v>4199.9799999999996</v>
      </c>
      <c r="X46" s="337">
        <f t="shared" si="33"/>
        <v>0</v>
      </c>
      <c r="Y46" s="338">
        <f t="shared" si="8"/>
        <v>4199.9799999999996</v>
      </c>
      <c r="Z46" s="336">
        <f t="shared" si="34"/>
        <v>6299.97</v>
      </c>
      <c r="AA46" s="337">
        <f t="shared" si="34"/>
        <v>0</v>
      </c>
      <c r="AB46" s="338">
        <f t="shared" si="10"/>
        <v>6299.97</v>
      </c>
      <c r="AC46" s="336">
        <f t="shared" si="35"/>
        <v>6299.97</v>
      </c>
      <c r="AD46" s="337">
        <f t="shared" si="35"/>
        <v>0</v>
      </c>
      <c r="AE46" s="338">
        <f t="shared" si="12"/>
        <v>6299.97</v>
      </c>
      <c r="AF46" s="336">
        <f t="shared" si="36"/>
        <v>8399.9599999999991</v>
      </c>
      <c r="AG46" s="337">
        <f t="shared" si="36"/>
        <v>0</v>
      </c>
      <c r="AH46" s="338">
        <f t="shared" si="14"/>
        <v>8399.9599999999991</v>
      </c>
      <c r="AI46" s="342"/>
      <c r="AJ46" s="336">
        <f t="shared" si="37"/>
        <v>10499.95</v>
      </c>
      <c r="AK46" s="339">
        <f t="shared" si="37"/>
        <v>0</v>
      </c>
      <c r="AL46" s="340">
        <f t="shared" si="16"/>
        <v>10499.95</v>
      </c>
      <c r="AM46" s="336">
        <f t="shared" si="38"/>
        <v>16799.919999999998</v>
      </c>
      <c r="AN46" s="339">
        <f t="shared" si="38"/>
        <v>0</v>
      </c>
      <c r="AO46" s="340">
        <f t="shared" si="18"/>
        <v>16799.919999999998</v>
      </c>
      <c r="AP46" s="341">
        <f t="shared" si="22"/>
        <v>25199.88</v>
      </c>
      <c r="AQ46" s="339">
        <f t="shared" si="19"/>
        <v>0</v>
      </c>
      <c r="AR46" s="340">
        <f t="shared" si="20"/>
        <v>25199.88</v>
      </c>
      <c r="AS46" s="589">
        <f t="shared" si="21"/>
        <v>0</v>
      </c>
      <c r="AT46" s="343"/>
      <c r="AU46" s="344"/>
      <c r="AV46" s="345">
        <v>2099.9899999999998</v>
      </c>
      <c r="AW46" s="344"/>
      <c r="AX46" s="345">
        <v>2099.9899999999998</v>
      </c>
      <c r="AY46" s="346"/>
      <c r="AZ46" s="347">
        <v>2099.9899999999998</v>
      </c>
      <c r="BA46" s="348"/>
      <c r="BB46" s="349">
        <v>2099.9899999999998</v>
      </c>
      <c r="BC46" s="348"/>
      <c r="BD46" s="349">
        <v>2099.9899999999998</v>
      </c>
      <c r="BE46" s="350"/>
      <c r="BF46" s="351">
        <v>2099.9899999999998</v>
      </c>
      <c r="BG46" s="352"/>
      <c r="BH46" s="337">
        <v>2099.9899999999998</v>
      </c>
      <c r="BI46" s="352"/>
      <c r="BJ46" s="337">
        <v>2099.9899999999998</v>
      </c>
      <c r="BK46" s="353"/>
      <c r="BL46" s="354">
        <v>2099.9899999999998</v>
      </c>
      <c r="BM46" s="355"/>
      <c r="BN46" s="356">
        <v>2099.9899999999998</v>
      </c>
      <c r="BO46" s="355"/>
      <c r="BP46" s="356">
        <f>2099.99*2</f>
        <v>4199.9799999999996</v>
      </c>
      <c r="BQ46" s="357"/>
    </row>
    <row r="47" spans="1:69" s="313" customFormat="1" ht="38.25" hidden="1" outlineLevel="1">
      <c r="B47" s="389" t="s">
        <v>216</v>
      </c>
      <c r="D47" s="373" t="s">
        <v>7</v>
      </c>
      <c r="E47" s="315">
        <v>4</v>
      </c>
      <c r="F47" s="314" t="s">
        <v>71</v>
      </c>
      <c r="G47" s="314">
        <v>244</v>
      </c>
      <c r="H47" s="316">
        <v>225</v>
      </c>
      <c r="I47" s="533" t="s">
        <v>361</v>
      </c>
      <c r="J47" s="341">
        <v>38100.06</v>
      </c>
      <c r="K47" s="318"/>
      <c r="L47" s="318"/>
      <c r="M47" s="559"/>
      <c r="N47" s="341">
        <v>38100.06</v>
      </c>
      <c r="O47" s="559"/>
      <c r="P47" s="341">
        <v>38100.06</v>
      </c>
      <c r="Q47" s="559"/>
      <c r="R47" s="335"/>
      <c r="S47" s="596" t="s">
        <v>258</v>
      </c>
      <c r="T47" s="610"/>
      <c r="U47" s="597" t="s">
        <v>381</v>
      </c>
      <c r="W47" s="336">
        <f t="shared" si="33"/>
        <v>4000</v>
      </c>
      <c r="X47" s="337">
        <f t="shared" si="33"/>
        <v>0</v>
      </c>
      <c r="Y47" s="338">
        <f t="shared" si="8"/>
        <v>4000</v>
      </c>
      <c r="Z47" s="336">
        <f t="shared" si="34"/>
        <v>12000</v>
      </c>
      <c r="AA47" s="337">
        <f t="shared" si="34"/>
        <v>0</v>
      </c>
      <c r="AB47" s="338">
        <f t="shared" si="10"/>
        <v>12000</v>
      </c>
      <c r="AC47" s="336">
        <f t="shared" si="35"/>
        <v>4000</v>
      </c>
      <c r="AD47" s="337">
        <f t="shared" si="35"/>
        <v>0</v>
      </c>
      <c r="AE47" s="338">
        <f t="shared" si="12"/>
        <v>4000</v>
      </c>
      <c r="AF47" s="336">
        <f t="shared" si="36"/>
        <v>16000</v>
      </c>
      <c r="AG47" s="337">
        <f t="shared" si="36"/>
        <v>0</v>
      </c>
      <c r="AH47" s="338">
        <f t="shared" si="14"/>
        <v>16000</v>
      </c>
      <c r="AI47" s="342"/>
      <c r="AJ47" s="336">
        <f t="shared" si="37"/>
        <v>16000</v>
      </c>
      <c r="AK47" s="339">
        <f t="shared" si="37"/>
        <v>0</v>
      </c>
      <c r="AL47" s="340">
        <f t="shared" si="16"/>
        <v>16000</v>
      </c>
      <c r="AM47" s="336">
        <f t="shared" si="38"/>
        <v>20000</v>
      </c>
      <c r="AN47" s="339">
        <f t="shared" si="38"/>
        <v>0</v>
      </c>
      <c r="AO47" s="340">
        <f t="shared" si="18"/>
        <v>20000</v>
      </c>
      <c r="AP47" s="341">
        <f t="shared" si="22"/>
        <v>36000</v>
      </c>
      <c r="AQ47" s="339">
        <f t="shared" si="19"/>
        <v>0</v>
      </c>
      <c r="AR47" s="340">
        <f t="shared" si="20"/>
        <v>36000</v>
      </c>
      <c r="AS47" s="589">
        <f t="shared" si="21"/>
        <v>2100.06</v>
      </c>
      <c r="AT47" s="343"/>
      <c r="AU47" s="344"/>
      <c r="AV47" s="345"/>
      <c r="AW47" s="344"/>
      <c r="AX47" s="345">
        <v>4000</v>
      </c>
      <c r="AY47" s="346"/>
      <c r="AZ47" s="347">
        <v>4000</v>
      </c>
      <c r="BA47" s="348"/>
      <c r="BB47" s="349">
        <v>4000</v>
      </c>
      <c r="BC47" s="348"/>
      <c r="BD47" s="349">
        <v>4000</v>
      </c>
      <c r="BE47" s="350"/>
      <c r="BF47" s="351">
        <v>4000</v>
      </c>
      <c r="BG47" s="352"/>
      <c r="BH47" s="337"/>
      <c r="BI47" s="352"/>
      <c r="BJ47" s="337"/>
      <c r="BK47" s="353"/>
      <c r="BL47" s="354">
        <v>4000</v>
      </c>
      <c r="BM47" s="355"/>
      <c r="BN47" s="356">
        <v>4000</v>
      </c>
      <c r="BO47" s="355"/>
      <c r="BP47" s="356">
        <f>4000*2</f>
        <v>8000</v>
      </c>
      <c r="BQ47" s="357"/>
    </row>
    <row r="48" spans="1:69" s="86" customFormat="1" ht="31.5" customHeight="1" collapsed="1">
      <c r="A48" s="378" t="s">
        <v>377</v>
      </c>
      <c r="B48" s="370" t="s">
        <v>207</v>
      </c>
      <c r="C48" s="86" t="s">
        <v>201</v>
      </c>
      <c r="D48" s="646" t="s">
        <v>7</v>
      </c>
      <c r="E48" s="646">
        <v>4</v>
      </c>
      <c r="F48" s="646" t="s">
        <v>71</v>
      </c>
      <c r="G48" s="646">
        <v>244</v>
      </c>
      <c r="H48" s="716">
        <v>225</v>
      </c>
      <c r="I48" s="717" t="s">
        <v>148</v>
      </c>
      <c r="J48" s="13">
        <f>J49</f>
        <v>535089.69999999995</v>
      </c>
      <c r="K48" s="13"/>
      <c r="L48" s="13"/>
      <c r="M48" s="661"/>
      <c r="N48" s="13">
        <f>N49</f>
        <v>538687.53</v>
      </c>
      <c r="O48" s="661"/>
      <c r="P48" s="13">
        <f>P49</f>
        <v>538687.52</v>
      </c>
      <c r="Q48" s="665"/>
      <c r="R48" s="334"/>
      <c r="S48" s="305">
        <f>J161</f>
        <v>182466.04</v>
      </c>
      <c r="T48" s="305"/>
      <c r="U48" s="654">
        <f>J48/(J48+S48)</f>
        <v>0.74570000000000003</v>
      </c>
      <c r="W48" s="367">
        <f t="shared" si="33"/>
        <v>50637.24</v>
      </c>
      <c r="X48" s="363">
        <f t="shared" si="33"/>
        <v>0</v>
      </c>
      <c r="Y48" s="280">
        <f t="shared" si="8"/>
        <v>50637.24</v>
      </c>
      <c r="Z48" s="367">
        <f t="shared" si="34"/>
        <v>93827.82</v>
      </c>
      <c r="AA48" s="363">
        <f t="shared" si="34"/>
        <v>0</v>
      </c>
      <c r="AB48" s="280">
        <f t="shared" si="10"/>
        <v>93827.82</v>
      </c>
      <c r="AC48" s="367">
        <f t="shared" si="35"/>
        <v>96806.48</v>
      </c>
      <c r="AD48" s="363">
        <f t="shared" si="35"/>
        <v>0</v>
      </c>
      <c r="AE48" s="280">
        <f t="shared" si="12"/>
        <v>96806.48</v>
      </c>
      <c r="AF48" s="367">
        <f t="shared" si="36"/>
        <v>0</v>
      </c>
      <c r="AG48" s="363">
        <f t="shared" si="36"/>
        <v>0</v>
      </c>
      <c r="AH48" s="280">
        <f t="shared" si="14"/>
        <v>0</v>
      </c>
      <c r="AI48" s="210"/>
      <c r="AJ48" s="367">
        <f t="shared" si="37"/>
        <v>144465.06</v>
      </c>
      <c r="AK48" s="363">
        <f t="shared" si="37"/>
        <v>0</v>
      </c>
      <c r="AL48" s="280">
        <f t="shared" si="16"/>
        <v>144465.06</v>
      </c>
      <c r="AM48" s="367">
        <f t="shared" si="38"/>
        <v>241271.54</v>
      </c>
      <c r="AN48" s="363">
        <f t="shared" si="38"/>
        <v>0</v>
      </c>
      <c r="AO48" s="280">
        <f t="shared" si="18"/>
        <v>241271.54</v>
      </c>
      <c r="AP48" s="263">
        <f t="shared" si="22"/>
        <v>241271.54</v>
      </c>
      <c r="AQ48" s="10">
        <f t="shared" si="19"/>
        <v>0</v>
      </c>
      <c r="AR48" s="650">
        <f t="shared" si="20"/>
        <v>241271.54</v>
      </c>
      <c r="AS48" s="607">
        <f t="shared" si="21"/>
        <v>293818.15999999997</v>
      </c>
      <c r="AT48" s="263">
        <f t="shared" ref="AT48:BQ48" si="39">AT49</f>
        <v>0</v>
      </c>
      <c r="AU48" s="363">
        <f t="shared" si="39"/>
        <v>0</v>
      </c>
      <c r="AV48" s="10">
        <f t="shared" si="39"/>
        <v>22339.96</v>
      </c>
      <c r="AW48" s="363">
        <f t="shared" si="39"/>
        <v>0</v>
      </c>
      <c r="AX48" s="10">
        <f t="shared" si="39"/>
        <v>28297.279999999999</v>
      </c>
      <c r="AY48" s="369">
        <f t="shared" si="39"/>
        <v>0</v>
      </c>
      <c r="AZ48" s="263">
        <f t="shared" si="39"/>
        <v>32765.27</v>
      </c>
      <c r="BA48" s="363">
        <f t="shared" si="39"/>
        <v>0</v>
      </c>
      <c r="BB48" s="10">
        <f t="shared" si="39"/>
        <v>32765.27</v>
      </c>
      <c r="BC48" s="363">
        <f t="shared" si="39"/>
        <v>0</v>
      </c>
      <c r="BD48" s="10">
        <f t="shared" si="39"/>
        <v>28297.279999999999</v>
      </c>
      <c r="BE48" s="369">
        <f t="shared" si="39"/>
        <v>0</v>
      </c>
      <c r="BF48" s="263">
        <f t="shared" si="39"/>
        <v>31275.94</v>
      </c>
      <c r="BG48" s="363">
        <f t="shared" si="39"/>
        <v>0</v>
      </c>
      <c r="BH48" s="10">
        <f t="shared" si="39"/>
        <v>32765.27</v>
      </c>
      <c r="BI48" s="363">
        <f t="shared" si="39"/>
        <v>0</v>
      </c>
      <c r="BJ48" s="10">
        <f t="shared" si="39"/>
        <v>32765.27</v>
      </c>
      <c r="BK48" s="369">
        <f t="shared" si="39"/>
        <v>0</v>
      </c>
      <c r="BL48" s="263">
        <f t="shared" si="39"/>
        <v>0</v>
      </c>
      <c r="BM48" s="363">
        <f t="shared" si="39"/>
        <v>0</v>
      </c>
      <c r="BN48" s="10">
        <f t="shared" si="39"/>
        <v>0</v>
      </c>
      <c r="BO48" s="363">
        <f t="shared" si="39"/>
        <v>0</v>
      </c>
      <c r="BP48" s="10">
        <f t="shared" si="39"/>
        <v>0</v>
      </c>
      <c r="BQ48" s="280">
        <f t="shared" si="39"/>
        <v>0</v>
      </c>
    </row>
    <row r="49" spans="1:69" s="313" customFormat="1" ht="25.5" hidden="1" outlineLevel="1">
      <c r="B49" s="390" t="s">
        <v>207</v>
      </c>
      <c r="D49" s="686" t="s">
        <v>7</v>
      </c>
      <c r="E49" s="687">
        <v>4</v>
      </c>
      <c r="F49" s="688" t="s">
        <v>71</v>
      </c>
      <c r="G49" s="688">
        <v>244</v>
      </c>
      <c r="H49" s="689">
        <v>225</v>
      </c>
      <c r="I49" s="690" t="s">
        <v>209</v>
      </c>
      <c r="J49" s="691">
        <v>535089.69999999995</v>
      </c>
      <c r="K49" s="692"/>
      <c r="L49" s="692"/>
      <c r="M49" s="559"/>
      <c r="N49" s="693">
        <v>538687.53</v>
      </c>
      <c r="O49" s="559"/>
      <c r="P49" s="693">
        <v>538687.52</v>
      </c>
      <c r="Q49" s="559"/>
      <c r="R49" s="335"/>
      <c r="S49" s="596" t="s">
        <v>208</v>
      </c>
      <c r="T49" s="610" t="s">
        <v>398</v>
      </c>
      <c r="U49" s="597" t="s">
        <v>397</v>
      </c>
      <c r="W49" s="336">
        <f t="shared" si="33"/>
        <v>50637.24</v>
      </c>
      <c r="X49" s="337">
        <f t="shared" si="33"/>
        <v>0</v>
      </c>
      <c r="Y49" s="338">
        <f t="shared" si="8"/>
        <v>50637.24</v>
      </c>
      <c r="Z49" s="336">
        <f t="shared" si="34"/>
        <v>93827.82</v>
      </c>
      <c r="AA49" s="337">
        <f t="shared" si="34"/>
        <v>0</v>
      </c>
      <c r="AB49" s="338">
        <f t="shared" si="10"/>
        <v>93827.82</v>
      </c>
      <c r="AC49" s="336">
        <f t="shared" si="35"/>
        <v>96806.48</v>
      </c>
      <c r="AD49" s="337">
        <f t="shared" si="35"/>
        <v>0</v>
      </c>
      <c r="AE49" s="338">
        <f t="shared" si="12"/>
        <v>96806.48</v>
      </c>
      <c r="AF49" s="336">
        <f t="shared" si="36"/>
        <v>0</v>
      </c>
      <c r="AG49" s="337">
        <f t="shared" si="36"/>
        <v>0</v>
      </c>
      <c r="AH49" s="338">
        <f t="shared" si="14"/>
        <v>0</v>
      </c>
      <c r="AI49" s="342"/>
      <c r="AJ49" s="336">
        <f t="shared" si="37"/>
        <v>144465.06</v>
      </c>
      <c r="AK49" s="339">
        <f t="shared" si="37"/>
        <v>0</v>
      </c>
      <c r="AL49" s="340">
        <f t="shared" si="16"/>
        <v>144465.06</v>
      </c>
      <c r="AM49" s="336">
        <f t="shared" si="38"/>
        <v>241271.54</v>
      </c>
      <c r="AN49" s="339">
        <f t="shared" si="38"/>
        <v>0</v>
      </c>
      <c r="AO49" s="340">
        <f t="shared" si="18"/>
        <v>241271.54</v>
      </c>
      <c r="AP49" s="341">
        <f t="shared" si="22"/>
        <v>241271.54</v>
      </c>
      <c r="AQ49" s="339">
        <f t="shared" si="19"/>
        <v>0</v>
      </c>
      <c r="AR49" s="340">
        <f t="shared" si="20"/>
        <v>241271.54</v>
      </c>
      <c r="AS49" s="589">
        <f t="shared" si="21"/>
        <v>293818.15999999997</v>
      </c>
      <c r="AT49" s="343"/>
      <c r="AU49" s="344"/>
      <c r="AV49" s="345">
        <f>925.05*1.61*15</f>
        <v>22339.96</v>
      </c>
      <c r="AW49" s="344"/>
      <c r="AX49" s="345">
        <f>925.05*1.61*19</f>
        <v>28297.279999999999</v>
      </c>
      <c r="AY49" s="346"/>
      <c r="AZ49" s="347">
        <f>925.05*1.61*22</f>
        <v>32765.27</v>
      </c>
      <c r="BA49" s="348"/>
      <c r="BB49" s="349">
        <f>925.05*1.61*22</f>
        <v>32765.27</v>
      </c>
      <c r="BC49" s="348"/>
      <c r="BD49" s="349">
        <f>925.05*1.61*19</f>
        <v>28297.279999999999</v>
      </c>
      <c r="BE49" s="350"/>
      <c r="BF49" s="351">
        <f>925.05*1.61*21</f>
        <v>31275.94</v>
      </c>
      <c r="BG49" s="352"/>
      <c r="BH49" s="337">
        <f>925.05*1.61*22</f>
        <v>32765.27</v>
      </c>
      <c r="BI49" s="352"/>
      <c r="BJ49" s="337">
        <f>925.05*1.61*22</f>
        <v>32765.27</v>
      </c>
      <c r="BK49" s="353"/>
      <c r="BL49" s="354"/>
      <c r="BM49" s="355"/>
      <c r="BN49" s="356"/>
      <c r="BO49" s="355"/>
      <c r="BP49" s="356"/>
      <c r="BQ49" s="357"/>
    </row>
    <row r="50" spans="1:69" s="86" customFormat="1" ht="47.25" customHeight="1" collapsed="1">
      <c r="A50" s="378" t="s">
        <v>377</v>
      </c>
      <c r="B50" s="370"/>
      <c r="C50" s="86" t="s">
        <v>201</v>
      </c>
      <c r="D50" s="646" t="s">
        <v>7</v>
      </c>
      <c r="E50" s="646">
        <v>4</v>
      </c>
      <c r="F50" s="646" t="s">
        <v>71</v>
      </c>
      <c r="G50" s="646">
        <v>244</v>
      </c>
      <c r="H50" s="716">
        <v>225</v>
      </c>
      <c r="I50" s="717" t="s">
        <v>364</v>
      </c>
      <c r="J50" s="13">
        <f>SUM(J51:J54)</f>
        <v>27290.76</v>
      </c>
      <c r="K50" s="13"/>
      <c r="L50" s="13"/>
      <c r="M50" s="661"/>
      <c r="N50" s="13">
        <f>SUM(N51:N54)</f>
        <v>27290.76</v>
      </c>
      <c r="O50" s="661"/>
      <c r="P50" s="13">
        <f>SUM(P51:P54)</f>
        <v>27290.76</v>
      </c>
      <c r="Q50" s="665"/>
      <c r="R50" s="334"/>
      <c r="S50" s="305"/>
      <c r="T50" s="305"/>
      <c r="U50" s="654"/>
      <c r="W50" s="367">
        <f>AT50+AV50+AX50</f>
        <v>6822.69</v>
      </c>
      <c r="X50" s="363">
        <f>AU50+AW50+AY50</f>
        <v>0</v>
      </c>
      <c r="Y50" s="280">
        <f>W50-X50</f>
        <v>6822.69</v>
      </c>
      <c r="Z50" s="367">
        <f>AZ50+BB50+BD50</f>
        <v>6822.69</v>
      </c>
      <c r="AA50" s="363">
        <f>BA50+BC50+BE50</f>
        <v>0</v>
      </c>
      <c r="AB50" s="280">
        <f>Z50-AA50</f>
        <v>6822.69</v>
      </c>
      <c r="AC50" s="367">
        <f>BF50+BH50+BJ50</f>
        <v>6822.69</v>
      </c>
      <c r="AD50" s="363">
        <f>BG50+BI50+BK50</f>
        <v>0</v>
      </c>
      <c r="AE50" s="280">
        <f>AC50-AD50</f>
        <v>6822.69</v>
      </c>
      <c r="AF50" s="367">
        <f>BL50+BN50+BP50</f>
        <v>6822.69</v>
      </c>
      <c r="AG50" s="363">
        <f>BM50+BO50+BQ50</f>
        <v>0</v>
      </c>
      <c r="AH50" s="280">
        <f>AF50-AG50</f>
        <v>6822.69</v>
      </c>
      <c r="AI50" s="210"/>
      <c r="AJ50" s="367">
        <f>W50+Z50</f>
        <v>13645.38</v>
      </c>
      <c r="AK50" s="363">
        <f>X50+AA50</f>
        <v>0</v>
      </c>
      <c r="AL50" s="280">
        <f>AJ50-AK50</f>
        <v>13645.38</v>
      </c>
      <c r="AM50" s="367">
        <f>W50+Z50+AC50</f>
        <v>20468.07</v>
      </c>
      <c r="AN50" s="363">
        <f>X50+AA50+AD50</f>
        <v>0</v>
      </c>
      <c r="AO50" s="280">
        <f>AM50-AN50</f>
        <v>20468.07</v>
      </c>
      <c r="AP50" s="263">
        <f>W50+Z50+AC50+AF50</f>
        <v>27290.76</v>
      </c>
      <c r="AQ50" s="10">
        <f>X50+AA50+AD50+AG50</f>
        <v>0</v>
      </c>
      <c r="AR50" s="650">
        <f>AP50-AQ50</f>
        <v>27290.76</v>
      </c>
      <c r="AS50" s="607">
        <f t="shared" si="21"/>
        <v>0</v>
      </c>
      <c r="AT50" s="263">
        <f>SUM(AT51:AT54)</f>
        <v>0</v>
      </c>
      <c r="AU50" s="367">
        <f t="shared" ref="AU50:BQ50" si="40">SUM(AU51:AU54)</f>
        <v>0</v>
      </c>
      <c r="AV50" s="263">
        <f t="shared" si="40"/>
        <v>6822.69</v>
      </c>
      <c r="AW50" s="367">
        <f t="shared" si="40"/>
        <v>0</v>
      </c>
      <c r="AX50" s="263">
        <f t="shared" si="40"/>
        <v>0</v>
      </c>
      <c r="AY50" s="367">
        <f t="shared" si="40"/>
        <v>0</v>
      </c>
      <c r="AZ50" s="263">
        <f t="shared" si="40"/>
        <v>6822.69</v>
      </c>
      <c r="BA50" s="367">
        <f t="shared" si="40"/>
        <v>0</v>
      </c>
      <c r="BB50" s="263">
        <f t="shared" si="40"/>
        <v>0</v>
      </c>
      <c r="BC50" s="367">
        <f t="shared" si="40"/>
        <v>0</v>
      </c>
      <c r="BD50" s="263">
        <f t="shared" si="40"/>
        <v>0</v>
      </c>
      <c r="BE50" s="367">
        <f t="shared" si="40"/>
        <v>0</v>
      </c>
      <c r="BF50" s="263">
        <f t="shared" si="40"/>
        <v>0</v>
      </c>
      <c r="BG50" s="367">
        <f t="shared" si="40"/>
        <v>0</v>
      </c>
      <c r="BH50" s="263">
        <f t="shared" si="40"/>
        <v>0</v>
      </c>
      <c r="BI50" s="367">
        <f t="shared" si="40"/>
        <v>0</v>
      </c>
      <c r="BJ50" s="263">
        <f t="shared" si="40"/>
        <v>6822.69</v>
      </c>
      <c r="BK50" s="367">
        <f t="shared" si="40"/>
        <v>0</v>
      </c>
      <c r="BL50" s="263">
        <f t="shared" si="40"/>
        <v>0</v>
      </c>
      <c r="BM50" s="367">
        <f t="shared" si="40"/>
        <v>0</v>
      </c>
      <c r="BN50" s="263">
        <f t="shared" si="40"/>
        <v>6822.69</v>
      </c>
      <c r="BO50" s="367">
        <f t="shared" si="40"/>
        <v>0</v>
      </c>
      <c r="BP50" s="263">
        <f t="shared" si="40"/>
        <v>0</v>
      </c>
      <c r="BQ50" s="367">
        <f t="shared" si="40"/>
        <v>0</v>
      </c>
    </row>
    <row r="51" spans="1:69" s="313" customFormat="1" ht="51" hidden="1" outlineLevel="1">
      <c r="B51" s="389" t="s">
        <v>216</v>
      </c>
      <c r="D51" s="686" t="s">
        <v>7</v>
      </c>
      <c r="E51" s="687">
        <v>4</v>
      </c>
      <c r="F51" s="688" t="s">
        <v>71</v>
      </c>
      <c r="G51" s="688">
        <v>244</v>
      </c>
      <c r="H51" s="689">
        <v>225</v>
      </c>
      <c r="I51" s="690" t="s">
        <v>362</v>
      </c>
      <c r="J51" s="691">
        <v>6822.69</v>
      </c>
      <c r="K51" s="692"/>
      <c r="L51" s="692"/>
      <c r="M51" s="570"/>
      <c r="N51" s="694">
        <v>6822.69</v>
      </c>
      <c r="O51" s="559"/>
      <c r="P51" s="695">
        <v>6822.69</v>
      </c>
      <c r="Q51" s="559"/>
      <c r="R51" s="335"/>
      <c r="S51" s="320" t="s">
        <v>254</v>
      </c>
      <c r="T51" s="388"/>
      <c r="U51" s="388"/>
      <c r="W51" s="336">
        <f t="shared" ref="W51:X54" si="41">AT51+AV51+AX51</f>
        <v>6822.69</v>
      </c>
      <c r="X51" s="337">
        <f t="shared" si="41"/>
        <v>0</v>
      </c>
      <c r="Y51" s="338">
        <f>W51-X51</f>
        <v>6822.69</v>
      </c>
      <c r="Z51" s="336">
        <f t="shared" ref="Z51:AA54" si="42">AZ51+BB51+BD51</f>
        <v>0</v>
      </c>
      <c r="AA51" s="337">
        <f t="shared" si="42"/>
        <v>0</v>
      </c>
      <c r="AB51" s="338">
        <f>Z51-AA51</f>
        <v>0</v>
      </c>
      <c r="AC51" s="336">
        <f t="shared" ref="AC51:AD54" si="43">BF51+BH51+BJ51</f>
        <v>0</v>
      </c>
      <c r="AD51" s="337">
        <f t="shared" si="43"/>
        <v>0</v>
      </c>
      <c r="AE51" s="338">
        <f>AC51-AD51</f>
        <v>0</v>
      </c>
      <c r="AF51" s="336">
        <f t="shared" ref="AF51:AG54" si="44">BL51+BN51+BP51</f>
        <v>0</v>
      </c>
      <c r="AG51" s="337">
        <f t="shared" si="44"/>
        <v>0</v>
      </c>
      <c r="AH51" s="338">
        <f>AF51-AG51</f>
        <v>0</v>
      </c>
      <c r="AI51" s="342"/>
      <c r="AJ51" s="336">
        <f t="shared" ref="AJ51:AK54" si="45">W51+Z51</f>
        <v>6822.69</v>
      </c>
      <c r="AK51" s="339">
        <f t="shared" si="45"/>
        <v>0</v>
      </c>
      <c r="AL51" s="340">
        <f>AJ51-AK51</f>
        <v>6822.69</v>
      </c>
      <c r="AM51" s="336">
        <f t="shared" ref="AM51:AN54" si="46">W51+Z51+AC51</f>
        <v>6822.69</v>
      </c>
      <c r="AN51" s="339">
        <f t="shared" si="46"/>
        <v>0</v>
      </c>
      <c r="AO51" s="340">
        <f>AM51-AN51</f>
        <v>6822.69</v>
      </c>
      <c r="AP51" s="341">
        <f t="shared" ref="AP51:AQ54" si="47">W51+Z51+AC51+AF51</f>
        <v>6822.69</v>
      </c>
      <c r="AQ51" s="339">
        <f t="shared" si="47"/>
        <v>0</v>
      </c>
      <c r="AR51" s="340">
        <f>AP51-AQ51</f>
        <v>6822.69</v>
      </c>
      <c r="AS51" s="589">
        <f t="shared" si="21"/>
        <v>0</v>
      </c>
      <c r="AT51" s="343"/>
      <c r="AU51" s="344"/>
      <c r="AV51" s="345">
        <f>35*170 + 7*124.67</f>
        <v>6822.69</v>
      </c>
      <c r="AW51" s="344"/>
      <c r="AX51" s="345"/>
      <c r="AY51" s="346"/>
      <c r="AZ51" s="347"/>
      <c r="BA51" s="348"/>
      <c r="BB51" s="349"/>
      <c r="BC51" s="348"/>
      <c r="BD51" s="349"/>
      <c r="BE51" s="350"/>
      <c r="BF51" s="351"/>
      <c r="BG51" s="352"/>
      <c r="BH51" s="337"/>
      <c r="BI51" s="352"/>
      <c r="BJ51" s="337"/>
      <c r="BK51" s="353"/>
      <c r="BL51" s="354"/>
      <c r="BM51" s="355"/>
      <c r="BN51" s="356"/>
      <c r="BO51" s="355"/>
      <c r="BP51" s="356"/>
      <c r="BQ51" s="357"/>
    </row>
    <row r="52" spans="1:69" s="313" customFormat="1" ht="51" hidden="1" outlineLevel="1">
      <c r="B52" s="389" t="s">
        <v>216</v>
      </c>
      <c r="D52" s="373" t="s">
        <v>7</v>
      </c>
      <c r="E52" s="315">
        <v>4</v>
      </c>
      <c r="F52" s="314" t="s">
        <v>71</v>
      </c>
      <c r="G52" s="314">
        <v>244</v>
      </c>
      <c r="H52" s="316">
        <v>225</v>
      </c>
      <c r="I52" s="533" t="s">
        <v>260</v>
      </c>
      <c r="J52" s="341">
        <v>6822.69</v>
      </c>
      <c r="K52" s="318"/>
      <c r="L52" s="318"/>
      <c r="M52" s="570"/>
      <c r="N52" s="509">
        <v>6822.69</v>
      </c>
      <c r="O52" s="559"/>
      <c r="P52" s="542">
        <v>6822.69</v>
      </c>
      <c r="Q52" s="559"/>
      <c r="R52" s="335"/>
      <c r="S52" s="320" t="s">
        <v>254</v>
      </c>
      <c r="T52" s="388" t="s">
        <v>256</v>
      </c>
      <c r="U52" s="388" t="s">
        <v>257</v>
      </c>
      <c r="W52" s="336">
        <f t="shared" si="41"/>
        <v>0</v>
      </c>
      <c r="X52" s="337">
        <f t="shared" si="41"/>
        <v>0</v>
      </c>
      <c r="Y52" s="338">
        <f t="shared" ref="Y52" si="48">W52-X52</f>
        <v>0</v>
      </c>
      <c r="Z52" s="336">
        <f t="shared" si="42"/>
        <v>6822.69</v>
      </c>
      <c r="AA52" s="337">
        <f t="shared" si="42"/>
        <v>0</v>
      </c>
      <c r="AB52" s="338">
        <f t="shared" ref="AB52" si="49">Z52-AA52</f>
        <v>6822.69</v>
      </c>
      <c r="AC52" s="336">
        <f t="shared" si="43"/>
        <v>0</v>
      </c>
      <c r="AD52" s="337">
        <f t="shared" si="43"/>
        <v>0</v>
      </c>
      <c r="AE52" s="338">
        <f t="shared" ref="AE52" si="50">AC52-AD52</f>
        <v>0</v>
      </c>
      <c r="AF52" s="336">
        <f t="shared" si="44"/>
        <v>0</v>
      </c>
      <c r="AG52" s="337">
        <f t="shared" si="44"/>
        <v>0</v>
      </c>
      <c r="AH52" s="338">
        <f t="shared" ref="AH52" si="51">AF52-AG52</f>
        <v>0</v>
      </c>
      <c r="AI52" s="342"/>
      <c r="AJ52" s="336">
        <f t="shared" si="45"/>
        <v>6822.69</v>
      </c>
      <c r="AK52" s="339">
        <f t="shared" si="45"/>
        <v>0</v>
      </c>
      <c r="AL52" s="340">
        <f t="shared" ref="AL52" si="52">AJ52-AK52</f>
        <v>6822.69</v>
      </c>
      <c r="AM52" s="336">
        <f t="shared" si="46"/>
        <v>6822.69</v>
      </c>
      <c r="AN52" s="339">
        <f t="shared" si="46"/>
        <v>0</v>
      </c>
      <c r="AO52" s="340">
        <f t="shared" ref="AO52" si="53">AM52-AN52</f>
        <v>6822.69</v>
      </c>
      <c r="AP52" s="341">
        <f t="shared" si="47"/>
        <v>6822.69</v>
      </c>
      <c r="AQ52" s="339">
        <f t="shared" si="47"/>
        <v>0</v>
      </c>
      <c r="AR52" s="340">
        <f t="shared" ref="AR52" si="54">AP52-AQ52</f>
        <v>6822.69</v>
      </c>
      <c r="AS52" s="589">
        <f t="shared" si="21"/>
        <v>0</v>
      </c>
      <c r="AT52" s="343"/>
      <c r="AU52" s="344"/>
      <c r="AV52" s="345"/>
      <c r="AW52" s="344"/>
      <c r="AX52" s="345"/>
      <c r="AY52" s="346"/>
      <c r="AZ52" s="347">
        <f>35*170 + 7*124.67</f>
        <v>6822.69</v>
      </c>
      <c r="BA52" s="348"/>
      <c r="BB52" s="349"/>
      <c r="BC52" s="348"/>
      <c r="BD52" s="349"/>
      <c r="BE52" s="350"/>
      <c r="BF52" s="351"/>
      <c r="BG52" s="352"/>
      <c r="BH52" s="337"/>
      <c r="BI52" s="352"/>
      <c r="BJ52" s="337"/>
      <c r="BK52" s="353"/>
      <c r="BL52" s="354"/>
      <c r="BM52" s="355"/>
      <c r="BN52" s="356"/>
      <c r="BO52" s="355"/>
      <c r="BP52" s="356"/>
      <c r="BQ52" s="357"/>
    </row>
    <row r="53" spans="1:69" s="313" customFormat="1" ht="51" hidden="1" outlineLevel="1">
      <c r="B53" s="389" t="s">
        <v>216</v>
      </c>
      <c r="D53" s="373" t="s">
        <v>7</v>
      </c>
      <c r="E53" s="315">
        <v>4</v>
      </c>
      <c r="F53" s="314" t="s">
        <v>71</v>
      </c>
      <c r="G53" s="314">
        <v>244</v>
      </c>
      <c r="H53" s="316">
        <v>225</v>
      </c>
      <c r="I53" s="533" t="s">
        <v>363</v>
      </c>
      <c r="J53" s="341">
        <v>6822.69</v>
      </c>
      <c r="K53" s="318"/>
      <c r="L53" s="318"/>
      <c r="M53" s="570"/>
      <c r="N53" s="509">
        <v>6822.69</v>
      </c>
      <c r="O53" s="559"/>
      <c r="P53" s="542">
        <v>6822.69</v>
      </c>
      <c r="Q53" s="559"/>
      <c r="R53" s="335"/>
      <c r="S53" s="320" t="s">
        <v>254</v>
      </c>
      <c r="T53" s="388"/>
      <c r="U53" s="388"/>
      <c r="W53" s="336">
        <f t="shared" si="41"/>
        <v>0</v>
      </c>
      <c r="X53" s="337">
        <f t="shared" si="41"/>
        <v>0</v>
      </c>
      <c r="Y53" s="338">
        <f>W53-X53</f>
        <v>0</v>
      </c>
      <c r="Z53" s="336">
        <f t="shared" si="42"/>
        <v>0</v>
      </c>
      <c r="AA53" s="337">
        <f t="shared" si="42"/>
        <v>0</v>
      </c>
      <c r="AB53" s="338">
        <f>Z53-AA53</f>
        <v>0</v>
      </c>
      <c r="AC53" s="336">
        <f t="shared" si="43"/>
        <v>6822.69</v>
      </c>
      <c r="AD53" s="337">
        <f t="shared" si="43"/>
        <v>0</v>
      </c>
      <c r="AE53" s="338">
        <f>AC53-AD53</f>
        <v>6822.69</v>
      </c>
      <c r="AF53" s="336">
        <f t="shared" si="44"/>
        <v>0</v>
      </c>
      <c r="AG53" s="337">
        <f t="shared" si="44"/>
        <v>0</v>
      </c>
      <c r="AH53" s="338">
        <f>AF53-AG53</f>
        <v>0</v>
      </c>
      <c r="AI53" s="342"/>
      <c r="AJ53" s="336">
        <f t="shared" si="45"/>
        <v>0</v>
      </c>
      <c r="AK53" s="339">
        <f t="shared" si="45"/>
        <v>0</v>
      </c>
      <c r="AL53" s="340">
        <f>AJ53-AK53</f>
        <v>0</v>
      </c>
      <c r="AM53" s="336">
        <f t="shared" si="46"/>
        <v>6822.69</v>
      </c>
      <c r="AN53" s="339">
        <f t="shared" si="46"/>
        <v>0</v>
      </c>
      <c r="AO53" s="340">
        <f>AM53-AN53</f>
        <v>6822.69</v>
      </c>
      <c r="AP53" s="341">
        <f t="shared" si="47"/>
        <v>6822.69</v>
      </c>
      <c r="AQ53" s="339">
        <f t="shared" si="47"/>
        <v>0</v>
      </c>
      <c r="AR53" s="340">
        <f>AP53-AQ53</f>
        <v>6822.69</v>
      </c>
      <c r="AS53" s="589">
        <f t="shared" si="21"/>
        <v>0</v>
      </c>
      <c r="AT53" s="343"/>
      <c r="AU53" s="344"/>
      <c r="AV53" s="345"/>
      <c r="AW53" s="344"/>
      <c r="AX53" s="345"/>
      <c r="AY53" s="346"/>
      <c r="AZ53" s="347"/>
      <c r="BA53" s="348"/>
      <c r="BB53" s="349"/>
      <c r="BC53" s="348"/>
      <c r="BD53" s="349"/>
      <c r="BE53" s="350"/>
      <c r="BF53" s="351"/>
      <c r="BG53" s="352"/>
      <c r="BH53" s="337"/>
      <c r="BI53" s="352"/>
      <c r="BJ53" s="337">
        <f>35*170 + 7*124.67</f>
        <v>6822.69</v>
      </c>
      <c r="BK53" s="353"/>
      <c r="BL53" s="354"/>
      <c r="BM53" s="355"/>
      <c r="BN53" s="356"/>
      <c r="BO53" s="355"/>
      <c r="BP53" s="356"/>
      <c r="BQ53" s="357"/>
    </row>
    <row r="54" spans="1:69" s="313" customFormat="1" ht="51" hidden="1" outlineLevel="1">
      <c r="B54" s="389" t="s">
        <v>216</v>
      </c>
      <c r="D54" s="373" t="s">
        <v>7</v>
      </c>
      <c r="E54" s="315">
        <v>4</v>
      </c>
      <c r="F54" s="314" t="s">
        <v>71</v>
      </c>
      <c r="G54" s="314">
        <v>244</v>
      </c>
      <c r="H54" s="316">
        <v>225</v>
      </c>
      <c r="I54" s="533" t="s">
        <v>261</v>
      </c>
      <c r="J54" s="341">
        <v>6822.69</v>
      </c>
      <c r="K54" s="318"/>
      <c r="L54" s="318"/>
      <c r="M54" s="570"/>
      <c r="N54" s="509">
        <v>6822.69</v>
      </c>
      <c r="O54" s="559"/>
      <c r="P54" s="542">
        <v>6822.69</v>
      </c>
      <c r="Q54" s="559"/>
      <c r="R54" s="335"/>
      <c r="S54" s="320" t="s">
        <v>254</v>
      </c>
      <c r="T54" s="388"/>
      <c r="U54" s="388"/>
      <c r="W54" s="336">
        <f t="shared" si="41"/>
        <v>0</v>
      </c>
      <c r="X54" s="337">
        <f t="shared" si="41"/>
        <v>0</v>
      </c>
      <c r="Y54" s="338">
        <f>W54-X54</f>
        <v>0</v>
      </c>
      <c r="Z54" s="336">
        <f t="shared" si="42"/>
        <v>0</v>
      </c>
      <c r="AA54" s="337">
        <f t="shared" si="42"/>
        <v>0</v>
      </c>
      <c r="AB54" s="338">
        <f>Z54-AA54</f>
        <v>0</v>
      </c>
      <c r="AC54" s="336">
        <f t="shared" si="43"/>
        <v>0</v>
      </c>
      <c r="AD54" s="337">
        <f t="shared" si="43"/>
        <v>0</v>
      </c>
      <c r="AE54" s="338">
        <f>AC54-AD54</f>
        <v>0</v>
      </c>
      <c r="AF54" s="336">
        <f t="shared" si="44"/>
        <v>6822.69</v>
      </c>
      <c r="AG54" s="337">
        <f t="shared" si="44"/>
        <v>0</v>
      </c>
      <c r="AH54" s="338">
        <f>AF54-AG54</f>
        <v>6822.69</v>
      </c>
      <c r="AI54" s="342"/>
      <c r="AJ54" s="336">
        <f t="shared" si="45"/>
        <v>0</v>
      </c>
      <c r="AK54" s="339">
        <f t="shared" si="45"/>
        <v>0</v>
      </c>
      <c r="AL54" s="340">
        <f>AJ54-AK54</f>
        <v>0</v>
      </c>
      <c r="AM54" s="336">
        <f t="shared" si="46"/>
        <v>0</v>
      </c>
      <c r="AN54" s="339">
        <f t="shared" si="46"/>
        <v>0</v>
      </c>
      <c r="AO54" s="340">
        <f>AM54-AN54</f>
        <v>0</v>
      </c>
      <c r="AP54" s="341">
        <f t="shared" si="47"/>
        <v>6822.69</v>
      </c>
      <c r="AQ54" s="339">
        <f t="shared" si="47"/>
        <v>0</v>
      </c>
      <c r="AR54" s="340">
        <f>AP54-AQ54</f>
        <v>6822.69</v>
      </c>
      <c r="AS54" s="589">
        <f t="shared" si="21"/>
        <v>0</v>
      </c>
      <c r="AT54" s="343"/>
      <c r="AU54" s="344"/>
      <c r="AV54" s="345"/>
      <c r="AW54" s="344"/>
      <c r="AX54" s="345"/>
      <c r="AY54" s="346"/>
      <c r="AZ54" s="347"/>
      <c r="BA54" s="348"/>
      <c r="BB54" s="349"/>
      <c r="BC54" s="348"/>
      <c r="BD54" s="349"/>
      <c r="BE54" s="350"/>
      <c r="BF54" s="351"/>
      <c r="BG54" s="352"/>
      <c r="BH54" s="337"/>
      <c r="BI54" s="352"/>
      <c r="BJ54" s="337"/>
      <c r="BK54" s="353"/>
      <c r="BL54" s="354"/>
      <c r="BM54" s="355"/>
      <c r="BN54" s="356">
        <f>35*170 + 7*124.67</f>
        <v>6822.69</v>
      </c>
      <c r="BO54" s="355"/>
      <c r="BP54" s="356"/>
      <c r="BQ54" s="357"/>
    </row>
    <row r="55" spans="1:69" s="86" customFormat="1" ht="31.5" customHeight="1" collapsed="1">
      <c r="A55" s="378" t="s">
        <v>377</v>
      </c>
      <c r="B55" s="359"/>
      <c r="C55" s="86" t="s">
        <v>201</v>
      </c>
      <c r="D55" s="646" t="s">
        <v>7</v>
      </c>
      <c r="E55" s="646">
        <v>4</v>
      </c>
      <c r="F55" s="646" t="s">
        <v>71</v>
      </c>
      <c r="G55" s="646">
        <v>244</v>
      </c>
      <c r="H55" s="716">
        <v>226</v>
      </c>
      <c r="I55" s="717" t="s">
        <v>150</v>
      </c>
      <c r="J55" s="13">
        <f>J56</f>
        <v>297533.71000000002</v>
      </c>
      <c r="K55" s="13"/>
      <c r="L55" s="13"/>
      <c r="M55" s="661"/>
      <c r="N55" s="13">
        <f>N56</f>
        <v>215351.84</v>
      </c>
      <c r="O55" s="661"/>
      <c r="P55" s="13">
        <f>P56</f>
        <v>185247.25</v>
      </c>
      <c r="Q55" s="665"/>
      <c r="R55" s="334"/>
      <c r="S55" s="305">
        <f>J165</f>
        <v>427623.5</v>
      </c>
      <c r="T55" s="305"/>
      <c r="U55" s="654">
        <f>J55/(J55+S55)</f>
        <v>0.4103</v>
      </c>
      <c r="W55" s="367">
        <f>AT55+AV55+AX55</f>
        <v>61200</v>
      </c>
      <c r="X55" s="363">
        <f>AU55+AW55+AY55</f>
        <v>0</v>
      </c>
      <c r="Y55" s="280">
        <f>W55-X55</f>
        <v>61200</v>
      </c>
      <c r="Z55" s="367">
        <f>AZ55+BB55+BD55</f>
        <v>113400</v>
      </c>
      <c r="AA55" s="363">
        <f>BA55+BC55+BE55</f>
        <v>0</v>
      </c>
      <c r="AB55" s="280">
        <f>Z55-AA55</f>
        <v>113400</v>
      </c>
      <c r="AC55" s="367">
        <f>BF55+BH55+BJ55</f>
        <v>117000</v>
      </c>
      <c r="AD55" s="363">
        <f>BG55+BI55+BK55</f>
        <v>0</v>
      </c>
      <c r="AE55" s="280">
        <f>AC55-AD55</f>
        <v>117000</v>
      </c>
      <c r="AF55" s="367">
        <f>BL55+BN55+BP55</f>
        <v>0</v>
      </c>
      <c r="AG55" s="363">
        <f>BM55+BO55+BQ55</f>
        <v>0</v>
      </c>
      <c r="AH55" s="280">
        <f>AF55-AG55</f>
        <v>0</v>
      </c>
      <c r="AI55" s="210"/>
      <c r="AJ55" s="367">
        <f>W55+Z55</f>
        <v>174600</v>
      </c>
      <c r="AK55" s="363">
        <f>X55+AA55</f>
        <v>0</v>
      </c>
      <c r="AL55" s="280">
        <f>AJ55-AK55</f>
        <v>174600</v>
      </c>
      <c r="AM55" s="367">
        <f>W55+Z55+AC55</f>
        <v>291600</v>
      </c>
      <c r="AN55" s="363">
        <f>X55+AA55+AD55</f>
        <v>0</v>
      </c>
      <c r="AO55" s="280">
        <f>AM55-AN55</f>
        <v>291600</v>
      </c>
      <c r="AP55" s="263">
        <f>W55+Z55+AC55+AF55</f>
        <v>291600</v>
      </c>
      <c r="AQ55" s="10">
        <f>X55+AA55+AD55+AG55</f>
        <v>0</v>
      </c>
      <c r="AR55" s="650">
        <f>AP55-AQ55</f>
        <v>291600</v>
      </c>
      <c r="AS55" s="607">
        <f t="shared" si="21"/>
        <v>5933.71</v>
      </c>
      <c r="AT55" s="263">
        <f>SUM(AT56)</f>
        <v>0</v>
      </c>
      <c r="AU55" s="363">
        <f t="shared" ref="AU55:BQ55" si="55">SUM(AU56)</f>
        <v>0</v>
      </c>
      <c r="AV55" s="10">
        <f t="shared" si="55"/>
        <v>27000</v>
      </c>
      <c r="AW55" s="363">
        <f t="shared" si="55"/>
        <v>0</v>
      </c>
      <c r="AX55" s="10">
        <f t="shared" si="55"/>
        <v>34200</v>
      </c>
      <c r="AY55" s="369">
        <f t="shared" si="55"/>
        <v>0</v>
      </c>
      <c r="AZ55" s="263">
        <f t="shared" si="55"/>
        <v>39600</v>
      </c>
      <c r="BA55" s="363">
        <f t="shared" si="55"/>
        <v>0</v>
      </c>
      <c r="BB55" s="10">
        <f t="shared" si="55"/>
        <v>39600</v>
      </c>
      <c r="BC55" s="363">
        <f t="shared" si="55"/>
        <v>0</v>
      </c>
      <c r="BD55" s="10">
        <f t="shared" si="55"/>
        <v>34200</v>
      </c>
      <c r="BE55" s="369">
        <f t="shared" si="55"/>
        <v>0</v>
      </c>
      <c r="BF55" s="263">
        <f t="shared" si="55"/>
        <v>37800</v>
      </c>
      <c r="BG55" s="363">
        <f t="shared" si="55"/>
        <v>0</v>
      </c>
      <c r="BH55" s="10">
        <f t="shared" si="55"/>
        <v>39600</v>
      </c>
      <c r="BI55" s="363">
        <f t="shared" si="55"/>
        <v>0</v>
      </c>
      <c r="BJ55" s="10">
        <f t="shared" si="55"/>
        <v>39600</v>
      </c>
      <c r="BK55" s="369">
        <f t="shared" si="55"/>
        <v>0</v>
      </c>
      <c r="BL55" s="263">
        <f t="shared" si="55"/>
        <v>0</v>
      </c>
      <c r="BM55" s="363">
        <f t="shared" si="55"/>
        <v>0</v>
      </c>
      <c r="BN55" s="10">
        <f t="shared" si="55"/>
        <v>0</v>
      </c>
      <c r="BO55" s="363">
        <f t="shared" si="55"/>
        <v>0</v>
      </c>
      <c r="BP55" s="10">
        <f t="shared" si="55"/>
        <v>0</v>
      </c>
      <c r="BQ55" s="280">
        <f t="shared" si="55"/>
        <v>0</v>
      </c>
    </row>
    <row r="56" spans="1:69" s="313" customFormat="1" ht="25.5" hidden="1" outlineLevel="1">
      <c r="D56" s="686" t="s">
        <v>7</v>
      </c>
      <c r="E56" s="687">
        <v>4</v>
      </c>
      <c r="F56" s="688" t="s">
        <v>71</v>
      </c>
      <c r="G56" s="688">
        <v>244</v>
      </c>
      <c r="H56" s="689">
        <v>226</v>
      </c>
      <c r="I56" s="690" t="s">
        <v>267</v>
      </c>
      <c r="J56" s="691">
        <v>297533.71000000002</v>
      </c>
      <c r="K56" s="692"/>
      <c r="L56" s="692"/>
      <c r="M56" s="559"/>
      <c r="N56" s="693">
        <v>215351.84</v>
      </c>
      <c r="O56" s="559"/>
      <c r="P56" s="693">
        <v>185247.25</v>
      </c>
      <c r="Q56" s="559"/>
      <c r="R56" s="335"/>
      <c r="S56" s="596" t="s">
        <v>268</v>
      </c>
      <c r="T56" s="597"/>
      <c r="U56" s="597" t="s">
        <v>392</v>
      </c>
      <c r="W56" s="336">
        <f>AT56+AV56+AX56</f>
        <v>61200</v>
      </c>
      <c r="X56" s="337">
        <f>AU56+AW56+AY56</f>
        <v>0</v>
      </c>
      <c r="Y56" s="338">
        <f>W56-X56</f>
        <v>61200</v>
      </c>
      <c r="Z56" s="336">
        <f>AZ56+BB56+BD56</f>
        <v>113400</v>
      </c>
      <c r="AA56" s="337">
        <f>BA56+BC56+BE56</f>
        <v>0</v>
      </c>
      <c r="AB56" s="338">
        <f>Z56-AA56</f>
        <v>113400</v>
      </c>
      <c r="AC56" s="336">
        <f>BF56+BH56+BJ56</f>
        <v>117000</v>
      </c>
      <c r="AD56" s="337">
        <f>BG56+BI56+BK56</f>
        <v>0</v>
      </c>
      <c r="AE56" s="338">
        <f>AC56-AD56</f>
        <v>117000</v>
      </c>
      <c r="AF56" s="336">
        <f>BL56+BN56+BP56</f>
        <v>0</v>
      </c>
      <c r="AG56" s="337">
        <f>BM56+BO56+BQ56</f>
        <v>0</v>
      </c>
      <c r="AH56" s="338">
        <f>AF56-AG56</f>
        <v>0</v>
      </c>
      <c r="AI56" s="342"/>
      <c r="AJ56" s="336">
        <f>W56+Z56</f>
        <v>174600</v>
      </c>
      <c r="AK56" s="339">
        <f>X56+AA56</f>
        <v>0</v>
      </c>
      <c r="AL56" s="340">
        <f>AJ56-AK56</f>
        <v>174600</v>
      </c>
      <c r="AM56" s="336">
        <f>W56+Z56+AC56</f>
        <v>291600</v>
      </c>
      <c r="AN56" s="339">
        <f>X56+AA56+AD56</f>
        <v>0</v>
      </c>
      <c r="AO56" s="340">
        <f>AM56-AN56</f>
        <v>291600</v>
      </c>
      <c r="AP56" s="341">
        <f>W56+Z56+AC56+AF56</f>
        <v>291600</v>
      </c>
      <c r="AQ56" s="339">
        <f>X56+AA56+AD56+AG56</f>
        <v>0</v>
      </c>
      <c r="AR56" s="340">
        <f>AP56-AQ56</f>
        <v>291600</v>
      </c>
      <c r="AS56" s="589">
        <f t="shared" si="21"/>
        <v>5933.71</v>
      </c>
      <c r="AT56" s="343"/>
      <c r="AU56" s="344"/>
      <c r="AV56" s="345">
        <f>150*12*15</f>
        <v>27000</v>
      </c>
      <c r="AW56" s="344"/>
      <c r="AX56" s="345">
        <f>150*12*19</f>
        <v>34200</v>
      </c>
      <c r="AY56" s="346"/>
      <c r="AZ56" s="347">
        <f>150*12*22</f>
        <v>39600</v>
      </c>
      <c r="BA56" s="348"/>
      <c r="BB56" s="349">
        <f>150*12*22</f>
        <v>39600</v>
      </c>
      <c r="BC56" s="348"/>
      <c r="BD56" s="349">
        <f>150*12*19</f>
        <v>34200</v>
      </c>
      <c r="BE56" s="350"/>
      <c r="BF56" s="351">
        <f>150*12*21</f>
        <v>37800</v>
      </c>
      <c r="BG56" s="352"/>
      <c r="BH56" s="337">
        <f>150*12*22</f>
        <v>39600</v>
      </c>
      <c r="BI56" s="352"/>
      <c r="BJ56" s="337">
        <f>150*12*22</f>
        <v>39600</v>
      </c>
      <c r="BK56" s="353"/>
      <c r="BL56" s="354"/>
      <c r="BM56" s="355"/>
      <c r="BN56" s="356"/>
      <c r="BO56" s="355"/>
      <c r="BP56" s="356"/>
      <c r="BQ56" s="357"/>
    </row>
    <row r="57" spans="1:69" s="86" customFormat="1" ht="60" customHeight="1" collapsed="1">
      <c r="A57" s="378" t="s">
        <v>377</v>
      </c>
      <c r="B57" s="359"/>
      <c r="C57" s="86" t="s">
        <v>201</v>
      </c>
      <c r="D57" s="646" t="s">
        <v>7</v>
      </c>
      <c r="E57" s="646">
        <v>4</v>
      </c>
      <c r="F57" s="646" t="s">
        <v>71</v>
      </c>
      <c r="G57" s="646">
        <v>244</v>
      </c>
      <c r="H57" s="716">
        <v>226</v>
      </c>
      <c r="I57" s="717" t="s">
        <v>170</v>
      </c>
      <c r="J57" s="13">
        <f>SUM(J58:J67)</f>
        <v>419234.9</v>
      </c>
      <c r="K57" s="13"/>
      <c r="L57" s="13"/>
      <c r="M57" s="661"/>
      <c r="N57" s="13">
        <f>SUM(N58:N67)</f>
        <v>515206.86</v>
      </c>
      <c r="O57" s="661"/>
      <c r="P57" s="13">
        <f>SUM(P58:P67)</f>
        <v>515206.86</v>
      </c>
      <c r="Q57" s="665"/>
      <c r="R57" s="334"/>
      <c r="S57" s="305"/>
      <c r="T57" s="305"/>
      <c r="U57" s="305"/>
      <c r="W57" s="367">
        <f t="shared" si="33"/>
        <v>75005.02</v>
      </c>
      <c r="X57" s="363">
        <f t="shared" si="33"/>
        <v>0</v>
      </c>
      <c r="Y57" s="280">
        <f t="shared" si="8"/>
        <v>75005.02</v>
      </c>
      <c r="Z57" s="367">
        <f t="shared" si="34"/>
        <v>96741.8</v>
      </c>
      <c r="AA57" s="363">
        <f t="shared" si="34"/>
        <v>0</v>
      </c>
      <c r="AB57" s="280">
        <f t="shared" si="10"/>
        <v>96741.8</v>
      </c>
      <c r="AC57" s="367">
        <f t="shared" si="35"/>
        <v>96741.8</v>
      </c>
      <c r="AD57" s="363">
        <f t="shared" si="35"/>
        <v>0</v>
      </c>
      <c r="AE57" s="280">
        <f t="shared" si="12"/>
        <v>96741.8</v>
      </c>
      <c r="AF57" s="367">
        <f t="shared" si="36"/>
        <v>150746.28</v>
      </c>
      <c r="AG57" s="363">
        <f t="shared" si="36"/>
        <v>0</v>
      </c>
      <c r="AH57" s="280">
        <f t="shared" si="14"/>
        <v>150746.28</v>
      </c>
      <c r="AI57" s="210"/>
      <c r="AJ57" s="367">
        <f t="shared" si="37"/>
        <v>171746.82</v>
      </c>
      <c r="AK57" s="363">
        <f t="shared" si="37"/>
        <v>0</v>
      </c>
      <c r="AL57" s="280">
        <f t="shared" si="16"/>
        <v>171746.82</v>
      </c>
      <c r="AM57" s="367">
        <f t="shared" si="38"/>
        <v>268488.62</v>
      </c>
      <c r="AN57" s="363">
        <f t="shared" si="38"/>
        <v>0</v>
      </c>
      <c r="AO57" s="280">
        <f t="shared" si="18"/>
        <v>268488.62</v>
      </c>
      <c r="AP57" s="263">
        <f t="shared" si="22"/>
        <v>419234.9</v>
      </c>
      <c r="AQ57" s="10">
        <f t="shared" si="19"/>
        <v>0</v>
      </c>
      <c r="AR57" s="650">
        <f t="shared" si="20"/>
        <v>419234.9</v>
      </c>
      <c r="AS57" s="607">
        <f t="shared" si="21"/>
        <v>0</v>
      </c>
      <c r="AT57" s="263">
        <f t="shared" ref="AT57:BQ57" si="56">SUM(AT58:AT67)</f>
        <v>0</v>
      </c>
      <c r="AU57" s="363">
        <f t="shared" si="56"/>
        <v>0</v>
      </c>
      <c r="AV57" s="10">
        <f t="shared" si="56"/>
        <v>42888.9</v>
      </c>
      <c r="AW57" s="363">
        <f t="shared" si="56"/>
        <v>0</v>
      </c>
      <c r="AX57" s="10">
        <f t="shared" si="56"/>
        <v>32116.12</v>
      </c>
      <c r="AY57" s="369">
        <f t="shared" si="56"/>
        <v>0</v>
      </c>
      <c r="AZ57" s="263">
        <f t="shared" si="56"/>
        <v>32263.66</v>
      </c>
      <c r="BA57" s="363">
        <f t="shared" si="56"/>
        <v>0</v>
      </c>
      <c r="BB57" s="10">
        <f t="shared" si="56"/>
        <v>32214.48</v>
      </c>
      <c r="BC57" s="363">
        <f t="shared" si="56"/>
        <v>0</v>
      </c>
      <c r="BD57" s="10">
        <f t="shared" si="56"/>
        <v>32263.66</v>
      </c>
      <c r="BE57" s="369">
        <f t="shared" si="56"/>
        <v>0</v>
      </c>
      <c r="BF57" s="263">
        <f t="shared" si="56"/>
        <v>32214.48</v>
      </c>
      <c r="BG57" s="363">
        <f t="shared" si="56"/>
        <v>0</v>
      </c>
      <c r="BH57" s="10">
        <f t="shared" si="56"/>
        <v>32263.66</v>
      </c>
      <c r="BI57" s="363">
        <f t="shared" si="56"/>
        <v>0</v>
      </c>
      <c r="BJ57" s="10">
        <f t="shared" si="56"/>
        <v>32263.66</v>
      </c>
      <c r="BK57" s="369">
        <f t="shared" si="56"/>
        <v>0</v>
      </c>
      <c r="BL57" s="263">
        <f t="shared" si="56"/>
        <v>54004.480000000003</v>
      </c>
      <c r="BM57" s="363">
        <f t="shared" si="56"/>
        <v>0</v>
      </c>
      <c r="BN57" s="10">
        <f t="shared" si="56"/>
        <v>32263.66</v>
      </c>
      <c r="BO57" s="363">
        <f t="shared" si="56"/>
        <v>0</v>
      </c>
      <c r="BP57" s="10">
        <f t="shared" si="56"/>
        <v>64478.14</v>
      </c>
      <c r="BQ57" s="280">
        <f t="shared" si="56"/>
        <v>0</v>
      </c>
    </row>
    <row r="58" spans="1:69" s="313" customFormat="1" ht="25.5" hidden="1" outlineLevel="1">
      <c r="D58" s="686" t="s">
        <v>7</v>
      </c>
      <c r="E58" s="687">
        <v>4</v>
      </c>
      <c r="F58" s="688" t="s">
        <v>71</v>
      </c>
      <c r="G58" s="688">
        <v>244</v>
      </c>
      <c r="H58" s="689">
        <v>226</v>
      </c>
      <c r="I58" s="690" t="s">
        <v>351</v>
      </c>
      <c r="J58" s="691">
        <v>17950.7</v>
      </c>
      <c r="K58" s="691"/>
      <c r="L58" s="691"/>
      <c r="M58" s="341"/>
      <c r="N58" s="691">
        <v>17950.7</v>
      </c>
      <c r="O58" s="341"/>
      <c r="P58" s="691">
        <v>17950.7</v>
      </c>
      <c r="Q58" s="560"/>
      <c r="R58" s="335"/>
      <c r="S58" s="320" t="s">
        <v>268</v>
      </c>
      <c r="T58" s="388" t="s">
        <v>325</v>
      </c>
      <c r="U58" s="388" t="s">
        <v>326</v>
      </c>
      <c r="W58" s="336">
        <f t="shared" si="33"/>
        <v>2901.62</v>
      </c>
      <c r="X58" s="337">
        <f t="shared" si="33"/>
        <v>0</v>
      </c>
      <c r="Y58" s="338">
        <f t="shared" si="8"/>
        <v>2901.62</v>
      </c>
      <c r="Z58" s="336">
        <f t="shared" si="34"/>
        <v>4524.5600000000004</v>
      </c>
      <c r="AA58" s="337">
        <f t="shared" si="34"/>
        <v>0</v>
      </c>
      <c r="AB58" s="338">
        <f t="shared" si="10"/>
        <v>4524.5600000000004</v>
      </c>
      <c r="AC58" s="336">
        <f t="shared" si="35"/>
        <v>4524.5600000000004</v>
      </c>
      <c r="AD58" s="337">
        <f t="shared" si="35"/>
        <v>0</v>
      </c>
      <c r="AE58" s="338">
        <f t="shared" si="12"/>
        <v>4524.5600000000004</v>
      </c>
      <c r="AF58" s="336">
        <f t="shared" si="36"/>
        <v>5999.96</v>
      </c>
      <c r="AG58" s="337">
        <f t="shared" si="36"/>
        <v>0</v>
      </c>
      <c r="AH58" s="338">
        <f t="shared" si="14"/>
        <v>5999.96</v>
      </c>
      <c r="AI58" s="342"/>
      <c r="AJ58" s="336">
        <f t="shared" si="37"/>
        <v>7426.18</v>
      </c>
      <c r="AK58" s="339">
        <f t="shared" si="37"/>
        <v>0</v>
      </c>
      <c r="AL58" s="340">
        <f t="shared" si="16"/>
        <v>7426.18</v>
      </c>
      <c r="AM58" s="336">
        <f t="shared" si="38"/>
        <v>11950.74</v>
      </c>
      <c r="AN58" s="339">
        <f t="shared" si="38"/>
        <v>0</v>
      </c>
      <c r="AO58" s="340">
        <f t="shared" si="18"/>
        <v>11950.74</v>
      </c>
      <c r="AP58" s="341">
        <f t="shared" si="22"/>
        <v>17950.7</v>
      </c>
      <c r="AQ58" s="339">
        <f t="shared" si="19"/>
        <v>0</v>
      </c>
      <c r="AR58" s="340">
        <f t="shared" si="20"/>
        <v>17950.7</v>
      </c>
      <c r="AS58" s="589">
        <f t="shared" si="21"/>
        <v>0</v>
      </c>
      <c r="AT58" s="343"/>
      <c r="AU58" s="344"/>
      <c r="AV58" s="345">
        <f>49.18*31</f>
        <v>1524.58</v>
      </c>
      <c r="AW58" s="344"/>
      <c r="AX58" s="345">
        <f>49.18*28</f>
        <v>1377.04</v>
      </c>
      <c r="AY58" s="346"/>
      <c r="AZ58" s="347">
        <f>49.18*31</f>
        <v>1524.58</v>
      </c>
      <c r="BA58" s="348"/>
      <c r="BB58" s="349">
        <f>49.18*30</f>
        <v>1475.4</v>
      </c>
      <c r="BC58" s="348"/>
      <c r="BD58" s="349">
        <f>49.18*31</f>
        <v>1524.58</v>
      </c>
      <c r="BE58" s="350"/>
      <c r="BF58" s="351">
        <f>49.18*30</f>
        <v>1475.4</v>
      </c>
      <c r="BG58" s="352"/>
      <c r="BH58" s="337">
        <f>49.18*31</f>
        <v>1524.58</v>
      </c>
      <c r="BI58" s="352"/>
      <c r="BJ58" s="337">
        <f>49.18*31</f>
        <v>1524.58</v>
      </c>
      <c r="BK58" s="353"/>
      <c r="BL58" s="354">
        <f>49.18*30</f>
        <v>1475.4</v>
      </c>
      <c r="BM58" s="355"/>
      <c r="BN58" s="356">
        <f>49.18*31</f>
        <v>1524.58</v>
      </c>
      <c r="BO58" s="355"/>
      <c r="BP58" s="356">
        <f>(49.18*30)+(49.18*31)</f>
        <v>2999.98</v>
      </c>
      <c r="BQ58" s="357"/>
    </row>
    <row r="59" spans="1:69" s="313" customFormat="1" ht="38.25" hidden="1" outlineLevel="1">
      <c r="D59" s="373" t="s">
        <v>7</v>
      </c>
      <c r="E59" s="315">
        <v>4</v>
      </c>
      <c r="F59" s="314" t="s">
        <v>71</v>
      </c>
      <c r="G59" s="314">
        <v>244</v>
      </c>
      <c r="H59" s="316">
        <v>226</v>
      </c>
      <c r="I59" s="533" t="s">
        <v>343</v>
      </c>
      <c r="J59" s="341">
        <v>52171.199999999997</v>
      </c>
      <c r="K59" s="318"/>
      <c r="L59" s="318"/>
      <c r="M59" s="559"/>
      <c r="N59" s="336">
        <v>52171.199999999997</v>
      </c>
      <c r="O59" s="559"/>
      <c r="P59" s="336">
        <v>52171.199999999997</v>
      </c>
      <c r="Q59" s="559"/>
      <c r="R59" s="335"/>
      <c r="S59" s="596" t="s">
        <v>253</v>
      </c>
      <c r="T59" s="597" t="s">
        <v>395</v>
      </c>
      <c r="U59" s="597" t="s">
        <v>381</v>
      </c>
      <c r="W59" s="336">
        <f>AT59+AV59+AX59</f>
        <v>8695.2000000000007</v>
      </c>
      <c r="X59" s="337">
        <f>AU59+AW59+AY59</f>
        <v>0</v>
      </c>
      <c r="Y59" s="338">
        <f>W59-X59</f>
        <v>8695.2000000000007</v>
      </c>
      <c r="Z59" s="336">
        <f>AZ59+BB59+BD59</f>
        <v>13042.8</v>
      </c>
      <c r="AA59" s="337">
        <f>BA59+BC59+BE59</f>
        <v>0</v>
      </c>
      <c r="AB59" s="338">
        <f>Z59-AA59</f>
        <v>13042.8</v>
      </c>
      <c r="AC59" s="336">
        <f>BF59+BH59+BJ59</f>
        <v>13042.8</v>
      </c>
      <c r="AD59" s="337">
        <f>BG59+BI59+BK59</f>
        <v>0</v>
      </c>
      <c r="AE59" s="338">
        <f>AC59-AD59</f>
        <v>13042.8</v>
      </c>
      <c r="AF59" s="336">
        <f>BL59+BN59+BP59</f>
        <v>17390.400000000001</v>
      </c>
      <c r="AG59" s="337">
        <f>BM59+BO59+BQ59</f>
        <v>0</v>
      </c>
      <c r="AH59" s="338">
        <f>AF59-AG59</f>
        <v>17390.400000000001</v>
      </c>
      <c r="AI59" s="342"/>
      <c r="AJ59" s="336">
        <f>W59+Z59</f>
        <v>21738</v>
      </c>
      <c r="AK59" s="339">
        <f>X59+AA59</f>
        <v>0</v>
      </c>
      <c r="AL59" s="340">
        <f>AJ59-AK59</f>
        <v>21738</v>
      </c>
      <c r="AM59" s="336">
        <f>W59+Z59+AC59</f>
        <v>34780.800000000003</v>
      </c>
      <c r="AN59" s="339">
        <f>X59+AA59+AD59</f>
        <v>0</v>
      </c>
      <c r="AO59" s="340">
        <f>AM59-AN59</f>
        <v>34780.800000000003</v>
      </c>
      <c r="AP59" s="341">
        <f>W59+Z59+AC59+AF59</f>
        <v>52171.199999999997</v>
      </c>
      <c r="AQ59" s="339">
        <f>X59+AA59+AD59+AG59</f>
        <v>0</v>
      </c>
      <c r="AR59" s="340">
        <f>AP59-AQ59</f>
        <v>52171.199999999997</v>
      </c>
      <c r="AS59" s="589">
        <f t="shared" si="21"/>
        <v>0</v>
      </c>
      <c r="AT59" s="343"/>
      <c r="AU59" s="344"/>
      <c r="AV59" s="345">
        <v>4347.6000000000004</v>
      </c>
      <c r="AW59" s="344"/>
      <c r="AX59" s="345">
        <v>4347.6000000000004</v>
      </c>
      <c r="AY59" s="346"/>
      <c r="AZ59" s="347">
        <v>4347.6000000000004</v>
      </c>
      <c r="BA59" s="348"/>
      <c r="BB59" s="349">
        <v>4347.6000000000004</v>
      </c>
      <c r="BC59" s="348"/>
      <c r="BD59" s="349">
        <v>4347.6000000000004</v>
      </c>
      <c r="BE59" s="350"/>
      <c r="BF59" s="351">
        <v>4347.6000000000004</v>
      </c>
      <c r="BG59" s="352"/>
      <c r="BH59" s="337">
        <v>4347.6000000000004</v>
      </c>
      <c r="BI59" s="352"/>
      <c r="BJ59" s="337">
        <v>4347.6000000000004</v>
      </c>
      <c r="BK59" s="353"/>
      <c r="BL59" s="354">
        <v>4347.6000000000004</v>
      </c>
      <c r="BM59" s="355"/>
      <c r="BN59" s="356">
        <v>4347.6000000000004</v>
      </c>
      <c r="BO59" s="355"/>
      <c r="BP59" s="356">
        <f>4347.6*2</f>
        <v>8695.2000000000007</v>
      </c>
      <c r="BQ59" s="357"/>
    </row>
    <row r="60" spans="1:69" s="313" customFormat="1" ht="25.5" hidden="1" outlineLevel="1">
      <c r="D60" s="373" t="s">
        <v>7</v>
      </c>
      <c r="E60" s="315">
        <v>4</v>
      </c>
      <c r="F60" s="314" t="s">
        <v>71</v>
      </c>
      <c r="G60" s="314">
        <v>244</v>
      </c>
      <c r="H60" s="316">
        <v>226</v>
      </c>
      <c r="I60" s="533" t="s">
        <v>344</v>
      </c>
      <c r="J60" s="341">
        <v>21790</v>
      </c>
      <c r="K60" s="318"/>
      <c r="L60" s="318"/>
      <c r="M60" s="559"/>
      <c r="N60" s="336">
        <v>21790</v>
      </c>
      <c r="O60" s="559"/>
      <c r="P60" s="336">
        <v>21790</v>
      </c>
      <c r="Q60" s="559"/>
      <c r="R60" s="335"/>
      <c r="S60" s="320" t="s">
        <v>255</v>
      </c>
      <c r="T60" s="388" t="s">
        <v>333</v>
      </c>
      <c r="U60" s="388" t="s">
        <v>334</v>
      </c>
      <c r="W60" s="336">
        <f>AT60+AV60+AX60</f>
        <v>0</v>
      </c>
      <c r="X60" s="337">
        <f>AU60+AW60+AY60</f>
        <v>0</v>
      </c>
      <c r="Y60" s="338">
        <f>W60-X60</f>
        <v>0</v>
      </c>
      <c r="Z60" s="336">
        <f>AZ60+BB60+BD60</f>
        <v>0</v>
      </c>
      <c r="AA60" s="337">
        <f>BA60+BC60+BE60</f>
        <v>0</v>
      </c>
      <c r="AB60" s="338">
        <f>Z60-AA60</f>
        <v>0</v>
      </c>
      <c r="AC60" s="336">
        <f>BF60+BH60+BJ60</f>
        <v>0</v>
      </c>
      <c r="AD60" s="337">
        <f>BG60+BI60+BK60</f>
        <v>0</v>
      </c>
      <c r="AE60" s="338">
        <f>AC60-AD60</f>
        <v>0</v>
      </c>
      <c r="AF60" s="336">
        <f>BL60+BN60+BP60</f>
        <v>21790</v>
      </c>
      <c r="AG60" s="337">
        <f>BM60+BO60+BQ60</f>
        <v>0</v>
      </c>
      <c r="AH60" s="338">
        <f>AF60-AG60</f>
        <v>21790</v>
      </c>
      <c r="AI60" s="342"/>
      <c r="AJ60" s="336">
        <f>W60+Z60</f>
        <v>0</v>
      </c>
      <c r="AK60" s="339">
        <f>X60+AA60</f>
        <v>0</v>
      </c>
      <c r="AL60" s="340">
        <f>AJ60-AK60</f>
        <v>0</v>
      </c>
      <c r="AM60" s="336">
        <f>W60+Z60+AC60</f>
        <v>0</v>
      </c>
      <c r="AN60" s="339">
        <f>X60+AA60+AD60</f>
        <v>0</v>
      </c>
      <c r="AO60" s="340">
        <f>AM60-AN60</f>
        <v>0</v>
      </c>
      <c r="AP60" s="341">
        <f>W60+Z60+AC60+AF60</f>
        <v>21790</v>
      </c>
      <c r="AQ60" s="339">
        <f>X60+AA60+AD60+AG60</f>
        <v>0</v>
      </c>
      <c r="AR60" s="340">
        <f>AP60-AQ60</f>
        <v>21790</v>
      </c>
      <c r="AS60" s="589">
        <f t="shared" si="21"/>
        <v>0</v>
      </c>
      <c r="AT60" s="343"/>
      <c r="AU60" s="344"/>
      <c r="AV60" s="345"/>
      <c r="AW60" s="344"/>
      <c r="AX60" s="345"/>
      <c r="AY60" s="346"/>
      <c r="AZ60" s="347"/>
      <c r="BA60" s="348"/>
      <c r="BB60" s="349"/>
      <c r="BC60" s="348"/>
      <c r="BD60" s="349"/>
      <c r="BE60" s="350"/>
      <c r="BF60" s="351"/>
      <c r="BG60" s="352"/>
      <c r="BH60" s="337"/>
      <c r="BI60" s="352"/>
      <c r="BJ60" s="337"/>
      <c r="BK60" s="353"/>
      <c r="BL60" s="354">
        <v>21790</v>
      </c>
      <c r="BM60" s="355"/>
      <c r="BN60" s="356"/>
      <c r="BO60" s="355"/>
      <c r="BP60" s="356"/>
      <c r="BQ60" s="357"/>
    </row>
    <row r="61" spans="1:69" s="313" customFormat="1" ht="25.5" hidden="1" outlineLevel="1">
      <c r="D61" s="373" t="s">
        <v>7</v>
      </c>
      <c r="E61" s="315">
        <v>4</v>
      </c>
      <c r="F61" s="314" t="s">
        <v>71</v>
      </c>
      <c r="G61" s="314">
        <v>244</v>
      </c>
      <c r="H61" s="316">
        <v>226</v>
      </c>
      <c r="I61" s="533" t="s">
        <v>345</v>
      </c>
      <c r="J61" s="341">
        <v>0</v>
      </c>
      <c r="K61" s="318"/>
      <c r="L61" s="318"/>
      <c r="M61" s="559"/>
      <c r="N61" s="336">
        <v>100000</v>
      </c>
      <c r="O61" s="559"/>
      <c r="P61" s="336">
        <v>100000</v>
      </c>
      <c r="Q61" s="559"/>
      <c r="R61" s="335"/>
      <c r="S61" s="320" t="s">
        <v>327</v>
      </c>
      <c r="T61" s="388" t="s">
        <v>328</v>
      </c>
      <c r="U61" s="388" t="s">
        <v>329</v>
      </c>
      <c r="W61" s="336">
        <f t="shared" si="33"/>
        <v>0</v>
      </c>
      <c r="X61" s="337">
        <f t="shared" si="33"/>
        <v>0</v>
      </c>
      <c r="Y61" s="338">
        <f t="shared" si="8"/>
        <v>0</v>
      </c>
      <c r="Z61" s="336">
        <f t="shared" si="34"/>
        <v>0</v>
      </c>
      <c r="AA61" s="337">
        <f t="shared" si="34"/>
        <v>0</v>
      </c>
      <c r="AB61" s="338">
        <f t="shared" si="10"/>
        <v>0</v>
      </c>
      <c r="AC61" s="336">
        <f t="shared" si="35"/>
        <v>0</v>
      </c>
      <c r="AD61" s="337">
        <f t="shared" si="35"/>
        <v>0</v>
      </c>
      <c r="AE61" s="338">
        <f t="shared" si="12"/>
        <v>0</v>
      </c>
      <c r="AF61" s="336">
        <f t="shared" si="36"/>
        <v>0</v>
      </c>
      <c r="AG61" s="337">
        <f t="shared" si="36"/>
        <v>0</v>
      </c>
      <c r="AH61" s="338">
        <f t="shared" si="14"/>
        <v>0</v>
      </c>
      <c r="AI61" s="342"/>
      <c r="AJ61" s="336">
        <f t="shared" si="37"/>
        <v>0</v>
      </c>
      <c r="AK61" s="339">
        <f t="shared" si="37"/>
        <v>0</v>
      </c>
      <c r="AL61" s="340">
        <f t="shared" si="16"/>
        <v>0</v>
      </c>
      <c r="AM61" s="336">
        <f t="shared" si="38"/>
        <v>0</v>
      </c>
      <c r="AN61" s="339">
        <f t="shared" si="38"/>
        <v>0</v>
      </c>
      <c r="AO61" s="340">
        <f t="shared" si="18"/>
        <v>0</v>
      </c>
      <c r="AP61" s="341">
        <f t="shared" si="22"/>
        <v>0</v>
      </c>
      <c r="AQ61" s="339">
        <f t="shared" si="19"/>
        <v>0</v>
      </c>
      <c r="AR61" s="340">
        <f t="shared" si="20"/>
        <v>0</v>
      </c>
      <c r="AS61" s="589">
        <f t="shared" si="21"/>
        <v>0</v>
      </c>
      <c r="AT61" s="343"/>
      <c r="AU61" s="344"/>
      <c r="AV61" s="345"/>
      <c r="AW61" s="344"/>
      <c r="AX61" s="345"/>
      <c r="AY61" s="346"/>
      <c r="AZ61" s="347"/>
      <c r="BA61" s="348"/>
      <c r="BB61" s="349"/>
      <c r="BC61" s="348"/>
      <c r="BD61" s="349"/>
      <c r="BE61" s="350"/>
      <c r="BF61" s="351"/>
      <c r="BG61" s="352"/>
      <c r="BH61" s="337"/>
      <c r="BI61" s="352"/>
      <c r="BJ61" s="337"/>
      <c r="BK61" s="353"/>
      <c r="BL61" s="354"/>
      <c r="BM61" s="355"/>
      <c r="BN61" s="356"/>
      <c r="BO61" s="355"/>
      <c r="BP61" s="356"/>
      <c r="BQ61" s="357"/>
    </row>
    <row r="62" spans="1:69" s="313" customFormat="1" ht="25.5" hidden="1" outlineLevel="1">
      <c r="D62" s="373" t="s">
        <v>7</v>
      </c>
      <c r="E62" s="315">
        <v>4</v>
      </c>
      <c r="F62" s="314" t="s">
        <v>71</v>
      </c>
      <c r="G62" s="314">
        <v>244</v>
      </c>
      <c r="H62" s="316">
        <v>226</v>
      </c>
      <c r="I62" s="533" t="s">
        <v>346</v>
      </c>
      <c r="J62" s="341">
        <f>15000*12</f>
        <v>180000</v>
      </c>
      <c r="K62" s="318"/>
      <c r="L62" s="318"/>
      <c r="M62" s="559"/>
      <c r="N62" s="336">
        <v>180000</v>
      </c>
      <c r="O62" s="559"/>
      <c r="P62" s="336">
        <v>180000</v>
      </c>
      <c r="Q62" s="559"/>
      <c r="R62" s="335"/>
      <c r="S62" s="320" t="s">
        <v>341</v>
      </c>
      <c r="T62" s="388" t="s">
        <v>342</v>
      </c>
      <c r="U62" s="388" t="s">
        <v>235</v>
      </c>
      <c r="W62" s="336">
        <f t="shared" si="33"/>
        <v>30000</v>
      </c>
      <c r="X62" s="337">
        <f t="shared" si="33"/>
        <v>0</v>
      </c>
      <c r="Y62" s="338">
        <f>W62-X62</f>
        <v>30000</v>
      </c>
      <c r="Z62" s="336">
        <f t="shared" si="34"/>
        <v>45000</v>
      </c>
      <c r="AA62" s="337">
        <f t="shared" si="34"/>
        <v>0</v>
      </c>
      <c r="AB62" s="338">
        <f>Z62-AA62</f>
        <v>45000</v>
      </c>
      <c r="AC62" s="336">
        <f t="shared" si="35"/>
        <v>45000</v>
      </c>
      <c r="AD62" s="337">
        <f t="shared" si="35"/>
        <v>0</v>
      </c>
      <c r="AE62" s="338">
        <f>AC62-AD62</f>
        <v>45000</v>
      </c>
      <c r="AF62" s="336">
        <f t="shared" si="36"/>
        <v>60000</v>
      </c>
      <c r="AG62" s="337">
        <f t="shared" si="36"/>
        <v>0</v>
      </c>
      <c r="AH62" s="338">
        <f>AF62-AG62</f>
        <v>60000</v>
      </c>
      <c r="AI62" s="342"/>
      <c r="AJ62" s="336">
        <f t="shared" si="37"/>
        <v>75000</v>
      </c>
      <c r="AK62" s="339">
        <f t="shared" si="37"/>
        <v>0</v>
      </c>
      <c r="AL62" s="340">
        <f>AJ62-AK62</f>
        <v>75000</v>
      </c>
      <c r="AM62" s="336">
        <f t="shared" si="38"/>
        <v>120000</v>
      </c>
      <c r="AN62" s="339">
        <f t="shared" si="38"/>
        <v>0</v>
      </c>
      <c r="AO62" s="340">
        <f>AM62-AN62</f>
        <v>120000</v>
      </c>
      <c r="AP62" s="341">
        <f t="shared" si="22"/>
        <v>180000</v>
      </c>
      <c r="AQ62" s="339">
        <f t="shared" si="22"/>
        <v>0</v>
      </c>
      <c r="AR62" s="340">
        <f>AP62-AQ62</f>
        <v>180000</v>
      </c>
      <c r="AS62" s="589">
        <f t="shared" si="21"/>
        <v>0</v>
      </c>
      <c r="AT62" s="343"/>
      <c r="AU62" s="344"/>
      <c r="AV62" s="345">
        <v>15000</v>
      </c>
      <c r="AW62" s="344"/>
      <c r="AX62" s="345">
        <v>15000</v>
      </c>
      <c r="AY62" s="346"/>
      <c r="AZ62" s="347">
        <v>15000</v>
      </c>
      <c r="BA62" s="348"/>
      <c r="BB62" s="349">
        <v>15000</v>
      </c>
      <c r="BC62" s="348"/>
      <c r="BD62" s="349">
        <v>15000</v>
      </c>
      <c r="BE62" s="350"/>
      <c r="BF62" s="351">
        <v>15000</v>
      </c>
      <c r="BG62" s="352"/>
      <c r="BH62" s="337">
        <v>15000</v>
      </c>
      <c r="BI62" s="352"/>
      <c r="BJ62" s="337">
        <v>15000</v>
      </c>
      <c r="BK62" s="353"/>
      <c r="BL62" s="354">
        <v>15000</v>
      </c>
      <c r="BM62" s="355"/>
      <c r="BN62" s="356">
        <v>15000</v>
      </c>
      <c r="BO62" s="355"/>
      <c r="BP62" s="356">
        <f>15000*2</f>
        <v>30000</v>
      </c>
      <c r="BQ62" s="357"/>
    </row>
    <row r="63" spans="1:69" s="313" customFormat="1" ht="38.25" hidden="1" outlineLevel="1">
      <c r="D63" s="373" t="s">
        <v>7</v>
      </c>
      <c r="E63" s="315">
        <v>4</v>
      </c>
      <c r="F63" s="314" t="s">
        <v>71</v>
      </c>
      <c r="G63" s="314">
        <v>244</v>
      </c>
      <c r="H63" s="316">
        <v>226</v>
      </c>
      <c r="I63" s="533" t="s">
        <v>371</v>
      </c>
      <c r="J63" s="341">
        <f>9933.32+691.92</f>
        <v>10625.24</v>
      </c>
      <c r="K63" s="318"/>
      <c r="L63" s="318"/>
      <c r="M63" s="559"/>
      <c r="N63" s="336">
        <v>9933.32</v>
      </c>
      <c r="O63" s="559"/>
      <c r="P63" s="336">
        <v>9933.32</v>
      </c>
      <c r="Q63" s="559"/>
      <c r="R63" s="335"/>
      <c r="S63" s="388" t="s">
        <v>384</v>
      </c>
      <c r="T63" s="320"/>
      <c r="U63" s="320"/>
      <c r="W63" s="336">
        <f t="shared" si="33"/>
        <v>10625.24</v>
      </c>
      <c r="X63" s="337">
        <f t="shared" si="33"/>
        <v>0</v>
      </c>
      <c r="Y63" s="338">
        <f>W63-X63</f>
        <v>10625.24</v>
      </c>
      <c r="Z63" s="336">
        <f t="shared" si="34"/>
        <v>0</v>
      </c>
      <c r="AA63" s="337">
        <f t="shared" si="34"/>
        <v>0</v>
      </c>
      <c r="AB63" s="338">
        <f>Z63-AA63</f>
        <v>0</v>
      </c>
      <c r="AC63" s="336">
        <f t="shared" si="35"/>
        <v>0</v>
      </c>
      <c r="AD63" s="337">
        <f t="shared" si="35"/>
        <v>0</v>
      </c>
      <c r="AE63" s="338">
        <f>AC63-AD63</f>
        <v>0</v>
      </c>
      <c r="AF63" s="336">
        <f t="shared" si="36"/>
        <v>0</v>
      </c>
      <c r="AG63" s="337">
        <f t="shared" si="36"/>
        <v>0</v>
      </c>
      <c r="AH63" s="338">
        <f>AF63-AG63</f>
        <v>0</v>
      </c>
      <c r="AI63" s="342"/>
      <c r="AJ63" s="336">
        <f t="shared" si="37"/>
        <v>10625.24</v>
      </c>
      <c r="AK63" s="339">
        <f t="shared" si="37"/>
        <v>0</v>
      </c>
      <c r="AL63" s="340">
        <f>AJ63-AK63</f>
        <v>10625.24</v>
      </c>
      <c r="AM63" s="336">
        <f t="shared" si="38"/>
        <v>10625.24</v>
      </c>
      <c r="AN63" s="339">
        <f t="shared" si="38"/>
        <v>0</v>
      </c>
      <c r="AO63" s="340">
        <f>AM63-AN63</f>
        <v>10625.24</v>
      </c>
      <c r="AP63" s="341">
        <f t="shared" ref="AP63:AQ78" si="57">W63+Z63+AC63+AF63</f>
        <v>10625.24</v>
      </c>
      <c r="AQ63" s="339">
        <f t="shared" si="57"/>
        <v>0</v>
      </c>
      <c r="AR63" s="340">
        <f>AP63-AQ63</f>
        <v>10625.24</v>
      </c>
      <c r="AS63" s="589">
        <f t="shared" si="21"/>
        <v>0</v>
      </c>
      <c r="AT63" s="343"/>
      <c r="AU63" s="344"/>
      <c r="AV63" s="345">
        <f>9933.32+691.92</f>
        <v>10625.24</v>
      </c>
      <c r="AW63" s="344"/>
      <c r="AX63" s="345"/>
      <c r="AY63" s="346"/>
      <c r="AZ63" s="347"/>
      <c r="BA63" s="348"/>
      <c r="BB63" s="349"/>
      <c r="BC63" s="348"/>
      <c r="BD63" s="349"/>
      <c r="BE63" s="350"/>
      <c r="BF63" s="351"/>
      <c r="BG63" s="352"/>
      <c r="BH63" s="337"/>
      <c r="BI63" s="352"/>
      <c r="BJ63" s="337"/>
      <c r="BK63" s="353"/>
      <c r="BL63" s="354"/>
      <c r="BM63" s="355"/>
      <c r="BN63" s="356"/>
      <c r="BO63" s="355"/>
      <c r="BP63" s="356"/>
      <c r="BQ63" s="357"/>
    </row>
    <row r="64" spans="1:69" s="313" customFormat="1" ht="38.25" hidden="1" outlineLevel="1">
      <c r="D64" s="373" t="s">
        <v>7</v>
      </c>
      <c r="E64" s="315">
        <v>4</v>
      </c>
      <c r="F64" s="314" t="s">
        <v>71</v>
      </c>
      <c r="G64" s="314">
        <v>244</v>
      </c>
      <c r="H64" s="316">
        <v>226</v>
      </c>
      <c r="I64" s="533" t="s">
        <v>396</v>
      </c>
      <c r="J64" s="341">
        <f>8333.33*12</f>
        <v>99999.96</v>
      </c>
      <c r="K64" s="318"/>
      <c r="L64" s="318"/>
      <c r="M64" s="559"/>
      <c r="N64" s="336">
        <v>99999.96</v>
      </c>
      <c r="O64" s="559"/>
      <c r="P64" s="336">
        <v>99999.96</v>
      </c>
      <c r="Q64" s="559"/>
      <c r="R64" s="335"/>
      <c r="S64" s="596" t="s">
        <v>331</v>
      </c>
      <c r="T64" s="597" t="s">
        <v>386</v>
      </c>
      <c r="U64" s="597" t="s">
        <v>381</v>
      </c>
      <c r="W64" s="336">
        <f t="shared" si="33"/>
        <v>16666.66</v>
      </c>
      <c r="X64" s="337">
        <f t="shared" si="33"/>
        <v>0</v>
      </c>
      <c r="Y64" s="338">
        <f>W64-X64</f>
        <v>16666.66</v>
      </c>
      <c r="Z64" s="336">
        <f t="shared" si="34"/>
        <v>24999.99</v>
      </c>
      <c r="AA64" s="337">
        <f t="shared" si="34"/>
        <v>0</v>
      </c>
      <c r="AB64" s="338">
        <f>Z64-AA64</f>
        <v>24999.99</v>
      </c>
      <c r="AC64" s="336">
        <f t="shared" si="35"/>
        <v>24999.99</v>
      </c>
      <c r="AD64" s="337">
        <f t="shared" si="35"/>
        <v>0</v>
      </c>
      <c r="AE64" s="338">
        <f>AC64-AD64</f>
        <v>24999.99</v>
      </c>
      <c r="AF64" s="336">
        <f t="shared" si="36"/>
        <v>33333.32</v>
      </c>
      <c r="AG64" s="337">
        <f t="shared" si="36"/>
        <v>0</v>
      </c>
      <c r="AH64" s="338">
        <f>AF64-AG64</f>
        <v>33333.32</v>
      </c>
      <c r="AI64" s="342"/>
      <c r="AJ64" s="336">
        <f t="shared" si="37"/>
        <v>41666.65</v>
      </c>
      <c r="AK64" s="339">
        <f t="shared" si="37"/>
        <v>0</v>
      </c>
      <c r="AL64" s="340">
        <f>AJ64-AK64</f>
        <v>41666.65</v>
      </c>
      <c r="AM64" s="336">
        <f t="shared" si="38"/>
        <v>66666.64</v>
      </c>
      <c r="AN64" s="339">
        <f t="shared" si="38"/>
        <v>0</v>
      </c>
      <c r="AO64" s="340">
        <f>AM64-AN64</f>
        <v>66666.64</v>
      </c>
      <c r="AP64" s="341">
        <f t="shared" si="57"/>
        <v>99999.96</v>
      </c>
      <c r="AQ64" s="339">
        <f t="shared" si="57"/>
        <v>0</v>
      </c>
      <c r="AR64" s="340">
        <f>AP64-AQ64</f>
        <v>99999.96</v>
      </c>
      <c r="AS64" s="589">
        <f t="shared" si="21"/>
        <v>0</v>
      </c>
      <c r="AT64" s="343"/>
      <c r="AU64" s="344"/>
      <c r="AV64" s="345">
        <v>8333.33</v>
      </c>
      <c r="AW64" s="344"/>
      <c r="AX64" s="345">
        <v>8333.33</v>
      </c>
      <c r="AY64" s="346"/>
      <c r="AZ64" s="347">
        <v>8333.33</v>
      </c>
      <c r="BA64" s="348"/>
      <c r="BB64" s="349">
        <v>8333.33</v>
      </c>
      <c r="BC64" s="348"/>
      <c r="BD64" s="349">
        <v>8333.33</v>
      </c>
      <c r="BE64" s="350"/>
      <c r="BF64" s="351">
        <v>8333.33</v>
      </c>
      <c r="BG64" s="352"/>
      <c r="BH64" s="337">
        <v>8333.33</v>
      </c>
      <c r="BI64" s="352"/>
      <c r="BJ64" s="337">
        <v>8333.33</v>
      </c>
      <c r="BK64" s="353"/>
      <c r="BL64" s="354">
        <v>8333.33</v>
      </c>
      <c r="BM64" s="355"/>
      <c r="BN64" s="356">
        <v>8333.33</v>
      </c>
      <c r="BO64" s="355"/>
      <c r="BP64" s="356">
        <f>8333.33*2</f>
        <v>16666.66</v>
      </c>
      <c r="BQ64" s="357"/>
    </row>
    <row r="65" spans="1:69" s="313" customFormat="1" ht="38.25" hidden="1" outlineLevel="1">
      <c r="D65" s="373" t="s">
        <v>7</v>
      </c>
      <c r="E65" s="315">
        <v>4</v>
      </c>
      <c r="F65" s="314" t="s">
        <v>71</v>
      </c>
      <c r="G65" s="314">
        <v>244</v>
      </c>
      <c r="H65" s="316">
        <v>226</v>
      </c>
      <c r="I65" s="533" t="s">
        <v>347</v>
      </c>
      <c r="J65" s="341">
        <v>0</v>
      </c>
      <c r="K65" s="318"/>
      <c r="L65" s="318"/>
      <c r="M65" s="559"/>
      <c r="N65" s="336">
        <v>0</v>
      </c>
      <c r="O65" s="559"/>
      <c r="P65" s="336">
        <v>0</v>
      </c>
      <c r="Q65" s="559"/>
      <c r="R65" s="335"/>
      <c r="S65" s="320" t="s">
        <v>338</v>
      </c>
      <c r="T65" s="388" t="s">
        <v>339</v>
      </c>
      <c r="U65" s="388" t="s">
        <v>340</v>
      </c>
      <c r="W65" s="336">
        <f t="shared" si="33"/>
        <v>0</v>
      </c>
      <c r="X65" s="337">
        <f t="shared" si="33"/>
        <v>0</v>
      </c>
      <c r="Y65" s="338">
        <f>W65-X65</f>
        <v>0</v>
      </c>
      <c r="Z65" s="336">
        <f t="shared" si="34"/>
        <v>0</v>
      </c>
      <c r="AA65" s="337">
        <f t="shared" si="34"/>
        <v>0</v>
      </c>
      <c r="AB65" s="338">
        <f>Z65-AA65</f>
        <v>0</v>
      </c>
      <c r="AC65" s="336">
        <f t="shared" si="35"/>
        <v>0</v>
      </c>
      <c r="AD65" s="337">
        <f t="shared" si="35"/>
        <v>0</v>
      </c>
      <c r="AE65" s="338">
        <f>AC65-AD65</f>
        <v>0</v>
      </c>
      <c r="AF65" s="336">
        <f t="shared" si="36"/>
        <v>0</v>
      </c>
      <c r="AG65" s="337">
        <f t="shared" si="36"/>
        <v>0</v>
      </c>
      <c r="AH65" s="338">
        <f>AF65-AG65</f>
        <v>0</v>
      </c>
      <c r="AI65" s="342"/>
      <c r="AJ65" s="336">
        <f t="shared" si="37"/>
        <v>0</v>
      </c>
      <c r="AK65" s="339">
        <f t="shared" si="37"/>
        <v>0</v>
      </c>
      <c r="AL65" s="340">
        <f>AJ65-AK65</f>
        <v>0</v>
      </c>
      <c r="AM65" s="336">
        <f t="shared" si="38"/>
        <v>0</v>
      </c>
      <c r="AN65" s="339">
        <f t="shared" si="38"/>
        <v>0</v>
      </c>
      <c r="AO65" s="340">
        <f>AM65-AN65</f>
        <v>0</v>
      </c>
      <c r="AP65" s="341">
        <f t="shared" si="57"/>
        <v>0</v>
      </c>
      <c r="AQ65" s="339">
        <f t="shared" si="57"/>
        <v>0</v>
      </c>
      <c r="AR65" s="340">
        <f>AP65-AQ65</f>
        <v>0</v>
      </c>
      <c r="AS65" s="589">
        <f t="shared" si="21"/>
        <v>0</v>
      </c>
      <c r="AT65" s="343"/>
      <c r="AU65" s="344"/>
      <c r="AV65" s="345"/>
      <c r="AW65" s="344"/>
      <c r="AX65" s="345"/>
      <c r="AY65" s="346"/>
      <c r="AZ65" s="347"/>
      <c r="BA65" s="348"/>
      <c r="BB65" s="349"/>
      <c r="BC65" s="348"/>
      <c r="BD65" s="349"/>
      <c r="BE65" s="350"/>
      <c r="BF65" s="351"/>
      <c r="BG65" s="352"/>
      <c r="BH65" s="337"/>
      <c r="BI65" s="352"/>
      <c r="BJ65" s="337"/>
      <c r="BK65" s="353"/>
      <c r="BL65" s="354"/>
      <c r="BM65" s="355"/>
      <c r="BN65" s="356"/>
      <c r="BO65" s="355"/>
      <c r="BP65" s="356"/>
      <c r="BQ65" s="357"/>
    </row>
    <row r="66" spans="1:69" s="313" customFormat="1" ht="38.25" hidden="1" outlineLevel="1">
      <c r="D66" s="373" t="s">
        <v>7</v>
      </c>
      <c r="E66" s="315">
        <v>4</v>
      </c>
      <c r="F66" s="314" t="s">
        <v>71</v>
      </c>
      <c r="G66" s="314">
        <v>244</v>
      </c>
      <c r="H66" s="316">
        <v>226</v>
      </c>
      <c r="I66" s="533" t="s">
        <v>352</v>
      </c>
      <c r="J66" s="341">
        <f>33361.68+4028.04-691.92</f>
        <v>36697.800000000003</v>
      </c>
      <c r="K66" s="318"/>
      <c r="L66" s="318"/>
      <c r="M66" s="559"/>
      <c r="N66" s="336">
        <v>33361.68</v>
      </c>
      <c r="O66" s="559"/>
      <c r="P66" s="336">
        <v>33361.68</v>
      </c>
      <c r="Q66" s="559"/>
      <c r="R66" s="335"/>
      <c r="S66" s="596" t="s">
        <v>253</v>
      </c>
      <c r="T66" s="597" t="s">
        <v>394</v>
      </c>
      <c r="U66" s="597" t="s">
        <v>381</v>
      </c>
      <c r="W66" s="336">
        <f t="shared" si="33"/>
        <v>6116.3</v>
      </c>
      <c r="X66" s="337">
        <f t="shared" si="33"/>
        <v>0</v>
      </c>
      <c r="Y66" s="338">
        <f t="shared" si="8"/>
        <v>6116.3</v>
      </c>
      <c r="Z66" s="336">
        <f t="shared" si="34"/>
        <v>9174.4500000000007</v>
      </c>
      <c r="AA66" s="337">
        <f t="shared" si="34"/>
        <v>0</v>
      </c>
      <c r="AB66" s="338">
        <f t="shared" si="10"/>
        <v>9174.4500000000007</v>
      </c>
      <c r="AC66" s="336">
        <f t="shared" si="35"/>
        <v>9174.4500000000007</v>
      </c>
      <c r="AD66" s="337">
        <f t="shared" si="35"/>
        <v>0</v>
      </c>
      <c r="AE66" s="338">
        <f t="shared" si="12"/>
        <v>9174.4500000000007</v>
      </c>
      <c r="AF66" s="336">
        <f t="shared" si="36"/>
        <v>12232.6</v>
      </c>
      <c r="AG66" s="337">
        <f t="shared" si="36"/>
        <v>0</v>
      </c>
      <c r="AH66" s="338">
        <f t="shared" si="14"/>
        <v>12232.6</v>
      </c>
      <c r="AI66" s="342"/>
      <c r="AJ66" s="336">
        <f t="shared" si="37"/>
        <v>15290.75</v>
      </c>
      <c r="AK66" s="339">
        <f t="shared" si="37"/>
        <v>0</v>
      </c>
      <c r="AL66" s="340">
        <f t="shared" si="16"/>
        <v>15290.75</v>
      </c>
      <c r="AM66" s="336">
        <f t="shared" si="38"/>
        <v>24465.200000000001</v>
      </c>
      <c r="AN66" s="339">
        <f t="shared" si="38"/>
        <v>0</v>
      </c>
      <c r="AO66" s="340">
        <f t="shared" si="18"/>
        <v>24465.200000000001</v>
      </c>
      <c r="AP66" s="341">
        <f t="shared" si="57"/>
        <v>36697.800000000003</v>
      </c>
      <c r="AQ66" s="339">
        <f t="shared" si="19"/>
        <v>0</v>
      </c>
      <c r="AR66" s="340">
        <f t="shared" si="20"/>
        <v>36697.800000000003</v>
      </c>
      <c r="AS66" s="589">
        <f t="shared" si="21"/>
        <v>0</v>
      </c>
      <c r="AT66" s="343"/>
      <c r="AU66" s="344"/>
      <c r="AV66" s="345">
        <f>104.24+2171.99+781.92</f>
        <v>3058.15</v>
      </c>
      <c r="AW66" s="344"/>
      <c r="AX66" s="345">
        <f>104.24+2171.99+781.92</f>
        <v>3058.15</v>
      </c>
      <c r="AY66" s="346"/>
      <c r="AZ66" s="347">
        <f>104.24+2171.99+781.92</f>
        <v>3058.15</v>
      </c>
      <c r="BA66" s="348"/>
      <c r="BB66" s="349">
        <f>104.24+2171.99+781.92</f>
        <v>3058.15</v>
      </c>
      <c r="BC66" s="348"/>
      <c r="BD66" s="349">
        <f>104.24+2171.99+781.92</f>
        <v>3058.15</v>
      </c>
      <c r="BE66" s="350"/>
      <c r="BF66" s="351">
        <f>104.24+2171.99+781.92</f>
        <v>3058.15</v>
      </c>
      <c r="BG66" s="352"/>
      <c r="BH66" s="337">
        <f>104.24+2171.99+781.92</f>
        <v>3058.15</v>
      </c>
      <c r="BI66" s="352"/>
      <c r="BJ66" s="337">
        <f>104.24+2171.99+781.92</f>
        <v>3058.15</v>
      </c>
      <c r="BK66" s="353"/>
      <c r="BL66" s="354">
        <f>104.24+2171.99+781.92</f>
        <v>3058.15</v>
      </c>
      <c r="BM66" s="355"/>
      <c r="BN66" s="356">
        <f>104.24+2171.99+781.92</f>
        <v>3058.15</v>
      </c>
      <c r="BO66" s="355"/>
      <c r="BP66" s="356">
        <f>(104.24+2171.99+781.92)*2</f>
        <v>6116.3</v>
      </c>
      <c r="BQ66" s="357"/>
    </row>
    <row r="67" spans="1:69" s="313" customFormat="1" ht="25.5" hidden="1" outlineLevel="1">
      <c r="D67" s="373" t="s">
        <v>7</v>
      </c>
      <c r="E67" s="315">
        <v>4</v>
      </c>
      <c r="F67" s="314" t="s">
        <v>71</v>
      </c>
      <c r="G67" s="314">
        <v>244</v>
      </c>
      <c r="H67" s="316">
        <v>226</v>
      </c>
      <c r="I67" s="534" t="s">
        <v>353</v>
      </c>
      <c r="J67" s="341"/>
      <c r="K67" s="318"/>
      <c r="L67" s="318"/>
      <c r="M67" s="559"/>
      <c r="N67" s="336"/>
      <c r="O67" s="559"/>
      <c r="P67" s="336"/>
      <c r="Q67" s="559"/>
      <c r="R67" s="335"/>
      <c r="S67" s="320" t="s">
        <v>335</v>
      </c>
      <c r="T67" s="388" t="s">
        <v>336</v>
      </c>
      <c r="U67" s="388" t="s">
        <v>337</v>
      </c>
      <c r="W67" s="336">
        <f>AT67+AV67+AX67</f>
        <v>0</v>
      </c>
      <c r="X67" s="337">
        <f>AU67+AW67+AY67</f>
        <v>0</v>
      </c>
      <c r="Y67" s="338">
        <f>W67-X67</f>
        <v>0</v>
      </c>
      <c r="Z67" s="336">
        <f>AZ67+BB67+BD67</f>
        <v>0</v>
      </c>
      <c r="AA67" s="337">
        <f>BA67+BC67+BE67</f>
        <v>0</v>
      </c>
      <c r="AB67" s="338">
        <f>Z67-AA67</f>
        <v>0</v>
      </c>
      <c r="AC67" s="336">
        <f>BF67+BH67+BJ67</f>
        <v>0</v>
      </c>
      <c r="AD67" s="337">
        <f>BG67+BI67+BK67</f>
        <v>0</v>
      </c>
      <c r="AE67" s="338">
        <f>AC67-AD67</f>
        <v>0</v>
      </c>
      <c r="AF67" s="336">
        <f>BL67+BN67+BP67</f>
        <v>0</v>
      </c>
      <c r="AG67" s="337">
        <f>BM67+BO67+BQ67</f>
        <v>0</v>
      </c>
      <c r="AH67" s="338">
        <f>AF67-AG67</f>
        <v>0</v>
      </c>
      <c r="AI67" s="342"/>
      <c r="AJ67" s="336">
        <f>W67+Z67</f>
        <v>0</v>
      </c>
      <c r="AK67" s="339">
        <f>X67+AA67</f>
        <v>0</v>
      </c>
      <c r="AL67" s="340">
        <f>AJ67-AK67</f>
        <v>0</v>
      </c>
      <c r="AM67" s="336">
        <f>W67+Z67+AC67</f>
        <v>0</v>
      </c>
      <c r="AN67" s="339">
        <f>X67+AA67+AD67</f>
        <v>0</v>
      </c>
      <c r="AO67" s="340">
        <f>AM67-AN67</f>
        <v>0</v>
      </c>
      <c r="AP67" s="341">
        <f>W67+Z67+AC67+AF67</f>
        <v>0</v>
      </c>
      <c r="AQ67" s="339">
        <f>X67+AA67+AD67+AG67</f>
        <v>0</v>
      </c>
      <c r="AR67" s="340">
        <f>AP67-AQ67</f>
        <v>0</v>
      </c>
      <c r="AS67" s="589">
        <f t="shared" si="21"/>
        <v>0</v>
      </c>
      <c r="AT67" s="343"/>
      <c r="AU67" s="344"/>
      <c r="AV67" s="345"/>
      <c r="AW67" s="344"/>
      <c r="AX67" s="345"/>
      <c r="AY67" s="346"/>
      <c r="AZ67" s="347"/>
      <c r="BA67" s="348"/>
      <c r="BB67" s="349"/>
      <c r="BC67" s="348"/>
      <c r="BD67" s="349"/>
      <c r="BE67" s="350"/>
      <c r="BF67" s="351"/>
      <c r="BG67" s="352"/>
      <c r="BH67" s="337"/>
      <c r="BI67" s="352"/>
      <c r="BJ67" s="337"/>
      <c r="BK67" s="353"/>
      <c r="BL67" s="354"/>
      <c r="BM67" s="355"/>
      <c r="BN67" s="356"/>
      <c r="BO67" s="355"/>
      <c r="BP67" s="356"/>
      <c r="BQ67" s="357"/>
    </row>
    <row r="68" spans="1:69" s="86" customFormat="1" ht="48.75" customHeight="1" collapsed="1">
      <c r="A68" s="378" t="s">
        <v>377</v>
      </c>
      <c r="B68" s="359"/>
      <c r="C68" s="86" t="s">
        <v>201</v>
      </c>
      <c r="D68" s="646" t="s">
        <v>7</v>
      </c>
      <c r="E68" s="646">
        <v>4</v>
      </c>
      <c r="F68" s="646" t="s">
        <v>412</v>
      </c>
      <c r="G68" s="646">
        <v>244</v>
      </c>
      <c r="H68" s="716">
        <v>226</v>
      </c>
      <c r="I68" s="717" t="s">
        <v>307</v>
      </c>
      <c r="J68" s="13">
        <v>2100099.31</v>
      </c>
      <c r="K68" s="13"/>
      <c r="L68" s="13"/>
      <c r="M68" s="661"/>
      <c r="N68" s="13">
        <f>N70</f>
        <v>2256788.4500000002</v>
      </c>
      <c r="O68" s="661"/>
      <c r="P68" s="13">
        <f>P70</f>
        <v>2150208.7400000002</v>
      </c>
      <c r="Q68" s="665"/>
      <c r="R68" s="334"/>
      <c r="S68" s="305"/>
      <c r="T68" s="305"/>
      <c r="U68" s="305"/>
      <c r="W68" s="367">
        <f t="shared" si="33"/>
        <v>559569.35</v>
      </c>
      <c r="X68" s="363">
        <f t="shared" si="33"/>
        <v>0</v>
      </c>
      <c r="Y68" s="280">
        <f t="shared" si="8"/>
        <v>559569.35</v>
      </c>
      <c r="Z68" s="367">
        <f t="shared" si="34"/>
        <v>340187.83</v>
      </c>
      <c r="AA68" s="363">
        <f t="shared" si="34"/>
        <v>0</v>
      </c>
      <c r="AB68" s="280">
        <f t="shared" si="10"/>
        <v>340187.83</v>
      </c>
      <c r="AC68" s="367">
        <f t="shared" si="35"/>
        <v>340187.83</v>
      </c>
      <c r="AD68" s="363">
        <f t="shared" si="35"/>
        <v>0</v>
      </c>
      <c r="AE68" s="280">
        <f t="shared" si="12"/>
        <v>340187.83</v>
      </c>
      <c r="AF68" s="367">
        <f t="shared" si="36"/>
        <v>860154.3</v>
      </c>
      <c r="AG68" s="363">
        <f t="shared" si="36"/>
        <v>0</v>
      </c>
      <c r="AH68" s="280">
        <f t="shared" si="14"/>
        <v>860154.3</v>
      </c>
      <c r="AI68" s="210"/>
      <c r="AJ68" s="367">
        <f t="shared" si="37"/>
        <v>899757.18</v>
      </c>
      <c r="AK68" s="363">
        <f t="shared" si="37"/>
        <v>0</v>
      </c>
      <c r="AL68" s="280">
        <f t="shared" si="16"/>
        <v>899757.18</v>
      </c>
      <c r="AM68" s="367">
        <f t="shared" si="38"/>
        <v>1239945.01</v>
      </c>
      <c r="AN68" s="363">
        <f t="shared" si="38"/>
        <v>0</v>
      </c>
      <c r="AO68" s="280">
        <f t="shared" si="18"/>
        <v>1239945.01</v>
      </c>
      <c r="AP68" s="263">
        <f t="shared" si="57"/>
        <v>2100099.31</v>
      </c>
      <c r="AQ68" s="10">
        <f t="shared" si="19"/>
        <v>0</v>
      </c>
      <c r="AR68" s="650">
        <f t="shared" si="20"/>
        <v>2100099.31</v>
      </c>
      <c r="AS68" s="607">
        <f t="shared" si="21"/>
        <v>0</v>
      </c>
      <c r="AT68" s="263">
        <f t="shared" ref="AT68:BQ68" si="58">SUM(AT69,AT76,AT79,AT82,AT91,AT95)</f>
        <v>0</v>
      </c>
      <c r="AU68" s="363">
        <f t="shared" si="58"/>
        <v>0</v>
      </c>
      <c r="AV68" s="10">
        <f t="shared" si="58"/>
        <v>559569.35</v>
      </c>
      <c r="AW68" s="363">
        <f t="shared" si="58"/>
        <v>0</v>
      </c>
      <c r="AX68" s="10">
        <f t="shared" si="58"/>
        <v>0</v>
      </c>
      <c r="AY68" s="369">
        <f t="shared" si="58"/>
        <v>0</v>
      </c>
      <c r="AZ68" s="263">
        <f t="shared" si="58"/>
        <v>340187.83</v>
      </c>
      <c r="BA68" s="363">
        <f t="shared" si="58"/>
        <v>0</v>
      </c>
      <c r="BB68" s="10">
        <f t="shared" si="58"/>
        <v>0</v>
      </c>
      <c r="BC68" s="363">
        <f t="shared" si="58"/>
        <v>0</v>
      </c>
      <c r="BD68" s="10">
        <f t="shared" si="58"/>
        <v>0</v>
      </c>
      <c r="BE68" s="369">
        <f t="shared" si="58"/>
        <v>0</v>
      </c>
      <c r="BF68" s="263">
        <f t="shared" si="58"/>
        <v>0</v>
      </c>
      <c r="BG68" s="363">
        <f t="shared" si="58"/>
        <v>0</v>
      </c>
      <c r="BH68" s="10">
        <f t="shared" si="58"/>
        <v>100000</v>
      </c>
      <c r="BI68" s="363">
        <f t="shared" si="58"/>
        <v>0</v>
      </c>
      <c r="BJ68" s="10">
        <f t="shared" si="58"/>
        <v>240187.83</v>
      </c>
      <c r="BK68" s="369">
        <f t="shared" si="58"/>
        <v>0</v>
      </c>
      <c r="BL68" s="263">
        <f t="shared" si="58"/>
        <v>233059.9</v>
      </c>
      <c r="BM68" s="363">
        <f t="shared" si="58"/>
        <v>0</v>
      </c>
      <c r="BN68" s="10">
        <f t="shared" si="58"/>
        <v>534034.63</v>
      </c>
      <c r="BO68" s="363">
        <f t="shared" si="58"/>
        <v>0</v>
      </c>
      <c r="BP68" s="10">
        <f t="shared" si="58"/>
        <v>93059.77</v>
      </c>
      <c r="BQ68" s="280">
        <f t="shared" si="58"/>
        <v>0</v>
      </c>
    </row>
    <row r="69" spans="1:69" s="459" customFormat="1" ht="54" hidden="1" customHeight="1" outlineLevel="1">
      <c r="A69" s="378" t="s">
        <v>378</v>
      </c>
      <c r="B69" s="459" t="s">
        <v>271</v>
      </c>
      <c r="D69" s="696" t="s">
        <v>7</v>
      </c>
      <c r="E69" s="697">
        <v>4</v>
      </c>
      <c r="F69" s="698" t="s">
        <v>70</v>
      </c>
      <c r="G69" s="698">
        <v>244</v>
      </c>
      <c r="H69" s="699">
        <v>226</v>
      </c>
      <c r="I69" s="700" t="s">
        <v>280</v>
      </c>
      <c r="J69" s="701">
        <v>559569.35</v>
      </c>
      <c r="K69" s="702"/>
      <c r="L69" s="702"/>
      <c r="M69" s="561"/>
      <c r="N69" s="701">
        <f>N70</f>
        <v>2256788.4500000002</v>
      </c>
      <c r="O69" s="561"/>
      <c r="P69" s="701">
        <f>P70</f>
        <v>2150208.7400000002</v>
      </c>
      <c r="Q69" s="561"/>
      <c r="R69" s="393"/>
      <c r="S69" s="394"/>
      <c r="T69" s="394"/>
      <c r="U69" s="394"/>
      <c r="V69" s="392"/>
      <c r="W69" s="395">
        <f t="shared" si="33"/>
        <v>559569.35</v>
      </c>
      <c r="X69" s="396">
        <f t="shared" si="33"/>
        <v>0</v>
      </c>
      <c r="Y69" s="397">
        <f t="shared" si="8"/>
        <v>559569.35</v>
      </c>
      <c r="Z69" s="395">
        <f t="shared" si="34"/>
        <v>0</v>
      </c>
      <c r="AA69" s="396">
        <f t="shared" si="34"/>
        <v>0</v>
      </c>
      <c r="AB69" s="397">
        <f t="shared" si="10"/>
        <v>0</v>
      </c>
      <c r="AC69" s="395">
        <f t="shared" si="35"/>
        <v>0</v>
      </c>
      <c r="AD69" s="396">
        <f t="shared" si="35"/>
        <v>0</v>
      </c>
      <c r="AE69" s="397">
        <f t="shared" si="12"/>
        <v>0</v>
      </c>
      <c r="AF69" s="395">
        <f t="shared" si="36"/>
        <v>0</v>
      </c>
      <c r="AG69" s="396">
        <f t="shared" si="36"/>
        <v>0</v>
      </c>
      <c r="AH69" s="397">
        <f t="shared" si="14"/>
        <v>0</v>
      </c>
      <c r="AI69" s="398"/>
      <c r="AJ69" s="464">
        <f t="shared" si="37"/>
        <v>559569.35</v>
      </c>
      <c r="AK69" s="352">
        <f t="shared" si="37"/>
        <v>0</v>
      </c>
      <c r="AL69" s="465">
        <f t="shared" si="16"/>
        <v>559569.35</v>
      </c>
      <c r="AM69" s="464">
        <f t="shared" si="38"/>
        <v>559569.35</v>
      </c>
      <c r="AN69" s="352">
        <f t="shared" si="38"/>
        <v>0</v>
      </c>
      <c r="AO69" s="465">
        <f t="shared" si="18"/>
        <v>559569.35</v>
      </c>
      <c r="AP69" s="464">
        <f t="shared" si="57"/>
        <v>559569.35</v>
      </c>
      <c r="AQ69" s="352">
        <f t="shared" si="19"/>
        <v>0</v>
      </c>
      <c r="AR69" s="465">
        <f t="shared" si="20"/>
        <v>559569.35</v>
      </c>
      <c r="AS69" s="600">
        <f t="shared" si="21"/>
        <v>0</v>
      </c>
      <c r="AT69" s="464">
        <f t="shared" ref="AT69:BQ69" si="59">SUM(AT70:AT75)</f>
        <v>0</v>
      </c>
      <c r="AU69" s="352">
        <f t="shared" si="59"/>
        <v>0</v>
      </c>
      <c r="AV69" s="352">
        <f t="shared" si="59"/>
        <v>559569.35</v>
      </c>
      <c r="AW69" s="352">
        <f t="shared" si="59"/>
        <v>0</v>
      </c>
      <c r="AX69" s="352">
        <f t="shared" si="59"/>
        <v>0</v>
      </c>
      <c r="AY69" s="353">
        <f t="shared" si="59"/>
        <v>0</v>
      </c>
      <c r="AZ69" s="464">
        <f t="shared" si="59"/>
        <v>0</v>
      </c>
      <c r="BA69" s="352">
        <f t="shared" si="59"/>
        <v>0</v>
      </c>
      <c r="BB69" s="352">
        <f t="shared" si="59"/>
        <v>0</v>
      </c>
      <c r="BC69" s="352">
        <f t="shared" si="59"/>
        <v>0</v>
      </c>
      <c r="BD69" s="352">
        <f t="shared" si="59"/>
        <v>0</v>
      </c>
      <c r="BE69" s="353">
        <f t="shared" si="59"/>
        <v>0</v>
      </c>
      <c r="BF69" s="464">
        <f t="shared" si="59"/>
        <v>0</v>
      </c>
      <c r="BG69" s="352">
        <f t="shared" si="59"/>
        <v>0</v>
      </c>
      <c r="BH69" s="352">
        <f t="shared" si="59"/>
        <v>0</v>
      </c>
      <c r="BI69" s="352">
        <f t="shared" si="59"/>
        <v>0</v>
      </c>
      <c r="BJ69" s="352">
        <f t="shared" si="59"/>
        <v>0</v>
      </c>
      <c r="BK69" s="353">
        <f t="shared" si="59"/>
        <v>0</v>
      </c>
      <c r="BL69" s="464">
        <f t="shared" si="59"/>
        <v>0</v>
      </c>
      <c r="BM69" s="352">
        <f t="shared" si="59"/>
        <v>0</v>
      </c>
      <c r="BN69" s="352">
        <f t="shared" si="59"/>
        <v>0</v>
      </c>
      <c r="BO69" s="352">
        <f t="shared" si="59"/>
        <v>0</v>
      </c>
      <c r="BP69" s="352">
        <f t="shared" si="59"/>
        <v>0</v>
      </c>
      <c r="BQ69" s="465">
        <f t="shared" si="59"/>
        <v>0</v>
      </c>
    </row>
    <row r="70" spans="1:69" s="313" customFormat="1" ht="38.25" hidden="1" customHeight="1" outlineLevel="2">
      <c r="B70" s="313" t="s">
        <v>271</v>
      </c>
      <c r="D70" s="373" t="s">
        <v>7</v>
      </c>
      <c r="E70" s="315">
        <v>4</v>
      </c>
      <c r="F70" s="314" t="s">
        <v>70</v>
      </c>
      <c r="G70" s="314">
        <v>244</v>
      </c>
      <c r="H70" s="316">
        <v>226</v>
      </c>
      <c r="I70" s="533" t="s">
        <v>285</v>
      </c>
      <c r="J70" s="341">
        <v>340187.83</v>
      </c>
      <c r="K70" s="318"/>
      <c r="L70" s="318"/>
      <c r="M70" s="562"/>
      <c r="N70" s="336">
        <v>2256788.4500000002</v>
      </c>
      <c r="O70" s="562"/>
      <c r="P70" s="336">
        <v>2150208.7400000002</v>
      </c>
      <c r="Q70" s="562"/>
      <c r="R70" s="466"/>
      <c r="S70" s="320"/>
      <c r="T70" s="320"/>
      <c r="U70" s="320"/>
      <c r="W70" s="336">
        <f t="shared" si="33"/>
        <v>340187.83</v>
      </c>
      <c r="X70" s="337">
        <f t="shared" si="33"/>
        <v>0</v>
      </c>
      <c r="Y70" s="338">
        <f t="shared" si="8"/>
        <v>340187.83</v>
      </c>
      <c r="Z70" s="336">
        <f t="shared" si="34"/>
        <v>0</v>
      </c>
      <c r="AA70" s="337">
        <f t="shared" si="34"/>
        <v>0</v>
      </c>
      <c r="AB70" s="338">
        <f t="shared" si="10"/>
        <v>0</v>
      </c>
      <c r="AC70" s="336">
        <f t="shared" si="35"/>
        <v>0</v>
      </c>
      <c r="AD70" s="337">
        <f t="shared" si="35"/>
        <v>0</v>
      </c>
      <c r="AE70" s="338">
        <f t="shared" si="12"/>
        <v>0</v>
      </c>
      <c r="AF70" s="336">
        <f t="shared" si="36"/>
        <v>0</v>
      </c>
      <c r="AG70" s="337">
        <f t="shared" si="36"/>
        <v>0</v>
      </c>
      <c r="AH70" s="338">
        <f t="shared" si="14"/>
        <v>0</v>
      </c>
      <c r="AI70" s="342"/>
      <c r="AJ70" s="336">
        <f t="shared" si="37"/>
        <v>340187.83</v>
      </c>
      <c r="AK70" s="339">
        <f t="shared" si="37"/>
        <v>0</v>
      </c>
      <c r="AL70" s="340">
        <f t="shared" si="16"/>
        <v>340187.83</v>
      </c>
      <c r="AM70" s="336">
        <f t="shared" si="38"/>
        <v>340187.83</v>
      </c>
      <c r="AN70" s="339">
        <f t="shared" si="38"/>
        <v>0</v>
      </c>
      <c r="AO70" s="340">
        <f t="shared" si="18"/>
        <v>340187.83</v>
      </c>
      <c r="AP70" s="341">
        <f t="shared" si="57"/>
        <v>340187.83</v>
      </c>
      <c r="AQ70" s="339">
        <f t="shared" si="19"/>
        <v>0</v>
      </c>
      <c r="AR70" s="340">
        <f t="shared" si="20"/>
        <v>340187.83</v>
      </c>
      <c r="AS70" s="589">
        <f t="shared" si="21"/>
        <v>0</v>
      </c>
      <c r="AT70" s="343"/>
      <c r="AU70" s="344"/>
      <c r="AV70" s="345">
        <v>340187.83</v>
      </c>
      <c r="AW70" s="344"/>
      <c r="AX70" s="345"/>
      <c r="AY70" s="346"/>
      <c r="AZ70" s="347"/>
      <c r="BA70" s="348"/>
      <c r="BB70" s="349"/>
      <c r="BC70" s="348"/>
      <c r="BD70" s="349"/>
      <c r="BE70" s="350"/>
      <c r="BF70" s="351"/>
      <c r="BG70" s="352"/>
      <c r="BH70" s="337"/>
      <c r="BI70" s="352"/>
      <c r="BJ70" s="337"/>
      <c r="BK70" s="353"/>
      <c r="BL70" s="354"/>
      <c r="BM70" s="355"/>
      <c r="BN70" s="356"/>
      <c r="BO70" s="355"/>
      <c r="BP70" s="356"/>
      <c r="BQ70" s="357"/>
    </row>
    <row r="71" spans="1:69" s="313" customFormat="1" ht="25.5" hidden="1" customHeight="1" outlineLevel="2">
      <c r="B71" s="313" t="s">
        <v>271</v>
      </c>
      <c r="D71" s="373" t="s">
        <v>7</v>
      </c>
      <c r="E71" s="315">
        <v>4</v>
      </c>
      <c r="F71" s="314" t="s">
        <v>70</v>
      </c>
      <c r="G71" s="314">
        <v>244</v>
      </c>
      <c r="H71" s="316">
        <v>226</v>
      </c>
      <c r="I71" s="533" t="s">
        <v>286</v>
      </c>
      <c r="J71" s="341">
        <v>112266.67</v>
      </c>
      <c r="K71" s="318"/>
      <c r="L71" s="318"/>
      <c r="M71" s="562"/>
      <c r="N71" s="336"/>
      <c r="O71" s="562"/>
      <c r="P71" s="336"/>
      <c r="Q71" s="562"/>
      <c r="R71" s="466"/>
      <c r="S71" s="320"/>
      <c r="T71" s="320"/>
      <c r="U71" s="320"/>
      <c r="W71" s="336">
        <f t="shared" si="33"/>
        <v>112266.67</v>
      </c>
      <c r="X71" s="337">
        <f t="shared" si="33"/>
        <v>0</v>
      </c>
      <c r="Y71" s="338">
        <f t="shared" si="8"/>
        <v>112266.67</v>
      </c>
      <c r="Z71" s="336">
        <f t="shared" si="34"/>
        <v>0</v>
      </c>
      <c r="AA71" s="337">
        <f t="shared" si="34"/>
        <v>0</v>
      </c>
      <c r="AB71" s="338">
        <f t="shared" si="10"/>
        <v>0</v>
      </c>
      <c r="AC71" s="336">
        <f t="shared" si="35"/>
        <v>0</v>
      </c>
      <c r="AD71" s="337">
        <f t="shared" si="35"/>
        <v>0</v>
      </c>
      <c r="AE71" s="338">
        <f t="shared" si="12"/>
        <v>0</v>
      </c>
      <c r="AF71" s="336">
        <f t="shared" si="36"/>
        <v>0</v>
      </c>
      <c r="AG71" s="337">
        <f t="shared" si="36"/>
        <v>0</v>
      </c>
      <c r="AH71" s="338">
        <f t="shared" si="14"/>
        <v>0</v>
      </c>
      <c r="AI71" s="342"/>
      <c r="AJ71" s="336">
        <f t="shared" si="37"/>
        <v>112266.67</v>
      </c>
      <c r="AK71" s="339">
        <f t="shared" si="37"/>
        <v>0</v>
      </c>
      <c r="AL71" s="340">
        <f t="shared" si="16"/>
        <v>112266.67</v>
      </c>
      <c r="AM71" s="336">
        <f t="shared" si="38"/>
        <v>112266.67</v>
      </c>
      <c r="AN71" s="339">
        <f t="shared" si="38"/>
        <v>0</v>
      </c>
      <c r="AO71" s="340">
        <f t="shared" si="18"/>
        <v>112266.67</v>
      </c>
      <c r="AP71" s="341">
        <f t="shared" si="57"/>
        <v>112266.67</v>
      </c>
      <c r="AQ71" s="339">
        <f t="shared" si="19"/>
        <v>0</v>
      </c>
      <c r="AR71" s="340">
        <f t="shared" si="20"/>
        <v>112266.67</v>
      </c>
      <c r="AS71" s="589">
        <f t="shared" si="21"/>
        <v>0</v>
      </c>
      <c r="AT71" s="343"/>
      <c r="AU71" s="344"/>
      <c r="AV71" s="345">
        <v>112266.67</v>
      </c>
      <c r="AW71" s="344"/>
      <c r="AX71" s="345"/>
      <c r="AY71" s="346"/>
      <c r="AZ71" s="347"/>
      <c r="BA71" s="348"/>
      <c r="BB71" s="349"/>
      <c r="BC71" s="348"/>
      <c r="BD71" s="349"/>
      <c r="BE71" s="350"/>
      <c r="BF71" s="351"/>
      <c r="BG71" s="352"/>
      <c r="BH71" s="337"/>
      <c r="BI71" s="352"/>
      <c r="BJ71" s="337"/>
      <c r="BK71" s="353"/>
      <c r="BL71" s="354"/>
      <c r="BM71" s="355"/>
      <c r="BN71" s="356"/>
      <c r="BO71" s="355"/>
      <c r="BP71" s="356"/>
      <c r="BQ71" s="357"/>
    </row>
    <row r="72" spans="1:69" s="313" customFormat="1" ht="25.5" hidden="1" customHeight="1" outlineLevel="2">
      <c r="B72" s="313" t="s">
        <v>271</v>
      </c>
      <c r="D72" s="373" t="s">
        <v>7</v>
      </c>
      <c r="E72" s="315">
        <v>4</v>
      </c>
      <c r="F72" s="314" t="s">
        <v>70</v>
      </c>
      <c r="G72" s="314">
        <v>244</v>
      </c>
      <c r="H72" s="316">
        <v>226</v>
      </c>
      <c r="I72" s="533" t="s">
        <v>287</v>
      </c>
      <c r="J72" s="341">
        <v>74054.95</v>
      </c>
      <c r="K72" s="318"/>
      <c r="L72" s="318"/>
      <c r="M72" s="562"/>
      <c r="N72" s="336"/>
      <c r="O72" s="562"/>
      <c r="P72" s="336"/>
      <c r="Q72" s="562"/>
      <c r="R72" s="466"/>
      <c r="S72" s="320"/>
      <c r="T72" s="320"/>
      <c r="U72" s="320"/>
      <c r="W72" s="336">
        <f t="shared" si="33"/>
        <v>74054.95</v>
      </c>
      <c r="X72" s="337">
        <f t="shared" si="33"/>
        <v>0</v>
      </c>
      <c r="Y72" s="338">
        <f t="shared" si="8"/>
        <v>74054.95</v>
      </c>
      <c r="Z72" s="336">
        <f t="shared" si="34"/>
        <v>0</v>
      </c>
      <c r="AA72" s="337">
        <f t="shared" si="34"/>
        <v>0</v>
      </c>
      <c r="AB72" s="338">
        <f t="shared" si="10"/>
        <v>0</v>
      </c>
      <c r="AC72" s="336">
        <f t="shared" si="35"/>
        <v>0</v>
      </c>
      <c r="AD72" s="337">
        <f t="shared" si="35"/>
        <v>0</v>
      </c>
      <c r="AE72" s="338">
        <f t="shared" si="12"/>
        <v>0</v>
      </c>
      <c r="AF72" s="336">
        <f t="shared" si="36"/>
        <v>0</v>
      </c>
      <c r="AG72" s="337">
        <f t="shared" si="36"/>
        <v>0</v>
      </c>
      <c r="AH72" s="338">
        <f t="shared" si="14"/>
        <v>0</v>
      </c>
      <c r="AI72" s="342"/>
      <c r="AJ72" s="336">
        <f t="shared" si="37"/>
        <v>74054.95</v>
      </c>
      <c r="AK72" s="339">
        <f t="shared" si="37"/>
        <v>0</v>
      </c>
      <c r="AL72" s="340">
        <f t="shared" si="16"/>
        <v>74054.95</v>
      </c>
      <c r="AM72" s="336">
        <f t="shared" si="38"/>
        <v>74054.95</v>
      </c>
      <c r="AN72" s="339">
        <f t="shared" si="38"/>
        <v>0</v>
      </c>
      <c r="AO72" s="340">
        <f t="shared" si="18"/>
        <v>74054.95</v>
      </c>
      <c r="AP72" s="341">
        <f t="shared" si="57"/>
        <v>74054.95</v>
      </c>
      <c r="AQ72" s="339">
        <f t="shared" si="19"/>
        <v>0</v>
      </c>
      <c r="AR72" s="340">
        <f t="shared" si="20"/>
        <v>74054.95</v>
      </c>
      <c r="AS72" s="589">
        <f t="shared" si="21"/>
        <v>0</v>
      </c>
      <c r="AT72" s="343"/>
      <c r="AU72" s="344"/>
      <c r="AV72" s="345">
        <v>74054.95</v>
      </c>
      <c r="AW72" s="344"/>
      <c r="AX72" s="345"/>
      <c r="AY72" s="346"/>
      <c r="AZ72" s="347"/>
      <c r="BA72" s="348"/>
      <c r="BB72" s="349"/>
      <c r="BC72" s="348"/>
      <c r="BD72" s="349"/>
      <c r="BE72" s="350"/>
      <c r="BF72" s="351"/>
      <c r="BG72" s="352"/>
      <c r="BH72" s="337"/>
      <c r="BI72" s="352"/>
      <c r="BJ72" s="337"/>
      <c r="BK72" s="353"/>
      <c r="BL72" s="354"/>
      <c r="BM72" s="355"/>
      <c r="BN72" s="356"/>
      <c r="BO72" s="355"/>
      <c r="BP72" s="356"/>
      <c r="BQ72" s="357"/>
    </row>
    <row r="73" spans="1:69" s="313" customFormat="1" ht="25.5" hidden="1" customHeight="1" outlineLevel="2">
      <c r="B73" s="313" t="s">
        <v>271</v>
      </c>
      <c r="D73" s="373" t="s">
        <v>7</v>
      </c>
      <c r="E73" s="315">
        <v>4</v>
      </c>
      <c r="F73" s="314" t="s">
        <v>70</v>
      </c>
      <c r="G73" s="314">
        <v>244</v>
      </c>
      <c r="H73" s="316">
        <v>226</v>
      </c>
      <c r="I73" s="533" t="s">
        <v>288</v>
      </c>
      <c r="J73" s="341">
        <v>5000</v>
      </c>
      <c r="K73" s="318"/>
      <c r="L73" s="318"/>
      <c r="M73" s="562"/>
      <c r="N73" s="336"/>
      <c r="O73" s="562"/>
      <c r="P73" s="336"/>
      <c r="Q73" s="562"/>
      <c r="R73" s="466"/>
      <c r="S73" s="320"/>
      <c r="T73" s="320"/>
      <c r="U73" s="320"/>
      <c r="W73" s="336">
        <f t="shared" si="33"/>
        <v>5000</v>
      </c>
      <c r="X73" s="337">
        <f t="shared" si="33"/>
        <v>0</v>
      </c>
      <c r="Y73" s="338">
        <f t="shared" si="8"/>
        <v>5000</v>
      </c>
      <c r="Z73" s="336">
        <f t="shared" si="34"/>
        <v>0</v>
      </c>
      <c r="AA73" s="337">
        <f t="shared" si="34"/>
        <v>0</v>
      </c>
      <c r="AB73" s="338">
        <f t="shared" si="10"/>
        <v>0</v>
      </c>
      <c r="AC73" s="336">
        <f t="shared" si="35"/>
        <v>0</v>
      </c>
      <c r="AD73" s="337">
        <f t="shared" si="35"/>
        <v>0</v>
      </c>
      <c r="AE73" s="338">
        <f t="shared" si="12"/>
        <v>0</v>
      </c>
      <c r="AF73" s="336">
        <f t="shared" si="36"/>
        <v>0</v>
      </c>
      <c r="AG73" s="337">
        <f t="shared" si="36"/>
        <v>0</v>
      </c>
      <c r="AH73" s="338">
        <f t="shared" si="14"/>
        <v>0</v>
      </c>
      <c r="AI73" s="342"/>
      <c r="AJ73" s="336">
        <f t="shared" si="37"/>
        <v>5000</v>
      </c>
      <c r="AK73" s="339">
        <f t="shared" si="37"/>
        <v>0</v>
      </c>
      <c r="AL73" s="340">
        <f t="shared" si="16"/>
        <v>5000</v>
      </c>
      <c r="AM73" s="336">
        <f t="shared" si="38"/>
        <v>5000</v>
      </c>
      <c r="AN73" s="339">
        <f t="shared" si="38"/>
        <v>0</v>
      </c>
      <c r="AO73" s="340">
        <f t="shared" si="18"/>
        <v>5000</v>
      </c>
      <c r="AP73" s="341">
        <f t="shared" si="57"/>
        <v>5000</v>
      </c>
      <c r="AQ73" s="339">
        <f t="shared" si="19"/>
        <v>0</v>
      </c>
      <c r="AR73" s="340">
        <f t="shared" si="20"/>
        <v>5000</v>
      </c>
      <c r="AS73" s="589">
        <f t="shared" si="21"/>
        <v>0</v>
      </c>
      <c r="AT73" s="343"/>
      <c r="AU73" s="344"/>
      <c r="AV73" s="345">
        <v>5000</v>
      </c>
      <c r="AW73" s="344"/>
      <c r="AX73" s="345"/>
      <c r="AY73" s="346"/>
      <c r="AZ73" s="347"/>
      <c r="BA73" s="348"/>
      <c r="BB73" s="349"/>
      <c r="BC73" s="348"/>
      <c r="BD73" s="349"/>
      <c r="BE73" s="350"/>
      <c r="BF73" s="351"/>
      <c r="BG73" s="352"/>
      <c r="BH73" s="337"/>
      <c r="BI73" s="352"/>
      <c r="BJ73" s="337"/>
      <c r="BK73" s="353"/>
      <c r="BL73" s="354"/>
      <c r="BM73" s="355"/>
      <c r="BN73" s="356"/>
      <c r="BO73" s="355"/>
      <c r="BP73" s="356"/>
      <c r="BQ73" s="357"/>
    </row>
    <row r="74" spans="1:69" s="313" customFormat="1" ht="25.5" hidden="1" customHeight="1" outlineLevel="2">
      <c r="B74" s="313" t="s">
        <v>271</v>
      </c>
      <c r="D74" s="373" t="s">
        <v>7</v>
      </c>
      <c r="E74" s="315">
        <v>4</v>
      </c>
      <c r="F74" s="314" t="s">
        <v>70</v>
      </c>
      <c r="G74" s="314">
        <v>244</v>
      </c>
      <c r="H74" s="316">
        <v>226</v>
      </c>
      <c r="I74" s="533" t="s">
        <v>289</v>
      </c>
      <c r="J74" s="341">
        <v>28059.9</v>
      </c>
      <c r="K74" s="318"/>
      <c r="L74" s="318"/>
      <c r="M74" s="562"/>
      <c r="N74" s="336"/>
      <c r="O74" s="562"/>
      <c r="P74" s="336"/>
      <c r="Q74" s="562"/>
      <c r="R74" s="466"/>
      <c r="S74" s="320"/>
      <c r="T74" s="320"/>
      <c r="U74" s="320"/>
      <c r="W74" s="336">
        <f t="shared" si="33"/>
        <v>28059.9</v>
      </c>
      <c r="X74" s="337">
        <f t="shared" si="33"/>
        <v>0</v>
      </c>
      <c r="Y74" s="338">
        <f t="shared" si="8"/>
        <v>28059.9</v>
      </c>
      <c r="Z74" s="336">
        <f t="shared" si="34"/>
        <v>0</v>
      </c>
      <c r="AA74" s="337">
        <f t="shared" si="34"/>
        <v>0</v>
      </c>
      <c r="AB74" s="338">
        <f t="shared" si="10"/>
        <v>0</v>
      </c>
      <c r="AC74" s="336">
        <f t="shared" si="35"/>
        <v>0</v>
      </c>
      <c r="AD74" s="337">
        <f t="shared" si="35"/>
        <v>0</v>
      </c>
      <c r="AE74" s="338">
        <f t="shared" si="12"/>
        <v>0</v>
      </c>
      <c r="AF74" s="336">
        <f t="shared" si="36"/>
        <v>0</v>
      </c>
      <c r="AG74" s="337">
        <f t="shared" si="36"/>
        <v>0</v>
      </c>
      <c r="AH74" s="338">
        <f t="shared" si="14"/>
        <v>0</v>
      </c>
      <c r="AI74" s="342"/>
      <c r="AJ74" s="336">
        <f t="shared" si="37"/>
        <v>28059.9</v>
      </c>
      <c r="AK74" s="339">
        <f t="shared" si="37"/>
        <v>0</v>
      </c>
      <c r="AL74" s="340">
        <f t="shared" si="16"/>
        <v>28059.9</v>
      </c>
      <c r="AM74" s="336">
        <f t="shared" si="38"/>
        <v>28059.9</v>
      </c>
      <c r="AN74" s="339">
        <f t="shared" si="38"/>
        <v>0</v>
      </c>
      <c r="AO74" s="340">
        <f t="shared" si="18"/>
        <v>28059.9</v>
      </c>
      <c r="AP74" s="341">
        <f t="shared" si="57"/>
        <v>28059.9</v>
      </c>
      <c r="AQ74" s="339">
        <f t="shared" si="19"/>
        <v>0</v>
      </c>
      <c r="AR74" s="340">
        <f t="shared" si="20"/>
        <v>28059.9</v>
      </c>
      <c r="AS74" s="589">
        <f t="shared" si="21"/>
        <v>0</v>
      </c>
      <c r="AT74" s="343"/>
      <c r="AU74" s="344"/>
      <c r="AV74" s="345">
        <v>28059.9</v>
      </c>
      <c r="AW74" s="344"/>
      <c r="AX74" s="345"/>
      <c r="AY74" s="346"/>
      <c r="AZ74" s="347"/>
      <c r="BA74" s="348"/>
      <c r="BB74" s="349"/>
      <c r="BC74" s="348"/>
      <c r="BD74" s="349"/>
      <c r="BE74" s="350"/>
      <c r="BF74" s="351"/>
      <c r="BG74" s="352"/>
      <c r="BH74" s="337"/>
      <c r="BI74" s="352"/>
      <c r="BJ74" s="337"/>
      <c r="BK74" s="353"/>
      <c r="BL74" s="354"/>
      <c r="BM74" s="355"/>
      <c r="BN74" s="356"/>
      <c r="BO74" s="355"/>
      <c r="BP74" s="356"/>
      <c r="BQ74" s="357"/>
    </row>
    <row r="75" spans="1:69" s="430" customFormat="1" ht="25.5" hidden="1" customHeight="1" outlineLevel="2">
      <c r="B75" s="430" t="s">
        <v>271</v>
      </c>
      <c r="D75" s="431" t="s">
        <v>7</v>
      </c>
      <c r="E75" s="432">
        <v>4</v>
      </c>
      <c r="F75" s="431" t="s">
        <v>70</v>
      </c>
      <c r="G75" s="474">
        <v>244</v>
      </c>
      <c r="H75" s="433">
        <v>226</v>
      </c>
      <c r="I75" s="536" t="s">
        <v>284</v>
      </c>
      <c r="J75" s="443"/>
      <c r="K75" s="434"/>
      <c r="L75" s="434"/>
      <c r="M75" s="563"/>
      <c r="N75" s="437"/>
      <c r="O75" s="563"/>
      <c r="P75" s="437"/>
      <c r="Q75" s="563"/>
      <c r="R75" s="467"/>
      <c r="S75" s="436"/>
      <c r="T75" s="436"/>
      <c r="U75" s="436"/>
      <c r="W75" s="437">
        <f t="shared" si="33"/>
        <v>0</v>
      </c>
      <c r="X75" s="438">
        <f t="shared" si="33"/>
        <v>0</v>
      </c>
      <c r="Y75" s="439">
        <f t="shared" si="8"/>
        <v>0</v>
      </c>
      <c r="Z75" s="437">
        <f t="shared" si="34"/>
        <v>0</v>
      </c>
      <c r="AA75" s="438">
        <f t="shared" si="34"/>
        <v>0</v>
      </c>
      <c r="AB75" s="439">
        <f t="shared" si="10"/>
        <v>0</v>
      </c>
      <c r="AC75" s="437">
        <f t="shared" si="35"/>
        <v>0</v>
      </c>
      <c r="AD75" s="438">
        <f t="shared" si="35"/>
        <v>0</v>
      </c>
      <c r="AE75" s="439">
        <f t="shared" si="12"/>
        <v>0</v>
      </c>
      <c r="AF75" s="437">
        <f t="shared" si="36"/>
        <v>0</v>
      </c>
      <c r="AG75" s="438">
        <f t="shared" si="36"/>
        <v>0</v>
      </c>
      <c r="AH75" s="439">
        <f t="shared" si="14"/>
        <v>0</v>
      </c>
      <c r="AI75" s="440"/>
      <c r="AJ75" s="437">
        <f t="shared" si="37"/>
        <v>0</v>
      </c>
      <c r="AK75" s="441">
        <f t="shared" si="37"/>
        <v>0</v>
      </c>
      <c r="AL75" s="442">
        <f t="shared" si="16"/>
        <v>0</v>
      </c>
      <c r="AM75" s="437">
        <f t="shared" si="38"/>
        <v>0</v>
      </c>
      <c r="AN75" s="441">
        <f t="shared" si="38"/>
        <v>0</v>
      </c>
      <c r="AO75" s="442">
        <f t="shared" si="18"/>
        <v>0</v>
      </c>
      <c r="AP75" s="443">
        <f t="shared" si="57"/>
        <v>0</v>
      </c>
      <c r="AQ75" s="441">
        <f t="shared" si="19"/>
        <v>0</v>
      </c>
      <c r="AR75" s="442">
        <f t="shared" si="20"/>
        <v>0</v>
      </c>
      <c r="AS75" s="601">
        <f t="shared" si="21"/>
        <v>0</v>
      </c>
      <c r="AT75" s="444"/>
      <c r="AU75" s="445"/>
      <c r="AV75" s="446"/>
      <c r="AW75" s="445"/>
      <c r="AX75" s="446"/>
      <c r="AY75" s="447"/>
      <c r="AZ75" s="448"/>
      <c r="BA75" s="449"/>
      <c r="BB75" s="450"/>
      <c r="BC75" s="449"/>
      <c r="BD75" s="450"/>
      <c r="BE75" s="451"/>
      <c r="BF75" s="452"/>
      <c r="BG75" s="453"/>
      <c r="BH75" s="438"/>
      <c r="BI75" s="453"/>
      <c r="BJ75" s="438"/>
      <c r="BK75" s="454"/>
      <c r="BL75" s="455"/>
      <c r="BM75" s="456"/>
      <c r="BN75" s="457"/>
      <c r="BO75" s="456"/>
      <c r="BP75" s="457"/>
      <c r="BQ75" s="458"/>
    </row>
    <row r="76" spans="1:69" s="468" customFormat="1" ht="79.5" hidden="1" customHeight="1" outlineLevel="1">
      <c r="A76" s="378" t="s">
        <v>378</v>
      </c>
      <c r="B76" s="468" t="s">
        <v>273</v>
      </c>
      <c r="D76" s="469" t="s">
        <v>7</v>
      </c>
      <c r="E76" s="470">
        <v>4</v>
      </c>
      <c r="F76" s="469" t="s">
        <v>70</v>
      </c>
      <c r="G76" s="469">
        <v>244</v>
      </c>
      <c r="H76" s="471">
        <v>226</v>
      </c>
      <c r="I76" s="537" t="s">
        <v>279</v>
      </c>
      <c r="J76" s="472">
        <v>340187.83</v>
      </c>
      <c r="K76" s="422"/>
      <c r="L76" s="422"/>
      <c r="M76" s="564"/>
      <c r="N76" s="472"/>
      <c r="O76" s="564"/>
      <c r="P76" s="472"/>
      <c r="Q76" s="564"/>
      <c r="R76" s="393"/>
      <c r="S76" s="394"/>
      <c r="T76" s="394"/>
      <c r="U76" s="394"/>
      <c r="V76" s="392"/>
      <c r="W76" s="395">
        <f t="shared" si="33"/>
        <v>0</v>
      </c>
      <c r="X76" s="396">
        <f t="shared" si="33"/>
        <v>0</v>
      </c>
      <c r="Y76" s="397">
        <f t="shared" ref="Y76:Y131" si="60">W76-X76</f>
        <v>0</v>
      </c>
      <c r="Z76" s="395">
        <f t="shared" si="34"/>
        <v>340187.83</v>
      </c>
      <c r="AA76" s="396">
        <f t="shared" si="34"/>
        <v>0</v>
      </c>
      <c r="AB76" s="397">
        <f t="shared" ref="AB76:AB131" si="61">Z76-AA76</f>
        <v>340187.83</v>
      </c>
      <c r="AC76" s="395">
        <f t="shared" si="35"/>
        <v>0</v>
      </c>
      <c r="AD76" s="396">
        <f t="shared" si="35"/>
        <v>0</v>
      </c>
      <c r="AE76" s="397">
        <f t="shared" ref="AE76:AE131" si="62">AC76-AD76</f>
        <v>0</v>
      </c>
      <c r="AF76" s="395">
        <f t="shared" si="36"/>
        <v>0</v>
      </c>
      <c r="AG76" s="396">
        <f t="shared" si="36"/>
        <v>0</v>
      </c>
      <c r="AH76" s="397">
        <f t="shared" ref="AH76:AH131" si="63">AF76-AG76</f>
        <v>0</v>
      </c>
      <c r="AI76" s="398"/>
      <c r="AJ76" s="472">
        <f t="shared" si="37"/>
        <v>340187.83</v>
      </c>
      <c r="AK76" s="422">
        <f t="shared" si="37"/>
        <v>0</v>
      </c>
      <c r="AL76" s="473">
        <f t="shared" ref="AL76:AL131" si="64">AJ76-AK76</f>
        <v>340187.83</v>
      </c>
      <c r="AM76" s="472">
        <f t="shared" si="38"/>
        <v>340187.83</v>
      </c>
      <c r="AN76" s="422">
        <f t="shared" si="38"/>
        <v>0</v>
      </c>
      <c r="AO76" s="473">
        <f t="shared" ref="AO76:AO131" si="65">AM76-AN76</f>
        <v>340187.83</v>
      </c>
      <c r="AP76" s="472">
        <f t="shared" si="57"/>
        <v>340187.83</v>
      </c>
      <c r="AQ76" s="422">
        <f t="shared" si="57"/>
        <v>0</v>
      </c>
      <c r="AR76" s="473">
        <f t="shared" ref="AR76:AR131" si="66">AP76-AQ76</f>
        <v>340187.83</v>
      </c>
      <c r="AS76" s="602">
        <f t="shared" ref="AS76:AS139" si="67">J76-AP76</f>
        <v>0</v>
      </c>
      <c r="AT76" s="472">
        <f t="shared" ref="AT76:BQ76" si="68">SUM(AT77:AT78)</f>
        <v>0</v>
      </c>
      <c r="AU76" s="422">
        <f t="shared" si="68"/>
        <v>0</v>
      </c>
      <c r="AV76" s="422">
        <f t="shared" si="68"/>
        <v>0</v>
      </c>
      <c r="AW76" s="422">
        <f t="shared" si="68"/>
        <v>0</v>
      </c>
      <c r="AX76" s="422">
        <f t="shared" si="68"/>
        <v>0</v>
      </c>
      <c r="AY76" s="423">
        <f t="shared" si="68"/>
        <v>0</v>
      </c>
      <c r="AZ76" s="472">
        <f t="shared" si="68"/>
        <v>340187.83</v>
      </c>
      <c r="BA76" s="422">
        <f t="shared" si="68"/>
        <v>0</v>
      </c>
      <c r="BB76" s="422">
        <f t="shared" si="68"/>
        <v>0</v>
      </c>
      <c r="BC76" s="422">
        <f t="shared" si="68"/>
        <v>0</v>
      </c>
      <c r="BD76" s="422">
        <f t="shared" si="68"/>
        <v>0</v>
      </c>
      <c r="BE76" s="423">
        <f t="shared" si="68"/>
        <v>0</v>
      </c>
      <c r="BF76" s="472">
        <f t="shared" si="68"/>
        <v>0</v>
      </c>
      <c r="BG76" s="422">
        <f t="shared" si="68"/>
        <v>0</v>
      </c>
      <c r="BH76" s="422">
        <f t="shared" si="68"/>
        <v>0</v>
      </c>
      <c r="BI76" s="422">
        <f t="shared" si="68"/>
        <v>0</v>
      </c>
      <c r="BJ76" s="422">
        <f t="shared" si="68"/>
        <v>0</v>
      </c>
      <c r="BK76" s="423">
        <f t="shared" si="68"/>
        <v>0</v>
      </c>
      <c r="BL76" s="472">
        <f t="shared" si="68"/>
        <v>0</v>
      </c>
      <c r="BM76" s="422">
        <f t="shared" si="68"/>
        <v>0</v>
      </c>
      <c r="BN76" s="422">
        <f t="shared" si="68"/>
        <v>0</v>
      </c>
      <c r="BO76" s="422">
        <f t="shared" si="68"/>
        <v>0</v>
      </c>
      <c r="BP76" s="422">
        <f t="shared" si="68"/>
        <v>0</v>
      </c>
      <c r="BQ76" s="473">
        <f t="shared" si="68"/>
        <v>0</v>
      </c>
    </row>
    <row r="77" spans="1:69" s="399" customFormat="1" ht="38.25" hidden="1" customHeight="1" outlineLevel="2">
      <c r="B77" s="399" t="s">
        <v>273</v>
      </c>
      <c r="D77" s="400" t="s">
        <v>7</v>
      </c>
      <c r="E77" s="401">
        <v>4</v>
      </c>
      <c r="F77" s="400" t="s">
        <v>70</v>
      </c>
      <c r="G77" s="400">
        <v>244</v>
      </c>
      <c r="H77" s="402">
        <v>226</v>
      </c>
      <c r="I77" s="538" t="s">
        <v>290</v>
      </c>
      <c r="J77" s="412">
        <v>340187.83</v>
      </c>
      <c r="K77" s="403"/>
      <c r="L77" s="403"/>
      <c r="M77" s="565"/>
      <c r="N77" s="406"/>
      <c r="O77" s="565"/>
      <c r="P77" s="406"/>
      <c r="Q77" s="565"/>
      <c r="R77" s="428"/>
      <c r="S77" s="405"/>
      <c r="T77" s="405"/>
      <c r="U77" s="405"/>
      <c r="W77" s="406">
        <f t="shared" si="33"/>
        <v>0</v>
      </c>
      <c r="X77" s="407">
        <f t="shared" si="33"/>
        <v>0</v>
      </c>
      <c r="Y77" s="408">
        <f t="shared" si="60"/>
        <v>0</v>
      </c>
      <c r="Z77" s="406">
        <f t="shared" si="34"/>
        <v>340187.83</v>
      </c>
      <c r="AA77" s="407">
        <f t="shared" si="34"/>
        <v>0</v>
      </c>
      <c r="AB77" s="408">
        <f t="shared" si="61"/>
        <v>340187.83</v>
      </c>
      <c r="AC77" s="406">
        <f t="shared" si="35"/>
        <v>0</v>
      </c>
      <c r="AD77" s="407">
        <f t="shared" si="35"/>
        <v>0</v>
      </c>
      <c r="AE77" s="408">
        <f t="shared" si="62"/>
        <v>0</v>
      </c>
      <c r="AF77" s="406">
        <f t="shared" si="36"/>
        <v>0</v>
      </c>
      <c r="AG77" s="407">
        <f t="shared" si="36"/>
        <v>0</v>
      </c>
      <c r="AH77" s="408">
        <f t="shared" si="63"/>
        <v>0</v>
      </c>
      <c r="AI77" s="409"/>
      <c r="AJ77" s="406">
        <f t="shared" si="37"/>
        <v>340187.83</v>
      </c>
      <c r="AK77" s="410">
        <f t="shared" si="37"/>
        <v>0</v>
      </c>
      <c r="AL77" s="411">
        <f t="shared" si="64"/>
        <v>340187.83</v>
      </c>
      <c r="AM77" s="406">
        <f t="shared" si="38"/>
        <v>340187.83</v>
      </c>
      <c r="AN77" s="410">
        <f t="shared" si="38"/>
        <v>0</v>
      </c>
      <c r="AO77" s="411">
        <f t="shared" si="65"/>
        <v>340187.83</v>
      </c>
      <c r="AP77" s="412">
        <f t="shared" si="57"/>
        <v>340187.83</v>
      </c>
      <c r="AQ77" s="410">
        <f t="shared" si="57"/>
        <v>0</v>
      </c>
      <c r="AR77" s="411">
        <f t="shared" si="66"/>
        <v>340187.83</v>
      </c>
      <c r="AS77" s="603">
        <f t="shared" si="67"/>
        <v>0</v>
      </c>
      <c r="AT77" s="413"/>
      <c r="AU77" s="414"/>
      <c r="AV77" s="415"/>
      <c r="AW77" s="414"/>
      <c r="AX77" s="415"/>
      <c r="AY77" s="416"/>
      <c r="AZ77" s="417">
        <v>340187.83</v>
      </c>
      <c r="BA77" s="418"/>
      <c r="BB77" s="419"/>
      <c r="BC77" s="418"/>
      <c r="BD77" s="419"/>
      <c r="BE77" s="420"/>
      <c r="BF77" s="421"/>
      <c r="BG77" s="422"/>
      <c r="BH77" s="407"/>
      <c r="BI77" s="422"/>
      <c r="BJ77" s="407"/>
      <c r="BK77" s="423"/>
      <c r="BL77" s="424"/>
      <c r="BM77" s="425"/>
      <c r="BN77" s="426"/>
      <c r="BO77" s="425"/>
      <c r="BP77" s="426"/>
      <c r="BQ77" s="427"/>
    </row>
    <row r="78" spans="1:69" s="430" customFormat="1" ht="25.5" hidden="1" customHeight="1" outlineLevel="2">
      <c r="B78" s="430" t="s">
        <v>273</v>
      </c>
      <c r="D78" s="431" t="s">
        <v>7</v>
      </c>
      <c r="E78" s="432">
        <v>4</v>
      </c>
      <c r="F78" s="431" t="s">
        <v>70</v>
      </c>
      <c r="G78" s="474">
        <v>244</v>
      </c>
      <c r="H78" s="433">
        <v>226</v>
      </c>
      <c r="I78" s="536" t="s">
        <v>284</v>
      </c>
      <c r="J78" s="443"/>
      <c r="K78" s="434"/>
      <c r="L78" s="434"/>
      <c r="M78" s="563"/>
      <c r="N78" s="437"/>
      <c r="O78" s="563"/>
      <c r="P78" s="437"/>
      <c r="Q78" s="563"/>
      <c r="R78" s="467"/>
      <c r="S78" s="436"/>
      <c r="T78" s="436"/>
      <c r="U78" s="436"/>
      <c r="W78" s="437">
        <f t="shared" si="33"/>
        <v>0</v>
      </c>
      <c r="X78" s="438">
        <f t="shared" si="33"/>
        <v>0</v>
      </c>
      <c r="Y78" s="439">
        <f t="shared" si="60"/>
        <v>0</v>
      </c>
      <c r="Z78" s="437">
        <f t="shared" si="34"/>
        <v>0</v>
      </c>
      <c r="AA78" s="438">
        <f t="shared" si="34"/>
        <v>0</v>
      </c>
      <c r="AB78" s="439">
        <f t="shared" si="61"/>
        <v>0</v>
      </c>
      <c r="AC78" s="437">
        <f t="shared" si="35"/>
        <v>0</v>
      </c>
      <c r="AD78" s="438">
        <f t="shared" si="35"/>
        <v>0</v>
      </c>
      <c r="AE78" s="439">
        <f t="shared" si="62"/>
        <v>0</v>
      </c>
      <c r="AF78" s="437">
        <f t="shared" si="36"/>
        <v>0</v>
      </c>
      <c r="AG78" s="438">
        <f t="shared" si="36"/>
        <v>0</v>
      </c>
      <c r="AH78" s="439">
        <f t="shared" si="63"/>
        <v>0</v>
      </c>
      <c r="AI78" s="440"/>
      <c r="AJ78" s="437">
        <f t="shared" si="37"/>
        <v>0</v>
      </c>
      <c r="AK78" s="441">
        <f t="shared" si="37"/>
        <v>0</v>
      </c>
      <c r="AL78" s="442">
        <f t="shared" si="64"/>
        <v>0</v>
      </c>
      <c r="AM78" s="437">
        <f t="shared" si="38"/>
        <v>0</v>
      </c>
      <c r="AN78" s="441">
        <f t="shared" si="38"/>
        <v>0</v>
      </c>
      <c r="AO78" s="442">
        <f t="shared" si="65"/>
        <v>0</v>
      </c>
      <c r="AP78" s="443">
        <f t="shared" si="57"/>
        <v>0</v>
      </c>
      <c r="AQ78" s="441">
        <f t="shared" si="57"/>
        <v>0</v>
      </c>
      <c r="AR78" s="442">
        <f t="shared" si="66"/>
        <v>0</v>
      </c>
      <c r="AS78" s="601">
        <f t="shared" si="67"/>
        <v>0</v>
      </c>
      <c r="AT78" s="444"/>
      <c r="AU78" s="445"/>
      <c r="AV78" s="446"/>
      <c r="AW78" s="445"/>
      <c r="AX78" s="446"/>
      <c r="AY78" s="447"/>
      <c r="AZ78" s="448"/>
      <c r="BA78" s="449"/>
      <c r="BB78" s="450"/>
      <c r="BC78" s="449"/>
      <c r="BD78" s="450"/>
      <c r="BE78" s="451"/>
      <c r="BF78" s="452"/>
      <c r="BG78" s="453"/>
      <c r="BH78" s="438"/>
      <c r="BI78" s="453"/>
      <c r="BJ78" s="438"/>
      <c r="BK78" s="454"/>
      <c r="BL78" s="455"/>
      <c r="BM78" s="456"/>
      <c r="BN78" s="457"/>
      <c r="BO78" s="456"/>
      <c r="BP78" s="457"/>
      <c r="BQ78" s="458"/>
    </row>
    <row r="79" spans="1:69" s="459" customFormat="1" ht="66.75" hidden="1" customHeight="1" outlineLevel="1">
      <c r="A79" s="378" t="s">
        <v>378</v>
      </c>
      <c r="B79" s="459" t="s">
        <v>272</v>
      </c>
      <c r="D79" s="460" t="s">
        <v>7</v>
      </c>
      <c r="E79" s="461">
        <v>4</v>
      </c>
      <c r="F79" s="462" t="s">
        <v>70</v>
      </c>
      <c r="G79" s="462">
        <v>244</v>
      </c>
      <c r="H79" s="463">
        <v>226</v>
      </c>
      <c r="I79" s="535" t="s">
        <v>278</v>
      </c>
      <c r="J79" s="464">
        <v>340187.83</v>
      </c>
      <c r="K79" s="352"/>
      <c r="L79" s="352"/>
      <c r="M79" s="561"/>
      <c r="N79" s="464"/>
      <c r="O79" s="561"/>
      <c r="P79" s="464"/>
      <c r="Q79" s="561"/>
      <c r="R79" s="393"/>
      <c r="S79" s="394"/>
      <c r="T79" s="394"/>
      <c r="U79" s="394"/>
      <c r="V79" s="392"/>
      <c r="W79" s="395">
        <f t="shared" si="33"/>
        <v>0</v>
      </c>
      <c r="X79" s="396">
        <f t="shared" si="33"/>
        <v>0</v>
      </c>
      <c r="Y79" s="397">
        <f t="shared" si="60"/>
        <v>0</v>
      </c>
      <c r="Z79" s="395">
        <f t="shared" si="34"/>
        <v>0</v>
      </c>
      <c r="AA79" s="396">
        <f t="shared" si="34"/>
        <v>0</v>
      </c>
      <c r="AB79" s="397">
        <f t="shared" si="61"/>
        <v>0</v>
      </c>
      <c r="AC79" s="395">
        <f t="shared" si="35"/>
        <v>340187.83</v>
      </c>
      <c r="AD79" s="396">
        <f t="shared" si="35"/>
        <v>0</v>
      </c>
      <c r="AE79" s="397">
        <f t="shared" si="62"/>
        <v>340187.83</v>
      </c>
      <c r="AF79" s="395">
        <f t="shared" si="36"/>
        <v>0</v>
      </c>
      <c r="AG79" s="396">
        <f t="shared" si="36"/>
        <v>0</v>
      </c>
      <c r="AH79" s="397">
        <f t="shared" si="63"/>
        <v>0</v>
      </c>
      <c r="AI79" s="398"/>
      <c r="AJ79" s="464">
        <f t="shared" si="37"/>
        <v>0</v>
      </c>
      <c r="AK79" s="352">
        <f t="shared" si="37"/>
        <v>0</v>
      </c>
      <c r="AL79" s="465">
        <f t="shared" si="64"/>
        <v>0</v>
      </c>
      <c r="AM79" s="464">
        <f t="shared" si="38"/>
        <v>340187.83</v>
      </c>
      <c r="AN79" s="352">
        <f t="shared" si="38"/>
        <v>0</v>
      </c>
      <c r="AO79" s="465">
        <f t="shared" si="65"/>
        <v>340187.83</v>
      </c>
      <c r="AP79" s="464">
        <f t="shared" ref="AP79:AQ114" si="69">W79+Z79+AC79+AF79</f>
        <v>340187.83</v>
      </c>
      <c r="AQ79" s="352">
        <f t="shared" si="69"/>
        <v>0</v>
      </c>
      <c r="AR79" s="465">
        <f t="shared" si="66"/>
        <v>340187.83</v>
      </c>
      <c r="AS79" s="600">
        <f t="shared" si="67"/>
        <v>0</v>
      </c>
      <c r="AT79" s="464">
        <f t="shared" ref="AT79:BQ79" si="70">SUM(AT80:AT81)</f>
        <v>0</v>
      </c>
      <c r="AU79" s="352">
        <f t="shared" si="70"/>
        <v>0</v>
      </c>
      <c r="AV79" s="352">
        <f t="shared" si="70"/>
        <v>0</v>
      </c>
      <c r="AW79" s="352">
        <f t="shared" si="70"/>
        <v>0</v>
      </c>
      <c r="AX79" s="352">
        <f t="shared" si="70"/>
        <v>0</v>
      </c>
      <c r="AY79" s="353">
        <f t="shared" si="70"/>
        <v>0</v>
      </c>
      <c r="AZ79" s="464">
        <f t="shared" si="70"/>
        <v>0</v>
      </c>
      <c r="BA79" s="352">
        <f t="shared" si="70"/>
        <v>0</v>
      </c>
      <c r="BB79" s="352">
        <f t="shared" si="70"/>
        <v>0</v>
      </c>
      <c r="BC79" s="352">
        <f t="shared" si="70"/>
        <v>0</v>
      </c>
      <c r="BD79" s="352">
        <f t="shared" si="70"/>
        <v>0</v>
      </c>
      <c r="BE79" s="353">
        <f t="shared" si="70"/>
        <v>0</v>
      </c>
      <c r="BF79" s="464">
        <f t="shared" si="70"/>
        <v>0</v>
      </c>
      <c r="BG79" s="352">
        <f t="shared" si="70"/>
        <v>0</v>
      </c>
      <c r="BH79" s="352">
        <f t="shared" si="70"/>
        <v>100000</v>
      </c>
      <c r="BI79" s="352">
        <f t="shared" si="70"/>
        <v>0</v>
      </c>
      <c r="BJ79" s="352">
        <f t="shared" si="70"/>
        <v>240187.83</v>
      </c>
      <c r="BK79" s="353">
        <f t="shared" si="70"/>
        <v>0</v>
      </c>
      <c r="BL79" s="464">
        <f t="shared" si="70"/>
        <v>0</v>
      </c>
      <c r="BM79" s="352">
        <f t="shared" si="70"/>
        <v>0</v>
      </c>
      <c r="BN79" s="352">
        <f t="shared" si="70"/>
        <v>0</v>
      </c>
      <c r="BO79" s="352">
        <f t="shared" si="70"/>
        <v>0</v>
      </c>
      <c r="BP79" s="352">
        <f t="shared" si="70"/>
        <v>0</v>
      </c>
      <c r="BQ79" s="465">
        <f t="shared" si="70"/>
        <v>0</v>
      </c>
    </row>
    <row r="80" spans="1:69" s="313" customFormat="1" ht="38.25" hidden="1" customHeight="1" outlineLevel="2">
      <c r="B80" s="313" t="s">
        <v>272</v>
      </c>
      <c r="D80" s="373" t="s">
        <v>7</v>
      </c>
      <c r="E80" s="315">
        <v>4</v>
      </c>
      <c r="F80" s="314" t="s">
        <v>70</v>
      </c>
      <c r="G80" s="314">
        <v>244</v>
      </c>
      <c r="H80" s="316">
        <v>226</v>
      </c>
      <c r="I80" s="533" t="s">
        <v>291</v>
      </c>
      <c r="J80" s="341">
        <v>340187.83</v>
      </c>
      <c r="K80" s="318"/>
      <c r="L80" s="318"/>
      <c r="M80" s="562"/>
      <c r="N80" s="336"/>
      <c r="O80" s="562"/>
      <c r="P80" s="336"/>
      <c r="Q80" s="562"/>
      <c r="R80" s="466"/>
      <c r="S80" s="320"/>
      <c r="T80" s="320"/>
      <c r="U80" s="320"/>
      <c r="W80" s="336">
        <f t="shared" si="33"/>
        <v>0</v>
      </c>
      <c r="X80" s="337">
        <f t="shared" si="33"/>
        <v>0</v>
      </c>
      <c r="Y80" s="338">
        <f t="shared" si="60"/>
        <v>0</v>
      </c>
      <c r="Z80" s="336">
        <f t="shared" si="34"/>
        <v>0</v>
      </c>
      <c r="AA80" s="337">
        <f t="shared" si="34"/>
        <v>0</v>
      </c>
      <c r="AB80" s="338">
        <f t="shared" si="61"/>
        <v>0</v>
      </c>
      <c r="AC80" s="336">
        <f t="shared" si="35"/>
        <v>340187.83</v>
      </c>
      <c r="AD80" s="337">
        <f t="shared" si="35"/>
        <v>0</v>
      </c>
      <c r="AE80" s="338">
        <f t="shared" si="62"/>
        <v>340187.83</v>
      </c>
      <c r="AF80" s="336">
        <f t="shared" si="36"/>
        <v>0</v>
      </c>
      <c r="AG80" s="337">
        <f t="shared" si="36"/>
        <v>0</v>
      </c>
      <c r="AH80" s="338">
        <f t="shared" si="63"/>
        <v>0</v>
      </c>
      <c r="AI80" s="342"/>
      <c r="AJ80" s="336">
        <f t="shared" si="37"/>
        <v>0</v>
      </c>
      <c r="AK80" s="339">
        <f t="shared" si="37"/>
        <v>0</v>
      </c>
      <c r="AL80" s="340">
        <f t="shared" si="64"/>
        <v>0</v>
      </c>
      <c r="AM80" s="336">
        <f t="shared" si="38"/>
        <v>340187.83</v>
      </c>
      <c r="AN80" s="339">
        <f t="shared" si="38"/>
        <v>0</v>
      </c>
      <c r="AO80" s="340">
        <f t="shared" si="65"/>
        <v>340187.83</v>
      </c>
      <c r="AP80" s="341">
        <f t="shared" si="69"/>
        <v>340187.83</v>
      </c>
      <c r="AQ80" s="339">
        <f t="shared" si="69"/>
        <v>0</v>
      </c>
      <c r="AR80" s="340">
        <f t="shared" si="66"/>
        <v>340187.83</v>
      </c>
      <c r="AS80" s="589">
        <f t="shared" si="67"/>
        <v>0</v>
      </c>
      <c r="AT80" s="343"/>
      <c r="AU80" s="344"/>
      <c r="AV80" s="345"/>
      <c r="AW80" s="344"/>
      <c r="AX80" s="345"/>
      <c r="AY80" s="346"/>
      <c r="AZ80" s="347"/>
      <c r="BA80" s="348"/>
      <c r="BB80" s="349"/>
      <c r="BC80" s="348"/>
      <c r="BD80" s="349"/>
      <c r="BE80" s="350"/>
      <c r="BF80" s="351"/>
      <c r="BG80" s="352"/>
      <c r="BH80" s="337">
        <v>100000</v>
      </c>
      <c r="BI80" s="352"/>
      <c r="BJ80" s="337">
        <v>240187.83</v>
      </c>
      <c r="BK80" s="353"/>
      <c r="BL80" s="354"/>
      <c r="BM80" s="355"/>
      <c r="BN80" s="356"/>
      <c r="BO80" s="355"/>
      <c r="BP80" s="356"/>
      <c r="BQ80" s="357"/>
    </row>
    <row r="81" spans="1:69" s="430" customFormat="1" ht="25.5" hidden="1" customHeight="1" outlineLevel="2">
      <c r="B81" s="430" t="s">
        <v>272</v>
      </c>
      <c r="D81" s="431" t="s">
        <v>7</v>
      </c>
      <c r="E81" s="432">
        <v>4</v>
      </c>
      <c r="F81" s="431" t="s">
        <v>70</v>
      </c>
      <c r="G81" s="474">
        <v>244</v>
      </c>
      <c r="H81" s="433">
        <v>226</v>
      </c>
      <c r="I81" s="536" t="s">
        <v>284</v>
      </c>
      <c r="J81" s="443"/>
      <c r="K81" s="434"/>
      <c r="L81" s="434"/>
      <c r="M81" s="563"/>
      <c r="N81" s="437"/>
      <c r="O81" s="563"/>
      <c r="P81" s="437"/>
      <c r="Q81" s="563"/>
      <c r="R81" s="467"/>
      <c r="S81" s="436"/>
      <c r="T81" s="436"/>
      <c r="U81" s="436"/>
      <c r="W81" s="437">
        <f t="shared" ref="W81:X112" si="71">AT81+AV81+AX81</f>
        <v>0</v>
      </c>
      <c r="X81" s="438">
        <f t="shared" si="71"/>
        <v>0</v>
      </c>
      <c r="Y81" s="439">
        <f t="shared" si="60"/>
        <v>0</v>
      </c>
      <c r="Z81" s="437">
        <f t="shared" ref="Z81:AA112" si="72">AZ81+BB81+BD81</f>
        <v>0</v>
      </c>
      <c r="AA81" s="438">
        <f t="shared" si="72"/>
        <v>0</v>
      </c>
      <c r="AB81" s="439">
        <f t="shared" si="61"/>
        <v>0</v>
      </c>
      <c r="AC81" s="437">
        <f t="shared" ref="AC81:AD112" si="73">BF81+BH81+BJ81</f>
        <v>0</v>
      </c>
      <c r="AD81" s="438">
        <f t="shared" si="73"/>
        <v>0</v>
      </c>
      <c r="AE81" s="439">
        <f t="shared" si="62"/>
        <v>0</v>
      </c>
      <c r="AF81" s="437">
        <f t="shared" ref="AF81:AG112" si="74">BL81+BN81+BP81</f>
        <v>0</v>
      </c>
      <c r="AG81" s="438">
        <f t="shared" si="74"/>
        <v>0</v>
      </c>
      <c r="AH81" s="439">
        <f t="shared" si="63"/>
        <v>0</v>
      </c>
      <c r="AI81" s="440"/>
      <c r="AJ81" s="437">
        <f t="shared" ref="AJ81:AK112" si="75">W81+Z81</f>
        <v>0</v>
      </c>
      <c r="AK81" s="441">
        <f t="shared" si="75"/>
        <v>0</v>
      </c>
      <c r="AL81" s="442">
        <f t="shared" si="64"/>
        <v>0</v>
      </c>
      <c r="AM81" s="437">
        <f t="shared" ref="AM81:AN112" si="76">W81+Z81+AC81</f>
        <v>0</v>
      </c>
      <c r="AN81" s="441">
        <f t="shared" si="76"/>
        <v>0</v>
      </c>
      <c r="AO81" s="442">
        <f t="shared" si="65"/>
        <v>0</v>
      </c>
      <c r="AP81" s="443">
        <f t="shared" si="69"/>
        <v>0</v>
      </c>
      <c r="AQ81" s="441">
        <f t="shared" si="69"/>
        <v>0</v>
      </c>
      <c r="AR81" s="442">
        <f t="shared" si="66"/>
        <v>0</v>
      </c>
      <c r="AS81" s="601">
        <f t="shared" si="67"/>
        <v>0</v>
      </c>
      <c r="AT81" s="444"/>
      <c r="AU81" s="445"/>
      <c r="AV81" s="446"/>
      <c r="AW81" s="445"/>
      <c r="AX81" s="446"/>
      <c r="AY81" s="447"/>
      <c r="AZ81" s="448"/>
      <c r="BA81" s="449"/>
      <c r="BB81" s="450"/>
      <c r="BC81" s="449"/>
      <c r="BD81" s="450"/>
      <c r="BE81" s="451"/>
      <c r="BF81" s="452"/>
      <c r="BG81" s="453"/>
      <c r="BH81" s="438"/>
      <c r="BI81" s="453"/>
      <c r="BJ81" s="438"/>
      <c r="BK81" s="454"/>
      <c r="BL81" s="455"/>
      <c r="BM81" s="456"/>
      <c r="BN81" s="457"/>
      <c r="BO81" s="456"/>
      <c r="BP81" s="457"/>
      <c r="BQ81" s="458"/>
    </row>
    <row r="82" spans="1:69" s="468" customFormat="1" ht="66.75" hidden="1" customHeight="1" outlineLevel="1">
      <c r="A82" s="378" t="s">
        <v>378</v>
      </c>
      <c r="B82" s="468" t="s">
        <v>276</v>
      </c>
      <c r="D82" s="469" t="s">
        <v>7</v>
      </c>
      <c r="E82" s="470">
        <v>4</v>
      </c>
      <c r="F82" s="469" t="s">
        <v>70</v>
      </c>
      <c r="G82" s="469">
        <v>244</v>
      </c>
      <c r="H82" s="471">
        <v>226</v>
      </c>
      <c r="I82" s="537" t="s">
        <v>281</v>
      </c>
      <c r="J82" s="472">
        <v>421906.7</v>
      </c>
      <c r="K82" s="422"/>
      <c r="L82" s="422"/>
      <c r="M82" s="564">
        <v>741617.76</v>
      </c>
      <c r="N82" s="472"/>
      <c r="O82" s="564"/>
      <c r="P82" s="472"/>
      <c r="Q82" s="564"/>
      <c r="R82" s="393"/>
      <c r="S82" s="394"/>
      <c r="T82" s="394"/>
      <c r="U82" s="394"/>
      <c r="V82" s="392"/>
      <c r="W82" s="395">
        <f t="shared" si="71"/>
        <v>0</v>
      </c>
      <c r="X82" s="396">
        <f t="shared" si="71"/>
        <v>0</v>
      </c>
      <c r="Y82" s="397">
        <f t="shared" si="60"/>
        <v>0</v>
      </c>
      <c r="Z82" s="395">
        <f t="shared" si="72"/>
        <v>0</v>
      </c>
      <c r="AA82" s="396">
        <f t="shared" si="72"/>
        <v>0</v>
      </c>
      <c r="AB82" s="397">
        <f t="shared" si="61"/>
        <v>0</v>
      </c>
      <c r="AC82" s="395">
        <f t="shared" si="73"/>
        <v>0</v>
      </c>
      <c r="AD82" s="396">
        <f t="shared" si="73"/>
        <v>0</v>
      </c>
      <c r="AE82" s="397">
        <f t="shared" si="62"/>
        <v>0</v>
      </c>
      <c r="AF82" s="395">
        <f t="shared" si="74"/>
        <v>421906.7</v>
      </c>
      <c r="AG82" s="396">
        <f t="shared" si="74"/>
        <v>0</v>
      </c>
      <c r="AH82" s="397">
        <f t="shared" si="63"/>
        <v>421906.7</v>
      </c>
      <c r="AI82" s="398"/>
      <c r="AJ82" s="472">
        <f t="shared" si="75"/>
        <v>0</v>
      </c>
      <c r="AK82" s="422">
        <f t="shared" si="75"/>
        <v>0</v>
      </c>
      <c r="AL82" s="473">
        <f t="shared" si="64"/>
        <v>0</v>
      </c>
      <c r="AM82" s="472">
        <f t="shared" si="76"/>
        <v>0</v>
      </c>
      <c r="AN82" s="422">
        <f t="shared" si="76"/>
        <v>0</v>
      </c>
      <c r="AO82" s="473">
        <f t="shared" si="65"/>
        <v>0</v>
      </c>
      <c r="AP82" s="472">
        <f t="shared" si="69"/>
        <v>421906.7</v>
      </c>
      <c r="AQ82" s="422">
        <f t="shared" si="69"/>
        <v>0</v>
      </c>
      <c r="AR82" s="473">
        <f t="shared" si="66"/>
        <v>421906.7</v>
      </c>
      <c r="AS82" s="602">
        <f t="shared" si="67"/>
        <v>0</v>
      </c>
      <c r="AT82" s="472">
        <f t="shared" ref="AT82:BQ82" si="77">SUM(AT83:AT90)</f>
        <v>0</v>
      </c>
      <c r="AU82" s="422">
        <f t="shared" si="77"/>
        <v>0</v>
      </c>
      <c r="AV82" s="422">
        <f t="shared" si="77"/>
        <v>0</v>
      </c>
      <c r="AW82" s="422">
        <f t="shared" si="77"/>
        <v>0</v>
      </c>
      <c r="AX82" s="422">
        <f t="shared" si="77"/>
        <v>0</v>
      </c>
      <c r="AY82" s="423">
        <f t="shared" si="77"/>
        <v>0</v>
      </c>
      <c r="AZ82" s="472">
        <f t="shared" si="77"/>
        <v>0</v>
      </c>
      <c r="BA82" s="422">
        <f t="shared" si="77"/>
        <v>0</v>
      </c>
      <c r="BB82" s="422">
        <f t="shared" si="77"/>
        <v>0</v>
      </c>
      <c r="BC82" s="422">
        <f t="shared" si="77"/>
        <v>0</v>
      </c>
      <c r="BD82" s="422">
        <f t="shared" si="77"/>
        <v>0</v>
      </c>
      <c r="BE82" s="423">
        <f t="shared" si="77"/>
        <v>0</v>
      </c>
      <c r="BF82" s="472">
        <f t="shared" si="77"/>
        <v>0</v>
      </c>
      <c r="BG82" s="422">
        <f t="shared" si="77"/>
        <v>0</v>
      </c>
      <c r="BH82" s="422">
        <f t="shared" si="77"/>
        <v>0</v>
      </c>
      <c r="BI82" s="422">
        <f t="shared" si="77"/>
        <v>0</v>
      </c>
      <c r="BJ82" s="422">
        <f t="shared" si="77"/>
        <v>0</v>
      </c>
      <c r="BK82" s="423">
        <f t="shared" si="77"/>
        <v>0</v>
      </c>
      <c r="BL82" s="472">
        <f t="shared" si="77"/>
        <v>233059.9</v>
      </c>
      <c r="BM82" s="422">
        <f t="shared" si="77"/>
        <v>0</v>
      </c>
      <c r="BN82" s="422">
        <f t="shared" si="77"/>
        <v>188846.8</v>
      </c>
      <c r="BO82" s="422">
        <f t="shared" si="77"/>
        <v>0</v>
      </c>
      <c r="BP82" s="422">
        <f t="shared" si="77"/>
        <v>0</v>
      </c>
      <c r="BQ82" s="473">
        <f t="shared" si="77"/>
        <v>0</v>
      </c>
    </row>
    <row r="83" spans="1:69" s="399" customFormat="1" ht="25.5" hidden="1" customHeight="1" outlineLevel="2">
      <c r="B83" s="399" t="s">
        <v>276</v>
      </c>
      <c r="D83" s="400" t="s">
        <v>7</v>
      </c>
      <c r="E83" s="401">
        <v>4</v>
      </c>
      <c r="F83" s="400" t="s">
        <v>70</v>
      </c>
      <c r="G83" s="400">
        <v>244</v>
      </c>
      <c r="H83" s="402">
        <v>226</v>
      </c>
      <c r="I83" s="538" t="s">
        <v>292</v>
      </c>
      <c r="J83" s="412">
        <v>388846.8</v>
      </c>
      <c r="K83" s="403"/>
      <c r="L83" s="403"/>
      <c r="M83" s="565">
        <v>0</v>
      </c>
      <c r="N83" s="406"/>
      <c r="O83" s="565"/>
      <c r="P83" s="406"/>
      <c r="Q83" s="565"/>
      <c r="R83" s="428"/>
      <c r="S83" s="405"/>
      <c r="T83" s="405"/>
      <c r="U83" s="405"/>
      <c r="W83" s="406">
        <f t="shared" si="71"/>
        <v>0</v>
      </c>
      <c r="X83" s="407">
        <f t="shared" si="71"/>
        <v>0</v>
      </c>
      <c r="Y83" s="408">
        <f t="shared" si="60"/>
        <v>0</v>
      </c>
      <c r="Z83" s="406">
        <f t="shared" si="72"/>
        <v>0</v>
      </c>
      <c r="AA83" s="407">
        <f t="shared" si="72"/>
        <v>0</v>
      </c>
      <c r="AB83" s="408">
        <f t="shared" si="61"/>
        <v>0</v>
      </c>
      <c r="AC83" s="406">
        <f t="shared" si="73"/>
        <v>0</v>
      </c>
      <c r="AD83" s="407">
        <f t="shared" si="73"/>
        <v>0</v>
      </c>
      <c r="AE83" s="408">
        <f t="shared" si="62"/>
        <v>0</v>
      </c>
      <c r="AF83" s="406">
        <f t="shared" si="74"/>
        <v>388846.8</v>
      </c>
      <c r="AG83" s="407">
        <f t="shared" si="74"/>
        <v>0</v>
      </c>
      <c r="AH83" s="408">
        <f t="shared" si="63"/>
        <v>388846.8</v>
      </c>
      <c r="AI83" s="409"/>
      <c r="AJ83" s="406">
        <f t="shared" si="75"/>
        <v>0</v>
      </c>
      <c r="AK83" s="410">
        <f t="shared" si="75"/>
        <v>0</v>
      </c>
      <c r="AL83" s="411">
        <f t="shared" si="64"/>
        <v>0</v>
      </c>
      <c r="AM83" s="406">
        <f t="shared" si="76"/>
        <v>0</v>
      </c>
      <c r="AN83" s="410">
        <f t="shared" si="76"/>
        <v>0</v>
      </c>
      <c r="AO83" s="411">
        <f t="shared" si="65"/>
        <v>0</v>
      </c>
      <c r="AP83" s="412">
        <f t="shared" si="69"/>
        <v>388846.8</v>
      </c>
      <c r="AQ83" s="410">
        <f t="shared" si="69"/>
        <v>0</v>
      </c>
      <c r="AR83" s="411">
        <f t="shared" si="66"/>
        <v>388846.8</v>
      </c>
      <c r="AS83" s="603">
        <f t="shared" si="67"/>
        <v>0</v>
      </c>
      <c r="AT83" s="413"/>
      <c r="AU83" s="414"/>
      <c r="AV83" s="415"/>
      <c r="AW83" s="414"/>
      <c r="AX83" s="415"/>
      <c r="AY83" s="416"/>
      <c r="AZ83" s="417"/>
      <c r="BA83" s="418"/>
      <c r="BB83" s="419"/>
      <c r="BC83" s="418"/>
      <c r="BD83" s="419"/>
      <c r="BE83" s="420"/>
      <c r="BF83" s="421"/>
      <c r="BG83" s="422"/>
      <c r="BH83" s="407"/>
      <c r="BI83" s="422"/>
      <c r="BJ83" s="407"/>
      <c r="BK83" s="423"/>
      <c r="BL83" s="424">
        <v>200000</v>
      </c>
      <c r="BM83" s="425"/>
      <c r="BN83" s="426">
        <v>188846.8</v>
      </c>
      <c r="BO83" s="425"/>
      <c r="BP83" s="426"/>
      <c r="BQ83" s="427"/>
    </row>
    <row r="84" spans="1:69" s="399" customFormat="1" ht="25.5" hidden="1" customHeight="1" outlineLevel="2">
      <c r="B84" s="399" t="s">
        <v>276</v>
      </c>
      <c r="D84" s="400" t="s">
        <v>7</v>
      </c>
      <c r="E84" s="401">
        <v>4</v>
      </c>
      <c r="F84" s="400" t="s">
        <v>70</v>
      </c>
      <c r="G84" s="400">
        <v>244</v>
      </c>
      <c r="H84" s="402">
        <v>226</v>
      </c>
      <c r="I84" s="538" t="s">
        <v>293</v>
      </c>
      <c r="J84" s="412">
        <v>0</v>
      </c>
      <c r="K84" s="403"/>
      <c r="L84" s="403"/>
      <c r="M84" s="565">
        <v>165393.4</v>
      </c>
      <c r="N84" s="406"/>
      <c r="O84" s="565"/>
      <c r="P84" s="406"/>
      <c r="Q84" s="565"/>
      <c r="R84" s="428"/>
      <c r="S84" s="405"/>
      <c r="T84" s="405"/>
      <c r="U84" s="405"/>
      <c r="W84" s="406">
        <f t="shared" si="71"/>
        <v>0</v>
      </c>
      <c r="X84" s="407">
        <f t="shared" si="71"/>
        <v>0</v>
      </c>
      <c r="Y84" s="408">
        <f t="shared" si="60"/>
        <v>0</v>
      </c>
      <c r="Z84" s="406">
        <f t="shared" si="72"/>
        <v>0</v>
      </c>
      <c r="AA84" s="407">
        <f t="shared" si="72"/>
        <v>0</v>
      </c>
      <c r="AB84" s="408">
        <f t="shared" si="61"/>
        <v>0</v>
      </c>
      <c r="AC84" s="406">
        <f t="shared" si="73"/>
        <v>0</v>
      </c>
      <c r="AD84" s="407">
        <f t="shared" si="73"/>
        <v>0</v>
      </c>
      <c r="AE84" s="408">
        <f t="shared" si="62"/>
        <v>0</v>
      </c>
      <c r="AF84" s="406">
        <f t="shared" si="74"/>
        <v>0</v>
      </c>
      <c r="AG84" s="407">
        <f t="shared" si="74"/>
        <v>0</v>
      </c>
      <c r="AH84" s="408">
        <f t="shared" si="63"/>
        <v>0</v>
      </c>
      <c r="AI84" s="409"/>
      <c r="AJ84" s="406">
        <f t="shared" si="75"/>
        <v>0</v>
      </c>
      <c r="AK84" s="410">
        <f t="shared" si="75"/>
        <v>0</v>
      </c>
      <c r="AL84" s="411">
        <f t="shared" si="64"/>
        <v>0</v>
      </c>
      <c r="AM84" s="406">
        <f t="shared" si="76"/>
        <v>0</v>
      </c>
      <c r="AN84" s="410">
        <f t="shared" si="76"/>
        <v>0</v>
      </c>
      <c r="AO84" s="411">
        <f t="shared" si="65"/>
        <v>0</v>
      </c>
      <c r="AP84" s="412">
        <f t="shared" si="69"/>
        <v>0</v>
      </c>
      <c r="AQ84" s="410">
        <f t="shared" si="69"/>
        <v>0</v>
      </c>
      <c r="AR84" s="411">
        <f t="shared" si="66"/>
        <v>0</v>
      </c>
      <c r="AS84" s="603">
        <f t="shared" si="67"/>
        <v>0</v>
      </c>
      <c r="AT84" s="413"/>
      <c r="AU84" s="414"/>
      <c r="AV84" s="415"/>
      <c r="AW84" s="414"/>
      <c r="AX84" s="415"/>
      <c r="AY84" s="416"/>
      <c r="AZ84" s="417"/>
      <c r="BA84" s="418"/>
      <c r="BB84" s="419"/>
      <c r="BC84" s="418"/>
      <c r="BD84" s="419"/>
      <c r="BE84" s="420"/>
      <c r="BF84" s="421"/>
      <c r="BG84" s="422"/>
      <c r="BH84" s="407"/>
      <c r="BI84" s="422"/>
      <c r="BJ84" s="407"/>
      <c r="BK84" s="423"/>
      <c r="BL84" s="424"/>
      <c r="BM84" s="425"/>
      <c r="BN84" s="426"/>
      <c r="BO84" s="425"/>
      <c r="BP84" s="426"/>
      <c r="BQ84" s="427"/>
    </row>
    <row r="85" spans="1:69" s="399" customFormat="1" ht="25.5" hidden="1" customHeight="1" outlineLevel="2">
      <c r="B85" s="399" t="s">
        <v>276</v>
      </c>
      <c r="D85" s="400" t="s">
        <v>7</v>
      </c>
      <c r="E85" s="401">
        <v>4</v>
      </c>
      <c r="F85" s="400" t="s">
        <v>70</v>
      </c>
      <c r="G85" s="400">
        <v>244</v>
      </c>
      <c r="H85" s="402">
        <v>226</v>
      </c>
      <c r="I85" s="538" t="s">
        <v>294</v>
      </c>
      <c r="J85" s="412">
        <v>0</v>
      </c>
      <c r="K85" s="403"/>
      <c r="L85" s="403"/>
      <c r="M85" s="565">
        <v>246736.08</v>
      </c>
      <c r="N85" s="406"/>
      <c r="O85" s="565"/>
      <c r="P85" s="406"/>
      <c r="Q85" s="565"/>
      <c r="R85" s="428"/>
      <c r="S85" s="405"/>
      <c r="T85" s="405"/>
      <c r="U85" s="405"/>
      <c r="W85" s="406">
        <f t="shared" si="71"/>
        <v>0</v>
      </c>
      <c r="X85" s="407">
        <f t="shared" si="71"/>
        <v>0</v>
      </c>
      <c r="Y85" s="408">
        <f t="shared" si="60"/>
        <v>0</v>
      </c>
      <c r="Z85" s="406">
        <f t="shared" si="72"/>
        <v>0</v>
      </c>
      <c r="AA85" s="407">
        <f t="shared" si="72"/>
        <v>0</v>
      </c>
      <c r="AB85" s="408">
        <f t="shared" si="61"/>
        <v>0</v>
      </c>
      <c r="AC85" s="406">
        <f t="shared" si="73"/>
        <v>0</v>
      </c>
      <c r="AD85" s="407">
        <f t="shared" si="73"/>
        <v>0</v>
      </c>
      <c r="AE85" s="408">
        <f t="shared" si="62"/>
        <v>0</v>
      </c>
      <c r="AF85" s="406">
        <f t="shared" si="74"/>
        <v>0</v>
      </c>
      <c r="AG85" s="407">
        <f t="shared" si="74"/>
        <v>0</v>
      </c>
      <c r="AH85" s="408">
        <f t="shared" si="63"/>
        <v>0</v>
      </c>
      <c r="AI85" s="409"/>
      <c r="AJ85" s="406">
        <f t="shared" si="75"/>
        <v>0</v>
      </c>
      <c r="AK85" s="410">
        <f t="shared" si="75"/>
        <v>0</v>
      </c>
      <c r="AL85" s="411">
        <f t="shared" si="64"/>
        <v>0</v>
      </c>
      <c r="AM85" s="406">
        <f t="shared" si="76"/>
        <v>0</v>
      </c>
      <c r="AN85" s="410">
        <f t="shared" si="76"/>
        <v>0</v>
      </c>
      <c r="AO85" s="411">
        <f t="shared" si="65"/>
        <v>0</v>
      </c>
      <c r="AP85" s="412">
        <f t="shared" si="69"/>
        <v>0</v>
      </c>
      <c r="AQ85" s="410">
        <f t="shared" si="69"/>
        <v>0</v>
      </c>
      <c r="AR85" s="411">
        <f t="shared" si="66"/>
        <v>0</v>
      </c>
      <c r="AS85" s="603">
        <f t="shared" si="67"/>
        <v>0</v>
      </c>
      <c r="AT85" s="413"/>
      <c r="AU85" s="414"/>
      <c r="AV85" s="415"/>
      <c r="AW85" s="414"/>
      <c r="AX85" s="415"/>
      <c r="AY85" s="416"/>
      <c r="AZ85" s="417"/>
      <c r="BA85" s="418"/>
      <c r="BB85" s="419"/>
      <c r="BC85" s="418"/>
      <c r="BD85" s="419"/>
      <c r="BE85" s="420"/>
      <c r="BF85" s="421"/>
      <c r="BG85" s="422"/>
      <c r="BH85" s="407"/>
      <c r="BI85" s="422"/>
      <c r="BJ85" s="407"/>
      <c r="BK85" s="423"/>
      <c r="BL85" s="424"/>
      <c r="BM85" s="425"/>
      <c r="BN85" s="426"/>
      <c r="BO85" s="425"/>
      <c r="BP85" s="426"/>
      <c r="BQ85" s="427"/>
    </row>
    <row r="86" spans="1:69" s="399" customFormat="1" ht="25.5" hidden="1" customHeight="1" outlineLevel="2">
      <c r="B86" s="399" t="s">
        <v>276</v>
      </c>
      <c r="D86" s="400" t="s">
        <v>7</v>
      </c>
      <c r="E86" s="401">
        <v>4</v>
      </c>
      <c r="F86" s="400" t="s">
        <v>70</v>
      </c>
      <c r="G86" s="400">
        <v>244</v>
      </c>
      <c r="H86" s="402">
        <v>226</v>
      </c>
      <c r="I86" s="538" t="s">
        <v>295</v>
      </c>
      <c r="J86" s="412">
        <v>0</v>
      </c>
      <c r="K86" s="403"/>
      <c r="L86" s="403"/>
      <c r="M86" s="565">
        <v>299886.7</v>
      </c>
      <c r="N86" s="406"/>
      <c r="O86" s="565"/>
      <c r="P86" s="406"/>
      <c r="Q86" s="565"/>
      <c r="R86" s="428"/>
      <c r="S86" s="405"/>
      <c r="T86" s="405"/>
      <c r="U86" s="405"/>
      <c r="W86" s="406">
        <f t="shared" si="71"/>
        <v>0</v>
      </c>
      <c r="X86" s="407">
        <f t="shared" si="71"/>
        <v>0</v>
      </c>
      <c r="Y86" s="408">
        <f t="shared" si="60"/>
        <v>0</v>
      </c>
      <c r="Z86" s="406">
        <f t="shared" si="72"/>
        <v>0</v>
      </c>
      <c r="AA86" s="407">
        <f t="shared" si="72"/>
        <v>0</v>
      </c>
      <c r="AB86" s="408">
        <f t="shared" si="61"/>
        <v>0</v>
      </c>
      <c r="AC86" s="406">
        <f t="shared" si="73"/>
        <v>0</v>
      </c>
      <c r="AD86" s="407">
        <f t="shared" si="73"/>
        <v>0</v>
      </c>
      <c r="AE86" s="408">
        <f t="shared" si="62"/>
        <v>0</v>
      </c>
      <c r="AF86" s="406">
        <f t="shared" si="74"/>
        <v>0</v>
      </c>
      <c r="AG86" s="407">
        <f t="shared" si="74"/>
        <v>0</v>
      </c>
      <c r="AH86" s="408">
        <f t="shared" si="63"/>
        <v>0</v>
      </c>
      <c r="AI86" s="409"/>
      <c r="AJ86" s="406">
        <f t="shared" si="75"/>
        <v>0</v>
      </c>
      <c r="AK86" s="410">
        <f t="shared" si="75"/>
        <v>0</v>
      </c>
      <c r="AL86" s="411">
        <f t="shared" si="64"/>
        <v>0</v>
      </c>
      <c r="AM86" s="406">
        <f t="shared" si="76"/>
        <v>0</v>
      </c>
      <c r="AN86" s="410">
        <f t="shared" si="76"/>
        <v>0</v>
      </c>
      <c r="AO86" s="411">
        <f t="shared" si="65"/>
        <v>0</v>
      </c>
      <c r="AP86" s="412">
        <f t="shared" si="69"/>
        <v>0</v>
      </c>
      <c r="AQ86" s="410">
        <f t="shared" si="69"/>
        <v>0</v>
      </c>
      <c r="AR86" s="411">
        <f t="shared" si="66"/>
        <v>0</v>
      </c>
      <c r="AS86" s="603">
        <f t="shared" si="67"/>
        <v>0</v>
      </c>
      <c r="AT86" s="413"/>
      <c r="AU86" s="414"/>
      <c r="AV86" s="415"/>
      <c r="AW86" s="414"/>
      <c r="AX86" s="415"/>
      <c r="AY86" s="416"/>
      <c r="AZ86" s="417"/>
      <c r="BA86" s="418"/>
      <c r="BB86" s="419"/>
      <c r="BC86" s="418"/>
      <c r="BD86" s="419"/>
      <c r="BE86" s="420"/>
      <c r="BF86" s="421"/>
      <c r="BG86" s="422"/>
      <c r="BH86" s="407"/>
      <c r="BI86" s="422"/>
      <c r="BJ86" s="407"/>
      <c r="BK86" s="423"/>
      <c r="BL86" s="424"/>
      <c r="BM86" s="425"/>
      <c r="BN86" s="426"/>
      <c r="BO86" s="425"/>
      <c r="BP86" s="426"/>
      <c r="BQ86" s="427"/>
    </row>
    <row r="87" spans="1:69" s="399" customFormat="1" ht="25.5" hidden="1" customHeight="1" outlineLevel="2">
      <c r="B87" s="399" t="s">
        <v>276</v>
      </c>
      <c r="D87" s="400" t="s">
        <v>7</v>
      </c>
      <c r="E87" s="401">
        <v>4</v>
      </c>
      <c r="F87" s="400" t="s">
        <v>70</v>
      </c>
      <c r="G87" s="400">
        <v>244</v>
      </c>
      <c r="H87" s="402">
        <v>226</v>
      </c>
      <c r="I87" s="538" t="s">
        <v>296</v>
      </c>
      <c r="J87" s="412">
        <v>28059.9</v>
      </c>
      <c r="K87" s="403"/>
      <c r="L87" s="403"/>
      <c r="M87" s="565">
        <v>27268.25</v>
      </c>
      <c r="N87" s="406"/>
      <c r="O87" s="565"/>
      <c r="P87" s="406"/>
      <c r="Q87" s="565"/>
      <c r="R87" s="428"/>
      <c r="S87" s="405"/>
      <c r="T87" s="405"/>
      <c r="U87" s="405"/>
      <c r="W87" s="406">
        <f t="shared" si="71"/>
        <v>0</v>
      </c>
      <c r="X87" s="407">
        <f t="shared" si="71"/>
        <v>0</v>
      </c>
      <c r="Y87" s="408">
        <f t="shared" si="60"/>
        <v>0</v>
      </c>
      <c r="Z87" s="406">
        <f t="shared" si="72"/>
        <v>0</v>
      </c>
      <c r="AA87" s="407">
        <f t="shared" si="72"/>
        <v>0</v>
      </c>
      <c r="AB87" s="408">
        <f t="shared" si="61"/>
        <v>0</v>
      </c>
      <c r="AC87" s="406">
        <f t="shared" si="73"/>
        <v>0</v>
      </c>
      <c r="AD87" s="407">
        <f t="shared" si="73"/>
        <v>0</v>
      </c>
      <c r="AE87" s="408">
        <f t="shared" si="62"/>
        <v>0</v>
      </c>
      <c r="AF87" s="406">
        <f t="shared" si="74"/>
        <v>28059.9</v>
      </c>
      <c r="AG87" s="407">
        <f t="shared" si="74"/>
        <v>0</v>
      </c>
      <c r="AH87" s="408">
        <f t="shared" si="63"/>
        <v>28059.9</v>
      </c>
      <c r="AI87" s="409"/>
      <c r="AJ87" s="406">
        <f t="shared" si="75"/>
        <v>0</v>
      </c>
      <c r="AK87" s="410">
        <f t="shared" si="75"/>
        <v>0</v>
      </c>
      <c r="AL87" s="411">
        <f t="shared" si="64"/>
        <v>0</v>
      </c>
      <c r="AM87" s="406">
        <f t="shared" si="76"/>
        <v>0</v>
      </c>
      <c r="AN87" s="410">
        <f t="shared" si="76"/>
        <v>0</v>
      </c>
      <c r="AO87" s="411">
        <f t="shared" si="65"/>
        <v>0</v>
      </c>
      <c r="AP87" s="412">
        <f t="shared" si="69"/>
        <v>28059.9</v>
      </c>
      <c r="AQ87" s="410">
        <f t="shared" si="69"/>
        <v>0</v>
      </c>
      <c r="AR87" s="411">
        <f t="shared" si="66"/>
        <v>28059.9</v>
      </c>
      <c r="AS87" s="603">
        <f t="shared" si="67"/>
        <v>0</v>
      </c>
      <c r="AT87" s="413"/>
      <c r="AU87" s="414"/>
      <c r="AV87" s="415"/>
      <c r="AW87" s="414"/>
      <c r="AX87" s="415"/>
      <c r="AY87" s="416"/>
      <c r="AZ87" s="417"/>
      <c r="BA87" s="418"/>
      <c r="BB87" s="419"/>
      <c r="BC87" s="418"/>
      <c r="BD87" s="419"/>
      <c r="BE87" s="420"/>
      <c r="BF87" s="421"/>
      <c r="BG87" s="422"/>
      <c r="BH87" s="407"/>
      <c r="BI87" s="422"/>
      <c r="BJ87" s="407"/>
      <c r="BK87" s="423"/>
      <c r="BL87" s="424">
        <v>28059.9</v>
      </c>
      <c r="BM87" s="425"/>
      <c r="BN87" s="426"/>
      <c r="BO87" s="425"/>
      <c r="BP87" s="426"/>
      <c r="BQ87" s="427"/>
    </row>
    <row r="88" spans="1:69" s="399" customFormat="1" ht="25.5" hidden="1" customHeight="1" outlineLevel="2">
      <c r="B88" s="399" t="s">
        <v>276</v>
      </c>
      <c r="D88" s="400" t="s">
        <v>7</v>
      </c>
      <c r="E88" s="401">
        <v>4</v>
      </c>
      <c r="F88" s="400" t="s">
        <v>70</v>
      </c>
      <c r="G88" s="400">
        <v>244</v>
      </c>
      <c r="H88" s="402">
        <v>226</v>
      </c>
      <c r="I88" s="538" t="s">
        <v>288</v>
      </c>
      <c r="J88" s="412">
        <v>5000</v>
      </c>
      <c r="K88" s="403"/>
      <c r="L88" s="403"/>
      <c r="M88" s="565">
        <v>0</v>
      </c>
      <c r="N88" s="406"/>
      <c r="O88" s="565"/>
      <c r="P88" s="406"/>
      <c r="Q88" s="565"/>
      <c r="R88" s="428"/>
      <c r="S88" s="405"/>
      <c r="T88" s="405"/>
      <c r="U88" s="405"/>
      <c r="W88" s="406">
        <f t="shared" si="71"/>
        <v>0</v>
      </c>
      <c r="X88" s="407">
        <f t="shared" si="71"/>
        <v>0</v>
      </c>
      <c r="Y88" s="408">
        <f t="shared" si="60"/>
        <v>0</v>
      </c>
      <c r="Z88" s="406">
        <f t="shared" si="72"/>
        <v>0</v>
      </c>
      <c r="AA88" s="407">
        <f t="shared" si="72"/>
        <v>0</v>
      </c>
      <c r="AB88" s="408">
        <f t="shared" si="61"/>
        <v>0</v>
      </c>
      <c r="AC88" s="406">
        <f t="shared" si="73"/>
        <v>0</v>
      </c>
      <c r="AD88" s="407">
        <f t="shared" si="73"/>
        <v>0</v>
      </c>
      <c r="AE88" s="408">
        <f t="shared" si="62"/>
        <v>0</v>
      </c>
      <c r="AF88" s="406">
        <f t="shared" si="74"/>
        <v>5000</v>
      </c>
      <c r="AG88" s="407">
        <f t="shared" si="74"/>
        <v>0</v>
      </c>
      <c r="AH88" s="408">
        <f t="shared" si="63"/>
        <v>5000</v>
      </c>
      <c r="AI88" s="409"/>
      <c r="AJ88" s="406">
        <f t="shared" si="75"/>
        <v>0</v>
      </c>
      <c r="AK88" s="410">
        <f t="shared" si="75"/>
        <v>0</v>
      </c>
      <c r="AL88" s="411">
        <f t="shared" si="64"/>
        <v>0</v>
      </c>
      <c r="AM88" s="406">
        <f t="shared" si="76"/>
        <v>0</v>
      </c>
      <c r="AN88" s="410">
        <f t="shared" si="76"/>
        <v>0</v>
      </c>
      <c r="AO88" s="411">
        <f t="shared" si="65"/>
        <v>0</v>
      </c>
      <c r="AP88" s="412">
        <f t="shared" si="69"/>
        <v>5000</v>
      </c>
      <c r="AQ88" s="410">
        <f t="shared" si="69"/>
        <v>0</v>
      </c>
      <c r="AR88" s="411">
        <f t="shared" si="66"/>
        <v>5000</v>
      </c>
      <c r="AS88" s="603">
        <f t="shared" si="67"/>
        <v>0</v>
      </c>
      <c r="AT88" s="413"/>
      <c r="AU88" s="414"/>
      <c r="AV88" s="415"/>
      <c r="AW88" s="414"/>
      <c r="AX88" s="415"/>
      <c r="AY88" s="416"/>
      <c r="AZ88" s="417"/>
      <c r="BA88" s="418"/>
      <c r="BB88" s="419"/>
      <c r="BC88" s="418"/>
      <c r="BD88" s="419"/>
      <c r="BE88" s="420"/>
      <c r="BF88" s="421"/>
      <c r="BG88" s="422"/>
      <c r="BH88" s="407"/>
      <c r="BI88" s="422"/>
      <c r="BJ88" s="407"/>
      <c r="BK88" s="423"/>
      <c r="BL88" s="424">
        <v>5000</v>
      </c>
      <c r="BM88" s="425"/>
      <c r="BN88" s="426"/>
      <c r="BO88" s="425"/>
      <c r="BP88" s="426"/>
      <c r="BQ88" s="427"/>
    </row>
    <row r="89" spans="1:69" s="399" customFormat="1" ht="25.5" hidden="1" customHeight="1" outlineLevel="2">
      <c r="B89" s="399" t="s">
        <v>276</v>
      </c>
      <c r="D89" s="400" t="s">
        <v>7</v>
      </c>
      <c r="E89" s="401">
        <v>4</v>
      </c>
      <c r="F89" s="400" t="s">
        <v>70</v>
      </c>
      <c r="G89" s="400">
        <v>244</v>
      </c>
      <c r="H89" s="402">
        <v>226</v>
      </c>
      <c r="I89" s="538" t="s">
        <v>297</v>
      </c>
      <c r="J89" s="412">
        <v>0</v>
      </c>
      <c r="K89" s="403"/>
      <c r="L89" s="403"/>
      <c r="M89" s="565">
        <v>2333.33</v>
      </c>
      <c r="N89" s="406"/>
      <c r="O89" s="565"/>
      <c r="P89" s="406"/>
      <c r="Q89" s="565"/>
      <c r="R89" s="428"/>
      <c r="S89" s="405"/>
      <c r="T89" s="405"/>
      <c r="U89" s="405"/>
      <c r="W89" s="406">
        <f t="shared" si="71"/>
        <v>0</v>
      </c>
      <c r="X89" s="407">
        <f t="shared" si="71"/>
        <v>0</v>
      </c>
      <c r="Y89" s="408">
        <f t="shared" si="60"/>
        <v>0</v>
      </c>
      <c r="Z89" s="406">
        <f t="shared" si="72"/>
        <v>0</v>
      </c>
      <c r="AA89" s="407">
        <f t="shared" si="72"/>
        <v>0</v>
      </c>
      <c r="AB89" s="408">
        <f t="shared" si="61"/>
        <v>0</v>
      </c>
      <c r="AC89" s="406">
        <f t="shared" si="73"/>
        <v>0</v>
      </c>
      <c r="AD89" s="407">
        <f t="shared" si="73"/>
        <v>0</v>
      </c>
      <c r="AE89" s="408">
        <f t="shared" si="62"/>
        <v>0</v>
      </c>
      <c r="AF89" s="406">
        <f t="shared" si="74"/>
        <v>0</v>
      </c>
      <c r="AG89" s="407">
        <f t="shared" si="74"/>
        <v>0</v>
      </c>
      <c r="AH89" s="408">
        <f t="shared" si="63"/>
        <v>0</v>
      </c>
      <c r="AI89" s="409"/>
      <c r="AJ89" s="406">
        <f t="shared" si="75"/>
        <v>0</v>
      </c>
      <c r="AK89" s="410">
        <f t="shared" si="75"/>
        <v>0</v>
      </c>
      <c r="AL89" s="411">
        <f t="shared" si="64"/>
        <v>0</v>
      </c>
      <c r="AM89" s="406">
        <f t="shared" si="76"/>
        <v>0</v>
      </c>
      <c r="AN89" s="410">
        <f t="shared" si="76"/>
        <v>0</v>
      </c>
      <c r="AO89" s="411">
        <f t="shared" si="65"/>
        <v>0</v>
      </c>
      <c r="AP89" s="412">
        <f t="shared" si="69"/>
        <v>0</v>
      </c>
      <c r="AQ89" s="410">
        <f t="shared" si="69"/>
        <v>0</v>
      </c>
      <c r="AR89" s="411">
        <f t="shared" si="66"/>
        <v>0</v>
      </c>
      <c r="AS89" s="603">
        <f t="shared" si="67"/>
        <v>0</v>
      </c>
      <c r="AT89" s="413"/>
      <c r="AU89" s="414"/>
      <c r="AV89" s="415"/>
      <c r="AW89" s="414"/>
      <c r="AX89" s="415"/>
      <c r="AY89" s="416"/>
      <c r="AZ89" s="417"/>
      <c r="BA89" s="418"/>
      <c r="BB89" s="419"/>
      <c r="BC89" s="418"/>
      <c r="BD89" s="419"/>
      <c r="BE89" s="420"/>
      <c r="BF89" s="421"/>
      <c r="BG89" s="422"/>
      <c r="BH89" s="407"/>
      <c r="BI89" s="422"/>
      <c r="BJ89" s="407"/>
      <c r="BK89" s="423"/>
      <c r="BL89" s="424"/>
      <c r="BM89" s="425"/>
      <c r="BN89" s="426"/>
      <c r="BO89" s="425"/>
      <c r="BP89" s="426"/>
      <c r="BQ89" s="427"/>
    </row>
    <row r="90" spans="1:69" s="430" customFormat="1" ht="25.5" hidden="1" customHeight="1" outlineLevel="2">
      <c r="B90" s="430" t="s">
        <v>276</v>
      </c>
      <c r="D90" s="431" t="s">
        <v>7</v>
      </c>
      <c r="E90" s="432">
        <v>4</v>
      </c>
      <c r="F90" s="431" t="s">
        <v>70</v>
      </c>
      <c r="G90" s="474">
        <v>244</v>
      </c>
      <c r="H90" s="433">
        <v>226</v>
      </c>
      <c r="I90" s="536" t="s">
        <v>284</v>
      </c>
      <c r="J90" s="443"/>
      <c r="K90" s="434"/>
      <c r="L90" s="434"/>
      <c r="M90" s="563"/>
      <c r="N90" s="437"/>
      <c r="O90" s="563"/>
      <c r="P90" s="437"/>
      <c r="Q90" s="563"/>
      <c r="R90" s="467"/>
      <c r="S90" s="436"/>
      <c r="T90" s="436"/>
      <c r="U90" s="436"/>
      <c r="W90" s="437">
        <f t="shared" si="71"/>
        <v>0</v>
      </c>
      <c r="X90" s="438">
        <f t="shared" si="71"/>
        <v>0</v>
      </c>
      <c r="Y90" s="439">
        <f t="shared" si="60"/>
        <v>0</v>
      </c>
      <c r="Z90" s="437">
        <f t="shared" si="72"/>
        <v>0</v>
      </c>
      <c r="AA90" s="438">
        <f t="shared" si="72"/>
        <v>0</v>
      </c>
      <c r="AB90" s="439">
        <f t="shared" si="61"/>
        <v>0</v>
      </c>
      <c r="AC90" s="437">
        <f t="shared" si="73"/>
        <v>0</v>
      </c>
      <c r="AD90" s="438">
        <f t="shared" si="73"/>
        <v>0</v>
      </c>
      <c r="AE90" s="439">
        <f t="shared" si="62"/>
        <v>0</v>
      </c>
      <c r="AF90" s="437">
        <f t="shared" si="74"/>
        <v>0</v>
      </c>
      <c r="AG90" s="438">
        <f t="shared" si="74"/>
        <v>0</v>
      </c>
      <c r="AH90" s="439">
        <f t="shared" si="63"/>
        <v>0</v>
      </c>
      <c r="AI90" s="440"/>
      <c r="AJ90" s="437">
        <f t="shared" si="75"/>
        <v>0</v>
      </c>
      <c r="AK90" s="441">
        <f t="shared" si="75"/>
        <v>0</v>
      </c>
      <c r="AL90" s="442">
        <f t="shared" si="64"/>
        <v>0</v>
      </c>
      <c r="AM90" s="437">
        <f t="shared" si="76"/>
        <v>0</v>
      </c>
      <c r="AN90" s="441">
        <f t="shared" si="76"/>
        <v>0</v>
      </c>
      <c r="AO90" s="442">
        <f t="shared" si="65"/>
        <v>0</v>
      </c>
      <c r="AP90" s="443">
        <f t="shared" si="69"/>
        <v>0</v>
      </c>
      <c r="AQ90" s="441">
        <f t="shared" si="69"/>
        <v>0</v>
      </c>
      <c r="AR90" s="442">
        <f t="shared" si="66"/>
        <v>0</v>
      </c>
      <c r="AS90" s="601">
        <f t="shared" si="67"/>
        <v>0</v>
      </c>
      <c r="AT90" s="444"/>
      <c r="AU90" s="445"/>
      <c r="AV90" s="446"/>
      <c r="AW90" s="445"/>
      <c r="AX90" s="446"/>
      <c r="AY90" s="447"/>
      <c r="AZ90" s="448"/>
      <c r="BA90" s="449"/>
      <c r="BB90" s="450"/>
      <c r="BC90" s="449"/>
      <c r="BD90" s="450"/>
      <c r="BE90" s="451"/>
      <c r="BF90" s="452"/>
      <c r="BG90" s="453"/>
      <c r="BH90" s="438"/>
      <c r="BI90" s="453"/>
      <c r="BJ90" s="438"/>
      <c r="BK90" s="454"/>
      <c r="BL90" s="455"/>
      <c r="BM90" s="456"/>
      <c r="BN90" s="457"/>
      <c r="BO90" s="456"/>
      <c r="BP90" s="457"/>
      <c r="BQ90" s="458"/>
    </row>
    <row r="91" spans="1:69" s="459" customFormat="1" ht="66.75" hidden="1" customHeight="1" outlineLevel="1">
      <c r="A91" s="378" t="s">
        <v>378</v>
      </c>
      <c r="B91" s="459" t="s">
        <v>274</v>
      </c>
      <c r="D91" s="460" t="s">
        <v>7</v>
      </c>
      <c r="E91" s="461">
        <v>4</v>
      </c>
      <c r="F91" s="462" t="s">
        <v>70</v>
      </c>
      <c r="G91" s="462">
        <v>244</v>
      </c>
      <c r="H91" s="463">
        <v>226</v>
      </c>
      <c r="I91" s="535" t="s">
        <v>283</v>
      </c>
      <c r="J91" s="464">
        <v>345187.83</v>
      </c>
      <c r="K91" s="352"/>
      <c r="L91" s="352"/>
      <c r="M91" s="561"/>
      <c r="N91" s="464"/>
      <c r="O91" s="561"/>
      <c r="P91" s="464"/>
      <c r="Q91" s="561"/>
      <c r="R91" s="393"/>
      <c r="S91" s="394"/>
      <c r="T91" s="394"/>
      <c r="U91" s="394"/>
      <c r="V91" s="392"/>
      <c r="W91" s="395">
        <f t="shared" si="71"/>
        <v>0</v>
      </c>
      <c r="X91" s="396">
        <f t="shared" si="71"/>
        <v>0</v>
      </c>
      <c r="Y91" s="397">
        <f t="shared" si="60"/>
        <v>0</v>
      </c>
      <c r="Z91" s="395">
        <f t="shared" si="72"/>
        <v>0</v>
      </c>
      <c r="AA91" s="396">
        <f t="shared" si="72"/>
        <v>0</v>
      </c>
      <c r="AB91" s="397">
        <f t="shared" si="61"/>
        <v>0</v>
      </c>
      <c r="AC91" s="395">
        <f t="shared" si="73"/>
        <v>0</v>
      </c>
      <c r="AD91" s="396">
        <f t="shared" si="73"/>
        <v>0</v>
      </c>
      <c r="AE91" s="397">
        <f t="shared" si="62"/>
        <v>0</v>
      </c>
      <c r="AF91" s="395">
        <f t="shared" si="74"/>
        <v>345187.83</v>
      </c>
      <c r="AG91" s="396">
        <f t="shared" si="74"/>
        <v>0</v>
      </c>
      <c r="AH91" s="397">
        <f t="shared" si="63"/>
        <v>345187.83</v>
      </c>
      <c r="AI91" s="398"/>
      <c r="AJ91" s="464">
        <f t="shared" si="75"/>
        <v>0</v>
      </c>
      <c r="AK91" s="352">
        <f t="shared" si="75"/>
        <v>0</v>
      </c>
      <c r="AL91" s="465">
        <f t="shared" si="64"/>
        <v>0</v>
      </c>
      <c r="AM91" s="464">
        <f t="shared" si="76"/>
        <v>0</v>
      </c>
      <c r="AN91" s="352">
        <f t="shared" si="76"/>
        <v>0</v>
      </c>
      <c r="AO91" s="465">
        <f t="shared" si="65"/>
        <v>0</v>
      </c>
      <c r="AP91" s="464">
        <f t="shared" si="69"/>
        <v>345187.83</v>
      </c>
      <c r="AQ91" s="352">
        <f t="shared" si="69"/>
        <v>0</v>
      </c>
      <c r="AR91" s="465">
        <f t="shared" si="66"/>
        <v>345187.83</v>
      </c>
      <c r="AS91" s="600">
        <f t="shared" si="67"/>
        <v>0</v>
      </c>
      <c r="AT91" s="464">
        <f t="shared" ref="AT91:BQ91" si="78">SUM(AT92:AT94)</f>
        <v>0</v>
      </c>
      <c r="AU91" s="352">
        <f t="shared" si="78"/>
        <v>0</v>
      </c>
      <c r="AV91" s="352">
        <f t="shared" si="78"/>
        <v>0</v>
      </c>
      <c r="AW91" s="352">
        <f t="shared" si="78"/>
        <v>0</v>
      </c>
      <c r="AX91" s="352">
        <f t="shared" si="78"/>
        <v>0</v>
      </c>
      <c r="AY91" s="353">
        <f t="shared" si="78"/>
        <v>0</v>
      </c>
      <c r="AZ91" s="464">
        <f t="shared" si="78"/>
        <v>0</v>
      </c>
      <c r="BA91" s="352">
        <f t="shared" si="78"/>
        <v>0</v>
      </c>
      <c r="BB91" s="352">
        <f t="shared" si="78"/>
        <v>0</v>
      </c>
      <c r="BC91" s="352">
        <f t="shared" si="78"/>
        <v>0</v>
      </c>
      <c r="BD91" s="352">
        <f t="shared" si="78"/>
        <v>0</v>
      </c>
      <c r="BE91" s="353">
        <f t="shared" si="78"/>
        <v>0</v>
      </c>
      <c r="BF91" s="464">
        <f t="shared" si="78"/>
        <v>0</v>
      </c>
      <c r="BG91" s="352">
        <f t="shared" si="78"/>
        <v>0</v>
      </c>
      <c r="BH91" s="352">
        <f t="shared" si="78"/>
        <v>0</v>
      </c>
      <c r="BI91" s="352">
        <f t="shared" si="78"/>
        <v>0</v>
      </c>
      <c r="BJ91" s="352">
        <f t="shared" si="78"/>
        <v>0</v>
      </c>
      <c r="BK91" s="353">
        <f t="shared" si="78"/>
        <v>0</v>
      </c>
      <c r="BL91" s="464">
        <f t="shared" si="78"/>
        <v>0</v>
      </c>
      <c r="BM91" s="352">
        <f t="shared" si="78"/>
        <v>0</v>
      </c>
      <c r="BN91" s="352">
        <f t="shared" si="78"/>
        <v>345187.83</v>
      </c>
      <c r="BO91" s="352">
        <f t="shared" si="78"/>
        <v>0</v>
      </c>
      <c r="BP91" s="352">
        <f t="shared" si="78"/>
        <v>0</v>
      </c>
      <c r="BQ91" s="465">
        <f t="shared" si="78"/>
        <v>0</v>
      </c>
    </row>
    <row r="92" spans="1:69" s="313" customFormat="1" ht="38.25" hidden="1" customHeight="1" outlineLevel="2">
      <c r="B92" s="313" t="s">
        <v>274</v>
      </c>
      <c r="D92" s="373" t="s">
        <v>7</v>
      </c>
      <c r="E92" s="315">
        <v>4</v>
      </c>
      <c r="F92" s="314" t="s">
        <v>70</v>
      </c>
      <c r="G92" s="314">
        <v>244</v>
      </c>
      <c r="H92" s="316">
        <v>226</v>
      </c>
      <c r="I92" s="533" t="s">
        <v>290</v>
      </c>
      <c r="J92" s="341">
        <v>340187.83</v>
      </c>
      <c r="K92" s="318"/>
      <c r="L92" s="318"/>
      <c r="M92" s="562"/>
      <c r="N92" s="336"/>
      <c r="O92" s="562"/>
      <c r="P92" s="336"/>
      <c r="Q92" s="562"/>
      <c r="R92" s="466"/>
      <c r="S92" s="320"/>
      <c r="T92" s="320"/>
      <c r="U92" s="320"/>
      <c r="W92" s="336">
        <f t="shared" si="71"/>
        <v>0</v>
      </c>
      <c r="X92" s="337">
        <f t="shared" si="71"/>
        <v>0</v>
      </c>
      <c r="Y92" s="338">
        <f t="shared" si="60"/>
        <v>0</v>
      </c>
      <c r="Z92" s="336">
        <f t="shared" si="72"/>
        <v>0</v>
      </c>
      <c r="AA92" s="337">
        <f t="shared" si="72"/>
        <v>0</v>
      </c>
      <c r="AB92" s="338">
        <f t="shared" si="61"/>
        <v>0</v>
      </c>
      <c r="AC92" s="336">
        <f t="shared" si="73"/>
        <v>0</v>
      </c>
      <c r="AD92" s="337">
        <f t="shared" si="73"/>
        <v>0</v>
      </c>
      <c r="AE92" s="338">
        <f t="shared" si="62"/>
        <v>0</v>
      </c>
      <c r="AF92" s="336">
        <f t="shared" si="74"/>
        <v>340187.83</v>
      </c>
      <c r="AG92" s="337">
        <f t="shared" si="74"/>
        <v>0</v>
      </c>
      <c r="AH92" s="338">
        <f t="shared" si="63"/>
        <v>340187.83</v>
      </c>
      <c r="AI92" s="342"/>
      <c r="AJ92" s="336">
        <f t="shared" si="75"/>
        <v>0</v>
      </c>
      <c r="AK92" s="339">
        <f t="shared" si="75"/>
        <v>0</v>
      </c>
      <c r="AL92" s="340">
        <f t="shared" si="64"/>
        <v>0</v>
      </c>
      <c r="AM92" s="336">
        <f t="shared" si="76"/>
        <v>0</v>
      </c>
      <c r="AN92" s="339">
        <f t="shared" si="76"/>
        <v>0</v>
      </c>
      <c r="AO92" s="340">
        <f t="shared" si="65"/>
        <v>0</v>
      </c>
      <c r="AP92" s="341">
        <f t="shared" si="69"/>
        <v>340187.83</v>
      </c>
      <c r="AQ92" s="339">
        <f t="shared" si="69"/>
        <v>0</v>
      </c>
      <c r="AR92" s="340">
        <f t="shared" si="66"/>
        <v>340187.83</v>
      </c>
      <c r="AS92" s="589">
        <f t="shared" si="67"/>
        <v>0</v>
      </c>
      <c r="AT92" s="343"/>
      <c r="AU92" s="344"/>
      <c r="AV92" s="345"/>
      <c r="AW92" s="344"/>
      <c r="AX92" s="345"/>
      <c r="AY92" s="346"/>
      <c r="AZ92" s="347"/>
      <c r="BA92" s="348"/>
      <c r="BB92" s="349"/>
      <c r="BC92" s="348"/>
      <c r="BD92" s="349"/>
      <c r="BE92" s="350"/>
      <c r="BF92" s="351"/>
      <c r="BG92" s="352"/>
      <c r="BH92" s="337"/>
      <c r="BI92" s="352"/>
      <c r="BJ92" s="337"/>
      <c r="BK92" s="353"/>
      <c r="BL92" s="354"/>
      <c r="BM92" s="355"/>
      <c r="BN92" s="356">
        <v>340187.83</v>
      </c>
      <c r="BO92" s="355"/>
      <c r="BP92" s="356"/>
      <c r="BQ92" s="357"/>
    </row>
    <row r="93" spans="1:69" s="313" customFormat="1" ht="25.5" hidden="1" customHeight="1" outlineLevel="2">
      <c r="B93" s="313" t="s">
        <v>274</v>
      </c>
      <c r="D93" s="373" t="s">
        <v>7</v>
      </c>
      <c r="E93" s="315">
        <v>4</v>
      </c>
      <c r="F93" s="314" t="s">
        <v>70</v>
      </c>
      <c r="G93" s="314">
        <v>244</v>
      </c>
      <c r="H93" s="316">
        <v>226</v>
      </c>
      <c r="I93" s="533" t="s">
        <v>288</v>
      </c>
      <c r="J93" s="341">
        <v>5000</v>
      </c>
      <c r="K93" s="318"/>
      <c r="L93" s="318"/>
      <c r="M93" s="562"/>
      <c r="N93" s="336"/>
      <c r="O93" s="562"/>
      <c r="P93" s="336"/>
      <c r="Q93" s="562"/>
      <c r="R93" s="466"/>
      <c r="S93" s="320"/>
      <c r="T93" s="320"/>
      <c r="U93" s="320"/>
      <c r="W93" s="336">
        <f t="shared" si="71"/>
        <v>0</v>
      </c>
      <c r="X93" s="337">
        <f t="shared" si="71"/>
        <v>0</v>
      </c>
      <c r="Y93" s="338">
        <f t="shared" si="60"/>
        <v>0</v>
      </c>
      <c r="Z93" s="336">
        <f t="shared" si="72"/>
        <v>0</v>
      </c>
      <c r="AA93" s="337">
        <f t="shared" si="72"/>
        <v>0</v>
      </c>
      <c r="AB93" s="338">
        <f t="shared" si="61"/>
        <v>0</v>
      </c>
      <c r="AC93" s="336">
        <f t="shared" si="73"/>
        <v>0</v>
      </c>
      <c r="AD93" s="337">
        <f t="shared" si="73"/>
        <v>0</v>
      </c>
      <c r="AE93" s="338">
        <f t="shared" si="62"/>
        <v>0</v>
      </c>
      <c r="AF93" s="336">
        <f t="shared" si="74"/>
        <v>5000</v>
      </c>
      <c r="AG93" s="337">
        <f t="shared" si="74"/>
        <v>0</v>
      </c>
      <c r="AH93" s="338">
        <f t="shared" si="63"/>
        <v>5000</v>
      </c>
      <c r="AI93" s="342"/>
      <c r="AJ93" s="336">
        <f t="shared" si="75"/>
        <v>0</v>
      </c>
      <c r="AK93" s="339">
        <f t="shared" si="75"/>
        <v>0</v>
      </c>
      <c r="AL93" s="340">
        <f t="shared" si="64"/>
        <v>0</v>
      </c>
      <c r="AM93" s="336">
        <f t="shared" si="76"/>
        <v>0</v>
      </c>
      <c r="AN93" s="339">
        <f t="shared" si="76"/>
        <v>0</v>
      </c>
      <c r="AO93" s="340">
        <f t="shared" si="65"/>
        <v>0</v>
      </c>
      <c r="AP93" s="341">
        <f t="shared" si="69"/>
        <v>5000</v>
      </c>
      <c r="AQ93" s="339">
        <f t="shared" si="69"/>
        <v>0</v>
      </c>
      <c r="AR93" s="340">
        <f t="shared" si="66"/>
        <v>5000</v>
      </c>
      <c r="AS93" s="589">
        <f t="shared" si="67"/>
        <v>0</v>
      </c>
      <c r="AT93" s="343"/>
      <c r="AU93" s="344"/>
      <c r="AV93" s="345"/>
      <c r="AW93" s="344"/>
      <c r="AX93" s="345"/>
      <c r="AY93" s="346"/>
      <c r="AZ93" s="347"/>
      <c r="BA93" s="348"/>
      <c r="BB93" s="349"/>
      <c r="BC93" s="348"/>
      <c r="BD93" s="349"/>
      <c r="BE93" s="350"/>
      <c r="BF93" s="351"/>
      <c r="BG93" s="352"/>
      <c r="BH93" s="337"/>
      <c r="BI93" s="352"/>
      <c r="BJ93" s="337"/>
      <c r="BK93" s="353"/>
      <c r="BL93" s="354"/>
      <c r="BM93" s="355"/>
      <c r="BN93" s="356">
        <v>5000</v>
      </c>
      <c r="BO93" s="355"/>
      <c r="BP93" s="356"/>
      <c r="BQ93" s="357"/>
    </row>
    <row r="94" spans="1:69" s="430" customFormat="1" ht="25.5" hidden="1" customHeight="1" outlineLevel="2">
      <c r="B94" s="430" t="s">
        <v>274</v>
      </c>
      <c r="D94" s="431" t="s">
        <v>7</v>
      </c>
      <c r="E94" s="432">
        <v>4</v>
      </c>
      <c r="F94" s="431" t="s">
        <v>70</v>
      </c>
      <c r="G94" s="474">
        <v>244</v>
      </c>
      <c r="H94" s="433">
        <v>226</v>
      </c>
      <c r="I94" s="536" t="s">
        <v>284</v>
      </c>
      <c r="J94" s="443"/>
      <c r="K94" s="434"/>
      <c r="L94" s="434"/>
      <c r="M94" s="563"/>
      <c r="N94" s="437"/>
      <c r="O94" s="563"/>
      <c r="P94" s="437"/>
      <c r="Q94" s="563"/>
      <c r="R94" s="467"/>
      <c r="S94" s="436"/>
      <c r="T94" s="436"/>
      <c r="U94" s="436"/>
      <c r="W94" s="437">
        <f t="shared" si="71"/>
        <v>0</v>
      </c>
      <c r="X94" s="438">
        <f t="shared" si="71"/>
        <v>0</v>
      </c>
      <c r="Y94" s="439">
        <f t="shared" si="60"/>
        <v>0</v>
      </c>
      <c r="Z94" s="437">
        <f t="shared" si="72"/>
        <v>0</v>
      </c>
      <c r="AA94" s="438">
        <f t="shared" si="72"/>
        <v>0</v>
      </c>
      <c r="AB94" s="439">
        <f t="shared" si="61"/>
        <v>0</v>
      </c>
      <c r="AC94" s="437">
        <f t="shared" si="73"/>
        <v>0</v>
      </c>
      <c r="AD94" s="438">
        <f t="shared" si="73"/>
        <v>0</v>
      </c>
      <c r="AE94" s="439">
        <f t="shared" si="62"/>
        <v>0</v>
      </c>
      <c r="AF94" s="437">
        <f t="shared" si="74"/>
        <v>0</v>
      </c>
      <c r="AG94" s="438">
        <f t="shared" si="74"/>
        <v>0</v>
      </c>
      <c r="AH94" s="439">
        <f t="shared" si="63"/>
        <v>0</v>
      </c>
      <c r="AI94" s="440"/>
      <c r="AJ94" s="437">
        <f t="shared" si="75"/>
        <v>0</v>
      </c>
      <c r="AK94" s="441">
        <f t="shared" si="75"/>
        <v>0</v>
      </c>
      <c r="AL94" s="442">
        <f t="shared" si="64"/>
        <v>0</v>
      </c>
      <c r="AM94" s="437">
        <f t="shared" si="76"/>
        <v>0</v>
      </c>
      <c r="AN94" s="441">
        <f t="shared" si="76"/>
        <v>0</v>
      </c>
      <c r="AO94" s="442">
        <f t="shared" si="65"/>
        <v>0</v>
      </c>
      <c r="AP94" s="443">
        <f t="shared" si="69"/>
        <v>0</v>
      </c>
      <c r="AQ94" s="441">
        <f t="shared" si="69"/>
        <v>0</v>
      </c>
      <c r="AR94" s="442">
        <f t="shared" si="66"/>
        <v>0</v>
      </c>
      <c r="AS94" s="601">
        <f t="shared" si="67"/>
        <v>0</v>
      </c>
      <c r="AT94" s="444"/>
      <c r="AU94" s="445"/>
      <c r="AV94" s="446"/>
      <c r="AW94" s="445"/>
      <c r="AX94" s="446"/>
      <c r="AY94" s="447"/>
      <c r="AZ94" s="448"/>
      <c r="BA94" s="449"/>
      <c r="BB94" s="450"/>
      <c r="BC94" s="449"/>
      <c r="BD94" s="450"/>
      <c r="BE94" s="451"/>
      <c r="BF94" s="452"/>
      <c r="BG94" s="453"/>
      <c r="BH94" s="438"/>
      <c r="BI94" s="453"/>
      <c r="BJ94" s="438"/>
      <c r="BK94" s="454"/>
      <c r="BL94" s="455"/>
      <c r="BM94" s="456"/>
      <c r="BN94" s="457"/>
      <c r="BO94" s="456"/>
      <c r="BP94" s="457"/>
      <c r="BQ94" s="458"/>
    </row>
    <row r="95" spans="1:69" s="468" customFormat="1" ht="72.75" hidden="1" customHeight="1" outlineLevel="1">
      <c r="A95" s="378" t="s">
        <v>378</v>
      </c>
      <c r="B95" s="468" t="s">
        <v>277</v>
      </c>
      <c r="D95" s="469" t="s">
        <v>7</v>
      </c>
      <c r="E95" s="470">
        <v>4</v>
      </c>
      <c r="F95" s="469" t="s">
        <v>70</v>
      </c>
      <c r="G95" s="469">
        <v>244</v>
      </c>
      <c r="H95" s="471">
        <v>226</v>
      </c>
      <c r="I95" s="537" t="s">
        <v>282</v>
      </c>
      <c r="J95" s="472">
        <v>93059.77</v>
      </c>
      <c r="K95" s="422"/>
      <c r="L95" s="422"/>
      <c r="M95" s="564"/>
      <c r="N95" s="472"/>
      <c r="O95" s="564"/>
      <c r="P95" s="472"/>
      <c r="Q95" s="564"/>
      <c r="R95" s="393"/>
      <c r="S95" s="394"/>
      <c r="T95" s="394"/>
      <c r="U95" s="394"/>
      <c r="V95" s="392"/>
      <c r="W95" s="395">
        <f t="shared" si="71"/>
        <v>0</v>
      </c>
      <c r="X95" s="396">
        <f t="shared" si="71"/>
        <v>0</v>
      </c>
      <c r="Y95" s="397">
        <f t="shared" si="60"/>
        <v>0</v>
      </c>
      <c r="Z95" s="395">
        <f t="shared" si="72"/>
        <v>0</v>
      </c>
      <c r="AA95" s="396">
        <f t="shared" si="72"/>
        <v>0</v>
      </c>
      <c r="AB95" s="397">
        <f t="shared" si="61"/>
        <v>0</v>
      </c>
      <c r="AC95" s="395">
        <f t="shared" si="73"/>
        <v>0</v>
      </c>
      <c r="AD95" s="396">
        <f t="shared" si="73"/>
        <v>0</v>
      </c>
      <c r="AE95" s="397">
        <f t="shared" si="62"/>
        <v>0</v>
      </c>
      <c r="AF95" s="395">
        <f t="shared" si="74"/>
        <v>93059.77</v>
      </c>
      <c r="AG95" s="396">
        <f t="shared" si="74"/>
        <v>0</v>
      </c>
      <c r="AH95" s="397">
        <f t="shared" si="63"/>
        <v>93059.77</v>
      </c>
      <c r="AI95" s="398"/>
      <c r="AJ95" s="472">
        <f t="shared" si="75"/>
        <v>0</v>
      </c>
      <c r="AK95" s="422">
        <f t="shared" si="75"/>
        <v>0</v>
      </c>
      <c r="AL95" s="473">
        <f t="shared" si="64"/>
        <v>0</v>
      </c>
      <c r="AM95" s="472">
        <f t="shared" si="76"/>
        <v>0</v>
      </c>
      <c r="AN95" s="422">
        <f t="shared" si="76"/>
        <v>0</v>
      </c>
      <c r="AO95" s="473">
        <f t="shared" si="65"/>
        <v>0</v>
      </c>
      <c r="AP95" s="472">
        <f t="shared" si="69"/>
        <v>93059.77</v>
      </c>
      <c r="AQ95" s="422">
        <f t="shared" si="69"/>
        <v>0</v>
      </c>
      <c r="AR95" s="473">
        <f t="shared" si="66"/>
        <v>93059.77</v>
      </c>
      <c r="AS95" s="602">
        <f t="shared" si="67"/>
        <v>0</v>
      </c>
      <c r="AT95" s="472">
        <f t="shared" ref="AT95:BQ95" si="79">SUM(AT96:AT99)</f>
        <v>0</v>
      </c>
      <c r="AU95" s="422">
        <f t="shared" si="79"/>
        <v>0</v>
      </c>
      <c r="AV95" s="422">
        <f t="shared" si="79"/>
        <v>0</v>
      </c>
      <c r="AW95" s="422">
        <f t="shared" si="79"/>
        <v>0</v>
      </c>
      <c r="AX95" s="422">
        <f t="shared" si="79"/>
        <v>0</v>
      </c>
      <c r="AY95" s="423">
        <f t="shared" si="79"/>
        <v>0</v>
      </c>
      <c r="AZ95" s="472">
        <f t="shared" si="79"/>
        <v>0</v>
      </c>
      <c r="BA95" s="422">
        <f t="shared" si="79"/>
        <v>0</v>
      </c>
      <c r="BB95" s="422">
        <f t="shared" si="79"/>
        <v>0</v>
      </c>
      <c r="BC95" s="422">
        <f t="shared" si="79"/>
        <v>0</v>
      </c>
      <c r="BD95" s="422">
        <f t="shared" si="79"/>
        <v>0</v>
      </c>
      <c r="BE95" s="423">
        <f t="shared" si="79"/>
        <v>0</v>
      </c>
      <c r="BF95" s="472">
        <f t="shared" si="79"/>
        <v>0</v>
      </c>
      <c r="BG95" s="422">
        <f t="shared" si="79"/>
        <v>0</v>
      </c>
      <c r="BH95" s="422">
        <f t="shared" si="79"/>
        <v>0</v>
      </c>
      <c r="BI95" s="422">
        <f t="shared" si="79"/>
        <v>0</v>
      </c>
      <c r="BJ95" s="422">
        <f t="shared" si="79"/>
        <v>0</v>
      </c>
      <c r="BK95" s="423">
        <f t="shared" si="79"/>
        <v>0</v>
      </c>
      <c r="BL95" s="472">
        <f t="shared" si="79"/>
        <v>0</v>
      </c>
      <c r="BM95" s="422">
        <f t="shared" si="79"/>
        <v>0</v>
      </c>
      <c r="BN95" s="422">
        <f t="shared" si="79"/>
        <v>0</v>
      </c>
      <c r="BO95" s="422">
        <f t="shared" si="79"/>
        <v>0</v>
      </c>
      <c r="BP95" s="422">
        <f t="shared" si="79"/>
        <v>93059.77</v>
      </c>
      <c r="BQ95" s="473">
        <f t="shared" si="79"/>
        <v>0</v>
      </c>
    </row>
    <row r="96" spans="1:69" s="399" customFormat="1" ht="25.5" hidden="1" customHeight="1" outlineLevel="2">
      <c r="B96" s="399" t="s">
        <v>277</v>
      </c>
      <c r="D96" s="400" t="s">
        <v>7</v>
      </c>
      <c r="E96" s="401">
        <v>4</v>
      </c>
      <c r="F96" s="400" t="s">
        <v>70</v>
      </c>
      <c r="G96" s="400">
        <v>244</v>
      </c>
      <c r="H96" s="402">
        <v>226</v>
      </c>
      <c r="I96" s="538" t="s">
        <v>298</v>
      </c>
      <c r="J96" s="412">
        <v>5666.67</v>
      </c>
      <c r="K96" s="403"/>
      <c r="L96" s="403"/>
      <c r="M96" s="566"/>
      <c r="N96" s="406"/>
      <c r="O96" s="566"/>
      <c r="P96" s="406"/>
      <c r="Q96" s="566"/>
      <c r="R96" s="404"/>
      <c r="S96" s="405"/>
      <c r="T96" s="405"/>
      <c r="U96" s="405"/>
      <c r="W96" s="406">
        <f t="shared" si="71"/>
        <v>0</v>
      </c>
      <c r="X96" s="407">
        <f t="shared" si="71"/>
        <v>0</v>
      </c>
      <c r="Y96" s="408">
        <f t="shared" si="60"/>
        <v>0</v>
      </c>
      <c r="Z96" s="406">
        <f t="shared" si="72"/>
        <v>0</v>
      </c>
      <c r="AA96" s="407">
        <f t="shared" si="72"/>
        <v>0</v>
      </c>
      <c r="AB96" s="408">
        <f t="shared" si="61"/>
        <v>0</v>
      </c>
      <c r="AC96" s="406">
        <f t="shared" si="73"/>
        <v>0</v>
      </c>
      <c r="AD96" s="407">
        <f t="shared" si="73"/>
        <v>0</v>
      </c>
      <c r="AE96" s="408">
        <f t="shared" si="62"/>
        <v>0</v>
      </c>
      <c r="AF96" s="406">
        <f t="shared" si="74"/>
        <v>5666.67</v>
      </c>
      <c r="AG96" s="407">
        <f t="shared" si="74"/>
        <v>0</v>
      </c>
      <c r="AH96" s="408">
        <f t="shared" si="63"/>
        <v>5666.67</v>
      </c>
      <c r="AI96" s="409"/>
      <c r="AJ96" s="406">
        <f t="shared" si="75"/>
        <v>0</v>
      </c>
      <c r="AK96" s="410">
        <f t="shared" si="75"/>
        <v>0</v>
      </c>
      <c r="AL96" s="411">
        <f t="shared" si="64"/>
        <v>0</v>
      </c>
      <c r="AM96" s="406">
        <f t="shared" si="76"/>
        <v>0</v>
      </c>
      <c r="AN96" s="410">
        <f t="shared" si="76"/>
        <v>0</v>
      </c>
      <c r="AO96" s="411">
        <f t="shared" si="65"/>
        <v>0</v>
      </c>
      <c r="AP96" s="412">
        <f t="shared" si="69"/>
        <v>5666.67</v>
      </c>
      <c r="AQ96" s="410">
        <f t="shared" si="69"/>
        <v>0</v>
      </c>
      <c r="AR96" s="411">
        <f t="shared" si="66"/>
        <v>5666.67</v>
      </c>
      <c r="AS96" s="603">
        <f t="shared" si="67"/>
        <v>0</v>
      </c>
      <c r="AT96" s="413"/>
      <c r="AU96" s="414"/>
      <c r="AV96" s="415"/>
      <c r="AW96" s="414"/>
      <c r="AX96" s="415"/>
      <c r="AY96" s="416"/>
      <c r="AZ96" s="417"/>
      <c r="BA96" s="418"/>
      <c r="BB96" s="419"/>
      <c r="BC96" s="418"/>
      <c r="BD96" s="419"/>
      <c r="BE96" s="420"/>
      <c r="BF96" s="421"/>
      <c r="BG96" s="422"/>
      <c r="BH96" s="407"/>
      <c r="BI96" s="422"/>
      <c r="BJ96" s="407"/>
      <c r="BK96" s="423"/>
      <c r="BL96" s="424"/>
      <c r="BM96" s="425"/>
      <c r="BN96" s="426"/>
      <c r="BO96" s="425"/>
      <c r="BP96" s="426">
        <v>5666.67</v>
      </c>
      <c r="BQ96" s="427"/>
    </row>
    <row r="97" spans="1:69" s="399" customFormat="1" ht="25.5" hidden="1" customHeight="1" outlineLevel="2">
      <c r="B97" s="399" t="s">
        <v>277</v>
      </c>
      <c r="D97" s="400" t="s">
        <v>7</v>
      </c>
      <c r="E97" s="401">
        <v>4</v>
      </c>
      <c r="F97" s="400" t="s">
        <v>70</v>
      </c>
      <c r="G97" s="400">
        <v>244</v>
      </c>
      <c r="H97" s="402">
        <v>226</v>
      </c>
      <c r="I97" s="538" t="s">
        <v>299</v>
      </c>
      <c r="J97" s="412">
        <v>28059.9</v>
      </c>
      <c r="K97" s="403"/>
      <c r="L97" s="403"/>
      <c r="M97" s="566"/>
      <c r="N97" s="406"/>
      <c r="O97" s="566"/>
      <c r="P97" s="406"/>
      <c r="Q97" s="566"/>
      <c r="R97" s="404"/>
      <c r="S97" s="405"/>
      <c r="T97" s="405"/>
      <c r="U97" s="405"/>
      <c r="W97" s="406">
        <f t="shared" si="71"/>
        <v>0</v>
      </c>
      <c r="X97" s="407">
        <f t="shared" si="71"/>
        <v>0</v>
      </c>
      <c r="Y97" s="408">
        <f t="shared" si="60"/>
        <v>0</v>
      </c>
      <c r="Z97" s="406">
        <f t="shared" si="72"/>
        <v>0</v>
      </c>
      <c r="AA97" s="407">
        <f t="shared" si="72"/>
        <v>0</v>
      </c>
      <c r="AB97" s="408">
        <f t="shared" si="61"/>
        <v>0</v>
      </c>
      <c r="AC97" s="406">
        <f t="shared" si="73"/>
        <v>0</v>
      </c>
      <c r="AD97" s="407">
        <f t="shared" si="73"/>
        <v>0</v>
      </c>
      <c r="AE97" s="408">
        <f t="shared" si="62"/>
        <v>0</v>
      </c>
      <c r="AF97" s="406">
        <f t="shared" si="74"/>
        <v>28059.9</v>
      </c>
      <c r="AG97" s="407">
        <f t="shared" si="74"/>
        <v>0</v>
      </c>
      <c r="AH97" s="408">
        <f t="shared" si="63"/>
        <v>28059.9</v>
      </c>
      <c r="AI97" s="409"/>
      <c r="AJ97" s="406">
        <f t="shared" si="75"/>
        <v>0</v>
      </c>
      <c r="AK97" s="410">
        <f t="shared" si="75"/>
        <v>0</v>
      </c>
      <c r="AL97" s="411">
        <f t="shared" si="64"/>
        <v>0</v>
      </c>
      <c r="AM97" s="406">
        <f t="shared" si="76"/>
        <v>0</v>
      </c>
      <c r="AN97" s="410">
        <f t="shared" si="76"/>
        <v>0</v>
      </c>
      <c r="AO97" s="411">
        <f t="shared" si="65"/>
        <v>0</v>
      </c>
      <c r="AP97" s="412">
        <f t="shared" si="69"/>
        <v>28059.9</v>
      </c>
      <c r="AQ97" s="410">
        <f t="shared" si="69"/>
        <v>0</v>
      </c>
      <c r="AR97" s="411">
        <f t="shared" si="66"/>
        <v>28059.9</v>
      </c>
      <c r="AS97" s="603">
        <f t="shared" si="67"/>
        <v>0</v>
      </c>
      <c r="AT97" s="413"/>
      <c r="AU97" s="414"/>
      <c r="AV97" s="415"/>
      <c r="AW97" s="414"/>
      <c r="AX97" s="415"/>
      <c r="AY97" s="416"/>
      <c r="AZ97" s="417"/>
      <c r="BA97" s="418"/>
      <c r="BB97" s="419"/>
      <c r="BC97" s="418"/>
      <c r="BD97" s="419"/>
      <c r="BE97" s="420"/>
      <c r="BF97" s="421"/>
      <c r="BG97" s="422"/>
      <c r="BH97" s="407"/>
      <c r="BI97" s="422"/>
      <c r="BJ97" s="407"/>
      <c r="BK97" s="423"/>
      <c r="BL97" s="424"/>
      <c r="BM97" s="425"/>
      <c r="BN97" s="426"/>
      <c r="BO97" s="425"/>
      <c r="BP97" s="426">
        <v>28059.9</v>
      </c>
      <c r="BQ97" s="427"/>
    </row>
    <row r="98" spans="1:69" s="399" customFormat="1" ht="25.5" hidden="1" customHeight="1" outlineLevel="2">
      <c r="B98" s="399" t="s">
        <v>277</v>
      </c>
      <c r="D98" s="400" t="s">
        <v>7</v>
      </c>
      <c r="E98" s="401">
        <v>4</v>
      </c>
      <c r="F98" s="400" t="s">
        <v>70</v>
      </c>
      <c r="G98" s="400">
        <v>244</v>
      </c>
      <c r="H98" s="402">
        <v>226</v>
      </c>
      <c r="I98" s="538" t="s">
        <v>300</v>
      </c>
      <c r="J98" s="412">
        <v>59333.2</v>
      </c>
      <c r="K98" s="403"/>
      <c r="L98" s="403"/>
      <c r="M98" s="566"/>
      <c r="N98" s="406"/>
      <c r="O98" s="566"/>
      <c r="P98" s="406"/>
      <c r="Q98" s="566"/>
      <c r="R98" s="404"/>
      <c r="S98" s="405"/>
      <c r="T98" s="405"/>
      <c r="U98" s="405"/>
      <c r="W98" s="406">
        <f t="shared" si="71"/>
        <v>0</v>
      </c>
      <c r="X98" s="407">
        <f t="shared" si="71"/>
        <v>0</v>
      </c>
      <c r="Y98" s="408">
        <f t="shared" si="60"/>
        <v>0</v>
      </c>
      <c r="Z98" s="406">
        <f t="shared" si="72"/>
        <v>0</v>
      </c>
      <c r="AA98" s="407">
        <f t="shared" si="72"/>
        <v>0</v>
      </c>
      <c r="AB98" s="408">
        <f t="shared" si="61"/>
        <v>0</v>
      </c>
      <c r="AC98" s="406">
        <f t="shared" si="73"/>
        <v>0</v>
      </c>
      <c r="AD98" s="407">
        <f t="shared" si="73"/>
        <v>0</v>
      </c>
      <c r="AE98" s="408">
        <f t="shared" si="62"/>
        <v>0</v>
      </c>
      <c r="AF98" s="406">
        <f t="shared" si="74"/>
        <v>59333.2</v>
      </c>
      <c r="AG98" s="407">
        <f t="shared" si="74"/>
        <v>0</v>
      </c>
      <c r="AH98" s="408">
        <f t="shared" si="63"/>
        <v>59333.2</v>
      </c>
      <c r="AI98" s="409"/>
      <c r="AJ98" s="406">
        <f t="shared" si="75"/>
        <v>0</v>
      </c>
      <c r="AK98" s="410">
        <f t="shared" si="75"/>
        <v>0</v>
      </c>
      <c r="AL98" s="411">
        <f t="shared" si="64"/>
        <v>0</v>
      </c>
      <c r="AM98" s="406">
        <f t="shared" si="76"/>
        <v>0</v>
      </c>
      <c r="AN98" s="410">
        <f t="shared" si="76"/>
        <v>0</v>
      </c>
      <c r="AO98" s="411">
        <f t="shared" si="65"/>
        <v>0</v>
      </c>
      <c r="AP98" s="412">
        <f t="shared" si="69"/>
        <v>59333.2</v>
      </c>
      <c r="AQ98" s="410">
        <f t="shared" si="69"/>
        <v>0</v>
      </c>
      <c r="AR98" s="411">
        <f t="shared" si="66"/>
        <v>59333.2</v>
      </c>
      <c r="AS98" s="603">
        <f t="shared" si="67"/>
        <v>0</v>
      </c>
      <c r="AT98" s="413"/>
      <c r="AU98" s="414"/>
      <c r="AV98" s="415"/>
      <c r="AW98" s="414"/>
      <c r="AX98" s="415"/>
      <c r="AY98" s="416"/>
      <c r="AZ98" s="417"/>
      <c r="BA98" s="418"/>
      <c r="BB98" s="419"/>
      <c r="BC98" s="418"/>
      <c r="BD98" s="419"/>
      <c r="BE98" s="420"/>
      <c r="BF98" s="421"/>
      <c r="BG98" s="422"/>
      <c r="BH98" s="407"/>
      <c r="BI98" s="422"/>
      <c r="BJ98" s="407"/>
      <c r="BK98" s="423"/>
      <c r="BL98" s="424"/>
      <c r="BM98" s="425"/>
      <c r="BN98" s="426"/>
      <c r="BO98" s="425"/>
      <c r="BP98" s="426">
        <v>59333.2</v>
      </c>
      <c r="BQ98" s="427"/>
    </row>
    <row r="99" spans="1:69" s="430" customFormat="1" ht="25.5" hidden="1" customHeight="1" outlineLevel="2">
      <c r="B99" s="430" t="s">
        <v>277</v>
      </c>
      <c r="D99" s="431" t="s">
        <v>7</v>
      </c>
      <c r="E99" s="432">
        <v>4</v>
      </c>
      <c r="F99" s="431" t="s">
        <v>70</v>
      </c>
      <c r="G99" s="474">
        <v>244</v>
      </c>
      <c r="H99" s="433">
        <v>226</v>
      </c>
      <c r="I99" s="536" t="s">
        <v>284</v>
      </c>
      <c r="J99" s="443"/>
      <c r="K99" s="434"/>
      <c r="L99" s="434"/>
      <c r="M99" s="567"/>
      <c r="N99" s="437"/>
      <c r="O99" s="567"/>
      <c r="P99" s="437"/>
      <c r="Q99" s="567"/>
      <c r="R99" s="435"/>
      <c r="S99" s="436"/>
      <c r="T99" s="436"/>
      <c r="U99" s="436"/>
      <c r="W99" s="437">
        <f t="shared" si="71"/>
        <v>0</v>
      </c>
      <c r="X99" s="438">
        <f t="shared" si="71"/>
        <v>0</v>
      </c>
      <c r="Y99" s="439">
        <f t="shared" si="60"/>
        <v>0</v>
      </c>
      <c r="Z99" s="437">
        <f t="shared" si="72"/>
        <v>0</v>
      </c>
      <c r="AA99" s="438">
        <f t="shared" si="72"/>
        <v>0</v>
      </c>
      <c r="AB99" s="439">
        <f t="shared" si="61"/>
        <v>0</v>
      </c>
      <c r="AC99" s="437">
        <f t="shared" si="73"/>
        <v>0</v>
      </c>
      <c r="AD99" s="438">
        <f t="shared" si="73"/>
        <v>0</v>
      </c>
      <c r="AE99" s="439">
        <f t="shared" si="62"/>
        <v>0</v>
      </c>
      <c r="AF99" s="437">
        <f t="shared" si="74"/>
        <v>0</v>
      </c>
      <c r="AG99" s="438">
        <f t="shared" si="74"/>
        <v>0</v>
      </c>
      <c r="AH99" s="439">
        <f t="shared" si="63"/>
        <v>0</v>
      </c>
      <c r="AI99" s="440"/>
      <c r="AJ99" s="437">
        <f t="shared" si="75"/>
        <v>0</v>
      </c>
      <c r="AK99" s="441">
        <f t="shared" si="75"/>
        <v>0</v>
      </c>
      <c r="AL99" s="442">
        <f t="shared" si="64"/>
        <v>0</v>
      </c>
      <c r="AM99" s="437">
        <f t="shared" si="76"/>
        <v>0</v>
      </c>
      <c r="AN99" s="441">
        <f t="shared" si="76"/>
        <v>0</v>
      </c>
      <c r="AO99" s="442">
        <f t="shared" si="65"/>
        <v>0</v>
      </c>
      <c r="AP99" s="443">
        <f t="shared" si="69"/>
        <v>0</v>
      </c>
      <c r="AQ99" s="441">
        <f t="shared" si="69"/>
        <v>0</v>
      </c>
      <c r="AR99" s="442">
        <f t="shared" si="66"/>
        <v>0</v>
      </c>
      <c r="AS99" s="601">
        <f t="shared" si="67"/>
        <v>0</v>
      </c>
      <c r="AT99" s="444"/>
      <c r="AU99" s="445"/>
      <c r="AV99" s="446"/>
      <c r="AW99" s="445"/>
      <c r="AX99" s="446"/>
      <c r="AY99" s="447"/>
      <c r="AZ99" s="448"/>
      <c r="BA99" s="449"/>
      <c r="BB99" s="450"/>
      <c r="BC99" s="449"/>
      <c r="BD99" s="450"/>
      <c r="BE99" s="451"/>
      <c r="BF99" s="452"/>
      <c r="BG99" s="453"/>
      <c r="BH99" s="438"/>
      <c r="BI99" s="453"/>
      <c r="BJ99" s="438"/>
      <c r="BK99" s="454"/>
      <c r="BL99" s="455"/>
      <c r="BM99" s="456"/>
      <c r="BN99" s="457"/>
      <c r="BO99" s="456"/>
      <c r="BP99" s="457"/>
      <c r="BQ99" s="458"/>
    </row>
    <row r="100" spans="1:69" s="86" customFormat="1" ht="51" customHeight="1" collapsed="1">
      <c r="A100" s="378" t="s">
        <v>377</v>
      </c>
      <c r="B100" s="358"/>
      <c r="C100" s="86" t="s">
        <v>201</v>
      </c>
      <c r="D100" s="646" t="s">
        <v>7</v>
      </c>
      <c r="E100" s="646">
        <v>4</v>
      </c>
      <c r="F100" s="646" t="s">
        <v>412</v>
      </c>
      <c r="G100" s="646">
        <v>244</v>
      </c>
      <c r="H100" s="716">
        <v>346</v>
      </c>
      <c r="I100" s="717" t="s">
        <v>306</v>
      </c>
      <c r="J100" s="13">
        <v>359298.91</v>
      </c>
      <c r="K100" s="13"/>
      <c r="L100" s="13"/>
      <c r="M100" s="661"/>
      <c r="N100" s="13">
        <f>N101</f>
        <v>379130.88</v>
      </c>
      <c r="O100" s="668">
        <f t="shared" ref="O100:P100" si="80">O101</f>
        <v>0</v>
      </c>
      <c r="P100" s="13">
        <f t="shared" si="80"/>
        <v>485710.59</v>
      </c>
      <c r="Q100" s="665"/>
      <c r="R100" s="334"/>
      <c r="S100" s="305"/>
      <c r="T100" s="305"/>
      <c r="U100" s="305"/>
      <c r="W100" s="367">
        <f t="shared" si="71"/>
        <v>134005.82</v>
      </c>
      <c r="X100" s="363">
        <f t="shared" si="71"/>
        <v>0</v>
      </c>
      <c r="Y100" s="280">
        <f t="shared" si="60"/>
        <v>134005.82</v>
      </c>
      <c r="Z100" s="367">
        <f t="shared" si="72"/>
        <v>64879.15</v>
      </c>
      <c r="AA100" s="363">
        <f t="shared" si="72"/>
        <v>0</v>
      </c>
      <c r="AB100" s="280">
        <f t="shared" si="61"/>
        <v>64879.15</v>
      </c>
      <c r="AC100" s="367">
        <f t="shared" si="73"/>
        <v>27459.5</v>
      </c>
      <c r="AD100" s="363">
        <f t="shared" si="73"/>
        <v>0</v>
      </c>
      <c r="AE100" s="280">
        <f t="shared" si="62"/>
        <v>27459.5</v>
      </c>
      <c r="AF100" s="367">
        <f t="shared" si="74"/>
        <v>132954.44</v>
      </c>
      <c r="AG100" s="363">
        <f t="shared" si="74"/>
        <v>0</v>
      </c>
      <c r="AH100" s="280">
        <f t="shared" si="63"/>
        <v>132954.44</v>
      </c>
      <c r="AI100" s="210"/>
      <c r="AJ100" s="367">
        <f t="shared" si="75"/>
        <v>198884.97</v>
      </c>
      <c r="AK100" s="363">
        <f t="shared" si="75"/>
        <v>0</v>
      </c>
      <c r="AL100" s="280">
        <f t="shared" si="64"/>
        <v>198884.97</v>
      </c>
      <c r="AM100" s="367">
        <f t="shared" si="76"/>
        <v>226344.47</v>
      </c>
      <c r="AN100" s="363">
        <f t="shared" si="76"/>
        <v>0</v>
      </c>
      <c r="AO100" s="280">
        <f t="shared" si="65"/>
        <v>226344.47</v>
      </c>
      <c r="AP100" s="263">
        <f t="shared" si="69"/>
        <v>359298.91</v>
      </c>
      <c r="AQ100" s="10">
        <f t="shared" si="69"/>
        <v>0</v>
      </c>
      <c r="AR100" s="650">
        <f t="shared" si="66"/>
        <v>359298.91</v>
      </c>
      <c r="AS100" s="607">
        <f t="shared" si="67"/>
        <v>0</v>
      </c>
      <c r="AT100" s="263">
        <f t="shared" ref="AT100:BQ100" si="81">SUM(AT101,AT104,AT107,AT110,AT113,AT116)</f>
        <v>0</v>
      </c>
      <c r="AU100" s="363">
        <f t="shared" si="81"/>
        <v>0</v>
      </c>
      <c r="AV100" s="10">
        <f t="shared" si="81"/>
        <v>134005.82</v>
      </c>
      <c r="AW100" s="363">
        <f t="shared" si="81"/>
        <v>0</v>
      </c>
      <c r="AX100" s="10">
        <f t="shared" si="81"/>
        <v>0</v>
      </c>
      <c r="AY100" s="369">
        <f t="shared" si="81"/>
        <v>0</v>
      </c>
      <c r="AZ100" s="263">
        <f t="shared" si="81"/>
        <v>64879.15</v>
      </c>
      <c r="BA100" s="363">
        <f t="shared" si="81"/>
        <v>0</v>
      </c>
      <c r="BB100" s="10">
        <f t="shared" si="81"/>
        <v>0</v>
      </c>
      <c r="BC100" s="363">
        <f t="shared" si="81"/>
        <v>0</v>
      </c>
      <c r="BD100" s="10">
        <f t="shared" si="81"/>
        <v>0</v>
      </c>
      <c r="BE100" s="369">
        <f t="shared" si="81"/>
        <v>0</v>
      </c>
      <c r="BF100" s="263">
        <f t="shared" si="81"/>
        <v>0</v>
      </c>
      <c r="BG100" s="363">
        <f t="shared" si="81"/>
        <v>0</v>
      </c>
      <c r="BH100" s="10">
        <f t="shared" si="81"/>
        <v>10000</v>
      </c>
      <c r="BI100" s="363">
        <f t="shared" si="81"/>
        <v>0</v>
      </c>
      <c r="BJ100" s="10">
        <f t="shared" si="81"/>
        <v>17459.5</v>
      </c>
      <c r="BK100" s="369">
        <f t="shared" si="81"/>
        <v>0</v>
      </c>
      <c r="BL100" s="263">
        <f t="shared" si="81"/>
        <v>20000</v>
      </c>
      <c r="BM100" s="363">
        <f t="shared" si="81"/>
        <v>0</v>
      </c>
      <c r="BN100" s="10">
        <f t="shared" si="81"/>
        <v>78871.14</v>
      </c>
      <c r="BO100" s="363">
        <f t="shared" si="81"/>
        <v>0</v>
      </c>
      <c r="BP100" s="10">
        <f t="shared" si="81"/>
        <v>34083.300000000003</v>
      </c>
      <c r="BQ100" s="280">
        <f t="shared" si="81"/>
        <v>0</v>
      </c>
    </row>
    <row r="101" spans="1:69" s="459" customFormat="1" ht="54" hidden="1" customHeight="1" outlineLevel="1">
      <c r="A101" s="378" t="s">
        <v>378</v>
      </c>
      <c r="B101" s="459" t="s">
        <v>271</v>
      </c>
      <c r="D101" s="696" t="s">
        <v>7</v>
      </c>
      <c r="E101" s="697">
        <v>4</v>
      </c>
      <c r="F101" s="698" t="s">
        <v>70</v>
      </c>
      <c r="G101" s="698">
        <v>244</v>
      </c>
      <c r="H101" s="699">
        <v>346</v>
      </c>
      <c r="I101" s="700" t="s">
        <v>280</v>
      </c>
      <c r="J101" s="701">
        <v>134005.82</v>
      </c>
      <c r="K101" s="702"/>
      <c r="L101" s="702"/>
      <c r="M101" s="561"/>
      <c r="N101" s="701">
        <f>N102</f>
        <v>379130.88</v>
      </c>
      <c r="O101" s="561"/>
      <c r="P101" s="701">
        <f>P102</f>
        <v>485710.59</v>
      </c>
      <c r="Q101" s="561"/>
      <c r="R101" s="393"/>
      <c r="S101" s="394"/>
      <c r="T101" s="394"/>
      <c r="U101" s="394"/>
      <c r="V101" s="392"/>
      <c r="W101" s="395">
        <f t="shared" si="71"/>
        <v>134005.82</v>
      </c>
      <c r="X101" s="396">
        <f t="shared" si="71"/>
        <v>0</v>
      </c>
      <c r="Y101" s="397">
        <f t="shared" si="60"/>
        <v>134005.82</v>
      </c>
      <c r="Z101" s="395">
        <f t="shared" si="72"/>
        <v>0</v>
      </c>
      <c r="AA101" s="396">
        <f t="shared" si="72"/>
        <v>0</v>
      </c>
      <c r="AB101" s="397">
        <f t="shared" si="61"/>
        <v>0</v>
      </c>
      <c r="AC101" s="395">
        <f t="shared" si="73"/>
        <v>0</v>
      </c>
      <c r="AD101" s="396">
        <f t="shared" si="73"/>
        <v>0</v>
      </c>
      <c r="AE101" s="397">
        <f t="shared" si="62"/>
        <v>0</v>
      </c>
      <c r="AF101" s="395">
        <f t="shared" si="74"/>
        <v>0</v>
      </c>
      <c r="AG101" s="396">
        <f t="shared" si="74"/>
        <v>0</v>
      </c>
      <c r="AH101" s="397">
        <f t="shared" si="63"/>
        <v>0</v>
      </c>
      <c r="AI101" s="398"/>
      <c r="AJ101" s="464">
        <f t="shared" si="75"/>
        <v>134005.82</v>
      </c>
      <c r="AK101" s="352">
        <f t="shared" si="75"/>
        <v>0</v>
      </c>
      <c r="AL101" s="465">
        <f t="shared" si="64"/>
        <v>134005.82</v>
      </c>
      <c r="AM101" s="464">
        <f t="shared" si="76"/>
        <v>134005.82</v>
      </c>
      <c r="AN101" s="352">
        <f t="shared" si="76"/>
        <v>0</v>
      </c>
      <c r="AO101" s="465">
        <f t="shared" si="65"/>
        <v>134005.82</v>
      </c>
      <c r="AP101" s="464">
        <f t="shared" si="69"/>
        <v>134005.82</v>
      </c>
      <c r="AQ101" s="352">
        <f t="shared" si="69"/>
        <v>0</v>
      </c>
      <c r="AR101" s="465">
        <f t="shared" si="66"/>
        <v>134005.82</v>
      </c>
      <c r="AS101" s="600">
        <f t="shared" si="67"/>
        <v>0</v>
      </c>
      <c r="AT101" s="464">
        <f t="shared" ref="AT101:BQ101" si="82">SUM(AT102:AT103)</f>
        <v>0</v>
      </c>
      <c r="AU101" s="352">
        <f t="shared" si="82"/>
        <v>0</v>
      </c>
      <c r="AV101" s="352">
        <f t="shared" si="82"/>
        <v>134005.82</v>
      </c>
      <c r="AW101" s="352">
        <f t="shared" si="82"/>
        <v>0</v>
      </c>
      <c r="AX101" s="352">
        <f t="shared" si="82"/>
        <v>0</v>
      </c>
      <c r="AY101" s="353">
        <f t="shared" si="82"/>
        <v>0</v>
      </c>
      <c r="AZ101" s="464">
        <f t="shared" si="82"/>
        <v>0</v>
      </c>
      <c r="BA101" s="352">
        <f t="shared" si="82"/>
        <v>0</v>
      </c>
      <c r="BB101" s="352">
        <f t="shared" si="82"/>
        <v>0</v>
      </c>
      <c r="BC101" s="352">
        <f t="shared" si="82"/>
        <v>0</v>
      </c>
      <c r="BD101" s="352">
        <f t="shared" si="82"/>
        <v>0</v>
      </c>
      <c r="BE101" s="353">
        <f t="shared" si="82"/>
        <v>0</v>
      </c>
      <c r="BF101" s="464">
        <f t="shared" si="82"/>
        <v>0</v>
      </c>
      <c r="BG101" s="352">
        <f t="shared" si="82"/>
        <v>0</v>
      </c>
      <c r="BH101" s="352">
        <f t="shared" si="82"/>
        <v>0</v>
      </c>
      <c r="BI101" s="352">
        <f t="shared" si="82"/>
        <v>0</v>
      </c>
      <c r="BJ101" s="352">
        <f t="shared" si="82"/>
        <v>0</v>
      </c>
      <c r="BK101" s="353">
        <f t="shared" si="82"/>
        <v>0</v>
      </c>
      <c r="BL101" s="464">
        <f t="shared" si="82"/>
        <v>0</v>
      </c>
      <c r="BM101" s="352">
        <f t="shared" si="82"/>
        <v>0</v>
      </c>
      <c r="BN101" s="352">
        <f t="shared" si="82"/>
        <v>0</v>
      </c>
      <c r="BO101" s="352">
        <f t="shared" si="82"/>
        <v>0</v>
      </c>
      <c r="BP101" s="352">
        <f t="shared" si="82"/>
        <v>0</v>
      </c>
      <c r="BQ101" s="465">
        <f t="shared" si="82"/>
        <v>0</v>
      </c>
    </row>
    <row r="102" spans="1:69" s="313" customFormat="1" ht="25.5" hidden="1" customHeight="1" outlineLevel="2">
      <c r="B102" s="313" t="s">
        <v>271</v>
      </c>
      <c r="D102" s="373" t="s">
        <v>7</v>
      </c>
      <c r="E102" s="315">
        <v>4</v>
      </c>
      <c r="F102" s="314" t="s">
        <v>70</v>
      </c>
      <c r="G102" s="314">
        <v>244</v>
      </c>
      <c r="H102" s="316">
        <v>346</v>
      </c>
      <c r="I102" s="533" t="s">
        <v>301</v>
      </c>
      <c r="J102" s="341">
        <v>134005.82</v>
      </c>
      <c r="K102" s="318"/>
      <c r="L102" s="318"/>
      <c r="M102" s="562"/>
      <c r="N102" s="336">
        <v>379130.88</v>
      </c>
      <c r="O102" s="562">
        <v>0</v>
      </c>
      <c r="P102" s="336">
        <v>485710.59</v>
      </c>
      <c r="Q102" s="562"/>
      <c r="R102" s="466"/>
      <c r="S102" s="320"/>
      <c r="T102" s="320"/>
      <c r="U102" s="320"/>
      <c r="W102" s="336">
        <f t="shared" si="71"/>
        <v>134005.82</v>
      </c>
      <c r="X102" s="337">
        <f t="shared" si="71"/>
        <v>0</v>
      </c>
      <c r="Y102" s="338">
        <f t="shared" si="60"/>
        <v>134005.82</v>
      </c>
      <c r="Z102" s="336">
        <f t="shared" si="72"/>
        <v>0</v>
      </c>
      <c r="AA102" s="337">
        <f t="shared" si="72"/>
        <v>0</v>
      </c>
      <c r="AB102" s="338">
        <f t="shared" si="61"/>
        <v>0</v>
      </c>
      <c r="AC102" s="336">
        <f t="shared" si="73"/>
        <v>0</v>
      </c>
      <c r="AD102" s="337">
        <f t="shared" si="73"/>
        <v>0</v>
      </c>
      <c r="AE102" s="338">
        <f t="shared" si="62"/>
        <v>0</v>
      </c>
      <c r="AF102" s="336">
        <f t="shared" si="74"/>
        <v>0</v>
      </c>
      <c r="AG102" s="337">
        <f t="shared" si="74"/>
        <v>0</v>
      </c>
      <c r="AH102" s="338">
        <f t="shared" si="63"/>
        <v>0</v>
      </c>
      <c r="AI102" s="342"/>
      <c r="AJ102" s="336">
        <f t="shared" si="75"/>
        <v>134005.82</v>
      </c>
      <c r="AK102" s="339">
        <f t="shared" si="75"/>
        <v>0</v>
      </c>
      <c r="AL102" s="340">
        <f t="shared" si="64"/>
        <v>134005.82</v>
      </c>
      <c r="AM102" s="336">
        <f t="shared" si="76"/>
        <v>134005.82</v>
      </c>
      <c r="AN102" s="339">
        <f t="shared" si="76"/>
        <v>0</v>
      </c>
      <c r="AO102" s="340">
        <f t="shared" si="65"/>
        <v>134005.82</v>
      </c>
      <c r="AP102" s="341">
        <f t="shared" si="69"/>
        <v>134005.82</v>
      </c>
      <c r="AQ102" s="339">
        <f t="shared" si="69"/>
        <v>0</v>
      </c>
      <c r="AR102" s="340">
        <f t="shared" si="66"/>
        <v>134005.82</v>
      </c>
      <c r="AS102" s="589">
        <f t="shared" si="67"/>
        <v>0</v>
      </c>
      <c r="AT102" s="343"/>
      <c r="AU102" s="344"/>
      <c r="AV102" s="345">
        <v>134005.82</v>
      </c>
      <c r="AW102" s="344"/>
      <c r="AX102" s="345"/>
      <c r="AY102" s="346"/>
      <c r="AZ102" s="347"/>
      <c r="BA102" s="348"/>
      <c r="BB102" s="349"/>
      <c r="BC102" s="348"/>
      <c r="BD102" s="349"/>
      <c r="BE102" s="350"/>
      <c r="BF102" s="351"/>
      <c r="BG102" s="352"/>
      <c r="BH102" s="337"/>
      <c r="BI102" s="352"/>
      <c r="BJ102" s="337"/>
      <c r="BK102" s="353"/>
      <c r="BL102" s="354"/>
      <c r="BM102" s="355"/>
      <c r="BN102" s="356"/>
      <c r="BO102" s="355"/>
      <c r="BP102" s="356"/>
      <c r="BQ102" s="357"/>
    </row>
    <row r="103" spans="1:69" s="430" customFormat="1" ht="25.5" hidden="1" customHeight="1" outlineLevel="2">
      <c r="B103" s="430" t="s">
        <v>271</v>
      </c>
      <c r="D103" s="431" t="s">
        <v>7</v>
      </c>
      <c r="E103" s="432">
        <v>4</v>
      </c>
      <c r="F103" s="431" t="s">
        <v>70</v>
      </c>
      <c r="G103" s="474">
        <v>244</v>
      </c>
      <c r="H103" s="433">
        <v>346</v>
      </c>
      <c r="I103" s="536" t="s">
        <v>284</v>
      </c>
      <c r="J103" s="443"/>
      <c r="K103" s="434"/>
      <c r="L103" s="434"/>
      <c r="M103" s="563"/>
      <c r="N103" s="437"/>
      <c r="O103" s="563"/>
      <c r="P103" s="437"/>
      <c r="Q103" s="563"/>
      <c r="R103" s="467"/>
      <c r="S103" s="436"/>
      <c r="T103" s="436"/>
      <c r="U103" s="436"/>
      <c r="W103" s="437">
        <f t="shared" si="71"/>
        <v>0</v>
      </c>
      <c r="X103" s="438">
        <f t="shared" si="71"/>
        <v>0</v>
      </c>
      <c r="Y103" s="439">
        <f t="shared" si="60"/>
        <v>0</v>
      </c>
      <c r="Z103" s="437">
        <f t="shared" si="72"/>
        <v>0</v>
      </c>
      <c r="AA103" s="438">
        <f t="shared" si="72"/>
        <v>0</v>
      </c>
      <c r="AB103" s="439">
        <f t="shared" si="61"/>
        <v>0</v>
      </c>
      <c r="AC103" s="437">
        <f t="shared" si="73"/>
        <v>0</v>
      </c>
      <c r="AD103" s="438">
        <f t="shared" si="73"/>
        <v>0</v>
      </c>
      <c r="AE103" s="439">
        <f t="shared" si="62"/>
        <v>0</v>
      </c>
      <c r="AF103" s="437">
        <f t="shared" si="74"/>
        <v>0</v>
      </c>
      <c r="AG103" s="438">
        <f t="shared" si="74"/>
        <v>0</v>
      </c>
      <c r="AH103" s="439">
        <f t="shared" si="63"/>
        <v>0</v>
      </c>
      <c r="AI103" s="440"/>
      <c r="AJ103" s="437">
        <f t="shared" si="75"/>
        <v>0</v>
      </c>
      <c r="AK103" s="441">
        <f t="shared" si="75"/>
        <v>0</v>
      </c>
      <c r="AL103" s="442">
        <f t="shared" si="64"/>
        <v>0</v>
      </c>
      <c r="AM103" s="437">
        <f t="shared" si="76"/>
        <v>0</v>
      </c>
      <c r="AN103" s="441">
        <f t="shared" si="76"/>
        <v>0</v>
      </c>
      <c r="AO103" s="442">
        <f t="shared" si="65"/>
        <v>0</v>
      </c>
      <c r="AP103" s="443">
        <f t="shared" si="69"/>
        <v>0</v>
      </c>
      <c r="AQ103" s="441">
        <f t="shared" si="69"/>
        <v>0</v>
      </c>
      <c r="AR103" s="442">
        <f t="shared" si="66"/>
        <v>0</v>
      </c>
      <c r="AS103" s="601">
        <f t="shared" si="67"/>
        <v>0</v>
      </c>
      <c r="AT103" s="444"/>
      <c r="AU103" s="445"/>
      <c r="AV103" s="446"/>
      <c r="AW103" s="445"/>
      <c r="AX103" s="446"/>
      <c r="AY103" s="447"/>
      <c r="AZ103" s="448"/>
      <c r="BA103" s="449"/>
      <c r="BB103" s="450"/>
      <c r="BC103" s="449"/>
      <c r="BD103" s="450"/>
      <c r="BE103" s="451"/>
      <c r="BF103" s="452"/>
      <c r="BG103" s="453"/>
      <c r="BH103" s="438"/>
      <c r="BI103" s="453"/>
      <c r="BJ103" s="438"/>
      <c r="BK103" s="454"/>
      <c r="BL103" s="455"/>
      <c r="BM103" s="456"/>
      <c r="BN103" s="457"/>
      <c r="BO103" s="456"/>
      <c r="BP103" s="457"/>
      <c r="BQ103" s="458"/>
    </row>
    <row r="104" spans="1:69" s="468" customFormat="1" ht="79.5" hidden="1" customHeight="1" outlineLevel="1">
      <c r="A104" s="378" t="s">
        <v>378</v>
      </c>
      <c r="B104" s="468" t="s">
        <v>273</v>
      </c>
      <c r="D104" s="469" t="s">
        <v>7</v>
      </c>
      <c r="E104" s="470">
        <v>4</v>
      </c>
      <c r="F104" s="469" t="s">
        <v>70</v>
      </c>
      <c r="G104" s="469">
        <v>244</v>
      </c>
      <c r="H104" s="471">
        <v>346</v>
      </c>
      <c r="I104" s="537" t="s">
        <v>279</v>
      </c>
      <c r="J104" s="472">
        <v>64879.15</v>
      </c>
      <c r="K104" s="422"/>
      <c r="L104" s="422"/>
      <c r="M104" s="564"/>
      <c r="N104" s="472"/>
      <c r="O104" s="564"/>
      <c r="P104" s="472"/>
      <c r="Q104" s="564"/>
      <c r="R104" s="393"/>
      <c r="S104" s="394"/>
      <c r="T104" s="394"/>
      <c r="U104" s="394"/>
      <c r="V104" s="392"/>
      <c r="W104" s="395">
        <f t="shared" si="71"/>
        <v>0</v>
      </c>
      <c r="X104" s="396">
        <f t="shared" si="71"/>
        <v>0</v>
      </c>
      <c r="Y104" s="397">
        <f t="shared" si="60"/>
        <v>0</v>
      </c>
      <c r="Z104" s="395">
        <f t="shared" si="72"/>
        <v>64879.15</v>
      </c>
      <c r="AA104" s="396">
        <f t="shared" si="72"/>
        <v>0</v>
      </c>
      <c r="AB104" s="397">
        <f t="shared" si="61"/>
        <v>64879.15</v>
      </c>
      <c r="AC104" s="395">
        <f t="shared" si="73"/>
        <v>0</v>
      </c>
      <c r="AD104" s="396">
        <f t="shared" si="73"/>
        <v>0</v>
      </c>
      <c r="AE104" s="397">
        <f t="shared" si="62"/>
        <v>0</v>
      </c>
      <c r="AF104" s="395">
        <f t="shared" si="74"/>
        <v>0</v>
      </c>
      <c r="AG104" s="396">
        <f t="shared" si="74"/>
        <v>0</v>
      </c>
      <c r="AH104" s="397">
        <f t="shared" si="63"/>
        <v>0</v>
      </c>
      <c r="AI104" s="398"/>
      <c r="AJ104" s="472">
        <f t="shared" si="75"/>
        <v>64879.15</v>
      </c>
      <c r="AK104" s="422">
        <f t="shared" si="75"/>
        <v>0</v>
      </c>
      <c r="AL104" s="473">
        <f t="shared" si="64"/>
        <v>64879.15</v>
      </c>
      <c r="AM104" s="472">
        <f t="shared" si="76"/>
        <v>64879.15</v>
      </c>
      <c r="AN104" s="422">
        <f t="shared" si="76"/>
        <v>0</v>
      </c>
      <c r="AO104" s="473">
        <f t="shared" si="65"/>
        <v>64879.15</v>
      </c>
      <c r="AP104" s="472">
        <f t="shared" si="69"/>
        <v>64879.15</v>
      </c>
      <c r="AQ104" s="422">
        <f t="shared" si="69"/>
        <v>0</v>
      </c>
      <c r="AR104" s="473">
        <f t="shared" si="66"/>
        <v>64879.15</v>
      </c>
      <c r="AS104" s="602">
        <f t="shared" si="67"/>
        <v>0</v>
      </c>
      <c r="AT104" s="472">
        <f t="shared" ref="AT104:BQ104" si="83">SUM(AT105:AT106)</f>
        <v>0</v>
      </c>
      <c r="AU104" s="422">
        <f t="shared" si="83"/>
        <v>0</v>
      </c>
      <c r="AV104" s="422">
        <f t="shared" si="83"/>
        <v>0</v>
      </c>
      <c r="AW104" s="422">
        <f t="shared" si="83"/>
        <v>0</v>
      </c>
      <c r="AX104" s="422">
        <f t="shared" si="83"/>
        <v>0</v>
      </c>
      <c r="AY104" s="423">
        <f t="shared" si="83"/>
        <v>0</v>
      </c>
      <c r="AZ104" s="472">
        <f t="shared" si="83"/>
        <v>64879.15</v>
      </c>
      <c r="BA104" s="422">
        <f t="shared" si="83"/>
        <v>0</v>
      </c>
      <c r="BB104" s="422">
        <f t="shared" si="83"/>
        <v>0</v>
      </c>
      <c r="BC104" s="422">
        <f t="shared" si="83"/>
        <v>0</v>
      </c>
      <c r="BD104" s="422">
        <f t="shared" si="83"/>
        <v>0</v>
      </c>
      <c r="BE104" s="423">
        <f t="shared" si="83"/>
        <v>0</v>
      </c>
      <c r="BF104" s="472">
        <f t="shared" si="83"/>
        <v>0</v>
      </c>
      <c r="BG104" s="422">
        <f t="shared" si="83"/>
        <v>0</v>
      </c>
      <c r="BH104" s="422">
        <f t="shared" si="83"/>
        <v>0</v>
      </c>
      <c r="BI104" s="422">
        <f t="shared" si="83"/>
        <v>0</v>
      </c>
      <c r="BJ104" s="422">
        <f t="shared" si="83"/>
        <v>0</v>
      </c>
      <c r="BK104" s="423">
        <f t="shared" si="83"/>
        <v>0</v>
      </c>
      <c r="BL104" s="472">
        <f t="shared" si="83"/>
        <v>0</v>
      </c>
      <c r="BM104" s="422">
        <f t="shared" si="83"/>
        <v>0</v>
      </c>
      <c r="BN104" s="422">
        <f t="shared" si="83"/>
        <v>0</v>
      </c>
      <c r="BO104" s="422">
        <f t="shared" si="83"/>
        <v>0</v>
      </c>
      <c r="BP104" s="422">
        <f t="shared" si="83"/>
        <v>0</v>
      </c>
      <c r="BQ104" s="473">
        <f t="shared" si="83"/>
        <v>0</v>
      </c>
    </row>
    <row r="105" spans="1:69" s="399" customFormat="1" ht="25.5" hidden="1" customHeight="1" outlineLevel="2">
      <c r="B105" s="399" t="s">
        <v>273</v>
      </c>
      <c r="D105" s="400" t="s">
        <v>7</v>
      </c>
      <c r="E105" s="401">
        <v>4</v>
      </c>
      <c r="F105" s="400" t="s">
        <v>70</v>
      </c>
      <c r="G105" s="400">
        <v>244</v>
      </c>
      <c r="H105" s="402">
        <v>346</v>
      </c>
      <c r="I105" s="538" t="s">
        <v>301</v>
      </c>
      <c r="J105" s="412">
        <v>64879.15</v>
      </c>
      <c r="K105" s="403"/>
      <c r="L105" s="403"/>
      <c r="M105" s="565"/>
      <c r="N105" s="406"/>
      <c r="O105" s="565"/>
      <c r="P105" s="406"/>
      <c r="Q105" s="565"/>
      <c r="R105" s="428"/>
      <c r="S105" s="405"/>
      <c r="T105" s="405"/>
      <c r="U105" s="405"/>
      <c r="W105" s="406">
        <f t="shared" si="71"/>
        <v>0</v>
      </c>
      <c r="X105" s="407">
        <f t="shared" si="71"/>
        <v>0</v>
      </c>
      <c r="Y105" s="408">
        <f t="shared" si="60"/>
        <v>0</v>
      </c>
      <c r="Z105" s="406">
        <f t="shared" si="72"/>
        <v>64879.15</v>
      </c>
      <c r="AA105" s="407">
        <f t="shared" si="72"/>
        <v>0</v>
      </c>
      <c r="AB105" s="408">
        <f t="shared" si="61"/>
        <v>64879.15</v>
      </c>
      <c r="AC105" s="406">
        <f t="shared" si="73"/>
        <v>0</v>
      </c>
      <c r="AD105" s="407">
        <f t="shared" si="73"/>
        <v>0</v>
      </c>
      <c r="AE105" s="408">
        <f t="shared" si="62"/>
        <v>0</v>
      </c>
      <c r="AF105" s="406">
        <f t="shared" si="74"/>
        <v>0</v>
      </c>
      <c r="AG105" s="407">
        <f t="shared" si="74"/>
        <v>0</v>
      </c>
      <c r="AH105" s="408">
        <f t="shared" si="63"/>
        <v>0</v>
      </c>
      <c r="AI105" s="409"/>
      <c r="AJ105" s="406">
        <f t="shared" si="75"/>
        <v>64879.15</v>
      </c>
      <c r="AK105" s="410">
        <f t="shared" si="75"/>
        <v>0</v>
      </c>
      <c r="AL105" s="411">
        <f t="shared" si="64"/>
        <v>64879.15</v>
      </c>
      <c r="AM105" s="406">
        <f t="shared" si="76"/>
        <v>64879.15</v>
      </c>
      <c r="AN105" s="410">
        <f t="shared" si="76"/>
        <v>0</v>
      </c>
      <c r="AO105" s="411">
        <f t="shared" si="65"/>
        <v>64879.15</v>
      </c>
      <c r="AP105" s="412">
        <f t="shared" si="69"/>
        <v>64879.15</v>
      </c>
      <c r="AQ105" s="410">
        <f t="shared" si="69"/>
        <v>0</v>
      </c>
      <c r="AR105" s="411">
        <f t="shared" si="66"/>
        <v>64879.15</v>
      </c>
      <c r="AS105" s="603">
        <f t="shared" si="67"/>
        <v>0</v>
      </c>
      <c r="AT105" s="413"/>
      <c r="AU105" s="414"/>
      <c r="AV105" s="415"/>
      <c r="AW105" s="414"/>
      <c r="AX105" s="415"/>
      <c r="AY105" s="416"/>
      <c r="AZ105" s="417">
        <v>64879.15</v>
      </c>
      <c r="BA105" s="418"/>
      <c r="BB105" s="419"/>
      <c r="BC105" s="418"/>
      <c r="BD105" s="419"/>
      <c r="BE105" s="420"/>
      <c r="BF105" s="421"/>
      <c r="BG105" s="422"/>
      <c r="BH105" s="407"/>
      <c r="BI105" s="422"/>
      <c r="BJ105" s="407"/>
      <c r="BK105" s="423"/>
      <c r="BL105" s="424"/>
      <c r="BM105" s="425"/>
      <c r="BN105" s="426"/>
      <c r="BO105" s="425"/>
      <c r="BP105" s="426"/>
      <c r="BQ105" s="427"/>
    </row>
    <row r="106" spans="1:69" s="430" customFormat="1" ht="25.5" hidden="1" customHeight="1" outlineLevel="2">
      <c r="B106" s="430" t="s">
        <v>273</v>
      </c>
      <c r="D106" s="431" t="s">
        <v>7</v>
      </c>
      <c r="E106" s="432">
        <v>4</v>
      </c>
      <c r="F106" s="431" t="s">
        <v>70</v>
      </c>
      <c r="G106" s="474">
        <v>244</v>
      </c>
      <c r="H106" s="433">
        <v>346</v>
      </c>
      <c r="I106" s="536" t="s">
        <v>284</v>
      </c>
      <c r="J106" s="443"/>
      <c r="K106" s="434"/>
      <c r="L106" s="434"/>
      <c r="M106" s="563"/>
      <c r="N106" s="437"/>
      <c r="O106" s="563"/>
      <c r="P106" s="437"/>
      <c r="Q106" s="563"/>
      <c r="R106" s="467"/>
      <c r="S106" s="436"/>
      <c r="T106" s="436"/>
      <c r="U106" s="436"/>
      <c r="W106" s="437">
        <f t="shared" si="71"/>
        <v>0</v>
      </c>
      <c r="X106" s="438">
        <f t="shared" si="71"/>
        <v>0</v>
      </c>
      <c r="Y106" s="439">
        <f t="shared" si="60"/>
        <v>0</v>
      </c>
      <c r="Z106" s="437">
        <f t="shared" si="72"/>
        <v>0</v>
      </c>
      <c r="AA106" s="438">
        <f t="shared" si="72"/>
        <v>0</v>
      </c>
      <c r="AB106" s="439">
        <f t="shared" si="61"/>
        <v>0</v>
      </c>
      <c r="AC106" s="437">
        <f t="shared" si="73"/>
        <v>0</v>
      </c>
      <c r="AD106" s="438">
        <f t="shared" si="73"/>
        <v>0</v>
      </c>
      <c r="AE106" s="439">
        <f t="shared" si="62"/>
        <v>0</v>
      </c>
      <c r="AF106" s="437">
        <f t="shared" si="74"/>
        <v>0</v>
      </c>
      <c r="AG106" s="438">
        <f t="shared" si="74"/>
        <v>0</v>
      </c>
      <c r="AH106" s="439">
        <f t="shared" si="63"/>
        <v>0</v>
      </c>
      <c r="AI106" s="440"/>
      <c r="AJ106" s="437">
        <f t="shared" si="75"/>
        <v>0</v>
      </c>
      <c r="AK106" s="441">
        <f t="shared" si="75"/>
        <v>0</v>
      </c>
      <c r="AL106" s="442">
        <f t="shared" si="64"/>
        <v>0</v>
      </c>
      <c r="AM106" s="437">
        <f t="shared" si="76"/>
        <v>0</v>
      </c>
      <c r="AN106" s="441">
        <f t="shared" si="76"/>
        <v>0</v>
      </c>
      <c r="AO106" s="442">
        <f t="shared" si="65"/>
        <v>0</v>
      </c>
      <c r="AP106" s="443">
        <f t="shared" si="69"/>
        <v>0</v>
      </c>
      <c r="AQ106" s="441">
        <f t="shared" si="69"/>
        <v>0</v>
      </c>
      <c r="AR106" s="442">
        <f t="shared" si="66"/>
        <v>0</v>
      </c>
      <c r="AS106" s="601">
        <f t="shared" si="67"/>
        <v>0</v>
      </c>
      <c r="AT106" s="444"/>
      <c r="AU106" s="445"/>
      <c r="AV106" s="446"/>
      <c r="AW106" s="445"/>
      <c r="AX106" s="446"/>
      <c r="AY106" s="447"/>
      <c r="AZ106" s="448"/>
      <c r="BA106" s="449"/>
      <c r="BB106" s="450"/>
      <c r="BC106" s="449"/>
      <c r="BD106" s="450"/>
      <c r="BE106" s="451"/>
      <c r="BF106" s="452"/>
      <c r="BG106" s="453"/>
      <c r="BH106" s="438"/>
      <c r="BI106" s="453"/>
      <c r="BJ106" s="438"/>
      <c r="BK106" s="454"/>
      <c r="BL106" s="455"/>
      <c r="BM106" s="456"/>
      <c r="BN106" s="457"/>
      <c r="BO106" s="456"/>
      <c r="BP106" s="457"/>
      <c r="BQ106" s="458"/>
    </row>
    <row r="107" spans="1:69" s="459" customFormat="1" ht="66.75" hidden="1" customHeight="1" outlineLevel="1">
      <c r="A107" s="378" t="s">
        <v>378</v>
      </c>
      <c r="B107" s="459" t="s">
        <v>272</v>
      </c>
      <c r="D107" s="460" t="s">
        <v>7</v>
      </c>
      <c r="E107" s="461">
        <v>4</v>
      </c>
      <c r="F107" s="462" t="s">
        <v>70</v>
      </c>
      <c r="G107" s="462">
        <v>244</v>
      </c>
      <c r="H107" s="463">
        <v>346</v>
      </c>
      <c r="I107" s="535" t="s">
        <v>278</v>
      </c>
      <c r="J107" s="464">
        <v>27459.5</v>
      </c>
      <c r="K107" s="352"/>
      <c r="L107" s="352"/>
      <c r="M107" s="561"/>
      <c r="N107" s="464"/>
      <c r="O107" s="561"/>
      <c r="P107" s="464"/>
      <c r="Q107" s="561"/>
      <c r="R107" s="393"/>
      <c r="S107" s="394"/>
      <c r="T107" s="394"/>
      <c r="U107" s="394"/>
      <c r="V107" s="392"/>
      <c r="W107" s="395">
        <f t="shared" si="71"/>
        <v>0</v>
      </c>
      <c r="X107" s="396">
        <f t="shared" si="71"/>
        <v>0</v>
      </c>
      <c r="Y107" s="397">
        <f t="shared" si="60"/>
        <v>0</v>
      </c>
      <c r="Z107" s="395">
        <f t="shared" si="72"/>
        <v>0</v>
      </c>
      <c r="AA107" s="396">
        <f t="shared" si="72"/>
        <v>0</v>
      </c>
      <c r="AB107" s="397">
        <f t="shared" si="61"/>
        <v>0</v>
      </c>
      <c r="AC107" s="395">
        <f t="shared" si="73"/>
        <v>27459.5</v>
      </c>
      <c r="AD107" s="396">
        <f t="shared" si="73"/>
        <v>0</v>
      </c>
      <c r="AE107" s="397">
        <f t="shared" si="62"/>
        <v>27459.5</v>
      </c>
      <c r="AF107" s="395">
        <f t="shared" si="74"/>
        <v>0</v>
      </c>
      <c r="AG107" s="396">
        <f t="shared" si="74"/>
        <v>0</v>
      </c>
      <c r="AH107" s="397">
        <f t="shared" si="63"/>
        <v>0</v>
      </c>
      <c r="AI107" s="398"/>
      <c r="AJ107" s="464">
        <f t="shared" si="75"/>
        <v>0</v>
      </c>
      <c r="AK107" s="352">
        <f t="shared" si="75"/>
        <v>0</v>
      </c>
      <c r="AL107" s="465">
        <f t="shared" si="64"/>
        <v>0</v>
      </c>
      <c r="AM107" s="464">
        <f t="shared" si="76"/>
        <v>27459.5</v>
      </c>
      <c r="AN107" s="352">
        <f t="shared" si="76"/>
        <v>0</v>
      </c>
      <c r="AO107" s="465">
        <f t="shared" si="65"/>
        <v>27459.5</v>
      </c>
      <c r="AP107" s="464">
        <f t="shared" si="69"/>
        <v>27459.5</v>
      </c>
      <c r="AQ107" s="352">
        <f t="shared" si="69"/>
        <v>0</v>
      </c>
      <c r="AR107" s="465">
        <f t="shared" si="66"/>
        <v>27459.5</v>
      </c>
      <c r="AS107" s="600">
        <f t="shared" si="67"/>
        <v>0</v>
      </c>
      <c r="AT107" s="464">
        <f t="shared" ref="AT107:BQ107" si="84">SUM(AT108:AT109)</f>
        <v>0</v>
      </c>
      <c r="AU107" s="352">
        <f t="shared" si="84"/>
        <v>0</v>
      </c>
      <c r="AV107" s="352">
        <f t="shared" si="84"/>
        <v>0</v>
      </c>
      <c r="AW107" s="352">
        <f t="shared" si="84"/>
        <v>0</v>
      </c>
      <c r="AX107" s="352">
        <f t="shared" si="84"/>
        <v>0</v>
      </c>
      <c r="AY107" s="353">
        <f t="shared" si="84"/>
        <v>0</v>
      </c>
      <c r="AZ107" s="464">
        <f t="shared" si="84"/>
        <v>0</v>
      </c>
      <c r="BA107" s="352">
        <f t="shared" si="84"/>
        <v>0</v>
      </c>
      <c r="BB107" s="352">
        <f t="shared" si="84"/>
        <v>0</v>
      </c>
      <c r="BC107" s="352">
        <f t="shared" si="84"/>
        <v>0</v>
      </c>
      <c r="BD107" s="352">
        <f t="shared" si="84"/>
        <v>0</v>
      </c>
      <c r="BE107" s="353">
        <f t="shared" si="84"/>
        <v>0</v>
      </c>
      <c r="BF107" s="464">
        <f t="shared" si="84"/>
        <v>0</v>
      </c>
      <c r="BG107" s="352">
        <f t="shared" si="84"/>
        <v>0</v>
      </c>
      <c r="BH107" s="352">
        <f t="shared" si="84"/>
        <v>10000</v>
      </c>
      <c r="BI107" s="352">
        <f t="shared" si="84"/>
        <v>0</v>
      </c>
      <c r="BJ107" s="352">
        <f t="shared" si="84"/>
        <v>17459.5</v>
      </c>
      <c r="BK107" s="353">
        <f t="shared" si="84"/>
        <v>0</v>
      </c>
      <c r="BL107" s="464">
        <f t="shared" si="84"/>
        <v>0</v>
      </c>
      <c r="BM107" s="352">
        <f t="shared" si="84"/>
        <v>0</v>
      </c>
      <c r="BN107" s="352">
        <f t="shared" si="84"/>
        <v>0</v>
      </c>
      <c r="BO107" s="352">
        <f t="shared" si="84"/>
        <v>0</v>
      </c>
      <c r="BP107" s="352">
        <f t="shared" si="84"/>
        <v>0</v>
      </c>
      <c r="BQ107" s="465">
        <f t="shared" si="84"/>
        <v>0</v>
      </c>
    </row>
    <row r="108" spans="1:69" s="313" customFormat="1" ht="25.5" hidden="1" customHeight="1" outlineLevel="2">
      <c r="B108" s="313" t="s">
        <v>272</v>
      </c>
      <c r="D108" s="373" t="s">
        <v>7</v>
      </c>
      <c r="E108" s="315">
        <v>4</v>
      </c>
      <c r="F108" s="314" t="s">
        <v>70</v>
      </c>
      <c r="G108" s="314">
        <v>244</v>
      </c>
      <c r="H108" s="316">
        <v>346</v>
      </c>
      <c r="I108" s="533" t="s">
        <v>301</v>
      </c>
      <c r="J108" s="341">
        <v>27459.5</v>
      </c>
      <c r="K108" s="318"/>
      <c r="L108" s="318"/>
      <c r="M108" s="562"/>
      <c r="N108" s="336"/>
      <c r="O108" s="562"/>
      <c r="P108" s="336"/>
      <c r="Q108" s="562"/>
      <c r="R108" s="466"/>
      <c r="S108" s="320"/>
      <c r="T108" s="320"/>
      <c r="U108" s="320"/>
      <c r="W108" s="336">
        <f t="shared" si="71"/>
        <v>0</v>
      </c>
      <c r="X108" s="337">
        <f t="shared" si="71"/>
        <v>0</v>
      </c>
      <c r="Y108" s="338">
        <f t="shared" si="60"/>
        <v>0</v>
      </c>
      <c r="Z108" s="336">
        <f t="shared" si="72"/>
        <v>0</v>
      </c>
      <c r="AA108" s="337">
        <f t="shared" si="72"/>
        <v>0</v>
      </c>
      <c r="AB108" s="338">
        <f t="shared" si="61"/>
        <v>0</v>
      </c>
      <c r="AC108" s="336">
        <f t="shared" si="73"/>
        <v>27459.5</v>
      </c>
      <c r="AD108" s="337">
        <f t="shared" si="73"/>
        <v>0</v>
      </c>
      <c r="AE108" s="338">
        <f t="shared" si="62"/>
        <v>27459.5</v>
      </c>
      <c r="AF108" s="336">
        <f t="shared" si="74"/>
        <v>0</v>
      </c>
      <c r="AG108" s="337">
        <f t="shared" si="74"/>
        <v>0</v>
      </c>
      <c r="AH108" s="338">
        <f t="shared" si="63"/>
        <v>0</v>
      </c>
      <c r="AI108" s="342"/>
      <c r="AJ108" s="336">
        <f t="shared" si="75"/>
        <v>0</v>
      </c>
      <c r="AK108" s="339">
        <f t="shared" si="75"/>
        <v>0</v>
      </c>
      <c r="AL108" s="340">
        <f t="shared" si="64"/>
        <v>0</v>
      </c>
      <c r="AM108" s="336">
        <f t="shared" si="76"/>
        <v>27459.5</v>
      </c>
      <c r="AN108" s="339">
        <f t="shared" si="76"/>
        <v>0</v>
      </c>
      <c r="AO108" s="340">
        <f t="shared" si="65"/>
        <v>27459.5</v>
      </c>
      <c r="AP108" s="341">
        <f t="shared" si="69"/>
        <v>27459.5</v>
      </c>
      <c r="AQ108" s="339">
        <f t="shared" si="69"/>
        <v>0</v>
      </c>
      <c r="AR108" s="340">
        <f t="shared" si="66"/>
        <v>27459.5</v>
      </c>
      <c r="AS108" s="589">
        <f t="shared" si="67"/>
        <v>0</v>
      </c>
      <c r="AT108" s="343"/>
      <c r="AU108" s="344"/>
      <c r="AV108" s="345"/>
      <c r="AW108" s="344"/>
      <c r="AX108" s="345"/>
      <c r="AY108" s="346"/>
      <c r="AZ108" s="347"/>
      <c r="BA108" s="348"/>
      <c r="BB108" s="349"/>
      <c r="BC108" s="348"/>
      <c r="BD108" s="349"/>
      <c r="BE108" s="350"/>
      <c r="BF108" s="351"/>
      <c r="BG108" s="352"/>
      <c r="BH108" s="337">
        <v>10000</v>
      </c>
      <c r="BI108" s="352"/>
      <c r="BJ108" s="337">
        <v>17459.5</v>
      </c>
      <c r="BK108" s="353"/>
      <c r="BL108" s="354"/>
      <c r="BM108" s="355"/>
      <c r="BN108" s="356"/>
      <c r="BO108" s="355"/>
      <c r="BP108" s="356"/>
      <c r="BQ108" s="357"/>
    </row>
    <row r="109" spans="1:69" s="430" customFormat="1" ht="25.5" hidden="1" customHeight="1" outlineLevel="2">
      <c r="B109" s="430" t="s">
        <v>272</v>
      </c>
      <c r="D109" s="431" t="s">
        <v>7</v>
      </c>
      <c r="E109" s="432">
        <v>4</v>
      </c>
      <c r="F109" s="431" t="s">
        <v>70</v>
      </c>
      <c r="G109" s="474">
        <v>244</v>
      </c>
      <c r="H109" s="433">
        <v>346</v>
      </c>
      <c r="I109" s="536" t="s">
        <v>284</v>
      </c>
      <c r="J109" s="443"/>
      <c r="K109" s="434"/>
      <c r="L109" s="434"/>
      <c r="M109" s="563"/>
      <c r="N109" s="437"/>
      <c r="O109" s="563"/>
      <c r="P109" s="437"/>
      <c r="Q109" s="563"/>
      <c r="R109" s="467"/>
      <c r="S109" s="436"/>
      <c r="T109" s="436"/>
      <c r="U109" s="436"/>
      <c r="W109" s="437">
        <f t="shared" si="71"/>
        <v>0</v>
      </c>
      <c r="X109" s="438">
        <f t="shared" si="71"/>
        <v>0</v>
      </c>
      <c r="Y109" s="439">
        <f t="shared" si="60"/>
        <v>0</v>
      </c>
      <c r="Z109" s="437">
        <f t="shared" si="72"/>
        <v>0</v>
      </c>
      <c r="AA109" s="438">
        <f t="shared" si="72"/>
        <v>0</v>
      </c>
      <c r="AB109" s="439">
        <f t="shared" si="61"/>
        <v>0</v>
      </c>
      <c r="AC109" s="437">
        <f t="shared" si="73"/>
        <v>0</v>
      </c>
      <c r="AD109" s="438">
        <f t="shared" si="73"/>
        <v>0</v>
      </c>
      <c r="AE109" s="439">
        <f t="shared" si="62"/>
        <v>0</v>
      </c>
      <c r="AF109" s="437">
        <f t="shared" si="74"/>
        <v>0</v>
      </c>
      <c r="AG109" s="438">
        <f t="shared" si="74"/>
        <v>0</v>
      </c>
      <c r="AH109" s="439">
        <f t="shared" si="63"/>
        <v>0</v>
      </c>
      <c r="AI109" s="440"/>
      <c r="AJ109" s="437">
        <f t="shared" si="75"/>
        <v>0</v>
      </c>
      <c r="AK109" s="441">
        <f t="shared" si="75"/>
        <v>0</v>
      </c>
      <c r="AL109" s="442">
        <f t="shared" si="64"/>
        <v>0</v>
      </c>
      <c r="AM109" s="437">
        <f t="shared" si="76"/>
        <v>0</v>
      </c>
      <c r="AN109" s="441">
        <f t="shared" si="76"/>
        <v>0</v>
      </c>
      <c r="AO109" s="442">
        <f t="shared" si="65"/>
        <v>0</v>
      </c>
      <c r="AP109" s="443">
        <f t="shared" si="69"/>
        <v>0</v>
      </c>
      <c r="AQ109" s="441">
        <f t="shared" si="69"/>
        <v>0</v>
      </c>
      <c r="AR109" s="442">
        <f t="shared" si="66"/>
        <v>0</v>
      </c>
      <c r="AS109" s="601">
        <f t="shared" si="67"/>
        <v>0</v>
      </c>
      <c r="AT109" s="444"/>
      <c r="AU109" s="445"/>
      <c r="AV109" s="446"/>
      <c r="AW109" s="445"/>
      <c r="AX109" s="446"/>
      <c r="AY109" s="447"/>
      <c r="AZ109" s="448"/>
      <c r="BA109" s="449"/>
      <c r="BB109" s="450"/>
      <c r="BC109" s="449"/>
      <c r="BD109" s="450"/>
      <c r="BE109" s="451"/>
      <c r="BF109" s="452"/>
      <c r="BG109" s="453"/>
      <c r="BH109" s="438"/>
      <c r="BI109" s="453"/>
      <c r="BJ109" s="438"/>
      <c r="BK109" s="454"/>
      <c r="BL109" s="455"/>
      <c r="BM109" s="456"/>
      <c r="BN109" s="457"/>
      <c r="BO109" s="456"/>
      <c r="BP109" s="457"/>
      <c r="BQ109" s="458"/>
    </row>
    <row r="110" spans="1:69" s="468" customFormat="1" ht="66.75" hidden="1" customHeight="1" outlineLevel="1">
      <c r="A110" s="378" t="s">
        <v>378</v>
      </c>
      <c r="B110" s="468" t="s">
        <v>276</v>
      </c>
      <c r="D110" s="469" t="s">
        <v>7</v>
      </c>
      <c r="E110" s="470">
        <v>4</v>
      </c>
      <c r="F110" s="469" t="s">
        <v>70</v>
      </c>
      <c r="G110" s="469">
        <v>244</v>
      </c>
      <c r="H110" s="471">
        <v>346</v>
      </c>
      <c r="I110" s="537" t="s">
        <v>281</v>
      </c>
      <c r="J110" s="472">
        <v>40774.18</v>
      </c>
      <c r="K110" s="422"/>
      <c r="L110" s="422"/>
      <c r="M110" s="564"/>
      <c r="N110" s="472"/>
      <c r="O110" s="564"/>
      <c r="P110" s="472"/>
      <c r="Q110" s="564"/>
      <c r="R110" s="393"/>
      <c r="S110" s="394"/>
      <c r="T110" s="394"/>
      <c r="U110" s="394"/>
      <c r="V110" s="392"/>
      <c r="W110" s="395">
        <f t="shared" si="71"/>
        <v>0</v>
      </c>
      <c r="X110" s="396">
        <f t="shared" si="71"/>
        <v>0</v>
      </c>
      <c r="Y110" s="397">
        <f t="shared" si="60"/>
        <v>0</v>
      </c>
      <c r="Z110" s="395">
        <f t="shared" si="72"/>
        <v>0</v>
      </c>
      <c r="AA110" s="396">
        <f t="shared" si="72"/>
        <v>0</v>
      </c>
      <c r="AB110" s="397">
        <f t="shared" si="61"/>
        <v>0</v>
      </c>
      <c r="AC110" s="395">
        <f t="shared" si="73"/>
        <v>0</v>
      </c>
      <c r="AD110" s="396">
        <f t="shared" si="73"/>
        <v>0</v>
      </c>
      <c r="AE110" s="397">
        <f t="shared" si="62"/>
        <v>0</v>
      </c>
      <c r="AF110" s="395">
        <f t="shared" si="74"/>
        <v>40774.18</v>
      </c>
      <c r="AG110" s="396">
        <f t="shared" si="74"/>
        <v>0</v>
      </c>
      <c r="AH110" s="397">
        <f t="shared" si="63"/>
        <v>40774.18</v>
      </c>
      <c r="AI110" s="398"/>
      <c r="AJ110" s="472">
        <f t="shared" si="75"/>
        <v>0</v>
      </c>
      <c r="AK110" s="422">
        <f t="shared" si="75"/>
        <v>0</v>
      </c>
      <c r="AL110" s="473">
        <f t="shared" si="64"/>
        <v>0</v>
      </c>
      <c r="AM110" s="472">
        <f t="shared" si="76"/>
        <v>0</v>
      </c>
      <c r="AN110" s="422">
        <f t="shared" si="76"/>
        <v>0</v>
      </c>
      <c r="AO110" s="473">
        <f t="shared" si="65"/>
        <v>0</v>
      </c>
      <c r="AP110" s="472">
        <f t="shared" si="69"/>
        <v>40774.18</v>
      </c>
      <c r="AQ110" s="422">
        <f t="shared" si="69"/>
        <v>0</v>
      </c>
      <c r="AR110" s="473">
        <f t="shared" si="66"/>
        <v>40774.18</v>
      </c>
      <c r="AS110" s="602">
        <f t="shared" si="67"/>
        <v>0</v>
      </c>
      <c r="AT110" s="472">
        <f t="shared" ref="AT110:BQ110" si="85">SUM(AT111:AT112)</f>
        <v>0</v>
      </c>
      <c r="AU110" s="422">
        <f t="shared" si="85"/>
        <v>0</v>
      </c>
      <c r="AV110" s="422">
        <f t="shared" si="85"/>
        <v>0</v>
      </c>
      <c r="AW110" s="422">
        <f t="shared" si="85"/>
        <v>0</v>
      </c>
      <c r="AX110" s="422">
        <f t="shared" si="85"/>
        <v>0</v>
      </c>
      <c r="AY110" s="423">
        <f t="shared" si="85"/>
        <v>0</v>
      </c>
      <c r="AZ110" s="472">
        <f t="shared" si="85"/>
        <v>0</v>
      </c>
      <c r="BA110" s="422">
        <f t="shared" si="85"/>
        <v>0</v>
      </c>
      <c r="BB110" s="422">
        <f t="shared" si="85"/>
        <v>0</v>
      </c>
      <c r="BC110" s="422">
        <f t="shared" si="85"/>
        <v>0</v>
      </c>
      <c r="BD110" s="422">
        <f t="shared" si="85"/>
        <v>0</v>
      </c>
      <c r="BE110" s="423">
        <f t="shared" si="85"/>
        <v>0</v>
      </c>
      <c r="BF110" s="472">
        <f t="shared" si="85"/>
        <v>0</v>
      </c>
      <c r="BG110" s="422">
        <f t="shared" si="85"/>
        <v>0</v>
      </c>
      <c r="BH110" s="422">
        <f t="shared" si="85"/>
        <v>0</v>
      </c>
      <c r="BI110" s="422">
        <f t="shared" si="85"/>
        <v>0</v>
      </c>
      <c r="BJ110" s="422">
        <f t="shared" si="85"/>
        <v>0</v>
      </c>
      <c r="BK110" s="423">
        <f t="shared" si="85"/>
        <v>0</v>
      </c>
      <c r="BL110" s="472">
        <f t="shared" si="85"/>
        <v>20000</v>
      </c>
      <c r="BM110" s="422">
        <f t="shared" si="85"/>
        <v>0</v>
      </c>
      <c r="BN110" s="422">
        <f t="shared" si="85"/>
        <v>20774.18</v>
      </c>
      <c r="BO110" s="422">
        <f t="shared" si="85"/>
        <v>0</v>
      </c>
      <c r="BP110" s="422">
        <f t="shared" si="85"/>
        <v>0</v>
      </c>
      <c r="BQ110" s="473">
        <f t="shared" si="85"/>
        <v>0</v>
      </c>
    </row>
    <row r="111" spans="1:69" s="399" customFormat="1" ht="25.5" hidden="1" customHeight="1" outlineLevel="2">
      <c r="B111" s="399" t="s">
        <v>276</v>
      </c>
      <c r="D111" s="400" t="s">
        <v>7</v>
      </c>
      <c r="E111" s="401">
        <v>4</v>
      </c>
      <c r="F111" s="400" t="s">
        <v>70</v>
      </c>
      <c r="G111" s="400">
        <v>244</v>
      </c>
      <c r="H111" s="402">
        <v>346</v>
      </c>
      <c r="I111" s="538" t="s">
        <v>301</v>
      </c>
      <c r="J111" s="412">
        <v>40774.18</v>
      </c>
      <c r="K111" s="403"/>
      <c r="L111" s="403"/>
      <c r="M111" s="565"/>
      <c r="N111" s="406"/>
      <c r="O111" s="565"/>
      <c r="P111" s="406"/>
      <c r="Q111" s="565"/>
      <c r="R111" s="428"/>
      <c r="S111" s="405"/>
      <c r="T111" s="405"/>
      <c r="U111" s="405"/>
      <c r="W111" s="406">
        <f t="shared" si="71"/>
        <v>0</v>
      </c>
      <c r="X111" s="407">
        <f t="shared" si="71"/>
        <v>0</v>
      </c>
      <c r="Y111" s="408">
        <f t="shared" si="60"/>
        <v>0</v>
      </c>
      <c r="Z111" s="406">
        <f t="shared" si="72"/>
        <v>0</v>
      </c>
      <c r="AA111" s="407">
        <f t="shared" si="72"/>
        <v>0</v>
      </c>
      <c r="AB111" s="408">
        <f t="shared" si="61"/>
        <v>0</v>
      </c>
      <c r="AC111" s="406">
        <f t="shared" si="73"/>
        <v>0</v>
      </c>
      <c r="AD111" s="407">
        <f t="shared" si="73"/>
        <v>0</v>
      </c>
      <c r="AE111" s="408">
        <f t="shared" si="62"/>
        <v>0</v>
      </c>
      <c r="AF111" s="406">
        <f t="shared" si="74"/>
        <v>40774.18</v>
      </c>
      <c r="AG111" s="407">
        <f t="shared" si="74"/>
        <v>0</v>
      </c>
      <c r="AH111" s="408">
        <f t="shared" si="63"/>
        <v>40774.18</v>
      </c>
      <c r="AI111" s="409"/>
      <c r="AJ111" s="406">
        <f t="shared" si="75"/>
        <v>0</v>
      </c>
      <c r="AK111" s="410">
        <f t="shared" si="75"/>
        <v>0</v>
      </c>
      <c r="AL111" s="411">
        <f t="shared" si="64"/>
        <v>0</v>
      </c>
      <c r="AM111" s="406">
        <f t="shared" si="76"/>
        <v>0</v>
      </c>
      <c r="AN111" s="410">
        <f t="shared" si="76"/>
        <v>0</v>
      </c>
      <c r="AO111" s="411">
        <f t="shared" si="65"/>
        <v>0</v>
      </c>
      <c r="AP111" s="412">
        <f t="shared" si="69"/>
        <v>40774.18</v>
      </c>
      <c r="AQ111" s="410">
        <f t="shared" si="69"/>
        <v>0</v>
      </c>
      <c r="AR111" s="411">
        <f t="shared" si="66"/>
        <v>40774.18</v>
      </c>
      <c r="AS111" s="603">
        <f t="shared" si="67"/>
        <v>0</v>
      </c>
      <c r="AT111" s="413"/>
      <c r="AU111" s="414"/>
      <c r="AV111" s="415"/>
      <c r="AW111" s="414"/>
      <c r="AX111" s="415"/>
      <c r="AY111" s="416"/>
      <c r="AZ111" s="417"/>
      <c r="BA111" s="418"/>
      <c r="BB111" s="419"/>
      <c r="BC111" s="418"/>
      <c r="BD111" s="419"/>
      <c r="BE111" s="420"/>
      <c r="BF111" s="421"/>
      <c r="BG111" s="422"/>
      <c r="BH111" s="407"/>
      <c r="BI111" s="422"/>
      <c r="BJ111" s="407"/>
      <c r="BK111" s="423"/>
      <c r="BL111" s="424">
        <v>20000</v>
      </c>
      <c r="BM111" s="425"/>
      <c r="BN111" s="426">
        <v>20774.18</v>
      </c>
      <c r="BO111" s="425"/>
      <c r="BP111" s="426"/>
      <c r="BQ111" s="427"/>
    </row>
    <row r="112" spans="1:69" s="430" customFormat="1" ht="25.5" hidden="1" customHeight="1" outlineLevel="2">
      <c r="B112" s="430" t="s">
        <v>276</v>
      </c>
      <c r="D112" s="431" t="s">
        <v>7</v>
      </c>
      <c r="E112" s="432">
        <v>4</v>
      </c>
      <c r="F112" s="431" t="s">
        <v>70</v>
      </c>
      <c r="G112" s="474">
        <v>244</v>
      </c>
      <c r="H112" s="433">
        <v>346</v>
      </c>
      <c r="I112" s="536" t="s">
        <v>284</v>
      </c>
      <c r="J112" s="443"/>
      <c r="K112" s="434"/>
      <c r="L112" s="434"/>
      <c r="M112" s="563"/>
      <c r="N112" s="437"/>
      <c r="O112" s="563"/>
      <c r="P112" s="437"/>
      <c r="Q112" s="563"/>
      <c r="R112" s="467"/>
      <c r="S112" s="436"/>
      <c r="T112" s="436"/>
      <c r="U112" s="436"/>
      <c r="W112" s="437">
        <f t="shared" si="71"/>
        <v>0</v>
      </c>
      <c r="X112" s="438">
        <f t="shared" si="71"/>
        <v>0</v>
      </c>
      <c r="Y112" s="439">
        <f t="shared" si="60"/>
        <v>0</v>
      </c>
      <c r="Z112" s="437">
        <f t="shared" si="72"/>
        <v>0</v>
      </c>
      <c r="AA112" s="438">
        <f t="shared" si="72"/>
        <v>0</v>
      </c>
      <c r="AB112" s="439">
        <f t="shared" si="61"/>
        <v>0</v>
      </c>
      <c r="AC112" s="437">
        <f t="shared" si="73"/>
        <v>0</v>
      </c>
      <c r="AD112" s="438">
        <f t="shared" si="73"/>
        <v>0</v>
      </c>
      <c r="AE112" s="439">
        <f t="shared" si="62"/>
        <v>0</v>
      </c>
      <c r="AF112" s="437">
        <f t="shared" si="74"/>
        <v>0</v>
      </c>
      <c r="AG112" s="438">
        <f t="shared" si="74"/>
        <v>0</v>
      </c>
      <c r="AH112" s="439">
        <f t="shared" si="63"/>
        <v>0</v>
      </c>
      <c r="AI112" s="440"/>
      <c r="AJ112" s="437">
        <f t="shared" si="75"/>
        <v>0</v>
      </c>
      <c r="AK112" s="441">
        <f t="shared" si="75"/>
        <v>0</v>
      </c>
      <c r="AL112" s="442">
        <f t="shared" si="64"/>
        <v>0</v>
      </c>
      <c r="AM112" s="437">
        <f t="shared" si="76"/>
        <v>0</v>
      </c>
      <c r="AN112" s="441">
        <f t="shared" si="76"/>
        <v>0</v>
      </c>
      <c r="AO112" s="442">
        <f t="shared" si="65"/>
        <v>0</v>
      </c>
      <c r="AP112" s="443">
        <f t="shared" si="69"/>
        <v>0</v>
      </c>
      <c r="AQ112" s="441">
        <f t="shared" si="69"/>
        <v>0</v>
      </c>
      <c r="AR112" s="442">
        <f t="shared" si="66"/>
        <v>0</v>
      </c>
      <c r="AS112" s="601">
        <f t="shared" si="67"/>
        <v>0</v>
      </c>
      <c r="AT112" s="444"/>
      <c r="AU112" s="445"/>
      <c r="AV112" s="446"/>
      <c r="AW112" s="445"/>
      <c r="AX112" s="446"/>
      <c r="AY112" s="447"/>
      <c r="AZ112" s="448"/>
      <c r="BA112" s="449"/>
      <c r="BB112" s="450"/>
      <c r="BC112" s="449"/>
      <c r="BD112" s="450"/>
      <c r="BE112" s="451"/>
      <c r="BF112" s="452"/>
      <c r="BG112" s="453"/>
      <c r="BH112" s="438"/>
      <c r="BI112" s="453"/>
      <c r="BJ112" s="438"/>
      <c r="BK112" s="454"/>
      <c r="BL112" s="455"/>
      <c r="BM112" s="456"/>
      <c r="BN112" s="457"/>
      <c r="BO112" s="456"/>
      <c r="BP112" s="457"/>
      <c r="BQ112" s="458"/>
    </row>
    <row r="113" spans="1:69" s="459" customFormat="1" ht="66.75" hidden="1" customHeight="1" outlineLevel="1">
      <c r="A113" s="378" t="s">
        <v>378</v>
      </c>
      <c r="B113" s="459" t="s">
        <v>274</v>
      </c>
      <c r="D113" s="460" t="s">
        <v>7</v>
      </c>
      <c r="E113" s="461">
        <v>4</v>
      </c>
      <c r="F113" s="462" t="s">
        <v>70</v>
      </c>
      <c r="G113" s="462">
        <v>244</v>
      </c>
      <c r="H113" s="463">
        <v>346</v>
      </c>
      <c r="I113" s="535" t="s">
        <v>283</v>
      </c>
      <c r="J113" s="464">
        <v>58096.959999999999</v>
      </c>
      <c r="K113" s="352"/>
      <c r="L113" s="352"/>
      <c r="M113" s="561"/>
      <c r="N113" s="464"/>
      <c r="O113" s="561"/>
      <c r="P113" s="464"/>
      <c r="Q113" s="561"/>
      <c r="R113" s="393"/>
      <c r="S113" s="394"/>
      <c r="T113" s="394"/>
      <c r="U113" s="394"/>
      <c r="V113" s="392"/>
      <c r="W113" s="395">
        <f t="shared" ref="W113:X128" si="86">AT113+AV113+AX113</f>
        <v>0</v>
      </c>
      <c r="X113" s="396">
        <f t="shared" si="86"/>
        <v>0</v>
      </c>
      <c r="Y113" s="397">
        <f t="shared" si="60"/>
        <v>0</v>
      </c>
      <c r="Z113" s="395">
        <f t="shared" ref="Z113:AA128" si="87">AZ113+BB113+BD113</f>
        <v>0</v>
      </c>
      <c r="AA113" s="396">
        <f t="shared" si="87"/>
        <v>0</v>
      </c>
      <c r="AB113" s="397">
        <f t="shared" si="61"/>
        <v>0</v>
      </c>
      <c r="AC113" s="395">
        <f t="shared" ref="AC113:AD128" si="88">BF113+BH113+BJ113</f>
        <v>0</v>
      </c>
      <c r="AD113" s="396">
        <f t="shared" si="88"/>
        <v>0</v>
      </c>
      <c r="AE113" s="397">
        <f t="shared" si="62"/>
        <v>0</v>
      </c>
      <c r="AF113" s="395">
        <f t="shared" ref="AF113:AG128" si="89">BL113+BN113+BP113</f>
        <v>58096.959999999999</v>
      </c>
      <c r="AG113" s="396">
        <f t="shared" si="89"/>
        <v>0</v>
      </c>
      <c r="AH113" s="397">
        <f t="shared" si="63"/>
        <v>58096.959999999999</v>
      </c>
      <c r="AI113" s="398"/>
      <c r="AJ113" s="464">
        <f t="shared" ref="AJ113:AK128" si="90">W113+Z113</f>
        <v>0</v>
      </c>
      <c r="AK113" s="352">
        <f t="shared" si="90"/>
        <v>0</v>
      </c>
      <c r="AL113" s="465">
        <f t="shared" si="64"/>
        <v>0</v>
      </c>
      <c r="AM113" s="464">
        <f t="shared" ref="AM113:AN128" si="91">W113+Z113+AC113</f>
        <v>0</v>
      </c>
      <c r="AN113" s="352">
        <f t="shared" si="91"/>
        <v>0</v>
      </c>
      <c r="AO113" s="465">
        <f t="shared" si="65"/>
        <v>0</v>
      </c>
      <c r="AP113" s="464">
        <f t="shared" si="69"/>
        <v>58096.959999999999</v>
      </c>
      <c r="AQ113" s="352">
        <f t="shared" si="69"/>
        <v>0</v>
      </c>
      <c r="AR113" s="465">
        <f t="shared" si="66"/>
        <v>58096.959999999999</v>
      </c>
      <c r="AS113" s="600">
        <f t="shared" si="67"/>
        <v>0</v>
      </c>
      <c r="AT113" s="464">
        <f t="shared" ref="AT113:BQ113" si="92">SUM(AT114:AT115)</f>
        <v>0</v>
      </c>
      <c r="AU113" s="352">
        <f t="shared" si="92"/>
        <v>0</v>
      </c>
      <c r="AV113" s="352">
        <f t="shared" si="92"/>
        <v>0</v>
      </c>
      <c r="AW113" s="352">
        <f t="shared" si="92"/>
        <v>0</v>
      </c>
      <c r="AX113" s="352">
        <f t="shared" si="92"/>
        <v>0</v>
      </c>
      <c r="AY113" s="353">
        <f t="shared" si="92"/>
        <v>0</v>
      </c>
      <c r="AZ113" s="464">
        <f t="shared" si="92"/>
        <v>0</v>
      </c>
      <c r="BA113" s="352">
        <f t="shared" si="92"/>
        <v>0</v>
      </c>
      <c r="BB113" s="352">
        <f t="shared" si="92"/>
        <v>0</v>
      </c>
      <c r="BC113" s="352">
        <f t="shared" si="92"/>
        <v>0</v>
      </c>
      <c r="BD113" s="352">
        <f t="shared" si="92"/>
        <v>0</v>
      </c>
      <c r="BE113" s="353">
        <f t="shared" si="92"/>
        <v>0</v>
      </c>
      <c r="BF113" s="464">
        <f t="shared" si="92"/>
        <v>0</v>
      </c>
      <c r="BG113" s="352">
        <f t="shared" si="92"/>
        <v>0</v>
      </c>
      <c r="BH113" s="352">
        <f t="shared" si="92"/>
        <v>0</v>
      </c>
      <c r="BI113" s="352">
        <f t="shared" si="92"/>
        <v>0</v>
      </c>
      <c r="BJ113" s="352">
        <f t="shared" si="92"/>
        <v>0</v>
      </c>
      <c r="BK113" s="353">
        <f t="shared" si="92"/>
        <v>0</v>
      </c>
      <c r="BL113" s="464">
        <f t="shared" si="92"/>
        <v>0</v>
      </c>
      <c r="BM113" s="352">
        <f t="shared" si="92"/>
        <v>0</v>
      </c>
      <c r="BN113" s="352">
        <f t="shared" si="92"/>
        <v>58096.959999999999</v>
      </c>
      <c r="BO113" s="352">
        <f t="shared" si="92"/>
        <v>0</v>
      </c>
      <c r="BP113" s="352">
        <f t="shared" si="92"/>
        <v>0</v>
      </c>
      <c r="BQ113" s="465">
        <f t="shared" si="92"/>
        <v>0</v>
      </c>
    </row>
    <row r="114" spans="1:69" s="313" customFormat="1" ht="25.5" hidden="1" customHeight="1" outlineLevel="2">
      <c r="B114" s="313" t="s">
        <v>274</v>
      </c>
      <c r="D114" s="373" t="s">
        <v>7</v>
      </c>
      <c r="E114" s="315">
        <v>4</v>
      </c>
      <c r="F114" s="314" t="s">
        <v>70</v>
      </c>
      <c r="G114" s="314">
        <v>244</v>
      </c>
      <c r="H114" s="316">
        <v>346</v>
      </c>
      <c r="I114" s="533" t="s">
        <v>301</v>
      </c>
      <c r="J114" s="341">
        <v>58096.959999999999</v>
      </c>
      <c r="K114" s="318"/>
      <c r="L114" s="318"/>
      <c r="M114" s="562"/>
      <c r="N114" s="336"/>
      <c r="O114" s="562"/>
      <c r="P114" s="336"/>
      <c r="Q114" s="562"/>
      <c r="R114" s="466"/>
      <c r="S114" s="320"/>
      <c r="T114" s="320"/>
      <c r="U114" s="320"/>
      <c r="W114" s="336">
        <f t="shared" si="86"/>
        <v>0</v>
      </c>
      <c r="X114" s="337">
        <f t="shared" si="86"/>
        <v>0</v>
      </c>
      <c r="Y114" s="338">
        <f t="shared" si="60"/>
        <v>0</v>
      </c>
      <c r="Z114" s="336">
        <f t="shared" si="87"/>
        <v>0</v>
      </c>
      <c r="AA114" s="337">
        <f t="shared" si="87"/>
        <v>0</v>
      </c>
      <c r="AB114" s="338">
        <f t="shared" si="61"/>
        <v>0</v>
      </c>
      <c r="AC114" s="336">
        <f t="shared" si="88"/>
        <v>0</v>
      </c>
      <c r="AD114" s="337">
        <f t="shared" si="88"/>
        <v>0</v>
      </c>
      <c r="AE114" s="338">
        <f t="shared" si="62"/>
        <v>0</v>
      </c>
      <c r="AF114" s="336">
        <f t="shared" si="89"/>
        <v>58096.959999999999</v>
      </c>
      <c r="AG114" s="337">
        <f t="shared" si="89"/>
        <v>0</v>
      </c>
      <c r="AH114" s="338">
        <f t="shared" si="63"/>
        <v>58096.959999999999</v>
      </c>
      <c r="AI114" s="342"/>
      <c r="AJ114" s="336">
        <f t="shared" si="90"/>
        <v>0</v>
      </c>
      <c r="AK114" s="339">
        <f t="shared" si="90"/>
        <v>0</v>
      </c>
      <c r="AL114" s="340">
        <f t="shared" si="64"/>
        <v>0</v>
      </c>
      <c r="AM114" s="336">
        <f t="shared" si="91"/>
        <v>0</v>
      </c>
      <c r="AN114" s="339">
        <f t="shared" si="91"/>
        <v>0</v>
      </c>
      <c r="AO114" s="340">
        <f t="shared" si="65"/>
        <v>0</v>
      </c>
      <c r="AP114" s="341">
        <f t="shared" si="69"/>
        <v>58096.959999999999</v>
      </c>
      <c r="AQ114" s="339">
        <f t="shared" si="69"/>
        <v>0</v>
      </c>
      <c r="AR114" s="340">
        <f t="shared" si="66"/>
        <v>58096.959999999999</v>
      </c>
      <c r="AS114" s="589">
        <f t="shared" si="67"/>
        <v>0</v>
      </c>
      <c r="AT114" s="343"/>
      <c r="AU114" s="344"/>
      <c r="AV114" s="345"/>
      <c r="AW114" s="344"/>
      <c r="AX114" s="345"/>
      <c r="AY114" s="346"/>
      <c r="AZ114" s="347"/>
      <c r="BA114" s="348"/>
      <c r="BB114" s="349"/>
      <c r="BC114" s="348"/>
      <c r="BD114" s="349"/>
      <c r="BE114" s="350"/>
      <c r="BF114" s="351"/>
      <c r="BG114" s="352"/>
      <c r="BH114" s="337"/>
      <c r="BI114" s="352"/>
      <c r="BJ114" s="337"/>
      <c r="BK114" s="353"/>
      <c r="BL114" s="354"/>
      <c r="BM114" s="355"/>
      <c r="BN114" s="356">
        <v>58096.959999999999</v>
      </c>
      <c r="BO114" s="355"/>
      <c r="BP114" s="356"/>
      <c r="BQ114" s="357"/>
    </row>
    <row r="115" spans="1:69" s="430" customFormat="1" ht="25.5" hidden="1" customHeight="1" outlineLevel="2">
      <c r="B115" s="430" t="s">
        <v>274</v>
      </c>
      <c r="D115" s="431" t="s">
        <v>7</v>
      </c>
      <c r="E115" s="432">
        <v>4</v>
      </c>
      <c r="F115" s="431" t="s">
        <v>70</v>
      </c>
      <c r="G115" s="474">
        <v>244</v>
      </c>
      <c r="H115" s="433">
        <v>346</v>
      </c>
      <c r="I115" s="536" t="s">
        <v>284</v>
      </c>
      <c r="J115" s="443"/>
      <c r="K115" s="434"/>
      <c r="L115" s="434"/>
      <c r="M115" s="563"/>
      <c r="N115" s="437"/>
      <c r="O115" s="563"/>
      <c r="P115" s="437"/>
      <c r="Q115" s="563"/>
      <c r="R115" s="467"/>
      <c r="S115" s="436"/>
      <c r="T115" s="436"/>
      <c r="U115" s="436"/>
      <c r="W115" s="437">
        <f t="shared" si="86"/>
        <v>0</v>
      </c>
      <c r="X115" s="438">
        <f t="shared" si="86"/>
        <v>0</v>
      </c>
      <c r="Y115" s="439">
        <f t="shared" si="60"/>
        <v>0</v>
      </c>
      <c r="Z115" s="437">
        <f t="shared" si="87"/>
        <v>0</v>
      </c>
      <c r="AA115" s="438">
        <f t="shared" si="87"/>
        <v>0</v>
      </c>
      <c r="AB115" s="439">
        <f t="shared" si="61"/>
        <v>0</v>
      </c>
      <c r="AC115" s="437">
        <f t="shared" si="88"/>
        <v>0</v>
      </c>
      <c r="AD115" s="438">
        <f t="shared" si="88"/>
        <v>0</v>
      </c>
      <c r="AE115" s="439">
        <f t="shared" si="62"/>
        <v>0</v>
      </c>
      <c r="AF115" s="437">
        <f t="shared" si="89"/>
        <v>0</v>
      </c>
      <c r="AG115" s="438">
        <f t="shared" si="89"/>
        <v>0</v>
      </c>
      <c r="AH115" s="439">
        <f t="shared" si="63"/>
        <v>0</v>
      </c>
      <c r="AI115" s="440"/>
      <c r="AJ115" s="437">
        <f t="shared" si="90"/>
        <v>0</v>
      </c>
      <c r="AK115" s="441">
        <f t="shared" si="90"/>
        <v>0</v>
      </c>
      <c r="AL115" s="442">
        <f t="shared" si="64"/>
        <v>0</v>
      </c>
      <c r="AM115" s="437">
        <f t="shared" si="91"/>
        <v>0</v>
      </c>
      <c r="AN115" s="441">
        <f t="shared" si="91"/>
        <v>0</v>
      </c>
      <c r="AO115" s="442">
        <f t="shared" si="65"/>
        <v>0</v>
      </c>
      <c r="AP115" s="443">
        <f t="shared" ref="AP115:AQ129" si="93">W115+Z115+AC115+AF115</f>
        <v>0</v>
      </c>
      <c r="AQ115" s="441">
        <f t="shared" si="93"/>
        <v>0</v>
      </c>
      <c r="AR115" s="442">
        <f t="shared" si="66"/>
        <v>0</v>
      </c>
      <c r="AS115" s="601">
        <f t="shared" si="67"/>
        <v>0</v>
      </c>
      <c r="AT115" s="444"/>
      <c r="AU115" s="445"/>
      <c r="AV115" s="446"/>
      <c r="AW115" s="445"/>
      <c r="AX115" s="446"/>
      <c r="AY115" s="447"/>
      <c r="AZ115" s="448"/>
      <c r="BA115" s="449"/>
      <c r="BB115" s="450"/>
      <c r="BC115" s="449"/>
      <c r="BD115" s="450"/>
      <c r="BE115" s="451"/>
      <c r="BF115" s="452"/>
      <c r="BG115" s="453"/>
      <c r="BH115" s="438"/>
      <c r="BI115" s="453"/>
      <c r="BJ115" s="438"/>
      <c r="BK115" s="454"/>
      <c r="BL115" s="455"/>
      <c r="BM115" s="456"/>
      <c r="BN115" s="457"/>
      <c r="BO115" s="456"/>
      <c r="BP115" s="457"/>
      <c r="BQ115" s="458"/>
    </row>
    <row r="116" spans="1:69" s="468" customFormat="1" ht="72.75" hidden="1" customHeight="1" outlineLevel="1">
      <c r="A116" s="378" t="s">
        <v>378</v>
      </c>
      <c r="B116" s="468" t="s">
        <v>277</v>
      </c>
      <c r="D116" s="469" t="s">
        <v>7</v>
      </c>
      <c r="E116" s="470">
        <v>4</v>
      </c>
      <c r="F116" s="469" t="s">
        <v>70</v>
      </c>
      <c r="G116" s="469">
        <v>244</v>
      </c>
      <c r="H116" s="471">
        <v>346</v>
      </c>
      <c r="I116" s="537" t="s">
        <v>282</v>
      </c>
      <c r="J116" s="472">
        <v>34083.300000000003</v>
      </c>
      <c r="K116" s="422"/>
      <c r="L116" s="422"/>
      <c r="M116" s="564"/>
      <c r="N116" s="472"/>
      <c r="O116" s="564"/>
      <c r="P116" s="472"/>
      <c r="Q116" s="564"/>
      <c r="R116" s="393"/>
      <c r="S116" s="394"/>
      <c r="T116" s="394"/>
      <c r="U116" s="394"/>
      <c r="V116" s="392"/>
      <c r="W116" s="395">
        <f t="shared" si="86"/>
        <v>0</v>
      </c>
      <c r="X116" s="396">
        <f t="shared" si="86"/>
        <v>0</v>
      </c>
      <c r="Y116" s="397">
        <f t="shared" si="60"/>
        <v>0</v>
      </c>
      <c r="Z116" s="395">
        <f t="shared" si="87"/>
        <v>0</v>
      </c>
      <c r="AA116" s="396">
        <f t="shared" si="87"/>
        <v>0</v>
      </c>
      <c r="AB116" s="397">
        <f t="shared" si="61"/>
        <v>0</v>
      </c>
      <c r="AC116" s="395">
        <f t="shared" si="88"/>
        <v>0</v>
      </c>
      <c r="AD116" s="396">
        <f t="shared" si="88"/>
        <v>0</v>
      </c>
      <c r="AE116" s="397">
        <f t="shared" si="62"/>
        <v>0</v>
      </c>
      <c r="AF116" s="395">
        <f t="shared" si="89"/>
        <v>34083.300000000003</v>
      </c>
      <c r="AG116" s="396">
        <f t="shared" si="89"/>
        <v>0</v>
      </c>
      <c r="AH116" s="397">
        <f t="shared" si="63"/>
        <v>34083.300000000003</v>
      </c>
      <c r="AI116" s="398"/>
      <c r="AJ116" s="472">
        <f t="shared" si="90"/>
        <v>0</v>
      </c>
      <c r="AK116" s="422">
        <f t="shared" si="90"/>
        <v>0</v>
      </c>
      <c r="AL116" s="473">
        <f t="shared" si="64"/>
        <v>0</v>
      </c>
      <c r="AM116" s="472">
        <f t="shared" si="91"/>
        <v>0</v>
      </c>
      <c r="AN116" s="422">
        <f t="shared" si="91"/>
        <v>0</v>
      </c>
      <c r="AO116" s="473">
        <f t="shared" si="65"/>
        <v>0</v>
      </c>
      <c r="AP116" s="472">
        <f t="shared" si="93"/>
        <v>34083.300000000003</v>
      </c>
      <c r="AQ116" s="422">
        <f t="shared" si="93"/>
        <v>0</v>
      </c>
      <c r="AR116" s="473">
        <f t="shared" si="66"/>
        <v>34083.300000000003</v>
      </c>
      <c r="AS116" s="602">
        <f t="shared" si="67"/>
        <v>0</v>
      </c>
      <c r="AT116" s="472">
        <f t="shared" ref="AT116:BQ116" si="94">SUM(AT117:AT118)</f>
        <v>0</v>
      </c>
      <c r="AU116" s="422">
        <f t="shared" si="94"/>
        <v>0</v>
      </c>
      <c r="AV116" s="422">
        <f t="shared" si="94"/>
        <v>0</v>
      </c>
      <c r="AW116" s="422">
        <f t="shared" si="94"/>
        <v>0</v>
      </c>
      <c r="AX116" s="422">
        <f t="shared" si="94"/>
        <v>0</v>
      </c>
      <c r="AY116" s="423">
        <f t="shared" si="94"/>
        <v>0</v>
      </c>
      <c r="AZ116" s="472">
        <f t="shared" si="94"/>
        <v>0</v>
      </c>
      <c r="BA116" s="422">
        <f t="shared" si="94"/>
        <v>0</v>
      </c>
      <c r="BB116" s="422">
        <f t="shared" si="94"/>
        <v>0</v>
      </c>
      <c r="BC116" s="422">
        <f t="shared" si="94"/>
        <v>0</v>
      </c>
      <c r="BD116" s="422">
        <f t="shared" si="94"/>
        <v>0</v>
      </c>
      <c r="BE116" s="423">
        <f t="shared" si="94"/>
        <v>0</v>
      </c>
      <c r="BF116" s="472">
        <f t="shared" si="94"/>
        <v>0</v>
      </c>
      <c r="BG116" s="422">
        <f t="shared" si="94"/>
        <v>0</v>
      </c>
      <c r="BH116" s="422">
        <f t="shared" si="94"/>
        <v>0</v>
      </c>
      <c r="BI116" s="422">
        <f t="shared" si="94"/>
        <v>0</v>
      </c>
      <c r="BJ116" s="422">
        <f t="shared" si="94"/>
        <v>0</v>
      </c>
      <c r="BK116" s="423">
        <f t="shared" si="94"/>
        <v>0</v>
      </c>
      <c r="BL116" s="472">
        <f t="shared" si="94"/>
        <v>0</v>
      </c>
      <c r="BM116" s="422">
        <f t="shared" si="94"/>
        <v>0</v>
      </c>
      <c r="BN116" s="422">
        <f t="shared" si="94"/>
        <v>0</v>
      </c>
      <c r="BO116" s="422">
        <f t="shared" si="94"/>
        <v>0</v>
      </c>
      <c r="BP116" s="422">
        <f t="shared" si="94"/>
        <v>34083.300000000003</v>
      </c>
      <c r="BQ116" s="473">
        <f t="shared" si="94"/>
        <v>0</v>
      </c>
    </row>
    <row r="117" spans="1:69" s="399" customFormat="1" ht="25.5" hidden="1" customHeight="1" outlineLevel="2">
      <c r="B117" s="399" t="s">
        <v>277</v>
      </c>
      <c r="D117" s="400" t="s">
        <v>7</v>
      </c>
      <c r="E117" s="401">
        <v>4</v>
      </c>
      <c r="F117" s="400" t="s">
        <v>70</v>
      </c>
      <c r="G117" s="400">
        <v>244</v>
      </c>
      <c r="H117" s="402">
        <v>346</v>
      </c>
      <c r="I117" s="538" t="s">
        <v>301</v>
      </c>
      <c r="J117" s="412">
        <v>34083.300000000003</v>
      </c>
      <c r="K117" s="403"/>
      <c r="L117" s="403"/>
      <c r="M117" s="566"/>
      <c r="N117" s="406"/>
      <c r="O117" s="566"/>
      <c r="P117" s="406"/>
      <c r="Q117" s="566"/>
      <c r="R117" s="404"/>
      <c r="S117" s="405"/>
      <c r="T117" s="405"/>
      <c r="U117" s="405"/>
      <c r="W117" s="406">
        <f t="shared" si="86"/>
        <v>0</v>
      </c>
      <c r="X117" s="407">
        <f t="shared" si="86"/>
        <v>0</v>
      </c>
      <c r="Y117" s="408">
        <f t="shared" si="60"/>
        <v>0</v>
      </c>
      <c r="Z117" s="406">
        <f t="shared" si="87"/>
        <v>0</v>
      </c>
      <c r="AA117" s="407">
        <f t="shared" si="87"/>
        <v>0</v>
      </c>
      <c r="AB117" s="408">
        <f t="shared" si="61"/>
        <v>0</v>
      </c>
      <c r="AC117" s="406">
        <f t="shared" si="88"/>
        <v>0</v>
      </c>
      <c r="AD117" s="407">
        <f t="shared" si="88"/>
        <v>0</v>
      </c>
      <c r="AE117" s="408">
        <f t="shared" si="62"/>
        <v>0</v>
      </c>
      <c r="AF117" s="406">
        <f t="shared" si="89"/>
        <v>34083.300000000003</v>
      </c>
      <c r="AG117" s="407">
        <f t="shared" si="89"/>
        <v>0</v>
      </c>
      <c r="AH117" s="408">
        <f t="shared" si="63"/>
        <v>34083.300000000003</v>
      </c>
      <c r="AI117" s="409"/>
      <c r="AJ117" s="406">
        <f t="shared" si="90"/>
        <v>0</v>
      </c>
      <c r="AK117" s="410">
        <f t="shared" si="90"/>
        <v>0</v>
      </c>
      <c r="AL117" s="411">
        <f t="shared" si="64"/>
        <v>0</v>
      </c>
      <c r="AM117" s="406">
        <f t="shared" si="91"/>
        <v>0</v>
      </c>
      <c r="AN117" s="410">
        <f t="shared" si="91"/>
        <v>0</v>
      </c>
      <c r="AO117" s="411">
        <f t="shared" si="65"/>
        <v>0</v>
      </c>
      <c r="AP117" s="412">
        <f t="shared" si="93"/>
        <v>34083.300000000003</v>
      </c>
      <c r="AQ117" s="410">
        <f t="shared" si="93"/>
        <v>0</v>
      </c>
      <c r="AR117" s="411">
        <f t="shared" si="66"/>
        <v>34083.300000000003</v>
      </c>
      <c r="AS117" s="603">
        <f t="shared" si="67"/>
        <v>0</v>
      </c>
      <c r="AT117" s="413"/>
      <c r="AU117" s="414"/>
      <c r="AV117" s="415"/>
      <c r="AW117" s="414"/>
      <c r="AX117" s="415"/>
      <c r="AY117" s="416"/>
      <c r="AZ117" s="417"/>
      <c r="BA117" s="418"/>
      <c r="BB117" s="419"/>
      <c r="BC117" s="418"/>
      <c r="BD117" s="419"/>
      <c r="BE117" s="420"/>
      <c r="BF117" s="421"/>
      <c r="BG117" s="422"/>
      <c r="BH117" s="407"/>
      <c r="BI117" s="422"/>
      <c r="BJ117" s="407"/>
      <c r="BK117" s="423"/>
      <c r="BL117" s="424"/>
      <c r="BM117" s="425"/>
      <c r="BN117" s="426"/>
      <c r="BO117" s="425"/>
      <c r="BP117" s="426">
        <v>34083.300000000003</v>
      </c>
      <c r="BQ117" s="427"/>
    </row>
    <row r="118" spans="1:69" s="430" customFormat="1" ht="25.5" hidden="1" customHeight="1" outlineLevel="2">
      <c r="B118" s="430" t="s">
        <v>277</v>
      </c>
      <c r="D118" s="431" t="s">
        <v>7</v>
      </c>
      <c r="E118" s="432">
        <v>4</v>
      </c>
      <c r="F118" s="431" t="s">
        <v>70</v>
      </c>
      <c r="G118" s="474">
        <v>244</v>
      </c>
      <c r="H118" s="433">
        <v>346</v>
      </c>
      <c r="I118" s="536" t="s">
        <v>284</v>
      </c>
      <c r="J118" s="443"/>
      <c r="K118" s="434"/>
      <c r="L118" s="434"/>
      <c r="M118" s="567"/>
      <c r="N118" s="437"/>
      <c r="O118" s="567"/>
      <c r="P118" s="437"/>
      <c r="Q118" s="567"/>
      <c r="R118" s="435"/>
      <c r="S118" s="436"/>
      <c r="T118" s="436"/>
      <c r="U118" s="436"/>
      <c r="W118" s="437">
        <f t="shared" si="86"/>
        <v>0</v>
      </c>
      <c r="X118" s="438">
        <f t="shared" si="86"/>
        <v>0</v>
      </c>
      <c r="Y118" s="439">
        <f t="shared" si="60"/>
        <v>0</v>
      </c>
      <c r="Z118" s="437">
        <f t="shared" si="87"/>
        <v>0</v>
      </c>
      <c r="AA118" s="438">
        <f t="shared" si="87"/>
        <v>0</v>
      </c>
      <c r="AB118" s="439">
        <f t="shared" si="61"/>
        <v>0</v>
      </c>
      <c r="AC118" s="437">
        <f t="shared" si="88"/>
        <v>0</v>
      </c>
      <c r="AD118" s="438">
        <f t="shared" si="88"/>
        <v>0</v>
      </c>
      <c r="AE118" s="439">
        <f t="shared" si="62"/>
        <v>0</v>
      </c>
      <c r="AF118" s="437">
        <f t="shared" si="89"/>
        <v>0</v>
      </c>
      <c r="AG118" s="438">
        <f t="shared" si="89"/>
        <v>0</v>
      </c>
      <c r="AH118" s="439">
        <f t="shared" si="63"/>
        <v>0</v>
      </c>
      <c r="AI118" s="440"/>
      <c r="AJ118" s="437">
        <f t="shared" si="90"/>
        <v>0</v>
      </c>
      <c r="AK118" s="441">
        <f t="shared" si="90"/>
        <v>0</v>
      </c>
      <c r="AL118" s="442">
        <f t="shared" si="64"/>
        <v>0</v>
      </c>
      <c r="AM118" s="437">
        <f t="shared" si="91"/>
        <v>0</v>
      </c>
      <c r="AN118" s="441">
        <f t="shared" si="91"/>
        <v>0</v>
      </c>
      <c r="AO118" s="442">
        <f t="shared" si="65"/>
        <v>0</v>
      </c>
      <c r="AP118" s="443">
        <f t="shared" si="93"/>
        <v>0</v>
      </c>
      <c r="AQ118" s="441">
        <f t="shared" si="93"/>
        <v>0</v>
      </c>
      <c r="AR118" s="442">
        <f t="shared" si="66"/>
        <v>0</v>
      </c>
      <c r="AS118" s="601">
        <f t="shared" si="67"/>
        <v>0</v>
      </c>
      <c r="AT118" s="444"/>
      <c r="AU118" s="445"/>
      <c r="AV118" s="446"/>
      <c r="AW118" s="445"/>
      <c r="AX118" s="446"/>
      <c r="AY118" s="447"/>
      <c r="AZ118" s="448"/>
      <c r="BA118" s="449"/>
      <c r="BB118" s="450"/>
      <c r="BC118" s="449"/>
      <c r="BD118" s="450"/>
      <c r="BE118" s="451"/>
      <c r="BF118" s="452"/>
      <c r="BG118" s="453"/>
      <c r="BH118" s="438"/>
      <c r="BI118" s="453"/>
      <c r="BJ118" s="438"/>
      <c r="BK118" s="454"/>
      <c r="BL118" s="455"/>
      <c r="BM118" s="456"/>
      <c r="BN118" s="457"/>
      <c r="BO118" s="456"/>
      <c r="BP118" s="457"/>
      <c r="BQ118" s="458"/>
    </row>
    <row r="119" spans="1:69" s="86" customFormat="1" ht="31.5" customHeight="1" collapsed="1">
      <c r="A119" s="378" t="s">
        <v>377</v>
      </c>
      <c r="B119" s="359"/>
      <c r="C119" s="86" t="s">
        <v>201</v>
      </c>
      <c r="D119" s="646" t="s">
        <v>7</v>
      </c>
      <c r="E119" s="646">
        <v>4</v>
      </c>
      <c r="F119" s="646" t="s">
        <v>71</v>
      </c>
      <c r="G119" s="646">
        <v>244</v>
      </c>
      <c r="H119" s="716">
        <v>346</v>
      </c>
      <c r="I119" s="717" t="s">
        <v>16</v>
      </c>
      <c r="J119" s="13">
        <f>J120</f>
        <v>65398.55</v>
      </c>
      <c r="K119" s="13"/>
      <c r="L119" s="13"/>
      <c r="M119" s="661"/>
      <c r="N119" s="13">
        <f>N120</f>
        <v>0</v>
      </c>
      <c r="O119" s="668">
        <f t="shared" ref="O119:P119" si="95">O120</f>
        <v>0</v>
      </c>
      <c r="P119" s="13">
        <f t="shared" si="95"/>
        <v>0</v>
      </c>
      <c r="Q119" s="665"/>
      <c r="R119" s="334"/>
      <c r="S119" s="305"/>
      <c r="T119" s="305"/>
      <c r="U119" s="305"/>
      <c r="W119" s="367">
        <f t="shared" si="86"/>
        <v>25000</v>
      </c>
      <c r="X119" s="363">
        <f t="shared" si="86"/>
        <v>0</v>
      </c>
      <c r="Y119" s="280">
        <f t="shared" si="60"/>
        <v>25000</v>
      </c>
      <c r="Z119" s="367">
        <f t="shared" si="87"/>
        <v>0</v>
      </c>
      <c r="AA119" s="363">
        <f t="shared" si="87"/>
        <v>0</v>
      </c>
      <c r="AB119" s="280">
        <f t="shared" si="61"/>
        <v>0</v>
      </c>
      <c r="AC119" s="367">
        <f t="shared" si="88"/>
        <v>0</v>
      </c>
      <c r="AD119" s="363">
        <f t="shared" si="88"/>
        <v>0</v>
      </c>
      <c r="AE119" s="280">
        <f t="shared" si="62"/>
        <v>0</v>
      </c>
      <c r="AF119" s="367">
        <f t="shared" si="89"/>
        <v>40398.550000000003</v>
      </c>
      <c r="AG119" s="363">
        <f t="shared" si="89"/>
        <v>0</v>
      </c>
      <c r="AH119" s="280">
        <f t="shared" si="63"/>
        <v>40398.550000000003</v>
      </c>
      <c r="AI119" s="210"/>
      <c r="AJ119" s="367">
        <f t="shared" si="90"/>
        <v>25000</v>
      </c>
      <c r="AK119" s="363">
        <f t="shared" si="90"/>
        <v>0</v>
      </c>
      <c r="AL119" s="280">
        <f t="shared" si="64"/>
        <v>25000</v>
      </c>
      <c r="AM119" s="367">
        <f t="shared" si="91"/>
        <v>25000</v>
      </c>
      <c r="AN119" s="363">
        <f t="shared" si="91"/>
        <v>0</v>
      </c>
      <c r="AO119" s="280">
        <f t="shared" si="65"/>
        <v>25000</v>
      </c>
      <c r="AP119" s="263">
        <f t="shared" si="93"/>
        <v>65398.55</v>
      </c>
      <c r="AQ119" s="10">
        <f t="shared" si="93"/>
        <v>0</v>
      </c>
      <c r="AR119" s="650">
        <f t="shared" si="66"/>
        <v>65398.55</v>
      </c>
      <c r="AS119" s="607">
        <f t="shared" si="67"/>
        <v>0</v>
      </c>
      <c r="AT119" s="263">
        <f t="shared" ref="AT119:BQ119" si="96">SUM(AT120:AT120)</f>
        <v>0</v>
      </c>
      <c r="AU119" s="363">
        <f t="shared" si="96"/>
        <v>0</v>
      </c>
      <c r="AV119" s="10">
        <f t="shared" si="96"/>
        <v>25000</v>
      </c>
      <c r="AW119" s="363">
        <f t="shared" si="96"/>
        <v>0</v>
      </c>
      <c r="AX119" s="10">
        <f t="shared" si="96"/>
        <v>0</v>
      </c>
      <c r="AY119" s="369">
        <f t="shared" si="96"/>
        <v>0</v>
      </c>
      <c r="AZ119" s="263">
        <f t="shared" si="96"/>
        <v>0</v>
      </c>
      <c r="BA119" s="363">
        <f t="shared" si="96"/>
        <v>0</v>
      </c>
      <c r="BB119" s="10">
        <f t="shared" si="96"/>
        <v>0</v>
      </c>
      <c r="BC119" s="363">
        <f t="shared" si="96"/>
        <v>0</v>
      </c>
      <c r="BD119" s="10">
        <f t="shared" si="96"/>
        <v>0</v>
      </c>
      <c r="BE119" s="369">
        <f t="shared" si="96"/>
        <v>0</v>
      </c>
      <c r="BF119" s="263">
        <f t="shared" si="96"/>
        <v>0</v>
      </c>
      <c r="BG119" s="363">
        <f t="shared" si="96"/>
        <v>0</v>
      </c>
      <c r="BH119" s="10">
        <f t="shared" si="96"/>
        <v>0</v>
      </c>
      <c r="BI119" s="363">
        <f t="shared" si="96"/>
        <v>0</v>
      </c>
      <c r="BJ119" s="10">
        <f t="shared" si="96"/>
        <v>0</v>
      </c>
      <c r="BK119" s="369">
        <f t="shared" si="96"/>
        <v>0</v>
      </c>
      <c r="BL119" s="263">
        <f t="shared" si="96"/>
        <v>40398.550000000003</v>
      </c>
      <c r="BM119" s="363">
        <f t="shared" si="96"/>
        <v>0</v>
      </c>
      <c r="BN119" s="10">
        <f t="shared" si="96"/>
        <v>0</v>
      </c>
      <c r="BO119" s="363">
        <f t="shared" si="96"/>
        <v>0</v>
      </c>
      <c r="BP119" s="10">
        <f t="shared" si="96"/>
        <v>0</v>
      </c>
      <c r="BQ119" s="280">
        <f t="shared" si="96"/>
        <v>0</v>
      </c>
    </row>
    <row r="120" spans="1:69" s="313" customFormat="1" ht="25.5" hidden="1" outlineLevel="1">
      <c r="D120" s="686" t="s">
        <v>7</v>
      </c>
      <c r="E120" s="687">
        <v>4</v>
      </c>
      <c r="F120" s="688" t="s">
        <v>71</v>
      </c>
      <c r="G120" s="688">
        <v>244</v>
      </c>
      <c r="H120" s="689">
        <v>346</v>
      </c>
      <c r="I120" s="690" t="s">
        <v>312</v>
      </c>
      <c r="J120" s="691">
        <v>65398.55</v>
      </c>
      <c r="K120" s="692"/>
      <c r="L120" s="692"/>
      <c r="M120" s="559"/>
      <c r="N120" s="691">
        <v>0</v>
      </c>
      <c r="O120" s="559"/>
      <c r="P120" s="691">
        <v>0</v>
      </c>
      <c r="Q120" s="559"/>
      <c r="R120" s="335"/>
      <c r="S120" s="320"/>
      <c r="T120" s="320"/>
      <c r="U120" s="320"/>
      <c r="W120" s="336">
        <f t="shared" si="86"/>
        <v>25000</v>
      </c>
      <c r="X120" s="337">
        <f t="shared" si="86"/>
        <v>0</v>
      </c>
      <c r="Y120" s="338">
        <f t="shared" si="60"/>
        <v>25000</v>
      </c>
      <c r="Z120" s="336">
        <f t="shared" si="87"/>
        <v>0</v>
      </c>
      <c r="AA120" s="337">
        <f t="shared" si="87"/>
        <v>0</v>
      </c>
      <c r="AB120" s="338">
        <f t="shared" si="61"/>
        <v>0</v>
      </c>
      <c r="AC120" s="336">
        <f t="shared" si="88"/>
        <v>0</v>
      </c>
      <c r="AD120" s="337">
        <f t="shared" si="88"/>
        <v>0</v>
      </c>
      <c r="AE120" s="338">
        <f t="shared" si="62"/>
        <v>0</v>
      </c>
      <c r="AF120" s="336">
        <f t="shared" si="89"/>
        <v>40398.550000000003</v>
      </c>
      <c r="AG120" s="337">
        <f t="shared" si="89"/>
        <v>0</v>
      </c>
      <c r="AH120" s="338">
        <f t="shared" si="63"/>
        <v>40398.550000000003</v>
      </c>
      <c r="AI120" s="342"/>
      <c r="AJ120" s="336">
        <f t="shared" si="90"/>
        <v>25000</v>
      </c>
      <c r="AK120" s="339">
        <f t="shared" si="90"/>
        <v>0</v>
      </c>
      <c r="AL120" s="340">
        <f t="shared" si="64"/>
        <v>25000</v>
      </c>
      <c r="AM120" s="336">
        <f t="shared" si="91"/>
        <v>25000</v>
      </c>
      <c r="AN120" s="339">
        <f t="shared" si="91"/>
        <v>0</v>
      </c>
      <c r="AO120" s="340">
        <f t="shared" si="65"/>
        <v>25000</v>
      </c>
      <c r="AP120" s="341">
        <f t="shared" si="93"/>
        <v>65398.55</v>
      </c>
      <c r="AQ120" s="339">
        <f t="shared" si="93"/>
        <v>0</v>
      </c>
      <c r="AR120" s="340">
        <f t="shared" si="66"/>
        <v>65398.55</v>
      </c>
      <c r="AS120" s="589">
        <f t="shared" si="67"/>
        <v>0</v>
      </c>
      <c r="AT120" s="343"/>
      <c r="AU120" s="344"/>
      <c r="AV120" s="345">
        <v>25000</v>
      </c>
      <c r="AW120" s="344"/>
      <c r="AX120" s="345"/>
      <c r="AY120" s="346"/>
      <c r="AZ120" s="347"/>
      <c r="BA120" s="348"/>
      <c r="BB120" s="349"/>
      <c r="BC120" s="348"/>
      <c r="BD120" s="349"/>
      <c r="BE120" s="350"/>
      <c r="BF120" s="351"/>
      <c r="BG120" s="352"/>
      <c r="BH120" s="337"/>
      <c r="BI120" s="352"/>
      <c r="BJ120" s="337"/>
      <c r="BK120" s="353"/>
      <c r="BL120" s="354">
        <v>40398.550000000003</v>
      </c>
      <c r="BM120" s="355"/>
      <c r="BN120" s="356"/>
      <c r="BO120" s="355"/>
      <c r="BP120" s="356"/>
      <c r="BQ120" s="357"/>
    </row>
    <row r="121" spans="1:69" s="86" customFormat="1" ht="31.5">
      <c r="A121" s="358"/>
      <c r="B121" s="359"/>
      <c r="C121" s="86" t="s">
        <v>201</v>
      </c>
      <c r="D121" s="646" t="s">
        <v>7</v>
      </c>
      <c r="E121" s="646">
        <v>4</v>
      </c>
      <c r="F121" s="646" t="s">
        <v>71</v>
      </c>
      <c r="G121" s="646">
        <v>244</v>
      </c>
      <c r="H121" s="716">
        <v>345</v>
      </c>
      <c r="I121" s="717" t="s">
        <v>311</v>
      </c>
      <c r="J121" s="13">
        <v>12502</v>
      </c>
      <c r="K121" s="13"/>
      <c r="L121" s="13"/>
      <c r="M121" s="661"/>
      <c r="N121" s="13">
        <v>0</v>
      </c>
      <c r="O121" s="661"/>
      <c r="P121" s="13">
        <v>0</v>
      </c>
      <c r="Q121" s="665"/>
      <c r="R121" s="334"/>
      <c r="S121" s="320"/>
      <c r="T121" s="320"/>
      <c r="U121" s="320"/>
      <c r="W121" s="367">
        <f t="shared" si="86"/>
        <v>0</v>
      </c>
      <c r="X121" s="363">
        <f t="shared" si="86"/>
        <v>0</v>
      </c>
      <c r="Y121" s="280">
        <f t="shared" si="60"/>
        <v>0</v>
      </c>
      <c r="Z121" s="367">
        <f t="shared" si="87"/>
        <v>0</v>
      </c>
      <c r="AA121" s="363">
        <f t="shared" si="87"/>
        <v>0</v>
      </c>
      <c r="AB121" s="280">
        <f t="shared" si="61"/>
        <v>0</v>
      </c>
      <c r="AC121" s="367">
        <f t="shared" si="88"/>
        <v>0</v>
      </c>
      <c r="AD121" s="363">
        <f t="shared" si="88"/>
        <v>0</v>
      </c>
      <c r="AE121" s="280">
        <f t="shared" si="62"/>
        <v>0</v>
      </c>
      <c r="AF121" s="367">
        <f t="shared" si="89"/>
        <v>12502</v>
      </c>
      <c r="AG121" s="363">
        <f t="shared" si="89"/>
        <v>0</v>
      </c>
      <c r="AH121" s="280">
        <f t="shared" si="63"/>
        <v>12502</v>
      </c>
      <c r="AI121" s="210"/>
      <c r="AJ121" s="367">
        <f t="shared" si="90"/>
        <v>0</v>
      </c>
      <c r="AK121" s="363">
        <f t="shared" si="90"/>
        <v>0</v>
      </c>
      <c r="AL121" s="280">
        <f t="shared" si="64"/>
        <v>0</v>
      </c>
      <c r="AM121" s="367">
        <f t="shared" si="91"/>
        <v>0</v>
      </c>
      <c r="AN121" s="363">
        <f t="shared" si="91"/>
        <v>0</v>
      </c>
      <c r="AO121" s="280">
        <f t="shared" si="65"/>
        <v>0</v>
      </c>
      <c r="AP121" s="263">
        <f t="shared" si="93"/>
        <v>12502</v>
      </c>
      <c r="AQ121" s="10">
        <f t="shared" si="93"/>
        <v>0</v>
      </c>
      <c r="AR121" s="650">
        <f t="shared" si="66"/>
        <v>12502</v>
      </c>
      <c r="AS121" s="607">
        <f t="shared" si="67"/>
        <v>0</v>
      </c>
      <c r="AT121" s="263"/>
      <c r="AU121" s="363"/>
      <c r="AV121" s="10"/>
      <c r="AW121" s="363"/>
      <c r="AX121" s="10"/>
      <c r="AY121" s="369"/>
      <c r="AZ121" s="263"/>
      <c r="BA121" s="363"/>
      <c r="BB121" s="10"/>
      <c r="BC121" s="363"/>
      <c r="BD121" s="10"/>
      <c r="BE121" s="369"/>
      <c r="BF121" s="263"/>
      <c r="BG121" s="363"/>
      <c r="BH121" s="10"/>
      <c r="BI121" s="363"/>
      <c r="BJ121" s="10"/>
      <c r="BK121" s="369"/>
      <c r="BL121" s="263"/>
      <c r="BM121" s="363"/>
      <c r="BN121" s="10">
        <v>12502</v>
      </c>
      <c r="BO121" s="363"/>
      <c r="BP121" s="10"/>
      <c r="BQ121" s="280"/>
    </row>
    <row r="122" spans="1:69" s="86" customFormat="1" ht="31.5">
      <c r="A122" s="358"/>
      <c r="B122" s="389" t="s">
        <v>216</v>
      </c>
      <c r="C122" s="86" t="s">
        <v>201</v>
      </c>
      <c r="D122" s="646" t="s">
        <v>7</v>
      </c>
      <c r="E122" s="646">
        <v>4</v>
      </c>
      <c r="F122" s="646" t="s">
        <v>71</v>
      </c>
      <c r="G122" s="646">
        <v>851</v>
      </c>
      <c r="H122" s="716">
        <v>291</v>
      </c>
      <c r="I122" s="717" t="s">
        <v>28</v>
      </c>
      <c r="J122" s="13">
        <f>119325-19888</f>
        <v>99437</v>
      </c>
      <c r="K122" s="13"/>
      <c r="L122" s="13"/>
      <c r="M122" s="661"/>
      <c r="N122" s="13">
        <v>0</v>
      </c>
      <c r="O122" s="661"/>
      <c r="P122" s="13">
        <v>0</v>
      </c>
      <c r="Q122" s="665"/>
      <c r="R122" s="334"/>
      <c r="S122" s="305"/>
      <c r="T122" s="305"/>
      <c r="U122" s="305"/>
      <c r="W122" s="367">
        <f t="shared" si="86"/>
        <v>99437</v>
      </c>
      <c r="X122" s="363">
        <f t="shared" si="86"/>
        <v>0</v>
      </c>
      <c r="Y122" s="280">
        <f t="shared" si="60"/>
        <v>99437</v>
      </c>
      <c r="Z122" s="367">
        <f t="shared" si="87"/>
        <v>0</v>
      </c>
      <c r="AA122" s="363">
        <f t="shared" si="87"/>
        <v>0</v>
      </c>
      <c r="AB122" s="280">
        <f t="shared" si="61"/>
        <v>0</v>
      </c>
      <c r="AC122" s="367">
        <f t="shared" si="88"/>
        <v>0</v>
      </c>
      <c r="AD122" s="363">
        <f t="shared" si="88"/>
        <v>0</v>
      </c>
      <c r="AE122" s="280">
        <f t="shared" si="62"/>
        <v>0</v>
      </c>
      <c r="AF122" s="367">
        <f t="shared" si="89"/>
        <v>0</v>
      </c>
      <c r="AG122" s="363">
        <f t="shared" si="89"/>
        <v>0</v>
      </c>
      <c r="AH122" s="280">
        <f t="shared" si="63"/>
        <v>0</v>
      </c>
      <c r="AI122" s="210"/>
      <c r="AJ122" s="367">
        <f t="shared" si="90"/>
        <v>99437</v>
      </c>
      <c r="AK122" s="363">
        <f t="shared" si="90"/>
        <v>0</v>
      </c>
      <c r="AL122" s="280">
        <f t="shared" si="64"/>
        <v>99437</v>
      </c>
      <c r="AM122" s="367">
        <f t="shared" si="91"/>
        <v>99437</v>
      </c>
      <c r="AN122" s="363">
        <f t="shared" si="91"/>
        <v>0</v>
      </c>
      <c r="AO122" s="280">
        <f t="shared" si="65"/>
        <v>99437</v>
      </c>
      <c r="AP122" s="263">
        <f t="shared" si="93"/>
        <v>99437</v>
      </c>
      <c r="AQ122" s="10">
        <f t="shared" si="93"/>
        <v>0</v>
      </c>
      <c r="AR122" s="650">
        <f t="shared" si="66"/>
        <v>99437</v>
      </c>
      <c r="AS122" s="607">
        <f t="shared" si="67"/>
        <v>0</v>
      </c>
      <c r="AT122" s="263">
        <v>99437</v>
      </c>
      <c r="AU122" s="363"/>
      <c r="AV122" s="10"/>
      <c r="AW122" s="363"/>
      <c r="AX122" s="10"/>
      <c r="AY122" s="369"/>
      <c r="AZ122" s="263"/>
      <c r="BA122" s="363"/>
      <c r="BB122" s="10"/>
      <c r="BC122" s="363"/>
      <c r="BD122" s="10"/>
      <c r="BE122" s="369"/>
      <c r="BF122" s="263"/>
      <c r="BG122" s="363"/>
      <c r="BH122" s="10"/>
      <c r="BI122" s="363"/>
      <c r="BJ122" s="10"/>
      <c r="BK122" s="369"/>
      <c r="BL122" s="263"/>
      <c r="BM122" s="363"/>
      <c r="BN122" s="10"/>
      <c r="BO122" s="363"/>
      <c r="BP122" s="10"/>
      <c r="BQ122" s="280"/>
    </row>
    <row r="123" spans="1:69" s="86" customFormat="1" ht="31.5">
      <c r="A123" s="358"/>
      <c r="B123" s="359"/>
      <c r="C123" s="86" t="s">
        <v>201</v>
      </c>
      <c r="D123" s="646" t="s">
        <v>7</v>
      </c>
      <c r="E123" s="646">
        <v>4</v>
      </c>
      <c r="F123" s="646" t="s">
        <v>71</v>
      </c>
      <c r="G123" s="646">
        <v>853</v>
      </c>
      <c r="H123" s="716">
        <v>297</v>
      </c>
      <c r="I123" s="717" t="s">
        <v>38</v>
      </c>
      <c r="J123" s="13">
        <v>47779.58</v>
      </c>
      <c r="K123" s="13"/>
      <c r="L123" s="13"/>
      <c r="M123" s="661">
        <f>62938.83-J123-J180</f>
        <v>7733.24</v>
      </c>
      <c r="N123" s="13">
        <v>26356.95</v>
      </c>
      <c r="O123" s="670"/>
      <c r="P123" s="13">
        <v>26256.63</v>
      </c>
      <c r="Q123" s="665"/>
      <c r="R123" s="334"/>
      <c r="S123" s="305"/>
      <c r="T123" s="305"/>
      <c r="U123" s="305"/>
      <c r="W123" s="367">
        <f t="shared" si="86"/>
        <v>0</v>
      </c>
      <c r="X123" s="363">
        <f t="shared" si="86"/>
        <v>0</v>
      </c>
      <c r="Y123" s="280">
        <f t="shared" si="60"/>
        <v>0</v>
      </c>
      <c r="Z123" s="367">
        <f t="shared" si="87"/>
        <v>0</v>
      </c>
      <c r="AA123" s="363">
        <f t="shared" si="87"/>
        <v>0</v>
      </c>
      <c r="AB123" s="280">
        <f t="shared" si="61"/>
        <v>0</v>
      </c>
      <c r="AC123" s="367">
        <f t="shared" si="88"/>
        <v>0</v>
      </c>
      <c r="AD123" s="363">
        <f t="shared" si="88"/>
        <v>0</v>
      </c>
      <c r="AE123" s="280">
        <f t="shared" si="62"/>
        <v>0</v>
      </c>
      <c r="AF123" s="367">
        <f t="shared" si="89"/>
        <v>47779.58</v>
      </c>
      <c r="AG123" s="363">
        <f t="shared" si="89"/>
        <v>0</v>
      </c>
      <c r="AH123" s="280">
        <f t="shared" si="63"/>
        <v>47779.58</v>
      </c>
      <c r="AI123" s="210"/>
      <c r="AJ123" s="367">
        <f t="shared" si="90"/>
        <v>0</v>
      </c>
      <c r="AK123" s="363">
        <f t="shared" si="90"/>
        <v>0</v>
      </c>
      <c r="AL123" s="280">
        <f t="shared" si="64"/>
        <v>0</v>
      </c>
      <c r="AM123" s="367">
        <f t="shared" si="91"/>
        <v>0</v>
      </c>
      <c r="AN123" s="363">
        <f t="shared" si="91"/>
        <v>0</v>
      </c>
      <c r="AO123" s="280">
        <f t="shared" si="65"/>
        <v>0</v>
      </c>
      <c r="AP123" s="263">
        <f t="shared" si="93"/>
        <v>47779.58</v>
      </c>
      <c r="AQ123" s="10">
        <f t="shared" si="93"/>
        <v>0</v>
      </c>
      <c r="AR123" s="650">
        <f t="shared" si="66"/>
        <v>47779.58</v>
      </c>
      <c r="AS123" s="607">
        <f t="shared" si="67"/>
        <v>0</v>
      </c>
      <c r="AT123" s="263"/>
      <c r="AU123" s="363"/>
      <c r="AV123" s="10"/>
      <c r="AW123" s="363"/>
      <c r="AX123" s="10"/>
      <c r="AY123" s="369"/>
      <c r="AZ123" s="263"/>
      <c r="BA123" s="363"/>
      <c r="BB123" s="10"/>
      <c r="BC123" s="363"/>
      <c r="BD123" s="10"/>
      <c r="BE123" s="369"/>
      <c r="BF123" s="263"/>
      <c r="BG123" s="363"/>
      <c r="BH123" s="10"/>
      <c r="BI123" s="363"/>
      <c r="BJ123" s="10"/>
      <c r="BK123" s="369"/>
      <c r="BL123" s="263"/>
      <c r="BM123" s="363"/>
      <c r="BN123" s="10"/>
      <c r="BO123" s="363"/>
      <c r="BP123" s="10">
        <v>47779.58</v>
      </c>
      <c r="BQ123" s="280"/>
    </row>
    <row r="124" spans="1:69" s="86" customFormat="1" ht="47.25">
      <c r="A124" s="358" t="s">
        <v>377</v>
      </c>
      <c r="B124" s="359"/>
      <c r="C124" s="86" t="s">
        <v>201</v>
      </c>
      <c r="D124" s="646" t="s">
        <v>30</v>
      </c>
      <c r="E124" s="646">
        <v>4</v>
      </c>
      <c r="F124" s="646" t="s">
        <v>47</v>
      </c>
      <c r="G124" s="646">
        <v>244</v>
      </c>
      <c r="H124" s="716">
        <v>310</v>
      </c>
      <c r="I124" s="717" t="s">
        <v>302</v>
      </c>
      <c r="J124" s="13">
        <f>J125</f>
        <v>306800</v>
      </c>
      <c r="K124" s="13"/>
      <c r="L124" s="13"/>
      <c r="M124" s="671"/>
      <c r="N124" s="13">
        <v>0</v>
      </c>
      <c r="O124" s="668"/>
      <c r="P124" s="13">
        <v>0</v>
      </c>
      <c r="Q124" s="539"/>
      <c r="R124" s="334"/>
      <c r="S124" s="305"/>
      <c r="T124" s="305"/>
      <c r="U124" s="305"/>
      <c r="W124" s="367">
        <f t="shared" si="86"/>
        <v>0</v>
      </c>
      <c r="X124" s="363">
        <f t="shared" si="86"/>
        <v>0</v>
      </c>
      <c r="Y124" s="280">
        <f t="shared" si="60"/>
        <v>0</v>
      </c>
      <c r="Z124" s="367">
        <f t="shared" si="87"/>
        <v>306800</v>
      </c>
      <c r="AA124" s="363">
        <f t="shared" si="87"/>
        <v>0</v>
      </c>
      <c r="AB124" s="280">
        <f t="shared" si="61"/>
        <v>306800</v>
      </c>
      <c r="AC124" s="367">
        <f t="shared" si="88"/>
        <v>0</v>
      </c>
      <c r="AD124" s="363">
        <f t="shared" si="88"/>
        <v>0</v>
      </c>
      <c r="AE124" s="280">
        <f t="shared" si="62"/>
        <v>0</v>
      </c>
      <c r="AF124" s="367">
        <f t="shared" si="89"/>
        <v>0</v>
      </c>
      <c r="AG124" s="363">
        <f t="shared" si="89"/>
        <v>0</v>
      </c>
      <c r="AH124" s="280">
        <f t="shared" si="63"/>
        <v>0</v>
      </c>
      <c r="AI124" s="210"/>
      <c r="AJ124" s="367">
        <f t="shared" si="90"/>
        <v>306800</v>
      </c>
      <c r="AK124" s="363">
        <f t="shared" si="90"/>
        <v>0</v>
      </c>
      <c r="AL124" s="280">
        <f t="shared" si="64"/>
        <v>306800</v>
      </c>
      <c r="AM124" s="367">
        <f t="shared" si="91"/>
        <v>306800</v>
      </c>
      <c r="AN124" s="363">
        <f t="shared" si="91"/>
        <v>0</v>
      </c>
      <c r="AO124" s="280">
        <f t="shared" si="65"/>
        <v>306800</v>
      </c>
      <c r="AP124" s="263">
        <f t="shared" si="93"/>
        <v>306800</v>
      </c>
      <c r="AQ124" s="10">
        <f t="shared" si="93"/>
        <v>0</v>
      </c>
      <c r="AR124" s="650">
        <f t="shared" si="66"/>
        <v>306800</v>
      </c>
      <c r="AS124" s="607">
        <f t="shared" si="67"/>
        <v>0</v>
      </c>
      <c r="AT124" s="263">
        <f t="shared" ref="AT124:BQ124" si="97">SUM(AT125:AT125)</f>
        <v>0</v>
      </c>
      <c r="AU124" s="363">
        <f t="shared" si="97"/>
        <v>0</v>
      </c>
      <c r="AV124" s="10">
        <f t="shared" si="97"/>
        <v>0</v>
      </c>
      <c r="AW124" s="363">
        <f t="shared" si="97"/>
        <v>0</v>
      </c>
      <c r="AX124" s="10">
        <f t="shared" si="97"/>
        <v>0</v>
      </c>
      <c r="AY124" s="369">
        <f t="shared" si="97"/>
        <v>0</v>
      </c>
      <c r="AZ124" s="263">
        <f t="shared" si="97"/>
        <v>0</v>
      </c>
      <c r="BA124" s="363">
        <f t="shared" si="97"/>
        <v>0</v>
      </c>
      <c r="BB124" s="10">
        <f t="shared" si="97"/>
        <v>0</v>
      </c>
      <c r="BC124" s="363">
        <f t="shared" si="97"/>
        <v>0</v>
      </c>
      <c r="BD124" s="10">
        <f t="shared" si="97"/>
        <v>306800</v>
      </c>
      <c r="BE124" s="369">
        <f t="shared" si="97"/>
        <v>0</v>
      </c>
      <c r="BF124" s="263">
        <f t="shared" si="97"/>
        <v>0</v>
      </c>
      <c r="BG124" s="363">
        <f t="shared" si="97"/>
        <v>0</v>
      </c>
      <c r="BH124" s="10">
        <f t="shared" si="97"/>
        <v>0</v>
      </c>
      <c r="BI124" s="363">
        <f t="shared" si="97"/>
        <v>0</v>
      </c>
      <c r="BJ124" s="10">
        <f t="shared" si="97"/>
        <v>0</v>
      </c>
      <c r="BK124" s="369">
        <f t="shared" si="97"/>
        <v>0</v>
      </c>
      <c r="BL124" s="263">
        <f t="shared" si="97"/>
        <v>0</v>
      </c>
      <c r="BM124" s="363">
        <f t="shared" si="97"/>
        <v>0</v>
      </c>
      <c r="BN124" s="10">
        <f t="shared" si="97"/>
        <v>0</v>
      </c>
      <c r="BO124" s="363">
        <f t="shared" si="97"/>
        <v>0</v>
      </c>
      <c r="BP124" s="10">
        <f t="shared" si="97"/>
        <v>0</v>
      </c>
      <c r="BQ124" s="280">
        <f t="shared" si="97"/>
        <v>0</v>
      </c>
    </row>
    <row r="125" spans="1:69" s="313" customFormat="1" ht="25.5" hidden="1">
      <c r="D125" s="686" t="s">
        <v>30</v>
      </c>
      <c r="E125" s="687">
        <v>4</v>
      </c>
      <c r="F125" s="688" t="s">
        <v>47</v>
      </c>
      <c r="G125" s="688">
        <v>244</v>
      </c>
      <c r="H125" s="689">
        <v>310</v>
      </c>
      <c r="I125" s="703" t="s">
        <v>303</v>
      </c>
      <c r="J125" s="692">
        <v>306800</v>
      </c>
      <c r="K125" s="692"/>
      <c r="L125" s="692"/>
      <c r="M125" s="329"/>
      <c r="N125" s="704">
        <v>0</v>
      </c>
      <c r="O125" s="319"/>
      <c r="P125" s="704">
        <v>0</v>
      </c>
      <c r="Q125" s="319"/>
      <c r="R125" s="335"/>
      <c r="S125" s="320"/>
      <c r="T125" s="320"/>
      <c r="U125" s="320"/>
      <c r="W125" s="336">
        <f t="shared" si="86"/>
        <v>0</v>
      </c>
      <c r="X125" s="337">
        <f t="shared" si="86"/>
        <v>0</v>
      </c>
      <c r="Y125" s="338">
        <f t="shared" si="60"/>
        <v>0</v>
      </c>
      <c r="Z125" s="336">
        <f t="shared" si="87"/>
        <v>306800</v>
      </c>
      <c r="AA125" s="337">
        <f t="shared" si="87"/>
        <v>0</v>
      </c>
      <c r="AB125" s="338">
        <f t="shared" si="61"/>
        <v>306800</v>
      </c>
      <c r="AC125" s="336">
        <f t="shared" si="88"/>
        <v>0</v>
      </c>
      <c r="AD125" s="337">
        <f t="shared" si="88"/>
        <v>0</v>
      </c>
      <c r="AE125" s="338">
        <f t="shared" si="62"/>
        <v>0</v>
      </c>
      <c r="AF125" s="336">
        <f t="shared" si="89"/>
        <v>0</v>
      </c>
      <c r="AG125" s="337">
        <f t="shared" si="89"/>
        <v>0</v>
      </c>
      <c r="AH125" s="338">
        <f t="shared" si="63"/>
        <v>0</v>
      </c>
      <c r="AI125" s="342"/>
      <c r="AJ125" s="336">
        <f t="shared" si="90"/>
        <v>306800</v>
      </c>
      <c r="AK125" s="339">
        <f t="shared" si="90"/>
        <v>0</v>
      </c>
      <c r="AL125" s="340">
        <f t="shared" si="64"/>
        <v>306800</v>
      </c>
      <c r="AM125" s="336">
        <f t="shared" si="91"/>
        <v>306800</v>
      </c>
      <c r="AN125" s="339">
        <f t="shared" si="91"/>
        <v>0</v>
      </c>
      <c r="AO125" s="340">
        <f t="shared" si="65"/>
        <v>306800</v>
      </c>
      <c r="AP125" s="341">
        <f t="shared" si="93"/>
        <v>306800</v>
      </c>
      <c r="AQ125" s="339">
        <f t="shared" si="93"/>
        <v>0</v>
      </c>
      <c r="AR125" s="340">
        <f t="shared" si="66"/>
        <v>306800</v>
      </c>
      <c r="AS125" s="589">
        <f t="shared" si="67"/>
        <v>0</v>
      </c>
      <c r="AT125" s="343"/>
      <c r="AU125" s="344"/>
      <c r="AV125" s="345"/>
      <c r="AW125" s="344"/>
      <c r="AX125" s="345"/>
      <c r="AY125" s="346"/>
      <c r="AZ125" s="347"/>
      <c r="BA125" s="348"/>
      <c r="BB125" s="349"/>
      <c r="BC125" s="348"/>
      <c r="BD125" s="349">
        <v>306800</v>
      </c>
      <c r="BE125" s="350"/>
      <c r="BF125" s="351"/>
      <c r="BG125" s="352"/>
      <c r="BH125" s="337"/>
      <c r="BI125" s="352"/>
      <c r="BJ125" s="337"/>
      <c r="BK125" s="353"/>
      <c r="BL125" s="354"/>
      <c r="BM125" s="355"/>
      <c r="BN125" s="356"/>
      <c r="BO125" s="355"/>
      <c r="BP125" s="356"/>
      <c r="BQ125" s="357"/>
    </row>
    <row r="126" spans="1:69" s="86" customFormat="1" ht="47.25">
      <c r="A126" s="358" t="s">
        <v>377</v>
      </c>
      <c r="B126" s="359"/>
      <c r="C126" s="86" t="s">
        <v>201</v>
      </c>
      <c r="D126" s="646" t="s">
        <v>31</v>
      </c>
      <c r="E126" s="646">
        <v>4</v>
      </c>
      <c r="F126" s="646" t="s">
        <v>47</v>
      </c>
      <c r="G126" s="646">
        <v>244</v>
      </c>
      <c r="H126" s="716">
        <v>310</v>
      </c>
      <c r="I126" s="717" t="s">
        <v>302</v>
      </c>
      <c r="J126" s="13">
        <f>J127</f>
        <v>715900</v>
      </c>
      <c r="K126" s="13"/>
      <c r="L126" s="13"/>
      <c r="M126" s="671"/>
      <c r="N126" s="13">
        <v>0</v>
      </c>
      <c r="O126" s="668"/>
      <c r="P126" s="13">
        <v>0</v>
      </c>
      <c r="Q126" s="539"/>
      <c r="R126" s="334"/>
      <c r="S126" s="305"/>
      <c r="T126" s="305"/>
      <c r="U126" s="305"/>
      <c r="W126" s="367">
        <f t="shared" si="86"/>
        <v>0</v>
      </c>
      <c r="X126" s="363">
        <f t="shared" si="86"/>
        <v>0</v>
      </c>
      <c r="Y126" s="280">
        <f t="shared" si="60"/>
        <v>0</v>
      </c>
      <c r="Z126" s="367">
        <f t="shared" si="87"/>
        <v>715900</v>
      </c>
      <c r="AA126" s="363">
        <f t="shared" si="87"/>
        <v>0</v>
      </c>
      <c r="AB126" s="280">
        <f t="shared" si="61"/>
        <v>715900</v>
      </c>
      <c r="AC126" s="367">
        <f t="shared" si="88"/>
        <v>0</v>
      </c>
      <c r="AD126" s="363">
        <f t="shared" si="88"/>
        <v>0</v>
      </c>
      <c r="AE126" s="280">
        <f t="shared" si="62"/>
        <v>0</v>
      </c>
      <c r="AF126" s="367">
        <f t="shared" si="89"/>
        <v>0</v>
      </c>
      <c r="AG126" s="363">
        <f t="shared" si="89"/>
        <v>0</v>
      </c>
      <c r="AH126" s="280">
        <f t="shared" si="63"/>
        <v>0</v>
      </c>
      <c r="AI126" s="210"/>
      <c r="AJ126" s="367">
        <f t="shared" si="90"/>
        <v>715900</v>
      </c>
      <c r="AK126" s="363">
        <f t="shared" si="90"/>
        <v>0</v>
      </c>
      <c r="AL126" s="280">
        <f t="shared" si="64"/>
        <v>715900</v>
      </c>
      <c r="AM126" s="367">
        <f t="shared" si="91"/>
        <v>715900</v>
      </c>
      <c r="AN126" s="363">
        <f t="shared" si="91"/>
        <v>0</v>
      </c>
      <c r="AO126" s="280">
        <f t="shared" si="65"/>
        <v>715900</v>
      </c>
      <c r="AP126" s="263">
        <f t="shared" si="93"/>
        <v>715900</v>
      </c>
      <c r="AQ126" s="10">
        <f t="shared" si="93"/>
        <v>0</v>
      </c>
      <c r="AR126" s="650">
        <f t="shared" si="66"/>
        <v>715900</v>
      </c>
      <c r="AS126" s="607">
        <f t="shared" si="67"/>
        <v>0</v>
      </c>
      <c r="AT126" s="263">
        <f t="shared" ref="AT126:BQ126" si="98">SUM(AT127:AT127)</f>
        <v>0</v>
      </c>
      <c r="AU126" s="363">
        <f t="shared" si="98"/>
        <v>0</v>
      </c>
      <c r="AV126" s="10">
        <f t="shared" si="98"/>
        <v>0</v>
      </c>
      <c r="AW126" s="363">
        <f t="shared" si="98"/>
        <v>0</v>
      </c>
      <c r="AX126" s="10">
        <f t="shared" si="98"/>
        <v>0</v>
      </c>
      <c r="AY126" s="369">
        <f t="shared" si="98"/>
        <v>0</v>
      </c>
      <c r="AZ126" s="263">
        <f t="shared" si="98"/>
        <v>0</v>
      </c>
      <c r="BA126" s="363">
        <f t="shared" si="98"/>
        <v>0</v>
      </c>
      <c r="BB126" s="10">
        <f t="shared" si="98"/>
        <v>0</v>
      </c>
      <c r="BC126" s="363">
        <f t="shared" si="98"/>
        <v>0</v>
      </c>
      <c r="BD126" s="10">
        <f t="shared" si="98"/>
        <v>715900</v>
      </c>
      <c r="BE126" s="369">
        <f t="shared" si="98"/>
        <v>0</v>
      </c>
      <c r="BF126" s="263">
        <f t="shared" si="98"/>
        <v>0</v>
      </c>
      <c r="BG126" s="363">
        <f t="shared" si="98"/>
        <v>0</v>
      </c>
      <c r="BH126" s="10">
        <f t="shared" si="98"/>
        <v>0</v>
      </c>
      <c r="BI126" s="363">
        <f t="shared" si="98"/>
        <v>0</v>
      </c>
      <c r="BJ126" s="10">
        <f t="shared" si="98"/>
        <v>0</v>
      </c>
      <c r="BK126" s="369">
        <f t="shared" si="98"/>
        <v>0</v>
      </c>
      <c r="BL126" s="263">
        <f t="shared" si="98"/>
        <v>0</v>
      </c>
      <c r="BM126" s="363">
        <f t="shared" si="98"/>
        <v>0</v>
      </c>
      <c r="BN126" s="10">
        <f t="shared" si="98"/>
        <v>0</v>
      </c>
      <c r="BO126" s="363">
        <f t="shared" si="98"/>
        <v>0</v>
      </c>
      <c r="BP126" s="10">
        <f t="shared" si="98"/>
        <v>0</v>
      </c>
      <c r="BQ126" s="280">
        <f t="shared" si="98"/>
        <v>0</v>
      </c>
    </row>
    <row r="127" spans="1:69" s="313" customFormat="1" ht="25.5" hidden="1">
      <c r="D127" s="686" t="s">
        <v>31</v>
      </c>
      <c r="E127" s="687">
        <v>4</v>
      </c>
      <c r="F127" s="688" t="s">
        <v>47</v>
      </c>
      <c r="G127" s="688">
        <v>244</v>
      </c>
      <c r="H127" s="689">
        <v>310</v>
      </c>
      <c r="I127" s="703" t="s">
        <v>303</v>
      </c>
      <c r="J127" s="704">
        <v>715900</v>
      </c>
      <c r="K127" s="692"/>
      <c r="L127" s="692"/>
      <c r="M127" s="329"/>
      <c r="N127" s="704">
        <v>0</v>
      </c>
      <c r="O127" s="319"/>
      <c r="P127" s="704">
        <v>0</v>
      </c>
      <c r="Q127" s="319"/>
      <c r="R127" s="335"/>
      <c r="S127" s="320"/>
      <c r="T127" s="320"/>
      <c r="U127" s="320"/>
      <c r="W127" s="336">
        <f t="shared" si="86"/>
        <v>0</v>
      </c>
      <c r="X127" s="337">
        <f t="shared" si="86"/>
        <v>0</v>
      </c>
      <c r="Y127" s="338">
        <f t="shared" si="60"/>
        <v>0</v>
      </c>
      <c r="Z127" s="336">
        <f t="shared" si="87"/>
        <v>715900</v>
      </c>
      <c r="AA127" s="337">
        <f t="shared" si="87"/>
        <v>0</v>
      </c>
      <c r="AB127" s="338">
        <f t="shared" si="61"/>
        <v>715900</v>
      </c>
      <c r="AC127" s="336">
        <f t="shared" si="88"/>
        <v>0</v>
      </c>
      <c r="AD127" s="337">
        <f t="shared" si="88"/>
        <v>0</v>
      </c>
      <c r="AE127" s="338">
        <f t="shared" si="62"/>
        <v>0</v>
      </c>
      <c r="AF127" s="336">
        <f t="shared" si="89"/>
        <v>0</v>
      </c>
      <c r="AG127" s="337">
        <f t="shared" si="89"/>
        <v>0</v>
      </c>
      <c r="AH127" s="338">
        <f t="shared" si="63"/>
        <v>0</v>
      </c>
      <c r="AI127" s="342"/>
      <c r="AJ127" s="336">
        <f t="shared" si="90"/>
        <v>715900</v>
      </c>
      <c r="AK127" s="339">
        <f t="shared" si="90"/>
        <v>0</v>
      </c>
      <c r="AL127" s="340">
        <f t="shared" si="64"/>
        <v>715900</v>
      </c>
      <c r="AM127" s="336">
        <f t="shared" si="91"/>
        <v>715900</v>
      </c>
      <c r="AN127" s="339">
        <f t="shared" si="91"/>
        <v>0</v>
      </c>
      <c r="AO127" s="340">
        <f t="shared" si="65"/>
        <v>715900</v>
      </c>
      <c r="AP127" s="341">
        <f t="shared" si="93"/>
        <v>715900</v>
      </c>
      <c r="AQ127" s="339">
        <f t="shared" si="93"/>
        <v>0</v>
      </c>
      <c r="AR127" s="340">
        <f t="shared" si="66"/>
        <v>715900</v>
      </c>
      <c r="AS127" s="589">
        <f t="shared" si="67"/>
        <v>0</v>
      </c>
      <c r="AT127" s="343"/>
      <c r="AU127" s="344"/>
      <c r="AV127" s="345"/>
      <c r="AW127" s="344"/>
      <c r="AX127" s="345"/>
      <c r="AY127" s="346"/>
      <c r="AZ127" s="347"/>
      <c r="BA127" s="348"/>
      <c r="BB127" s="349"/>
      <c r="BC127" s="348"/>
      <c r="BD127" s="349">
        <v>715900</v>
      </c>
      <c r="BE127" s="350"/>
      <c r="BF127" s="351"/>
      <c r="BG127" s="352"/>
      <c r="BH127" s="337"/>
      <c r="BI127" s="352"/>
      <c r="BJ127" s="337"/>
      <c r="BK127" s="353"/>
      <c r="BL127" s="354"/>
      <c r="BM127" s="355"/>
      <c r="BN127" s="356"/>
      <c r="BO127" s="355"/>
      <c r="BP127" s="356"/>
      <c r="BQ127" s="357"/>
    </row>
    <row r="128" spans="1:69" s="86" customFormat="1" ht="47.25">
      <c r="A128" s="358" t="s">
        <v>377</v>
      </c>
      <c r="B128" s="359"/>
      <c r="C128" s="86" t="s">
        <v>201</v>
      </c>
      <c r="D128" s="646" t="s">
        <v>7</v>
      </c>
      <c r="E128" s="646">
        <v>4</v>
      </c>
      <c r="F128" s="646" t="s">
        <v>47</v>
      </c>
      <c r="G128" s="646">
        <v>244</v>
      </c>
      <c r="H128" s="716">
        <v>310</v>
      </c>
      <c r="I128" s="717" t="s">
        <v>302</v>
      </c>
      <c r="J128" s="13">
        <f>J129</f>
        <v>53826.32</v>
      </c>
      <c r="K128" s="13"/>
      <c r="L128" s="13"/>
      <c r="M128" s="671"/>
      <c r="N128" s="13">
        <v>0</v>
      </c>
      <c r="O128" s="668"/>
      <c r="P128" s="13">
        <v>0</v>
      </c>
      <c r="Q128" s="539"/>
      <c r="R128" s="334"/>
      <c r="S128" s="305"/>
      <c r="T128" s="305"/>
      <c r="U128" s="305"/>
      <c r="W128" s="367">
        <f t="shared" si="86"/>
        <v>0</v>
      </c>
      <c r="X128" s="363">
        <f t="shared" si="86"/>
        <v>0</v>
      </c>
      <c r="Y128" s="280">
        <f t="shared" si="60"/>
        <v>0</v>
      </c>
      <c r="Z128" s="367">
        <f t="shared" si="87"/>
        <v>53826.32</v>
      </c>
      <c r="AA128" s="363">
        <f t="shared" si="87"/>
        <v>0</v>
      </c>
      <c r="AB128" s="280">
        <f t="shared" si="61"/>
        <v>53826.32</v>
      </c>
      <c r="AC128" s="367">
        <f t="shared" si="88"/>
        <v>0</v>
      </c>
      <c r="AD128" s="363">
        <f t="shared" si="88"/>
        <v>0</v>
      </c>
      <c r="AE128" s="280">
        <f t="shared" si="62"/>
        <v>0</v>
      </c>
      <c r="AF128" s="367">
        <f t="shared" si="89"/>
        <v>0</v>
      </c>
      <c r="AG128" s="363">
        <f t="shared" si="89"/>
        <v>0</v>
      </c>
      <c r="AH128" s="280">
        <f t="shared" si="63"/>
        <v>0</v>
      </c>
      <c r="AI128" s="210"/>
      <c r="AJ128" s="367">
        <f t="shared" si="90"/>
        <v>53826.32</v>
      </c>
      <c r="AK128" s="363">
        <f t="shared" si="90"/>
        <v>0</v>
      </c>
      <c r="AL128" s="280">
        <f t="shared" si="64"/>
        <v>53826.32</v>
      </c>
      <c r="AM128" s="367">
        <f t="shared" si="91"/>
        <v>53826.32</v>
      </c>
      <c r="AN128" s="363">
        <f t="shared" si="91"/>
        <v>0</v>
      </c>
      <c r="AO128" s="280">
        <f t="shared" si="65"/>
        <v>53826.32</v>
      </c>
      <c r="AP128" s="263">
        <f t="shared" si="93"/>
        <v>53826.32</v>
      </c>
      <c r="AQ128" s="10">
        <f t="shared" si="93"/>
        <v>0</v>
      </c>
      <c r="AR128" s="650">
        <f t="shared" si="66"/>
        <v>53826.32</v>
      </c>
      <c r="AS128" s="607">
        <f t="shared" si="67"/>
        <v>0</v>
      </c>
      <c r="AT128" s="263">
        <f t="shared" ref="AT128:BQ128" si="99">SUM(AT129:AT129)</f>
        <v>0</v>
      </c>
      <c r="AU128" s="363">
        <f t="shared" si="99"/>
        <v>0</v>
      </c>
      <c r="AV128" s="10">
        <f t="shared" si="99"/>
        <v>0</v>
      </c>
      <c r="AW128" s="363">
        <f t="shared" si="99"/>
        <v>0</v>
      </c>
      <c r="AX128" s="10">
        <f t="shared" si="99"/>
        <v>0</v>
      </c>
      <c r="AY128" s="369">
        <f t="shared" si="99"/>
        <v>0</v>
      </c>
      <c r="AZ128" s="263">
        <f t="shared" si="99"/>
        <v>0</v>
      </c>
      <c r="BA128" s="363">
        <f t="shared" si="99"/>
        <v>0</v>
      </c>
      <c r="BB128" s="10">
        <f t="shared" si="99"/>
        <v>0</v>
      </c>
      <c r="BC128" s="363">
        <f t="shared" si="99"/>
        <v>0</v>
      </c>
      <c r="BD128" s="10">
        <f t="shared" si="99"/>
        <v>53826.32</v>
      </c>
      <c r="BE128" s="369">
        <f t="shared" si="99"/>
        <v>0</v>
      </c>
      <c r="BF128" s="263">
        <f t="shared" si="99"/>
        <v>0</v>
      </c>
      <c r="BG128" s="363">
        <f t="shared" si="99"/>
        <v>0</v>
      </c>
      <c r="BH128" s="10">
        <f t="shared" si="99"/>
        <v>0</v>
      </c>
      <c r="BI128" s="363">
        <f t="shared" si="99"/>
        <v>0</v>
      </c>
      <c r="BJ128" s="10">
        <f t="shared" si="99"/>
        <v>0</v>
      </c>
      <c r="BK128" s="369">
        <f t="shared" si="99"/>
        <v>0</v>
      </c>
      <c r="BL128" s="263">
        <f t="shared" si="99"/>
        <v>0</v>
      </c>
      <c r="BM128" s="363">
        <f t="shared" si="99"/>
        <v>0</v>
      </c>
      <c r="BN128" s="10">
        <f t="shared" si="99"/>
        <v>0</v>
      </c>
      <c r="BO128" s="363">
        <f t="shared" si="99"/>
        <v>0</v>
      </c>
      <c r="BP128" s="10">
        <f t="shared" si="99"/>
        <v>0</v>
      </c>
      <c r="BQ128" s="280">
        <f t="shared" si="99"/>
        <v>0</v>
      </c>
    </row>
    <row r="129" spans="1:69" s="313" customFormat="1" ht="25.5" hidden="1">
      <c r="D129" s="686" t="s">
        <v>7</v>
      </c>
      <c r="E129" s="687">
        <v>4</v>
      </c>
      <c r="F129" s="688" t="s">
        <v>47</v>
      </c>
      <c r="G129" s="688">
        <v>244</v>
      </c>
      <c r="H129" s="689">
        <v>310</v>
      </c>
      <c r="I129" s="703" t="s">
        <v>303</v>
      </c>
      <c r="J129" s="692">
        <v>53826.32</v>
      </c>
      <c r="K129" s="692"/>
      <c r="L129" s="692"/>
      <c r="M129" s="329"/>
      <c r="N129" s="704">
        <v>0</v>
      </c>
      <c r="O129" s="319"/>
      <c r="P129" s="704">
        <v>0</v>
      </c>
      <c r="Q129" s="319"/>
      <c r="R129" s="335"/>
      <c r="S129" s="320"/>
      <c r="T129" s="320"/>
      <c r="U129" s="320"/>
      <c r="W129" s="336">
        <f t="shared" ref="W129:X129" si="100">AT129+AV129+AX129</f>
        <v>0</v>
      </c>
      <c r="X129" s="337">
        <f t="shared" si="100"/>
        <v>0</v>
      </c>
      <c r="Y129" s="338">
        <f t="shared" si="60"/>
        <v>0</v>
      </c>
      <c r="Z129" s="336">
        <f t="shared" ref="Z129:AA129" si="101">AZ129+BB129+BD129</f>
        <v>53826.32</v>
      </c>
      <c r="AA129" s="337">
        <f t="shared" si="101"/>
        <v>0</v>
      </c>
      <c r="AB129" s="338">
        <f t="shared" si="61"/>
        <v>53826.32</v>
      </c>
      <c r="AC129" s="336">
        <f t="shared" ref="AC129:AD129" si="102">BF129+BH129+BJ129</f>
        <v>0</v>
      </c>
      <c r="AD129" s="337">
        <f t="shared" si="102"/>
        <v>0</v>
      </c>
      <c r="AE129" s="338">
        <f t="shared" si="62"/>
        <v>0</v>
      </c>
      <c r="AF129" s="336">
        <f t="shared" ref="AF129:AG129" si="103">BL129+BN129+BP129</f>
        <v>0</v>
      </c>
      <c r="AG129" s="337">
        <f t="shared" si="103"/>
        <v>0</v>
      </c>
      <c r="AH129" s="338">
        <f t="shared" si="63"/>
        <v>0</v>
      </c>
      <c r="AI129" s="342"/>
      <c r="AJ129" s="336">
        <f t="shared" ref="AJ129:AK129" si="104">W129+Z129</f>
        <v>53826.32</v>
      </c>
      <c r="AK129" s="339">
        <f t="shared" si="104"/>
        <v>0</v>
      </c>
      <c r="AL129" s="340">
        <f t="shared" si="64"/>
        <v>53826.32</v>
      </c>
      <c r="AM129" s="336">
        <f t="shared" ref="AM129:AN129" si="105">W129+Z129+AC129</f>
        <v>53826.32</v>
      </c>
      <c r="AN129" s="339">
        <f t="shared" si="105"/>
        <v>0</v>
      </c>
      <c r="AO129" s="340">
        <f t="shared" si="65"/>
        <v>53826.32</v>
      </c>
      <c r="AP129" s="341">
        <f t="shared" si="93"/>
        <v>53826.32</v>
      </c>
      <c r="AQ129" s="339">
        <f t="shared" si="93"/>
        <v>0</v>
      </c>
      <c r="AR129" s="340">
        <f t="shared" si="66"/>
        <v>53826.32</v>
      </c>
      <c r="AS129" s="589">
        <f t="shared" si="67"/>
        <v>0</v>
      </c>
      <c r="AT129" s="343"/>
      <c r="AU129" s="344"/>
      <c r="AV129" s="345"/>
      <c r="AW129" s="344"/>
      <c r="AX129" s="345"/>
      <c r="AY129" s="346"/>
      <c r="AZ129" s="347"/>
      <c r="BA129" s="348"/>
      <c r="BB129" s="349"/>
      <c r="BC129" s="348"/>
      <c r="BD129" s="349">
        <v>53826.32</v>
      </c>
      <c r="BE129" s="350"/>
      <c r="BF129" s="351"/>
      <c r="BG129" s="352"/>
      <c r="BH129" s="337"/>
      <c r="BI129" s="352"/>
      <c r="BJ129" s="337"/>
      <c r="BK129" s="353"/>
      <c r="BL129" s="354"/>
      <c r="BM129" s="355"/>
      <c r="BN129" s="356"/>
      <c r="BO129" s="355"/>
      <c r="BP129" s="356"/>
      <c r="BQ129" s="357"/>
    </row>
    <row r="130" spans="1:69" s="86" customFormat="1" ht="15.75" customHeight="1" thickBot="1">
      <c r="C130" s="31" t="s">
        <v>201</v>
      </c>
      <c r="D130" s="725" t="s">
        <v>17</v>
      </c>
      <c r="E130" s="725"/>
      <c r="F130" s="725"/>
      <c r="G130" s="725"/>
      <c r="H130" s="725"/>
      <c r="I130" s="726" t="s">
        <v>17</v>
      </c>
      <c r="J130" s="13">
        <f>SUM(J12,J13,J14,J15,J20,J21,J26,J27,J28,J29,J30,J31,J36,J39,J42,J44,J48,J50,J55,J57,J68,J100,J119,J121,J122,J123,J124,J126,J128)</f>
        <v>50522159.640000001</v>
      </c>
      <c r="K130" s="13">
        <f t="shared" ref="K130:Q130" si="106">SUM(K12,K13,K14,K15,K20,K21,K26,K27,K28,K29,K30,K31,K36,K39,K42,K44,K48,K50,K55,K57,K68,K100,K119,K121,K122,K123,K124,K126,K128)</f>
        <v>0</v>
      </c>
      <c r="L130" s="13">
        <f t="shared" si="106"/>
        <v>0</v>
      </c>
      <c r="M130" s="672">
        <f t="shared" si="106"/>
        <v>17797897.969999999</v>
      </c>
      <c r="N130" s="13">
        <f>SUM(N12,N13,N14,N15,N20,N21,N26,N27,N28,N29,N30,N31,N36,N39,N42,N44,N48,N50,N55,N57,N68,N100,N119,N121,N122,N123,N124,N126,N128)</f>
        <v>42206072.039999999</v>
      </c>
      <c r="O130" s="672">
        <f t="shared" si="106"/>
        <v>0</v>
      </c>
      <c r="P130" s="13">
        <f t="shared" si="106"/>
        <v>41798874.439999998</v>
      </c>
      <c r="Q130" s="673">
        <f t="shared" si="106"/>
        <v>0</v>
      </c>
      <c r="R130" s="334"/>
      <c r="S130" s="305"/>
      <c r="T130" s="305"/>
      <c r="U130" s="305"/>
      <c r="W130" s="264">
        <f t="shared" ref="W130:AH130" si="107">SUM(W12,W13,W14,W15,W20,W21,W26,W27,W28,W29,W30,W31,W36,W39,W42,W44,W48,W50,W55,W57,W68,W100,W119,W121,W122,W123,W124,W126,W128)</f>
        <v>13585420.439999999</v>
      </c>
      <c r="X130" s="13">
        <f t="shared" si="107"/>
        <v>0</v>
      </c>
      <c r="Y130" s="258">
        <f t="shared" si="107"/>
        <v>13585420.439999999</v>
      </c>
      <c r="Z130" s="264">
        <f t="shared" si="107"/>
        <v>22845227.27</v>
      </c>
      <c r="AA130" s="13">
        <f t="shared" si="107"/>
        <v>0</v>
      </c>
      <c r="AB130" s="258">
        <f t="shared" si="107"/>
        <v>22845227.27</v>
      </c>
      <c r="AC130" s="264">
        <f t="shared" si="107"/>
        <v>7876200.7699999996</v>
      </c>
      <c r="AD130" s="13">
        <f t="shared" si="107"/>
        <v>0</v>
      </c>
      <c r="AE130" s="258">
        <f t="shared" si="107"/>
        <v>7876200.7699999996</v>
      </c>
      <c r="AF130" s="264">
        <f t="shared" si="107"/>
        <v>5913459.2300000004</v>
      </c>
      <c r="AG130" s="13">
        <f t="shared" si="107"/>
        <v>0</v>
      </c>
      <c r="AH130" s="258">
        <f t="shared" si="107"/>
        <v>5913459.2300000004</v>
      </c>
      <c r="AI130" s="278"/>
      <c r="AJ130" s="264">
        <f>W130+Z130</f>
        <v>36430647.710000001</v>
      </c>
      <c r="AK130" s="13">
        <f>X130+AA130</f>
        <v>0</v>
      </c>
      <c r="AL130" s="258">
        <f t="shared" si="64"/>
        <v>36430647.710000001</v>
      </c>
      <c r="AM130" s="264">
        <f>W130+Z130+AC130</f>
        <v>44306848.479999997</v>
      </c>
      <c r="AN130" s="13">
        <f>X130+AA130+AD130</f>
        <v>0</v>
      </c>
      <c r="AO130" s="258">
        <f t="shared" si="65"/>
        <v>44306848.479999997</v>
      </c>
      <c r="AP130" s="549">
        <f t="shared" ref="AP130:AR130" si="108">SUM(AP12,AP13,AP14,AP15,AP20,AP21,AP26,AP27,AP28,AP29,AP30,AP31,AP36,AP39,AP42,AP44,AP48,AP50,AP55,AP57,AP68,AP100,AP119,AP121,AP122,AP123,AP124,AP126,AP128)</f>
        <v>50220307.710000001</v>
      </c>
      <c r="AQ130" s="549">
        <f t="shared" si="108"/>
        <v>0</v>
      </c>
      <c r="AR130" s="258">
        <f t="shared" si="108"/>
        <v>50220307.710000001</v>
      </c>
      <c r="AS130" s="604">
        <f t="shared" si="67"/>
        <v>301851.93</v>
      </c>
      <c r="AT130" s="278">
        <f t="shared" ref="AT130:BP130" si="109">SUM(AT12,AT13,AT14,AT15,AT20,AT21,AT26,AT27,AT28,AT29,AT30,AT31,AT36,AT39,AT42,AT44,AT48,AT50,AT55,AT57,AT68,AT100,AT119,AT121,AT122,AT123,AT124,AT126,AT128)</f>
        <v>1498437</v>
      </c>
      <c r="AU130" s="278">
        <f t="shared" si="109"/>
        <v>0</v>
      </c>
      <c r="AV130" s="278">
        <f t="shared" si="109"/>
        <v>4852718.38</v>
      </c>
      <c r="AW130" s="278">
        <f t="shared" si="109"/>
        <v>0</v>
      </c>
      <c r="AX130" s="278">
        <f t="shared" si="109"/>
        <v>7234265.0599999996</v>
      </c>
      <c r="AY130" s="278">
        <f t="shared" si="109"/>
        <v>0</v>
      </c>
      <c r="AZ130" s="278">
        <f t="shared" si="109"/>
        <v>5725270.2599999998</v>
      </c>
      <c r="BA130" s="278">
        <f t="shared" si="109"/>
        <v>0</v>
      </c>
      <c r="BB130" s="278">
        <f t="shared" si="109"/>
        <v>4459231.41</v>
      </c>
      <c r="BC130" s="278">
        <f t="shared" si="109"/>
        <v>0</v>
      </c>
      <c r="BD130" s="278">
        <f t="shared" si="109"/>
        <v>12660725.6</v>
      </c>
      <c r="BE130" s="278">
        <f t="shared" si="109"/>
        <v>0</v>
      </c>
      <c r="BF130" s="278">
        <f t="shared" si="109"/>
        <v>4519128.5199999996</v>
      </c>
      <c r="BG130" s="278">
        <f t="shared" si="109"/>
        <v>0</v>
      </c>
      <c r="BH130" s="278">
        <f t="shared" si="109"/>
        <v>1896468.16</v>
      </c>
      <c r="BI130" s="278">
        <f t="shared" si="109"/>
        <v>0</v>
      </c>
      <c r="BJ130" s="278">
        <f t="shared" si="109"/>
        <v>1460604.09</v>
      </c>
      <c r="BK130" s="278">
        <f t="shared" si="109"/>
        <v>0</v>
      </c>
      <c r="BL130" s="278">
        <f t="shared" si="109"/>
        <v>1514774.59</v>
      </c>
      <c r="BM130" s="278">
        <f t="shared" si="109"/>
        <v>0</v>
      </c>
      <c r="BN130" s="278">
        <f t="shared" si="109"/>
        <v>1871025.78</v>
      </c>
      <c r="BO130" s="278">
        <f t="shared" si="109"/>
        <v>0</v>
      </c>
      <c r="BP130" s="278">
        <f t="shared" si="109"/>
        <v>2527658.86</v>
      </c>
      <c r="BQ130" s="278"/>
    </row>
    <row r="131" spans="1:69" s="31" customFormat="1" ht="15.75" hidden="1" customHeight="1">
      <c r="D131" s="209"/>
      <c r="E131" s="209"/>
      <c r="F131" s="209"/>
      <c r="G131" s="209"/>
      <c r="H131" s="209"/>
      <c r="I131" s="209" t="s">
        <v>204</v>
      </c>
      <c r="J131" s="277">
        <v>50522159.640000001</v>
      </c>
      <c r="K131" s="211"/>
      <c r="L131" s="211"/>
      <c r="M131" s="330"/>
      <c r="N131" s="211"/>
      <c r="O131" s="330"/>
      <c r="P131" s="211"/>
      <c r="Q131" s="330"/>
      <c r="R131" s="334"/>
      <c r="S131" s="7"/>
      <c r="T131" s="7"/>
      <c r="U131" s="7"/>
      <c r="W131" s="265">
        <f>AT131+AV131+AX131</f>
        <v>0</v>
      </c>
      <c r="X131" s="211">
        <f>AU131+AW131+AY131</f>
        <v>0</v>
      </c>
      <c r="Y131" s="259">
        <f t="shared" si="60"/>
        <v>0</v>
      </c>
      <c r="Z131" s="265">
        <f>AZ131+BB131+BD131</f>
        <v>0</v>
      </c>
      <c r="AA131" s="211">
        <f>BA131+BC131+BE131</f>
        <v>0</v>
      </c>
      <c r="AB131" s="259">
        <f t="shared" si="61"/>
        <v>0</v>
      </c>
      <c r="AC131" s="265">
        <f>BF131+BH131+BJ131</f>
        <v>0</v>
      </c>
      <c r="AD131" s="211">
        <f>BG131+BI131+BK131</f>
        <v>0</v>
      </c>
      <c r="AE131" s="259">
        <f t="shared" si="62"/>
        <v>0</v>
      </c>
      <c r="AF131" s="265">
        <f>BL131+BN131+BP131</f>
        <v>0</v>
      </c>
      <c r="AG131" s="211">
        <f>BM131+BO131+BQ131</f>
        <v>0</v>
      </c>
      <c r="AH131" s="259">
        <f t="shared" si="63"/>
        <v>0</v>
      </c>
      <c r="AI131" s="211"/>
      <c r="AJ131" s="265">
        <f>W131+Z131</f>
        <v>0</v>
      </c>
      <c r="AK131" s="211">
        <f>X131+AA131</f>
        <v>0</v>
      </c>
      <c r="AL131" s="259">
        <f t="shared" si="64"/>
        <v>0</v>
      </c>
      <c r="AM131" s="265">
        <f>W131+Z131+AC131</f>
        <v>0</v>
      </c>
      <c r="AN131" s="211">
        <f>X131+AA131+AD131</f>
        <v>0</v>
      </c>
      <c r="AO131" s="259">
        <f t="shared" si="65"/>
        <v>0</v>
      </c>
      <c r="AP131" s="265">
        <f>W131+Z131+AC131+AF131</f>
        <v>0</v>
      </c>
      <c r="AQ131" s="211">
        <f>X131+AA131+AD131+AG131</f>
        <v>0</v>
      </c>
      <c r="AR131" s="259">
        <f t="shared" si="66"/>
        <v>0</v>
      </c>
      <c r="AS131" s="605">
        <f t="shared" si="67"/>
        <v>50522159.640000001</v>
      </c>
      <c r="AT131" s="211"/>
      <c r="AU131" s="211"/>
      <c r="AV131" s="211"/>
      <c r="AW131" s="211"/>
      <c r="AX131" s="211"/>
      <c r="AY131" s="211"/>
      <c r="AZ131" s="211"/>
      <c r="BA131" s="211"/>
      <c r="BB131" s="211"/>
      <c r="BC131" s="211"/>
      <c r="BD131" s="211"/>
      <c r="BE131" s="211"/>
      <c r="BF131" s="211"/>
      <c r="BG131" s="211"/>
      <c r="BH131" s="211"/>
      <c r="BI131" s="211"/>
      <c r="BJ131" s="211"/>
      <c r="BK131" s="211"/>
      <c r="BL131" s="211"/>
      <c r="BM131" s="211"/>
      <c r="BN131" s="211"/>
      <c r="BO131" s="211"/>
      <c r="BP131" s="211"/>
      <c r="BQ131" s="211"/>
    </row>
    <row r="132" spans="1:69" s="31" customFormat="1" ht="15.75" hidden="1" customHeight="1">
      <c r="D132" s="209"/>
      <c r="E132" s="209"/>
      <c r="F132" s="209"/>
      <c r="G132" s="209"/>
      <c r="H132" s="209"/>
      <c r="I132" s="209" t="s">
        <v>368</v>
      </c>
      <c r="J132" s="277">
        <f>J131-J130</f>
        <v>0</v>
      </c>
      <c r="K132" s="211"/>
      <c r="L132" s="211"/>
      <c r="M132" s="330"/>
      <c r="N132" s="211"/>
      <c r="O132" s="330"/>
      <c r="P132" s="211"/>
      <c r="Q132" s="330"/>
      <c r="R132" s="334"/>
      <c r="S132" s="611" t="s">
        <v>385</v>
      </c>
      <c r="T132" s="7"/>
      <c r="U132" s="613">
        <f>W132+Z132+AC132+AF132</f>
        <v>50522159.640000001</v>
      </c>
      <c r="W132" s="612">
        <v>13660420.439999999</v>
      </c>
      <c r="X132" s="264"/>
      <c r="Y132" s="264"/>
      <c r="Z132" s="612">
        <v>22920227.27</v>
      </c>
      <c r="AA132" s="264"/>
      <c r="AB132" s="264"/>
      <c r="AC132" s="612">
        <v>7951200.7699999996</v>
      </c>
      <c r="AD132" s="264"/>
      <c r="AE132" s="264"/>
      <c r="AF132" s="612">
        <v>5990311.1600000001</v>
      </c>
      <c r="AG132" s="264"/>
      <c r="AH132" s="264"/>
      <c r="AI132" s="211"/>
      <c r="AJ132" s="265"/>
      <c r="AK132" s="211"/>
      <c r="AL132" s="259"/>
      <c r="AM132" s="265"/>
      <c r="AN132" s="211"/>
      <c r="AO132" s="259"/>
      <c r="AP132" s="265"/>
      <c r="AQ132" s="211"/>
      <c r="AR132" s="259"/>
      <c r="AS132" s="605">
        <f t="shared" si="67"/>
        <v>0</v>
      </c>
      <c r="AT132" s="211"/>
      <c r="AU132" s="211"/>
      <c r="AV132" s="211"/>
      <c r="AW132" s="211"/>
      <c r="AX132" s="211"/>
      <c r="AY132" s="211"/>
      <c r="AZ132" s="211"/>
      <c r="BA132" s="211"/>
      <c r="BB132" s="211"/>
      <c r="BC132" s="211"/>
      <c r="BD132" s="211"/>
      <c r="BE132" s="211"/>
      <c r="BF132" s="211"/>
      <c r="BG132" s="211"/>
      <c r="BH132" s="211"/>
      <c r="BI132" s="211"/>
      <c r="BJ132" s="211"/>
      <c r="BK132" s="211"/>
      <c r="BL132" s="211"/>
      <c r="BM132" s="211"/>
      <c r="BN132" s="211"/>
      <c r="BO132" s="211"/>
      <c r="BP132" s="211"/>
      <c r="BQ132" s="211"/>
    </row>
    <row r="133" spans="1:69" s="31" customFormat="1" ht="23.25" customHeight="1" thickBot="1">
      <c r="C133" s="31" t="s">
        <v>201</v>
      </c>
      <c r="D133" s="727" t="s">
        <v>18</v>
      </c>
      <c r="E133" s="715"/>
      <c r="F133" s="715"/>
      <c r="G133" s="715"/>
      <c r="H133" s="715"/>
      <c r="I133" s="715"/>
      <c r="J133" s="728"/>
      <c r="K133" s="728"/>
      <c r="L133" s="728"/>
      <c r="M133" s="331"/>
      <c r="N133" s="728"/>
      <c r="O133" s="331"/>
      <c r="P133" s="728"/>
      <c r="Q133" s="331"/>
      <c r="R133" s="334"/>
      <c r="S133" s="614"/>
      <c r="T133" s="7"/>
      <c r="U133" s="7">
        <f>W133+Z133+AC133+AF133</f>
        <v>301851.93</v>
      </c>
      <c r="V133" s="215"/>
      <c r="W133" s="267">
        <f>W132-W130</f>
        <v>75000</v>
      </c>
      <c r="X133" s="216"/>
      <c r="Y133" s="260"/>
      <c r="Z133" s="267">
        <f>Z132-Z130</f>
        <v>75000</v>
      </c>
      <c r="AA133" s="216"/>
      <c r="AB133" s="260"/>
      <c r="AC133" s="267">
        <f>AC132-AC130</f>
        <v>75000</v>
      </c>
      <c r="AD133" s="216"/>
      <c r="AE133" s="260"/>
      <c r="AF133" s="267">
        <f>AF132-AF130</f>
        <v>76851.929999999993</v>
      </c>
      <c r="AG133" s="216"/>
      <c r="AH133" s="260"/>
      <c r="AI133" s="216"/>
      <c r="AJ133" s="266"/>
      <c r="AK133" s="216"/>
      <c r="AL133" s="260"/>
      <c r="AM133" s="266"/>
      <c r="AN133" s="216"/>
      <c r="AO133" s="260"/>
      <c r="AP133" s="266">
        <v>0</v>
      </c>
      <c r="AQ133" s="216"/>
      <c r="AR133" s="260"/>
      <c r="AS133" s="606">
        <f t="shared" si="67"/>
        <v>0</v>
      </c>
      <c r="AT133" s="216"/>
      <c r="AU133" s="216"/>
      <c r="AV133" s="216"/>
      <c r="AW133" s="216"/>
      <c r="AX133" s="216"/>
      <c r="AY133" s="216"/>
      <c r="AZ133" s="216"/>
      <c r="BA133" s="216"/>
      <c r="BB133" s="216"/>
      <c r="BC133" s="216"/>
      <c r="BD133" s="216"/>
      <c r="BE133" s="216"/>
      <c r="BF133" s="216"/>
      <c r="BG133" s="216"/>
      <c r="BH133" s="216"/>
      <c r="BI133" s="216"/>
      <c r="BJ133" s="216"/>
      <c r="BK133" s="216"/>
      <c r="BL133" s="216"/>
      <c r="BM133" s="216"/>
      <c r="BN133" s="216"/>
      <c r="BO133" s="216"/>
      <c r="BP133" s="216"/>
      <c r="BQ133" s="216"/>
    </row>
    <row r="134" spans="1:69" s="86" customFormat="1" ht="31.5" customHeight="1" collapsed="1">
      <c r="A134" s="378" t="s">
        <v>377</v>
      </c>
      <c r="B134" s="359"/>
      <c r="C134" s="86" t="s">
        <v>201</v>
      </c>
      <c r="D134" s="646" t="s">
        <v>44</v>
      </c>
      <c r="E134" s="646">
        <v>5</v>
      </c>
      <c r="F134" s="646" t="s">
        <v>72</v>
      </c>
      <c r="G134" s="646">
        <v>244</v>
      </c>
      <c r="H134" s="716">
        <v>226</v>
      </c>
      <c r="I134" s="717" t="s">
        <v>15</v>
      </c>
      <c r="J134" s="13">
        <v>52833.25</v>
      </c>
      <c r="K134" s="13"/>
      <c r="L134" s="13"/>
      <c r="M134" s="674"/>
      <c r="N134" s="13">
        <v>0</v>
      </c>
      <c r="O134" s="674"/>
      <c r="P134" s="13">
        <v>0</v>
      </c>
      <c r="Q134" s="675"/>
      <c r="R134" s="334"/>
      <c r="S134" s="305"/>
      <c r="T134" s="305"/>
      <c r="U134" s="305"/>
      <c r="W134" s="367">
        <f t="shared" ref="W134:X138" si="110">AT134+AV134+AX134</f>
        <v>0</v>
      </c>
      <c r="X134" s="363">
        <f t="shared" si="110"/>
        <v>0</v>
      </c>
      <c r="Y134" s="280">
        <f t="shared" ref="Y134:Y138" si="111">W134-X134</f>
        <v>0</v>
      </c>
      <c r="Z134" s="367">
        <f t="shared" ref="Z134:AA138" si="112">AZ134+BB134+BD134</f>
        <v>0</v>
      </c>
      <c r="AA134" s="363">
        <f t="shared" si="112"/>
        <v>0</v>
      </c>
      <c r="AB134" s="280">
        <f t="shared" ref="AB134:AB138" si="113">Z134-AA134</f>
        <v>0</v>
      </c>
      <c r="AC134" s="367">
        <f t="shared" ref="AC134:AD138" si="114">BF134+BH134+BJ134</f>
        <v>0</v>
      </c>
      <c r="AD134" s="363">
        <f t="shared" si="114"/>
        <v>0</v>
      </c>
      <c r="AE134" s="280">
        <f t="shared" ref="AE134:AE138" si="115">AC134-AD134</f>
        <v>0</v>
      </c>
      <c r="AF134" s="367">
        <f t="shared" ref="AF134:AG138" si="116">BL134+BN134+BP134</f>
        <v>52833.25</v>
      </c>
      <c r="AG134" s="363">
        <f t="shared" si="116"/>
        <v>0</v>
      </c>
      <c r="AH134" s="280">
        <f t="shared" ref="AH134:AH138" si="117">AF134-AG134</f>
        <v>52833.25</v>
      </c>
      <c r="AI134" s="210"/>
      <c r="AJ134" s="367">
        <f t="shared" ref="AJ134:AK138" si="118">W134+Z134</f>
        <v>0</v>
      </c>
      <c r="AK134" s="363">
        <f t="shared" si="118"/>
        <v>0</v>
      </c>
      <c r="AL134" s="280">
        <f t="shared" ref="AL134:AL138" si="119">AJ134-AK134</f>
        <v>0</v>
      </c>
      <c r="AM134" s="367">
        <f t="shared" ref="AM134:AN138" si="120">W134+Z134+AC134</f>
        <v>0</v>
      </c>
      <c r="AN134" s="363">
        <f t="shared" si="120"/>
        <v>0</v>
      </c>
      <c r="AO134" s="280">
        <f t="shared" ref="AO134:AO138" si="121">AM134-AN134</f>
        <v>0</v>
      </c>
      <c r="AP134" s="263">
        <f t="shared" ref="AP134:AQ138" si="122">W134+Z134+AC134+AF134</f>
        <v>52833.25</v>
      </c>
      <c r="AQ134" s="10">
        <f t="shared" si="122"/>
        <v>0</v>
      </c>
      <c r="AR134" s="650">
        <f t="shared" ref="AR134:AR138" si="123">AP134-AQ134</f>
        <v>52833.25</v>
      </c>
      <c r="AS134" s="607">
        <f t="shared" si="67"/>
        <v>0</v>
      </c>
      <c r="AT134" s="263">
        <f t="shared" ref="AT134:BQ134" si="124">SUM(AT135:AT135)</f>
        <v>0</v>
      </c>
      <c r="AU134" s="363">
        <f t="shared" si="124"/>
        <v>0</v>
      </c>
      <c r="AV134" s="10">
        <f t="shared" si="124"/>
        <v>0</v>
      </c>
      <c r="AW134" s="363">
        <f t="shared" si="124"/>
        <v>0</v>
      </c>
      <c r="AX134" s="10">
        <f t="shared" si="124"/>
        <v>0</v>
      </c>
      <c r="AY134" s="369">
        <f t="shared" si="124"/>
        <v>0</v>
      </c>
      <c r="AZ134" s="263">
        <f t="shared" si="124"/>
        <v>0</v>
      </c>
      <c r="BA134" s="363">
        <f t="shared" si="124"/>
        <v>0</v>
      </c>
      <c r="BB134" s="10">
        <f t="shared" si="124"/>
        <v>0</v>
      </c>
      <c r="BC134" s="363">
        <f t="shared" si="124"/>
        <v>0</v>
      </c>
      <c r="BD134" s="10">
        <f t="shared" si="124"/>
        <v>0</v>
      </c>
      <c r="BE134" s="369">
        <f t="shared" si="124"/>
        <v>0</v>
      </c>
      <c r="BF134" s="263">
        <f t="shared" si="124"/>
        <v>0</v>
      </c>
      <c r="BG134" s="363">
        <f t="shared" si="124"/>
        <v>0</v>
      </c>
      <c r="BH134" s="10">
        <f t="shared" si="124"/>
        <v>0</v>
      </c>
      <c r="BI134" s="363">
        <f t="shared" si="124"/>
        <v>0</v>
      </c>
      <c r="BJ134" s="10">
        <f t="shared" si="124"/>
        <v>0</v>
      </c>
      <c r="BK134" s="369">
        <f t="shared" si="124"/>
        <v>0</v>
      </c>
      <c r="BL134" s="263">
        <f t="shared" si="124"/>
        <v>52833.25</v>
      </c>
      <c r="BM134" s="363">
        <f t="shared" si="124"/>
        <v>0</v>
      </c>
      <c r="BN134" s="10">
        <f t="shared" si="124"/>
        <v>0</v>
      </c>
      <c r="BO134" s="363">
        <f t="shared" si="124"/>
        <v>0</v>
      </c>
      <c r="BP134" s="10">
        <f t="shared" si="124"/>
        <v>0</v>
      </c>
      <c r="BQ134" s="280">
        <f t="shared" si="124"/>
        <v>0</v>
      </c>
    </row>
    <row r="135" spans="1:69" s="313" customFormat="1" ht="38.25" hidden="1" outlineLevel="1">
      <c r="D135" s="686" t="s">
        <v>44</v>
      </c>
      <c r="E135" s="687">
        <v>5</v>
      </c>
      <c r="F135" s="688" t="s">
        <v>72</v>
      </c>
      <c r="G135" s="688">
        <v>244</v>
      </c>
      <c r="H135" s="689">
        <v>226</v>
      </c>
      <c r="I135" s="690" t="s">
        <v>367</v>
      </c>
      <c r="J135" s="691">
        <v>52833.25</v>
      </c>
      <c r="K135" s="692"/>
      <c r="L135" s="692"/>
      <c r="M135" s="570"/>
      <c r="N135" s="693">
        <v>0</v>
      </c>
      <c r="O135" s="559"/>
      <c r="P135" s="705">
        <v>0</v>
      </c>
      <c r="Q135" s="559"/>
      <c r="R135" s="335"/>
      <c r="S135" s="320" t="s">
        <v>358</v>
      </c>
      <c r="T135" s="388" t="s">
        <v>359</v>
      </c>
      <c r="U135" s="388" t="s">
        <v>360</v>
      </c>
      <c r="W135" s="336">
        <f>AT135+AV135+AX135</f>
        <v>0</v>
      </c>
      <c r="X135" s="337">
        <f>AU135+AW135+AY135</f>
        <v>0</v>
      </c>
      <c r="Y135" s="338">
        <f>W135-X135</f>
        <v>0</v>
      </c>
      <c r="Z135" s="336">
        <f>AZ135+BB135+BD135</f>
        <v>0</v>
      </c>
      <c r="AA135" s="337">
        <f>BA135+BC135+BE135</f>
        <v>0</v>
      </c>
      <c r="AB135" s="338">
        <f>Z135-AA135</f>
        <v>0</v>
      </c>
      <c r="AC135" s="336">
        <f>BF135+BH135+BJ135</f>
        <v>0</v>
      </c>
      <c r="AD135" s="337">
        <f>BG135+BI135+BK135</f>
        <v>0</v>
      </c>
      <c r="AE135" s="338">
        <f>AC135-AD135</f>
        <v>0</v>
      </c>
      <c r="AF135" s="336">
        <f>BL135+BN135+BP135</f>
        <v>52833.25</v>
      </c>
      <c r="AG135" s="337">
        <f>BM135+BO135+BQ135</f>
        <v>0</v>
      </c>
      <c r="AH135" s="338">
        <f>AF135-AG135</f>
        <v>52833.25</v>
      </c>
      <c r="AI135" s="342"/>
      <c r="AJ135" s="336">
        <f>W135+Z135</f>
        <v>0</v>
      </c>
      <c r="AK135" s="339">
        <f>X135+AA135</f>
        <v>0</v>
      </c>
      <c r="AL135" s="340">
        <f>AJ135-AK135</f>
        <v>0</v>
      </c>
      <c r="AM135" s="336">
        <f>W135+Z135+AC135</f>
        <v>0</v>
      </c>
      <c r="AN135" s="339">
        <f>X135+AA135+AD135</f>
        <v>0</v>
      </c>
      <c r="AO135" s="340">
        <f>AM135-AN135</f>
        <v>0</v>
      </c>
      <c r="AP135" s="341">
        <f>W135+Z135+AC135+AF135</f>
        <v>52833.25</v>
      </c>
      <c r="AQ135" s="339">
        <f>X135+AA135+AD135+AG135</f>
        <v>0</v>
      </c>
      <c r="AR135" s="340">
        <f>AP135-AQ135</f>
        <v>52833.25</v>
      </c>
      <c r="AS135" s="589">
        <f t="shared" si="67"/>
        <v>0</v>
      </c>
      <c r="AT135" s="343"/>
      <c r="AU135" s="344"/>
      <c r="AV135" s="345"/>
      <c r="AW135" s="344"/>
      <c r="AX135" s="345"/>
      <c r="AY135" s="346"/>
      <c r="AZ135" s="347"/>
      <c r="BA135" s="348"/>
      <c r="BB135" s="349"/>
      <c r="BC135" s="348"/>
      <c r="BD135" s="349"/>
      <c r="BE135" s="350"/>
      <c r="BF135" s="351"/>
      <c r="BG135" s="352"/>
      <c r="BH135" s="337"/>
      <c r="BI135" s="352"/>
      <c r="BJ135" s="337"/>
      <c r="BK135" s="353"/>
      <c r="BL135" s="354">
        <v>52833.25</v>
      </c>
      <c r="BM135" s="355"/>
      <c r="BN135" s="356"/>
      <c r="BO135" s="355"/>
      <c r="BP135" s="356"/>
      <c r="BQ135" s="357"/>
    </row>
    <row r="136" spans="1:69" s="31" customFormat="1" ht="15.75">
      <c r="C136" s="31" t="s">
        <v>201</v>
      </c>
      <c r="D136" s="725"/>
      <c r="E136" s="725"/>
      <c r="F136" s="725"/>
      <c r="G136" s="725"/>
      <c r="H136" s="725"/>
      <c r="I136" s="726" t="s">
        <v>17</v>
      </c>
      <c r="J136" s="13">
        <f>SUM(J134)</f>
        <v>52833.25</v>
      </c>
      <c r="K136" s="13">
        <f>SUM(K134)</f>
        <v>0</v>
      </c>
      <c r="L136" s="13">
        <f t="shared" ref="L136:P136" si="125">SUM(L134)</f>
        <v>0</v>
      </c>
      <c r="M136" s="676">
        <f t="shared" si="125"/>
        <v>0</v>
      </c>
      <c r="N136" s="13">
        <f t="shared" si="125"/>
        <v>0</v>
      </c>
      <c r="O136" s="676">
        <f t="shared" si="125"/>
        <v>0</v>
      </c>
      <c r="P136" s="13">
        <f t="shared" si="125"/>
        <v>0</v>
      </c>
      <c r="Q136" s="669">
        <f>SUM(Q134)</f>
        <v>0</v>
      </c>
      <c r="R136" s="334"/>
      <c r="S136" s="7"/>
      <c r="T136" s="7"/>
      <c r="U136" s="7"/>
      <c r="W136" s="264">
        <f t="shared" ref="W136:AH136" si="126">SUM(W134)</f>
        <v>0</v>
      </c>
      <c r="X136" s="254">
        <f t="shared" si="126"/>
        <v>0</v>
      </c>
      <c r="Y136" s="270">
        <f t="shared" si="126"/>
        <v>0</v>
      </c>
      <c r="Z136" s="264">
        <f t="shared" si="126"/>
        <v>0</v>
      </c>
      <c r="AA136" s="254">
        <f t="shared" si="126"/>
        <v>0</v>
      </c>
      <c r="AB136" s="270">
        <f t="shared" si="126"/>
        <v>0</v>
      </c>
      <c r="AC136" s="264">
        <f t="shared" si="126"/>
        <v>0</v>
      </c>
      <c r="AD136" s="254">
        <f t="shared" si="126"/>
        <v>0</v>
      </c>
      <c r="AE136" s="270">
        <f t="shared" si="126"/>
        <v>0</v>
      </c>
      <c r="AF136" s="264">
        <f t="shared" si="126"/>
        <v>52833.25</v>
      </c>
      <c r="AG136" s="254">
        <f t="shared" si="126"/>
        <v>0</v>
      </c>
      <c r="AH136" s="270">
        <f t="shared" si="126"/>
        <v>52833.25</v>
      </c>
      <c r="AI136" s="278"/>
      <c r="AJ136" s="264">
        <f t="shared" si="118"/>
        <v>0</v>
      </c>
      <c r="AK136" s="248">
        <f t="shared" si="118"/>
        <v>0</v>
      </c>
      <c r="AL136" s="281">
        <f t="shared" si="119"/>
        <v>0</v>
      </c>
      <c r="AM136" s="264">
        <f t="shared" si="120"/>
        <v>0</v>
      </c>
      <c r="AN136" s="248">
        <f t="shared" si="120"/>
        <v>0</v>
      </c>
      <c r="AO136" s="281">
        <f t="shared" si="121"/>
        <v>0</v>
      </c>
      <c r="AP136" s="263">
        <f t="shared" si="122"/>
        <v>52833.25</v>
      </c>
      <c r="AQ136" s="13">
        <f t="shared" si="122"/>
        <v>0</v>
      </c>
      <c r="AR136" s="258">
        <f t="shared" si="123"/>
        <v>52833.25</v>
      </c>
      <c r="AS136" s="604">
        <f t="shared" si="67"/>
        <v>0</v>
      </c>
      <c r="AT136" s="278"/>
      <c r="AU136" s="278"/>
      <c r="AV136" s="278"/>
      <c r="AW136" s="278"/>
      <c r="AX136" s="278"/>
      <c r="AY136" s="278"/>
      <c r="AZ136" s="278"/>
      <c r="BA136" s="278"/>
      <c r="BB136" s="278"/>
      <c r="BC136" s="278"/>
      <c r="BD136" s="278"/>
      <c r="BE136" s="278"/>
      <c r="BF136" s="278"/>
      <c r="BG136" s="278"/>
      <c r="BH136" s="278"/>
      <c r="BI136" s="278"/>
      <c r="BJ136" s="278"/>
      <c r="BK136" s="278"/>
      <c r="BL136" s="278"/>
      <c r="BM136" s="278"/>
      <c r="BN136" s="278"/>
      <c r="BO136" s="278"/>
      <c r="BP136" s="278"/>
      <c r="BQ136" s="278"/>
    </row>
    <row r="137" spans="1:69" s="31" customFormat="1" ht="16.5" customHeight="1" thickBot="1">
      <c r="C137" s="31" t="s">
        <v>201</v>
      </c>
      <c r="D137" s="725"/>
      <c r="E137" s="725"/>
      <c r="F137" s="725"/>
      <c r="G137" s="725"/>
      <c r="H137" s="725"/>
      <c r="I137" s="726" t="s">
        <v>21</v>
      </c>
      <c r="J137" s="13">
        <f>J130+J136</f>
        <v>50574992.890000001</v>
      </c>
      <c r="K137" s="13">
        <f>K130+K136</f>
        <v>0</v>
      </c>
      <c r="L137" s="13">
        <f>L130+L136</f>
        <v>0</v>
      </c>
      <c r="M137" s="672">
        <f>M130+M136</f>
        <v>17797897.969999999</v>
      </c>
      <c r="N137" s="13">
        <f>N130+N136</f>
        <v>42206072.039999999</v>
      </c>
      <c r="O137" s="677">
        <f t="shared" ref="O137:P137" si="127">O130+O136</f>
        <v>0</v>
      </c>
      <c r="P137" s="13">
        <f t="shared" si="127"/>
        <v>41798874.439999998</v>
      </c>
      <c r="Q137" s="673">
        <f>Q130+Q136</f>
        <v>0</v>
      </c>
      <c r="R137" s="334"/>
      <c r="S137" s="7"/>
      <c r="T137" s="7"/>
      <c r="U137" s="7"/>
      <c r="W137" s="263">
        <f t="shared" ref="W137:AH137" si="128">W130+W136</f>
        <v>13585420.439999999</v>
      </c>
      <c r="X137" s="253">
        <f t="shared" si="128"/>
        <v>0</v>
      </c>
      <c r="Y137" s="269">
        <f t="shared" si="128"/>
        <v>13585420.439999999</v>
      </c>
      <c r="Z137" s="263">
        <f t="shared" si="128"/>
        <v>22845227.27</v>
      </c>
      <c r="AA137" s="253">
        <f t="shared" si="128"/>
        <v>0</v>
      </c>
      <c r="AB137" s="269">
        <f t="shared" si="128"/>
        <v>22845227.27</v>
      </c>
      <c r="AC137" s="263">
        <f t="shared" si="128"/>
        <v>7876200.7699999996</v>
      </c>
      <c r="AD137" s="253">
        <f t="shared" si="128"/>
        <v>0</v>
      </c>
      <c r="AE137" s="269">
        <f t="shared" si="128"/>
        <v>7876200.7699999996</v>
      </c>
      <c r="AF137" s="263">
        <f t="shared" si="128"/>
        <v>5966292.4800000004</v>
      </c>
      <c r="AG137" s="253">
        <f t="shared" si="128"/>
        <v>0</v>
      </c>
      <c r="AH137" s="269">
        <f t="shared" si="128"/>
        <v>5966292.4800000004</v>
      </c>
      <c r="AI137" s="210"/>
      <c r="AJ137" s="263">
        <f t="shared" si="118"/>
        <v>36430647.710000001</v>
      </c>
      <c r="AK137" s="247">
        <f t="shared" si="118"/>
        <v>0</v>
      </c>
      <c r="AL137" s="280">
        <f t="shared" si="119"/>
        <v>36430647.710000001</v>
      </c>
      <c r="AM137" s="263">
        <f t="shared" si="120"/>
        <v>44306848.479999997</v>
      </c>
      <c r="AN137" s="247">
        <f t="shared" si="120"/>
        <v>0</v>
      </c>
      <c r="AO137" s="280">
        <f t="shared" si="121"/>
        <v>44306848.479999997</v>
      </c>
      <c r="AP137" s="263">
        <f t="shared" si="122"/>
        <v>50273140.960000001</v>
      </c>
      <c r="AQ137" s="10">
        <f t="shared" si="122"/>
        <v>0</v>
      </c>
      <c r="AR137" s="650">
        <f t="shared" si="123"/>
        <v>50273140.960000001</v>
      </c>
      <c r="AS137" s="607">
        <f t="shared" si="67"/>
        <v>301851.93</v>
      </c>
      <c r="AT137" s="210"/>
      <c r="AU137" s="210"/>
      <c r="AV137" s="210"/>
      <c r="AW137" s="210"/>
      <c r="AX137" s="210"/>
      <c r="AY137" s="210"/>
      <c r="AZ137" s="210"/>
      <c r="BA137" s="210"/>
      <c r="BB137" s="210"/>
      <c r="BC137" s="210"/>
      <c r="BD137" s="210"/>
      <c r="BE137" s="210"/>
      <c r="BF137" s="210"/>
      <c r="BG137" s="210"/>
      <c r="BH137" s="210"/>
      <c r="BI137" s="210"/>
      <c r="BJ137" s="210"/>
      <c r="BK137" s="210"/>
      <c r="BL137" s="210"/>
      <c r="BM137" s="210"/>
      <c r="BN137" s="210"/>
      <c r="BO137" s="210"/>
      <c r="BP137" s="210"/>
      <c r="BQ137" s="210"/>
    </row>
    <row r="138" spans="1:69" s="31" customFormat="1" ht="16.5" customHeight="1">
      <c r="C138" s="31" t="s">
        <v>201</v>
      </c>
      <c r="D138" s="726"/>
      <c r="E138" s="726"/>
      <c r="F138" s="726"/>
      <c r="G138" s="726"/>
      <c r="H138" s="726"/>
      <c r="I138" s="729" t="s">
        <v>204</v>
      </c>
      <c r="J138" s="100">
        <v>50574992.890000001</v>
      </c>
      <c r="K138" s="13"/>
      <c r="L138" s="13"/>
      <c r="M138" s="330"/>
      <c r="N138" s="13">
        <v>42206072.039999999</v>
      </c>
      <c r="O138" s="330">
        <v>0</v>
      </c>
      <c r="P138" s="13">
        <v>41798874.439999998</v>
      </c>
      <c r="Q138" s="330"/>
      <c r="R138" s="334"/>
      <c r="S138" s="7"/>
      <c r="T138" s="7"/>
      <c r="U138" s="7"/>
      <c r="W138" s="267">
        <f t="shared" si="110"/>
        <v>0</v>
      </c>
      <c r="X138" s="256">
        <f t="shared" si="110"/>
        <v>0</v>
      </c>
      <c r="Y138" s="272">
        <f t="shared" si="111"/>
        <v>0</v>
      </c>
      <c r="Z138" s="267">
        <f t="shared" si="112"/>
        <v>0</v>
      </c>
      <c r="AA138" s="256">
        <f t="shared" si="112"/>
        <v>0</v>
      </c>
      <c r="AB138" s="272">
        <f t="shared" si="113"/>
        <v>0</v>
      </c>
      <c r="AC138" s="267">
        <f t="shared" si="114"/>
        <v>0</v>
      </c>
      <c r="AD138" s="256">
        <f t="shared" si="114"/>
        <v>0</v>
      </c>
      <c r="AE138" s="272">
        <f t="shared" si="115"/>
        <v>0</v>
      </c>
      <c r="AF138" s="267">
        <f t="shared" si="116"/>
        <v>0</v>
      </c>
      <c r="AG138" s="256">
        <f t="shared" si="116"/>
        <v>0</v>
      </c>
      <c r="AH138" s="272">
        <f t="shared" si="117"/>
        <v>0</v>
      </c>
      <c r="AI138" s="210"/>
      <c r="AJ138" s="267">
        <f t="shared" si="118"/>
        <v>0</v>
      </c>
      <c r="AK138" s="250">
        <f t="shared" si="118"/>
        <v>0</v>
      </c>
      <c r="AL138" s="283">
        <f t="shared" si="119"/>
        <v>0</v>
      </c>
      <c r="AM138" s="267">
        <f t="shared" si="120"/>
        <v>0</v>
      </c>
      <c r="AN138" s="250">
        <f t="shared" si="120"/>
        <v>0</v>
      </c>
      <c r="AO138" s="283">
        <f t="shared" si="121"/>
        <v>0</v>
      </c>
      <c r="AP138" s="267">
        <f t="shared" si="122"/>
        <v>0</v>
      </c>
      <c r="AQ138" s="210">
        <f t="shared" si="122"/>
        <v>0</v>
      </c>
      <c r="AR138" s="655">
        <f t="shared" si="123"/>
        <v>0</v>
      </c>
      <c r="AS138" s="607">
        <f t="shared" si="67"/>
        <v>50574992.890000001</v>
      </c>
      <c r="AT138" s="210"/>
      <c r="AU138" s="210"/>
      <c r="AV138" s="210"/>
      <c r="AW138" s="210"/>
      <c r="AX138" s="210"/>
      <c r="AY138" s="210"/>
      <c r="AZ138" s="210"/>
      <c r="BA138" s="210"/>
      <c r="BB138" s="210"/>
      <c r="BC138" s="210"/>
      <c r="BD138" s="210"/>
      <c r="BE138" s="210"/>
      <c r="BF138" s="210"/>
      <c r="BG138" s="210"/>
      <c r="BH138" s="210"/>
      <c r="BI138" s="210"/>
      <c r="BJ138" s="210"/>
      <c r="BK138" s="210"/>
      <c r="BL138" s="210"/>
      <c r="BM138" s="210"/>
      <c r="BN138" s="210"/>
      <c r="BO138" s="210"/>
      <c r="BP138" s="210"/>
      <c r="BQ138" s="210"/>
    </row>
    <row r="139" spans="1:69" s="31" customFormat="1" ht="16.5" hidden="1" customHeight="1">
      <c r="D139" s="310"/>
      <c r="E139" s="310"/>
      <c r="F139" s="310"/>
      <c r="G139" s="310"/>
      <c r="H139" s="310"/>
      <c r="I139" s="209" t="s">
        <v>368</v>
      </c>
      <c r="J139" s="277">
        <f>J138-J137</f>
        <v>0</v>
      </c>
      <c r="K139" s="277"/>
      <c r="L139" s="277"/>
      <c r="M139" s="277">
        <f t="shared" ref="M139:O139" si="129">M138-M137</f>
        <v>-17797897.969999999</v>
      </c>
      <c r="N139" s="277">
        <f t="shared" si="129"/>
        <v>0</v>
      </c>
      <c r="O139" s="277">
        <f t="shared" si="129"/>
        <v>0</v>
      </c>
      <c r="P139" s="277">
        <f>P138-P137</f>
        <v>0</v>
      </c>
      <c r="Q139" s="330"/>
      <c r="R139" s="334"/>
      <c r="S139" s="7"/>
      <c r="T139" s="7"/>
      <c r="U139" s="7"/>
      <c r="W139" s="267"/>
      <c r="X139" s="256"/>
      <c r="Y139" s="272"/>
      <c r="Z139" s="267"/>
      <c r="AA139" s="256"/>
      <c r="AB139" s="272"/>
      <c r="AC139" s="267"/>
      <c r="AD139" s="256"/>
      <c r="AE139" s="272"/>
      <c r="AF139" s="267"/>
      <c r="AG139" s="256"/>
      <c r="AH139" s="272"/>
      <c r="AI139" s="210"/>
      <c r="AJ139" s="267"/>
      <c r="AK139" s="250"/>
      <c r="AL139" s="283"/>
      <c r="AM139" s="267"/>
      <c r="AN139" s="250"/>
      <c r="AO139" s="283"/>
      <c r="AP139" s="267"/>
      <c r="AQ139" s="250"/>
      <c r="AR139" s="283"/>
      <c r="AS139" s="607">
        <f t="shared" si="67"/>
        <v>0</v>
      </c>
      <c r="AT139" s="210"/>
      <c r="AU139" s="210"/>
      <c r="AV139" s="210"/>
      <c r="AW139" s="210"/>
      <c r="AX139" s="210"/>
      <c r="AY139" s="210"/>
      <c r="AZ139" s="210"/>
      <c r="BA139" s="210"/>
      <c r="BB139" s="210"/>
      <c r="BC139" s="210"/>
      <c r="BD139" s="210"/>
      <c r="BE139" s="210"/>
      <c r="BF139" s="210"/>
      <c r="BG139" s="210"/>
      <c r="BH139" s="210"/>
      <c r="BI139" s="210"/>
      <c r="BJ139" s="210"/>
      <c r="BK139" s="210"/>
      <c r="BL139" s="210"/>
      <c r="BM139" s="210"/>
      <c r="BN139" s="210"/>
      <c r="BO139" s="210"/>
      <c r="BP139" s="210"/>
      <c r="BQ139" s="210"/>
    </row>
    <row r="140" spans="1:69" s="31" customFormat="1" ht="21" thickBot="1">
      <c r="C140" s="31" t="s">
        <v>201</v>
      </c>
      <c r="D140" s="727" t="s">
        <v>22</v>
      </c>
      <c r="E140" s="715"/>
      <c r="F140" s="715"/>
      <c r="G140" s="715"/>
      <c r="H140" s="715"/>
      <c r="I140" s="715"/>
      <c r="J140" s="728"/>
      <c r="K140" s="728"/>
      <c r="L140" s="728"/>
      <c r="M140" s="331"/>
      <c r="N140" s="728"/>
      <c r="O140" s="331"/>
      <c r="P140" s="728"/>
      <c r="Q140" s="331"/>
      <c r="R140" s="334"/>
      <c r="S140" s="7"/>
      <c r="T140" s="7"/>
      <c r="U140" s="7"/>
      <c r="W140" s="266"/>
      <c r="X140" s="255"/>
      <c r="Y140" s="271"/>
      <c r="Z140" s="266"/>
      <c r="AA140" s="255"/>
      <c r="AB140" s="271"/>
      <c r="AC140" s="266"/>
      <c r="AD140" s="255"/>
      <c r="AE140" s="271"/>
      <c r="AF140" s="266"/>
      <c r="AG140" s="255"/>
      <c r="AH140" s="271"/>
      <c r="AI140" s="216"/>
      <c r="AJ140" s="266"/>
      <c r="AK140" s="249"/>
      <c r="AL140" s="282"/>
      <c r="AM140" s="266"/>
      <c r="AN140" s="249"/>
      <c r="AO140" s="282">
        <f t="shared" ref="AO140:AO192" si="130">AM140-AN140</f>
        <v>0</v>
      </c>
      <c r="AP140" s="266">
        <f t="shared" ref="AP140:AQ160" si="131">W140+Z140+AC140+AF140</f>
        <v>0</v>
      </c>
      <c r="AQ140" s="216">
        <f t="shared" si="131"/>
        <v>0</v>
      </c>
      <c r="AR140" s="260">
        <f t="shared" ref="AR140:AR192" si="132">AP140-AQ140</f>
        <v>0</v>
      </c>
      <c r="AS140" s="606">
        <f t="shared" ref="AS140:AS161" si="133">J140-AP140</f>
        <v>0</v>
      </c>
      <c r="AT140" s="216"/>
      <c r="AU140" s="216"/>
      <c r="AV140" s="216"/>
      <c r="AW140" s="216"/>
      <c r="AX140" s="216"/>
      <c r="AY140" s="216"/>
      <c r="AZ140" s="216"/>
      <c r="BA140" s="216"/>
      <c r="BB140" s="216"/>
      <c r="BC140" s="216"/>
      <c r="BD140" s="216"/>
      <c r="BE140" s="216"/>
      <c r="BF140" s="216"/>
      <c r="BG140" s="216"/>
      <c r="BH140" s="216"/>
      <c r="BI140" s="216"/>
      <c r="BJ140" s="216"/>
      <c r="BK140" s="216"/>
      <c r="BL140" s="216"/>
      <c r="BM140" s="216"/>
      <c r="BN140" s="216"/>
      <c r="BO140" s="216"/>
      <c r="BP140" s="216"/>
      <c r="BQ140" s="216"/>
    </row>
    <row r="141" spans="1:69" s="86" customFormat="1" ht="31.5">
      <c r="A141" s="512"/>
      <c r="B141" s="513"/>
      <c r="C141" s="86" t="s">
        <v>201</v>
      </c>
      <c r="D141" s="646" t="s">
        <v>23</v>
      </c>
      <c r="E141" s="646">
        <v>2</v>
      </c>
      <c r="F141" s="646" t="s">
        <v>69</v>
      </c>
      <c r="G141" s="646">
        <v>111</v>
      </c>
      <c r="H141" s="716">
        <v>211</v>
      </c>
      <c r="I141" s="717" t="s">
        <v>8</v>
      </c>
      <c r="J141" s="13">
        <v>4950667.96</v>
      </c>
      <c r="K141" s="13"/>
      <c r="L141" s="13"/>
      <c r="M141" s="678"/>
      <c r="N141" s="13">
        <v>4950667.96</v>
      </c>
      <c r="O141" s="678"/>
      <c r="P141" s="13">
        <v>4950667.96</v>
      </c>
      <c r="Q141" s="679"/>
      <c r="R141" s="334"/>
      <c r="S141" s="305"/>
      <c r="T141" s="305"/>
      <c r="U141" s="305"/>
      <c r="W141" s="518">
        <f t="shared" ref="W141:X160" si="134">AT141+AV141+AX141</f>
        <v>4950667.96</v>
      </c>
      <c r="X141" s="251">
        <f t="shared" si="134"/>
        <v>0</v>
      </c>
      <c r="Y141" s="519">
        <f t="shared" ref="Y141:Y190" si="135">W141-X141</f>
        <v>4950667.96</v>
      </c>
      <c r="Z141" s="518">
        <f t="shared" ref="Z141:AA160" si="136">AZ141+BB141+BD141</f>
        <v>0</v>
      </c>
      <c r="AA141" s="251">
        <f t="shared" si="136"/>
        <v>0</v>
      </c>
      <c r="AB141" s="519">
        <f t="shared" ref="AB141:AB190" si="137">Z141-AA141</f>
        <v>0</v>
      </c>
      <c r="AC141" s="518">
        <f t="shared" ref="AC141:AD160" si="138">BF141+BH141+BJ141</f>
        <v>0</v>
      </c>
      <c r="AD141" s="251">
        <f t="shared" si="138"/>
        <v>0</v>
      </c>
      <c r="AE141" s="519">
        <f t="shared" ref="AE141:AE190" si="139">AC141-AD141</f>
        <v>0</v>
      </c>
      <c r="AF141" s="518">
        <f t="shared" ref="AF141:AG160" si="140">BL141+BN141+BP141</f>
        <v>0</v>
      </c>
      <c r="AG141" s="251">
        <f t="shared" si="140"/>
        <v>0</v>
      </c>
      <c r="AH141" s="519">
        <f t="shared" ref="AH141:AH190" si="141">AF141-AG141</f>
        <v>0</v>
      </c>
      <c r="AI141" s="210"/>
      <c r="AJ141" s="518">
        <f t="shared" ref="AJ141:AK160" si="142">W141+Z141</f>
        <v>4950667.96</v>
      </c>
      <c r="AK141" s="251">
        <f t="shared" si="142"/>
        <v>0</v>
      </c>
      <c r="AL141" s="519">
        <f t="shared" ref="AL141:AL192" si="143">AJ141-AK141</f>
        <v>4950667.96</v>
      </c>
      <c r="AM141" s="518">
        <f t="shared" ref="AM141:AN160" si="144">W141+Z141+AC141</f>
        <v>4950667.96</v>
      </c>
      <c r="AN141" s="251">
        <f t="shared" si="144"/>
        <v>0</v>
      </c>
      <c r="AO141" s="519">
        <f t="shared" si="130"/>
        <v>4950667.96</v>
      </c>
      <c r="AP141" s="263">
        <f>W141+Z141+AC141+AF141</f>
        <v>4950667.96</v>
      </c>
      <c r="AQ141" s="10">
        <f t="shared" si="131"/>
        <v>0</v>
      </c>
      <c r="AR141" s="650">
        <f t="shared" si="132"/>
        <v>4950667.96</v>
      </c>
      <c r="AS141" s="607">
        <f t="shared" si="133"/>
        <v>0</v>
      </c>
      <c r="AT141" s="263">
        <v>4950667.96</v>
      </c>
      <c r="AU141" s="251"/>
      <c r="AV141" s="10"/>
      <c r="AW141" s="251"/>
      <c r="AX141" s="10"/>
      <c r="AY141" s="301"/>
      <c r="AZ141" s="263"/>
      <c r="BA141" s="251"/>
      <c r="BB141" s="10"/>
      <c r="BC141" s="251"/>
      <c r="BD141" s="10"/>
      <c r="BE141" s="301"/>
      <c r="BF141" s="263"/>
      <c r="BG141" s="251"/>
      <c r="BH141" s="10"/>
      <c r="BI141" s="251"/>
      <c r="BJ141" s="10"/>
      <c r="BK141" s="301"/>
      <c r="BL141" s="263"/>
      <c r="BM141" s="251"/>
      <c r="BN141" s="10"/>
      <c r="BO141" s="251"/>
      <c r="BP141" s="10"/>
      <c r="BQ141" s="519"/>
    </row>
    <row r="142" spans="1:69" s="86" customFormat="1" ht="94.5" customHeight="1" collapsed="1">
      <c r="A142" s="378" t="s">
        <v>377</v>
      </c>
      <c r="B142" s="359"/>
      <c r="C142" s="86" t="s">
        <v>201</v>
      </c>
      <c r="D142" s="646" t="s">
        <v>23</v>
      </c>
      <c r="E142" s="646">
        <v>2</v>
      </c>
      <c r="F142" s="646" t="s">
        <v>71</v>
      </c>
      <c r="G142" s="646">
        <v>111</v>
      </c>
      <c r="H142" s="716">
        <v>211</v>
      </c>
      <c r="I142" s="717" t="s">
        <v>413</v>
      </c>
      <c r="J142" s="13">
        <f>J143</f>
        <v>4000</v>
      </c>
      <c r="K142" s="13"/>
      <c r="L142" s="13"/>
      <c r="M142" s="661"/>
      <c r="N142" s="13">
        <f>N143</f>
        <v>1000</v>
      </c>
      <c r="O142" s="661"/>
      <c r="P142" s="13">
        <f>P143</f>
        <v>0</v>
      </c>
      <c r="Q142" s="665"/>
      <c r="R142" s="334"/>
      <c r="S142" s="305"/>
      <c r="T142" s="305"/>
      <c r="U142" s="305"/>
      <c r="W142" s="367">
        <f t="shared" si="134"/>
        <v>1000</v>
      </c>
      <c r="X142" s="363">
        <f t="shared" si="134"/>
        <v>0</v>
      </c>
      <c r="Y142" s="280">
        <f t="shared" si="135"/>
        <v>1000</v>
      </c>
      <c r="Z142" s="367">
        <f t="shared" si="136"/>
        <v>1000</v>
      </c>
      <c r="AA142" s="363">
        <f t="shared" si="136"/>
        <v>0</v>
      </c>
      <c r="AB142" s="280">
        <f t="shared" si="137"/>
        <v>1000</v>
      </c>
      <c r="AC142" s="367">
        <f t="shared" si="138"/>
        <v>1000</v>
      </c>
      <c r="AD142" s="363">
        <f t="shared" si="138"/>
        <v>0</v>
      </c>
      <c r="AE142" s="280">
        <f t="shared" si="139"/>
        <v>1000</v>
      </c>
      <c r="AF142" s="367">
        <f t="shared" si="140"/>
        <v>1000</v>
      </c>
      <c r="AG142" s="363">
        <f t="shared" si="140"/>
        <v>0</v>
      </c>
      <c r="AH142" s="280">
        <f t="shared" si="141"/>
        <v>1000</v>
      </c>
      <c r="AI142" s="210"/>
      <c r="AJ142" s="367">
        <f t="shared" si="142"/>
        <v>2000</v>
      </c>
      <c r="AK142" s="363">
        <f t="shared" si="142"/>
        <v>0</v>
      </c>
      <c r="AL142" s="280">
        <f t="shared" si="143"/>
        <v>2000</v>
      </c>
      <c r="AM142" s="367">
        <f t="shared" si="144"/>
        <v>3000</v>
      </c>
      <c r="AN142" s="363">
        <f t="shared" si="144"/>
        <v>0</v>
      </c>
      <c r="AO142" s="280">
        <f t="shared" si="130"/>
        <v>3000</v>
      </c>
      <c r="AP142" s="263">
        <f>W142+Z142+AC142+AF142</f>
        <v>4000</v>
      </c>
      <c r="AQ142" s="10">
        <f t="shared" si="131"/>
        <v>0</v>
      </c>
      <c r="AR142" s="650">
        <f t="shared" si="132"/>
        <v>4000</v>
      </c>
      <c r="AS142" s="607">
        <f t="shared" si="133"/>
        <v>0</v>
      </c>
      <c r="AT142" s="263">
        <f>AT143</f>
        <v>1000</v>
      </c>
      <c r="AU142" s="367">
        <f t="shared" ref="AU142:BQ142" si="145">AU143</f>
        <v>0</v>
      </c>
      <c r="AV142" s="263">
        <f t="shared" si="145"/>
        <v>0</v>
      </c>
      <c r="AW142" s="367">
        <f t="shared" si="145"/>
        <v>0</v>
      </c>
      <c r="AX142" s="263">
        <f t="shared" si="145"/>
        <v>0</v>
      </c>
      <c r="AY142" s="367">
        <f t="shared" si="145"/>
        <v>0</v>
      </c>
      <c r="AZ142" s="263">
        <f t="shared" si="145"/>
        <v>1000</v>
      </c>
      <c r="BA142" s="367">
        <f t="shared" si="145"/>
        <v>0</v>
      </c>
      <c r="BB142" s="263">
        <f t="shared" si="145"/>
        <v>0</v>
      </c>
      <c r="BC142" s="367">
        <f t="shared" si="145"/>
        <v>0</v>
      </c>
      <c r="BD142" s="263">
        <f t="shared" si="145"/>
        <v>0</v>
      </c>
      <c r="BE142" s="367">
        <f t="shared" si="145"/>
        <v>0</v>
      </c>
      <c r="BF142" s="263">
        <f t="shared" si="145"/>
        <v>1000</v>
      </c>
      <c r="BG142" s="367">
        <f t="shared" si="145"/>
        <v>0</v>
      </c>
      <c r="BH142" s="263">
        <f t="shared" si="145"/>
        <v>0</v>
      </c>
      <c r="BI142" s="367">
        <f t="shared" si="145"/>
        <v>0</v>
      </c>
      <c r="BJ142" s="263">
        <f t="shared" si="145"/>
        <v>0</v>
      </c>
      <c r="BK142" s="367">
        <f t="shared" si="145"/>
        <v>0</v>
      </c>
      <c r="BL142" s="263">
        <f t="shared" si="145"/>
        <v>1000</v>
      </c>
      <c r="BM142" s="367">
        <f t="shared" si="145"/>
        <v>0</v>
      </c>
      <c r="BN142" s="263">
        <f t="shared" si="145"/>
        <v>0</v>
      </c>
      <c r="BO142" s="367">
        <f t="shared" si="145"/>
        <v>0</v>
      </c>
      <c r="BP142" s="263">
        <f t="shared" si="145"/>
        <v>0</v>
      </c>
      <c r="BQ142" s="367">
        <f t="shared" si="145"/>
        <v>0</v>
      </c>
    </row>
    <row r="143" spans="1:69" s="313" customFormat="1" ht="38.25" hidden="1" outlineLevel="1">
      <c r="D143" s="686" t="s">
        <v>23</v>
      </c>
      <c r="E143" s="687">
        <v>2</v>
      </c>
      <c r="F143" s="688" t="s">
        <v>71</v>
      </c>
      <c r="G143" s="688">
        <v>111</v>
      </c>
      <c r="H143" s="689">
        <v>211</v>
      </c>
      <c r="I143" s="690" t="s">
        <v>322</v>
      </c>
      <c r="J143" s="691">
        <f>1000*4</f>
        <v>4000</v>
      </c>
      <c r="K143" s="692"/>
      <c r="L143" s="692"/>
      <c r="M143" s="570"/>
      <c r="N143" s="691">
        <v>1000</v>
      </c>
      <c r="O143" s="559"/>
      <c r="P143" s="706">
        <v>0</v>
      </c>
      <c r="Q143" s="559"/>
      <c r="R143" s="335"/>
      <c r="S143" s="320"/>
      <c r="T143" s="320"/>
      <c r="U143" s="320"/>
      <c r="W143" s="336">
        <f t="shared" si="134"/>
        <v>1000</v>
      </c>
      <c r="X143" s="337">
        <f t="shared" si="134"/>
        <v>0</v>
      </c>
      <c r="Y143" s="338">
        <f t="shared" si="135"/>
        <v>1000</v>
      </c>
      <c r="Z143" s="336">
        <f t="shared" si="136"/>
        <v>1000</v>
      </c>
      <c r="AA143" s="337">
        <f t="shared" si="136"/>
        <v>0</v>
      </c>
      <c r="AB143" s="338">
        <f t="shared" si="137"/>
        <v>1000</v>
      </c>
      <c r="AC143" s="336">
        <f t="shared" si="138"/>
        <v>1000</v>
      </c>
      <c r="AD143" s="337">
        <f t="shared" si="138"/>
        <v>0</v>
      </c>
      <c r="AE143" s="338">
        <f t="shared" si="139"/>
        <v>1000</v>
      </c>
      <c r="AF143" s="336">
        <f t="shared" si="140"/>
        <v>1000</v>
      </c>
      <c r="AG143" s="337">
        <f t="shared" si="140"/>
        <v>0</v>
      </c>
      <c r="AH143" s="338">
        <f t="shared" si="141"/>
        <v>1000</v>
      </c>
      <c r="AI143" s="342"/>
      <c r="AJ143" s="336">
        <f t="shared" si="142"/>
        <v>2000</v>
      </c>
      <c r="AK143" s="339">
        <f t="shared" si="142"/>
        <v>0</v>
      </c>
      <c r="AL143" s="340">
        <f t="shared" si="143"/>
        <v>2000</v>
      </c>
      <c r="AM143" s="336">
        <f t="shared" si="144"/>
        <v>3000</v>
      </c>
      <c r="AN143" s="339">
        <f t="shared" si="144"/>
        <v>0</v>
      </c>
      <c r="AO143" s="340">
        <f t="shared" si="130"/>
        <v>3000</v>
      </c>
      <c r="AP143" s="341">
        <f t="shared" si="131"/>
        <v>4000</v>
      </c>
      <c r="AQ143" s="339">
        <f t="shared" si="131"/>
        <v>0</v>
      </c>
      <c r="AR143" s="340">
        <f t="shared" si="132"/>
        <v>4000</v>
      </c>
      <c r="AS143" s="589">
        <f t="shared" si="133"/>
        <v>0</v>
      </c>
      <c r="AT143" s="343">
        <v>1000</v>
      </c>
      <c r="AU143" s="344"/>
      <c r="AV143" s="345"/>
      <c r="AW143" s="344"/>
      <c r="AX143" s="345"/>
      <c r="AY143" s="346"/>
      <c r="AZ143" s="347">
        <v>1000</v>
      </c>
      <c r="BA143" s="348"/>
      <c r="BB143" s="349"/>
      <c r="BC143" s="348"/>
      <c r="BD143" s="349"/>
      <c r="BE143" s="350"/>
      <c r="BF143" s="351">
        <v>1000</v>
      </c>
      <c r="BG143" s="352"/>
      <c r="BH143" s="337"/>
      <c r="BI143" s="352"/>
      <c r="BJ143" s="337"/>
      <c r="BK143" s="353"/>
      <c r="BL143" s="354">
        <v>1000</v>
      </c>
      <c r="BM143" s="355"/>
      <c r="BN143" s="356"/>
      <c r="BO143" s="355"/>
      <c r="BP143" s="356"/>
      <c r="BQ143" s="357"/>
    </row>
    <row r="144" spans="1:69" s="86" customFormat="1" ht="31.5">
      <c r="A144" s="358"/>
      <c r="B144" s="359"/>
      <c r="C144" s="86" t="s">
        <v>201</v>
      </c>
      <c r="D144" s="646" t="s">
        <v>23</v>
      </c>
      <c r="E144" s="646">
        <v>2</v>
      </c>
      <c r="F144" s="646" t="s">
        <v>69</v>
      </c>
      <c r="G144" s="646">
        <v>119</v>
      </c>
      <c r="H144" s="716">
        <v>213</v>
      </c>
      <c r="I144" s="717" t="s">
        <v>10</v>
      </c>
      <c r="J144" s="13">
        <v>1484134.59</v>
      </c>
      <c r="K144" s="13"/>
      <c r="L144" s="13"/>
      <c r="M144" s="680"/>
      <c r="N144" s="13">
        <v>1484134.59</v>
      </c>
      <c r="O144" s="680"/>
      <c r="P144" s="13">
        <v>1484134.59</v>
      </c>
      <c r="Q144" s="665"/>
      <c r="R144" s="334"/>
      <c r="S144" s="305"/>
      <c r="T144" s="305"/>
      <c r="U144" s="305"/>
      <c r="W144" s="367">
        <f>AT144+AV144+AX144</f>
        <v>1484134.59</v>
      </c>
      <c r="X144" s="363">
        <f>AU144+AW144+AY144</f>
        <v>0</v>
      </c>
      <c r="Y144" s="280">
        <f>W144-X144</f>
        <v>1484134.59</v>
      </c>
      <c r="Z144" s="367">
        <f>AZ144+BB144+BD144</f>
        <v>0</v>
      </c>
      <c r="AA144" s="363">
        <f>BA144+BC144+BE144</f>
        <v>0</v>
      </c>
      <c r="AB144" s="280">
        <f>Z144-AA144</f>
        <v>0</v>
      </c>
      <c r="AC144" s="367">
        <f>BF144+BH144+BJ144</f>
        <v>0</v>
      </c>
      <c r="AD144" s="363">
        <f>BG144+BI144+BK144</f>
        <v>0</v>
      </c>
      <c r="AE144" s="280">
        <f>AC144-AD144</f>
        <v>0</v>
      </c>
      <c r="AF144" s="367">
        <f>BL144+BN144+BP144</f>
        <v>0</v>
      </c>
      <c r="AG144" s="363">
        <f>BM144+BO144+BQ144</f>
        <v>0</v>
      </c>
      <c r="AH144" s="280">
        <f>AF144-AG144</f>
        <v>0</v>
      </c>
      <c r="AI144" s="210"/>
      <c r="AJ144" s="367">
        <f>W144+Z144</f>
        <v>1484134.59</v>
      </c>
      <c r="AK144" s="363">
        <f>X144+AA144</f>
        <v>0</v>
      </c>
      <c r="AL144" s="280">
        <f>AJ144-AK144</f>
        <v>1484134.59</v>
      </c>
      <c r="AM144" s="367">
        <f>W144+Z144+AC144</f>
        <v>1484134.59</v>
      </c>
      <c r="AN144" s="363">
        <f>X144+AA144+AD144</f>
        <v>0</v>
      </c>
      <c r="AO144" s="280">
        <f>AM144-AN144</f>
        <v>1484134.59</v>
      </c>
      <c r="AP144" s="263">
        <f>W144+Z144+AC144+AF144</f>
        <v>1484134.59</v>
      </c>
      <c r="AQ144" s="10">
        <f>X144+AA144+AD144+AG144</f>
        <v>0</v>
      </c>
      <c r="AR144" s="650">
        <f>AP144-AQ144</f>
        <v>1484134.59</v>
      </c>
      <c r="AS144" s="607">
        <f t="shared" si="133"/>
        <v>0</v>
      </c>
      <c r="AT144" s="263">
        <v>1484134.59</v>
      </c>
      <c r="AU144" s="363"/>
      <c r="AV144" s="10"/>
      <c r="AW144" s="363"/>
      <c r="AX144" s="10"/>
      <c r="AY144" s="369"/>
      <c r="AZ144" s="263"/>
      <c r="BA144" s="363"/>
      <c r="BB144" s="10"/>
      <c r="BC144" s="363"/>
      <c r="BD144" s="10"/>
      <c r="BE144" s="369"/>
      <c r="BF144" s="263"/>
      <c r="BG144" s="363"/>
      <c r="BH144" s="10"/>
      <c r="BI144" s="363"/>
      <c r="BJ144" s="10"/>
      <c r="BK144" s="369"/>
      <c r="BL144" s="263"/>
      <c r="BM144" s="363"/>
      <c r="BN144" s="10"/>
      <c r="BO144" s="363"/>
      <c r="BP144" s="10"/>
      <c r="BQ144" s="280"/>
    </row>
    <row r="145" spans="1:69" s="86" customFormat="1" ht="63">
      <c r="A145" s="358"/>
      <c r="B145" s="359"/>
      <c r="C145" s="86" t="s">
        <v>201</v>
      </c>
      <c r="D145" s="646" t="s">
        <v>23</v>
      </c>
      <c r="E145" s="646">
        <v>2</v>
      </c>
      <c r="F145" s="646" t="s">
        <v>71</v>
      </c>
      <c r="G145" s="646">
        <v>111</v>
      </c>
      <c r="H145" s="716">
        <v>266</v>
      </c>
      <c r="I145" s="717" t="s">
        <v>43</v>
      </c>
      <c r="J145" s="13">
        <v>0</v>
      </c>
      <c r="K145" s="13"/>
      <c r="L145" s="13"/>
      <c r="M145" s="661"/>
      <c r="N145" s="13">
        <v>0</v>
      </c>
      <c r="O145" s="661"/>
      <c r="P145" s="13">
        <v>0</v>
      </c>
      <c r="Q145" s="665"/>
      <c r="R145" s="334"/>
      <c r="S145" s="305"/>
      <c r="T145" s="305"/>
      <c r="U145" s="305"/>
      <c r="W145" s="367">
        <f t="shared" si="134"/>
        <v>0</v>
      </c>
      <c r="X145" s="363">
        <f t="shared" si="134"/>
        <v>0</v>
      </c>
      <c r="Y145" s="280">
        <f t="shared" si="135"/>
        <v>0</v>
      </c>
      <c r="Z145" s="367">
        <f t="shared" si="136"/>
        <v>0</v>
      </c>
      <c r="AA145" s="363">
        <f t="shared" si="136"/>
        <v>0</v>
      </c>
      <c r="AB145" s="280">
        <f t="shared" si="137"/>
        <v>0</v>
      </c>
      <c r="AC145" s="367">
        <f t="shared" si="138"/>
        <v>0</v>
      </c>
      <c r="AD145" s="363">
        <f t="shared" si="138"/>
        <v>0</v>
      </c>
      <c r="AE145" s="280">
        <f t="shared" si="139"/>
        <v>0</v>
      </c>
      <c r="AF145" s="367">
        <f t="shared" si="140"/>
        <v>0</v>
      </c>
      <c r="AG145" s="363">
        <f t="shared" si="140"/>
        <v>0</v>
      </c>
      <c r="AH145" s="280">
        <f t="shared" si="141"/>
        <v>0</v>
      </c>
      <c r="AI145" s="210"/>
      <c r="AJ145" s="367">
        <f t="shared" si="142"/>
        <v>0</v>
      </c>
      <c r="AK145" s="363">
        <f t="shared" si="142"/>
        <v>0</v>
      </c>
      <c r="AL145" s="280">
        <f t="shared" si="143"/>
        <v>0</v>
      </c>
      <c r="AM145" s="367">
        <f t="shared" si="144"/>
        <v>0</v>
      </c>
      <c r="AN145" s="363">
        <f t="shared" si="144"/>
        <v>0</v>
      </c>
      <c r="AO145" s="280">
        <f t="shared" si="130"/>
        <v>0</v>
      </c>
      <c r="AP145" s="263">
        <f t="shared" si="131"/>
        <v>0</v>
      </c>
      <c r="AQ145" s="10">
        <f t="shared" si="131"/>
        <v>0</v>
      </c>
      <c r="AR145" s="650">
        <f t="shared" si="132"/>
        <v>0</v>
      </c>
      <c r="AS145" s="607">
        <f t="shared" si="133"/>
        <v>0</v>
      </c>
      <c r="AT145" s="263"/>
      <c r="AU145" s="363"/>
      <c r="AV145" s="10"/>
      <c r="AW145" s="363"/>
      <c r="AX145" s="10"/>
      <c r="AY145" s="369"/>
      <c r="AZ145" s="263"/>
      <c r="BA145" s="363"/>
      <c r="BB145" s="10"/>
      <c r="BC145" s="363"/>
      <c r="BD145" s="10"/>
      <c r="BE145" s="369"/>
      <c r="BF145" s="263"/>
      <c r="BG145" s="363"/>
      <c r="BH145" s="10"/>
      <c r="BI145" s="363"/>
      <c r="BJ145" s="10"/>
      <c r="BK145" s="369"/>
      <c r="BL145" s="263"/>
      <c r="BM145" s="363"/>
      <c r="BN145" s="10"/>
      <c r="BO145" s="363"/>
      <c r="BP145" s="10"/>
      <c r="BQ145" s="280"/>
    </row>
    <row r="146" spans="1:69" s="86" customFormat="1" ht="47.25">
      <c r="A146" s="358"/>
      <c r="B146" s="359"/>
      <c r="C146" s="86" t="s">
        <v>201</v>
      </c>
      <c r="D146" s="646" t="s">
        <v>23</v>
      </c>
      <c r="E146" s="646">
        <v>2</v>
      </c>
      <c r="F146" s="646" t="s">
        <v>71</v>
      </c>
      <c r="G146" s="646">
        <v>112</v>
      </c>
      <c r="H146" s="716">
        <v>266</v>
      </c>
      <c r="I146" s="717" t="s">
        <v>220</v>
      </c>
      <c r="J146" s="13">
        <v>1020</v>
      </c>
      <c r="K146" s="13"/>
      <c r="L146" s="13"/>
      <c r="M146" s="661"/>
      <c r="N146" s="13">
        <v>425</v>
      </c>
      <c r="O146" s="661"/>
      <c r="P146" s="13">
        <v>0</v>
      </c>
      <c r="Q146" s="665"/>
      <c r="R146" s="334"/>
      <c r="S146" s="305"/>
      <c r="T146" s="305"/>
      <c r="U146" s="305"/>
      <c r="W146" s="367">
        <f t="shared" si="134"/>
        <v>170</v>
      </c>
      <c r="X146" s="363">
        <f t="shared" si="134"/>
        <v>0</v>
      </c>
      <c r="Y146" s="280">
        <f t="shared" si="135"/>
        <v>170</v>
      </c>
      <c r="Z146" s="367">
        <f t="shared" si="136"/>
        <v>255</v>
      </c>
      <c r="AA146" s="363">
        <f t="shared" si="136"/>
        <v>0</v>
      </c>
      <c r="AB146" s="280">
        <f t="shared" si="137"/>
        <v>255</v>
      </c>
      <c r="AC146" s="367">
        <f t="shared" si="138"/>
        <v>255</v>
      </c>
      <c r="AD146" s="363">
        <f t="shared" si="138"/>
        <v>0</v>
      </c>
      <c r="AE146" s="280">
        <f t="shared" si="139"/>
        <v>255</v>
      </c>
      <c r="AF146" s="367">
        <f t="shared" si="140"/>
        <v>340</v>
      </c>
      <c r="AG146" s="363">
        <f t="shared" si="140"/>
        <v>0</v>
      </c>
      <c r="AH146" s="280">
        <f t="shared" si="141"/>
        <v>340</v>
      </c>
      <c r="AI146" s="210"/>
      <c r="AJ146" s="367">
        <f t="shared" si="142"/>
        <v>425</v>
      </c>
      <c r="AK146" s="363">
        <f t="shared" si="142"/>
        <v>0</v>
      </c>
      <c r="AL146" s="280">
        <f t="shared" si="143"/>
        <v>425</v>
      </c>
      <c r="AM146" s="367">
        <f t="shared" si="144"/>
        <v>680</v>
      </c>
      <c r="AN146" s="363">
        <f t="shared" si="144"/>
        <v>0</v>
      </c>
      <c r="AO146" s="280">
        <f t="shared" si="130"/>
        <v>680</v>
      </c>
      <c r="AP146" s="263">
        <f t="shared" si="131"/>
        <v>1020</v>
      </c>
      <c r="AQ146" s="10">
        <f t="shared" si="131"/>
        <v>0</v>
      </c>
      <c r="AR146" s="650">
        <f t="shared" si="132"/>
        <v>1020</v>
      </c>
      <c r="AS146" s="607">
        <f t="shared" si="133"/>
        <v>0</v>
      </c>
      <c r="AT146" s="263"/>
      <c r="AU146" s="363"/>
      <c r="AV146" s="10">
        <v>85</v>
      </c>
      <c r="AW146" s="363"/>
      <c r="AX146" s="10">
        <v>85</v>
      </c>
      <c r="AY146" s="369"/>
      <c r="AZ146" s="263">
        <v>85</v>
      </c>
      <c r="BA146" s="363"/>
      <c r="BB146" s="10">
        <v>85</v>
      </c>
      <c r="BC146" s="363"/>
      <c r="BD146" s="10">
        <v>85</v>
      </c>
      <c r="BE146" s="369"/>
      <c r="BF146" s="263">
        <v>85</v>
      </c>
      <c r="BG146" s="363"/>
      <c r="BH146" s="10">
        <v>85</v>
      </c>
      <c r="BI146" s="363"/>
      <c r="BJ146" s="10">
        <v>85</v>
      </c>
      <c r="BK146" s="369"/>
      <c r="BL146" s="263">
        <v>85</v>
      </c>
      <c r="BM146" s="363"/>
      <c r="BN146" s="10">
        <v>85</v>
      </c>
      <c r="BO146" s="363"/>
      <c r="BP146" s="10">
        <f>85*2</f>
        <v>170</v>
      </c>
      <c r="BQ146" s="280"/>
    </row>
    <row r="147" spans="1:69" s="86" customFormat="1" ht="31.5">
      <c r="A147" s="358"/>
      <c r="B147" s="359"/>
      <c r="C147" s="86" t="s">
        <v>201</v>
      </c>
      <c r="D147" s="646" t="s">
        <v>23</v>
      </c>
      <c r="E147" s="646">
        <v>2</v>
      </c>
      <c r="F147" s="646" t="s">
        <v>71</v>
      </c>
      <c r="G147" s="646">
        <v>112</v>
      </c>
      <c r="H147" s="716">
        <v>214</v>
      </c>
      <c r="I147" s="717" t="s">
        <v>35</v>
      </c>
      <c r="J147" s="13">
        <v>40000</v>
      </c>
      <c r="K147" s="13"/>
      <c r="L147" s="13"/>
      <c r="M147" s="661"/>
      <c r="N147" s="13">
        <v>100000</v>
      </c>
      <c r="O147" s="661"/>
      <c r="P147" s="13">
        <v>40000</v>
      </c>
      <c r="Q147" s="665"/>
      <c r="R147" s="334"/>
      <c r="S147" s="305"/>
      <c r="T147" s="305"/>
      <c r="U147" s="305"/>
      <c r="W147" s="367">
        <f t="shared" si="134"/>
        <v>0</v>
      </c>
      <c r="X147" s="363">
        <f t="shared" si="134"/>
        <v>0</v>
      </c>
      <c r="Y147" s="280">
        <f t="shared" si="135"/>
        <v>0</v>
      </c>
      <c r="Z147" s="367">
        <f t="shared" si="136"/>
        <v>0</v>
      </c>
      <c r="AA147" s="363">
        <f t="shared" si="136"/>
        <v>0</v>
      </c>
      <c r="AB147" s="280">
        <f t="shared" si="137"/>
        <v>0</v>
      </c>
      <c r="AC147" s="367">
        <f t="shared" si="138"/>
        <v>40000</v>
      </c>
      <c r="AD147" s="363">
        <f t="shared" si="138"/>
        <v>0</v>
      </c>
      <c r="AE147" s="280">
        <f t="shared" si="139"/>
        <v>40000</v>
      </c>
      <c r="AF147" s="367">
        <f t="shared" si="140"/>
        <v>0</v>
      </c>
      <c r="AG147" s="363">
        <f t="shared" si="140"/>
        <v>0</v>
      </c>
      <c r="AH147" s="280">
        <f t="shared" si="141"/>
        <v>0</v>
      </c>
      <c r="AI147" s="210"/>
      <c r="AJ147" s="367">
        <f t="shared" si="142"/>
        <v>0</v>
      </c>
      <c r="AK147" s="363">
        <f t="shared" si="142"/>
        <v>0</v>
      </c>
      <c r="AL147" s="280">
        <f t="shared" si="143"/>
        <v>0</v>
      </c>
      <c r="AM147" s="367">
        <f t="shared" si="144"/>
        <v>40000</v>
      </c>
      <c r="AN147" s="363">
        <f t="shared" si="144"/>
        <v>0</v>
      </c>
      <c r="AO147" s="280">
        <f t="shared" si="130"/>
        <v>40000</v>
      </c>
      <c r="AP147" s="263">
        <f t="shared" si="131"/>
        <v>40000</v>
      </c>
      <c r="AQ147" s="10">
        <f t="shared" si="131"/>
        <v>0</v>
      </c>
      <c r="AR147" s="650">
        <f t="shared" si="132"/>
        <v>40000</v>
      </c>
      <c r="AS147" s="607">
        <f t="shared" si="133"/>
        <v>0</v>
      </c>
      <c r="AT147" s="263"/>
      <c r="AU147" s="363"/>
      <c r="AV147" s="10"/>
      <c r="AW147" s="363"/>
      <c r="AX147" s="10"/>
      <c r="AY147" s="369"/>
      <c r="AZ147" s="263"/>
      <c r="BA147" s="363"/>
      <c r="BB147" s="10"/>
      <c r="BC147" s="363"/>
      <c r="BD147" s="10"/>
      <c r="BE147" s="369"/>
      <c r="BF147" s="263">
        <v>40000</v>
      </c>
      <c r="BG147" s="363"/>
      <c r="BH147" s="10"/>
      <c r="BI147" s="363"/>
      <c r="BJ147" s="10"/>
      <c r="BK147" s="369"/>
      <c r="BL147" s="263"/>
      <c r="BM147" s="363"/>
      <c r="BN147" s="10"/>
      <c r="BO147" s="363"/>
      <c r="BP147" s="10"/>
      <c r="BQ147" s="280"/>
    </row>
    <row r="148" spans="1:69" s="86" customFormat="1" ht="31.5" customHeight="1" collapsed="1">
      <c r="A148" s="378" t="s">
        <v>377</v>
      </c>
      <c r="B148" s="359"/>
      <c r="C148" s="86" t="s">
        <v>201</v>
      </c>
      <c r="D148" s="646" t="s">
        <v>23</v>
      </c>
      <c r="E148" s="646">
        <v>2</v>
      </c>
      <c r="F148" s="646" t="s">
        <v>71</v>
      </c>
      <c r="G148" s="646">
        <v>244</v>
      </c>
      <c r="H148" s="716">
        <v>221</v>
      </c>
      <c r="I148" s="717" t="s">
        <v>11</v>
      </c>
      <c r="J148" s="13">
        <f>SUM(J149:J152)</f>
        <v>32310.1</v>
      </c>
      <c r="K148" s="13"/>
      <c r="L148" s="13"/>
      <c r="M148" s="661"/>
      <c r="N148" s="13">
        <f>SUM(N149:N152)</f>
        <v>32310.09</v>
      </c>
      <c r="O148" s="661"/>
      <c r="P148" s="13">
        <f>SUM(P149:P152)</f>
        <v>31052.92</v>
      </c>
      <c r="Q148" s="665"/>
      <c r="R148" s="334"/>
      <c r="S148" s="305"/>
      <c r="T148" s="305"/>
      <c r="U148" s="654">
        <v>0.14119999999999999</v>
      </c>
      <c r="W148" s="367">
        <f t="shared" si="134"/>
        <v>0</v>
      </c>
      <c r="X148" s="363">
        <f t="shared" si="134"/>
        <v>0</v>
      </c>
      <c r="Y148" s="280">
        <f t="shared" si="135"/>
        <v>0</v>
      </c>
      <c r="Z148" s="367">
        <f t="shared" si="136"/>
        <v>0</v>
      </c>
      <c r="AA148" s="363">
        <f t="shared" si="136"/>
        <v>0</v>
      </c>
      <c r="AB148" s="280">
        <f t="shared" si="137"/>
        <v>0</v>
      </c>
      <c r="AC148" s="367">
        <f t="shared" si="138"/>
        <v>6000</v>
      </c>
      <c r="AD148" s="363">
        <f t="shared" si="138"/>
        <v>0</v>
      </c>
      <c r="AE148" s="280">
        <f t="shared" si="139"/>
        <v>6000</v>
      </c>
      <c r="AF148" s="367">
        <f t="shared" si="140"/>
        <v>26310.1</v>
      </c>
      <c r="AG148" s="363">
        <f t="shared" si="140"/>
        <v>0</v>
      </c>
      <c r="AH148" s="280">
        <f t="shared" si="141"/>
        <v>26310.1</v>
      </c>
      <c r="AI148" s="210"/>
      <c r="AJ148" s="367">
        <f t="shared" si="142"/>
        <v>0</v>
      </c>
      <c r="AK148" s="363">
        <f t="shared" si="142"/>
        <v>0</v>
      </c>
      <c r="AL148" s="280">
        <f t="shared" si="143"/>
        <v>0</v>
      </c>
      <c r="AM148" s="367">
        <f t="shared" si="144"/>
        <v>6000</v>
      </c>
      <c r="AN148" s="363">
        <f t="shared" si="144"/>
        <v>0</v>
      </c>
      <c r="AO148" s="280">
        <f t="shared" si="130"/>
        <v>6000</v>
      </c>
      <c r="AP148" s="263">
        <f t="shared" si="131"/>
        <v>32310.1</v>
      </c>
      <c r="AQ148" s="10">
        <f t="shared" si="131"/>
        <v>0</v>
      </c>
      <c r="AR148" s="650">
        <f t="shared" si="132"/>
        <v>32310.1</v>
      </c>
      <c r="AS148" s="607">
        <f t="shared" si="133"/>
        <v>0</v>
      </c>
      <c r="AT148" s="263">
        <f t="shared" ref="AT148:BQ148" si="146">SUM(AT149:AT152)</f>
        <v>0</v>
      </c>
      <c r="AU148" s="363">
        <f t="shared" si="146"/>
        <v>0</v>
      </c>
      <c r="AV148" s="10">
        <f t="shared" si="146"/>
        <v>0</v>
      </c>
      <c r="AW148" s="363">
        <f t="shared" si="146"/>
        <v>0</v>
      </c>
      <c r="AX148" s="10">
        <f t="shared" si="146"/>
        <v>0</v>
      </c>
      <c r="AY148" s="369">
        <f t="shared" si="146"/>
        <v>0</v>
      </c>
      <c r="AZ148" s="263">
        <f t="shared" si="146"/>
        <v>0</v>
      </c>
      <c r="BA148" s="363">
        <f t="shared" si="146"/>
        <v>0</v>
      </c>
      <c r="BB148" s="10">
        <f t="shared" si="146"/>
        <v>0</v>
      </c>
      <c r="BC148" s="363">
        <f t="shared" si="146"/>
        <v>0</v>
      </c>
      <c r="BD148" s="10">
        <f t="shared" si="146"/>
        <v>0</v>
      </c>
      <c r="BE148" s="369">
        <f t="shared" si="146"/>
        <v>0</v>
      </c>
      <c r="BF148" s="263">
        <f t="shared" si="146"/>
        <v>0</v>
      </c>
      <c r="BG148" s="363">
        <f t="shared" si="146"/>
        <v>0</v>
      </c>
      <c r="BH148" s="10">
        <f t="shared" si="146"/>
        <v>3000</v>
      </c>
      <c r="BI148" s="363">
        <f t="shared" si="146"/>
        <v>0</v>
      </c>
      <c r="BJ148" s="10">
        <f t="shared" si="146"/>
        <v>3000</v>
      </c>
      <c r="BK148" s="369">
        <f t="shared" si="146"/>
        <v>0</v>
      </c>
      <c r="BL148" s="263">
        <f t="shared" si="146"/>
        <v>3000</v>
      </c>
      <c r="BM148" s="363">
        <f t="shared" si="146"/>
        <v>0</v>
      </c>
      <c r="BN148" s="10">
        <f t="shared" si="146"/>
        <v>7800</v>
      </c>
      <c r="BO148" s="363">
        <f t="shared" si="146"/>
        <v>0</v>
      </c>
      <c r="BP148" s="10">
        <f t="shared" si="146"/>
        <v>15510.1</v>
      </c>
      <c r="BQ148" s="280">
        <f t="shared" si="146"/>
        <v>0</v>
      </c>
    </row>
    <row r="149" spans="1:69" s="313" customFormat="1" ht="25.5" hidden="1" outlineLevel="1">
      <c r="D149" s="686" t="s">
        <v>23</v>
      </c>
      <c r="E149" s="687">
        <v>2</v>
      </c>
      <c r="F149" s="688" t="s">
        <v>71</v>
      </c>
      <c r="G149" s="688">
        <v>244</v>
      </c>
      <c r="H149" s="689">
        <v>221</v>
      </c>
      <c r="I149" s="690" t="s">
        <v>236</v>
      </c>
      <c r="J149" s="691">
        <v>17910.099999999999</v>
      </c>
      <c r="K149" s="692"/>
      <c r="L149" s="692"/>
      <c r="M149" s="570"/>
      <c r="N149" s="693">
        <v>17910.09</v>
      </c>
      <c r="O149" s="559"/>
      <c r="P149" s="705">
        <v>16652.919999999998</v>
      </c>
      <c r="Q149" s="559"/>
      <c r="R149" s="335"/>
      <c r="S149" s="320"/>
      <c r="T149" s="320"/>
      <c r="U149" s="320"/>
      <c r="W149" s="336">
        <f t="shared" si="134"/>
        <v>0</v>
      </c>
      <c r="X149" s="337">
        <f t="shared" si="134"/>
        <v>0</v>
      </c>
      <c r="Y149" s="338">
        <f t="shared" si="135"/>
        <v>0</v>
      </c>
      <c r="Z149" s="336">
        <f t="shared" si="136"/>
        <v>0</v>
      </c>
      <c r="AA149" s="337">
        <f t="shared" si="136"/>
        <v>0</v>
      </c>
      <c r="AB149" s="338">
        <f t="shared" si="137"/>
        <v>0</v>
      </c>
      <c r="AC149" s="336">
        <f t="shared" si="138"/>
        <v>6000</v>
      </c>
      <c r="AD149" s="337">
        <f t="shared" si="138"/>
        <v>0</v>
      </c>
      <c r="AE149" s="338">
        <f t="shared" si="139"/>
        <v>6000</v>
      </c>
      <c r="AF149" s="336">
        <f t="shared" si="140"/>
        <v>11910.1</v>
      </c>
      <c r="AG149" s="337">
        <f t="shared" si="140"/>
        <v>0</v>
      </c>
      <c r="AH149" s="338">
        <f t="shared" si="141"/>
        <v>11910.1</v>
      </c>
      <c r="AI149" s="342"/>
      <c r="AJ149" s="336">
        <f t="shared" si="142"/>
        <v>0</v>
      </c>
      <c r="AK149" s="339">
        <f t="shared" si="142"/>
        <v>0</v>
      </c>
      <c r="AL149" s="340">
        <f t="shared" si="143"/>
        <v>0</v>
      </c>
      <c r="AM149" s="336">
        <f t="shared" si="144"/>
        <v>6000</v>
      </c>
      <c r="AN149" s="339">
        <f t="shared" si="144"/>
        <v>0</v>
      </c>
      <c r="AO149" s="340">
        <f t="shared" si="130"/>
        <v>6000</v>
      </c>
      <c r="AP149" s="341">
        <f t="shared" si="131"/>
        <v>17910.099999999999</v>
      </c>
      <c r="AQ149" s="339">
        <f t="shared" si="131"/>
        <v>0</v>
      </c>
      <c r="AR149" s="340">
        <f t="shared" si="132"/>
        <v>17910.099999999999</v>
      </c>
      <c r="AS149" s="589">
        <f t="shared" si="133"/>
        <v>0</v>
      </c>
      <c r="AT149" s="343"/>
      <c r="AU149" s="344"/>
      <c r="AV149" s="345"/>
      <c r="AW149" s="344"/>
      <c r="AX149" s="345"/>
      <c r="AY149" s="346"/>
      <c r="AZ149" s="347"/>
      <c r="BA149" s="348"/>
      <c r="BB149" s="349"/>
      <c r="BC149" s="348"/>
      <c r="BD149" s="349"/>
      <c r="BE149" s="350"/>
      <c r="BF149" s="351"/>
      <c r="BG149" s="352"/>
      <c r="BH149" s="337">
        <v>3000</v>
      </c>
      <c r="BI149" s="352"/>
      <c r="BJ149" s="337">
        <v>3000</v>
      </c>
      <c r="BK149" s="353"/>
      <c r="BL149" s="354">
        <v>3000</v>
      </c>
      <c r="BM149" s="355"/>
      <c r="BN149" s="356">
        <v>3000</v>
      </c>
      <c r="BO149" s="355"/>
      <c r="BP149" s="356">
        <f>3000+2910.1</f>
        <v>5910.1</v>
      </c>
      <c r="BQ149" s="357"/>
    </row>
    <row r="150" spans="1:69" s="313" customFormat="1" ht="38.25" hidden="1" outlineLevel="1">
      <c r="D150" s="373" t="s">
        <v>23</v>
      </c>
      <c r="E150" s="315">
        <v>2</v>
      </c>
      <c r="F150" s="314" t="s">
        <v>71</v>
      </c>
      <c r="G150" s="314">
        <v>244</v>
      </c>
      <c r="H150" s="316">
        <v>221</v>
      </c>
      <c r="I150" s="533" t="s">
        <v>228</v>
      </c>
      <c r="J150" s="510">
        <v>0</v>
      </c>
      <c r="K150" s="318"/>
      <c r="L150" s="318"/>
      <c r="M150" s="570"/>
      <c r="N150" s="336">
        <v>0</v>
      </c>
      <c r="O150" s="559"/>
      <c r="P150" s="541">
        <v>0</v>
      </c>
      <c r="Q150" s="559"/>
      <c r="R150" s="335"/>
      <c r="S150" s="320" t="s">
        <v>231</v>
      </c>
      <c r="T150" s="388" t="s">
        <v>232</v>
      </c>
      <c r="U150" s="388" t="s">
        <v>233</v>
      </c>
      <c r="W150" s="336">
        <f t="shared" si="134"/>
        <v>0</v>
      </c>
      <c r="X150" s="337">
        <f t="shared" si="134"/>
        <v>0</v>
      </c>
      <c r="Y150" s="338">
        <f t="shared" si="135"/>
        <v>0</v>
      </c>
      <c r="Z150" s="336">
        <f t="shared" si="136"/>
        <v>0</v>
      </c>
      <c r="AA150" s="337">
        <f t="shared" si="136"/>
        <v>0</v>
      </c>
      <c r="AB150" s="338">
        <f t="shared" si="137"/>
        <v>0</v>
      </c>
      <c r="AC150" s="336">
        <f t="shared" si="138"/>
        <v>0</v>
      </c>
      <c r="AD150" s="337">
        <f t="shared" si="138"/>
        <v>0</v>
      </c>
      <c r="AE150" s="338">
        <f t="shared" si="139"/>
        <v>0</v>
      </c>
      <c r="AF150" s="336">
        <f t="shared" si="140"/>
        <v>0</v>
      </c>
      <c r="AG150" s="337">
        <f t="shared" si="140"/>
        <v>0</v>
      </c>
      <c r="AH150" s="338">
        <f t="shared" si="141"/>
        <v>0</v>
      </c>
      <c r="AI150" s="342"/>
      <c r="AJ150" s="336">
        <f t="shared" si="142"/>
        <v>0</v>
      </c>
      <c r="AK150" s="339">
        <f t="shared" si="142"/>
        <v>0</v>
      </c>
      <c r="AL150" s="340">
        <f t="shared" si="143"/>
        <v>0</v>
      </c>
      <c r="AM150" s="336">
        <f t="shared" si="144"/>
        <v>0</v>
      </c>
      <c r="AN150" s="339">
        <f t="shared" si="144"/>
        <v>0</v>
      </c>
      <c r="AO150" s="340">
        <f t="shared" si="130"/>
        <v>0</v>
      </c>
      <c r="AP150" s="341">
        <f t="shared" si="131"/>
        <v>0</v>
      </c>
      <c r="AQ150" s="339">
        <f t="shared" si="131"/>
        <v>0</v>
      </c>
      <c r="AR150" s="340">
        <f t="shared" si="132"/>
        <v>0</v>
      </c>
      <c r="AS150" s="589">
        <f t="shared" si="133"/>
        <v>0</v>
      </c>
      <c r="AT150" s="343"/>
      <c r="AU150" s="344"/>
      <c r="AV150" s="345"/>
      <c r="AW150" s="344"/>
      <c r="AX150" s="345"/>
      <c r="AY150" s="346"/>
      <c r="AZ150" s="347"/>
      <c r="BA150" s="348"/>
      <c r="BB150" s="349"/>
      <c r="BC150" s="348"/>
      <c r="BD150" s="349"/>
      <c r="BE150" s="350"/>
      <c r="BF150" s="351"/>
      <c r="BG150" s="352"/>
      <c r="BH150" s="337"/>
      <c r="BI150" s="352"/>
      <c r="BJ150" s="337"/>
      <c r="BK150" s="353"/>
      <c r="BL150" s="354"/>
      <c r="BM150" s="355"/>
      <c r="BN150" s="356"/>
      <c r="BO150" s="355"/>
      <c r="BP150" s="356"/>
      <c r="BQ150" s="357"/>
    </row>
    <row r="151" spans="1:69" s="313" customFormat="1" ht="38.25" hidden="1" outlineLevel="1">
      <c r="D151" s="373" t="s">
        <v>23</v>
      </c>
      <c r="E151" s="315">
        <v>2</v>
      </c>
      <c r="F151" s="314" t="s">
        <v>71</v>
      </c>
      <c r="G151" s="314">
        <v>244</v>
      </c>
      <c r="H151" s="316">
        <v>221</v>
      </c>
      <c r="I151" s="533" t="s">
        <v>229</v>
      </c>
      <c r="J151" s="510">
        <v>0</v>
      </c>
      <c r="K151" s="318"/>
      <c r="L151" s="318"/>
      <c r="M151" s="570"/>
      <c r="N151" s="336">
        <v>0</v>
      </c>
      <c r="O151" s="559"/>
      <c r="P151" s="541">
        <v>0</v>
      </c>
      <c r="Q151" s="559"/>
      <c r="R151" s="335"/>
      <c r="S151" s="320" t="s">
        <v>231</v>
      </c>
      <c r="T151" s="388" t="s">
        <v>369</v>
      </c>
      <c r="U151" s="388" t="s">
        <v>233</v>
      </c>
      <c r="W151" s="336">
        <f t="shared" si="134"/>
        <v>0</v>
      </c>
      <c r="X151" s="337">
        <f t="shared" si="134"/>
        <v>0</v>
      </c>
      <c r="Y151" s="338">
        <f t="shared" si="135"/>
        <v>0</v>
      </c>
      <c r="Z151" s="336">
        <f t="shared" si="136"/>
        <v>0</v>
      </c>
      <c r="AA151" s="337">
        <f t="shared" si="136"/>
        <v>0</v>
      </c>
      <c r="AB151" s="338">
        <f t="shared" si="137"/>
        <v>0</v>
      </c>
      <c r="AC151" s="336">
        <f t="shared" si="138"/>
        <v>0</v>
      </c>
      <c r="AD151" s="337">
        <f t="shared" si="138"/>
        <v>0</v>
      </c>
      <c r="AE151" s="338">
        <f t="shared" si="139"/>
        <v>0</v>
      </c>
      <c r="AF151" s="336">
        <f t="shared" si="140"/>
        <v>0</v>
      </c>
      <c r="AG151" s="337">
        <f t="shared" si="140"/>
        <v>0</v>
      </c>
      <c r="AH151" s="338">
        <f t="shared" si="141"/>
        <v>0</v>
      </c>
      <c r="AI151" s="342"/>
      <c r="AJ151" s="336">
        <f t="shared" si="142"/>
        <v>0</v>
      </c>
      <c r="AK151" s="339">
        <f t="shared" si="142"/>
        <v>0</v>
      </c>
      <c r="AL151" s="340">
        <f t="shared" si="143"/>
        <v>0</v>
      </c>
      <c r="AM151" s="336">
        <f t="shared" si="144"/>
        <v>0</v>
      </c>
      <c r="AN151" s="339">
        <f t="shared" si="144"/>
        <v>0</v>
      </c>
      <c r="AO151" s="340">
        <f t="shared" si="130"/>
        <v>0</v>
      </c>
      <c r="AP151" s="341">
        <f t="shared" si="131"/>
        <v>0</v>
      </c>
      <c r="AQ151" s="339">
        <f t="shared" si="131"/>
        <v>0</v>
      </c>
      <c r="AR151" s="340">
        <f t="shared" si="132"/>
        <v>0</v>
      </c>
      <c r="AS151" s="589">
        <f t="shared" si="133"/>
        <v>0</v>
      </c>
      <c r="AT151" s="343"/>
      <c r="AU151" s="344"/>
      <c r="AV151" s="345"/>
      <c r="AW151" s="344"/>
      <c r="AX151" s="345"/>
      <c r="AY151" s="346"/>
      <c r="AZ151" s="347"/>
      <c r="BA151" s="348"/>
      <c r="BB151" s="349"/>
      <c r="BC151" s="348"/>
      <c r="BD151" s="349"/>
      <c r="BE151" s="350"/>
      <c r="BF151" s="351"/>
      <c r="BG151" s="352"/>
      <c r="BH151" s="337"/>
      <c r="BI151" s="352"/>
      <c r="BJ151" s="337"/>
      <c r="BK151" s="353"/>
      <c r="BL151" s="354"/>
      <c r="BM151" s="355"/>
      <c r="BN151" s="356"/>
      <c r="BO151" s="355"/>
      <c r="BP151" s="356"/>
      <c r="BQ151" s="357"/>
    </row>
    <row r="152" spans="1:69" s="313" customFormat="1" ht="51" hidden="1" outlineLevel="1">
      <c r="D152" s="373" t="s">
        <v>23</v>
      </c>
      <c r="E152" s="315">
        <v>2</v>
      </c>
      <c r="F152" s="314" t="s">
        <v>71</v>
      </c>
      <c r="G152" s="314">
        <v>244</v>
      </c>
      <c r="H152" s="316">
        <v>221</v>
      </c>
      <c r="I152" s="533" t="s">
        <v>370</v>
      </c>
      <c r="J152" s="341">
        <v>14400</v>
      </c>
      <c r="K152" s="318"/>
      <c r="L152" s="318"/>
      <c r="M152" s="570"/>
      <c r="N152" s="336">
        <v>14400</v>
      </c>
      <c r="O152" s="559"/>
      <c r="P152" s="541">
        <v>14400</v>
      </c>
      <c r="Q152" s="559"/>
      <c r="R152" s="335"/>
      <c r="S152" s="596" t="s">
        <v>234</v>
      </c>
      <c r="T152" s="610" t="s">
        <v>393</v>
      </c>
      <c r="U152" s="597" t="s">
        <v>381</v>
      </c>
      <c r="W152" s="336">
        <f t="shared" si="134"/>
        <v>0</v>
      </c>
      <c r="X152" s="337">
        <f t="shared" si="134"/>
        <v>0</v>
      </c>
      <c r="Y152" s="338">
        <f t="shared" si="135"/>
        <v>0</v>
      </c>
      <c r="Z152" s="336">
        <f t="shared" si="136"/>
        <v>0</v>
      </c>
      <c r="AA152" s="337">
        <f t="shared" si="136"/>
        <v>0</v>
      </c>
      <c r="AB152" s="338">
        <f t="shared" si="137"/>
        <v>0</v>
      </c>
      <c r="AC152" s="336">
        <f t="shared" si="138"/>
        <v>0</v>
      </c>
      <c r="AD152" s="337">
        <f t="shared" si="138"/>
        <v>0</v>
      </c>
      <c r="AE152" s="338">
        <f t="shared" si="139"/>
        <v>0</v>
      </c>
      <c r="AF152" s="336">
        <f t="shared" si="140"/>
        <v>14400</v>
      </c>
      <c r="AG152" s="337">
        <f t="shared" si="140"/>
        <v>0</v>
      </c>
      <c r="AH152" s="338">
        <f t="shared" si="141"/>
        <v>14400</v>
      </c>
      <c r="AI152" s="342"/>
      <c r="AJ152" s="336">
        <f t="shared" si="142"/>
        <v>0</v>
      </c>
      <c r="AK152" s="339">
        <f t="shared" si="142"/>
        <v>0</v>
      </c>
      <c r="AL152" s="340">
        <f t="shared" si="143"/>
        <v>0</v>
      </c>
      <c r="AM152" s="336">
        <f t="shared" si="144"/>
        <v>0</v>
      </c>
      <c r="AN152" s="339">
        <f t="shared" si="144"/>
        <v>0</v>
      </c>
      <c r="AO152" s="340">
        <f t="shared" si="130"/>
        <v>0</v>
      </c>
      <c r="AP152" s="341">
        <f t="shared" si="131"/>
        <v>14400</v>
      </c>
      <c r="AQ152" s="339">
        <f t="shared" si="131"/>
        <v>0</v>
      </c>
      <c r="AR152" s="340">
        <f t="shared" si="132"/>
        <v>14400</v>
      </c>
      <c r="AS152" s="589">
        <f t="shared" si="133"/>
        <v>0</v>
      </c>
      <c r="AT152" s="343"/>
      <c r="AU152" s="344"/>
      <c r="AV152" s="345"/>
      <c r="AW152" s="344"/>
      <c r="AX152" s="345"/>
      <c r="AY152" s="346"/>
      <c r="AZ152" s="347"/>
      <c r="BA152" s="348"/>
      <c r="BB152" s="349"/>
      <c r="BC152" s="348"/>
      <c r="BD152" s="349"/>
      <c r="BE152" s="350"/>
      <c r="BF152" s="351"/>
      <c r="BG152" s="352"/>
      <c r="BH152" s="337"/>
      <c r="BI152" s="352"/>
      <c r="BJ152" s="337"/>
      <c r="BK152" s="353"/>
      <c r="BL152" s="354"/>
      <c r="BM152" s="355"/>
      <c r="BN152" s="356">
        <v>4800</v>
      </c>
      <c r="BO152" s="355"/>
      <c r="BP152" s="356">
        <f>4800*2</f>
        <v>9600</v>
      </c>
      <c r="BQ152" s="357"/>
    </row>
    <row r="153" spans="1:69" s="86" customFormat="1" ht="31.5" customHeight="1" collapsed="1">
      <c r="A153" s="378" t="s">
        <v>377</v>
      </c>
      <c r="B153" s="359"/>
      <c r="C153" s="86" t="s">
        <v>201</v>
      </c>
      <c r="D153" s="646" t="s">
        <v>23</v>
      </c>
      <c r="E153" s="646">
        <v>2</v>
      </c>
      <c r="F153" s="646" t="s">
        <v>71</v>
      </c>
      <c r="G153" s="646">
        <v>244</v>
      </c>
      <c r="H153" s="716">
        <v>223</v>
      </c>
      <c r="I153" s="717" t="s">
        <v>13</v>
      </c>
      <c r="J153" s="13">
        <f>J154+J155</f>
        <v>191189.05</v>
      </c>
      <c r="K153" s="13"/>
      <c r="L153" s="13"/>
      <c r="M153" s="661"/>
      <c r="N153" s="13">
        <f>N154+N155</f>
        <v>68757.649999999994</v>
      </c>
      <c r="O153" s="661"/>
      <c r="P153" s="13">
        <f>P154+P155</f>
        <v>90086.74</v>
      </c>
      <c r="Q153" s="665"/>
      <c r="R153" s="334"/>
      <c r="S153" s="305"/>
      <c r="T153" s="305"/>
      <c r="U153" s="305"/>
      <c r="W153" s="367">
        <f t="shared" si="134"/>
        <v>0</v>
      </c>
      <c r="X153" s="363">
        <f t="shared" si="134"/>
        <v>0</v>
      </c>
      <c r="Y153" s="280">
        <f t="shared" si="135"/>
        <v>0</v>
      </c>
      <c r="Z153" s="367">
        <f t="shared" si="136"/>
        <v>0</v>
      </c>
      <c r="AA153" s="363">
        <f t="shared" si="136"/>
        <v>0</v>
      </c>
      <c r="AB153" s="280">
        <f t="shared" si="137"/>
        <v>0</v>
      </c>
      <c r="AC153" s="367">
        <f t="shared" si="138"/>
        <v>0</v>
      </c>
      <c r="AD153" s="363">
        <f t="shared" si="138"/>
        <v>0</v>
      </c>
      <c r="AE153" s="280">
        <f t="shared" si="139"/>
        <v>0</v>
      </c>
      <c r="AF153" s="367">
        <f t="shared" si="140"/>
        <v>191189.05</v>
      </c>
      <c r="AG153" s="363">
        <f t="shared" si="140"/>
        <v>0</v>
      </c>
      <c r="AH153" s="280">
        <f t="shared" si="141"/>
        <v>191189.05</v>
      </c>
      <c r="AI153" s="210"/>
      <c r="AJ153" s="367">
        <f t="shared" si="142"/>
        <v>0</v>
      </c>
      <c r="AK153" s="363">
        <f t="shared" si="142"/>
        <v>0</v>
      </c>
      <c r="AL153" s="280">
        <f t="shared" si="143"/>
        <v>0</v>
      </c>
      <c r="AM153" s="367">
        <f t="shared" si="144"/>
        <v>0</v>
      </c>
      <c r="AN153" s="363">
        <f t="shared" si="144"/>
        <v>0</v>
      </c>
      <c r="AO153" s="280">
        <f t="shared" si="130"/>
        <v>0</v>
      </c>
      <c r="AP153" s="263">
        <f t="shared" si="131"/>
        <v>191189.05</v>
      </c>
      <c r="AQ153" s="10">
        <f t="shared" si="131"/>
        <v>0</v>
      </c>
      <c r="AR153" s="650">
        <f t="shared" si="132"/>
        <v>191189.05</v>
      </c>
      <c r="AS153" s="607">
        <f t="shared" si="133"/>
        <v>0</v>
      </c>
      <c r="AT153" s="263">
        <f t="shared" ref="AT153:BQ153" si="147">SUM(AT154:AT155)</f>
        <v>0</v>
      </c>
      <c r="AU153" s="363">
        <f t="shared" si="147"/>
        <v>0</v>
      </c>
      <c r="AV153" s="10">
        <f t="shared" si="147"/>
        <v>0</v>
      </c>
      <c r="AW153" s="363">
        <f t="shared" si="147"/>
        <v>0</v>
      </c>
      <c r="AX153" s="10">
        <f t="shared" si="147"/>
        <v>0</v>
      </c>
      <c r="AY153" s="369">
        <f t="shared" si="147"/>
        <v>0</v>
      </c>
      <c r="AZ153" s="263">
        <f t="shared" si="147"/>
        <v>0</v>
      </c>
      <c r="BA153" s="363">
        <f t="shared" si="147"/>
        <v>0</v>
      </c>
      <c r="BB153" s="10">
        <f t="shared" si="147"/>
        <v>0</v>
      </c>
      <c r="BC153" s="363">
        <f t="shared" si="147"/>
        <v>0</v>
      </c>
      <c r="BD153" s="10">
        <f t="shared" si="147"/>
        <v>0</v>
      </c>
      <c r="BE153" s="369">
        <f t="shared" si="147"/>
        <v>0</v>
      </c>
      <c r="BF153" s="263">
        <f t="shared" si="147"/>
        <v>0</v>
      </c>
      <c r="BG153" s="363">
        <f t="shared" si="147"/>
        <v>0</v>
      </c>
      <c r="BH153" s="10">
        <f t="shared" si="147"/>
        <v>0</v>
      </c>
      <c r="BI153" s="363">
        <f t="shared" si="147"/>
        <v>0</v>
      </c>
      <c r="BJ153" s="10">
        <f t="shared" si="147"/>
        <v>0</v>
      </c>
      <c r="BK153" s="369">
        <f t="shared" si="147"/>
        <v>0</v>
      </c>
      <c r="BL153" s="263">
        <f t="shared" si="147"/>
        <v>0</v>
      </c>
      <c r="BM153" s="363">
        <f t="shared" si="147"/>
        <v>0</v>
      </c>
      <c r="BN153" s="10">
        <f t="shared" si="147"/>
        <v>0</v>
      </c>
      <c r="BO153" s="363">
        <f t="shared" si="147"/>
        <v>0</v>
      </c>
      <c r="BP153" s="10">
        <f t="shared" si="147"/>
        <v>191189.05</v>
      </c>
      <c r="BQ153" s="280">
        <f t="shared" si="147"/>
        <v>0</v>
      </c>
    </row>
    <row r="154" spans="1:69" s="313" customFormat="1" ht="25.5" hidden="1" outlineLevel="1">
      <c r="C154" s="313" t="s">
        <v>201</v>
      </c>
      <c r="D154" s="719" t="s">
        <v>23</v>
      </c>
      <c r="E154" s="720">
        <v>2</v>
      </c>
      <c r="F154" s="719" t="s">
        <v>71</v>
      </c>
      <c r="G154" s="719">
        <v>244</v>
      </c>
      <c r="H154" s="721">
        <v>223</v>
      </c>
      <c r="I154" s="722" t="s">
        <v>354</v>
      </c>
      <c r="J154" s="723">
        <v>186664.38</v>
      </c>
      <c r="K154" s="723"/>
      <c r="L154" s="723"/>
      <c r="M154" s="667"/>
      <c r="N154" s="724">
        <v>64258.51</v>
      </c>
      <c r="O154" s="667"/>
      <c r="P154" s="724">
        <v>85556.64</v>
      </c>
      <c r="Q154" s="669"/>
      <c r="R154" s="335"/>
      <c r="S154" s="320" t="s">
        <v>247</v>
      </c>
      <c r="T154" s="388" t="s">
        <v>248</v>
      </c>
      <c r="U154" s="388" t="s">
        <v>249</v>
      </c>
      <c r="W154" s="336">
        <f t="shared" si="134"/>
        <v>0</v>
      </c>
      <c r="X154" s="337">
        <f t="shared" si="134"/>
        <v>0</v>
      </c>
      <c r="Y154" s="338">
        <f t="shared" si="135"/>
        <v>0</v>
      </c>
      <c r="Z154" s="336">
        <f t="shared" si="136"/>
        <v>0</v>
      </c>
      <c r="AA154" s="337">
        <f t="shared" si="136"/>
        <v>0</v>
      </c>
      <c r="AB154" s="338">
        <f t="shared" si="137"/>
        <v>0</v>
      </c>
      <c r="AC154" s="336">
        <f t="shared" si="138"/>
        <v>0</v>
      </c>
      <c r="AD154" s="337">
        <f t="shared" si="138"/>
        <v>0</v>
      </c>
      <c r="AE154" s="338">
        <f t="shared" si="139"/>
        <v>0</v>
      </c>
      <c r="AF154" s="336">
        <f t="shared" si="140"/>
        <v>186664.38</v>
      </c>
      <c r="AG154" s="337">
        <f t="shared" si="140"/>
        <v>0</v>
      </c>
      <c r="AH154" s="338">
        <f t="shared" si="141"/>
        <v>186664.38</v>
      </c>
      <c r="AI154" s="342"/>
      <c r="AJ154" s="336">
        <f t="shared" si="142"/>
        <v>0</v>
      </c>
      <c r="AK154" s="339">
        <f t="shared" si="142"/>
        <v>0</v>
      </c>
      <c r="AL154" s="340">
        <f t="shared" si="143"/>
        <v>0</v>
      </c>
      <c r="AM154" s="336">
        <f t="shared" si="144"/>
        <v>0</v>
      </c>
      <c r="AN154" s="339">
        <f t="shared" si="144"/>
        <v>0</v>
      </c>
      <c r="AO154" s="340">
        <f t="shared" si="130"/>
        <v>0</v>
      </c>
      <c r="AP154" s="341">
        <f t="shared" si="131"/>
        <v>186664.38</v>
      </c>
      <c r="AQ154" s="319">
        <f t="shared" si="131"/>
        <v>0</v>
      </c>
      <c r="AR154" s="651">
        <f t="shared" si="132"/>
        <v>186664.38</v>
      </c>
      <c r="AS154" s="589">
        <f t="shared" si="133"/>
        <v>0</v>
      </c>
      <c r="AT154" s="336"/>
      <c r="AU154" s="344"/>
      <c r="AV154" s="319"/>
      <c r="AW154" s="344"/>
      <c r="AX154" s="319"/>
      <c r="AY154" s="346"/>
      <c r="AZ154" s="336"/>
      <c r="BA154" s="348"/>
      <c r="BB154" s="319"/>
      <c r="BC154" s="348"/>
      <c r="BD154" s="319"/>
      <c r="BE154" s="350"/>
      <c r="BF154" s="336"/>
      <c r="BG154" s="352"/>
      <c r="BH154" s="319"/>
      <c r="BI154" s="352"/>
      <c r="BJ154" s="319"/>
      <c r="BK154" s="353"/>
      <c r="BL154" s="336"/>
      <c r="BM154" s="355"/>
      <c r="BN154" s="319"/>
      <c r="BO154" s="355"/>
      <c r="BP154" s="319">
        <v>186664.38</v>
      </c>
      <c r="BQ154" s="357"/>
    </row>
    <row r="155" spans="1:69" s="313" customFormat="1" ht="25.5" hidden="1" outlineLevel="1">
      <c r="C155" s="313" t="s">
        <v>201</v>
      </c>
      <c r="D155" s="719" t="s">
        <v>23</v>
      </c>
      <c r="E155" s="720">
        <v>2</v>
      </c>
      <c r="F155" s="719" t="s">
        <v>71</v>
      </c>
      <c r="G155" s="719">
        <v>244</v>
      </c>
      <c r="H155" s="721">
        <v>223</v>
      </c>
      <c r="I155" s="722" t="s">
        <v>252</v>
      </c>
      <c r="J155" s="723">
        <v>4524.67</v>
      </c>
      <c r="K155" s="723"/>
      <c r="L155" s="723"/>
      <c r="M155" s="667"/>
      <c r="N155" s="724">
        <v>4499.1400000000003</v>
      </c>
      <c r="O155" s="667"/>
      <c r="P155" s="724">
        <v>4530.1000000000004</v>
      </c>
      <c r="Q155" s="669"/>
      <c r="R155" s="335"/>
      <c r="S155" s="320" t="s">
        <v>250</v>
      </c>
      <c r="T155" s="388" t="s">
        <v>251</v>
      </c>
      <c r="U155" s="388" t="s">
        <v>243</v>
      </c>
      <c r="W155" s="336">
        <f t="shared" si="134"/>
        <v>0</v>
      </c>
      <c r="X155" s="337">
        <f t="shared" si="134"/>
        <v>0</v>
      </c>
      <c r="Y155" s="338">
        <f t="shared" si="135"/>
        <v>0</v>
      </c>
      <c r="Z155" s="336">
        <f t="shared" si="136"/>
        <v>0</v>
      </c>
      <c r="AA155" s="337">
        <f t="shared" si="136"/>
        <v>0</v>
      </c>
      <c r="AB155" s="338">
        <f t="shared" si="137"/>
        <v>0</v>
      </c>
      <c r="AC155" s="336">
        <f t="shared" si="138"/>
        <v>0</v>
      </c>
      <c r="AD155" s="337">
        <f t="shared" si="138"/>
        <v>0</v>
      </c>
      <c r="AE155" s="338">
        <f t="shared" si="139"/>
        <v>0</v>
      </c>
      <c r="AF155" s="336">
        <f t="shared" si="140"/>
        <v>4524.67</v>
      </c>
      <c r="AG155" s="337">
        <f t="shared" si="140"/>
        <v>0</v>
      </c>
      <c r="AH155" s="338">
        <f t="shared" si="141"/>
        <v>4524.67</v>
      </c>
      <c r="AI155" s="342"/>
      <c r="AJ155" s="336">
        <f t="shared" si="142"/>
        <v>0</v>
      </c>
      <c r="AK155" s="339">
        <f t="shared" si="142"/>
        <v>0</v>
      </c>
      <c r="AL155" s="340">
        <f t="shared" si="143"/>
        <v>0</v>
      </c>
      <c r="AM155" s="336">
        <f t="shared" si="144"/>
        <v>0</v>
      </c>
      <c r="AN155" s="339">
        <f t="shared" si="144"/>
        <v>0</v>
      </c>
      <c r="AO155" s="340">
        <f t="shared" si="130"/>
        <v>0</v>
      </c>
      <c r="AP155" s="341">
        <f t="shared" si="131"/>
        <v>4524.67</v>
      </c>
      <c r="AQ155" s="319">
        <f t="shared" si="131"/>
        <v>0</v>
      </c>
      <c r="AR155" s="651">
        <f t="shared" si="132"/>
        <v>4524.67</v>
      </c>
      <c r="AS155" s="589">
        <f t="shared" si="133"/>
        <v>0</v>
      </c>
      <c r="AT155" s="336"/>
      <c r="AU155" s="344"/>
      <c r="AV155" s="319"/>
      <c r="AW155" s="344"/>
      <c r="AX155" s="319"/>
      <c r="AY155" s="346"/>
      <c r="AZ155" s="336"/>
      <c r="BA155" s="348"/>
      <c r="BB155" s="319"/>
      <c r="BC155" s="348"/>
      <c r="BD155" s="319"/>
      <c r="BE155" s="350"/>
      <c r="BF155" s="336"/>
      <c r="BG155" s="352"/>
      <c r="BH155" s="319"/>
      <c r="BI155" s="352"/>
      <c r="BJ155" s="319"/>
      <c r="BK155" s="353"/>
      <c r="BL155" s="336"/>
      <c r="BM155" s="355"/>
      <c r="BN155" s="319"/>
      <c r="BO155" s="355"/>
      <c r="BP155" s="319">
        <v>4524.67</v>
      </c>
      <c r="BQ155" s="357"/>
    </row>
    <row r="156" spans="1:69" s="86" customFormat="1" ht="31.5" customHeight="1" collapsed="1">
      <c r="A156" s="378" t="s">
        <v>377</v>
      </c>
      <c r="B156" s="359"/>
      <c r="C156" s="86" t="s">
        <v>201</v>
      </c>
      <c r="D156" s="646" t="s">
        <v>23</v>
      </c>
      <c r="E156" s="646">
        <v>2</v>
      </c>
      <c r="F156" s="646" t="s">
        <v>71</v>
      </c>
      <c r="G156" s="646">
        <v>244</v>
      </c>
      <c r="H156" s="716">
        <v>222</v>
      </c>
      <c r="I156" s="717" t="s">
        <v>12</v>
      </c>
      <c r="J156" s="13">
        <f>SUM(J157:J158)</f>
        <v>276566.34999999998</v>
      </c>
      <c r="K156" s="13"/>
      <c r="L156" s="13"/>
      <c r="M156" s="661"/>
      <c r="N156" s="13">
        <f>SUM(N157:N158)</f>
        <v>276566.34999999998</v>
      </c>
      <c r="O156" s="661"/>
      <c r="P156" s="13">
        <f>SUM(P157:P158)</f>
        <v>275685.24</v>
      </c>
      <c r="Q156" s="665"/>
      <c r="R156" s="334"/>
      <c r="S156" s="305"/>
      <c r="T156" s="305"/>
      <c r="U156" s="305"/>
      <c r="W156" s="367">
        <f t="shared" si="134"/>
        <v>63600</v>
      </c>
      <c r="X156" s="363">
        <f t="shared" si="134"/>
        <v>0</v>
      </c>
      <c r="Y156" s="280">
        <f t="shared" si="135"/>
        <v>63600</v>
      </c>
      <c r="Z156" s="367">
        <f t="shared" si="136"/>
        <v>65400</v>
      </c>
      <c r="AA156" s="363">
        <f t="shared" si="136"/>
        <v>0</v>
      </c>
      <c r="AB156" s="280">
        <f t="shared" si="137"/>
        <v>65400</v>
      </c>
      <c r="AC156" s="367">
        <f t="shared" si="138"/>
        <v>3800</v>
      </c>
      <c r="AD156" s="363">
        <f t="shared" si="138"/>
        <v>0</v>
      </c>
      <c r="AE156" s="280">
        <f t="shared" si="139"/>
        <v>3800</v>
      </c>
      <c r="AF156" s="367">
        <f t="shared" si="140"/>
        <v>143766.35</v>
      </c>
      <c r="AG156" s="363">
        <f t="shared" si="140"/>
        <v>0</v>
      </c>
      <c r="AH156" s="280">
        <f t="shared" si="141"/>
        <v>143766.35</v>
      </c>
      <c r="AI156" s="210"/>
      <c r="AJ156" s="367">
        <f t="shared" si="142"/>
        <v>129000</v>
      </c>
      <c r="AK156" s="363">
        <f t="shared" si="142"/>
        <v>0</v>
      </c>
      <c r="AL156" s="280">
        <f t="shared" si="143"/>
        <v>129000</v>
      </c>
      <c r="AM156" s="367">
        <f t="shared" si="144"/>
        <v>132800</v>
      </c>
      <c r="AN156" s="363">
        <f t="shared" si="144"/>
        <v>0</v>
      </c>
      <c r="AO156" s="280">
        <f t="shared" si="130"/>
        <v>132800</v>
      </c>
      <c r="AP156" s="263">
        <f t="shared" si="131"/>
        <v>276566.34999999998</v>
      </c>
      <c r="AQ156" s="10">
        <f t="shared" si="131"/>
        <v>0</v>
      </c>
      <c r="AR156" s="650">
        <f t="shared" si="132"/>
        <v>276566.34999999998</v>
      </c>
      <c r="AS156" s="607">
        <f t="shared" si="133"/>
        <v>0</v>
      </c>
      <c r="AT156" s="263">
        <f t="shared" ref="AT156:BQ156" si="148">SUM(AT157:AT158)</f>
        <v>0</v>
      </c>
      <c r="AU156" s="363">
        <f t="shared" si="148"/>
        <v>0</v>
      </c>
      <c r="AV156" s="10">
        <f t="shared" si="148"/>
        <v>1800</v>
      </c>
      <c r="AW156" s="363">
        <f t="shared" si="148"/>
        <v>0</v>
      </c>
      <c r="AX156" s="10">
        <f t="shared" si="148"/>
        <v>61800</v>
      </c>
      <c r="AY156" s="369">
        <f t="shared" si="148"/>
        <v>0</v>
      </c>
      <c r="AZ156" s="263">
        <f t="shared" si="148"/>
        <v>1800</v>
      </c>
      <c r="BA156" s="363">
        <f t="shared" si="148"/>
        <v>0</v>
      </c>
      <c r="BB156" s="10">
        <f t="shared" si="148"/>
        <v>61800</v>
      </c>
      <c r="BC156" s="363">
        <f t="shared" si="148"/>
        <v>0</v>
      </c>
      <c r="BD156" s="10">
        <f t="shared" si="148"/>
        <v>1800</v>
      </c>
      <c r="BE156" s="369">
        <f t="shared" si="148"/>
        <v>0</v>
      </c>
      <c r="BF156" s="263">
        <f t="shared" si="148"/>
        <v>1800</v>
      </c>
      <c r="BG156" s="363">
        <f t="shared" si="148"/>
        <v>0</v>
      </c>
      <c r="BH156" s="10">
        <f t="shared" si="148"/>
        <v>1000</v>
      </c>
      <c r="BI156" s="363">
        <f t="shared" si="148"/>
        <v>0</v>
      </c>
      <c r="BJ156" s="10">
        <f t="shared" si="148"/>
        <v>1000</v>
      </c>
      <c r="BK156" s="369">
        <f t="shared" si="148"/>
        <v>0</v>
      </c>
      <c r="BL156" s="263">
        <f t="shared" si="148"/>
        <v>61800</v>
      </c>
      <c r="BM156" s="363">
        <f t="shared" si="148"/>
        <v>0</v>
      </c>
      <c r="BN156" s="10">
        <f t="shared" si="148"/>
        <v>1800</v>
      </c>
      <c r="BO156" s="363">
        <f t="shared" si="148"/>
        <v>0</v>
      </c>
      <c r="BP156" s="10">
        <f t="shared" si="148"/>
        <v>80166.350000000006</v>
      </c>
      <c r="BQ156" s="280">
        <f t="shared" si="148"/>
        <v>0</v>
      </c>
    </row>
    <row r="157" spans="1:69" s="313" customFormat="1" ht="25.5" hidden="1" outlineLevel="1">
      <c r="D157" s="686" t="s">
        <v>23</v>
      </c>
      <c r="E157" s="687">
        <v>2</v>
      </c>
      <c r="F157" s="688" t="s">
        <v>71</v>
      </c>
      <c r="G157" s="688">
        <v>244</v>
      </c>
      <c r="H157" s="689">
        <v>222</v>
      </c>
      <c r="I157" s="690" t="s">
        <v>374</v>
      </c>
      <c r="J157" s="691">
        <v>22645.08</v>
      </c>
      <c r="K157" s="692"/>
      <c r="L157" s="692"/>
      <c r="M157" s="570"/>
      <c r="N157" s="691">
        <v>22645.08</v>
      </c>
      <c r="O157" s="559"/>
      <c r="P157" s="706">
        <v>21763.97</v>
      </c>
      <c r="Q157" s="559"/>
      <c r="R157" s="335"/>
      <c r="S157" s="320" t="s">
        <v>240</v>
      </c>
      <c r="T157" s="388" t="s">
        <v>241</v>
      </c>
      <c r="U157" s="388" t="s">
        <v>242</v>
      </c>
      <c r="W157" s="336">
        <f t="shared" si="134"/>
        <v>3600</v>
      </c>
      <c r="X157" s="337">
        <f t="shared" si="134"/>
        <v>0</v>
      </c>
      <c r="Y157" s="338">
        <f t="shared" si="135"/>
        <v>3600</v>
      </c>
      <c r="Z157" s="336">
        <f t="shared" si="136"/>
        <v>5400</v>
      </c>
      <c r="AA157" s="337">
        <f t="shared" si="136"/>
        <v>0</v>
      </c>
      <c r="AB157" s="338">
        <f t="shared" si="137"/>
        <v>5400</v>
      </c>
      <c r="AC157" s="336">
        <f t="shared" si="138"/>
        <v>3800</v>
      </c>
      <c r="AD157" s="337">
        <f t="shared" si="138"/>
        <v>0</v>
      </c>
      <c r="AE157" s="338">
        <f t="shared" si="139"/>
        <v>3800</v>
      </c>
      <c r="AF157" s="336">
        <f t="shared" si="140"/>
        <v>9845.08</v>
      </c>
      <c r="AG157" s="337">
        <f t="shared" si="140"/>
        <v>0</v>
      </c>
      <c r="AH157" s="338">
        <f t="shared" si="141"/>
        <v>9845.08</v>
      </c>
      <c r="AI157" s="342"/>
      <c r="AJ157" s="336">
        <f t="shared" si="142"/>
        <v>9000</v>
      </c>
      <c r="AK157" s="339">
        <f t="shared" si="142"/>
        <v>0</v>
      </c>
      <c r="AL157" s="340">
        <f t="shared" si="143"/>
        <v>9000</v>
      </c>
      <c r="AM157" s="336">
        <f t="shared" si="144"/>
        <v>12800</v>
      </c>
      <c r="AN157" s="339">
        <f t="shared" si="144"/>
        <v>0</v>
      </c>
      <c r="AO157" s="340">
        <f t="shared" si="130"/>
        <v>12800</v>
      </c>
      <c r="AP157" s="341">
        <f t="shared" si="131"/>
        <v>22645.08</v>
      </c>
      <c r="AQ157" s="339">
        <f t="shared" si="131"/>
        <v>0</v>
      </c>
      <c r="AR157" s="340">
        <f t="shared" si="132"/>
        <v>22645.08</v>
      </c>
      <c r="AS157" s="589">
        <f t="shared" si="133"/>
        <v>0</v>
      </c>
      <c r="AT157" s="343"/>
      <c r="AU157" s="344"/>
      <c r="AV157" s="345">
        <v>1800</v>
      </c>
      <c r="AW157" s="344"/>
      <c r="AX157" s="345">
        <v>1800</v>
      </c>
      <c r="AY157" s="346"/>
      <c r="AZ157" s="347">
        <v>1800</v>
      </c>
      <c r="BA157" s="348"/>
      <c r="BB157" s="349">
        <v>1800</v>
      </c>
      <c r="BC157" s="348"/>
      <c r="BD157" s="349">
        <v>1800</v>
      </c>
      <c r="BE157" s="350"/>
      <c r="BF157" s="351">
        <v>1800</v>
      </c>
      <c r="BG157" s="352"/>
      <c r="BH157" s="337">
        <v>1000</v>
      </c>
      <c r="BI157" s="352"/>
      <c r="BJ157" s="337">
        <v>1000</v>
      </c>
      <c r="BK157" s="353"/>
      <c r="BL157" s="354">
        <v>1800</v>
      </c>
      <c r="BM157" s="355"/>
      <c r="BN157" s="356">
        <v>1800</v>
      </c>
      <c r="BO157" s="355"/>
      <c r="BP157" s="356">
        <f>1800*2+2645.08</f>
        <v>6245.08</v>
      </c>
      <c r="BQ157" s="357"/>
    </row>
    <row r="158" spans="1:69" s="313" customFormat="1" ht="25.5" hidden="1" outlineLevel="1">
      <c r="D158" s="373" t="s">
        <v>23</v>
      </c>
      <c r="E158" s="315">
        <v>2</v>
      </c>
      <c r="F158" s="314" t="s">
        <v>71</v>
      </c>
      <c r="G158" s="314">
        <v>244</v>
      </c>
      <c r="H158" s="316">
        <v>222</v>
      </c>
      <c r="I158" s="533" t="s">
        <v>375</v>
      </c>
      <c r="J158" s="341">
        <v>253921.27</v>
      </c>
      <c r="K158" s="318"/>
      <c r="L158" s="318"/>
      <c r="M158" s="570"/>
      <c r="N158" s="341">
        <v>253921.27</v>
      </c>
      <c r="O158" s="559"/>
      <c r="P158" s="540">
        <v>253921.27</v>
      </c>
      <c r="Q158" s="559"/>
      <c r="R158" s="335"/>
      <c r="S158" s="320" t="s">
        <v>237</v>
      </c>
      <c r="T158" s="388" t="s">
        <v>238</v>
      </c>
      <c r="U158" s="388" t="s">
        <v>239</v>
      </c>
      <c r="W158" s="336">
        <f t="shared" si="134"/>
        <v>60000</v>
      </c>
      <c r="X158" s="337">
        <f t="shared" si="134"/>
        <v>0</v>
      </c>
      <c r="Y158" s="338">
        <f t="shared" si="135"/>
        <v>60000</v>
      </c>
      <c r="Z158" s="336">
        <f t="shared" si="136"/>
        <v>60000</v>
      </c>
      <c r="AA158" s="337">
        <f t="shared" si="136"/>
        <v>0</v>
      </c>
      <c r="AB158" s="338">
        <f t="shared" si="137"/>
        <v>60000</v>
      </c>
      <c r="AC158" s="336">
        <f t="shared" si="138"/>
        <v>0</v>
      </c>
      <c r="AD158" s="337">
        <f t="shared" si="138"/>
        <v>0</v>
      </c>
      <c r="AE158" s="338">
        <f t="shared" si="139"/>
        <v>0</v>
      </c>
      <c r="AF158" s="336">
        <f t="shared" si="140"/>
        <v>133921.26999999999</v>
      </c>
      <c r="AG158" s="337">
        <f t="shared" si="140"/>
        <v>0</v>
      </c>
      <c r="AH158" s="338">
        <f t="shared" si="141"/>
        <v>133921.26999999999</v>
      </c>
      <c r="AI158" s="342"/>
      <c r="AJ158" s="336">
        <f t="shared" si="142"/>
        <v>120000</v>
      </c>
      <c r="AK158" s="339">
        <f t="shared" si="142"/>
        <v>0</v>
      </c>
      <c r="AL158" s="340">
        <f t="shared" si="143"/>
        <v>120000</v>
      </c>
      <c r="AM158" s="336">
        <f t="shared" si="144"/>
        <v>120000</v>
      </c>
      <c r="AN158" s="339">
        <f t="shared" si="144"/>
        <v>0</v>
      </c>
      <c r="AO158" s="340">
        <f t="shared" si="130"/>
        <v>120000</v>
      </c>
      <c r="AP158" s="341">
        <f t="shared" si="131"/>
        <v>253921.27</v>
      </c>
      <c r="AQ158" s="339">
        <f t="shared" si="131"/>
        <v>0</v>
      </c>
      <c r="AR158" s="340">
        <f t="shared" si="132"/>
        <v>253921.27</v>
      </c>
      <c r="AS158" s="589">
        <f t="shared" si="133"/>
        <v>0</v>
      </c>
      <c r="AT158" s="343"/>
      <c r="AU158" s="344"/>
      <c r="AV158" s="345"/>
      <c r="AW158" s="344"/>
      <c r="AX158" s="345">
        <v>60000</v>
      </c>
      <c r="AY158" s="346"/>
      <c r="AZ158" s="347"/>
      <c r="BA158" s="348"/>
      <c r="BB158" s="349">
        <v>60000</v>
      </c>
      <c r="BC158" s="348"/>
      <c r="BD158" s="349"/>
      <c r="BE158" s="350"/>
      <c r="BF158" s="351"/>
      <c r="BG158" s="352"/>
      <c r="BH158" s="337"/>
      <c r="BI158" s="352"/>
      <c r="BJ158" s="337"/>
      <c r="BK158" s="353"/>
      <c r="BL158" s="354">
        <v>60000</v>
      </c>
      <c r="BM158" s="355"/>
      <c r="BN158" s="356"/>
      <c r="BO158" s="355"/>
      <c r="BP158" s="356">
        <v>73921.27</v>
      </c>
      <c r="BQ158" s="357"/>
    </row>
    <row r="159" spans="1:69" s="86" customFormat="1" ht="31.5" customHeight="1" collapsed="1">
      <c r="A159" s="378" t="s">
        <v>377</v>
      </c>
      <c r="B159" s="359"/>
      <c r="C159" s="86" t="s">
        <v>201</v>
      </c>
      <c r="D159" s="646" t="s">
        <v>23</v>
      </c>
      <c r="E159" s="646">
        <v>2</v>
      </c>
      <c r="F159" s="646" t="s">
        <v>71</v>
      </c>
      <c r="G159" s="646">
        <v>244</v>
      </c>
      <c r="H159" s="716">
        <v>224</v>
      </c>
      <c r="I159" s="717" t="s">
        <v>151</v>
      </c>
      <c r="J159" s="13">
        <f>J160</f>
        <v>0</v>
      </c>
      <c r="K159" s="13"/>
      <c r="L159" s="13"/>
      <c r="M159" s="661"/>
      <c r="N159" s="13">
        <f>N160</f>
        <v>0</v>
      </c>
      <c r="O159" s="661"/>
      <c r="P159" s="13">
        <f>P160</f>
        <v>0</v>
      </c>
      <c r="Q159" s="665"/>
      <c r="R159" s="334"/>
      <c r="S159" s="305"/>
      <c r="T159" s="305"/>
      <c r="U159" s="305"/>
      <c r="W159" s="367">
        <f t="shared" si="134"/>
        <v>0</v>
      </c>
      <c r="X159" s="363">
        <f t="shared" si="134"/>
        <v>0</v>
      </c>
      <c r="Y159" s="280">
        <f t="shared" si="135"/>
        <v>0</v>
      </c>
      <c r="Z159" s="367">
        <f t="shared" si="136"/>
        <v>0</v>
      </c>
      <c r="AA159" s="363">
        <f t="shared" si="136"/>
        <v>0</v>
      </c>
      <c r="AB159" s="280">
        <f t="shared" si="137"/>
        <v>0</v>
      </c>
      <c r="AC159" s="367">
        <f t="shared" si="138"/>
        <v>0</v>
      </c>
      <c r="AD159" s="363">
        <f t="shared" si="138"/>
        <v>0</v>
      </c>
      <c r="AE159" s="280">
        <f t="shared" si="139"/>
        <v>0</v>
      </c>
      <c r="AF159" s="367">
        <f t="shared" si="140"/>
        <v>0</v>
      </c>
      <c r="AG159" s="363">
        <f t="shared" si="140"/>
        <v>0</v>
      </c>
      <c r="AH159" s="280">
        <f t="shared" si="141"/>
        <v>0</v>
      </c>
      <c r="AI159" s="210"/>
      <c r="AJ159" s="367">
        <f t="shared" si="142"/>
        <v>0</v>
      </c>
      <c r="AK159" s="363">
        <f t="shared" si="142"/>
        <v>0</v>
      </c>
      <c r="AL159" s="280">
        <f t="shared" si="143"/>
        <v>0</v>
      </c>
      <c r="AM159" s="367">
        <f t="shared" si="144"/>
        <v>0</v>
      </c>
      <c r="AN159" s="363">
        <f t="shared" si="144"/>
        <v>0</v>
      </c>
      <c r="AO159" s="280">
        <f t="shared" si="130"/>
        <v>0</v>
      </c>
      <c r="AP159" s="263">
        <f t="shared" si="131"/>
        <v>0</v>
      </c>
      <c r="AQ159" s="10">
        <f t="shared" si="131"/>
        <v>0</v>
      </c>
      <c r="AR159" s="650">
        <f t="shared" si="132"/>
        <v>0</v>
      </c>
      <c r="AS159" s="607">
        <f t="shared" si="133"/>
        <v>0</v>
      </c>
      <c r="AT159" s="263">
        <f t="shared" ref="AT159:BQ159" si="149">AT160</f>
        <v>0</v>
      </c>
      <c r="AU159" s="363">
        <f t="shared" si="149"/>
        <v>0</v>
      </c>
      <c r="AV159" s="10">
        <f t="shared" si="149"/>
        <v>0</v>
      </c>
      <c r="AW159" s="363">
        <f t="shared" si="149"/>
        <v>0</v>
      </c>
      <c r="AX159" s="10">
        <f t="shared" si="149"/>
        <v>0</v>
      </c>
      <c r="AY159" s="369">
        <f t="shared" si="149"/>
        <v>0</v>
      </c>
      <c r="AZ159" s="263">
        <f t="shared" si="149"/>
        <v>0</v>
      </c>
      <c r="BA159" s="363">
        <f t="shared" si="149"/>
        <v>0</v>
      </c>
      <c r="BB159" s="10">
        <f t="shared" si="149"/>
        <v>0</v>
      </c>
      <c r="BC159" s="363">
        <f t="shared" si="149"/>
        <v>0</v>
      </c>
      <c r="BD159" s="10">
        <f t="shared" si="149"/>
        <v>0</v>
      </c>
      <c r="BE159" s="369">
        <f t="shared" si="149"/>
        <v>0</v>
      </c>
      <c r="BF159" s="263">
        <f t="shared" si="149"/>
        <v>0</v>
      </c>
      <c r="BG159" s="363">
        <f t="shared" si="149"/>
        <v>0</v>
      </c>
      <c r="BH159" s="10">
        <f t="shared" si="149"/>
        <v>0</v>
      </c>
      <c r="BI159" s="363">
        <f t="shared" si="149"/>
        <v>0</v>
      </c>
      <c r="BJ159" s="10">
        <f t="shared" si="149"/>
        <v>0</v>
      </c>
      <c r="BK159" s="369">
        <f t="shared" si="149"/>
        <v>0</v>
      </c>
      <c r="BL159" s="263">
        <f t="shared" si="149"/>
        <v>0</v>
      </c>
      <c r="BM159" s="363">
        <f t="shared" si="149"/>
        <v>0</v>
      </c>
      <c r="BN159" s="10">
        <f t="shared" si="149"/>
        <v>0</v>
      </c>
      <c r="BO159" s="363">
        <f t="shared" si="149"/>
        <v>0</v>
      </c>
      <c r="BP159" s="10">
        <f t="shared" si="149"/>
        <v>0</v>
      </c>
      <c r="BQ159" s="280">
        <f t="shared" si="149"/>
        <v>0</v>
      </c>
    </row>
    <row r="160" spans="1:69" s="313" customFormat="1" ht="38.25" hidden="1" outlineLevel="1">
      <c r="D160" s="686" t="s">
        <v>23</v>
      </c>
      <c r="E160" s="687">
        <v>2</v>
      </c>
      <c r="F160" s="688" t="s">
        <v>71</v>
      </c>
      <c r="G160" s="688">
        <v>244</v>
      </c>
      <c r="H160" s="689">
        <v>224</v>
      </c>
      <c r="I160" s="690" t="s">
        <v>264</v>
      </c>
      <c r="J160" s="693">
        <v>0</v>
      </c>
      <c r="K160" s="692"/>
      <c r="L160" s="692"/>
      <c r="M160" s="570"/>
      <c r="N160" s="693">
        <v>0</v>
      </c>
      <c r="O160" s="559"/>
      <c r="P160" s="705">
        <v>0</v>
      </c>
      <c r="Q160" s="559"/>
      <c r="R160" s="335"/>
      <c r="S160" s="320" t="s">
        <v>265</v>
      </c>
      <c r="T160" s="320"/>
      <c r="U160" s="320"/>
      <c r="W160" s="336">
        <f t="shared" si="134"/>
        <v>0</v>
      </c>
      <c r="X160" s="337">
        <f t="shared" si="134"/>
        <v>0</v>
      </c>
      <c r="Y160" s="338">
        <f t="shared" si="135"/>
        <v>0</v>
      </c>
      <c r="Z160" s="336">
        <f t="shared" si="136"/>
        <v>0</v>
      </c>
      <c r="AA160" s="337">
        <f t="shared" si="136"/>
        <v>0</v>
      </c>
      <c r="AB160" s="338">
        <f t="shared" si="137"/>
        <v>0</v>
      </c>
      <c r="AC160" s="336">
        <f t="shared" si="138"/>
        <v>0</v>
      </c>
      <c r="AD160" s="337">
        <f t="shared" si="138"/>
        <v>0</v>
      </c>
      <c r="AE160" s="338">
        <f t="shared" si="139"/>
        <v>0</v>
      </c>
      <c r="AF160" s="336">
        <f t="shared" si="140"/>
        <v>0</v>
      </c>
      <c r="AG160" s="337">
        <f t="shared" si="140"/>
        <v>0</v>
      </c>
      <c r="AH160" s="338">
        <f t="shared" si="141"/>
        <v>0</v>
      </c>
      <c r="AI160" s="342"/>
      <c r="AJ160" s="336">
        <f t="shared" si="142"/>
        <v>0</v>
      </c>
      <c r="AK160" s="339">
        <f t="shared" si="142"/>
        <v>0</v>
      </c>
      <c r="AL160" s="340">
        <f t="shared" si="143"/>
        <v>0</v>
      </c>
      <c r="AM160" s="336">
        <f t="shared" si="144"/>
        <v>0</v>
      </c>
      <c r="AN160" s="339">
        <f t="shared" si="144"/>
        <v>0</v>
      </c>
      <c r="AO160" s="340">
        <f t="shared" si="130"/>
        <v>0</v>
      </c>
      <c r="AP160" s="341">
        <f t="shared" si="131"/>
        <v>0</v>
      </c>
      <c r="AQ160" s="339">
        <f t="shared" si="131"/>
        <v>0</v>
      </c>
      <c r="AR160" s="340">
        <f t="shared" si="132"/>
        <v>0</v>
      </c>
      <c r="AS160" s="589">
        <f t="shared" si="133"/>
        <v>0</v>
      </c>
      <c r="AT160" s="343"/>
      <c r="AU160" s="344"/>
      <c r="AV160" s="345"/>
      <c r="AW160" s="344"/>
      <c r="AX160" s="345"/>
      <c r="AY160" s="346"/>
      <c r="AZ160" s="347"/>
      <c r="BA160" s="348"/>
      <c r="BB160" s="349"/>
      <c r="BC160" s="348"/>
      <c r="BD160" s="349"/>
      <c r="BE160" s="350"/>
      <c r="BF160" s="351"/>
      <c r="BG160" s="352"/>
      <c r="BH160" s="337"/>
      <c r="BI160" s="352"/>
      <c r="BJ160" s="337"/>
      <c r="BK160" s="353"/>
      <c r="BL160" s="354"/>
      <c r="BM160" s="355"/>
      <c r="BN160" s="356"/>
      <c r="BO160" s="355"/>
      <c r="BP160" s="356"/>
      <c r="BQ160" s="357"/>
    </row>
    <row r="161" spans="1:69" s="86" customFormat="1" ht="31.5" customHeight="1">
      <c r="A161" s="378" t="s">
        <v>377</v>
      </c>
      <c r="B161" s="370"/>
      <c r="C161" s="86" t="s">
        <v>201</v>
      </c>
      <c r="D161" s="646" t="s">
        <v>23</v>
      </c>
      <c r="E161" s="646">
        <v>2</v>
      </c>
      <c r="F161" s="646" t="s">
        <v>71</v>
      </c>
      <c r="G161" s="646">
        <v>244</v>
      </c>
      <c r="H161" s="716">
        <v>225</v>
      </c>
      <c r="I161" s="717" t="s">
        <v>148</v>
      </c>
      <c r="J161" s="13">
        <f>SUM(J162:J164)</f>
        <v>182466.04</v>
      </c>
      <c r="K161" s="13"/>
      <c r="L161" s="13"/>
      <c r="M161" s="661"/>
      <c r="N161" s="13">
        <f t="shared" ref="N161:P161" si="150">SUM(N162:N164)</f>
        <v>88868.2</v>
      </c>
      <c r="O161" s="661">
        <f t="shared" si="150"/>
        <v>0</v>
      </c>
      <c r="P161" s="13">
        <f t="shared" si="150"/>
        <v>88868.21</v>
      </c>
      <c r="Q161" s="665"/>
      <c r="R161" s="334"/>
      <c r="S161" s="305"/>
      <c r="T161" s="305"/>
      <c r="U161" s="654">
        <f>1-U48</f>
        <v>0.25430000000000003</v>
      </c>
      <c r="W161" s="367">
        <f t="shared" ref="W161:X176" si="151">AT161+AV161+AX161</f>
        <v>10000</v>
      </c>
      <c r="X161" s="363">
        <f t="shared" si="151"/>
        <v>0</v>
      </c>
      <c r="Y161" s="280">
        <f t="shared" si="135"/>
        <v>10000</v>
      </c>
      <c r="Z161" s="367">
        <f t="shared" ref="Z161:AA176" si="152">AZ161+BB161+BD161</f>
        <v>10000</v>
      </c>
      <c r="AA161" s="363">
        <f t="shared" si="152"/>
        <v>0</v>
      </c>
      <c r="AB161" s="280">
        <f t="shared" si="137"/>
        <v>10000</v>
      </c>
      <c r="AC161" s="367">
        <f t="shared" ref="AC161:AD176" si="153">BF161+BH161+BJ161</f>
        <v>35000</v>
      </c>
      <c r="AD161" s="363">
        <f t="shared" si="153"/>
        <v>0</v>
      </c>
      <c r="AE161" s="280">
        <f t="shared" si="139"/>
        <v>35000</v>
      </c>
      <c r="AF161" s="367">
        <f t="shared" ref="AF161:AG176" si="154">BL161+BN161+BP161</f>
        <v>127466.04</v>
      </c>
      <c r="AG161" s="363">
        <f t="shared" si="154"/>
        <v>0</v>
      </c>
      <c r="AH161" s="280">
        <f t="shared" si="141"/>
        <v>127466.04</v>
      </c>
      <c r="AI161" s="210"/>
      <c r="AJ161" s="367">
        <f t="shared" ref="AJ161:AK176" si="155">W161+Z161</f>
        <v>20000</v>
      </c>
      <c r="AK161" s="363">
        <f t="shared" si="155"/>
        <v>0</v>
      </c>
      <c r="AL161" s="280">
        <f t="shared" si="143"/>
        <v>20000</v>
      </c>
      <c r="AM161" s="367">
        <f t="shared" ref="AM161:AN176" si="156">W161+Z161+AC161</f>
        <v>55000</v>
      </c>
      <c r="AN161" s="363">
        <f t="shared" si="156"/>
        <v>0</v>
      </c>
      <c r="AO161" s="280">
        <f t="shared" si="130"/>
        <v>55000</v>
      </c>
      <c r="AP161" s="263">
        <f t="shared" ref="AP161:AQ176" si="157">W161+Z161+AC161+AF161</f>
        <v>182466.04</v>
      </c>
      <c r="AQ161" s="10">
        <f t="shared" si="157"/>
        <v>0</v>
      </c>
      <c r="AR161" s="650">
        <f t="shared" si="132"/>
        <v>182466.04</v>
      </c>
      <c r="AS161" s="607">
        <f t="shared" si="133"/>
        <v>0</v>
      </c>
      <c r="AT161" s="263">
        <f t="shared" ref="AT161:BQ161" si="158">SUM(AT162:AT164)</f>
        <v>0</v>
      </c>
      <c r="AU161" s="367">
        <f t="shared" si="158"/>
        <v>0</v>
      </c>
      <c r="AV161" s="263">
        <f t="shared" si="158"/>
        <v>10000</v>
      </c>
      <c r="AW161" s="367">
        <f t="shared" si="158"/>
        <v>0</v>
      </c>
      <c r="AX161" s="263">
        <f t="shared" si="158"/>
        <v>0</v>
      </c>
      <c r="AY161" s="367">
        <f t="shared" si="158"/>
        <v>0</v>
      </c>
      <c r="AZ161" s="263">
        <f t="shared" si="158"/>
        <v>0</v>
      </c>
      <c r="BA161" s="367">
        <f t="shared" si="158"/>
        <v>0</v>
      </c>
      <c r="BB161" s="263">
        <f t="shared" si="158"/>
        <v>10000</v>
      </c>
      <c r="BC161" s="367">
        <f t="shared" si="158"/>
        <v>0</v>
      </c>
      <c r="BD161" s="263">
        <f t="shared" si="158"/>
        <v>0</v>
      </c>
      <c r="BE161" s="367">
        <f t="shared" si="158"/>
        <v>0</v>
      </c>
      <c r="BF161" s="263">
        <f t="shared" si="158"/>
        <v>25000</v>
      </c>
      <c r="BG161" s="367">
        <f t="shared" si="158"/>
        <v>0</v>
      </c>
      <c r="BH161" s="263">
        <f t="shared" si="158"/>
        <v>10000</v>
      </c>
      <c r="BI161" s="367">
        <f t="shared" si="158"/>
        <v>0</v>
      </c>
      <c r="BJ161" s="263">
        <f t="shared" si="158"/>
        <v>0</v>
      </c>
      <c r="BK161" s="367">
        <f t="shared" si="158"/>
        <v>0</v>
      </c>
      <c r="BL161" s="263">
        <f t="shared" si="158"/>
        <v>25000</v>
      </c>
      <c r="BM161" s="367">
        <f t="shared" si="158"/>
        <v>0</v>
      </c>
      <c r="BN161" s="263">
        <f t="shared" si="158"/>
        <v>10000</v>
      </c>
      <c r="BO161" s="367">
        <f t="shared" si="158"/>
        <v>0</v>
      </c>
      <c r="BP161" s="263">
        <f t="shared" si="158"/>
        <v>92466.04</v>
      </c>
      <c r="BQ161" s="367">
        <f t="shared" si="158"/>
        <v>0</v>
      </c>
    </row>
    <row r="162" spans="1:69" s="313" customFormat="1" ht="76.5" hidden="1">
      <c r="D162" s="686" t="s">
        <v>23</v>
      </c>
      <c r="E162" s="687">
        <v>2</v>
      </c>
      <c r="F162" s="688" t="s">
        <v>71</v>
      </c>
      <c r="G162" s="688">
        <v>244</v>
      </c>
      <c r="H162" s="689">
        <v>225</v>
      </c>
      <c r="I162" s="703" t="s">
        <v>263</v>
      </c>
      <c r="J162" s="692">
        <v>50000</v>
      </c>
      <c r="K162" s="692"/>
      <c r="L162" s="692"/>
      <c r="M162" s="329"/>
      <c r="N162" s="704">
        <v>0</v>
      </c>
      <c r="O162" s="329"/>
      <c r="P162" s="704">
        <v>0</v>
      </c>
      <c r="Q162" s="329"/>
      <c r="R162" s="335"/>
      <c r="S162" s="320" t="s">
        <v>255</v>
      </c>
      <c r="T162" s="320"/>
      <c r="U162" s="320"/>
      <c r="W162" s="336">
        <f>AT162+AV162+AX162</f>
        <v>0</v>
      </c>
      <c r="X162" s="337">
        <f>AU162+AW162+AY162</f>
        <v>0</v>
      </c>
      <c r="Y162" s="338">
        <f>W162-X162</f>
        <v>0</v>
      </c>
      <c r="Z162" s="336">
        <f>AZ162+BB162+BD162</f>
        <v>0</v>
      </c>
      <c r="AA162" s="337">
        <f>BA162+BC162+BE162</f>
        <v>0</v>
      </c>
      <c r="AB162" s="338">
        <f>Z162-AA162</f>
        <v>0</v>
      </c>
      <c r="AC162" s="336">
        <f>BF162+BH162+BJ162</f>
        <v>25000</v>
      </c>
      <c r="AD162" s="337">
        <f>BG162+BI162+BK162</f>
        <v>0</v>
      </c>
      <c r="AE162" s="338">
        <f>AC162-AD162</f>
        <v>25000</v>
      </c>
      <c r="AF162" s="336">
        <f>BL162+BN162+BP162</f>
        <v>25000</v>
      </c>
      <c r="AG162" s="337">
        <f>BM162+BO162+BQ162</f>
        <v>0</v>
      </c>
      <c r="AH162" s="338">
        <f>AF162-AG162</f>
        <v>25000</v>
      </c>
      <c r="AI162" s="342"/>
      <c r="AJ162" s="336">
        <f>W162+Z162</f>
        <v>0</v>
      </c>
      <c r="AK162" s="339">
        <f>X162+AA162</f>
        <v>0</v>
      </c>
      <c r="AL162" s="340">
        <f>AJ162-AK162</f>
        <v>0</v>
      </c>
      <c r="AM162" s="336">
        <f>W162+Z162+AC162</f>
        <v>25000</v>
      </c>
      <c r="AN162" s="339">
        <f>X162+AA162+AD162</f>
        <v>0</v>
      </c>
      <c r="AO162" s="340">
        <f>AM162-AN162</f>
        <v>25000</v>
      </c>
      <c r="AP162" s="341">
        <f>W162+Z162+AC162+AF162</f>
        <v>50000</v>
      </c>
      <c r="AQ162" s="339">
        <f>X162+AA162+AD162+AG162</f>
        <v>0</v>
      </c>
      <c r="AR162" s="340">
        <f>AP162-AQ162</f>
        <v>50000</v>
      </c>
      <c r="AS162" s="589"/>
      <c r="AT162" s="343"/>
      <c r="AU162" s="344"/>
      <c r="AV162" s="345"/>
      <c r="AW162" s="344"/>
      <c r="AX162" s="345"/>
      <c r="AY162" s="346"/>
      <c r="AZ162" s="347"/>
      <c r="BA162" s="348"/>
      <c r="BB162" s="349"/>
      <c r="BC162" s="348"/>
      <c r="BD162" s="349"/>
      <c r="BE162" s="350"/>
      <c r="BF162" s="351">
        <v>25000</v>
      </c>
      <c r="BG162" s="352"/>
      <c r="BH162" s="337"/>
      <c r="BI162" s="352"/>
      <c r="BJ162" s="337"/>
      <c r="BK162" s="353"/>
      <c r="BL162" s="354">
        <v>25000</v>
      </c>
      <c r="BM162" s="355"/>
      <c r="BN162" s="356"/>
      <c r="BO162" s="355"/>
      <c r="BP162" s="356"/>
      <c r="BQ162" s="357"/>
    </row>
    <row r="163" spans="1:69" s="313" customFormat="1" ht="25.5" hidden="1">
      <c r="D163" s="373" t="s">
        <v>23</v>
      </c>
      <c r="E163" s="315">
        <v>2</v>
      </c>
      <c r="F163" s="314" t="s">
        <v>71</v>
      </c>
      <c r="G163" s="314">
        <v>244</v>
      </c>
      <c r="H163" s="316">
        <v>225</v>
      </c>
      <c r="I163" s="317" t="s">
        <v>388</v>
      </c>
      <c r="J163" s="318">
        <v>40000</v>
      </c>
      <c r="K163" s="318"/>
      <c r="L163" s="318"/>
      <c r="M163" s="329"/>
      <c r="N163" s="319">
        <v>0</v>
      </c>
      <c r="O163" s="329"/>
      <c r="P163" s="319">
        <v>0</v>
      </c>
      <c r="Q163" s="329"/>
      <c r="R163" s="335"/>
      <c r="S163" s="596" t="s">
        <v>390</v>
      </c>
      <c r="T163" s="596"/>
      <c r="U163" s="596" t="s">
        <v>381</v>
      </c>
      <c r="W163" s="336">
        <f>AT163+AV163+AX163</f>
        <v>10000</v>
      </c>
      <c r="X163" s="337">
        <f>AU163+AW163+AY163</f>
        <v>0</v>
      </c>
      <c r="Y163" s="338">
        <f>W163-X163</f>
        <v>10000</v>
      </c>
      <c r="Z163" s="336">
        <f>AZ163+BB163+BD163</f>
        <v>10000</v>
      </c>
      <c r="AA163" s="337">
        <f>BA163+BC163+BE163</f>
        <v>0</v>
      </c>
      <c r="AB163" s="338">
        <f>Z163-AA163</f>
        <v>10000</v>
      </c>
      <c r="AC163" s="336">
        <f>BF163+BH163+BJ163</f>
        <v>10000</v>
      </c>
      <c r="AD163" s="337">
        <f>BG163+BI163+BK163</f>
        <v>0</v>
      </c>
      <c r="AE163" s="338">
        <f>AC163-AD163</f>
        <v>10000</v>
      </c>
      <c r="AF163" s="336">
        <f>BL163+BN163+BP163</f>
        <v>10000</v>
      </c>
      <c r="AG163" s="337">
        <f>BM163+BO163+BQ163</f>
        <v>0</v>
      </c>
      <c r="AH163" s="338">
        <f>AF163-AG163</f>
        <v>10000</v>
      </c>
      <c r="AI163" s="342"/>
      <c r="AJ163" s="336">
        <f>W163+Z163</f>
        <v>20000</v>
      </c>
      <c r="AK163" s="339">
        <f>X163+AA163</f>
        <v>0</v>
      </c>
      <c r="AL163" s="340">
        <f>AJ163-AK163</f>
        <v>20000</v>
      </c>
      <c r="AM163" s="336">
        <f>W163+Z163+AC163</f>
        <v>30000</v>
      </c>
      <c r="AN163" s="339">
        <f>X163+AA163+AD163</f>
        <v>0</v>
      </c>
      <c r="AO163" s="340">
        <f>AM163-AN163</f>
        <v>30000</v>
      </c>
      <c r="AP163" s="341">
        <f>W163+Z163+AC163+AF163</f>
        <v>40000</v>
      </c>
      <c r="AQ163" s="339">
        <f>X163+AA163+AD163+AG163</f>
        <v>0</v>
      </c>
      <c r="AR163" s="340">
        <f>AP163-AQ163</f>
        <v>40000</v>
      </c>
      <c r="AS163" s="589"/>
      <c r="AT163" s="343"/>
      <c r="AU163" s="344"/>
      <c r="AV163" s="345">
        <v>10000</v>
      </c>
      <c r="AW163" s="344"/>
      <c r="AX163" s="345"/>
      <c r="AY163" s="346"/>
      <c r="AZ163" s="347"/>
      <c r="BA163" s="348"/>
      <c r="BB163" s="349">
        <v>10000</v>
      </c>
      <c r="BC163" s="348"/>
      <c r="BD163" s="349"/>
      <c r="BE163" s="350"/>
      <c r="BF163" s="351"/>
      <c r="BG163" s="352"/>
      <c r="BH163" s="337">
        <v>10000</v>
      </c>
      <c r="BI163" s="352"/>
      <c r="BJ163" s="337"/>
      <c r="BK163" s="353"/>
      <c r="BL163" s="354"/>
      <c r="BM163" s="355"/>
      <c r="BN163" s="356">
        <v>10000</v>
      </c>
      <c r="BO163" s="355"/>
      <c r="BP163" s="356"/>
      <c r="BQ163" s="357"/>
    </row>
    <row r="164" spans="1:69" s="313" customFormat="1" ht="25.5" hidden="1" outlineLevel="1">
      <c r="B164" s="390" t="s">
        <v>207</v>
      </c>
      <c r="D164" s="373" t="s">
        <v>23</v>
      </c>
      <c r="E164" s="315">
        <v>2</v>
      </c>
      <c r="F164" s="314" t="s">
        <v>71</v>
      </c>
      <c r="G164" s="314">
        <v>244</v>
      </c>
      <c r="H164" s="316">
        <v>225</v>
      </c>
      <c r="I164" s="533" t="s">
        <v>209</v>
      </c>
      <c r="J164" s="341">
        <v>92466.04</v>
      </c>
      <c r="K164" s="318"/>
      <c r="L164" s="318"/>
      <c r="M164" s="570"/>
      <c r="N164" s="336">
        <v>88868.2</v>
      </c>
      <c r="O164" s="559"/>
      <c r="P164" s="541">
        <v>88868.21</v>
      </c>
      <c r="Q164" s="559"/>
      <c r="R164" s="335"/>
      <c r="S164" s="320" t="s">
        <v>208</v>
      </c>
      <c r="T164" s="388"/>
      <c r="U164" s="388"/>
      <c r="W164" s="336">
        <f t="shared" si="151"/>
        <v>0</v>
      </c>
      <c r="X164" s="337">
        <f t="shared" si="151"/>
        <v>0</v>
      </c>
      <c r="Y164" s="338">
        <f t="shared" si="135"/>
        <v>0</v>
      </c>
      <c r="Z164" s="336">
        <f t="shared" si="152"/>
        <v>0</v>
      </c>
      <c r="AA164" s="337">
        <f t="shared" si="152"/>
        <v>0</v>
      </c>
      <c r="AB164" s="338">
        <f t="shared" si="137"/>
        <v>0</v>
      </c>
      <c r="AC164" s="336">
        <f t="shared" si="153"/>
        <v>0</v>
      </c>
      <c r="AD164" s="337">
        <f t="shared" si="153"/>
        <v>0</v>
      </c>
      <c r="AE164" s="338">
        <f t="shared" si="139"/>
        <v>0</v>
      </c>
      <c r="AF164" s="336">
        <f t="shared" si="154"/>
        <v>92466.04</v>
      </c>
      <c r="AG164" s="337">
        <f t="shared" si="154"/>
        <v>0</v>
      </c>
      <c r="AH164" s="338">
        <f t="shared" si="141"/>
        <v>92466.04</v>
      </c>
      <c r="AI164" s="342"/>
      <c r="AJ164" s="336">
        <f t="shared" si="155"/>
        <v>0</v>
      </c>
      <c r="AK164" s="339">
        <f t="shared" si="155"/>
        <v>0</v>
      </c>
      <c r="AL164" s="340">
        <f t="shared" si="143"/>
        <v>0</v>
      </c>
      <c r="AM164" s="336">
        <f t="shared" si="156"/>
        <v>0</v>
      </c>
      <c r="AN164" s="339">
        <f t="shared" si="156"/>
        <v>0</v>
      </c>
      <c r="AO164" s="340">
        <f t="shared" si="130"/>
        <v>0</v>
      </c>
      <c r="AP164" s="341">
        <f t="shared" si="157"/>
        <v>92466.04</v>
      </c>
      <c r="AQ164" s="339">
        <f t="shared" si="157"/>
        <v>0</v>
      </c>
      <c r="AR164" s="340">
        <f t="shared" si="132"/>
        <v>92466.04</v>
      </c>
      <c r="AS164" s="589">
        <f t="shared" ref="AS164:AS184" si="159">J164-AP164</f>
        <v>0</v>
      </c>
      <c r="AT164" s="343"/>
      <c r="AU164" s="344"/>
      <c r="AV164" s="345"/>
      <c r="AW164" s="344"/>
      <c r="AX164" s="345"/>
      <c r="AY164" s="346"/>
      <c r="AZ164" s="347"/>
      <c r="BA164" s="348"/>
      <c r="BB164" s="349"/>
      <c r="BC164" s="348"/>
      <c r="BD164" s="349"/>
      <c r="BE164" s="350"/>
      <c r="BF164" s="351"/>
      <c r="BG164" s="352"/>
      <c r="BH164" s="337"/>
      <c r="BI164" s="352"/>
      <c r="BJ164" s="337"/>
      <c r="BK164" s="353"/>
      <c r="BL164" s="354"/>
      <c r="BM164" s="355"/>
      <c r="BN164" s="356"/>
      <c r="BO164" s="355"/>
      <c r="BP164" s="356">
        <v>92466.04</v>
      </c>
      <c r="BQ164" s="357"/>
    </row>
    <row r="165" spans="1:69" s="86" customFormat="1" ht="31.5" customHeight="1" collapsed="1">
      <c r="A165" s="378" t="s">
        <v>377</v>
      </c>
      <c r="B165" s="359"/>
      <c r="C165" s="86" t="s">
        <v>201</v>
      </c>
      <c r="D165" s="646" t="s">
        <v>23</v>
      </c>
      <c r="E165" s="646">
        <v>2</v>
      </c>
      <c r="F165" s="646" t="s">
        <v>71</v>
      </c>
      <c r="G165" s="646">
        <v>244</v>
      </c>
      <c r="H165" s="716">
        <v>226</v>
      </c>
      <c r="I165" s="717" t="s">
        <v>150</v>
      </c>
      <c r="J165" s="13">
        <f>J166</f>
        <v>427623.5</v>
      </c>
      <c r="K165" s="13"/>
      <c r="L165" s="13"/>
      <c r="M165" s="661"/>
      <c r="N165" s="13">
        <f>N166</f>
        <v>522589.64</v>
      </c>
      <c r="O165" s="661"/>
      <c r="P165" s="13">
        <f>P166</f>
        <v>563177.71</v>
      </c>
      <c r="Q165" s="665"/>
      <c r="R165" s="334"/>
      <c r="S165" s="305"/>
      <c r="T165" s="305"/>
      <c r="U165" s="654">
        <f>1-U55</f>
        <v>0.5897</v>
      </c>
      <c r="W165" s="367">
        <f t="shared" si="151"/>
        <v>0</v>
      </c>
      <c r="X165" s="363">
        <f t="shared" si="151"/>
        <v>0</v>
      </c>
      <c r="Y165" s="280">
        <f t="shared" si="135"/>
        <v>0</v>
      </c>
      <c r="Z165" s="367">
        <f t="shared" si="152"/>
        <v>0</v>
      </c>
      <c r="AA165" s="363">
        <f t="shared" si="152"/>
        <v>0</v>
      </c>
      <c r="AB165" s="280">
        <f t="shared" si="137"/>
        <v>0</v>
      </c>
      <c r="AC165" s="367">
        <f t="shared" si="153"/>
        <v>0</v>
      </c>
      <c r="AD165" s="363">
        <f t="shared" si="153"/>
        <v>0</v>
      </c>
      <c r="AE165" s="280">
        <f t="shared" si="139"/>
        <v>0</v>
      </c>
      <c r="AF165" s="367">
        <f t="shared" si="154"/>
        <v>427623.5</v>
      </c>
      <c r="AG165" s="363">
        <f t="shared" si="154"/>
        <v>0</v>
      </c>
      <c r="AH165" s="280">
        <f t="shared" si="141"/>
        <v>427623.5</v>
      </c>
      <c r="AI165" s="210"/>
      <c r="AJ165" s="367">
        <f t="shared" si="155"/>
        <v>0</v>
      </c>
      <c r="AK165" s="363">
        <f t="shared" si="155"/>
        <v>0</v>
      </c>
      <c r="AL165" s="280">
        <f t="shared" si="143"/>
        <v>0</v>
      </c>
      <c r="AM165" s="367">
        <f t="shared" si="156"/>
        <v>0</v>
      </c>
      <c r="AN165" s="363">
        <f t="shared" si="156"/>
        <v>0</v>
      </c>
      <c r="AO165" s="280">
        <f t="shared" si="130"/>
        <v>0</v>
      </c>
      <c r="AP165" s="263">
        <f t="shared" si="157"/>
        <v>427623.5</v>
      </c>
      <c r="AQ165" s="10">
        <f t="shared" si="157"/>
        <v>0</v>
      </c>
      <c r="AR165" s="650">
        <f t="shared" si="132"/>
        <v>427623.5</v>
      </c>
      <c r="AS165" s="607">
        <f t="shared" si="159"/>
        <v>0</v>
      </c>
      <c r="AT165" s="263">
        <f>AT166</f>
        <v>0</v>
      </c>
      <c r="AU165" s="363">
        <f t="shared" ref="AU165:BQ165" si="160">AU166</f>
        <v>0</v>
      </c>
      <c r="AV165" s="10">
        <f t="shared" si="160"/>
        <v>0</v>
      </c>
      <c r="AW165" s="363">
        <f t="shared" si="160"/>
        <v>0</v>
      </c>
      <c r="AX165" s="10">
        <f t="shared" si="160"/>
        <v>0</v>
      </c>
      <c r="AY165" s="369">
        <f t="shared" si="160"/>
        <v>0</v>
      </c>
      <c r="AZ165" s="263">
        <f t="shared" si="160"/>
        <v>0</v>
      </c>
      <c r="BA165" s="363">
        <f t="shared" si="160"/>
        <v>0</v>
      </c>
      <c r="BB165" s="10">
        <f t="shared" si="160"/>
        <v>0</v>
      </c>
      <c r="BC165" s="363">
        <f t="shared" si="160"/>
        <v>0</v>
      </c>
      <c r="BD165" s="10">
        <f t="shared" si="160"/>
        <v>0</v>
      </c>
      <c r="BE165" s="369">
        <f t="shared" si="160"/>
        <v>0</v>
      </c>
      <c r="BF165" s="263">
        <f t="shared" si="160"/>
        <v>0</v>
      </c>
      <c r="BG165" s="363">
        <f t="shared" si="160"/>
        <v>0</v>
      </c>
      <c r="BH165" s="10">
        <f t="shared" si="160"/>
        <v>0</v>
      </c>
      <c r="BI165" s="363">
        <f t="shared" si="160"/>
        <v>0</v>
      </c>
      <c r="BJ165" s="10">
        <f t="shared" si="160"/>
        <v>0</v>
      </c>
      <c r="BK165" s="369">
        <f t="shared" si="160"/>
        <v>0</v>
      </c>
      <c r="BL165" s="263">
        <f t="shared" si="160"/>
        <v>0</v>
      </c>
      <c r="BM165" s="363">
        <f t="shared" si="160"/>
        <v>0</v>
      </c>
      <c r="BN165" s="10">
        <f t="shared" si="160"/>
        <v>0</v>
      </c>
      <c r="BO165" s="363">
        <f t="shared" si="160"/>
        <v>0</v>
      </c>
      <c r="BP165" s="10">
        <f t="shared" si="160"/>
        <v>427623.5</v>
      </c>
      <c r="BQ165" s="280">
        <f t="shared" si="160"/>
        <v>0</v>
      </c>
    </row>
    <row r="166" spans="1:69" s="313" customFormat="1" ht="25.5" hidden="1" outlineLevel="1">
      <c r="D166" s="686" t="s">
        <v>23</v>
      </c>
      <c r="E166" s="687">
        <v>2</v>
      </c>
      <c r="F166" s="688" t="s">
        <v>71</v>
      </c>
      <c r="G166" s="688">
        <v>244</v>
      </c>
      <c r="H166" s="689">
        <v>226</v>
      </c>
      <c r="I166" s="690" t="s">
        <v>267</v>
      </c>
      <c r="J166" s="691">
        <v>427623.5</v>
      </c>
      <c r="K166" s="692"/>
      <c r="L166" s="692"/>
      <c r="M166" s="570"/>
      <c r="N166" s="693">
        <v>522589.64</v>
      </c>
      <c r="O166" s="559"/>
      <c r="P166" s="705">
        <v>563177.71</v>
      </c>
      <c r="Q166" s="559"/>
      <c r="R166" s="335"/>
      <c r="S166" s="320" t="s">
        <v>268</v>
      </c>
      <c r="T166" s="388" t="s">
        <v>269</v>
      </c>
      <c r="U166" s="388" t="s">
        <v>270</v>
      </c>
      <c r="W166" s="336">
        <f t="shared" si="151"/>
        <v>0</v>
      </c>
      <c r="X166" s="337">
        <f t="shared" si="151"/>
        <v>0</v>
      </c>
      <c r="Y166" s="338">
        <f t="shared" si="135"/>
        <v>0</v>
      </c>
      <c r="Z166" s="336">
        <f t="shared" si="152"/>
        <v>0</v>
      </c>
      <c r="AA166" s="337">
        <f t="shared" si="152"/>
        <v>0</v>
      </c>
      <c r="AB166" s="338">
        <f t="shared" si="137"/>
        <v>0</v>
      </c>
      <c r="AC166" s="336">
        <f t="shared" si="153"/>
        <v>0</v>
      </c>
      <c r="AD166" s="337">
        <f t="shared" si="153"/>
        <v>0</v>
      </c>
      <c r="AE166" s="338">
        <f t="shared" si="139"/>
        <v>0</v>
      </c>
      <c r="AF166" s="336">
        <f t="shared" si="154"/>
        <v>427623.5</v>
      </c>
      <c r="AG166" s="337">
        <f t="shared" si="154"/>
        <v>0</v>
      </c>
      <c r="AH166" s="338">
        <f t="shared" si="141"/>
        <v>427623.5</v>
      </c>
      <c r="AI166" s="342"/>
      <c r="AJ166" s="336">
        <f t="shared" si="155"/>
        <v>0</v>
      </c>
      <c r="AK166" s="339">
        <f t="shared" si="155"/>
        <v>0</v>
      </c>
      <c r="AL166" s="340">
        <f t="shared" si="143"/>
        <v>0</v>
      </c>
      <c r="AM166" s="336">
        <f t="shared" si="156"/>
        <v>0</v>
      </c>
      <c r="AN166" s="339">
        <f t="shared" si="156"/>
        <v>0</v>
      </c>
      <c r="AO166" s="340">
        <f t="shared" si="130"/>
        <v>0</v>
      </c>
      <c r="AP166" s="341">
        <f t="shared" si="157"/>
        <v>427623.5</v>
      </c>
      <c r="AQ166" s="339">
        <f t="shared" si="157"/>
        <v>0</v>
      </c>
      <c r="AR166" s="340">
        <f t="shared" si="132"/>
        <v>427623.5</v>
      </c>
      <c r="AS166" s="589">
        <f t="shared" si="159"/>
        <v>0</v>
      </c>
      <c r="AT166" s="343"/>
      <c r="AU166" s="344"/>
      <c r="AV166" s="345"/>
      <c r="AW166" s="344"/>
      <c r="AX166" s="345"/>
      <c r="AY166" s="346"/>
      <c r="AZ166" s="347"/>
      <c r="BA166" s="348"/>
      <c r="BB166" s="349"/>
      <c r="BC166" s="348"/>
      <c r="BD166" s="349"/>
      <c r="BE166" s="350"/>
      <c r="BF166" s="351"/>
      <c r="BG166" s="352"/>
      <c r="BH166" s="337"/>
      <c r="BI166" s="352"/>
      <c r="BJ166" s="337"/>
      <c r="BK166" s="353"/>
      <c r="BL166" s="354"/>
      <c r="BM166" s="355"/>
      <c r="BN166" s="356"/>
      <c r="BO166" s="355"/>
      <c r="BP166" s="356">
        <v>427623.5</v>
      </c>
      <c r="BQ166" s="357"/>
    </row>
    <row r="167" spans="1:69" s="86" customFormat="1" ht="31.5" customHeight="1" collapsed="1">
      <c r="A167" s="378" t="s">
        <v>377</v>
      </c>
      <c r="B167" s="359"/>
      <c r="C167" s="86" t="s">
        <v>201</v>
      </c>
      <c r="D167" s="646" t="s">
        <v>23</v>
      </c>
      <c r="E167" s="646">
        <v>2</v>
      </c>
      <c r="F167" s="646" t="s">
        <v>71</v>
      </c>
      <c r="G167" s="646">
        <v>244</v>
      </c>
      <c r="H167" s="716">
        <v>226</v>
      </c>
      <c r="I167" s="717" t="s">
        <v>170</v>
      </c>
      <c r="J167" s="13">
        <f>SUM(J168:J179)</f>
        <v>2633520.64</v>
      </c>
      <c r="K167" s="13"/>
      <c r="L167" s="13"/>
      <c r="M167" s="661"/>
      <c r="N167" s="13">
        <f>SUM(N168:N179)</f>
        <v>2630278.2000000002</v>
      </c>
      <c r="O167" s="661"/>
      <c r="P167" s="13">
        <f>SUM(P168:P179)</f>
        <v>2631924.31</v>
      </c>
      <c r="Q167" s="665"/>
      <c r="R167" s="334"/>
      <c r="S167" s="305"/>
      <c r="T167" s="305"/>
      <c r="U167" s="305"/>
      <c r="W167" s="367">
        <f t="shared" si="151"/>
        <v>639000</v>
      </c>
      <c r="X167" s="363">
        <f t="shared" si="151"/>
        <v>0</v>
      </c>
      <c r="Y167" s="280">
        <f t="shared" si="135"/>
        <v>639000</v>
      </c>
      <c r="Z167" s="367">
        <f t="shared" si="152"/>
        <v>314500</v>
      </c>
      <c r="AA167" s="363">
        <f t="shared" si="152"/>
        <v>0</v>
      </c>
      <c r="AB167" s="280">
        <f t="shared" si="137"/>
        <v>314500</v>
      </c>
      <c r="AC167" s="367">
        <f t="shared" si="153"/>
        <v>530293.14</v>
      </c>
      <c r="AD167" s="363">
        <f t="shared" si="153"/>
        <v>0</v>
      </c>
      <c r="AE167" s="280">
        <f t="shared" si="139"/>
        <v>530293.14</v>
      </c>
      <c r="AF167" s="367">
        <f t="shared" si="154"/>
        <v>1149727.5</v>
      </c>
      <c r="AG167" s="363">
        <f t="shared" si="154"/>
        <v>0</v>
      </c>
      <c r="AH167" s="280">
        <f t="shared" si="141"/>
        <v>1149727.5</v>
      </c>
      <c r="AI167" s="210"/>
      <c r="AJ167" s="367">
        <f t="shared" si="155"/>
        <v>953500</v>
      </c>
      <c r="AK167" s="363">
        <f t="shared" si="155"/>
        <v>0</v>
      </c>
      <c r="AL167" s="280">
        <f t="shared" si="143"/>
        <v>953500</v>
      </c>
      <c r="AM167" s="367">
        <f t="shared" si="156"/>
        <v>1483793.14</v>
      </c>
      <c r="AN167" s="363">
        <f t="shared" si="156"/>
        <v>0</v>
      </c>
      <c r="AO167" s="280">
        <f t="shared" si="130"/>
        <v>1483793.14</v>
      </c>
      <c r="AP167" s="263">
        <f t="shared" si="157"/>
        <v>2633520.64</v>
      </c>
      <c r="AQ167" s="10">
        <f t="shared" si="157"/>
        <v>0</v>
      </c>
      <c r="AR167" s="650">
        <f t="shared" si="132"/>
        <v>2633520.64</v>
      </c>
      <c r="AS167" s="607">
        <f t="shared" si="159"/>
        <v>0</v>
      </c>
      <c r="AT167" s="263">
        <f t="shared" ref="AT167:BQ167" si="161">SUM(AT168:AT179)</f>
        <v>0</v>
      </c>
      <c r="AU167" s="363">
        <f t="shared" si="161"/>
        <v>0</v>
      </c>
      <c r="AV167" s="10">
        <f t="shared" si="161"/>
        <v>0</v>
      </c>
      <c r="AW167" s="363">
        <f t="shared" si="161"/>
        <v>0</v>
      </c>
      <c r="AX167" s="10">
        <f t="shared" si="161"/>
        <v>639000</v>
      </c>
      <c r="AY167" s="369">
        <f t="shared" si="161"/>
        <v>0</v>
      </c>
      <c r="AZ167" s="263">
        <f t="shared" si="161"/>
        <v>0</v>
      </c>
      <c r="BA167" s="363">
        <f t="shared" si="161"/>
        <v>0</v>
      </c>
      <c r="BB167" s="10">
        <f t="shared" si="161"/>
        <v>314500</v>
      </c>
      <c r="BC167" s="363">
        <f t="shared" si="161"/>
        <v>0</v>
      </c>
      <c r="BD167" s="10">
        <f t="shared" si="161"/>
        <v>0</v>
      </c>
      <c r="BE167" s="369">
        <f t="shared" si="161"/>
        <v>0</v>
      </c>
      <c r="BF167" s="263">
        <f t="shared" si="161"/>
        <v>530293.14</v>
      </c>
      <c r="BG167" s="363">
        <f t="shared" si="161"/>
        <v>0</v>
      </c>
      <c r="BH167" s="10">
        <f t="shared" si="161"/>
        <v>0</v>
      </c>
      <c r="BI167" s="363">
        <f t="shared" si="161"/>
        <v>0</v>
      </c>
      <c r="BJ167" s="10">
        <f t="shared" si="161"/>
        <v>0</v>
      </c>
      <c r="BK167" s="369">
        <f t="shared" si="161"/>
        <v>0</v>
      </c>
      <c r="BL167" s="263">
        <f t="shared" si="161"/>
        <v>0</v>
      </c>
      <c r="BM167" s="363">
        <f t="shared" si="161"/>
        <v>0</v>
      </c>
      <c r="BN167" s="10">
        <f t="shared" si="161"/>
        <v>0</v>
      </c>
      <c r="BO167" s="363">
        <f t="shared" si="161"/>
        <v>0</v>
      </c>
      <c r="BP167" s="10">
        <f t="shared" si="161"/>
        <v>1149727.5</v>
      </c>
      <c r="BQ167" s="280">
        <f t="shared" si="161"/>
        <v>0</v>
      </c>
    </row>
    <row r="168" spans="1:69" s="615" customFormat="1" ht="38.25" hidden="1" outlineLevel="1">
      <c r="C168" s="615" t="s">
        <v>201</v>
      </c>
      <c r="D168" s="707" t="s">
        <v>23</v>
      </c>
      <c r="E168" s="708">
        <v>2</v>
      </c>
      <c r="F168" s="707" t="s">
        <v>71</v>
      </c>
      <c r="G168" s="707">
        <v>244</v>
      </c>
      <c r="H168" s="709">
        <v>226</v>
      </c>
      <c r="I168" s="710" t="s">
        <v>343</v>
      </c>
      <c r="J168" s="711">
        <v>0</v>
      </c>
      <c r="K168" s="712"/>
      <c r="L168" s="712"/>
      <c r="M168" s="620"/>
      <c r="N168" s="694"/>
      <c r="O168" s="560"/>
      <c r="P168" s="695"/>
      <c r="Q168" s="560"/>
      <c r="R168" s="621"/>
      <c r="S168" s="388" t="s">
        <v>253</v>
      </c>
      <c r="T168" s="388" t="s">
        <v>330</v>
      </c>
      <c r="U168" s="388" t="s">
        <v>243</v>
      </c>
      <c r="W168" s="509">
        <f t="shared" si="151"/>
        <v>0</v>
      </c>
      <c r="X168" s="622">
        <f t="shared" si="151"/>
        <v>0</v>
      </c>
      <c r="Y168" s="623">
        <f t="shared" si="135"/>
        <v>0</v>
      </c>
      <c r="Z168" s="509">
        <f t="shared" si="152"/>
        <v>0</v>
      </c>
      <c r="AA168" s="622">
        <f t="shared" si="152"/>
        <v>0</v>
      </c>
      <c r="AB168" s="623">
        <f t="shared" si="137"/>
        <v>0</v>
      </c>
      <c r="AC168" s="509">
        <f t="shared" si="153"/>
        <v>0</v>
      </c>
      <c r="AD168" s="622">
        <f t="shared" si="153"/>
        <v>0</v>
      </c>
      <c r="AE168" s="623">
        <f t="shared" si="139"/>
        <v>0</v>
      </c>
      <c r="AF168" s="509">
        <f t="shared" si="154"/>
        <v>0</v>
      </c>
      <c r="AG168" s="622">
        <f t="shared" si="154"/>
        <v>0</v>
      </c>
      <c r="AH168" s="623">
        <f t="shared" si="141"/>
        <v>0</v>
      </c>
      <c r="AI168" s="624"/>
      <c r="AJ168" s="509">
        <f t="shared" si="155"/>
        <v>0</v>
      </c>
      <c r="AK168" s="625">
        <f t="shared" si="155"/>
        <v>0</v>
      </c>
      <c r="AL168" s="626">
        <f t="shared" si="143"/>
        <v>0</v>
      </c>
      <c r="AM168" s="509">
        <f t="shared" si="156"/>
        <v>0</v>
      </c>
      <c r="AN168" s="625">
        <f t="shared" si="156"/>
        <v>0</v>
      </c>
      <c r="AO168" s="626">
        <f t="shared" si="130"/>
        <v>0</v>
      </c>
      <c r="AP168" s="510">
        <f t="shared" si="157"/>
        <v>0</v>
      </c>
      <c r="AQ168" s="656">
        <f t="shared" si="157"/>
        <v>0</v>
      </c>
      <c r="AR168" s="657">
        <f t="shared" si="132"/>
        <v>0</v>
      </c>
      <c r="AS168" s="627">
        <f t="shared" si="159"/>
        <v>0</v>
      </c>
      <c r="AT168" s="509"/>
      <c r="AU168" s="629"/>
      <c r="AV168" s="656"/>
      <c r="AW168" s="629"/>
      <c r="AX168" s="656"/>
      <c r="AY168" s="631"/>
      <c r="AZ168" s="509"/>
      <c r="BA168" s="633"/>
      <c r="BB168" s="656"/>
      <c r="BC168" s="633"/>
      <c r="BD168" s="656"/>
      <c r="BE168" s="635"/>
      <c r="BF168" s="509"/>
      <c r="BG168" s="637"/>
      <c r="BH168" s="656"/>
      <c r="BI168" s="637"/>
      <c r="BJ168" s="656"/>
      <c r="BK168" s="638"/>
      <c r="BL168" s="509"/>
      <c r="BM168" s="640"/>
      <c r="BN168" s="656"/>
      <c r="BO168" s="640"/>
      <c r="BP168" s="656"/>
      <c r="BQ168" s="642"/>
    </row>
    <row r="169" spans="1:69" s="615" customFormat="1" ht="25.5" hidden="1" outlineLevel="1">
      <c r="C169" s="615" t="s">
        <v>201</v>
      </c>
      <c r="D169" s="616" t="s">
        <v>23</v>
      </c>
      <c r="E169" s="617">
        <v>2</v>
      </c>
      <c r="F169" s="616" t="s">
        <v>71</v>
      </c>
      <c r="G169" s="616">
        <v>244</v>
      </c>
      <c r="H169" s="618">
        <v>226</v>
      </c>
      <c r="I169" s="534" t="s">
        <v>344</v>
      </c>
      <c r="J169" s="510">
        <v>0</v>
      </c>
      <c r="K169" s="619"/>
      <c r="L169" s="619"/>
      <c r="M169" s="620"/>
      <c r="N169" s="509"/>
      <c r="O169" s="560"/>
      <c r="P169" s="542"/>
      <c r="Q169" s="560"/>
      <c r="R169" s="621"/>
      <c r="S169" s="388" t="s">
        <v>255</v>
      </c>
      <c r="T169" s="388" t="s">
        <v>333</v>
      </c>
      <c r="U169" s="388" t="s">
        <v>334</v>
      </c>
      <c r="W169" s="509">
        <f t="shared" si="151"/>
        <v>0</v>
      </c>
      <c r="X169" s="622">
        <f t="shared" si="151"/>
        <v>0</v>
      </c>
      <c r="Y169" s="623">
        <f t="shared" si="135"/>
        <v>0</v>
      </c>
      <c r="Z169" s="509">
        <f t="shared" si="152"/>
        <v>0</v>
      </c>
      <c r="AA169" s="622">
        <f t="shared" si="152"/>
        <v>0</v>
      </c>
      <c r="AB169" s="623">
        <f t="shared" si="137"/>
        <v>0</v>
      </c>
      <c r="AC169" s="509">
        <f t="shared" si="153"/>
        <v>0</v>
      </c>
      <c r="AD169" s="622">
        <f t="shared" si="153"/>
        <v>0</v>
      </c>
      <c r="AE169" s="623">
        <f t="shared" si="139"/>
        <v>0</v>
      </c>
      <c r="AF169" s="509">
        <f t="shared" si="154"/>
        <v>0</v>
      </c>
      <c r="AG169" s="622">
        <f t="shared" si="154"/>
        <v>0</v>
      </c>
      <c r="AH169" s="623">
        <f t="shared" si="141"/>
        <v>0</v>
      </c>
      <c r="AI169" s="624"/>
      <c r="AJ169" s="509">
        <f t="shared" si="155"/>
        <v>0</v>
      </c>
      <c r="AK169" s="625">
        <f t="shared" si="155"/>
        <v>0</v>
      </c>
      <c r="AL169" s="626">
        <f t="shared" si="143"/>
        <v>0</v>
      </c>
      <c r="AM169" s="509">
        <f t="shared" si="156"/>
        <v>0</v>
      </c>
      <c r="AN169" s="625">
        <f t="shared" si="156"/>
        <v>0</v>
      </c>
      <c r="AO169" s="626">
        <f t="shared" si="130"/>
        <v>0</v>
      </c>
      <c r="AP169" s="510">
        <f t="shared" si="157"/>
        <v>0</v>
      </c>
      <c r="AQ169" s="656">
        <f t="shared" si="157"/>
        <v>0</v>
      </c>
      <c r="AR169" s="657">
        <f t="shared" si="132"/>
        <v>0</v>
      </c>
      <c r="AS169" s="627">
        <f t="shared" si="159"/>
        <v>0</v>
      </c>
      <c r="AT169" s="509"/>
      <c r="AU169" s="629"/>
      <c r="AV169" s="656"/>
      <c r="AW169" s="629"/>
      <c r="AX169" s="656"/>
      <c r="AY169" s="631"/>
      <c r="AZ169" s="509"/>
      <c r="BA169" s="633"/>
      <c r="BB169" s="656"/>
      <c r="BC169" s="633"/>
      <c r="BD169" s="656"/>
      <c r="BE169" s="635"/>
      <c r="BF169" s="509"/>
      <c r="BG169" s="637"/>
      <c r="BH169" s="656"/>
      <c r="BI169" s="637"/>
      <c r="BJ169" s="656"/>
      <c r="BK169" s="638"/>
      <c r="BL169" s="509"/>
      <c r="BM169" s="640"/>
      <c r="BN169" s="656"/>
      <c r="BO169" s="640"/>
      <c r="BP169" s="656"/>
      <c r="BQ169" s="642"/>
    </row>
    <row r="170" spans="1:69" s="313" customFormat="1" ht="25.5" hidden="1" outlineLevel="1">
      <c r="C170" s="313" t="s">
        <v>201</v>
      </c>
      <c r="D170" s="373" t="s">
        <v>23</v>
      </c>
      <c r="E170" s="315">
        <v>2</v>
      </c>
      <c r="F170" s="314" t="s">
        <v>71</v>
      </c>
      <c r="G170" s="314">
        <v>244</v>
      </c>
      <c r="H170" s="316">
        <v>226</v>
      </c>
      <c r="I170" s="533" t="s">
        <v>345</v>
      </c>
      <c r="J170" s="341">
        <v>156000</v>
      </c>
      <c r="K170" s="318"/>
      <c r="L170" s="318"/>
      <c r="M170" s="570"/>
      <c r="N170" s="336">
        <v>28489.72</v>
      </c>
      <c r="O170" s="559"/>
      <c r="P170" s="541">
        <v>28489.72</v>
      </c>
      <c r="Q170" s="559"/>
      <c r="R170" s="335"/>
      <c r="S170" s="320" t="s">
        <v>327</v>
      </c>
      <c r="T170" s="388" t="s">
        <v>328</v>
      </c>
      <c r="U170" s="388" t="s">
        <v>329</v>
      </c>
      <c r="W170" s="336">
        <f t="shared" si="151"/>
        <v>0</v>
      </c>
      <c r="X170" s="337">
        <f t="shared" si="151"/>
        <v>0</v>
      </c>
      <c r="Y170" s="338">
        <f t="shared" si="135"/>
        <v>0</v>
      </c>
      <c r="Z170" s="336">
        <f t="shared" si="152"/>
        <v>0</v>
      </c>
      <c r="AA170" s="337">
        <f t="shared" si="152"/>
        <v>0</v>
      </c>
      <c r="AB170" s="338">
        <f t="shared" si="137"/>
        <v>0</v>
      </c>
      <c r="AC170" s="336">
        <f t="shared" si="153"/>
        <v>0</v>
      </c>
      <c r="AD170" s="337">
        <f t="shared" si="153"/>
        <v>0</v>
      </c>
      <c r="AE170" s="338">
        <f t="shared" si="139"/>
        <v>0</v>
      </c>
      <c r="AF170" s="336">
        <f t="shared" si="154"/>
        <v>156000</v>
      </c>
      <c r="AG170" s="337">
        <f t="shared" si="154"/>
        <v>0</v>
      </c>
      <c r="AH170" s="338">
        <f t="shared" si="141"/>
        <v>156000</v>
      </c>
      <c r="AI170" s="342"/>
      <c r="AJ170" s="336">
        <f t="shared" si="155"/>
        <v>0</v>
      </c>
      <c r="AK170" s="339">
        <f t="shared" si="155"/>
        <v>0</v>
      </c>
      <c r="AL170" s="340">
        <f t="shared" si="143"/>
        <v>0</v>
      </c>
      <c r="AM170" s="336">
        <f t="shared" si="156"/>
        <v>0</v>
      </c>
      <c r="AN170" s="339">
        <f t="shared" si="156"/>
        <v>0</v>
      </c>
      <c r="AO170" s="340">
        <f t="shared" si="130"/>
        <v>0</v>
      </c>
      <c r="AP170" s="341">
        <f t="shared" si="157"/>
        <v>156000</v>
      </c>
      <c r="AQ170" s="319">
        <f t="shared" si="157"/>
        <v>0</v>
      </c>
      <c r="AR170" s="651">
        <f t="shared" si="132"/>
        <v>156000</v>
      </c>
      <c r="AS170" s="589">
        <f t="shared" si="159"/>
        <v>0</v>
      </c>
      <c r="AT170" s="336"/>
      <c r="AU170" s="344"/>
      <c r="AV170" s="319"/>
      <c r="AW170" s="344"/>
      <c r="AX170" s="319"/>
      <c r="AY170" s="346"/>
      <c r="AZ170" s="336"/>
      <c r="BA170" s="348"/>
      <c r="BB170" s="319"/>
      <c r="BC170" s="348"/>
      <c r="BD170" s="319"/>
      <c r="BE170" s="350"/>
      <c r="BF170" s="336"/>
      <c r="BG170" s="352"/>
      <c r="BH170" s="319"/>
      <c r="BI170" s="352"/>
      <c r="BJ170" s="319"/>
      <c r="BK170" s="353"/>
      <c r="BL170" s="336"/>
      <c r="BM170" s="355"/>
      <c r="BN170" s="319"/>
      <c r="BO170" s="355"/>
      <c r="BP170" s="319">
        <v>156000</v>
      </c>
      <c r="BQ170" s="357"/>
    </row>
    <row r="171" spans="1:69" s="615" customFormat="1" ht="25.5" hidden="1" outlineLevel="1">
      <c r="C171" s="615" t="s">
        <v>201</v>
      </c>
      <c r="D171" s="616" t="s">
        <v>23</v>
      </c>
      <c r="E171" s="617">
        <v>2</v>
      </c>
      <c r="F171" s="616" t="s">
        <v>71</v>
      </c>
      <c r="G171" s="616">
        <v>244</v>
      </c>
      <c r="H171" s="618">
        <v>226</v>
      </c>
      <c r="I171" s="534" t="s">
        <v>346</v>
      </c>
      <c r="J171" s="510">
        <v>0</v>
      </c>
      <c r="K171" s="619"/>
      <c r="L171" s="619"/>
      <c r="M171" s="620"/>
      <c r="N171" s="509"/>
      <c r="O171" s="560"/>
      <c r="P171" s="542"/>
      <c r="Q171" s="560"/>
      <c r="R171" s="621"/>
      <c r="S171" s="388" t="s">
        <v>341</v>
      </c>
      <c r="T171" s="388" t="s">
        <v>342</v>
      </c>
      <c r="U171" s="388" t="s">
        <v>235</v>
      </c>
      <c r="W171" s="509">
        <f t="shared" si="151"/>
        <v>0</v>
      </c>
      <c r="X171" s="622">
        <f t="shared" si="151"/>
        <v>0</v>
      </c>
      <c r="Y171" s="623">
        <f t="shared" si="135"/>
        <v>0</v>
      </c>
      <c r="Z171" s="509">
        <f t="shared" si="152"/>
        <v>0</v>
      </c>
      <c r="AA171" s="622">
        <f t="shared" si="152"/>
        <v>0</v>
      </c>
      <c r="AB171" s="623">
        <f t="shared" si="137"/>
        <v>0</v>
      </c>
      <c r="AC171" s="509">
        <f t="shared" si="153"/>
        <v>0</v>
      </c>
      <c r="AD171" s="622">
        <f t="shared" si="153"/>
        <v>0</v>
      </c>
      <c r="AE171" s="623">
        <f t="shared" si="139"/>
        <v>0</v>
      </c>
      <c r="AF171" s="509">
        <f t="shared" si="154"/>
        <v>0</v>
      </c>
      <c r="AG171" s="622">
        <f t="shared" si="154"/>
        <v>0</v>
      </c>
      <c r="AH171" s="623">
        <f t="shared" si="141"/>
        <v>0</v>
      </c>
      <c r="AI171" s="624"/>
      <c r="AJ171" s="509">
        <f t="shared" si="155"/>
        <v>0</v>
      </c>
      <c r="AK171" s="625">
        <f t="shared" si="155"/>
        <v>0</v>
      </c>
      <c r="AL171" s="626">
        <f t="shared" si="143"/>
        <v>0</v>
      </c>
      <c r="AM171" s="509">
        <f t="shared" si="156"/>
        <v>0</v>
      </c>
      <c r="AN171" s="625">
        <f t="shared" si="156"/>
        <v>0</v>
      </c>
      <c r="AO171" s="626">
        <f t="shared" si="130"/>
        <v>0</v>
      </c>
      <c r="AP171" s="510">
        <f t="shared" si="157"/>
        <v>0</v>
      </c>
      <c r="AQ171" s="656">
        <f t="shared" si="157"/>
        <v>0</v>
      </c>
      <c r="AR171" s="657">
        <f t="shared" si="132"/>
        <v>0</v>
      </c>
      <c r="AS171" s="627">
        <f t="shared" si="159"/>
        <v>0</v>
      </c>
      <c r="AT171" s="509"/>
      <c r="AU171" s="629"/>
      <c r="AV171" s="656"/>
      <c r="AW171" s="629"/>
      <c r="AX171" s="656"/>
      <c r="AY171" s="631"/>
      <c r="AZ171" s="509"/>
      <c r="BA171" s="633"/>
      <c r="BB171" s="656"/>
      <c r="BC171" s="633"/>
      <c r="BD171" s="656"/>
      <c r="BE171" s="635"/>
      <c r="BF171" s="509"/>
      <c r="BG171" s="637"/>
      <c r="BH171" s="656"/>
      <c r="BI171" s="637"/>
      <c r="BJ171" s="656"/>
      <c r="BK171" s="638"/>
      <c r="BL171" s="509"/>
      <c r="BM171" s="640"/>
      <c r="BN171" s="656"/>
      <c r="BO171" s="640"/>
      <c r="BP171" s="656"/>
      <c r="BQ171" s="642"/>
    </row>
    <row r="172" spans="1:69" s="615" customFormat="1" ht="38.25" hidden="1" outlineLevel="1">
      <c r="C172" s="615" t="s">
        <v>201</v>
      </c>
      <c r="D172" s="616" t="s">
        <v>23</v>
      </c>
      <c r="E172" s="617">
        <v>2</v>
      </c>
      <c r="F172" s="616" t="s">
        <v>71</v>
      </c>
      <c r="G172" s="616">
        <v>244</v>
      </c>
      <c r="H172" s="618">
        <v>226</v>
      </c>
      <c r="I172" s="534" t="s">
        <v>371</v>
      </c>
      <c r="J172" s="510">
        <v>0</v>
      </c>
      <c r="K172" s="619"/>
      <c r="L172" s="619"/>
      <c r="M172" s="620"/>
      <c r="N172" s="509"/>
      <c r="O172" s="560"/>
      <c r="P172" s="542"/>
      <c r="Q172" s="560"/>
      <c r="R172" s="621"/>
      <c r="S172" s="388"/>
      <c r="T172" s="388"/>
      <c r="U172" s="388"/>
      <c r="W172" s="509">
        <f t="shared" si="151"/>
        <v>0</v>
      </c>
      <c r="X172" s="622">
        <f t="shared" si="151"/>
        <v>0</v>
      </c>
      <c r="Y172" s="623">
        <f t="shared" si="135"/>
        <v>0</v>
      </c>
      <c r="Z172" s="509">
        <f t="shared" si="152"/>
        <v>0</v>
      </c>
      <c r="AA172" s="622">
        <f t="shared" si="152"/>
        <v>0</v>
      </c>
      <c r="AB172" s="623">
        <f t="shared" si="137"/>
        <v>0</v>
      </c>
      <c r="AC172" s="509">
        <f t="shared" si="153"/>
        <v>0</v>
      </c>
      <c r="AD172" s="622">
        <f t="shared" si="153"/>
        <v>0</v>
      </c>
      <c r="AE172" s="623">
        <f t="shared" si="139"/>
        <v>0</v>
      </c>
      <c r="AF172" s="509">
        <f t="shared" si="154"/>
        <v>0</v>
      </c>
      <c r="AG172" s="622">
        <f t="shared" si="154"/>
        <v>0</v>
      </c>
      <c r="AH172" s="623">
        <f t="shared" si="141"/>
        <v>0</v>
      </c>
      <c r="AI172" s="624"/>
      <c r="AJ172" s="509">
        <f t="shared" si="155"/>
        <v>0</v>
      </c>
      <c r="AK172" s="625">
        <f t="shared" si="155"/>
        <v>0</v>
      </c>
      <c r="AL172" s="626">
        <f t="shared" si="143"/>
        <v>0</v>
      </c>
      <c r="AM172" s="509">
        <f t="shared" si="156"/>
        <v>0</v>
      </c>
      <c r="AN172" s="625">
        <f t="shared" si="156"/>
        <v>0</v>
      </c>
      <c r="AO172" s="626">
        <f t="shared" si="130"/>
        <v>0</v>
      </c>
      <c r="AP172" s="510">
        <f t="shared" si="157"/>
        <v>0</v>
      </c>
      <c r="AQ172" s="656">
        <f t="shared" si="157"/>
        <v>0</v>
      </c>
      <c r="AR172" s="657">
        <f t="shared" si="132"/>
        <v>0</v>
      </c>
      <c r="AS172" s="627">
        <f t="shared" si="159"/>
        <v>0</v>
      </c>
      <c r="AT172" s="509"/>
      <c r="AU172" s="629"/>
      <c r="AV172" s="656"/>
      <c r="AW172" s="629"/>
      <c r="AX172" s="656"/>
      <c r="AY172" s="631"/>
      <c r="AZ172" s="509"/>
      <c r="BA172" s="633"/>
      <c r="BB172" s="656"/>
      <c r="BC172" s="633"/>
      <c r="BD172" s="656"/>
      <c r="BE172" s="635"/>
      <c r="BF172" s="509"/>
      <c r="BG172" s="637"/>
      <c r="BH172" s="656"/>
      <c r="BI172" s="637"/>
      <c r="BJ172" s="656"/>
      <c r="BK172" s="638"/>
      <c r="BL172" s="509"/>
      <c r="BM172" s="640"/>
      <c r="BN172" s="656"/>
      <c r="BO172" s="640"/>
      <c r="BP172" s="656"/>
      <c r="BQ172" s="642"/>
    </row>
    <row r="173" spans="1:69" s="615" customFormat="1" ht="38.25" hidden="1" outlineLevel="1">
      <c r="C173" s="615" t="s">
        <v>201</v>
      </c>
      <c r="D173" s="616" t="s">
        <v>23</v>
      </c>
      <c r="E173" s="617">
        <v>2</v>
      </c>
      <c r="F173" s="616" t="s">
        <v>71</v>
      </c>
      <c r="G173" s="616">
        <v>244</v>
      </c>
      <c r="H173" s="618">
        <v>226</v>
      </c>
      <c r="I173" s="534" t="s">
        <v>396</v>
      </c>
      <c r="J173" s="510">
        <v>0</v>
      </c>
      <c r="K173" s="619"/>
      <c r="L173" s="619"/>
      <c r="M173" s="620"/>
      <c r="N173" s="509"/>
      <c r="O173" s="560"/>
      <c r="P173" s="542"/>
      <c r="Q173" s="560"/>
      <c r="R173" s="621"/>
      <c r="S173" s="388" t="s">
        <v>331</v>
      </c>
      <c r="T173" s="388" t="s">
        <v>332</v>
      </c>
      <c r="U173" s="388" t="s">
        <v>243</v>
      </c>
      <c r="W173" s="509">
        <f t="shared" si="151"/>
        <v>0</v>
      </c>
      <c r="X173" s="622">
        <f t="shared" si="151"/>
        <v>0</v>
      </c>
      <c r="Y173" s="623">
        <f t="shared" si="135"/>
        <v>0</v>
      </c>
      <c r="Z173" s="509">
        <f t="shared" si="152"/>
        <v>0</v>
      </c>
      <c r="AA173" s="622">
        <f t="shared" si="152"/>
        <v>0</v>
      </c>
      <c r="AB173" s="623">
        <f t="shared" si="137"/>
        <v>0</v>
      </c>
      <c r="AC173" s="509">
        <f t="shared" si="153"/>
        <v>0</v>
      </c>
      <c r="AD173" s="622">
        <f t="shared" si="153"/>
        <v>0</v>
      </c>
      <c r="AE173" s="623">
        <f t="shared" si="139"/>
        <v>0</v>
      </c>
      <c r="AF173" s="509">
        <f t="shared" si="154"/>
        <v>0</v>
      </c>
      <c r="AG173" s="622">
        <f t="shared" si="154"/>
        <v>0</v>
      </c>
      <c r="AH173" s="623">
        <f t="shared" si="141"/>
        <v>0</v>
      </c>
      <c r="AI173" s="624"/>
      <c r="AJ173" s="509">
        <f t="shared" si="155"/>
        <v>0</v>
      </c>
      <c r="AK173" s="625">
        <f t="shared" si="155"/>
        <v>0</v>
      </c>
      <c r="AL173" s="626">
        <f t="shared" si="143"/>
        <v>0</v>
      </c>
      <c r="AM173" s="509">
        <f t="shared" si="156"/>
        <v>0</v>
      </c>
      <c r="AN173" s="625">
        <f t="shared" si="156"/>
        <v>0</v>
      </c>
      <c r="AO173" s="626">
        <f t="shared" si="130"/>
        <v>0</v>
      </c>
      <c r="AP173" s="510">
        <f t="shared" si="157"/>
        <v>0</v>
      </c>
      <c r="AQ173" s="656">
        <f t="shared" si="157"/>
        <v>0</v>
      </c>
      <c r="AR173" s="657">
        <f t="shared" si="132"/>
        <v>0</v>
      </c>
      <c r="AS173" s="627">
        <f t="shared" si="159"/>
        <v>0</v>
      </c>
      <c r="AT173" s="509"/>
      <c r="AU173" s="629"/>
      <c r="AV173" s="656"/>
      <c r="AW173" s="629"/>
      <c r="AX173" s="656"/>
      <c r="AY173" s="631"/>
      <c r="AZ173" s="509"/>
      <c r="BA173" s="633"/>
      <c r="BB173" s="656"/>
      <c r="BC173" s="633"/>
      <c r="BD173" s="656"/>
      <c r="BE173" s="635"/>
      <c r="BF173" s="509"/>
      <c r="BG173" s="637"/>
      <c r="BH173" s="656"/>
      <c r="BI173" s="637"/>
      <c r="BJ173" s="656"/>
      <c r="BK173" s="638"/>
      <c r="BL173" s="509"/>
      <c r="BM173" s="640"/>
      <c r="BN173" s="656"/>
      <c r="BO173" s="640"/>
      <c r="BP173" s="656"/>
      <c r="BQ173" s="642"/>
    </row>
    <row r="174" spans="1:69" s="313" customFormat="1" ht="38.25" hidden="1" outlineLevel="1">
      <c r="C174" s="313" t="s">
        <v>201</v>
      </c>
      <c r="D174" s="373" t="s">
        <v>23</v>
      </c>
      <c r="E174" s="315">
        <v>2</v>
      </c>
      <c r="F174" s="314" t="s">
        <v>71</v>
      </c>
      <c r="G174" s="314">
        <v>244</v>
      </c>
      <c r="H174" s="316">
        <v>226</v>
      </c>
      <c r="I174" s="533" t="s">
        <v>347</v>
      </c>
      <c r="J174" s="341">
        <f>1303567.18-100000</f>
        <v>1203567.18</v>
      </c>
      <c r="K174" s="318"/>
      <c r="L174" s="318"/>
      <c r="M174" s="570"/>
      <c r="N174" s="336">
        <v>1327835.02</v>
      </c>
      <c r="O174" s="559"/>
      <c r="P174" s="541">
        <v>1329481.1299999999</v>
      </c>
      <c r="Q174" s="559"/>
      <c r="R174" s="335"/>
      <c r="S174" s="320" t="s">
        <v>338</v>
      </c>
      <c r="T174" s="388" t="s">
        <v>339</v>
      </c>
      <c r="U174" s="388" t="s">
        <v>340</v>
      </c>
      <c r="W174" s="336">
        <f t="shared" si="151"/>
        <v>0</v>
      </c>
      <c r="X174" s="337">
        <f t="shared" si="151"/>
        <v>0</v>
      </c>
      <c r="Y174" s="338">
        <f t="shared" si="135"/>
        <v>0</v>
      </c>
      <c r="Z174" s="336">
        <f t="shared" si="152"/>
        <v>0</v>
      </c>
      <c r="AA174" s="337">
        <f t="shared" si="152"/>
        <v>0</v>
      </c>
      <c r="AB174" s="338">
        <f t="shared" si="137"/>
        <v>0</v>
      </c>
      <c r="AC174" s="336">
        <f t="shared" si="153"/>
        <v>530293.14</v>
      </c>
      <c r="AD174" s="337">
        <f t="shared" si="153"/>
        <v>0</v>
      </c>
      <c r="AE174" s="338">
        <f t="shared" si="139"/>
        <v>530293.14</v>
      </c>
      <c r="AF174" s="336">
        <f t="shared" si="154"/>
        <v>673274.04</v>
      </c>
      <c r="AG174" s="337">
        <f t="shared" si="154"/>
        <v>0</v>
      </c>
      <c r="AH174" s="338">
        <f t="shared" si="141"/>
        <v>673274.04</v>
      </c>
      <c r="AI174" s="342"/>
      <c r="AJ174" s="336">
        <f t="shared" si="155"/>
        <v>0</v>
      </c>
      <c r="AK174" s="339">
        <f t="shared" si="155"/>
        <v>0</v>
      </c>
      <c r="AL174" s="340">
        <f t="shared" si="143"/>
        <v>0</v>
      </c>
      <c r="AM174" s="336">
        <f t="shared" si="156"/>
        <v>530293.14</v>
      </c>
      <c r="AN174" s="339">
        <f t="shared" si="156"/>
        <v>0</v>
      </c>
      <c r="AO174" s="340">
        <f t="shared" si="130"/>
        <v>530293.14</v>
      </c>
      <c r="AP174" s="341">
        <f t="shared" si="157"/>
        <v>1203567.18</v>
      </c>
      <c r="AQ174" s="319">
        <f t="shared" si="157"/>
        <v>0</v>
      </c>
      <c r="AR174" s="651">
        <f t="shared" si="132"/>
        <v>1203567.18</v>
      </c>
      <c r="AS174" s="589">
        <f t="shared" si="159"/>
        <v>0</v>
      </c>
      <c r="AT174" s="336"/>
      <c r="AU174" s="344"/>
      <c r="AV174" s="319"/>
      <c r="AW174" s="344"/>
      <c r="AX174" s="319"/>
      <c r="AY174" s="346"/>
      <c r="AZ174" s="336"/>
      <c r="BA174" s="348"/>
      <c r="BB174" s="319"/>
      <c r="BC174" s="348"/>
      <c r="BD174" s="319"/>
      <c r="BE174" s="350"/>
      <c r="BF174" s="336">
        <f>630293.14-100000</f>
        <v>530293.14</v>
      </c>
      <c r="BG174" s="352"/>
      <c r="BH174" s="319"/>
      <c r="BI174" s="352"/>
      <c r="BJ174" s="319"/>
      <c r="BK174" s="353"/>
      <c r="BL174" s="336"/>
      <c r="BM174" s="355"/>
      <c r="BN174" s="319"/>
      <c r="BO174" s="355"/>
      <c r="BP174" s="319">
        <f>534891.85+138382.19</f>
        <v>673274.04</v>
      </c>
      <c r="BQ174" s="357"/>
    </row>
    <row r="175" spans="1:69" s="313" customFormat="1" ht="38.25" hidden="1" outlineLevel="1">
      <c r="C175" s="313" t="s">
        <v>201</v>
      </c>
      <c r="D175" s="373" t="s">
        <v>23</v>
      </c>
      <c r="E175" s="315">
        <v>2</v>
      </c>
      <c r="F175" s="314" t="s">
        <v>71</v>
      </c>
      <c r="G175" s="314">
        <v>244</v>
      </c>
      <c r="H175" s="316">
        <v>226</v>
      </c>
      <c r="I175" s="533" t="s">
        <v>348</v>
      </c>
      <c r="J175" s="341">
        <v>76788.2</v>
      </c>
      <c r="K175" s="318"/>
      <c r="L175" s="318"/>
      <c r="M175" s="570"/>
      <c r="N175" s="336">
        <v>76788.2</v>
      </c>
      <c r="O175" s="559"/>
      <c r="P175" s="541">
        <v>76788.2</v>
      </c>
      <c r="Q175" s="559"/>
      <c r="R175" s="335"/>
      <c r="S175" s="320" t="s">
        <v>338</v>
      </c>
      <c r="T175" s="388"/>
      <c r="U175" s="388"/>
      <c r="W175" s="336">
        <f t="shared" si="151"/>
        <v>30000</v>
      </c>
      <c r="X175" s="337">
        <f t="shared" si="151"/>
        <v>0</v>
      </c>
      <c r="Y175" s="338">
        <f t="shared" si="135"/>
        <v>30000</v>
      </c>
      <c r="Z175" s="336">
        <f t="shared" si="152"/>
        <v>20000</v>
      </c>
      <c r="AA175" s="337">
        <f t="shared" si="152"/>
        <v>0</v>
      </c>
      <c r="AB175" s="338">
        <f t="shared" si="137"/>
        <v>20000</v>
      </c>
      <c r="AC175" s="336">
        <f t="shared" si="153"/>
        <v>0</v>
      </c>
      <c r="AD175" s="337">
        <f t="shared" si="153"/>
        <v>0</v>
      </c>
      <c r="AE175" s="338">
        <f t="shared" si="139"/>
        <v>0</v>
      </c>
      <c r="AF175" s="336">
        <f t="shared" si="154"/>
        <v>26788.2</v>
      </c>
      <c r="AG175" s="337">
        <f t="shared" si="154"/>
        <v>0</v>
      </c>
      <c r="AH175" s="338">
        <f t="shared" si="141"/>
        <v>26788.2</v>
      </c>
      <c r="AI175" s="342"/>
      <c r="AJ175" s="336">
        <f t="shared" si="155"/>
        <v>50000</v>
      </c>
      <c r="AK175" s="339">
        <f t="shared" si="155"/>
        <v>0</v>
      </c>
      <c r="AL175" s="340">
        <f t="shared" si="143"/>
        <v>50000</v>
      </c>
      <c r="AM175" s="336">
        <f t="shared" si="156"/>
        <v>50000</v>
      </c>
      <c r="AN175" s="339">
        <f t="shared" si="156"/>
        <v>0</v>
      </c>
      <c r="AO175" s="340">
        <f t="shared" si="130"/>
        <v>50000</v>
      </c>
      <c r="AP175" s="341">
        <f t="shared" si="157"/>
        <v>76788.2</v>
      </c>
      <c r="AQ175" s="319">
        <f t="shared" si="157"/>
        <v>0</v>
      </c>
      <c r="AR175" s="651">
        <f t="shared" si="132"/>
        <v>76788.2</v>
      </c>
      <c r="AS175" s="589">
        <f t="shared" si="159"/>
        <v>0</v>
      </c>
      <c r="AT175" s="336"/>
      <c r="AU175" s="344"/>
      <c r="AV175" s="319"/>
      <c r="AW175" s="344"/>
      <c r="AX175" s="319">
        <v>30000</v>
      </c>
      <c r="AY175" s="346"/>
      <c r="AZ175" s="336"/>
      <c r="BA175" s="348"/>
      <c r="BB175" s="319">
        <v>20000</v>
      </c>
      <c r="BC175" s="348"/>
      <c r="BD175" s="319"/>
      <c r="BE175" s="350"/>
      <c r="BF175" s="336"/>
      <c r="BG175" s="352"/>
      <c r="BH175" s="319"/>
      <c r="BI175" s="352"/>
      <c r="BJ175" s="319"/>
      <c r="BK175" s="353"/>
      <c r="BL175" s="336"/>
      <c r="BM175" s="355"/>
      <c r="BN175" s="319"/>
      <c r="BO175" s="355"/>
      <c r="BP175" s="319">
        <v>26788.2</v>
      </c>
      <c r="BQ175" s="357"/>
    </row>
    <row r="176" spans="1:69" s="313" customFormat="1" ht="25.5" hidden="1" outlineLevel="1">
      <c r="C176" s="313" t="s">
        <v>201</v>
      </c>
      <c r="D176" s="373" t="s">
        <v>23</v>
      </c>
      <c r="E176" s="315">
        <v>2</v>
      </c>
      <c r="F176" s="314" t="s">
        <v>71</v>
      </c>
      <c r="G176" s="314">
        <v>244</v>
      </c>
      <c r="H176" s="316">
        <v>226</v>
      </c>
      <c r="I176" s="533" t="s">
        <v>349</v>
      </c>
      <c r="J176" s="341">
        <v>622720</v>
      </c>
      <c r="K176" s="318"/>
      <c r="L176" s="318"/>
      <c r="M176" s="570"/>
      <c r="N176" s="336">
        <v>622720</v>
      </c>
      <c r="O176" s="559"/>
      <c r="P176" s="541">
        <v>622720</v>
      </c>
      <c r="Q176" s="559"/>
      <c r="R176" s="335"/>
      <c r="S176" s="320" t="s">
        <v>355</v>
      </c>
      <c r="T176" s="388" t="s">
        <v>356</v>
      </c>
      <c r="U176" s="388" t="s">
        <v>357</v>
      </c>
      <c r="W176" s="336">
        <f t="shared" si="151"/>
        <v>310000</v>
      </c>
      <c r="X176" s="337">
        <f t="shared" si="151"/>
        <v>0</v>
      </c>
      <c r="Y176" s="338">
        <f t="shared" si="135"/>
        <v>310000</v>
      </c>
      <c r="Z176" s="336">
        <f t="shared" si="152"/>
        <v>155000</v>
      </c>
      <c r="AA176" s="337">
        <f t="shared" si="152"/>
        <v>0</v>
      </c>
      <c r="AB176" s="338">
        <f t="shared" si="137"/>
        <v>155000</v>
      </c>
      <c r="AC176" s="336">
        <f t="shared" si="153"/>
        <v>0</v>
      </c>
      <c r="AD176" s="337">
        <f t="shared" si="153"/>
        <v>0</v>
      </c>
      <c r="AE176" s="338">
        <f t="shared" si="139"/>
        <v>0</v>
      </c>
      <c r="AF176" s="336">
        <f t="shared" si="154"/>
        <v>157720</v>
      </c>
      <c r="AG176" s="337">
        <f t="shared" si="154"/>
        <v>0</v>
      </c>
      <c r="AH176" s="338">
        <f t="shared" si="141"/>
        <v>157720</v>
      </c>
      <c r="AI176" s="342"/>
      <c r="AJ176" s="336">
        <f t="shared" si="155"/>
        <v>465000</v>
      </c>
      <c r="AK176" s="339">
        <f t="shared" si="155"/>
        <v>0</v>
      </c>
      <c r="AL176" s="340">
        <f t="shared" si="143"/>
        <v>465000</v>
      </c>
      <c r="AM176" s="336">
        <f t="shared" si="156"/>
        <v>465000</v>
      </c>
      <c r="AN176" s="339">
        <f t="shared" si="156"/>
        <v>0</v>
      </c>
      <c r="AO176" s="340">
        <f t="shared" si="130"/>
        <v>465000</v>
      </c>
      <c r="AP176" s="341">
        <f t="shared" si="157"/>
        <v>622720</v>
      </c>
      <c r="AQ176" s="319">
        <f t="shared" si="157"/>
        <v>0</v>
      </c>
      <c r="AR176" s="651">
        <f t="shared" si="132"/>
        <v>622720</v>
      </c>
      <c r="AS176" s="589">
        <f t="shared" si="159"/>
        <v>0</v>
      </c>
      <c r="AT176" s="336"/>
      <c r="AU176" s="344"/>
      <c r="AV176" s="319"/>
      <c r="AW176" s="344"/>
      <c r="AX176" s="319">
        <v>310000</v>
      </c>
      <c r="AY176" s="346"/>
      <c r="AZ176" s="336"/>
      <c r="BA176" s="348"/>
      <c r="BB176" s="319">
        <v>155000</v>
      </c>
      <c r="BC176" s="348"/>
      <c r="BD176" s="319"/>
      <c r="BE176" s="350"/>
      <c r="BF176" s="336"/>
      <c r="BG176" s="352"/>
      <c r="BH176" s="319"/>
      <c r="BI176" s="352"/>
      <c r="BJ176" s="319"/>
      <c r="BK176" s="353"/>
      <c r="BL176" s="336"/>
      <c r="BM176" s="355"/>
      <c r="BN176" s="319"/>
      <c r="BO176" s="355"/>
      <c r="BP176" s="319">
        <v>157720</v>
      </c>
      <c r="BQ176" s="357"/>
    </row>
    <row r="177" spans="1:69" s="313" customFormat="1" ht="38.25" hidden="1" outlineLevel="1">
      <c r="C177" s="313" t="s">
        <v>201</v>
      </c>
      <c r="D177" s="373" t="s">
        <v>23</v>
      </c>
      <c r="E177" s="315">
        <v>2</v>
      </c>
      <c r="F177" s="314" t="s">
        <v>71</v>
      </c>
      <c r="G177" s="314">
        <v>244</v>
      </c>
      <c r="H177" s="316">
        <v>226</v>
      </c>
      <c r="I177" s="533" t="s">
        <v>350</v>
      </c>
      <c r="J177" s="341">
        <v>138200</v>
      </c>
      <c r="K177" s="318"/>
      <c r="L177" s="318"/>
      <c r="M177" s="570"/>
      <c r="N177" s="336">
        <v>138200</v>
      </c>
      <c r="O177" s="559"/>
      <c r="P177" s="541">
        <v>138200</v>
      </c>
      <c r="Q177" s="559"/>
      <c r="R177" s="335"/>
      <c r="S177" s="320"/>
      <c r="T177" s="388"/>
      <c r="U177" s="388"/>
      <c r="W177" s="336">
        <f t="shared" ref="W177:X190" si="162">AT177+AV177+AX177</f>
        <v>70000</v>
      </c>
      <c r="X177" s="337">
        <f t="shared" si="162"/>
        <v>0</v>
      </c>
      <c r="Y177" s="338">
        <f t="shared" si="135"/>
        <v>70000</v>
      </c>
      <c r="Z177" s="336">
        <f t="shared" ref="Z177:AA190" si="163">AZ177+BB177+BD177</f>
        <v>35000</v>
      </c>
      <c r="AA177" s="337">
        <f t="shared" si="163"/>
        <v>0</v>
      </c>
      <c r="AB177" s="338">
        <f t="shared" si="137"/>
        <v>35000</v>
      </c>
      <c r="AC177" s="336">
        <f t="shared" ref="AC177:AD190" si="164">BF177+BH177+BJ177</f>
        <v>0</v>
      </c>
      <c r="AD177" s="337">
        <f t="shared" si="164"/>
        <v>0</v>
      </c>
      <c r="AE177" s="338">
        <f t="shared" si="139"/>
        <v>0</v>
      </c>
      <c r="AF177" s="336">
        <f t="shared" ref="AF177:AG190" si="165">BL177+BN177+BP177</f>
        <v>33200</v>
      </c>
      <c r="AG177" s="337">
        <f t="shared" si="165"/>
        <v>0</v>
      </c>
      <c r="AH177" s="338">
        <f t="shared" si="141"/>
        <v>33200</v>
      </c>
      <c r="AI177" s="342"/>
      <c r="AJ177" s="336">
        <f t="shared" ref="AJ177:AK192" si="166">W177+Z177</f>
        <v>105000</v>
      </c>
      <c r="AK177" s="339">
        <f t="shared" si="166"/>
        <v>0</v>
      </c>
      <c r="AL177" s="340">
        <f t="shared" si="143"/>
        <v>105000</v>
      </c>
      <c r="AM177" s="336">
        <f t="shared" ref="AM177:AN192" si="167">W177+Z177+AC177</f>
        <v>105000</v>
      </c>
      <c r="AN177" s="339">
        <f t="shared" si="167"/>
        <v>0</v>
      </c>
      <c r="AO177" s="340">
        <f t="shared" si="130"/>
        <v>105000</v>
      </c>
      <c r="AP177" s="341">
        <f t="shared" ref="AP177:AQ192" si="168">W177+Z177+AC177+AF177</f>
        <v>138200</v>
      </c>
      <c r="AQ177" s="319">
        <f t="shared" si="168"/>
        <v>0</v>
      </c>
      <c r="AR177" s="651">
        <f t="shared" si="132"/>
        <v>138200</v>
      </c>
      <c r="AS177" s="589">
        <f t="shared" si="159"/>
        <v>0</v>
      </c>
      <c r="AT177" s="336"/>
      <c r="AU177" s="344"/>
      <c r="AV177" s="319"/>
      <c r="AW177" s="344"/>
      <c r="AX177" s="319">
        <v>70000</v>
      </c>
      <c r="AY177" s="346"/>
      <c r="AZ177" s="336"/>
      <c r="BA177" s="348"/>
      <c r="BB177" s="319">
        <v>35000</v>
      </c>
      <c r="BC177" s="348"/>
      <c r="BD177" s="319"/>
      <c r="BE177" s="350"/>
      <c r="BF177" s="336"/>
      <c r="BG177" s="352"/>
      <c r="BH177" s="319"/>
      <c r="BI177" s="352"/>
      <c r="BJ177" s="319"/>
      <c r="BK177" s="353"/>
      <c r="BL177" s="336"/>
      <c r="BM177" s="355"/>
      <c r="BN177" s="319"/>
      <c r="BO177" s="355"/>
      <c r="BP177" s="319">
        <v>33200</v>
      </c>
      <c r="BQ177" s="357"/>
    </row>
    <row r="178" spans="1:69" s="313" customFormat="1" ht="51" hidden="1" outlineLevel="1">
      <c r="C178" s="313" t="s">
        <v>201</v>
      </c>
      <c r="D178" s="373" t="s">
        <v>23</v>
      </c>
      <c r="E178" s="315">
        <v>2</v>
      </c>
      <c r="F178" s="314" t="s">
        <v>71</v>
      </c>
      <c r="G178" s="314">
        <v>244</v>
      </c>
      <c r="H178" s="316">
        <v>226</v>
      </c>
      <c r="I178" s="533" t="s">
        <v>372</v>
      </c>
      <c r="J178" s="341">
        <v>17655.259999999998</v>
      </c>
      <c r="K178" s="318"/>
      <c r="L178" s="318"/>
      <c r="M178" s="570"/>
      <c r="N178" s="336">
        <v>17655.259999999998</v>
      </c>
      <c r="O178" s="559"/>
      <c r="P178" s="541">
        <v>17655.259999999998</v>
      </c>
      <c r="Q178" s="559"/>
      <c r="R178" s="335"/>
      <c r="S178" s="320"/>
      <c r="T178" s="388"/>
      <c r="U178" s="388"/>
      <c r="W178" s="336">
        <f t="shared" si="162"/>
        <v>9000</v>
      </c>
      <c r="X178" s="337">
        <f t="shared" si="162"/>
        <v>0</v>
      </c>
      <c r="Y178" s="338">
        <f t="shared" si="135"/>
        <v>9000</v>
      </c>
      <c r="Z178" s="336">
        <f t="shared" si="163"/>
        <v>4500</v>
      </c>
      <c r="AA178" s="337">
        <f t="shared" si="163"/>
        <v>0</v>
      </c>
      <c r="AB178" s="338">
        <f t="shared" si="137"/>
        <v>4500</v>
      </c>
      <c r="AC178" s="336">
        <f t="shared" si="164"/>
        <v>0</v>
      </c>
      <c r="AD178" s="337">
        <f t="shared" si="164"/>
        <v>0</v>
      </c>
      <c r="AE178" s="338">
        <f t="shared" si="139"/>
        <v>0</v>
      </c>
      <c r="AF178" s="336">
        <f t="shared" si="165"/>
        <v>4155.26</v>
      </c>
      <c r="AG178" s="337">
        <f t="shared" si="165"/>
        <v>0</v>
      </c>
      <c r="AH178" s="338">
        <f t="shared" si="141"/>
        <v>4155.26</v>
      </c>
      <c r="AI178" s="342"/>
      <c r="AJ178" s="336">
        <f t="shared" si="166"/>
        <v>13500</v>
      </c>
      <c r="AK178" s="339">
        <f t="shared" si="166"/>
        <v>0</v>
      </c>
      <c r="AL178" s="340">
        <f t="shared" si="143"/>
        <v>13500</v>
      </c>
      <c r="AM178" s="336">
        <f t="shared" si="167"/>
        <v>13500</v>
      </c>
      <c r="AN178" s="339">
        <f t="shared" si="167"/>
        <v>0</v>
      </c>
      <c r="AO178" s="340">
        <f t="shared" si="130"/>
        <v>13500</v>
      </c>
      <c r="AP178" s="341">
        <f t="shared" si="168"/>
        <v>17655.259999999998</v>
      </c>
      <c r="AQ178" s="319">
        <f t="shared" si="168"/>
        <v>0</v>
      </c>
      <c r="AR178" s="651">
        <f t="shared" si="132"/>
        <v>17655.259999999998</v>
      </c>
      <c r="AS178" s="589">
        <f t="shared" si="159"/>
        <v>0</v>
      </c>
      <c r="AT178" s="336"/>
      <c r="AU178" s="344"/>
      <c r="AV178" s="319"/>
      <c r="AW178" s="344"/>
      <c r="AX178" s="319">
        <v>9000</v>
      </c>
      <c r="AY178" s="346"/>
      <c r="AZ178" s="336"/>
      <c r="BA178" s="348"/>
      <c r="BB178" s="319">
        <v>4500</v>
      </c>
      <c r="BC178" s="348"/>
      <c r="BD178" s="319"/>
      <c r="BE178" s="350"/>
      <c r="BF178" s="336"/>
      <c r="BG178" s="352"/>
      <c r="BH178" s="319"/>
      <c r="BI178" s="352"/>
      <c r="BJ178" s="319"/>
      <c r="BK178" s="353"/>
      <c r="BL178" s="336"/>
      <c r="BM178" s="355"/>
      <c r="BN178" s="319"/>
      <c r="BO178" s="355"/>
      <c r="BP178" s="319">
        <v>4155.26</v>
      </c>
      <c r="BQ178" s="357"/>
    </row>
    <row r="179" spans="1:69" s="313" customFormat="1" ht="38.25" hidden="1" outlineLevel="1">
      <c r="C179" s="313" t="s">
        <v>201</v>
      </c>
      <c r="D179" s="373" t="s">
        <v>23</v>
      </c>
      <c r="E179" s="315">
        <v>2</v>
      </c>
      <c r="F179" s="314" t="s">
        <v>71</v>
      </c>
      <c r="G179" s="314">
        <v>244</v>
      </c>
      <c r="H179" s="316">
        <v>226</v>
      </c>
      <c r="I179" s="533" t="s">
        <v>373</v>
      </c>
      <c r="J179" s="341">
        <v>418590</v>
      </c>
      <c r="K179" s="318"/>
      <c r="L179" s="318"/>
      <c r="M179" s="570"/>
      <c r="N179" s="336">
        <v>418590</v>
      </c>
      <c r="O179" s="559"/>
      <c r="P179" s="541">
        <v>418590</v>
      </c>
      <c r="Q179" s="559"/>
      <c r="R179" s="335"/>
      <c r="S179" s="320"/>
      <c r="T179" s="388"/>
      <c r="U179" s="388"/>
      <c r="W179" s="336">
        <f t="shared" si="162"/>
        <v>220000</v>
      </c>
      <c r="X179" s="337">
        <f t="shared" si="162"/>
        <v>0</v>
      </c>
      <c r="Y179" s="338">
        <f t="shared" si="135"/>
        <v>220000</v>
      </c>
      <c r="Z179" s="336">
        <f t="shared" si="163"/>
        <v>100000</v>
      </c>
      <c r="AA179" s="337">
        <f t="shared" si="163"/>
        <v>0</v>
      </c>
      <c r="AB179" s="338">
        <f t="shared" si="137"/>
        <v>100000</v>
      </c>
      <c r="AC179" s="336">
        <f t="shared" si="164"/>
        <v>0</v>
      </c>
      <c r="AD179" s="337">
        <f t="shared" si="164"/>
        <v>0</v>
      </c>
      <c r="AE179" s="338">
        <f t="shared" si="139"/>
        <v>0</v>
      </c>
      <c r="AF179" s="336">
        <f t="shared" si="165"/>
        <v>98590</v>
      </c>
      <c r="AG179" s="337">
        <f t="shared" si="165"/>
        <v>0</v>
      </c>
      <c r="AH179" s="338">
        <f t="shared" si="141"/>
        <v>98590</v>
      </c>
      <c r="AI179" s="342"/>
      <c r="AJ179" s="336">
        <f t="shared" si="166"/>
        <v>320000</v>
      </c>
      <c r="AK179" s="339">
        <f t="shared" si="166"/>
        <v>0</v>
      </c>
      <c r="AL179" s="340">
        <f t="shared" si="143"/>
        <v>320000</v>
      </c>
      <c r="AM179" s="336">
        <f t="shared" si="167"/>
        <v>320000</v>
      </c>
      <c r="AN179" s="339">
        <f t="shared" si="167"/>
        <v>0</v>
      </c>
      <c r="AO179" s="340">
        <f t="shared" si="130"/>
        <v>320000</v>
      </c>
      <c r="AP179" s="341">
        <f t="shared" si="168"/>
        <v>418590</v>
      </c>
      <c r="AQ179" s="319">
        <f t="shared" si="168"/>
        <v>0</v>
      </c>
      <c r="AR179" s="651">
        <f t="shared" si="132"/>
        <v>418590</v>
      </c>
      <c r="AS179" s="589">
        <f t="shared" si="159"/>
        <v>0</v>
      </c>
      <c r="AT179" s="336"/>
      <c r="AU179" s="344"/>
      <c r="AV179" s="319"/>
      <c r="AW179" s="344"/>
      <c r="AX179" s="319">
        <v>220000</v>
      </c>
      <c r="AY179" s="346"/>
      <c r="AZ179" s="336"/>
      <c r="BA179" s="348"/>
      <c r="BB179" s="319">
        <v>100000</v>
      </c>
      <c r="BC179" s="348"/>
      <c r="BD179" s="319"/>
      <c r="BE179" s="350"/>
      <c r="BF179" s="336"/>
      <c r="BG179" s="352"/>
      <c r="BH179" s="319"/>
      <c r="BI179" s="352"/>
      <c r="BJ179" s="319"/>
      <c r="BK179" s="353"/>
      <c r="BL179" s="336"/>
      <c r="BM179" s="355"/>
      <c r="BN179" s="319"/>
      <c r="BO179" s="355"/>
      <c r="BP179" s="319">
        <v>98590</v>
      </c>
      <c r="BQ179" s="357"/>
    </row>
    <row r="180" spans="1:69" s="86" customFormat="1" ht="31.5">
      <c r="A180" s="358"/>
      <c r="B180" s="359"/>
      <c r="C180" s="86" t="s">
        <v>201</v>
      </c>
      <c r="D180" s="646" t="s">
        <v>23</v>
      </c>
      <c r="E180" s="646">
        <v>2</v>
      </c>
      <c r="F180" s="646" t="s">
        <v>71</v>
      </c>
      <c r="G180" s="646">
        <v>853</v>
      </c>
      <c r="H180" s="716">
        <v>297</v>
      </c>
      <c r="I180" s="717" t="s">
        <v>38</v>
      </c>
      <c r="J180" s="13">
        <v>7426.01</v>
      </c>
      <c r="K180" s="13"/>
      <c r="L180" s="13"/>
      <c r="M180" s="661"/>
      <c r="N180" s="13">
        <v>7426.01</v>
      </c>
      <c r="O180" s="661"/>
      <c r="P180" s="13">
        <v>7426.01</v>
      </c>
      <c r="Q180" s="665"/>
      <c r="R180" s="334"/>
      <c r="S180" s="305"/>
      <c r="T180" s="305"/>
      <c r="U180" s="305"/>
      <c r="W180" s="367">
        <f t="shared" si="162"/>
        <v>7426.01</v>
      </c>
      <c r="X180" s="363">
        <f t="shared" si="162"/>
        <v>0</v>
      </c>
      <c r="Y180" s="280">
        <f t="shared" si="135"/>
        <v>7426.01</v>
      </c>
      <c r="Z180" s="367">
        <f t="shared" si="163"/>
        <v>0</v>
      </c>
      <c r="AA180" s="363">
        <f t="shared" si="163"/>
        <v>0</v>
      </c>
      <c r="AB180" s="280">
        <f t="shared" si="137"/>
        <v>0</v>
      </c>
      <c r="AC180" s="367">
        <f t="shared" si="164"/>
        <v>0</v>
      </c>
      <c r="AD180" s="363">
        <f t="shared" si="164"/>
        <v>0</v>
      </c>
      <c r="AE180" s="280">
        <f t="shared" si="139"/>
        <v>0</v>
      </c>
      <c r="AF180" s="367">
        <f t="shared" si="165"/>
        <v>0</v>
      </c>
      <c r="AG180" s="363">
        <f t="shared" si="165"/>
        <v>0</v>
      </c>
      <c r="AH180" s="280">
        <f t="shared" si="141"/>
        <v>0</v>
      </c>
      <c r="AI180" s="210"/>
      <c r="AJ180" s="367">
        <f t="shared" si="166"/>
        <v>7426.01</v>
      </c>
      <c r="AK180" s="363">
        <f t="shared" si="166"/>
        <v>0</v>
      </c>
      <c r="AL180" s="280">
        <f t="shared" si="143"/>
        <v>7426.01</v>
      </c>
      <c r="AM180" s="367">
        <f t="shared" si="167"/>
        <v>7426.01</v>
      </c>
      <c r="AN180" s="363">
        <f t="shared" si="167"/>
        <v>0</v>
      </c>
      <c r="AO180" s="280">
        <f t="shared" si="130"/>
        <v>7426.01</v>
      </c>
      <c r="AP180" s="263">
        <f t="shared" si="168"/>
        <v>7426.01</v>
      </c>
      <c r="AQ180" s="10">
        <f t="shared" si="168"/>
        <v>0</v>
      </c>
      <c r="AR180" s="650">
        <f t="shared" si="132"/>
        <v>7426.01</v>
      </c>
      <c r="AS180" s="607">
        <f t="shared" si="159"/>
        <v>0</v>
      </c>
      <c r="AT180" s="263">
        <f>AT141*0.15%+0.01</f>
        <v>7426.01</v>
      </c>
      <c r="AU180" s="363">
        <f t="shared" ref="AU180:BQ180" si="169">AU141*0.15</f>
        <v>0</v>
      </c>
      <c r="AV180" s="10">
        <f t="shared" si="169"/>
        <v>0</v>
      </c>
      <c r="AW180" s="363">
        <f t="shared" si="169"/>
        <v>0</v>
      </c>
      <c r="AX180" s="10">
        <f t="shared" si="169"/>
        <v>0</v>
      </c>
      <c r="AY180" s="369">
        <f t="shared" si="169"/>
        <v>0</v>
      </c>
      <c r="AZ180" s="263">
        <f t="shared" si="169"/>
        <v>0</v>
      </c>
      <c r="BA180" s="363">
        <f t="shared" si="169"/>
        <v>0</v>
      </c>
      <c r="BB180" s="10">
        <f t="shared" si="169"/>
        <v>0</v>
      </c>
      <c r="BC180" s="363">
        <f t="shared" si="169"/>
        <v>0</v>
      </c>
      <c r="BD180" s="10">
        <f t="shared" si="169"/>
        <v>0</v>
      </c>
      <c r="BE180" s="369">
        <f t="shared" si="169"/>
        <v>0</v>
      </c>
      <c r="BF180" s="263">
        <f t="shared" si="169"/>
        <v>0</v>
      </c>
      <c r="BG180" s="363">
        <f t="shared" si="169"/>
        <v>0</v>
      </c>
      <c r="BH180" s="10">
        <f t="shared" si="169"/>
        <v>0</v>
      </c>
      <c r="BI180" s="363">
        <f t="shared" si="169"/>
        <v>0</v>
      </c>
      <c r="BJ180" s="10">
        <f t="shared" si="169"/>
        <v>0</v>
      </c>
      <c r="BK180" s="369">
        <f t="shared" si="169"/>
        <v>0</v>
      </c>
      <c r="BL180" s="263">
        <f t="shared" si="169"/>
        <v>0</v>
      </c>
      <c r="BM180" s="363">
        <f t="shared" si="169"/>
        <v>0</v>
      </c>
      <c r="BN180" s="10">
        <f t="shared" si="169"/>
        <v>0</v>
      </c>
      <c r="BO180" s="363">
        <f t="shared" si="169"/>
        <v>0</v>
      </c>
      <c r="BP180" s="10">
        <f t="shared" si="169"/>
        <v>0</v>
      </c>
      <c r="BQ180" s="280">
        <f t="shared" si="169"/>
        <v>0</v>
      </c>
    </row>
    <row r="181" spans="1:69" s="86" customFormat="1" ht="31.5" customHeight="1" collapsed="1">
      <c r="A181" s="378" t="s">
        <v>377</v>
      </c>
      <c r="B181" s="359"/>
      <c r="C181" s="86" t="s">
        <v>201</v>
      </c>
      <c r="D181" s="646" t="s">
        <v>23</v>
      </c>
      <c r="E181" s="646">
        <v>2</v>
      </c>
      <c r="F181" s="646" t="s">
        <v>71</v>
      </c>
      <c r="G181" s="646">
        <v>244</v>
      </c>
      <c r="H181" s="716">
        <v>346</v>
      </c>
      <c r="I181" s="717" t="s">
        <v>379</v>
      </c>
      <c r="J181" s="13">
        <f>SUM(J182:J185)</f>
        <v>86176.639999999999</v>
      </c>
      <c r="K181" s="13"/>
      <c r="L181" s="13"/>
      <c r="M181" s="661"/>
      <c r="N181" s="13">
        <f>SUM(N182:N185)</f>
        <v>76176.639999999999</v>
      </c>
      <c r="O181" s="661"/>
      <c r="P181" s="13">
        <f>SUM(P182:P185)</f>
        <v>76176.639999999999</v>
      </c>
      <c r="Q181" s="665"/>
      <c r="R181" s="334"/>
      <c r="S181" s="305"/>
      <c r="T181" s="305"/>
      <c r="U181" s="305"/>
      <c r="W181" s="367">
        <f t="shared" si="162"/>
        <v>46196.65</v>
      </c>
      <c r="X181" s="363">
        <f t="shared" si="162"/>
        <v>0</v>
      </c>
      <c r="Y181" s="280">
        <f t="shared" si="135"/>
        <v>46196.65</v>
      </c>
      <c r="Z181" s="367">
        <f t="shared" si="163"/>
        <v>5000</v>
      </c>
      <c r="AA181" s="363">
        <f t="shared" si="163"/>
        <v>0</v>
      </c>
      <c r="AB181" s="280">
        <f t="shared" si="137"/>
        <v>5000</v>
      </c>
      <c r="AC181" s="367">
        <f t="shared" si="164"/>
        <v>0</v>
      </c>
      <c r="AD181" s="363">
        <f t="shared" si="164"/>
        <v>0</v>
      </c>
      <c r="AE181" s="280">
        <f t="shared" si="139"/>
        <v>0</v>
      </c>
      <c r="AF181" s="367">
        <f t="shared" si="165"/>
        <v>34979.99</v>
      </c>
      <c r="AG181" s="363">
        <f t="shared" si="165"/>
        <v>0</v>
      </c>
      <c r="AH181" s="280">
        <f t="shared" si="141"/>
        <v>34979.99</v>
      </c>
      <c r="AI181" s="210"/>
      <c r="AJ181" s="367">
        <f t="shared" si="166"/>
        <v>51196.65</v>
      </c>
      <c r="AK181" s="363">
        <f t="shared" si="166"/>
        <v>0</v>
      </c>
      <c r="AL181" s="280">
        <f t="shared" si="143"/>
        <v>51196.65</v>
      </c>
      <c r="AM181" s="367">
        <f t="shared" si="167"/>
        <v>51196.65</v>
      </c>
      <c r="AN181" s="363">
        <f t="shared" si="167"/>
        <v>0</v>
      </c>
      <c r="AO181" s="280">
        <f t="shared" si="130"/>
        <v>51196.65</v>
      </c>
      <c r="AP181" s="263">
        <f t="shared" si="168"/>
        <v>86176.639999999999</v>
      </c>
      <c r="AQ181" s="10">
        <f t="shared" si="168"/>
        <v>0</v>
      </c>
      <c r="AR181" s="650">
        <f t="shared" si="132"/>
        <v>86176.639999999999</v>
      </c>
      <c r="AS181" s="607">
        <f t="shared" si="159"/>
        <v>0</v>
      </c>
      <c r="AT181" s="263">
        <f t="shared" ref="AT181:BQ181" si="170">SUM(AT182:AT185)</f>
        <v>0</v>
      </c>
      <c r="AU181" s="363">
        <f t="shared" si="170"/>
        <v>0</v>
      </c>
      <c r="AV181" s="10">
        <f t="shared" si="170"/>
        <v>0</v>
      </c>
      <c r="AW181" s="363">
        <f t="shared" si="170"/>
        <v>0</v>
      </c>
      <c r="AX181" s="10">
        <f t="shared" si="170"/>
        <v>46196.65</v>
      </c>
      <c r="AY181" s="369">
        <f t="shared" si="170"/>
        <v>0</v>
      </c>
      <c r="AZ181" s="263">
        <f t="shared" si="170"/>
        <v>0</v>
      </c>
      <c r="BA181" s="363">
        <f t="shared" si="170"/>
        <v>0</v>
      </c>
      <c r="BB181" s="10">
        <f t="shared" si="170"/>
        <v>5000</v>
      </c>
      <c r="BC181" s="363">
        <f t="shared" si="170"/>
        <v>0</v>
      </c>
      <c r="BD181" s="10">
        <f t="shared" si="170"/>
        <v>0</v>
      </c>
      <c r="BE181" s="369">
        <f t="shared" si="170"/>
        <v>0</v>
      </c>
      <c r="BF181" s="263">
        <f t="shared" si="170"/>
        <v>0</v>
      </c>
      <c r="BG181" s="363">
        <f t="shared" si="170"/>
        <v>0</v>
      </c>
      <c r="BH181" s="10">
        <f t="shared" si="170"/>
        <v>0</v>
      </c>
      <c r="BI181" s="363">
        <f t="shared" si="170"/>
        <v>0</v>
      </c>
      <c r="BJ181" s="10">
        <f t="shared" si="170"/>
        <v>0</v>
      </c>
      <c r="BK181" s="369">
        <f t="shared" si="170"/>
        <v>0</v>
      </c>
      <c r="BL181" s="263">
        <f t="shared" si="170"/>
        <v>29979.99</v>
      </c>
      <c r="BM181" s="363">
        <f t="shared" si="170"/>
        <v>0</v>
      </c>
      <c r="BN181" s="10">
        <f t="shared" si="170"/>
        <v>5000</v>
      </c>
      <c r="BO181" s="363">
        <f t="shared" si="170"/>
        <v>0</v>
      </c>
      <c r="BP181" s="10">
        <f t="shared" si="170"/>
        <v>0</v>
      </c>
      <c r="BQ181" s="280">
        <f t="shared" si="170"/>
        <v>0</v>
      </c>
    </row>
    <row r="182" spans="1:69" s="313" customFormat="1" ht="25.5" hidden="1" outlineLevel="1">
      <c r="D182" s="686" t="s">
        <v>23</v>
      </c>
      <c r="E182" s="687">
        <v>2</v>
      </c>
      <c r="F182" s="688" t="s">
        <v>71</v>
      </c>
      <c r="G182" s="688">
        <v>244</v>
      </c>
      <c r="H182" s="689">
        <v>346</v>
      </c>
      <c r="I182" s="690" t="s">
        <v>308</v>
      </c>
      <c r="J182" s="691">
        <v>7359.99</v>
      </c>
      <c r="K182" s="692"/>
      <c r="L182" s="692"/>
      <c r="M182" s="570"/>
      <c r="N182" s="693">
        <v>7359.99</v>
      </c>
      <c r="O182" s="559"/>
      <c r="P182" s="705">
        <v>7359.99</v>
      </c>
      <c r="Q182" s="559"/>
      <c r="R182" s="335"/>
      <c r="S182" s="320"/>
      <c r="T182" s="320"/>
      <c r="U182" s="320"/>
      <c r="W182" s="336">
        <f t="shared" si="162"/>
        <v>4906.66</v>
      </c>
      <c r="X182" s="337">
        <f t="shared" si="162"/>
        <v>0</v>
      </c>
      <c r="Y182" s="338">
        <f t="shared" si="135"/>
        <v>4906.66</v>
      </c>
      <c r="Z182" s="336">
        <f t="shared" si="163"/>
        <v>0</v>
      </c>
      <c r="AA182" s="337">
        <f t="shared" si="163"/>
        <v>0</v>
      </c>
      <c r="AB182" s="338">
        <f t="shared" si="137"/>
        <v>0</v>
      </c>
      <c r="AC182" s="336">
        <f t="shared" si="164"/>
        <v>0</v>
      </c>
      <c r="AD182" s="337">
        <f t="shared" si="164"/>
        <v>0</v>
      </c>
      <c r="AE182" s="338">
        <f t="shared" si="139"/>
        <v>0</v>
      </c>
      <c r="AF182" s="336">
        <f t="shared" si="165"/>
        <v>2453.33</v>
      </c>
      <c r="AG182" s="337">
        <f t="shared" si="165"/>
        <v>0</v>
      </c>
      <c r="AH182" s="338">
        <f t="shared" si="141"/>
        <v>2453.33</v>
      </c>
      <c r="AI182" s="342"/>
      <c r="AJ182" s="336">
        <f t="shared" si="166"/>
        <v>4906.66</v>
      </c>
      <c r="AK182" s="339">
        <f t="shared" si="166"/>
        <v>0</v>
      </c>
      <c r="AL182" s="340">
        <f t="shared" si="143"/>
        <v>4906.66</v>
      </c>
      <c r="AM182" s="336">
        <f t="shared" si="167"/>
        <v>4906.66</v>
      </c>
      <c r="AN182" s="339">
        <f t="shared" si="167"/>
        <v>0</v>
      </c>
      <c r="AO182" s="340">
        <f t="shared" si="130"/>
        <v>4906.66</v>
      </c>
      <c r="AP182" s="341">
        <f t="shared" si="168"/>
        <v>7359.99</v>
      </c>
      <c r="AQ182" s="339">
        <f t="shared" si="168"/>
        <v>0</v>
      </c>
      <c r="AR182" s="340">
        <f t="shared" si="132"/>
        <v>7359.99</v>
      </c>
      <c r="AS182" s="589">
        <f t="shared" si="159"/>
        <v>0</v>
      </c>
      <c r="AT182" s="343"/>
      <c r="AU182" s="344"/>
      <c r="AV182" s="345"/>
      <c r="AW182" s="344"/>
      <c r="AX182" s="345">
        <f>2453.33*2</f>
        <v>4906.66</v>
      </c>
      <c r="AY182" s="346"/>
      <c r="AZ182" s="347"/>
      <c r="BA182" s="348"/>
      <c r="BB182" s="349"/>
      <c r="BC182" s="348"/>
      <c r="BD182" s="349"/>
      <c r="BE182" s="350"/>
      <c r="BF182" s="351"/>
      <c r="BG182" s="352"/>
      <c r="BH182" s="337"/>
      <c r="BI182" s="352"/>
      <c r="BJ182" s="337"/>
      <c r="BK182" s="353"/>
      <c r="BL182" s="354">
        <v>2453.33</v>
      </c>
      <c r="BM182" s="355"/>
      <c r="BN182" s="356"/>
      <c r="BO182" s="355"/>
      <c r="BP182" s="356"/>
      <c r="BQ182" s="357"/>
    </row>
    <row r="183" spans="1:69" s="313" customFormat="1" ht="25.5" hidden="1" outlineLevel="1">
      <c r="D183" s="373" t="s">
        <v>23</v>
      </c>
      <c r="E183" s="315">
        <v>2</v>
      </c>
      <c r="F183" s="314" t="s">
        <v>71</v>
      </c>
      <c r="G183" s="314">
        <v>244</v>
      </c>
      <c r="H183" s="316">
        <v>346</v>
      </c>
      <c r="I183" s="533" t="s">
        <v>309</v>
      </c>
      <c r="J183" s="341">
        <v>27000</v>
      </c>
      <c r="K183" s="318"/>
      <c r="L183" s="318"/>
      <c r="M183" s="570"/>
      <c r="N183" s="336">
        <v>27000</v>
      </c>
      <c r="O183" s="559"/>
      <c r="P183" s="541">
        <v>27000</v>
      </c>
      <c r="Q183" s="559"/>
      <c r="R183" s="335"/>
      <c r="S183" s="320"/>
      <c r="T183" s="320"/>
      <c r="U183" s="320"/>
      <c r="W183" s="336">
        <f>AT183+AV183+AX183</f>
        <v>16200</v>
      </c>
      <c r="X183" s="337">
        <f>AU183+AW183+AY183</f>
        <v>0</v>
      </c>
      <c r="Y183" s="338">
        <f>W183-X183</f>
        <v>16200</v>
      </c>
      <c r="Z183" s="336">
        <f>AZ183+BB183+BD183</f>
        <v>0</v>
      </c>
      <c r="AA183" s="337">
        <f>BA183+BC183+BE183</f>
        <v>0</v>
      </c>
      <c r="AB183" s="338">
        <f>Z183-AA183</f>
        <v>0</v>
      </c>
      <c r="AC183" s="336">
        <f>BF183+BH183+BJ183</f>
        <v>0</v>
      </c>
      <c r="AD183" s="337">
        <f>BG183+BI183+BK183</f>
        <v>0</v>
      </c>
      <c r="AE183" s="338">
        <f>AC183-AD183</f>
        <v>0</v>
      </c>
      <c r="AF183" s="336">
        <f>BL183+BN183+BP183</f>
        <v>10800</v>
      </c>
      <c r="AG183" s="337">
        <f>BM183+BO183+BQ183</f>
        <v>0</v>
      </c>
      <c r="AH183" s="338">
        <f>AF183-AG183</f>
        <v>10800</v>
      </c>
      <c r="AI183" s="342"/>
      <c r="AJ183" s="336">
        <f>W183+Z183</f>
        <v>16200</v>
      </c>
      <c r="AK183" s="339">
        <f>X183+AA183</f>
        <v>0</v>
      </c>
      <c r="AL183" s="340">
        <f>AJ183-AK183</f>
        <v>16200</v>
      </c>
      <c r="AM183" s="336">
        <f>W183+Z183+AC183</f>
        <v>16200</v>
      </c>
      <c r="AN183" s="339">
        <f>X183+AA183+AD183</f>
        <v>0</v>
      </c>
      <c r="AO183" s="340">
        <f>AM183-AN183</f>
        <v>16200</v>
      </c>
      <c r="AP183" s="341">
        <f>W183+Z183+AC183+AF183</f>
        <v>27000</v>
      </c>
      <c r="AQ183" s="339">
        <f>X183+AA183+AD183+AG183</f>
        <v>0</v>
      </c>
      <c r="AR183" s="340">
        <f>AP183-AQ183</f>
        <v>27000</v>
      </c>
      <c r="AS183" s="589">
        <f t="shared" si="159"/>
        <v>0</v>
      </c>
      <c r="AT183" s="343"/>
      <c r="AU183" s="344"/>
      <c r="AV183" s="345"/>
      <c r="AW183" s="344"/>
      <c r="AX183" s="345">
        <f>5400*3</f>
        <v>16200</v>
      </c>
      <c r="AY183" s="346"/>
      <c r="AZ183" s="347"/>
      <c r="BA183" s="348"/>
      <c r="BB183" s="349"/>
      <c r="BC183" s="348"/>
      <c r="BD183" s="349"/>
      <c r="BE183" s="350"/>
      <c r="BF183" s="351"/>
      <c r="BG183" s="352"/>
      <c r="BH183" s="337"/>
      <c r="BI183" s="352"/>
      <c r="BJ183" s="337"/>
      <c r="BK183" s="353"/>
      <c r="BL183" s="354">
        <f>5400*2</f>
        <v>10800</v>
      </c>
      <c r="BM183" s="355"/>
      <c r="BN183" s="356"/>
      <c r="BO183" s="355"/>
      <c r="BP183" s="356"/>
      <c r="BQ183" s="357"/>
    </row>
    <row r="184" spans="1:69" s="313" customFormat="1" ht="25.5" hidden="1" outlineLevel="1">
      <c r="D184" s="373" t="s">
        <v>23</v>
      </c>
      <c r="E184" s="315">
        <v>2</v>
      </c>
      <c r="F184" s="314" t="s">
        <v>71</v>
      </c>
      <c r="G184" s="314">
        <v>244</v>
      </c>
      <c r="H184" s="316">
        <v>346</v>
      </c>
      <c r="I184" s="533" t="s">
        <v>310</v>
      </c>
      <c r="J184" s="341">
        <v>41816.65</v>
      </c>
      <c r="K184" s="318"/>
      <c r="L184" s="318"/>
      <c r="M184" s="570"/>
      <c r="N184" s="336">
        <v>41816.65</v>
      </c>
      <c r="O184" s="559"/>
      <c r="P184" s="541">
        <v>41816.65</v>
      </c>
      <c r="Q184" s="559"/>
      <c r="R184" s="335"/>
      <c r="S184" s="320"/>
      <c r="T184" s="320"/>
      <c r="U184" s="320"/>
      <c r="W184" s="336">
        <f t="shared" ref="W184:X184" si="171">AT184+AV184+AX184</f>
        <v>25089.99</v>
      </c>
      <c r="X184" s="337">
        <f t="shared" si="171"/>
        <v>0</v>
      </c>
      <c r="Y184" s="338">
        <f t="shared" ref="Y184" si="172">W184-X184</f>
        <v>25089.99</v>
      </c>
      <c r="Z184" s="336">
        <f t="shared" ref="Z184:AA184" si="173">AZ184+BB184+BD184</f>
        <v>0</v>
      </c>
      <c r="AA184" s="337">
        <f t="shared" si="173"/>
        <v>0</v>
      </c>
      <c r="AB184" s="338">
        <f t="shared" ref="AB184" si="174">Z184-AA184</f>
        <v>0</v>
      </c>
      <c r="AC184" s="336">
        <f t="shared" ref="AC184:AD184" si="175">BF184+BH184+BJ184</f>
        <v>0</v>
      </c>
      <c r="AD184" s="337">
        <f t="shared" si="175"/>
        <v>0</v>
      </c>
      <c r="AE184" s="338">
        <f t="shared" ref="AE184" si="176">AC184-AD184</f>
        <v>0</v>
      </c>
      <c r="AF184" s="336">
        <f t="shared" ref="AF184:AG184" si="177">BL184+BN184+BP184</f>
        <v>16726.66</v>
      </c>
      <c r="AG184" s="337">
        <f t="shared" si="177"/>
        <v>0</v>
      </c>
      <c r="AH184" s="338">
        <f t="shared" ref="AH184" si="178">AF184-AG184</f>
        <v>16726.66</v>
      </c>
      <c r="AI184" s="342"/>
      <c r="AJ184" s="336">
        <f t="shared" ref="AJ184:AK184" si="179">W184+Z184</f>
        <v>25089.99</v>
      </c>
      <c r="AK184" s="339">
        <f t="shared" si="179"/>
        <v>0</v>
      </c>
      <c r="AL184" s="340">
        <f t="shared" ref="AL184" si="180">AJ184-AK184</f>
        <v>25089.99</v>
      </c>
      <c r="AM184" s="336">
        <f t="shared" ref="AM184:AN184" si="181">W184+Z184+AC184</f>
        <v>25089.99</v>
      </c>
      <c r="AN184" s="339">
        <f t="shared" si="181"/>
        <v>0</v>
      </c>
      <c r="AO184" s="340">
        <f t="shared" ref="AO184" si="182">AM184-AN184</f>
        <v>25089.99</v>
      </c>
      <c r="AP184" s="341">
        <f t="shared" ref="AP184:AQ184" si="183">W184+Z184+AC184+AF184</f>
        <v>41816.65</v>
      </c>
      <c r="AQ184" s="339">
        <f t="shared" si="183"/>
        <v>0</v>
      </c>
      <c r="AR184" s="340">
        <f t="shared" ref="AR184" si="184">AP184-AQ184</f>
        <v>41816.65</v>
      </c>
      <c r="AS184" s="589">
        <f t="shared" si="159"/>
        <v>0</v>
      </c>
      <c r="AT184" s="343"/>
      <c r="AU184" s="344"/>
      <c r="AV184" s="345"/>
      <c r="AW184" s="344"/>
      <c r="AX184" s="345">
        <f>8363.33*3</f>
        <v>25089.99</v>
      </c>
      <c r="AY184" s="346"/>
      <c r="AZ184" s="347"/>
      <c r="BA184" s="348"/>
      <c r="BB184" s="349"/>
      <c r="BC184" s="348"/>
      <c r="BD184" s="349"/>
      <c r="BE184" s="350"/>
      <c r="BF184" s="351"/>
      <c r="BG184" s="352"/>
      <c r="BH184" s="337"/>
      <c r="BI184" s="352"/>
      <c r="BJ184" s="337"/>
      <c r="BK184" s="353"/>
      <c r="BL184" s="354">
        <f>8363.33*2</f>
        <v>16726.66</v>
      </c>
      <c r="BM184" s="355"/>
      <c r="BN184" s="356"/>
      <c r="BO184" s="355"/>
      <c r="BP184" s="356"/>
      <c r="BQ184" s="357"/>
    </row>
    <row r="185" spans="1:69" s="313" customFormat="1" ht="25.5" hidden="1">
      <c r="D185" s="373" t="s">
        <v>23</v>
      </c>
      <c r="E185" s="315">
        <v>2</v>
      </c>
      <c r="F185" s="314" t="s">
        <v>71</v>
      </c>
      <c r="G185" s="314">
        <v>244</v>
      </c>
      <c r="H185" s="316">
        <v>346</v>
      </c>
      <c r="I185" s="317" t="s">
        <v>389</v>
      </c>
      <c r="J185" s="318">
        <v>10000</v>
      </c>
      <c r="K185" s="318"/>
      <c r="L185" s="318"/>
      <c r="M185" s="329"/>
      <c r="N185" s="319">
        <v>0</v>
      </c>
      <c r="O185" s="329"/>
      <c r="P185" s="319">
        <v>0</v>
      </c>
      <c r="Q185" s="329"/>
      <c r="R185" s="335"/>
      <c r="S185" s="596" t="s">
        <v>390</v>
      </c>
      <c r="T185" s="596"/>
      <c r="U185" s="596" t="s">
        <v>381</v>
      </c>
      <c r="W185" s="336">
        <f>AT185+AV185+AX185</f>
        <v>0</v>
      </c>
      <c r="X185" s="337">
        <f>AU185+AW185+AY185</f>
        <v>0</v>
      </c>
      <c r="Y185" s="338">
        <f>W185-X185</f>
        <v>0</v>
      </c>
      <c r="Z185" s="336">
        <f>AZ185+BB185+BD185</f>
        <v>5000</v>
      </c>
      <c r="AA185" s="337">
        <f>BA185+BC185+BE185</f>
        <v>0</v>
      </c>
      <c r="AB185" s="338">
        <f>Z185-AA185</f>
        <v>5000</v>
      </c>
      <c r="AC185" s="336">
        <f>BF185+BH185+BJ185</f>
        <v>0</v>
      </c>
      <c r="AD185" s="337">
        <f>BG185+BI185+BK185</f>
        <v>0</v>
      </c>
      <c r="AE185" s="338">
        <f>AC185-AD185</f>
        <v>0</v>
      </c>
      <c r="AF185" s="336">
        <f>BL185+BN185+BP185</f>
        <v>5000</v>
      </c>
      <c r="AG185" s="337">
        <f>BM185+BO185+BQ185</f>
        <v>0</v>
      </c>
      <c r="AH185" s="338">
        <f>AF185-AG185</f>
        <v>5000</v>
      </c>
      <c r="AI185" s="342"/>
      <c r="AJ185" s="336">
        <f>W185+Z185</f>
        <v>5000</v>
      </c>
      <c r="AK185" s="339">
        <f>X185+AA185</f>
        <v>0</v>
      </c>
      <c r="AL185" s="340">
        <f>AJ185-AK185</f>
        <v>5000</v>
      </c>
      <c r="AM185" s="336">
        <f>W185+Z185+AC185</f>
        <v>5000</v>
      </c>
      <c r="AN185" s="339">
        <f>X185+AA185+AD185</f>
        <v>0</v>
      </c>
      <c r="AO185" s="340">
        <f>AM185-AN185</f>
        <v>5000</v>
      </c>
      <c r="AP185" s="341">
        <f>W185+Z185+AC185+AF185</f>
        <v>10000</v>
      </c>
      <c r="AQ185" s="339">
        <f>X185+AA185+AD185+AG185</f>
        <v>0</v>
      </c>
      <c r="AR185" s="340">
        <f>AP185-AQ185</f>
        <v>10000</v>
      </c>
      <c r="AS185" s="589"/>
      <c r="AT185" s="343"/>
      <c r="AU185" s="344"/>
      <c r="AV185" s="345"/>
      <c r="AW185" s="344"/>
      <c r="AX185" s="345"/>
      <c r="AY185" s="346"/>
      <c r="AZ185" s="347"/>
      <c r="BA185" s="348"/>
      <c r="BB185" s="349">
        <v>5000</v>
      </c>
      <c r="BC185" s="348"/>
      <c r="BD185" s="349"/>
      <c r="BE185" s="350"/>
      <c r="BF185" s="351"/>
      <c r="BG185" s="352"/>
      <c r="BH185" s="337"/>
      <c r="BI185" s="352"/>
      <c r="BJ185" s="337"/>
      <c r="BK185" s="353"/>
      <c r="BL185" s="354"/>
      <c r="BM185" s="355"/>
      <c r="BN185" s="356">
        <v>5000</v>
      </c>
      <c r="BO185" s="355"/>
      <c r="BP185" s="356"/>
      <c r="BQ185" s="357"/>
    </row>
    <row r="186" spans="1:69" s="86" customFormat="1" ht="31.5">
      <c r="A186" s="358"/>
      <c r="B186" s="359"/>
      <c r="C186" s="86" t="s">
        <v>201</v>
      </c>
      <c r="D186" s="646" t="s">
        <v>23</v>
      </c>
      <c r="E186" s="646">
        <v>2</v>
      </c>
      <c r="F186" s="646" t="s">
        <v>71</v>
      </c>
      <c r="G186" s="646">
        <v>244</v>
      </c>
      <c r="H186" s="716">
        <v>346</v>
      </c>
      <c r="I186" s="717" t="s">
        <v>304</v>
      </c>
      <c r="J186" s="13">
        <v>80457.509999999995</v>
      </c>
      <c r="K186" s="13"/>
      <c r="L186" s="13"/>
      <c r="M186" s="661"/>
      <c r="N186" s="13">
        <v>146684.4</v>
      </c>
      <c r="O186" s="661"/>
      <c r="P186" s="13">
        <v>145856.06</v>
      </c>
      <c r="Q186" s="665"/>
      <c r="R186" s="334"/>
      <c r="S186" s="320"/>
      <c r="T186" s="320"/>
      <c r="U186" s="320"/>
      <c r="W186" s="367">
        <f t="shared" si="162"/>
        <v>0</v>
      </c>
      <c r="X186" s="363">
        <f t="shared" si="162"/>
        <v>0</v>
      </c>
      <c r="Y186" s="280">
        <f t="shared" si="135"/>
        <v>0</v>
      </c>
      <c r="Z186" s="367">
        <f t="shared" si="163"/>
        <v>0</v>
      </c>
      <c r="AA186" s="363">
        <f t="shared" si="163"/>
        <v>0</v>
      </c>
      <c r="AB186" s="280">
        <f t="shared" si="137"/>
        <v>0</v>
      </c>
      <c r="AC186" s="367">
        <f t="shared" si="164"/>
        <v>0</v>
      </c>
      <c r="AD186" s="363">
        <f t="shared" si="164"/>
        <v>0</v>
      </c>
      <c r="AE186" s="280">
        <f t="shared" si="139"/>
        <v>0</v>
      </c>
      <c r="AF186" s="367">
        <f t="shared" si="165"/>
        <v>80457.509999999995</v>
      </c>
      <c r="AG186" s="363">
        <f t="shared" si="165"/>
        <v>0</v>
      </c>
      <c r="AH186" s="280">
        <f t="shared" si="141"/>
        <v>80457.509999999995</v>
      </c>
      <c r="AI186" s="210"/>
      <c r="AJ186" s="367">
        <f t="shared" si="166"/>
        <v>0</v>
      </c>
      <c r="AK186" s="363">
        <f t="shared" si="166"/>
        <v>0</v>
      </c>
      <c r="AL186" s="280">
        <f t="shared" si="143"/>
        <v>0</v>
      </c>
      <c r="AM186" s="367">
        <f t="shared" si="167"/>
        <v>0</v>
      </c>
      <c r="AN186" s="363">
        <f t="shared" si="167"/>
        <v>0</v>
      </c>
      <c r="AO186" s="280">
        <f t="shared" si="130"/>
        <v>0</v>
      </c>
      <c r="AP186" s="263">
        <f t="shared" si="168"/>
        <v>80457.509999999995</v>
      </c>
      <c r="AQ186" s="10">
        <f t="shared" si="168"/>
        <v>0</v>
      </c>
      <c r="AR186" s="650">
        <f t="shared" si="132"/>
        <v>80457.509999999995</v>
      </c>
      <c r="AS186" s="607">
        <f t="shared" ref="AS186:AS194" si="185">J186-AP186</f>
        <v>0</v>
      </c>
      <c r="AT186" s="263"/>
      <c r="AU186" s="363"/>
      <c r="AV186" s="10"/>
      <c r="AW186" s="363"/>
      <c r="AX186" s="10">
        <v>0</v>
      </c>
      <c r="AY186" s="369"/>
      <c r="AZ186" s="263"/>
      <c r="BA186" s="363"/>
      <c r="BB186" s="10"/>
      <c r="BC186" s="363"/>
      <c r="BD186" s="10">
        <v>0</v>
      </c>
      <c r="BE186" s="369"/>
      <c r="BF186" s="263"/>
      <c r="BG186" s="363"/>
      <c r="BH186" s="10"/>
      <c r="BI186" s="363"/>
      <c r="BJ186" s="10"/>
      <c r="BK186" s="369"/>
      <c r="BL186" s="263"/>
      <c r="BM186" s="363"/>
      <c r="BN186" s="10"/>
      <c r="BO186" s="363"/>
      <c r="BP186" s="10">
        <v>80457.509999999995</v>
      </c>
      <c r="BQ186" s="280"/>
    </row>
    <row r="187" spans="1:69" s="86" customFormat="1" ht="47.25">
      <c r="A187" s="358"/>
      <c r="B187" s="359"/>
      <c r="C187" s="86" t="s">
        <v>201</v>
      </c>
      <c r="D187" s="646" t="s">
        <v>23</v>
      </c>
      <c r="E187" s="646">
        <v>2</v>
      </c>
      <c r="F187" s="646" t="s">
        <v>71</v>
      </c>
      <c r="G187" s="646">
        <v>244</v>
      </c>
      <c r="H187" s="716">
        <v>346</v>
      </c>
      <c r="I187" s="717" t="s">
        <v>305</v>
      </c>
      <c r="J187" s="13">
        <v>80867.289999999994</v>
      </c>
      <c r="K187" s="13"/>
      <c r="L187" s="13"/>
      <c r="M187" s="661"/>
      <c r="N187" s="13">
        <v>80038.95</v>
      </c>
      <c r="O187" s="661"/>
      <c r="P187" s="13">
        <v>80867.289999999994</v>
      </c>
      <c r="Q187" s="665"/>
      <c r="R187" s="334"/>
      <c r="S187" s="320"/>
      <c r="T187" s="320"/>
      <c r="U187" s="320"/>
      <c r="W187" s="367">
        <f t="shared" si="162"/>
        <v>20000</v>
      </c>
      <c r="X187" s="363">
        <f t="shared" si="162"/>
        <v>0</v>
      </c>
      <c r="Y187" s="280">
        <f t="shared" si="135"/>
        <v>20000</v>
      </c>
      <c r="Z187" s="367">
        <f t="shared" si="163"/>
        <v>20000</v>
      </c>
      <c r="AA187" s="363">
        <f t="shared" si="163"/>
        <v>0</v>
      </c>
      <c r="AB187" s="280">
        <f t="shared" si="137"/>
        <v>20000</v>
      </c>
      <c r="AC187" s="367">
        <f t="shared" si="164"/>
        <v>0</v>
      </c>
      <c r="AD187" s="363">
        <f t="shared" si="164"/>
        <v>0</v>
      </c>
      <c r="AE187" s="280">
        <f t="shared" si="139"/>
        <v>0</v>
      </c>
      <c r="AF187" s="367">
        <f t="shared" si="165"/>
        <v>40867.29</v>
      </c>
      <c r="AG187" s="363">
        <f t="shared" si="165"/>
        <v>0</v>
      </c>
      <c r="AH187" s="280">
        <f t="shared" si="141"/>
        <v>40867.29</v>
      </c>
      <c r="AI187" s="210"/>
      <c r="AJ187" s="367">
        <f t="shared" si="166"/>
        <v>40000</v>
      </c>
      <c r="AK187" s="363">
        <f t="shared" si="166"/>
        <v>0</v>
      </c>
      <c r="AL187" s="280">
        <f t="shared" si="143"/>
        <v>40000</v>
      </c>
      <c r="AM187" s="367">
        <f t="shared" si="167"/>
        <v>40000</v>
      </c>
      <c r="AN187" s="363">
        <f t="shared" si="167"/>
        <v>0</v>
      </c>
      <c r="AO187" s="280">
        <f t="shared" si="130"/>
        <v>40000</v>
      </c>
      <c r="AP187" s="263">
        <f t="shared" si="168"/>
        <v>80867.289999999994</v>
      </c>
      <c r="AQ187" s="10">
        <f t="shared" si="168"/>
        <v>0</v>
      </c>
      <c r="AR187" s="650">
        <f t="shared" si="132"/>
        <v>80867.289999999994</v>
      </c>
      <c r="AS187" s="607">
        <f t="shared" si="185"/>
        <v>0</v>
      </c>
      <c r="AT187" s="263"/>
      <c r="AU187" s="363"/>
      <c r="AV187" s="10"/>
      <c r="AW187" s="363"/>
      <c r="AX187" s="10">
        <v>20000</v>
      </c>
      <c r="AY187" s="369"/>
      <c r="AZ187" s="263"/>
      <c r="BA187" s="363"/>
      <c r="BB187" s="10">
        <v>20000</v>
      </c>
      <c r="BC187" s="363"/>
      <c r="BD187" s="10"/>
      <c r="BE187" s="369"/>
      <c r="BF187" s="263"/>
      <c r="BG187" s="363"/>
      <c r="BH187" s="10"/>
      <c r="BI187" s="363"/>
      <c r="BJ187" s="10"/>
      <c r="BK187" s="369"/>
      <c r="BL187" s="263">
        <v>20000</v>
      </c>
      <c r="BM187" s="363"/>
      <c r="BN187" s="10"/>
      <c r="BO187" s="363"/>
      <c r="BP187" s="10">
        <v>20867.29</v>
      </c>
      <c r="BQ187" s="280"/>
    </row>
    <row r="188" spans="1:69" s="86" customFormat="1" ht="31.5">
      <c r="A188" s="358"/>
      <c r="B188" s="359"/>
      <c r="C188" s="86" t="s">
        <v>201</v>
      </c>
      <c r="D188" s="646" t="s">
        <v>23</v>
      </c>
      <c r="E188" s="646">
        <v>2</v>
      </c>
      <c r="F188" s="646" t="s">
        <v>71</v>
      </c>
      <c r="G188" s="646">
        <v>244</v>
      </c>
      <c r="H188" s="716">
        <v>345</v>
      </c>
      <c r="I188" s="717" t="s">
        <v>311</v>
      </c>
      <c r="J188" s="13">
        <v>0</v>
      </c>
      <c r="K188" s="13"/>
      <c r="L188" s="13"/>
      <c r="M188" s="661"/>
      <c r="N188" s="13">
        <v>12502</v>
      </c>
      <c r="O188" s="661"/>
      <c r="P188" s="13">
        <v>12502</v>
      </c>
      <c r="Q188" s="665"/>
      <c r="R188" s="334"/>
      <c r="S188" s="320"/>
      <c r="T188" s="320"/>
      <c r="U188" s="320"/>
      <c r="W188" s="367">
        <f>AT188+AV188+AX188</f>
        <v>0</v>
      </c>
      <c r="X188" s="363">
        <f>AU188+AW188+AY188</f>
        <v>0</v>
      </c>
      <c r="Y188" s="280">
        <f>W188-X188</f>
        <v>0</v>
      </c>
      <c r="Z188" s="367">
        <f>AZ188+BB188+BD188</f>
        <v>0</v>
      </c>
      <c r="AA188" s="363">
        <f>BA188+BC188+BE188</f>
        <v>0</v>
      </c>
      <c r="AB188" s="280">
        <f>Z188-AA188</f>
        <v>0</v>
      </c>
      <c r="AC188" s="367">
        <f>BF188+BH188+BJ188</f>
        <v>0</v>
      </c>
      <c r="AD188" s="363">
        <f>BG188+BI188+BK188</f>
        <v>0</v>
      </c>
      <c r="AE188" s="280">
        <f>AC188-AD188</f>
        <v>0</v>
      </c>
      <c r="AF188" s="367">
        <f>BL188+BN188+BP188</f>
        <v>0</v>
      </c>
      <c r="AG188" s="363">
        <f>BM188+BO188+BQ188</f>
        <v>0</v>
      </c>
      <c r="AH188" s="280">
        <f>AF188-AG188</f>
        <v>0</v>
      </c>
      <c r="AI188" s="210"/>
      <c r="AJ188" s="367">
        <f>W188+Z188</f>
        <v>0</v>
      </c>
      <c r="AK188" s="363">
        <f>X188+AA188</f>
        <v>0</v>
      </c>
      <c r="AL188" s="280">
        <f>AJ188-AK188</f>
        <v>0</v>
      </c>
      <c r="AM188" s="367">
        <f>W188+Z188+AC188</f>
        <v>0</v>
      </c>
      <c r="AN188" s="363">
        <f>X188+AA188+AD188</f>
        <v>0</v>
      </c>
      <c r="AO188" s="280">
        <f>AM188-AN188</f>
        <v>0</v>
      </c>
      <c r="AP188" s="263">
        <f>W188+Z188+AC188+AF188</f>
        <v>0</v>
      </c>
      <c r="AQ188" s="10">
        <f>X188+AA188+AD188+AG188</f>
        <v>0</v>
      </c>
      <c r="AR188" s="650">
        <f>AP188-AQ188</f>
        <v>0</v>
      </c>
      <c r="AS188" s="607">
        <f t="shared" si="185"/>
        <v>0</v>
      </c>
      <c r="AT188" s="263"/>
      <c r="AU188" s="363"/>
      <c r="AV188" s="10"/>
      <c r="AW188" s="363"/>
      <c r="AX188" s="10"/>
      <c r="AY188" s="369"/>
      <c r="AZ188" s="263"/>
      <c r="BA188" s="363"/>
      <c r="BB188" s="10"/>
      <c r="BC188" s="363"/>
      <c r="BD188" s="10"/>
      <c r="BE188" s="369"/>
      <c r="BF188" s="263"/>
      <c r="BG188" s="363"/>
      <c r="BH188" s="10"/>
      <c r="BI188" s="363"/>
      <c r="BJ188" s="10"/>
      <c r="BK188" s="369"/>
      <c r="BL188" s="263"/>
      <c r="BM188" s="363"/>
      <c r="BN188" s="10"/>
      <c r="BO188" s="363"/>
      <c r="BP188" s="10"/>
      <c r="BQ188" s="280"/>
    </row>
    <row r="189" spans="1:69" s="86" customFormat="1" ht="31.5">
      <c r="A189" s="358"/>
      <c r="B189" s="359"/>
      <c r="C189" s="86" t="s">
        <v>201</v>
      </c>
      <c r="D189" s="646" t="s">
        <v>23</v>
      </c>
      <c r="E189" s="646">
        <v>2</v>
      </c>
      <c r="F189" s="646" t="s">
        <v>71</v>
      </c>
      <c r="G189" s="646">
        <v>244</v>
      </c>
      <c r="H189" s="716">
        <v>349</v>
      </c>
      <c r="I189" s="717" t="s">
        <v>163</v>
      </c>
      <c r="J189" s="13">
        <v>117600</v>
      </c>
      <c r="K189" s="13"/>
      <c r="L189" s="13"/>
      <c r="M189" s="661"/>
      <c r="N189" s="13">
        <v>117600</v>
      </c>
      <c r="O189" s="661"/>
      <c r="P189" s="13">
        <v>117600</v>
      </c>
      <c r="Q189" s="665"/>
      <c r="R189" s="334"/>
      <c r="S189" s="320"/>
      <c r="T189" s="320"/>
      <c r="U189" s="320"/>
      <c r="W189" s="367">
        <f t="shared" si="162"/>
        <v>30000</v>
      </c>
      <c r="X189" s="363">
        <f t="shared" si="162"/>
        <v>0</v>
      </c>
      <c r="Y189" s="280">
        <f t="shared" si="135"/>
        <v>30000</v>
      </c>
      <c r="Z189" s="367">
        <f t="shared" si="163"/>
        <v>30000</v>
      </c>
      <c r="AA189" s="363">
        <f t="shared" si="163"/>
        <v>0</v>
      </c>
      <c r="AB189" s="280">
        <f t="shared" si="137"/>
        <v>30000</v>
      </c>
      <c r="AC189" s="367">
        <f t="shared" si="164"/>
        <v>0</v>
      </c>
      <c r="AD189" s="363">
        <f t="shared" si="164"/>
        <v>0</v>
      </c>
      <c r="AE189" s="280">
        <f t="shared" si="139"/>
        <v>0</v>
      </c>
      <c r="AF189" s="367">
        <f t="shared" si="165"/>
        <v>57600</v>
      </c>
      <c r="AG189" s="363">
        <f t="shared" si="165"/>
        <v>0</v>
      </c>
      <c r="AH189" s="280">
        <f t="shared" si="141"/>
        <v>57600</v>
      </c>
      <c r="AI189" s="210"/>
      <c r="AJ189" s="367">
        <f t="shared" si="166"/>
        <v>60000</v>
      </c>
      <c r="AK189" s="363">
        <f t="shared" si="166"/>
        <v>0</v>
      </c>
      <c r="AL189" s="280">
        <f t="shared" si="143"/>
        <v>60000</v>
      </c>
      <c r="AM189" s="367">
        <f t="shared" si="167"/>
        <v>60000</v>
      </c>
      <c r="AN189" s="363">
        <f t="shared" si="167"/>
        <v>0</v>
      </c>
      <c r="AO189" s="280">
        <f t="shared" si="130"/>
        <v>60000</v>
      </c>
      <c r="AP189" s="263">
        <f t="shared" si="168"/>
        <v>117600</v>
      </c>
      <c r="AQ189" s="10">
        <f t="shared" si="168"/>
        <v>0</v>
      </c>
      <c r="AR189" s="650">
        <f t="shared" si="132"/>
        <v>117600</v>
      </c>
      <c r="AS189" s="607">
        <f t="shared" si="185"/>
        <v>0</v>
      </c>
      <c r="AT189" s="263"/>
      <c r="AU189" s="363"/>
      <c r="AV189" s="10"/>
      <c r="AW189" s="363"/>
      <c r="AX189" s="10">
        <v>30000</v>
      </c>
      <c r="AY189" s="369"/>
      <c r="AZ189" s="263"/>
      <c r="BA189" s="363"/>
      <c r="BB189" s="10">
        <v>30000</v>
      </c>
      <c r="BC189" s="363"/>
      <c r="BD189" s="10"/>
      <c r="BE189" s="369"/>
      <c r="BF189" s="263"/>
      <c r="BG189" s="363"/>
      <c r="BH189" s="10"/>
      <c r="BI189" s="363"/>
      <c r="BJ189" s="10"/>
      <c r="BK189" s="369"/>
      <c r="BL189" s="263">
        <v>30000</v>
      </c>
      <c r="BM189" s="363"/>
      <c r="BN189" s="10"/>
      <c r="BO189" s="363"/>
      <c r="BP189" s="10">
        <v>27600</v>
      </c>
      <c r="BQ189" s="280"/>
    </row>
    <row r="190" spans="1:69" s="86" customFormat="1" ht="31.5">
      <c r="A190" s="358"/>
      <c r="B190" s="359"/>
      <c r="C190" s="86" t="s">
        <v>201</v>
      </c>
      <c r="D190" s="646" t="s">
        <v>23</v>
      </c>
      <c r="E190" s="646">
        <v>2</v>
      </c>
      <c r="F190" s="646" t="s">
        <v>71</v>
      </c>
      <c r="G190" s="646">
        <v>244</v>
      </c>
      <c r="H190" s="716">
        <v>349</v>
      </c>
      <c r="I190" s="717" t="s">
        <v>164</v>
      </c>
      <c r="J190" s="13">
        <f>893974.32</f>
        <v>893974.32</v>
      </c>
      <c r="K190" s="13"/>
      <c r="L190" s="13"/>
      <c r="M190" s="661"/>
      <c r="N190" s="13">
        <v>893974.32</v>
      </c>
      <c r="O190" s="661"/>
      <c r="P190" s="13">
        <v>893974.32</v>
      </c>
      <c r="Q190" s="665"/>
      <c r="R190" s="334"/>
      <c r="S190" s="320"/>
      <c r="T190" s="320"/>
      <c r="U190" s="320"/>
      <c r="W190" s="367">
        <f t="shared" si="162"/>
        <v>0</v>
      </c>
      <c r="X190" s="363">
        <f t="shared" si="162"/>
        <v>0</v>
      </c>
      <c r="Y190" s="280">
        <f t="shared" si="135"/>
        <v>0</v>
      </c>
      <c r="Z190" s="367">
        <f t="shared" si="163"/>
        <v>0</v>
      </c>
      <c r="AA190" s="363">
        <f t="shared" si="163"/>
        <v>0</v>
      </c>
      <c r="AB190" s="280">
        <f t="shared" si="137"/>
        <v>0</v>
      </c>
      <c r="AC190" s="367">
        <f t="shared" si="164"/>
        <v>0</v>
      </c>
      <c r="AD190" s="363">
        <f t="shared" si="164"/>
        <v>0</v>
      </c>
      <c r="AE190" s="280">
        <f t="shared" si="139"/>
        <v>0</v>
      </c>
      <c r="AF190" s="367">
        <f t="shared" si="165"/>
        <v>893974.32</v>
      </c>
      <c r="AG190" s="363">
        <f t="shared" si="165"/>
        <v>0</v>
      </c>
      <c r="AH190" s="280">
        <f t="shared" si="141"/>
        <v>893974.32</v>
      </c>
      <c r="AI190" s="210"/>
      <c r="AJ190" s="367">
        <f t="shared" si="166"/>
        <v>0</v>
      </c>
      <c r="AK190" s="363">
        <f t="shared" si="166"/>
        <v>0</v>
      </c>
      <c r="AL190" s="280">
        <f t="shared" si="143"/>
        <v>0</v>
      </c>
      <c r="AM190" s="367">
        <f t="shared" si="167"/>
        <v>0</v>
      </c>
      <c r="AN190" s="363">
        <f t="shared" si="167"/>
        <v>0</v>
      </c>
      <c r="AO190" s="280">
        <f t="shared" si="130"/>
        <v>0</v>
      </c>
      <c r="AP190" s="263">
        <f t="shared" si="168"/>
        <v>893974.32</v>
      </c>
      <c r="AQ190" s="10">
        <f t="shared" si="168"/>
        <v>0</v>
      </c>
      <c r="AR190" s="650">
        <f t="shared" si="132"/>
        <v>893974.32</v>
      </c>
      <c r="AS190" s="607">
        <f t="shared" si="185"/>
        <v>0</v>
      </c>
      <c r="AT190" s="263"/>
      <c r="AU190" s="363"/>
      <c r="AV190" s="10"/>
      <c r="AW190" s="363"/>
      <c r="AX190" s="10"/>
      <c r="AY190" s="369"/>
      <c r="AZ190" s="263"/>
      <c r="BA190" s="363"/>
      <c r="BB190" s="10"/>
      <c r="BC190" s="363"/>
      <c r="BD190" s="10"/>
      <c r="BE190" s="369"/>
      <c r="BF190" s="263"/>
      <c r="BG190" s="363"/>
      <c r="BH190" s="10"/>
      <c r="BI190" s="363"/>
      <c r="BJ190" s="10"/>
      <c r="BK190" s="369"/>
      <c r="BL190" s="263"/>
      <c r="BM190" s="363"/>
      <c r="BN190" s="10"/>
      <c r="BO190" s="363"/>
      <c r="BP190" s="10">
        <v>893974.32</v>
      </c>
      <c r="BQ190" s="280"/>
    </row>
    <row r="191" spans="1:69" s="31" customFormat="1" ht="15.75">
      <c r="C191" s="31" t="s">
        <v>201</v>
      </c>
      <c r="D191" s="725"/>
      <c r="E191" s="725"/>
      <c r="F191" s="725"/>
      <c r="G191" s="725"/>
      <c r="H191" s="725"/>
      <c r="I191" s="726" t="s">
        <v>17</v>
      </c>
      <c r="J191" s="13">
        <f t="shared" ref="J191:Q191" si="186">SUM(J141,J142,J144,J145,J146,J147,J148,J153,J156,J159,J161,J165,J167,J180,J181,J186,J187,J188,J189,J190)</f>
        <v>11490000</v>
      </c>
      <c r="K191" s="13">
        <f t="shared" si="186"/>
        <v>0</v>
      </c>
      <c r="L191" s="13">
        <f t="shared" si="186"/>
        <v>0</v>
      </c>
      <c r="M191" s="667">
        <f t="shared" si="186"/>
        <v>0</v>
      </c>
      <c r="N191" s="13">
        <f t="shared" si="186"/>
        <v>11490000</v>
      </c>
      <c r="O191" s="667">
        <f t="shared" si="186"/>
        <v>0</v>
      </c>
      <c r="P191" s="13">
        <f t="shared" si="186"/>
        <v>11490000</v>
      </c>
      <c r="Q191" s="669">
        <f t="shared" si="186"/>
        <v>0</v>
      </c>
      <c r="R191" s="334"/>
      <c r="S191" s="7"/>
      <c r="T191" s="7"/>
      <c r="U191" s="7"/>
      <c r="W191" s="264">
        <f t="shared" ref="W191:AH191" si="187">SUM(W141,W142,W144,W145,W146,W147,W148,W153,W156,W159,W161,W165,W167,W180,W181,W186,W187,W188,W189,W190)</f>
        <v>7252195.21</v>
      </c>
      <c r="X191" s="254">
        <f t="shared" si="187"/>
        <v>0</v>
      </c>
      <c r="Y191" s="270">
        <f t="shared" si="187"/>
        <v>7252195.21</v>
      </c>
      <c r="Z191" s="264">
        <f t="shared" si="187"/>
        <v>446155</v>
      </c>
      <c r="AA191" s="254">
        <f t="shared" si="187"/>
        <v>0</v>
      </c>
      <c r="AB191" s="270">
        <f t="shared" si="187"/>
        <v>446155</v>
      </c>
      <c r="AC191" s="264">
        <f t="shared" si="187"/>
        <v>616348.14</v>
      </c>
      <c r="AD191" s="254">
        <f t="shared" si="187"/>
        <v>0</v>
      </c>
      <c r="AE191" s="270">
        <f t="shared" si="187"/>
        <v>616348.14</v>
      </c>
      <c r="AF191" s="264">
        <f t="shared" si="187"/>
        <v>3175301.65</v>
      </c>
      <c r="AG191" s="254">
        <f t="shared" si="187"/>
        <v>0</v>
      </c>
      <c r="AH191" s="270">
        <f t="shared" si="187"/>
        <v>3175301.65</v>
      </c>
      <c r="AI191" s="278"/>
      <c r="AJ191" s="264">
        <f t="shared" si="166"/>
        <v>7698350.21</v>
      </c>
      <c r="AK191" s="248">
        <f t="shared" si="166"/>
        <v>0</v>
      </c>
      <c r="AL191" s="281">
        <f t="shared" si="143"/>
        <v>7698350.21</v>
      </c>
      <c r="AM191" s="264">
        <f t="shared" si="167"/>
        <v>8314698.3499999996</v>
      </c>
      <c r="AN191" s="248">
        <f t="shared" si="167"/>
        <v>0</v>
      </c>
      <c r="AO191" s="281">
        <f t="shared" si="130"/>
        <v>8314698.3499999996</v>
      </c>
      <c r="AP191" s="264">
        <f>SUM(AP141,AP142,AP144,AP145,AP146,AP147,AP148,AP153,AP156,AP159,AP50,AP161,AP165,AP167,AP180,AP181,AP186,AP187,AP188,AP189,AP190)</f>
        <v>11517290.76</v>
      </c>
      <c r="AQ191" s="13">
        <f t="shared" si="168"/>
        <v>0</v>
      </c>
      <c r="AR191" s="258">
        <f t="shared" si="132"/>
        <v>11517290.76</v>
      </c>
      <c r="AS191" s="604">
        <f t="shared" si="185"/>
        <v>-27290.76</v>
      </c>
      <c r="AT191" s="278"/>
      <c r="AU191" s="278"/>
      <c r="AV191" s="278"/>
      <c r="AW191" s="278"/>
      <c r="AX191" s="278"/>
      <c r="AY191" s="278"/>
      <c r="AZ191" s="278"/>
      <c r="BA191" s="278"/>
      <c r="BB191" s="278"/>
      <c r="BC191" s="278"/>
      <c r="BD191" s="278"/>
      <c r="BE191" s="278"/>
      <c r="BF191" s="278"/>
      <c r="BG191" s="278"/>
      <c r="BH191" s="278"/>
      <c r="BI191" s="278"/>
      <c r="BJ191" s="278"/>
      <c r="BK191" s="278"/>
      <c r="BL191" s="278"/>
      <c r="BM191" s="278"/>
      <c r="BN191" s="278"/>
      <c r="BO191" s="278"/>
      <c r="BP191" s="278"/>
      <c r="BQ191" s="278"/>
    </row>
    <row r="192" spans="1:69" s="31" customFormat="1" ht="16.5" customHeight="1" thickBot="1">
      <c r="C192" s="31" t="s">
        <v>201</v>
      </c>
      <c r="D192" s="725"/>
      <c r="E192" s="725"/>
      <c r="F192" s="725"/>
      <c r="G192" s="725"/>
      <c r="H192" s="725"/>
      <c r="I192" s="726" t="s">
        <v>21</v>
      </c>
      <c r="J192" s="13">
        <f t="shared" ref="J192:Q192" si="188">J137+J191</f>
        <v>62064992.890000001</v>
      </c>
      <c r="K192" s="13">
        <f t="shared" si="188"/>
        <v>0</v>
      </c>
      <c r="L192" s="13">
        <f t="shared" si="188"/>
        <v>0</v>
      </c>
      <c r="M192" s="672">
        <f t="shared" si="188"/>
        <v>17797897.969999999</v>
      </c>
      <c r="N192" s="13">
        <f t="shared" si="188"/>
        <v>53696072.039999999</v>
      </c>
      <c r="O192" s="672">
        <f t="shared" si="188"/>
        <v>0</v>
      </c>
      <c r="P192" s="13">
        <f t="shared" si="188"/>
        <v>53288874.439999998</v>
      </c>
      <c r="Q192" s="673">
        <f t="shared" si="188"/>
        <v>0</v>
      </c>
      <c r="R192" s="334"/>
      <c r="S192" s="7"/>
      <c r="T192" s="7"/>
      <c r="U192" s="7"/>
      <c r="W192" s="263">
        <f t="shared" ref="W192:AH192" si="189">W137+W191</f>
        <v>20837615.649999999</v>
      </c>
      <c r="X192" s="253">
        <f t="shared" si="189"/>
        <v>0</v>
      </c>
      <c r="Y192" s="269">
        <f t="shared" si="189"/>
        <v>20837615.649999999</v>
      </c>
      <c r="Z192" s="263">
        <f t="shared" si="189"/>
        <v>23291382.27</v>
      </c>
      <c r="AA192" s="253">
        <f t="shared" si="189"/>
        <v>0</v>
      </c>
      <c r="AB192" s="269">
        <f t="shared" si="189"/>
        <v>23291382.27</v>
      </c>
      <c r="AC192" s="263">
        <f t="shared" si="189"/>
        <v>8492548.9100000001</v>
      </c>
      <c r="AD192" s="253">
        <f t="shared" si="189"/>
        <v>0</v>
      </c>
      <c r="AE192" s="269">
        <f t="shared" si="189"/>
        <v>8492548.9100000001</v>
      </c>
      <c r="AF192" s="263">
        <f t="shared" si="189"/>
        <v>9141594.1300000008</v>
      </c>
      <c r="AG192" s="253">
        <f t="shared" si="189"/>
        <v>0</v>
      </c>
      <c r="AH192" s="269">
        <f t="shared" si="189"/>
        <v>9141594.1300000008</v>
      </c>
      <c r="AI192" s="210"/>
      <c r="AJ192" s="263">
        <f t="shared" si="166"/>
        <v>44128997.920000002</v>
      </c>
      <c r="AK192" s="247">
        <f t="shared" si="166"/>
        <v>0</v>
      </c>
      <c r="AL192" s="280">
        <f t="shared" si="143"/>
        <v>44128997.920000002</v>
      </c>
      <c r="AM192" s="263">
        <f t="shared" si="167"/>
        <v>52621546.829999998</v>
      </c>
      <c r="AN192" s="247">
        <f t="shared" si="167"/>
        <v>0</v>
      </c>
      <c r="AO192" s="280">
        <f t="shared" si="130"/>
        <v>52621546.829999998</v>
      </c>
      <c r="AP192" s="263">
        <f t="shared" si="168"/>
        <v>61763140.960000001</v>
      </c>
      <c r="AQ192" s="10">
        <f t="shared" si="168"/>
        <v>0</v>
      </c>
      <c r="AR192" s="650">
        <f t="shared" si="132"/>
        <v>61763140.960000001</v>
      </c>
      <c r="AS192" s="607">
        <f t="shared" si="185"/>
        <v>301851.93</v>
      </c>
      <c r="AT192" s="210"/>
      <c r="AU192" s="210"/>
      <c r="AV192" s="210"/>
      <c r="AW192" s="210"/>
      <c r="AX192" s="210"/>
      <c r="AY192" s="210"/>
      <c r="AZ192" s="210"/>
      <c r="BA192" s="210"/>
      <c r="BB192" s="210"/>
      <c r="BC192" s="210"/>
      <c r="BD192" s="210"/>
      <c r="BE192" s="210"/>
      <c r="BF192" s="210"/>
      <c r="BG192" s="210"/>
      <c r="BH192" s="210"/>
      <c r="BI192" s="210"/>
      <c r="BJ192" s="210"/>
      <c r="BK192" s="210"/>
      <c r="BL192" s="210"/>
      <c r="BM192" s="210"/>
      <c r="BN192" s="210"/>
      <c r="BO192" s="210"/>
      <c r="BP192" s="210"/>
      <c r="BQ192" s="210"/>
    </row>
    <row r="193" spans="4:69" s="31" customFormat="1" ht="15.75" hidden="1">
      <c r="D193" s="2"/>
      <c r="E193" s="2"/>
      <c r="F193" s="2"/>
      <c r="G193" s="2"/>
      <c r="H193" s="2"/>
      <c r="I193" s="209" t="s">
        <v>204</v>
      </c>
      <c r="J193" s="277">
        <v>11490000</v>
      </c>
      <c r="K193" s="86"/>
      <c r="L193" s="86"/>
      <c r="M193" s="332"/>
      <c r="N193" s="277">
        <v>11490000</v>
      </c>
      <c r="O193" s="332"/>
      <c r="P193" s="277">
        <v>11490000</v>
      </c>
      <c r="Q193" s="332"/>
      <c r="R193" s="325"/>
      <c r="W193" s="86"/>
      <c r="X193" s="86"/>
      <c r="Y193" s="86"/>
      <c r="Z193" s="86"/>
      <c r="AA193" s="86"/>
      <c r="AB193" s="86"/>
      <c r="AC193" s="86"/>
      <c r="AD193" s="86"/>
      <c r="AE193" s="86"/>
      <c r="AF193" s="86"/>
      <c r="AG193" s="86"/>
      <c r="AH193" s="86"/>
      <c r="AI193" s="87"/>
      <c r="AJ193" s="86"/>
      <c r="AK193" s="86"/>
      <c r="AL193" s="86"/>
      <c r="AM193" s="86"/>
      <c r="AN193" s="86"/>
      <c r="AO193" s="86"/>
      <c r="AP193" s="86"/>
      <c r="AQ193" s="86"/>
      <c r="AR193" s="86"/>
      <c r="AS193" s="608">
        <f t="shared" si="185"/>
        <v>11490000</v>
      </c>
      <c r="AT193" s="86"/>
      <c r="AU193" s="86"/>
      <c r="AV193" s="86"/>
      <c r="AW193" s="86"/>
      <c r="AX193" s="86"/>
      <c r="AY193" s="86"/>
      <c r="AZ193" s="86"/>
      <c r="BA193" s="86"/>
      <c r="BB193" s="86"/>
      <c r="BC193" s="86"/>
      <c r="BD193" s="86"/>
      <c r="BE193" s="86"/>
      <c r="BF193" s="86"/>
      <c r="BG193" s="86"/>
      <c r="BH193" s="86"/>
      <c r="BI193" s="86"/>
      <c r="BJ193" s="86"/>
      <c r="BK193" s="86"/>
      <c r="BL193" s="86"/>
      <c r="BM193" s="86"/>
      <c r="BN193" s="86"/>
      <c r="BO193" s="86"/>
      <c r="BP193" s="86"/>
      <c r="BQ193" s="86"/>
    </row>
    <row r="194" spans="4:69" s="31" customFormat="1" ht="15.75" hidden="1">
      <c r="D194" s="2"/>
      <c r="E194" s="2"/>
      <c r="F194" s="2"/>
      <c r="G194" s="2"/>
      <c r="H194" s="2"/>
      <c r="I194" s="209" t="s">
        <v>368</v>
      </c>
      <c r="J194" s="277">
        <f>J193-J191</f>
        <v>0</v>
      </c>
      <c r="K194" s="86"/>
      <c r="L194" s="86"/>
      <c r="M194" s="332"/>
      <c r="N194" s="277">
        <f>N193-N191</f>
        <v>0</v>
      </c>
      <c r="O194" s="332"/>
      <c r="P194" s="277">
        <f>P193-P191</f>
        <v>0</v>
      </c>
      <c r="Q194" s="332"/>
      <c r="R194" s="325"/>
      <c r="W194" s="86"/>
      <c r="X194" s="86"/>
      <c r="Y194" s="86"/>
      <c r="Z194" s="86"/>
      <c r="AA194" s="86"/>
      <c r="AB194" s="86"/>
      <c r="AC194" s="86"/>
      <c r="AD194" s="86"/>
      <c r="AE194" s="86"/>
      <c r="AF194" s="86"/>
      <c r="AG194" s="86"/>
      <c r="AH194" s="86"/>
      <c r="AI194" s="87"/>
      <c r="AJ194" s="86"/>
      <c r="AK194" s="86"/>
      <c r="AL194" s="86"/>
      <c r="AM194" s="86"/>
      <c r="AN194" s="86"/>
      <c r="AO194" s="86"/>
      <c r="AP194" s="86"/>
      <c r="AQ194" s="86"/>
      <c r="AR194" s="86"/>
      <c r="AS194" s="608">
        <f t="shared" si="185"/>
        <v>0</v>
      </c>
      <c r="AT194" s="86"/>
      <c r="AU194" s="86"/>
      <c r="AV194" s="86"/>
      <c r="AW194" s="86"/>
      <c r="AX194" s="86"/>
      <c r="AY194" s="86"/>
      <c r="AZ194" s="86"/>
      <c r="BA194" s="86"/>
      <c r="BB194" s="86"/>
      <c r="BC194" s="86"/>
      <c r="BD194" s="86"/>
      <c r="BE194" s="86"/>
      <c r="BF194" s="86"/>
      <c r="BG194" s="86"/>
      <c r="BH194" s="86"/>
      <c r="BI194" s="86"/>
      <c r="BJ194" s="86"/>
      <c r="BK194" s="86"/>
      <c r="BL194" s="86"/>
      <c r="BM194" s="86"/>
      <c r="BN194" s="86"/>
      <c r="BO194" s="86"/>
      <c r="BP194" s="86"/>
      <c r="BQ194" s="86"/>
    </row>
    <row r="420" spans="10:69" ht="12.75" customHeight="1">
      <c r="J420" s="2"/>
      <c r="K420" s="2"/>
      <c r="L420" s="2"/>
      <c r="M420" s="2"/>
      <c r="N420" s="2"/>
      <c r="O420" s="2"/>
      <c r="P420" s="2"/>
      <c r="Q420" s="2"/>
      <c r="R420" s="2"/>
      <c r="W420" s="2"/>
      <c r="X420" s="2"/>
      <c r="Y420" s="2"/>
      <c r="Z420" s="2"/>
      <c r="AA420" s="2"/>
      <c r="AB420" s="2"/>
      <c r="AC420" s="2"/>
      <c r="AD420" s="2"/>
      <c r="AE420" s="2"/>
      <c r="AF420" s="2"/>
      <c r="AG420" s="2"/>
      <c r="AH420" s="2"/>
      <c r="AI420" s="2"/>
      <c r="AJ420" s="2"/>
      <c r="AK420" s="2"/>
      <c r="AL420" s="2"/>
      <c r="AM420" s="2"/>
      <c r="AN420" s="2"/>
      <c r="AO420" s="2"/>
      <c r="AP420" s="2"/>
      <c r="AQ420" s="2"/>
      <c r="AR420" s="2"/>
      <c r="AS420" s="609"/>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row>
    <row r="436" spans="10:69" ht="12.75" customHeight="1">
      <c r="J436" s="2"/>
      <c r="K436" s="2"/>
      <c r="L436" s="2"/>
      <c r="M436" s="2"/>
      <c r="N436" s="2"/>
      <c r="O436" s="2"/>
      <c r="P436" s="2"/>
      <c r="Q436" s="2"/>
      <c r="R436" s="2"/>
      <c r="W436" s="2"/>
      <c r="X436" s="2"/>
      <c r="Y436" s="2"/>
      <c r="Z436" s="2"/>
      <c r="AA436" s="2"/>
      <c r="AB436" s="2"/>
      <c r="AC436" s="2"/>
      <c r="AD436" s="2"/>
      <c r="AE436" s="2"/>
      <c r="AF436" s="2"/>
      <c r="AG436" s="2"/>
      <c r="AH436" s="2"/>
      <c r="AI436" s="2"/>
      <c r="AJ436" s="2"/>
      <c r="AK436" s="2"/>
      <c r="AL436" s="2"/>
      <c r="AM436" s="2"/>
      <c r="AN436" s="2"/>
      <c r="AO436" s="2"/>
      <c r="AP436" s="2"/>
      <c r="AQ436" s="2"/>
      <c r="AR436" s="2"/>
      <c r="AS436" s="609"/>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row>
  </sheetData>
  <autoFilter ref="A10:WVD194">
    <filterColumn colId="2">
      <customFilters>
        <customFilter operator="notEqual" val=" "/>
      </customFilters>
    </filterColumn>
  </autoFilter>
  <mergeCells count="19">
    <mergeCell ref="BB8:BC8"/>
    <mergeCell ref="W8:Y8"/>
    <mergeCell ref="Z8:AB8"/>
    <mergeCell ref="AC8:AE8"/>
    <mergeCell ref="AF8:AH8"/>
    <mergeCell ref="AJ8:AL8"/>
    <mergeCell ref="AM8:AO8"/>
    <mergeCell ref="AP8:AR8"/>
    <mergeCell ref="AT8:AU8"/>
    <mergeCell ref="AV8:AW8"/>
    <mergeCell ref="AX8:AY8"/>
    <mergeCell ref="AZ8:BA8"/>
    <mergeCell ref="BP8:BQ8"/>
    <mergeCell ref="BD8:BE8"/>
    <mergeCell ref="BF8:BG8"/>
    <mergeCell ref="BH8:BI8"/>
    <mergeCell ref="BJ8:BK8"/>
    <mergeCell ref="BL8:BM8"/>
    <mergeCell ref="BN8:BO8"/>
  </mergeCells>
  <conditionalFormatting sqref="AP40:AP41 AP54 AP51 AP110:AP111 AP116:AP117 AP95:AP98 AP28:AP30 AP20 AP45">
    <cfRule type="expression" dxfId="1938" priority="559">
      <formula>IF(J20=AP20,1,0)</formula>
    </cfRule>
  </conditionalFormatting>
  <conditionalFormatting sqref="AP136">
    <cfRule type="expression" dxfId="1937" priority="558">
      <formula>IF(J136=AP136,1,0)</formula>
    </cfRule>
  </conditionalFormatting>
  <conditionalFormatting sqref="AP137">
    <cfRule type="expression" dxfId="1936" priority="557">
      <formula>IF(J137=AP137,1,0)</formula>
    </cfRule>
  </conditionalFormatting>
  <conditionalFormatting sqref="J131">
    <cfRule type="cellIs" dxfId="1935" priority="556" operator="notEqual">
      <formula>$J$130</formula>
    </cfRule>
  </conditionalFormatting>
  <conditionalFormatting sqref="J138">
    <cfRule type="cellIs" dxfId="1934" priority="555" operator="notEqual">
      <formula>$J$137</formula>
    </cfRule>
  </conditionalFormatting>
  <conditionalFormatting sqref="J193">
    <cfRule type="cellIs" dxfId="1933" priority="554" operator="notEqual">
      <formula>$J$191</formula>
    </cfRule>
  </conditionalFormatting>
  <conditionalFormatting sqref="AP4">
    <cfRule type="expression" dxfId="1932" priority="553">
      <formula>IF(J4=AP4,1,0)</formula>
    </cfRule>
  </conditionalFormatting>
  <conditionalFormatting sqref="AP16:AP19">
    <cfRule type="expression" dxfId="1931" priority="548">
      <formula>IF(J16=AP16,1,0)</formula>
    </cfRule>
  </conditionalFormatting>
  <conditionalFormatting sqref="AP22 AP24">
    <cfRule type="expression" dxfId="1930" priority="552">
      <formula>IF(J22=AP22,1,0)</formula>
    </cfRule>
  </conditionalFormatting>
  <conditionalFormatting sqref="D4 D40:D41 D54 D28:D30 D20 D45">
    <cfRule type="cellIs" dxfId="1929" priority="549" operator="equal">
      <formula>"3-001-2214"</formula>
    </cfRule>
    <cfRule type="cellIs" dxfId="1928" priority="550" operator="equal">
      <formula>"3-001-5204"</formula>
    </cfRule>
    <cfRule type="cellIs" dxfId="1927" priority="551" operator="equal">
      <formula>"3-001-0002"</formula>
    </cfRule>
  </conditionalFormatting>
  <conditionalFormatting sqref="AP48">
    <cfRule type="expression" dxfId="1926" priority="524">
      <formula>IF(J48=AP48,1,0)</formula>
    </cfRule>
  </conditionalFormatting>
  <conditionalFormatting sqref="D16:D19">
    <cfRule type="cellIs" dxfId="1925" priority="545" operator="equal">
      <formula>"3-001-2214"</formula>
    </cfRule>
    <cfRule type="cellIs" dxfId="1924" priority="546" operator="equal">
      <formula>"3-001-5204"</formula>
    </cfRule>
    <cfRule type="cellIs" dxfId="1923" priority="547" operator="equal">
      <formula>"3-001-0002"</formula>
    </cfRule>
  </conditionalFormatting>
  <conditionalFormatting sqref="D14:D15">
    <cfRule type="cellIs" dxfId="1922" priority="533" operator="equal">
      <formula>"3-001-2214"</formula>
    </cfRule>
    <cfRule type="cellIs" dxfId="1921" priority="534" operator="equal">
      <formula>"3-001-5204"</formula>
    </cfRule>
    <cfRule type="cellIs" dxfId="1920" priority="535" operator="equal">
      <formula>"3-001-0002"</formula>
    </cfRule>
  </conditionalFormatting>
  <conditionalFormatting sqref="AP3">
    <cfRule type="expression" dxfId="1919" priority="544">
      <formula>IF(J3=AP3,1,0)</formula>
    </cfRule>
  </conditionalFormatting>
  <conditionalFormatting sqref="D3">
    <cfRule type="cellIs" dxfId="1918" priority="541" operator="equal">
      <formula>"3-001-2214"</formula>
    </cfRule>
    <cfRule type="cellIs" dxfId="1917" priority="542" operator="equal">
      <formula>"3-001-5204"</formula>
    </cfRule>
    <cfRule type="cellIs" dxfId="1916" priority="543" operator="equal">
      <formula>"3-001-0002"</formula>
    </cfRule>
  </conditionalFormatting>
  <conditionalFormatting sqref="AP44">
    <cfRule type="expression" dxfId="1915" priority="528">
      <formula>IF(J44=AP44,1,0)</formula>
    </cfRule>
  </conditionalFormatting>
  <conditionalFormatting sqref="D44">
    <cfRule type="cellIs" dxfId="1914" priority="525" operator="equal">
      <formula>"3-001-2214"</formula>
    </cfRule>
    <cfRule type="cellIs" dxfId="1913" priority="526" operator="equal">
      <formula>"3-001-5204"</formula>
    </cfRule>
    <cfRule type="cellIs" dxfId="1912" priority="527" operator="equal">
      <formula>"3-001-0002"</formula>
    </cfRule>
  </conditionalFormatting>
  <conditionalFormatting sqref="AP26">
    <cfRule type="expression" dxfId="1911" priority="520">
      <formula>IF(J26=AP26,1,0)</formula>
    </cfRule>
  </conditionalFormatting>
  <conditionalFormatting sqref="D48">
    <cfRule type="cellIs" dxfId="1910" priority="521" operator="equal">
      <formula>"3-001-2214"</formula>
    </cfRule>
    <cfRule type="cellIs" dxfId="1909" priority="522" operator="equal">
      <formula>"3-001-5204"</formula>
    </cfRule>
    <cfRule type="cellIs" dxfId="1908" priority="523" operator="equal">
      <formula>"3-001-0002"</formula>
    </cfRule>
  </conditionalFormatting>
  <conditionalFormatting sqref="AP12:AP13">
    <cfRule type="expression" dxfId="1907" priority="540">
      <formula>IF(J12=AP12,1,0)</formula>
    </cfRule>
  </conditionalFormatting>
  <conditionalFormatting sqref="D12:D13">
    <cfRule type="cellIs" dxfId="1906" priority="537" operator="equal">
      <formula>"3-001-2214"</formula>
    </cfRule>
    <cfRule type="cellIs" dxfId="1905" priority="538" operator="equal">
      <formula>"3-001-5204"</formula>
    </cfRule>
    <cfRule type="cellIs" dxfId="1904" priority="539" operator="equal">
      <formula>"3-001-0002"</formula>
    </cfRule>
  </conditionalFormatting>
  <conditionalFormatting sqref="AP14:AP15">
    <cfRule type="expression" dxfId="1903" priority="536">
      <formula>IF(J14=AP14,1,0)</formula>
    </cfRule>
  </conditionalFormatting>
  <conditionalFormatting sqref="D21">
    <cfRule type="cellIs" dxfId="1902" priority="529" operator="equal">
      <formula>"3-001-2214"</formula>
    </cfRule>
    <cfRule type="cellIs" dxfId="1901" priority="530" operator="equal">
      <formula>"3-001-5204"</formula>
    </cfRule>
    <cfRule type="cellIs" dxfId="1900" priority="531" operator="equal">
      <formula>"3-001-0002"</formula>
    </cfRule>
  </conditionalFormatting>
  <conditionalFormatting sqref="AP21">
    <cfRule type="expression" dxfId="1899" priority="532">
      <formula>IF(J21=AP21,1,0)</formula>
    </cfRule>
  </conditionalFormatting>
  <conditionalFormatting sqref="D26">
    <cfRule type="cellIs" dxfId="1898" priority="517" operator="equal">
      <formula>"3-001-2214"</formula>
    </cfRule>
    <cfRule type="cellIs" dxfId="1897" priority="518" operator="equal">
      <formula>"3-001-5204"</formula>
    </cfRule>
    <cfRule type="cellIs" dxfId="1896" priority="519" operator="equal">
      <formula>"3-001-0002"</formula>
    </cfRule>
  </conditionalFormatting>
  <conditionalFormatting sqref="AP27">
    <cfRule type="expression" dxfId="1895" priority="516">
      <formula>IF(J27=AP27,1,0)</formula>
    </cfRule>
  </conditionalFormatting>
  <conditionalFormatting sqref="D27">
    <cfRule type="cellIs" dxfId="1894" priority="513" operator="equal">
      <formula>"3-001-2214"</formula>
    </cfRule>
    <cfRule type="cellIs" dxfId="1893" priority="514" operator="equal">
      <formula>"3-001-5204"</formula>
    </cfRule>
    <cfRule type="cellIs" dxfId="1892" priority="515" operator="equal">
      <formula>"3-001-0002"</formula>
    </cfRule>
  </conditionalFormatting>
  <conditionalFormatting sqref="AP23">
    <cfRule type="expression" dxfId="1891" priority="512">
      <formula>IF(J23=AP23,1,0)</formula>
    </cfRule>
  </conditionalFormatting>
  <conditionalFormatting sqref="AP25">
    <cfRule type="expression" dxfId="1890" priority="511">
      <formula>IF(J25=AP25,1,0)</formula>
    </cfRule>
  </conditionalFormatting>
  <conditionalFormatting sqref="AP33:AP35">
    <cfRule type="expression" dxfId="1889" priority="510">
      <formula>IF(J33=AP33,1,0)</formula>
    </cfRule>
  </conditionalFormatting>
  <conditionalFormatting sqref="D33:D35">
    <cfRule type="cellIs" dxfId="1888" priority="507" operator="equal">
      <formula>"3-001-2214"</formula>
    </cfRule>
    <cfRule type="cellIs" dxfId="1887" priority="508" operator="equal">
      <formula>"3-001-5204"</formula>
    </cfRule>
    <cfRule type="cellIs" dxfId="1886" priority="509" operator="equal">
      <formula>"3-001-0002"</formula>
    </cfRule>
  </conditionalFormatting>
  <conditionalFormatting sqref="AP32">
    <cfRule type="expression" dxfId="1885" priority="506">
      <formula>IF(J32=AP32,1,0)</formula>
    </cfRule>
  </conditionalFormatting>
  <conditionalFormatting sqref="D32">
    <cfRule type="cellIs" dxfId="1884" priority="503" operator="equal">
      <formula>"3-001-2214"</formula>
    </cfRule>
    <cfRule type="cellIs" dxfId="1883" priority="504" operator="equal">
      <formula>"3-001-5204"</formula>
    </cfRule>
    <cfRule type="cellIs" dxfId="1882" priority="505" operator="equal">
      <formula>"3-001-0002"</formula>
    </cfRule>
  </conditionalFormatting>
  <conditionalFormatting sqref="AP31">
    <cfRule type="expression" dxfId="1881" priority="502">
      <formula>IF(J31=AP31,1,0)</formula>
    </cfRule>
  </conditionalFormatting>
  <conditionalFormatting sqref="D31">
    <cfRule type="cellIs" dxfId="1880" priority="499" operator="equal">
      <formula>"3-001-2214"</formula>
    </cfRule>
    <cfRule type="cellIs" dxfId="1879" priority="500" operator="equal">
      <formula>"3-001-5204"</formula>
    </cfRule>
    <cfRule type="cellIs" dxfId="1878" priority="501" operator="equal">
      <formula>"3-001-0002"</formula>
    </cfRule>
  </conditionalFormatting>
  <conditionalFormatting sqref="AP36">
    <cfRule type="expression" dxfId="1877" priority="498">
      <formula>IF(J36=AP36,1,0)</formula>
    </cfRule>
  </conditionalFormatting>
  <conditionalFormatting sqref="D36">
    <cfRule type="cellIs" dxfId="1876" priority="495" operator="equal">
      <formula>"3-001-2214"</formula>
    </cfRule>
    <cfRule type="cellIs" dxfId="1875" priority="496" operator="equal">
      <formula>"3-001-5204"</formula>
    </cfRule>
    <cfRule type="cellIs" dxfId="1874" priority="497" operator="equal">
      <formula>"3-001-0002"</formula>
    </cfRule>
  </conditionalFormatting>
  <conditionalFormatting sqref="AP39">
    <cfRule type="expression" dxfId="1873" priority="494">
      <formula>IF(J39=AP39,1,0)</formula>
    </cfRule>
  </conditionalFormatting>
  <conditionalFormatting sqref="D39">
    <cfRule type="cellIs" dxfId="1872" priority="491" operator="equal">
      <formula>"3-001-2214"</formula>
    </cfRule>
    <cfRule type="cellIs" dxfId="1871" priority="492" operator="equal">
      <formula>"3-001-5204"</formula>
    </cfRule>
    <cfRule type="cellIs" dxfId="1870" priority="493" operator="equal">
      <formula>"3-001-0002"</formula>
    </cfRule>
  </conditionalFormatting>
  <conditionalFormatting sqref="AP46:AP47">
    <cfRule type="expression" dxfId="1869" priority="490">
      <formula>IF(J46=AP46,1,0)</formula>
    </cfRule>
  </conditionalFormatting>
  <conditionalFormatting sqref="D46:D47">
    <cfRule type="cellIs" dxfId="1868" priority="487" operator="equal">
      <formula>"3-001-2214"</formula>
    </cfRule>
    <cfRule type="cellIs" dxfId="1867" priority="488" operator="equal">
      <formula>"3-001-5204"</formula>
    </cfRule>
    <cfRule type="cellIs" dxfId="1866" priority="489" operator="equal">
      <formula>"3-001-0002"</formula>
    </cfRule>
  </conditionalFormatting>
  <conditionalFormatting sqref="AP53">
    <cfRule type="expression" dxfId="1865" priority="486">
      <formula>IF(J53=AP53,1,0)</formula>
    </cfRule>
  </conditionalFormatting>
  <conditionalFormatting sqref="D53">
    <cfRule type="cellIs" dxfId="1864" priority="483" operator="equal">
      <formula>"3-001-2214"</formula>
    </cfRule>
    <cfRule type="cellIs" dxfId="1863" priority="484" operator="equal">
      <formula>"3-001-5204"</formula>
    </cfRule>
    <cfRule type="cellIs" dxfId="1862" priority="485" operator="equal">
      <formula>"3-001-0002"</formula>
    </cfRule>
  </conditionalFormatting>
  <conditionalFormatting sqref="AP49">
    <cfRule type="expression" dxfId="1861" priority="482">
      <formula>IF(J49=AP49,1,0)</formula>
    </cfRule>
  </conditionalFormatting>
  <conditionalFormatting sqref="D49">
    <cfRule type="cellIs" dxfId="1860" priority="479" operator="equal">
      <formula>"3-001-2214"</formula>
    </cfRule>
    <cfRule type="cellIs" dxfId="1859" priority="480" operator="equal">
      <formula>"3-001-5204"</formula>
    </cfRule>
    <cfRule type="cellIs" dxfId="1858" priority="481" operator="equal">
      <formula>"3-001-0002"</formula>
    </cfRule>
  </conditionalFormatting>
  <conditionalFormatting sqref="AP164">
    <cfRule type="expression" dxfId="1857" priority="478">
      <formula>IF(J164=AP164,1,0)</formula>
    </cfRule>
  </conditionalFormatting>
  <conditionalFormatting sqref="D164">
    <cfRule type="cellIs" dxfId="1856" priority="475" operator="equal">
      <formula>"3-001-2214"</formula>
    </cfRule>
    <cfRule type="cellIs" dxfId="1855" priority="476" operator="equal">
      <formula>"3-001-5204"</formula>
    </cfRule>
    <cfRule type="cellIs" dxfId="1854" priority="477" operator="equal">
      <formula>"3-001-0002"</formula>
    </cfRule>
  </conditionalFormatting>
  <conditionalFormatting sqref="AP161">
    <cfRule type="expression" dxfId="1853" priority="474">
      <formula>IF(J161=AP161,1,0)</formula>
    </cfRule>
  </conditionalFormatting>
  <conditionalFormatting sqref="D161">
    <cfRule type="cellIs" dxfId="1852" priority="471" operator="equal">
      <formula>"3-001-2214"</formula>
    </cfRule>
    <cfRule type="cellIs" dxfId="1851" priority="472" operator="equal">
      <formula>"3-001-5204"</formula>
    </cfRule>
    <cfRule type="cellIs" dxfId="1850" priority="473" operator="equal">
      <formula>"3-001-0002"</formula>
    </cfRule>
  </conditionalFormatting>
  <conditionalFormatting sqref="AP42">
    <cfRule type="expression" dxfId="1849" priority="470">
      <formula>IF(J42=AP42,1,0)</formula>
    </cfRule>
  </conditionalFormatting>
  <conditionalFormatting sqref="D42">
    <cfRule type="cellIs" dxfId="1848" priority="467" operator="equal">
      <formula>"3-001-2214"</formula>
    </cfRule>
    <cfRule type="cellIs" dxfId="1847" priority="468" operator="equal">
      <formula>"3-001-5204"</formula>
    </cfRule>
    <cfRule type="cellIs" dxfId="1846" priority="469" operator="equal">
      <formula>"3-001-0002"</formula>
    </cfRule>
  </conditionalFormatting>
  <conditionalFormatting sqref="D55">
    <cfRule type="cellIs" dxfId="1845" priority="455" operator="equal">
      <formula>"3-001-2214"</formula>
    </cfRule>
    <cfRule type="cellIs" dxfId="1844" priority="456" operator="equal">
      <formula>"3-001-5204"</formula>
    </cfRule>
    <cfRule type="cellIs" dxfId="1843" priority="457" operator="equal">
      <formula>"3-001-0002"</formula>
    </cfRule>
  </conditionalFormatting>
  <conditionalFormatting sqref="AP43">
    <cfRule type="expression" dxfId="1842" priority="466">
      <formula>IF(J43=AP43,1,0)</formula>
    </cfRule>
  </conditionalFormatting>
  <conditionalFormatting sqref="D43">
    <cfRule type="cellIs" dxfId="1841" priority="463" operator="equal">
      <formula>"3-001-2214"</formula>
    </cfRule>
    <cfRule type="cellIs" dxfId="1840" priority="464" operator="equal">
      <formula>"3-001-5204"</formula>
    </cfRule>
    <cfRule type="cellIs" dxfId="1839" priority="465" operator="equal">
      <formula>"3-001-0002"</formula>
    </cfRule>
  </conditionalFormatting>
  <conditionalFormatting sqref="AP57">
    <cfRule type="expression" dxfId="1838" priority="462">
      <formula>IF(J57=AP57,1,0)</formula>
    </cfRule>
  </conditionalFormatting>
  <conditionalFormatting sqref="D57">
    <cfRule type="cellIs" dxfId="1837" priority="459" operator="equal">
      <formula>"3-001-2214"</formula>
    </cfRule>
    <cfRule type="cellIs" dxfId="1836" priority="460" operator="equal">
      <formula>"3-001-5204"</formula>
    </cfRule>
    <cfRule type="cellIs" dxfId="1835" priority="461" operator="equal">
      <formula>"3-001-0002"</formula>
    </cfRule>
  </conditionalFormatting>
  <conditionalFormatting sqref="AP55">
    <cfRule type="expression" dxfId="1834" priority="458">
      <formula>IF(J55=AP55,1,0)</formula>
    </cfRule>
  </conditionalFormatting>
  <conditionalFormatting sqref="D56">
    <cfRule type="cellIs" dxfId="1833" priority="451" operator="equal">
      <formula>"3-001-2214"</formula>
    </cfRule>
    <cfRule type="cellIs" dxfId="1832" priority="452" operator="equal">
      <formula>"3-001-5204"</formula>
    </cfRule>
    <cfRule type="cellIs" dxfId="1831" priority="453" operator="equal">
      <formula>"3-001-0002"</formula>
    </cfRule>
  </conditionalFormatting>
  <conditionalFormatting sqref="AP56">
    <cfRule type="expression" dxfId="1830" priority="454">
      <formula>IF(J56=AP56,1,0)</formula>
    </cfRule>
  </conditionalFormatting>
  <conditionalFormatting sqref="D58">
    <cfRule type="cellIs" dxfId="1829" priority="423" operator="equal">
      <formula>"3-001-2214"</formula>
    </cfRule>
    <cfRule type="cellIs" dxfId="1828" priority="424" operator="equal">
      <formula>"3-001-5204"</formula>
    </cfRule>
    <cfRule type="cellIs" dxfId="1827" priority="425" operator="equal">
      <formula>"3-001-0002"</formula>
    </cfRule>
  </conditionalFormatting>
  <conditionalFormatting sqref="D68">
    <cfRule type="cellIs" dxfId="1826" priority="419" operator="equal">
      <formula>"3-001-2214"</formula>
    </cfRule>
    <cfRule type="cellIs" dxfId="1825" priority="420" operator="equal">
      <formula>"3-001-5204"</formula>
    </cfRule>
    <cfRule type="cellIs" dxfId="1824" priority="421" operator="equal">
      <formula>"3-001-0002"</formula>
    </cfRule>
  </conditionalFormatting>
  <conditionalFormatting sqref="AP58">
    <cfRule type="expression" dxfId="1823" priority="426">
      <formula>IF(J58=AP58,1,0)</formula>
    </cfRule>
  </conditionalFormatting>
  <conditionalFormatting sqref="D165">
    <cfRule type="cellIs" dxfId="1822" priority="411" operator="equal">
      <formula>"3-001-2214"</formula>
    </cfRule>
    <cfRule type="cellIs" dxfId="1821" priority="412" operator="equal">
      <formula>"3-001-5204"</formula>
    </cfRule>
    <cfRule type="cellIs" dxfId="1820" priority="413" operator="equal">
      <formula>"3-001-0002"</formula>
    </cfRule>
  </conditionalFormatting>
  <conditionalFormatting sqref="AP68">
    <cfRule type="expression" dxfId="1819" priority="422">
      <formula>IF(J68=AP68,1,0)</formula>
    </cfRule>
  </conditionalFormatting>
  <conditionalFormatting sqref="D166">
    <cfRule type="cellIs" dxfId="1818" priority="415" operator="equal">
      <formula>"3-001-2214"</formula>
    </cfRule>
    <cfRule type="cellIs" dxfId="1817" priority="416" operator="equal">
      <formula>"3-001-5204"</formula>
    </cfRule>
    <cfRule type="cellIs" dxfId="1816" priority="417" operator="equal">
      <formula>"3-001-0002"</formula>
    </cfRule>
  </conditionalFormatting>
  <conditionalFormatting sqref="D65">
    <cfRule type="cellIs" dxfId="1815" priority="439" operator="equal">
      <formula>"3-001-2214"</formula>
    </cfRule>
    <cfRule type="cellIs" dxfId="1814" priority="440" operator="equal">
      <formula>"3-001-5204"</formula>
    </cfRule>
    <cfRule type="cellIs" dxfId="1813" priority="441" operator="equal">
      <formula>"3-001-0002"</formula>
    </cfRule>
  </conditionalFormatting>
  <conditionalFormatting sqref="AP166">
    <cfRule type="expression" dxfId="1812" priority="418">
      <formula>IF(J166=AP166,1,0)</formula>
    </cfRule>
  </conditionalFormatting>
  <conditionalFormatting sqref="AP165">
    <cfRule type="expression" dxfId="1811" priority="414">
      <formula>IF(J165=AP165,1,0)</formula>
    </cfRule>
  </conditionalFormatting>
  <conditionalFormatting sqref="D50">
    <cfRule type="cellIs" dxfId="1810" priority="407" operator="equal">
      <formula>"3-001-2214"</formula>
    </cfRule>
    <cfRule type="cellIs" dxfId="1809" priority="408" operator="equal">
      <formula>"3-001-5204"</formula>
    </cfRule>
    <cfRule type="cellIs" dxfId="1808" priority="409" operator="equal">
      <formula>"3-001-0002"</formula>
    </cfRule>
  </conditionalFormatting>
  <conditionalFormatting sqref="D94">
    <cfRule type="cellIs" dxfId="1807" priority="328" operator="equal">
      <formula>"3-001-2214"</formula>
    </cfRule>
    <cfRule type="cellIs" dxfId="1806" priority="329" operator="equal">
      <formula>"3-001-5204"</formula>
    </cfRule>
    <cfRule type="cellIs" dxfId="1805" priority="330" operator="equal">
      <formula>"3-001-0002"</formula>
    </cfRule>
  </conditionalFormatting>
  <conditionalFormatting sqref="AP50">
    <cfRule type="expression" dxfId="1804" priority="410">
      <formula>IF(J50=AP50,1,0)</formula>
    </cfRule>
  </conditionalFormatting>
  <conditionalFormatting sqref="D95:D98">
    <cfRule type="cellIs" dxfId="1803" priority="344" operator="equal">
      <formula>"3-001-2214"</formula>
    </cfRule>
    <cfRule type="cellIs" dxfId="1802" priority="345" operator="equal">
      <formula>"3-001-5204"</formula>
    </cfRule>
    <cfRule type="cellIs" dxfId="1801" priority="346" operator="equal">
      <formula>"3-001-0002"</formula>
    </cfRule>
  </conditionalFormatting>
  <conditionalFormatting sqref="AP94">
    <cfRule type="expression" dxfId="1800" priority="331">
      <formula>IF(J94=AP94,1,0)</formula>
    </cfRule>
  </conditionalFormatting>
  <conditionalFormatting sqref="AP65">
    <cfRule type="expression" dxfId="1799" priority="442">
      <formula>IF(J65=AP65,1,0)</formula>
    </cfRule>
  </conditionalFormatting>
  <conditionalFormatting sqref="D63">
    <cfRule type="cellIs" dxfId="1798" priority="447" operator="equal">
      <formula>"3-001-2214"</formula>
    </cfRule>
    <cfRule type="cellIs" dxfId="1797" priority="448" operator="equal">
      <formula>"3-001-5204"</formula>
    </cfRule>
    <cfRule type="cellIs" dxfId="1796" priority="449" operator="equal">
      <formula>"3-001-0002"</formula>
    </cfRule>
  </conditionalFormatting>
  <conditionalFormatting sqref="D66">
    <cfRule type="cellIs" dxfId="1795" priority="431" operator="equal">
      <formula>"3-001-2214"</formula>
    </cfRule>
    <cfRule type="cellIs" dxfId="1794" priority="432" operator="equal">
      <formula>"3-001-5204"</formula>
    </cfRule>
    <cfRule type="cellIs" dxfId="1793" priority="433" operator="equal">
      <formula>"3-001-0002"</formula>
    </cfRule>
  </conditionalFormatting>
  <conditionalFormatting sqref="AP63">
    <cfRule type="expression" dxfId="1792" priority="450">
      <formula>IF(J63=AP63,1,0)</formula>
    </cfRule>
  </conditionalFormatting>
  <conditionalFormatting sqref="D62">
    <cfRule type="cellIs" dxfId="1791" priority="443" operator="equal">
      <formula>"3-001-2214"</formula>
    </cfRule>
    <cfRule type="cellIs" dxfId="1790" priority="444" operator="equal">
      <formula>"3-001-5204"</formula>
    </cfRule>
    <cfRule type="cellIs" dxfId="1789" priority="445" operator="equal">
      <formula>"3-001-0002"</formula>
    </cfRule>
  </conditionalFormatting>
  <conditionalFormatting sqref="D91">
    <cfRule type="cellIs" dxfId="1788" priority="347" operator="equal">
      <formula>"3-001-2214"</formula>
    </cfRule>
    <cfRule type="cellIs" dxfId="1787" priority="348" operator="equal">
      <formula>"3-001-5204"</formula>
    </cfRule>
    <cfRule type="cellIs" dxfId="1786" priority="349" operator="equal">
      <formula>"3-001-0002"</formula>
    </cfRule>
  </conditionalFormatting>
  <conditionalFormatting sqref="AP62">
    <cfRule type="expression" dxfId="1785" priority="446">
      <formula>IF(J62=AP62,1,0)</formula>
    </cfRule>
  </conditionalFormatting>
  <conditionalFormatting sqref="AP66">
    <cfRule type="expression" dxfId="1784" priority="434">
      <formula>IF(J66=AP66,1,0)</formula>
    </cfRule>
  </conditionalFormatting>
  <conditionalFormatting sqref="D59">
    <cfRule type="cellIs" dxfId="1783" priority="435" operator="equal">
      <formula>"3-001-2214"</formula>
    </cfRule>
    <cfRule type="cellIs" dxfId="1782" priority="436" operator="equal">
      <formula>"3-001-5204"</formula>
    </cfRule>
    <cfRule type="cellIs" dxfId="1781" priority="437" operator="equal">
      <formula>"3-001-0002"</formula>
    </cfRule>
  </conditionalFormatting>
  <conditionalFormatting sqref="AP59">
    <cfRule type="expression" dxfId="1780" priority="438">
      <formula>IF(J59=AP59,1,0)</formula>
    </cfRule>
  </conditionalFormatting>
  <conditionalFormatting sqref="D61">
    <cfRule type="cellIs" dxfId="1779" priority="427" operator="equal">
      <formula>"3-001-2214"</formula>
    </cfRule>
    <cfRule type="cellIs" dxfId="1778" priority="428" operator="equal">
      <formula>"3-001-5204"</formula>
    </cfRule>
    <cfRule type="cellIs" dxfId="1777" priority="429" operator="equal">
      <formula>"3-001-0002"</formula>
    </cfRule>
  </conditionalFormatting>
  <conditionalFormatting sqref="AP61">
    <cfRule type="expression" dxfId="1776" priority="430">
      <formula>IF(J61=AP61,1,0)</formula>
    </cfRule>
  </conditionalFormatting>
  <conditionalFormatting sqref="AP91">
    <cfRule type="expression" dxfId="1775" priority="350">
      <formula>IF(J91=AP91,1,0)</formula>
    </cfRule>
  </conditionalFormatting>
  <conditionalFormatting sqref="D81">
    <cfRule type="cellIs" dxfId="1774" priority="336" operator="equal">
      <formula>"3-001-2214"</formula>
    </cfRule>
    <cfRule type="cellIs" dxfId="1773" priority="337" operator="equal">
      <formula>"3-001-5204"</formula>
    </cfRule>
    <cfRule type="cellIs" dxfId="1772" priority="338" operator="equal">
      <formula>"3-001-0002"</formula>
    </cfRule>
  </conditionalFormatting>
  <conditionalFormatting sqref="D78">
    <cfRule type="cellIs" dxfId="1771" priority="340" operator="equal">
      <formula>"3-001-2214"</formula>
    </cfRule>
    <cfRule type="cellIs" dxfId="1770" priority="341" operator="equal">
      <formula>"3-001-5204"</formula>
    </cfRule>
    <cfRule type="cellIs" dxfId="1769" priority="342" operator="equal">
      <formula>"3-001-0002"</formula>
    </cfRule>
  </conditionalFormatting>
  <conditionalFormatting sqref="AP78">
    <cfRule type="expression" dxfId="1768" priority="343">
      <formula>IF(J78=AP78,1,0)</formula>
    </cfRule>
  </conditionalFormatting>
  <conditionalFormatting sqref="AP81">
    <cfRule type="expression" dxfId="1767" priority="339">
      <formula>IF(J81=AP81,1,0)</formula>
    </cfRule>
  </conditionalFormatting>
  <conditionalFormatting sqref="D90">
    <cfRule type="cellIs" dxfId="1766" priority="332" operator="equal">
      <formula>"3-001-2214"</formula>
    </cfRule>
    <cfRule type="cellIs" dxfId="1765" priority="333" operator="equal">
      <formula>"3-001-5204"</formula>
    </cfRule>
    <cfRule type="cellIs" dxfId="1764" priority="334" operator="equal">
      <formula>"3-001-0002"</formula>
    </cfRule>
  </conditionalFormatting>
  <conditionalFormatting sqref="AP90">
    <cfRule type="expression" dxfId="1763" priority="335">
      <formula>IF(J90=AP90,1,0)</formula>
    </cfRule>
  </conditionalFormatting>
  <conditionalFormatting sqref="D99">
    <cfRule type="cellIs" dxfId="1762" priority="324" operator="equal">
      <formula>"3-001-2214"</formula>
    </cfRule>
    <cfRule type="cellIs" dxfId="1761" priority="325" operator="equal">
      <formula>"3-001-5204"</formula>
    </cfRule>
    <cfRule type="cellIs" dxfId="1760" priority="326" operator="equal">
      <formula>"3-001-0002"</formula>
    </cfRule>
  </conditionalFormatting>
  <conditionalFormatting sqref="AP99">
    <cfRule type="expression" dxfId="1759" priority="327">
      <formula>IF(J99=AP99,1,0)</formula>
    </cfRule>
  </conditionalFormatting>
  <conditionalFormatting sqref="D100">
    <cfRule type="cellIs" dxfId="1758" priority="320" operator="equal">
      <formula>"3-001-2214"</formula>
    </cfRule>
    <cfRule type="cellIs" dxfId="1757" priority="321" operator="equal">
      <formula>"3-001-5204"</formula>
    </cfRule>
    <cfRule type="cellIs" dxfId="1756" priority="322" operator="equal">
      <formula>"3-001-0002"</formula>
    </cfRule>
  </conditionalFormatting>
  <conditionalFormatting sqref="D79">
    <cfRule type="cellIs" dxfId="1755" priority="399" operator="equal">
      <formula>"3-001-2214"</formula>
    </cfRule>
    <cfRule type="cellIs" dxfId="1754" priority="400" operator="equal">
      <formula>"3-001-5204"</formula>
    </cfRule>
    <cfRule type="cellIs" dxfId="1753" priority="401" operator="equal">
      <formula>"3-001-0002"</formula>
    </cfRule>
  </conditionalFormatting>
  <conditionalFormatting sqref="AP100">
    <cfRule type="expression" dxfId="1752" priority="323">
      <formula>IF(J100=AP100,1,0)</formula>
    </cfRule>
  </conditionalFormatting>
  <conditionalFormatting sqref="D80">
    <cfRule type="cellIs" dxfId="1751" priority="403" operator="equal">
      <formula>"3-001-2214"</formula>
    </cfRule>
    <cfRule type="cellIs" dxfId="1750" priority="404" operator="equal">
      <formula>"3-001-5204"</formula>
    </cfRule>
    <cfRule type="cellIs" dxfId="1749" priority="405" operator="equal">
      <formula>"3-001-0002"</formula>
    </cfRule>
  </conditionalFormatting>
  <conditionalFormatting sqref="AP80">
    <cfRule type="expression" dxfId="1748" priority="406">
      <formula>IF(J80=AP80,1,0)</formula>
    </cfRule>
  </conditionalFormatting>
  <conditionalFormatting sqref="AP79">
    <cfRule type="expression" dxfId="1747" priority="402">
      <formula>IF(J79=AP79,1,0)</formula>
    </cfRule>
  </conditionalFormatting>
  <conditionalFormatting sqref="D76">
    <cfRule type="cellIs" dxfId="1746" priority="391" operator="equal">
      <formula>"3-001-2214"</formula>
    </cfRule>
    <cfRule type="cellIs" dxfId="1745" priority="392" operator="equal">
      <formula>"3-001-5204"</formula>
    </cfRule>
    <cfRule type="cellIs" dxfId="1744" priority="393" operator="equal">
      <formula>"3-001-0002"</formula>
    </cfRule>
  </conditionalFormatting>
  <conditionalFormatting sqref="D77">
    <cfRule type="cellIs" dxfId="1743" priority="395" operator="equal">
      <formula>"3-001-2214"</formula>
    </cfRule>
    <cfRule type="cellIs" dxfId="1742" priority="396" operator="equal">
      <formula>"3-001-5204"</formula>
    </cfRule>
    <cfRule type="cellIs" dxfId="1741" priority="397" operator="equal">
      <formula>"3-001-0002"</formula>
    </cfRule>
  </conditionalFormatting>
  <conditionalFormatting sqref="AP77">
    <cfRule type="expression" dxfId="1740" priority="398">
      <formula>IF(J77=AP77,1,0)</formula>
    </cfRule>
  </conditionalFormatting>
  <conditionalFormatting sqref="AP76">
    <cfRule type="expression" dxfId="1739" priority="394">
      <formula>IF(J76=AP76,1,0)</formula>
    </cfRule>
  </conditionalFormatting>
  <conditionalFormatting sqref="D75">
    <cfRule type="cellIs" dxfId="1738" priority="387" operator="equal">
      <formula>"3-001-2214"</formula>
    </cfRule>
    <cfRule type="cellIs" dxfId="1737" priority="388" operator="equal">
      <formula>"3-001-5204"</formula>
    </cfRule>
    <cfRule type="cellIs" dxfId="1736" priority="389" operator="equal">
      <formula>"3-001-0002"</formula>
    </cfRule>
  </conditionalFormatting>
  <conditionalFormatting sqref="AP75">
    <cfRule type="expression" dxfId="1735" priority="390">
      <formula>IF(J75=AP75,1,0)</formula>
    </cfRule>
  </conditionalFormatting>
  <conditionalFormatting sqref="D73">
    <cfRule type="cellIs" dxfId="1734" priority="379" operator="equal">
      <formula>"3-001-2214"</formula>
    </cfRule>
    <cfRule type="cellIs" dxfId="1733" priority="380" operator="equal">
      <formula>"3-001-5204"</formula>
    </cfRule>
    <cfRule type="cellIs" dxfId="1732" priority="381" operator="equal">
      <formula>"3-001-0002"</formula>
    </cfRule>
  </conditionalFormatting>
  <conditionalFormatting sqref="D74">
    <cfRule type="cellIs" dxfId="1731" priority="383" operator="equal">
      <formula>"3-001-2214"</formula>
    </cfRule>
    <cfRule type="cellIs" dxfId="1730" priority="384" operator="equal">
      <formula>"3-001-5204"</formula>
    </cfRule>
    <cfRule type="cellIs" dxfId="1729" priority="385" operator="equal">
      <formula>"3-001-0002"</formula>
    </cfRule>
  </conditionalFormatting>
  <conditionalFormatting sqref="D69">
    <cfRule type="cellIs" dxfId="1728" priority="363" operator="equal">
      <formula>"3-001-2214"</formula>
    </cfRule>
    <cfRule type="cellIs" dxfId="1727" priority="364" operator="equal">
      <formula>"3-001-5204"</formula>
    </cfRule>
    <cfRule type="cellIs" dxfId="1726" priority="365" operator="equal">
      <formula>"3-001-0002"</formula>
    </cfRule>
  </conditionalFormatting>
  <conditionalFormatting sqref="AP74">
    <cfRule type="expression" dxfId="1725" priority="386">
      <formula>IF(J74=AP74,1,0)</formula>
    </cfRule>
  </conditionalFormatting>
  <conditionalFormatting sqref="AP73">
    <cfRule type="expression" dxfId="1724" priority="382">
      <formula>IF(J73=AP73,1,0)</formula>
    </cfRule>
  </conditionalFormatting>
  <conditionalFormatting sqref="D72">
    <cfRule type="cellIs" dxfId="1723" priority="375" operator="equal">
      <formula>"3-001-2214"</formula>
    </cfRule>
    <cfRule type="cellIs" dxfId="1722" priority="376" operator="equal">
      <formula>"3-001-5204"</formula>
    </cfRule>
    <cfRule type="cellIs" dxfId="1721" priority="377" operator="equal">
      <formula>"3-001-0002"</formula>
    </cfRule>
  </conditionalFormatting>
  <conditionalFormatting sqref="D71">
    <cfRule type="cellIs" dxfId="1720" priority="371" operator="equal">
      <formula>"3-001-2214"</formula>
    </cfRule>
    <cfRule type="cellIs" dxfId="1719" priority="372" operator="equal">
      <formula>"3-001-5204"</formula>
    </cfRule>
    <cfRule type="cellIs" dxfId="1718" priority="373" operator="equal">
      <formula>"3-001-0002"</formula>
    </cfRule>
  </conditionalFormatting>
  <conditionalFormatting sqref="AP72">
    <cfRule type="expression" dxfId="1717" priority="378">
      <formula>IF(J72=AP72,1,0)</formula>
    </cfRule>
  </conditionalFormatting>
  <conditionalFormatting sqref="AP71">
    <cfRule type="expression" dxfId="1716" priority="374">
      <formula>IF(J71=AP71,1,0)</formula>
    </cfRule>
  </conditionalFormatting>
  <conditionalFormatting sqref="D70">
    <cfRule type="cellIs" dxfId="1715" priority="367" operator="equal">
      <formula>"3-001-2214"</formula>
    </cfRule>
    <cfRule type="cellIs" dxfId="1714" priority="368" operator="equal">
      <formula>"3-001-5204"</formula>
    </cfRule>
    <cfRule type="cellIs" dxfId="1713" priority="369" operator="equal">
      <formula>"3-001-0002"</formula>
    </cfRule>
  </conditionalFormatting>
  <conditionalFormatting sqref="AP70">
    <cfRule type="expression" dxfId="1712" priority="370">
      <formula>IF(J70=AP70,1,0)</formula>
    </cfRule>
  </conditionalFormatting>
  <conditionalFormatting sqref="AP69">
    <cfRule type="expression" dxfId="1711" priority="366">
      <formula>IF(J69=AP69,1,0)</formula>
    </cfRule>
  </conditionalFormatting>
  <conditionalFormatting sqref="D82:D87 D89">
    <cfRule type="cellIs" dxfId="1710" priority="359" operator="equal">
      <formula>"3-001-2214"</formula>
    </cfRule>
    <cfRule type="cellIs" dxfId="1709" priority="360" operator="equal">
      <formula>"3-001-5204"</formula>
    </cfRule>
    <cfRule type="cellIs" dxfId="1708" priority="361" operator="equal">
      <formula>"3-001-0002"</formula>
    </cfRule>
  </conditionalFormatting>
  <conditionalFormatting sqref="AP82:AP87 AP89">
    <cfRule type="expression" dxfId="1707" priority="362">
      <formula>IF(J82=AP82,1,0)</formula>
    </cfRule>
  </conditionalFormatting>
  <conditionalFormatting sqref="D93">
    <cfRule type="cellIs" dxfId="1706" priority="355" operator="equal">
      <formula>"3-001-2214"</formula>
    </cfRule>
    <cfRule type="cellIs" dxfId="1705" priority="356" operator="equal">
      <formula>"3-001-5204"</formula>
    </cfRule>
    <cfRule type="cellIs" dxfId="1704" priority="357" operator="equal">
      <formula>"3-001-0002"</formula>
    </cfRule>
  </conditionalFormatting>
  <conditionalFormatting sqref="AP93">
    <cfRule type="expression" dxfId="1703" priority="358">
      <formula>IF(J93=AP93,1,0)</formula>
    </cfRule>
  </conditionalFormatting>
  <conditionalFormatting sqref="D92">
    <cfRule type="cellIs" dxfId="1702" priority="351" operator="equal">
      <formula>"3-001-2214"</formula>
    </cfRule>
    <cfRule type="cellIs" dxfId="1701" priority="352" operator="equal">
      <formula>"3-001-5204"</formula>
    </cfRule>
    <cfRule type="cellIs" dxfId="1700" priority="353" operator="equal">
      <formula>"3-001-0002"</formula>
    </cfRule>
  </conditionalFormatting>
  <conditionalFormatting sqref="AP92">
    <cfRule type="expression" dxfId="1699" priority="354">
      <formula>IF(J92=AP92,1,0)</formula>
    </cfRule>
  </conditionalFormatting>
  <conditionalFormatting sqref="D107">
    <cfRule type="cellIs" dxfId="1698" priority="312" operator="equal">
      <formula>"3-001-2214"</formula>
    </cfRule>
    <cfRule type="cellIs" dxfId="1697" priority="313" operator="equal">
      <formula>"3-001-5204"</formula>
    </cfRule>
    <cfRule type="cellIs" dxfId="1696" priority="314" operator="equal">
      <formula>"3-001-0002"</formula>
    </cfRule>
  </conditionalFormatting>
  <conditionalFormatting sqref="D108">
    <cfRule type="cellIs" dxfId="1695" priority="316" operator="equal">
      <formula>"3-001-2214"</formula>
    </cfRule>
    <cfRule type="cellIs" dxfId="1694" priority="317" operator="equal">
      <formula>"3-001-5204"</formula>
    </cfRule>
    <cfRule type="cellIs" dxfId="1693" priority="318" operator="equal">
      <formula>"3-001-0002"</formula>
    </cfRule>
  </conditionalFormatting>
  <conditionalFormatting sqref="AP108">
    <cfRule type="expression" dxfId="1692" priority="319">
      <formula>IF(J108=AP108,1,0)</formula>
    </cfRule>
  </conditionalFormatting>
  <conditionalFormatting sqref="AP107">
    <cfRule type="expression" dxfId="1691" priority="315">
      <formula>IF(J107=AP107,1,0)</formula>
    </cfRule>
  </conditionalFormatting>
  <conditionalFormatting sqref="D104">
    <cfRule type="cellIs" dxfId="1690" priority="304" operator="equal">
      <formula>"3-001-2214"</formula>
    </cfRule>
    <cfRule type="cellIs" dxfId="1689" priority="305" operator="equal">
      <formula>"3-001-5204"</formula>
    </cfRule>
    <cfRule type="cellIs" dxfId="1688" priority="306" operator="equal">
      <formula>"3-001-0002"</formula>
    </cfRule>
  </conditionalFormatting>
  <conditionalFormatting sqref="D105">
    <cfRule type="cellIs" dxfId="1687" priority="308" operator="equal">
      <formula>"3-001-2214"</formula>
    </cfRule>
    <cfRule type="cellIs" dxfId="1686" priority="309" operator="equal">
      <formula>"3-001-5204"</formula>
    </cfRule>
    <cfRule type="cellIs" dxfId="1685" priority="310" operator="equal">
      <formula>"3-001-0002"</formula>
    </cfRule>
  </conditionalFormatting>
  <conditionalFormatting sqref="AP105">
    <cfRule type="expression" dxfId="1684" priority="311">
      <formula>IF(J105=AP105,1,0)</formula>
    </cfRule>
  </conditionalFormatting>
  <conditionalFormatting sqref="AP104">
    <cfRule type="expression" dxfId="1683" priority="307">
      <formula>IF(J104=AP104,1,0)</formula>
    </cfRule>
  </conditionalFormatting>
  <conditionalFormatting sqref="D103">
    <cfRule type="cellIs" dxfId="1682" priority="300" operator="equal">
      <formula>"3-001-2214"</formula>
    </cfRule>
    <cfRule type="cellIs" dxfId="1681" priority="301" operator="equal">
      <formula>"3-001-5204"</formula>
    </cfRule>
    <cfRule type="cellIs" dxfId="1680" priority="302" operator="equal">
      <formula>"3-001-0002"</formula>
    </cfRule>
  </conditionalFormatting>
  <conditionalFormatting sqref="AP103">
    <cfRule type="expression" dxfId="1679" priority="303">
      <formula>IF(J103=AP103,1,0)</formula>
    </cfRule>
  </conditionalFormatting>
  <conditionalFormatting sqref="D101">
    <cfRule type="cellIs" dxfId="1678" priority="292" operator="equal">
      <formula>"3-001-2214"</formula>
    </cfRule>
    <cfRule type="cellIs" dxfId="1677" priority="293" operator="equal">
      <formula>"3-001-5204"</formula>
    </cfRule>
    <cfRule type="cellIs" dxfId="1676" priority="294" operator="equal">
      <formula>"3-001-0002"</formula>
    </cfRule>
  </conditionalFormatting>
  <conditionalFormatting sqref="D102">
    <cfRule type="cellIs" dxfId="1675" priority="296" operator="equal">
      <formula>"3-001-2214"</formula>
    </cfRule>
    <cfRule type="cellIs" dxfId="1674" priority="297" operator="equal">
      <formula>"3-001-5204"</formula>
    </cfRule>
    <cfRule type="cellIs" dxfId="1673" priority="298" operator="equal">
      <formula>"3-001-0002"</formula>
    </cfRule>
  </conditionalFormatting>
  <conditionalFormatting sqref="AP102">
    <cfRule type="expression" dxfId="1672" priority="299">
      <formula>IF(J102=AP102,1,0)</formula>
    </cfRule>
  </conditionalFormatting>
  <conditionalFormatting sqref="AP101">
    <cfRule type="expression" dxfId="1671" priority="295">
      <formula>IF(J101=AP101,1,0)</formula>
    </cfRule>
  </conditionalFormatting>
  <conditionalFormatting sqref="D110:D111">
    <cfRule type="cellIs" dxfId="1670" priority="289" operator="equal">
      <formula>"3-001-2214"</formula>
    </cfRule>
    <cfRule type="cellIs" dxfId="1669" priority="290" operator="equal">
      <formula>"3-001-5204"</formula>
    </cfRule>
    <cfRule type="cellIs" dxfId="1668" priority="291" operator="equal">
      <formula>"3-001-0002"</formula>
    </cfRule>
  </conditionalFormatting>
  <conditionalFormatting sqref="D113">
    <cfRule type="cellIs" dxfId="1667" priority="281" operator="equal">
      <formula>"3-001-2214"</formula>
    </cfRule>
    <cfRule type="cellIs" dxfId="1666" priority="282" operator="equal">
      <formula>"3-001-5204"</formula>
    </cfRule>
    <cfRule type="cellIs" dxfId="1665" priority="283" operator="equal">
      <formula>"3-001-0002"</formula>
    </cfRule>
  </conditionalFormatting>
  <conditionalFormatting sqref="D114">
    <cfRule type="cellIs" dxfId="1664" priority="285" operator="equal">
      <formula>"3-001-2214"</formula>
    </cfRule>
    <cfRule type="cellIs" dxfId="1663" priority="286" operator="equal">
      <formula>"3-001-5204"</formula>
    </cfRule>
    <cfRule type="cellIs" dxfId="1662" priority="287" operator="equal">
      <formula>"3-001-0002"</formula>
    </cfRule>
  </conditionalFormatting>
  <conditionalFormatting sqref="AP114">
    <cfRule type="expression" dxfId="1661" priority="288">
      <formula>IF(J114=AP114,1,0)</formula>
    </cfRule>
  </conditionalFormatting>
  <conditionalFormatting sqref="AP113">
    <cfRule type="expression" dxfId="1660" priority="284">
      <formula>IF(J113=AP113,1,0)</formula>
    </cfRule>
  </conditionalFormatting>
  <conditionalFormatting sqref="D116:D117">
    <cfRule type="cellIs" dxfId="1659" priority="278" operator="equal">
      <formula>"3-001-2214"</formula>
    </cfRule>
    <cfRule type="cellIs" dxfId="1658" priority="279" operator="equal">
      <formula>"3-001-5204"</formula>
    </cfRule>
    <cfRule type="cellIs" dxfId="1657" priority="280" operator="equal">
      <formula>"3-001-0002"</formula>
    </cfRule>
  </conditionalFormatting>
  <conditionalFormatting sqref="D106">
    <cfRule type="cellIs" dxfId="1656" priority="274" operator="equal">
      <formula>"3-001-2214"</formula>
    </cfRule>
    <cfRule type="cellIs" dxfId="1655" priority="275" operator="equal">
      <formula>"3-001-5204"</formula>
    </cfRule>
    <cfRule type="cellIs" dxfId="1654" priority="276" operator="equal">
      <formula>"3-001-0002"</formula>
    </cfRule>
  </conditionalFormatting>
  <conditionalFormatting sqref="AP106">
    <cfRule type="expression" dxfId="1653" priority="277">
      <formula>IF(J106=AP106,1,0)</formula>
    </cfRule>
  </conditionalFormatting>
  <conditionalFormatting sqref="D109">
    <cfRule type="cellIs" dxfId="1652" priority="270" operator="equal">
      <formula>"3-001-2214"</formula>
    </cfRule>
    <cfRule type="cellIs" dxfId="1651" priority="271" operator="equal">
      <formula>"3-001-5204"</formula>
    </cfRule>
    <cfRule type="cellIs" dxfId="1650" priority="272" operator="equal">
      <formula>"3-001-0002"</formula>
    </cfRule>
  </conditionalFormatting>
  <conditionalFormatting sqref="AP109">
    <cfRule type="expression" dxfId="1649" priority="273">
      <formula>IF(J109=AP109,1,0)</formula>
    </cfRule>
  </conditionalFormatting>
  <conditionalFormatting sqref="D112">
    <cfRule type="cellIs" dxfId="1648" priority="266" operator="equal">
      <formula>"3-001-2214"</formula>
    </cfRule>
    <cfRule type="cellIs" dxfId="1647" priority="267" operator="equal">
      <formula>"3-001-5204"</formula>
    </cfRule>
    <cfRule type="cellIs" dxfId="1646" priority="268" operator="equal">
      <formula>"3-001-0002"</formula>
    </cfRule>
  </conditionalFormatting>
  <conditionalFormatting sqref="AP112">
    <cfRule type="expression" dxfId="1645" priority="269">
      <formula>IF(J112=AP112,1,0)</formula>
    </cfRule>
  </conditionalFormatting>
  <conditionalFormatting sqref="D115">
    <cfRule type="cellIs" dxfId="1644" priority="262" operator="equal">
      <formula>"3-001-2214"</formula>
    </cfRule>
    <cfRule type="cellIs" dxfId="1643" priority="263" operator="equal">
      <formula>"3-001-5204"</formula>
    </cfRule>
    <cfRule type="cellIs" dxfId="1642" priority="264" operator="equal">
      <formula>"3-001-0002"</formula>
    </cfRule>
  </conditionalFormatting>
  <conditionalFormatting sqref="AP115">
    <cfRule type="expression" dxfId="1641" priority="265">
      <formula>IF(J115=AP115,1,0)</formula>
    </cfRule>
  </conditionalFormatting>
  <conditionalFormatting sqref="D118">
    <cfRule type="cellIs" dxfId="1640" priority="258" operator="equal">
      <formula>"3-001-2214"</formula>
    </cfRule>
    <cfRule type="cellIs" dxfId="1639" priority="259" operator="equal">
      <formula>"3-001-5204"</formula>
    </cfRule>
    <cfRule type="cellIs" dxfId="1638" priority="260" operator="equal">
      <formula>"3-001-0002"</formula>
    </cfRule>
  </conditionalFormatting>
  <conditionalFormatting sqref="AP118">
    <cfRule type="expression" dxfId="1637" priority="261">
      <formula>IF(J118=AP118,1,0)</formula>
    </cfRule>
  </conditionalFormatting>
  <conditionalFormatting sqref="D88">
    <cfRule type="cellIs" dxfId="1636" priority="254" operator="equal">
      <formula>"3-001-2214"</formula>
    </cfRule>
    <cfRule type="cellIs" dxfId="1635" priority="255" operator="equal">
      <formula>"3-001-5204"</formula>
    </cfRule>
    <cfRule type="cellIs" dxfId="1634" priority="256" operator="equal">
      <formula>"3-001-0002"</formula>
    </cfRule>
  </conditionalFormatting>
  <conditionalFormatting sqref="AP88">
    <cfRule type="expression" dxfId="1633" priority="257">
      <formula>IF(J88=AP88,1,0)</formula>
    </cfRule>
  </conditionalFormatting>
  <conditionalFormatting sqref="AP119">
    <cfRule type="expression" dxfId="1632" priority="253">
      <formula>IF(J119=AP119,1,0)</formula>
    </cfRule>
  </conditionalFormatting>
  <conditionalFormatting sqref="D119">
    <cfRule type="cellIs" dxfId="1631" priority="250" operator="equal">
      <formula>"3-001-2214"</formula>
    </cfRule>
    <cfRule type="cellIs" dxfId="1630" priority="251" operator="equal">
      <formula>"3-001-5204"</formula>
    </cfRule>
    <cfRule type="cellIs" dxfId="1629" priority="252" operator="equal">
      <formula>"3-001-0002"</formula>
    </cfRule>
  </conditionalFormatting>
  <conditionalFormatting sqref="AP120">
    <cfRule type="expression" dxfId="1628" priority="249">
      <formula>IF(J120=AP120,1,0)</formula>
    </cfRule>
  </conditionalFormatting>
  <conditionalFormatting sqref="D120">
    <cfRule type="cellIs" dxfId="1627" priority="246" operator="equal">
      <formula>"3-001-2214"</formula>
    </cfRule>
    <cfRule type="cellIs" dxfId="1626" priority="247" operator="equal">
      <formula>"3-001-5204"</formula>
    </cfRule>
    <cfRule type="cellIs" dxfId="1625" priority="248" operator="equal">
      <formula>"3-001-0002"</formula>
    </cfRule>
  </conditionalFormatting>
  <conditionalFormatting sqref="AP186">
    <cfRule type="expression" dxfId="1624" priority="245">
      <formula>IF(J186=AP186,1,0)</formula>
    </cfRule>
  </conditionalFormatting>
  <conditionalFormatting sqref="D186">
    <cfRule type="cellIs" dxfId="1623" priority="242" operator="equal">
      <formula>"3-001-2214"</formula>
    </cfRule>
    <cfRule type="cellIs" dxfId="1622" priority="243" operator="equal">
      <formula>"3-001-5204"</formula>
    </cfRule>
    <cfRule type="cellIs" dxfId="1621" priority="244" operator="equal">
      <formula>"3-001-0002"</formula>
    </cfRule>
  </conditionalFormatting>
  <conditionalFormatting sqref="AP181">
    <cfRule type="expression" dxfId="1620" priority="237">
      <formula>IF(J181=AP181,1,0)</formula>
    </cfRule>
  </conditionalFormatting>
  <conditionalFormatting sqref="D181">
    <cfRule type="cellIs" dxfId="1619" priority="234" operator="equal">
      <formula>"3-001-2214"</formula>
    </cfRule>
    <cfRule type="cellIs" dxfId="1618" priority="235" operator="equal">
      <formula>"3-001-5204"</formula>
    </cfRule>
    <cfRule type="cellIs" dxfId="1617" priority="236" operator="equal">
      <formula>"3-001-0002"</formula>
    </cfRule>
  </conditionalFormatting>
  <conditionalFormatting sqref="AP188">
    <cfRule type="expression" dxfId="1616" priority="233">
      <formula>IF(J188=AP188,1,0)</formula>
    </cfRule>
  </conditionalFormatting>
  <conditionalFormatting sqref="D188">
    <cfRule type="cellIs" dxfId="1615" priority="230" operator="equal">
      <formula>"3-001-2214"</formula>
    </cfRule>
    <cfRule type="cellIs" dxfId="1614" priority="231" operator="equal">
      <formula>"3-001-5204"</formula>
    </cfRule>
    <cfRule type="cellIs" dxfId="1613" priority="232" operator="equal">
      <formula>"3-001-0002"</formula>
    </cfRule>
  </conditionalFormatting>
  <conditionalFormatting sqref="AP187">
    <cfRule type="expression" dxfId="1612" priority="241">
      <formula>IF(J187=AP187,1,0)</formula>
    </cfRule>
  </conditionalFormatting>
  <conditionalFormatting sqref="D187">
    <cfRule type="cellIs" dxfId="1611" priority="238" operator="equal">
      <formula>"3-001-2214"</formula>
    </cfRule>
    <cfRule type="cellIs" dxfId="1610" priority="239" operator="equal">
      <formula>"3-001-5204"</formula>
    </cfRule>
    <cfRule type="cellIs" dxfId="1609" priority="240" operator="equal">
      <formula>"3-001-0002"</formula>
    </cfRule>
  </conditionalFormatting>
  <conditionalFormatting sqref="AP121">
    <cfRule type="expression" dxfId="1608" priority="229">
      <formula>IF(J121=AP121,1,0)</formula>
    </cfRule>
  </conditionalFormatting>
  <conditionalFormatting sqref="D121">
    <cfRule type="cellIs" dxfId="1607" priority="226" operator="equal">
      <formula>"3-001-2214"</formula>
    </cfRule>
    <cfRule type="cellIs" dxfId="1606" priority="227" operator="equal">
      <formula>"3-001-5204"</formula>
    </cfRule>
    <cfRule type="cellIs" dxfId="1605" priority="228" operator="equal">
      <formula>"3-001-0002"</formula>
    </cfRule>
  </conditionalFormatting>
  <conditionalFormatting sqref="D190">
    <cfRule type="cellIs" dxfId="1604" priority="218" operator="equal">
      <formula>"3-001-2214"</formula>
    </cfRule>
    <cfRule type="cellIs" dxfId="1603" priority="219" operator="equal">
      <formula>"3-001-5204"</formula>
    </cfRule>
    <cfRule type="cellIs" dxfId="1602" priority="220" operator="equal">
      <formula>"3-001-0002"</formula>
    </cfRule>
  </conditionalFormatting>
  <conditionalFormatting sqref="AP189">
    <cfRule type="expression" dxfId="1601" priority="225">
      <formula>IF(J189=AP189,1,0)</formula>
    </cfRule>
  </conditionalFormatting>
  <conditionalFormatting sqref="D189">
    <cfRule type="cellIs" dxfId="1600" priority="222" operator="equal">
      <formula>"3-001-2214"</formula>
    </cfRule>
    <cfRule type="cellIs" dxfId="1599" priority="223" operator="equal">
      <formula>"3-001-5204"</formula>
    </cfRule>
    <cfRule type="cellIs" dxfId="1598" priority="224" operator="equal">
      <formula>"3-001-0002"</formula>
    </cfRule>
  </conditionalFormatting>
  <conditionalFormatting sqref="AP190">
    <cfRule type="expression" dxfId="1597" priority="221">
      <formula>IF(J190=AP190,1,0)</formula>
    </cfRule>
  </conditionalFormatting>
  <conditionalFormatting sqref="D183">
    <cfRule type="cellIs" dxfId="1596" priority="214" operator="equal">
      <formula>"3-001-2214"</formula>
    </cfRule>
    <cfRule type="cellIs" dxfId="1595" priority="215" operator="equal">
      <formula>"3-001-5204"</formula>
    </cfRule>
    <cfRule type="cellIs" dxfId="1594" priority="216" operator="equal">
      <formula>"3-001-0002"</formula>
    </cfRule>
  </conditionalFormatting>
  <conditionalFormatting sqref="D182">
    <cfRule type="cellIs" dxfId="1593" priority="210" operator="equal">
      <formula>"3-001-2214"</formula>
    </cfRule>
    <cfRule type="cellIs" dxfId="1592" priority="211" operator="equal">
      <formula>"3-001-5204"</formula>
    </cfRule>
    <cfRule type="cellIs" dxfId="1591" priority="212" operator="equal">
      <formula>"3-001-0002"</formula>
    </cfRule>
  </conditionalFormatting>
  <conditionalFormatting sqref="AP183">
    <cfRule type="expression" dxfId="1590" priority="217">
      <formula>IF(J183=AP183,1,0)</formula>
    </cfRule>
  </conditionalFormatting>
  <conditionalFormatting sqref="D142">
    <cfRule type="cellIs" dxfId="1589" priority="198" operator="equal">
      <formula>"3-001-2214"</formula>
    </cfRule>
    <cfRule type="cellIs" dxfId="1588" priority="199" operator="equal">
      <formula>"3-001-5204"</formula>
    </cfRule>
    <cfRule type="cellIs" dxfId="1587" priority="200" operator="equal">
      <formula>"3-001-0002"</formula>
    </cfRule>
  </conditionalFormatting>
  <conditionalFormatting sqref="AP182">
    <cfRule type="expression" dxfId="1586" priority="213">
      <formula>IF(J182=AP182,1,0)</formula>
    </cfRule>
  </conditionalFormatting>
  <conditionalFormatting sqref="AP142">
    <cfRule type="expression" dxfId="1585" priority="201">
      <formula>IF(J142=AP142,1,0)</formula>
    </cfRule>
  </conditionalFormatting>
  <conditionalFormatting sqref="AP123">
    <cfRule type="expression" dxfId="1584" priority="209">
      <formula>IF(J123=AP123,1,0)</formula>
    </cfRule>
  </conditionalFormatting>
  <conditionalFormatting sqref="D123">
    <cfRule type="cellIs" dxfId="1583" priority="206" operator="equal">
      <formula>"3-001-2214"</formula>
    </cfRule>
    <cfRule type="cellIs" dxfId="1582" priority="207" operator="equal">
      <formula>"3-001-5204"</formula>
    </cfRule>
    <cfRule type="cellIs" dxfId="1581" priority="208" operator="equal">
      <formula>"3-001-0002"</formula>
    </cfRule>
  </conditionalFormatting>
  <conditionalFormatting sqref="AP122">
    <cfRule type="expression" dxfId="1580" priority="205">
      <formula>IF(J122=AP122,1,0)</formula>
    </cfRule>
  </conditionalFormatting>
  <conditionalFormatting sqref="D122">
    <cfRule type="cellIs" dxfId="1579" priority="202" operator="equal">
      <formula>"3-001-2214"</formula>
    </cfRule>
    <cfRule type="cellIs" dxfId="1578" priority="203" operator="equal">
      <formula>"3-001-5204"</formula>
    </cfRule>
    <cfRule type="cellIs" dxfId="1577" priority="204" operator="equal">
      <formula>"3-001-0002"</formula>
    </cfRule>
  </conditionalFormatting>
  <conditionalFormatting sqref="AP67">
    <cfRule type="expression" dxfId="1576" priority="189">
      <formula>IF(J67=AP67,1,0)</formula>
    </cfRule>
  </conditionalFormatting>
  <conditionalFormatting sqref="D67">
    <cfRule type="cellIs" dxfId="1575" priority="186" operator="equal">
      <formula>"3-001-2214"</formula>
    </cfRule>
    <cfRule type="cellIs" dxfId="1574" priority="187" operator="equal">
      <formula>"3-001-5204"</formula>
    </cfRule>
    <cfRule type="cellIs" dxfId="1573" priority="188" operator="equal">
      <formula>"3-001-0002"</formula>
    </cfRule>
  </conditionalFormatting>
  <conditionalFormatting sqref="AP143">
    <cfRule type="expression" dxfId="1572" priority="197">
      <formula>IF(J143=AP143,1,0)</formula>
    </cfRule>
  </conditionalFormatting>
  <conditionalFormatting sqref="D143">
    <cfRule type="cellIs" dxfId="1571" priority="194" operator="equal">
      <formula>"3-001-2214"</formula>
    </cfRule>
    <cfRule type="cellIs" dxfId="1570" priority="195" operator="equal">
      <formula>"3-001-5204"</formula>
    </cfRule>
    <cfRule type="cellIs" dxfId="1569" priority="196" operator="equal">
      <formula>"3-001-0002"</formula>
    </cfRule>
  </conditionalFormatting>
  <conditionalFormatting sqref="AP180">
    <cfRule type="expression" dxfId="1568" priority="193">
      <formula>IF(J180=AP180,1,0)</formula>
    </cfRule>
  </conditionalFormatting>
  <conditionalFormatting sqref="D180">
    <cfRule type="cellIs" dxfId="1567" priority="190" operator="equal">
      <formula>"3-001-2214"</formula>
    </cfRule>
    <cfRule type="cellIs" dxfId="1566" priority="191" operator="equal">
      <formula>"3-001-5204"</formula>
    </cfRule>
    <cfRule type="cellIs" dxfId="1565" priority="192" operator="equal">
      <formula>"3-001-0002"</formula>
    </cfRule>
  </conditionalFormatting>
  <conditionalFormatting sqref="D169">
    <cfRule type="cellIs" dxfId="1564" priority="150" operator="equal">
      <formula>"3-001-2214"</formula>
    </cfRule>
    <cfRule type="cellIs" dxfId="1563" priority="151" operator="equal">
      <formula>"3-001-5204"</formula>
    </cfRule>
    <cfRule type="cellIs" dxfId="1562" priority="152" operator="equal">
      <formula>"3-001-0002"</formula>
    </cfRule>
  </conditionalFormatting>
  <conditionalFormatting sqref="AP169">
    <cfRule type="expression" dxfId="1561" priority="153">
      <formula>IF(J169=AP169,1,0)</formula>
    </cfRule>
  </conditionalFormatting>
  <conditionalFormatting sqref="D60">
    <cfRule type="cellIs" dxfId="1560" priority="182" operator="equal">
      <formula>"3-001-2214"</formula>
    </cfRule>
    <cfRule type="cellIs" dxfId="1559" priority="183" operator="equal">
      <formula>"3-001-5204"</formula>
    </cfRule>
    <cfRule type="cellIs" dxfId="1558" priority="184" operator="equal">
      <formula>"3-001-0002"</formula>
    </cfRule>
  </conditionalFormatting>
  <conditionalFormatting sqref="D64">
    <cfRule type="cellIs" dxfId="1557" priority="178" operator="equal">
      <formula>"3-001-2214"</formula>
    </cfRule>
    <cfRule type="cellIs" dxfId="1556" priority="179" operator="equal">
      <formula>"3-001-5204"</formula>
    </cfRule>
    <cfRule type="cellIs" dxfId="1555" priority="180" operator="equal">
      <formula>"3-001-0002"</formula>
    </cfRule>
  </conditionalFormatting>
  <conditionalFormatting sqref="AP60">
    <cfRule type="expression" dxfId="1554" priority="185">
      <formula>IF(J60=AP60,1,0)</formula>
    </cfRule>
  </conditionalFormatting>
  <conditionalFormatting sqref="AP64">
    <cfRule type="expression" dxfId="1553" priority="181">
      <formula>IF(J64=AP64,1,0)</formula>
    </cfRule>
  </conditionalFormatting>
  <conditionalFormatting sqref="AP167">
    <cfRule type="expression" dxfId="1552" priority="177">
      <formula>IF(J167=AP167,1,0)</formula>
    </cfRule>
  </conditionalFormatting>
  <conditionalFormatting sqref="D167">
    <cfRule type="cellIs" dxfId="1551" priority="174" operator="equal">
      <formula>"3-001-2214"</formula>
    </cfRule>
    <cfRule type="cellIs" dxfId="1550" priority="175" operator="equal">
      <formula>"3-001-5204"</formula>
    </cfRule>
    <cfRule type="cellIs" dxfId="1549" priority="176" operator="equal">
      <formula>"3-001-0002"</formula>
    </cfRule>
  </conditionalFormatting>
  <conditionalFormatting sqref="D175">
    <cfRule type="cellIs" dxfId="1548" priority="142" operator="equal">
      <formula>"3-001-2214"</formula>
    </cfRule>
    <cfRule type="cellIs" dxfId="1547" priority="143" operator="equal">
      <formula>"3-001-5204"</formula>
    </cfRule>
    <cfRule type="cellIs" dxfId="1546" priority="144" operator="equal">
      <formula>"3-001-0002"</formula>
    </cfRule>
  </conditionalFormatting>
  <conditionalFormatting sqref="AP175">
    <cfRule type="expression" dxfId="1545" priority="145">
      <formula>IF(J175=AP175,1,0)</formula>
    </cfRule>
  </conditionalFormatting>
  <conditionalFormatting sqref="D171">
    <cfRule type="cellIs" dxfId="1544" priority="166" operator="equal">
      <formula>"3-001-2214"</formula>
    </cfRule>
    <cfRule type="cellIs" dxfId="1543" priority="167" operator="equal">
      <formula>"3-001-5204"</formula>
    </cfRule>
    <cfRule type="cellIs" dxfId="1542" priority="168" operator="equal">
      <formula>"3-001-0002"</formula>
    </cfRule>
  </conditionalFormatting>
  <conditionalFormatting sqref="AP171">
    <cfRule type="expression" dxfId="1541" priority="169">
      <formula>IF(J171=AP171,1,0)</formula>
    </cfRule>
  </conditionalFormatting>
  <conditionalFormatting sqref="D172">
    <cfRule type="cellIs" dxfId="1540" priority="170" operator="equal">
      <formula>"3-001-2214"</formula>
    </cfRule>
    <cfRule type="cellIs" dxfId="1539" priority="171" operator="equal">
      <formula>"3-001-5204"</formula>
    </cfRule>
    <cfRule type="cellIs" dxfId="1538" priority="172" operator="equal">
      <formula>"3-001-0002"</formula>
    </cfRule>
  </conditionalFormatting>
  <conditionalFormatting sqref="D174">
    <cfRule type="cellIs" dxfId="1537" priority="162" operator="equal">
      <formula>"3-001-2214"</formula>
    </cfRule>
    <cfRule type="cellIs" dxfId="1536" priority="163" operator="equal">
      <formula>"3-001-5204"</formula>
    </cfRule>
    <cfRule type="cellIs" dxfId="1535" priority="164" operator="equal">
      <formula>"3-001-0002"</formula>
    </cfRule>
  </conditionalFormatting>
  <conditionalFormatting sqref="AP172">
    <cfRule type="expression" dxfId="1534" priority="173">
      <formula>IF(J172=AP172,1,0)</formula>
    </cfRule>
  </conditionalFormatting>
  <conditionalFormatting sqref="AP174">
    <cfRule type="expression" dxfId="1533" priority="165">
      <formula>IF(J174=AP174,1,0)</formula>
    </cfRule>
  </conditionalFormatting>
  <conditionalFormatting sqref="D168">
    <cfRule type="cellIs" dxfId="1532" priority="158" operator="equal">
      <formula>"3-001-2214"</formula>
    </cfRule>
    <cfRule type="cellIs" dxfId="1531" priority="159" operator="equal">
      <formula>"3-001-5204"</formula>
    </cfRule>
    <cfRule type="cellIs" dxfId="1530" priority="160" operator="equal">
      <formula>"3-001-0002"</formula>
    </cfRule>
  </conditionalFormatting>
  <conditionalFormatting sqref="AP168">
    <cfRule type="expression" dxfId="1529" priority="161">
      <formula>IF(J168=AP168,1,0)</formula>
    </cfRule>
  </conditionalFormatting>
  <conditionalFormatting sqref="D170">
    <cfRule type="cellIs" dxfId="1528" priority="154" operator="equal">
      <formula>"3-001-2214"</formula>
    </cfRule>
    <cfRule type="cellIs" dxfId="1527" priority="155" operator="equal">
      <formula>"3-001-5204"</formula>
    </cfRule>
    <cfRule type="cellIs" dxfId="1526" priority="156" operator="equal">
      <formula>"3-001-0002"</formula>
    </cfRule>
  </conditionalFormatting>
  <conditionalFormatting sqref="AP170">
    <cfRule type="expression" dxfId="1525" priority="157">
      <formula>IF(J170=AP170,1,0)</formula>
    </cfRule>
  </conditionalFormatting>
  <conditionalFormatting sqref="AP173">
    <cfRule type="expression" dxfId="1524" priority="149">
      <formula>IF(J173=AP173,1,0)</formula>
    </cfRule>
  </conditionalFormatting>
  <conditionalFormatting sqref="D173">
    <cfRule type="cellIs" dxfId="1523" priority="146" operator="equal">
      <formula>"3-001-2214"</formula>
    </cfRule>
    <cfRule type="cellIs" dxfId="1522" priority="147" operator="equal">
      <formula>"3-001-5204"</formula>
    </cfRule>
    <cfRule type="cellIs" dxfId="1521" priority="148" operator="equal">
      <formula>"3-001-0002"</formula>
    </cfRule>
  </conditionalFormatting>
  <conditionalFormatting sqref="D179">
    <cfRule type="cellIs" dxfId="1520" priority="134" operator="equal">
      <formula>"3-001-2214"</formula>
    </cfRule>
    <cfRule type="cellIs" dxfId="1519" priority="135" operator="equal">
      <formula>"3-001-5204"</formula>
    </cfRule>
    <cfRule type="cellIs" dxfId="1518" priority="136" operator="equal">
      <formula>"3-001-0002"</formula>
    </cfRule>
  </conditionalFormatting>
  <conditionalFormatting sqref="AP179">
    <cfRule type="expression" dxfId="1517" priority="137">
      <formula>IF(J179=AP179,1,0)</formula>
    </cfRule>
  </conditionalFormatting>
  <conditionalFormatting sqref="D178">
    <cfRule type="cellIs" dxfId="1516" priority="138" operator="equal">
      <formula>"3-001-2214"</formula>
    </cfRule>
    <cfRule type="cellIs" dxfId="1515" priority="139" operator="equal">
      <formula>"3-001-5204"</formula>
    </cfRule>
    <cfRule type="cellIs" dxfId="1514" priority="140" operator="equal">
      <formula>"3-001-0002"</formula>
    </cfRule>
  </conditionalFormatting>
  <conditionalFormatting sqref="AP178">
    <cfRule type="expression" dxfId="1513" priority="141">
      <formula>IF(J178=AP178,1,0)</formula>
    </cfRule>
  </conditionalFormatting>
  <conditionalFormatting sqref="D176">
    <cfRule type="cellIs" dxfId="1512" priority="130" operator="equal">
      <formula>"3-001-2214"</formula>
    </cfRule>
    <cfRule type="cellIs" dxfId="1511" priority="131" operator="equal">
      <formula>"3-001-5204"</formula>
    </cfRule>
    <cfRule type="cellIs" dxfId="1510" priority="132" operator="equal">
      <formula>"3-001-0002"</formula>
    </cfRule>
  </conditionalFormatting>
  <conditionalFormatting sqref="AP176">
    <cfRule type="expression" dxfId="1509" priority="133">
      <formula>IF(J176=AP176,1,0)</formula>
    </cfRule>
  </conditionalFormatting>
  <conditionalFormatting sqref="AP177">
    <cfRule type="expression" dxfId="1508" priority="129">
      <formula>IF(J177=AP177,1,0)</formula>
    </cfRule>
  </conditionalFormatting>
  <conditionalFormatting sqref="D177">
    <cfRule type="cellIs" dxfId="1507" priority="126" operator="equal">
      <formula>"3-001-2214"</formula>
    </cfRule>
    <cfRule type="cellIs" dxfId="1506" priority="127" operator="equal">
      <formula>"3-001-5204"</formula>
    </cfRule>
    <cfRule type="cellIs" dxfId="1505" priority="128" operator="equal">
      <formula>"3-001-0002"</formula>
    </cfRule>
  </conditionalFormatting>
  <conditionalFormatting sqref="AP154:AP155">
    <cfRule type="expression" dxfId="1504" priority="125">
      <formula>IF(J154=AP154,1,0)</formula>
    </cfRule>
  </conditionalFormatting>
  <conditionalFormatting sqref="D154:D155">
    <cfRule type="cellIs" dxfId="1503" priority="122" operator="equal">
      <formula>"3-001-2214"</formula>
    </cfRule>
    <cfRule type="cellIs" dxfId="1502" priority="123" operator="equal">
      <formula>"3-001-5204"</formula>
    </cfRule>
    <cfRule type="cellIs" dxfId="1501" priority="124" operator="equal">
      <formula>"3-001-0002"</formula>
    </cfRule>
  </conditionalFormatting>
  <conditionalFormatting sqref="AP153">
    <cfRule type="expression" dxfId="1500" priority="121">
      <formula>IF(J153=AP153,1,0)</formula>
    </cfRule>
  </conditionalFormatting>
  <conditionalFormatting sqref="D153">
    <cfRule type="cellIs" dxfId="1499" priority="118" operator="equal">
      <formula>"3-001-2214"</formula>
    </cfRule>
    <cfRule type="cellIs" dxfId="1498" priority="119" operator="equal">
      <formula>"3-001-5204"</formula>
    </cfRule>
    <cfRule type="cellIs" dxfId="1497" priority="120" operator="equal">
      <formula>"3-001-0002"</formula>
    </cfRule>
  </conditionalFormatting>
  <conditionalFormatting sqref="AP135">
    <cfRule type="expression" dxfId="1496" priority="117">
      <formula>IF(J135=AP135,1,0)</formula>
    </cfRule>
  </conditionalFormatting>
  <conditionalFormatting sqref="D135">
    <cfRule type="cellIs" dxfId="1495" priority="114" operator="equal">
      <formula>"3-001-2214"</formula>
    </cfRule>
    <cfRule type="cellIs" dxfId="1494" priority="115" operator="equal">
      <formula>"3-001-5204"</formula>
    </cfRule>
    <cfRule type="cellIs" dxfId="1493" priority="116" operator="equal">
      <formula>"3-001-0002"</formula>
    </cfRule>
  </conditionalFormatting>
  <conditionalFormatting sqref="AP147">
    <cfRule type="expression" dxfId="1492" priority="113">
      <formula>IF(J147=AP147,1,0)</formula>
    </cfRule>
  </conditionalFormatting>
  <conditionalFormatting sqref="D147">
    <cfRule type="cellIs" dxfId="1491" priority="110" operator="equal">
      <formula>"3-001-2214"</formula>
    </cfRule>
    <cfRule type="cellIs" dxfId="1490" priority="111" operator="equal">
      <formula>"3-001-5204"</formula>
    </cfRule>
    <cfRule type="cellIs" dxfId="1489" priority="112" operator="equal">
      <formula>"3-001-0002"</formula>
    </cfRule>
  </conditionalFormatting>
  <conditionalFormatting sqref="AP148">
    <cfRule type="expression" dxfId="1488" priority="109">
      <formula>IF(J148=AP148,1,0)</formula>
    </cfRule>
  </conditionalFormatting>
  <conditionalFormatting sqref="D148">
    <cfRule type="cellIs" dxfId="1487" priority="106" operator="equal">
      <formula>"3-001-2214"</formula>
    </cfRule>
    <cfRule type="cellIs" dxfId="1486" priority="107" operator="equal">
      <formula>"3-001-5204"</formula>
    </cfRule>
    <cfRule type="cellIs" dxfId="1485" priority="108" operator="equal">
      <formula>"3-001-0002"</formula>
    </cfRule>
  </conditionalFormatting>
  <conditionalFormatting sqref="AP150:AP152">
    <cfRule type="expression" dxfId="1484" priority="105">
      <formula>IF(J150=AP150,1,0)</formula>
    </cfRule>
  </conditionalFormatting>
  <conditionalFormatting sqref="D150:D152">
    <cfRule type="cellIs" dxfId="1483" priority="102" operator="equal">
      <formula>"3-001-2214"</formula>
    </cfRule>
    <cfRule type="cellIs" dxfId="1482" priority="103" operator="equal">
      <formula>"3-001-5204"</formula>
    </cfRule>
    <cfRule type="cellIs" dxfId="1481" priority="104" operator="equal">
      <formula>"3-001-0002"</formula>
    </cfRule>
  </conditionalFormatting>
  <conditionalFormatting sqref="AP149">
    <cfRule type="expression" dxfId="1480" priority="101">
      <formula>IF(J149=AP149,1,0)</formula>
    </cfRule>
  </conditionalFormatting>
  <conditionalFormatting sqref="D149">
    <cfRule type="cellIs" dxfId="1479" priority="98" operator="equal">
      <formula>"3-001-2214"</formula>
    </cfRule>
    <cfRule type="cellIs" dxfId="1478" priority="99" operator="equal">
      <formula>"3-001-5204"</formula>
    </cfRule>
    <cfRule type="cellIs" dxfId="1477" priority="100" operator="equal">
      <formula>"3-001-0002"</formula>
    </cfRule>
  </conditionalFormatting>
  <conditionalFormatting sqref="AP159">
    <cfRule type="expression" dxfId="1476" priority="93">
      <formula>IF(J159=AP159,1,0)</formula>
    </cfRule>
  </conditionalFormatting>
  <conditionalFormatting sqref="D159">
    <cfRule type="cellIs" dxfId="1475" priority="90" operator="equal">
      <formula>"3-001-2214"</formula>
    </cfRule>
    <cfRule type="cellIs" dxfId="1474" priority="91" operator="equal">
      <formula>"3-001-5204"</formula>
    </cfRule>
    <cfRule type="cellIs" dxfId="1473" priority="92" operator="equal">
      <formula>"3-001-0002"</formula>
    </cfRule>
  </conditionalFormatting>
  <conditionalFormatting sqref="AP156">
    <cfRule type="expression" dxfId="1472" priority="97">
      <formula>IF(J156=AP156,1,0)</formula>
    </cfRule>
  </conditionalFormatting>
  <conditionalFormatting sqref="D156">
    <cfRule type="cellIs" dxfId="1471" priority="94" operator="equal">
      <formula>"3-001-2214"</formula>
    </cfRule>
    <cfRule type="cellIs" dxfId="1470" priority="95" operator="equal">
      <formula>"3-001-5204"</formula>
    </cfRule>
    <cfRule type="cellIs" dxfId="1469" priority="96" operator="equal">
      <formula>"3-001-0002"</formula>
    </cfRule>
  </conditionalFormatting>
  <conditionalFormatting sqref="AP160">
    <cfRule type="expression" dxfId="1468" priority="89">
      <formula>IF(J160=AP160,1,0)</formula>
    </cfRule>
  </conditionalFormatting>
  <conditionalFormatting sqref="D160">
    <cfRule type="cellIs" dxfId="1467" priority="86" operator="equal">
      <formula>"3-001-2214"</formula>
    </cfRule>
    <cfRule type="cellIs" dxfId="1466" priority="87" operator="equal">
      <formula>"3-001-5204"</formula>
    </cfRule>
    <cfRule type="cellIs" dxfId="1465" priority="88" operator="equal">
      <formula>"3-001-0002"</formula>
    </cfRule>
  </conditionalFormatting>
  <conditionalFormatting sqref="AP52">
    <cfRule type="expression" dxfId="1464" priority="85">
      <formula>IF(J52=AP52,1,0)</formula>
    </cfRule>
  </conditionalFormatting>
  <conditionalFormatting sqref="D52">
    <cfRule type="cellIs" dxfId="1463" priority="82" operator="equal">
      <formula>"3-001-2214"</formula>
    </cfRule>
    <cfRule type="cellIs" dxfId="1462" priority="83" operator="equal">
      <formula>"3-001-5204"</formula>
    </cfRule>
    <cfRule type="cellIs" dxfId="1461" priority="84" operator="equal">
      <formula>"3-001-0002"</formula>
    </cfRule>
  </conditionalFormatting>
  <conditionalFormatting sqref="D144">
    <cfRule type="cellIs" dxfId="1460" priority="70" operator="equal">
      <formula>"3-001-2214"</formula>
    </cfRule>
    <cfRule type="cellIs" dxfId="1459" priority="71" operator="equal">
      <formula>"3-001-5204"</formula>
    </cfRule>
    <cfRule type="cellIs" dxfId="1458" priority="72" operator="equal">
      <formula>"3-001-0002"</formula>
    </cfRule>
  </conditionalFormatting>
  <conditionalFormatting sqref="AP141">
    <cfRule type="expression" dxfId="1457" priority="81">
      <formula>IF(J141=AP141,1,0)</formula>
    </cfRule>
  </conditionalFormatting>
  <conditionalFormatting sqref="D141">
    <cfRule type="cellIs" dxfId="1456" priority="78" operator="equal">
      <formula>"3-001-2214"</formula>
    </cfRule>
    <cfRule type="cellIs" dxfId="1455" priority="79" operator="equal">
      <formula>"3-001-5204"</formula>
    </cfRule>
    <cfRule type="cellIs" dxfId="1454" priority="80" operator="equal">
      <formula>"3-001-0002"</formula>
    </cfRule>
  </conditionalFormatting>
  <conditionalFormatting sqref="AP146">
    <cfRule type="expression" dxfId="1453" priority="77">
      <formula>IF(J146=AP146,1,0)</formula>
    </cfRule>
  </conditionalFormatting>
  <conditionalFormatting sqref="D146">
    <cfRule type="cellIs" dxfId="1452" priority="74" operator="equal">
      <formula>"3-001-2214"</formula>
    </cfRule>
    <cfRule type="cellIs" dxfId="1451" priority="75" operator="equal">
      <formula>"3-001-5204"</formula>
    </cfRule>
    <cfRule type="cellIs" dxfId="1450" priority="76" operator="equal">
      <formula>"3-001-0002"</formula>
    </cfRule>
  </conditionalFormatting>
  <conditionalFormatting sqref="AP144">
    <cfRule type="expression" dxfId="1449" priority="73">
      <formula>IF(J144=AP144,1,0)</formula>
    </cfRule>
  </conditionalFormatting>
  <conditionalFormatting sqref="D145">
    <cfRule type="cellIs" dxfId="1448" priority="66" operator="equal">
      <formula>"3-001-2214"</formula>
    </cfRule>
    <cfRule type="cellIs" dxfId="1447" priority="67" operator="equal">
      <formula>"3-001-5204"</formula>
    </cfRule>
    <cfRule type="cellIs" dxfId="1446" priority="68" operator="equal">
      <formula>"3-001-0002"</formula>
    </cfRule>
  </conditionalFormatting>
  <conditionalFormatting sqref="AP145">
    <cfRule type="expression" dxfId="1445" priority="69">
      <formula>IF(J145=AP145,1,0)</formula>
    </cfRule>
  </conditionalFormatting>
  <conditionalFormatting sqref="AP134">
    <cfRule type="expression" dxfId="1444" priority="65">
      <formula>IF(J134=AP134,1,0)</formula>
    </cfRule>
  </conditionalFormatting>
  <conditionalFormatting sqref="D134">
    <cfRule type="cellIs" dxfId="1443" priority="62" operator="equal">
      <formula>"3-001-2214"</formula>
    </cfRule>
    <cfRule type="cellIs" dxfId="1442" priority="63" operator="equal">
      <formula>"3-001-5204"</formula>
    </cfRule>
    <cfRule type="cellIs" dxfId="1441" priority="64" operator="equal">
      <formula>"3-001-0002"</formula>
    </cfRule>
  </conditionalFormatting>
  <conditionalFormatting sqref="AP192">
    <cfRule type="expression" dxfId="1440" priority="61">
      <formula>IF(J192=AP192,1,0)</formula>
    </cfRule>
  </conditionalFormatting>
  <conditionalFormatting sqref="AP157">
    <cfRule type="expression" dxfId="1439" priority="60">
      <formula>IF(J157=AP157,1,0)</formula>
    </cfRule>
  </conditionalFormatting>
  <conditionalFormatting sqref="D157">
    <cfRule type="cellIs" dxfId="1438" priority="57" operator="equal">
      <formula>"3-001-2214"</formula>
    </cfRule>
    <cfRule type="cellIs" dxfId="1437" priority="58" operator="equal">
      <formula>"3-001-5204"</formula>
    </cfRule>
    <cfRule type="cellIs" dxfId="1436" priority="59" operator="equal">
      <formula>"3-001-0002"</formula>
    </cfRule>
  </conditionalFormatting>
  <conditionalFormatting sqref="AP158">
    <cfRule type="expression" dxfId="1435" priority="56">
      <formula>IF(J158=AP158,1,0)</formula>
    </cfRule>
  </conditionalFormatting>
  <conditionalFormatting sqref="D158">
    <cfRule type="cellIs" dxfId="1434" priority="53" operator="equal">
      <formula>"3-001-2214"</formula>
    </cfRule>
    <cfRule type="cellIs" dxfId="1433" priority="54" operator="equal">
      <formula>"3-001-5204"</formula>
    </cfRule>
    <cfRule type="cellIs" dxfId="1432" priority="55" operator="equal">
      <formula>"3-001-0002"</formula>
    </cfRule>
  </conditionalFormatting>
  <conditionalFormatting sqref="AP37">
    <cfRule type="expression" dxfId="1431" priority="52">
      <formula>IF(J37=AP37,1,0)</formula>
    </cfRule>
  </conditionalFormatting>
  <conditionalFormatting sqref="D37">
    <cfRule type="cellIs" dxfId="1430" priority="49" operator="equal">
      <formula>"3-001-2214"</formula>
    </cfRule>
    <cfRule type="cellIs" dxfId="1429" priority="50" operator="equal">
      <formula>"3-001-5204"</formula>
    </cfRule>
    <cfRule type="cellIs" dxfId="1428" priority="51" operator="equal">
      <formula>"3-001-0002"</formula>
    </cfRule>
  </conditionalFormatting>
  <conditionalFormatting sqref="AP38">
    <cfRule type="expression" dxfId="1427" priority="48">
      <formula>IF(J38=AP38,1,0)</formula>
    </cfRule>
  </conditionalFormatting>
  <conditionalFormatting sqref="D38">
    <cfRule type="cellIs" dxfId="1426" priority="45" operator="equal">
      <formula>"3-001-2214"</formula>
    </cfRule>
    <cfRule type="cellIs" dxfId="1425" priority="46" operator="equal">
      <formula>"3-001-5204"</formula>
    </cfRule>
    <cfRule type="cellIs" dxfId="1424" priority="47" operator="equal">
      <formula>"3-001-0002"</formula>
    </cfRule>
  </conditionalFormatting>
  <conditionalFormatting sqref="D10">
    <cfRule type="cellIs" dxfId="1423" priority="42" operator="equal">
      <formula>"3-001-2214"</formula>
    </cfRule>
    <cfRule type="cellIs" dxfId="1422" priority="43" operator="equal">
      <formula>"3-001-5204"</formula>
    </cfRule>
    <cfRule type="cellIs" dxfId="1421" priority="44" operator="equal">
      <formula>"3-001-0002"</formula>
    </cfRule>
  </conditionalFormatting>
  <conditionalFormatting sqref="N193">
    <cfRule type="cellIs" dxfId="1420" priority="41" operator="notEqual">
      <formula>$J$191</formula>
    </cfRule>
  </conditionalFormatting>
  <conditionalFormatting sqref="P193">
    <cfRule type="cellIs" dxfId="1419" priority="40" operator="notEqual">
      <formula>$J$191</formula>
    </cfRule>
  </conditionalFormatting>
  <conditionalFormatting sqref="D51">
    <cfRule type="cellIs" dxfId="1418" priority="37" operator="equal">
      <formula>"3-001-2214"</formula>
    </cfRule>
    <cfRule type="cellIs" dxfId="1417" priority="38" operator="equal">
      <formula>"3-001-5204"</formula>
    </cfRule>
    <cfRule type="cellIs" dxfId="1416" priority="39" operator="equal">
      <formula>"3-001-0002"</formula>
    </cfRule>
  </conditionalFormatting>
  <conditionalFormatting sqref="D124">
    <cfRule type="cellIs" dxfId="1415" priority="33" operator="equal">
      <formula>"3-001-2214"</formula>
    </cfRule>
    <cfRule type="cellIs" dxfId="1414" priority="34" operator="equal">
      <formula>"3-001-5204"</formula>
    </cfRule>
    <cfRule type="cellIs" dxfId="1413" priority="35" operator="equal">
      <formula>"3-001-0002"</formula>
    </cfRule>
  </conditionalFormatting>
  <conditionalFormatting sqref="D125">
    <cfRule type="cellIs" dxfId="1412" priority="30" operator="equal">
      <formula>"3-001-2214"</formula>
    </cfRule>
    <cfRule type="cellIs" dxfId="1411" priority="31" operator="equal">
      <formula>"3-001-5204"</formula>
    </cfRule>
    <cfRule type="cellIs" dxfId="1410" priority="32" operator="equal">
      <formula>"3-001-0002"</formula>
    </cfRule>
  </conditionalFormatting>
  <conditionalFormatting sqref="D126">
    <cfRule type="cellIs" dxfId="1409" priority="27" operator="equal">
      <formula>"3-001-2214"</formula>
    </cfRule>
    <cfRule type="cellIs" dxfId="1408" priority="28" operator="equal">
      <formula>"3-001-5204"</formula>
    </cfRule>
    <cfRule type="cellIs" dxfId="1407" priority="29" operator="equal">
      <formula>"3-001-0002"</formula>
    </cfRule>
  </conditionalFormatting>
  <conditionalFormatting sqref="D127">
    <cfRule type="cellIs" dxfId="1406" priority="24" operator="equal">
      <formula>"3-001-2214"</formula>
    </cfRule>
    <cfRule type="cellIs" dxfId="1405" priority="25" operator="equal">
      <formula>"3-001-5204"</formula>
    </cfRule>
    <cfRule type="cellIs" dxfId="1404" priority="26" operator="equal">
      <formula>"3-001-0002"</formula>
    </cfRule>
  </conditionalFormatting>
  <conditionalFormatting sqref="D128">
    <cfRule type="cellIs" dxfId="1403" priority="21" operator="equal">
      <formula>"3-001-2214"</formula>
    </cfRule>
    <cfRule type="cellIs" dxfId="1402" priority="22" operator="equal">
      <formula>"3-001-5204"</formula>
    </cfRule>
    <cfRule type="cellIs" dxfId="1401" priority="23" operator="equal">
      <formula>"3-001-0002"</formula>
    </cfRule>
  </conditionalFormatting>
  <conditionalFormatting sqref="D129">
    <cfRule type="cellIs" dxfId="1400" priority="18" operator="equal">
      <formula>"3-001-2214"</formula>
    </cfRule>
    <cfRule type="cellIs" dxfId="1399" priority="19" operator="equal">
      <formula>"3-001-5204"</formula>
    </cfRule>
    <cfRule type="cellIs" dxfId="1398" priority="20" operator="equal">
      <formula>"3-001-0002"</formula>
    </cfRule>
  </conditionalFormatting>
  <conditionalFormatting sqref="AP162">
    <cfRule type="expression" dxfId="1397" priority="17">
      <formula>IF(J162=AP162,1,0)</formula>
    </cfRule>
  </conditionalFormatting>
  <conditionalFormatting sqref="D162">
    <cfRule type="cellIs" dxfId="1396" priority="14" operator="equal">
      <formula>"3-001-2214"</formula>
    </cfRule>
    <cfRule type="cellIs" dxfId="1395" priority="15" operator="equal">
      <formula>"3-001-5204"</formula>
    </cfRule>
    <cfRule type="cellIs" dxfId="1394" priority="16" operator="equal">
      <formula>"3-001-0002"</formula>
    </cfRule>
  </conditionalFormatting>
  <conditionalFormatting sqref="AP163">
    <cfRule type="expression" dxfId="1393" priority="13">
      <formula>IF(J163=AP163,1,0)</formula>
    </cfRule>
  </conditionalFormatting>
  <conditionalFormatting sqref="D163">
    <cfRule type="cellIs" dxfId="1392" priority="10" operator="equal">
      <formula>"3-001-2214"</formula>
    </cfRule>
    <cfRule type="cellIs" dxfId="1391" priority="11" operator="equal">
      <formula>"3-001-5204"</formula>
    </cfRule>
    <cfRule type="cellIs" dxfId="1390" priority="12" operator="equal">
      <formula>"3-001-0002"</formula>
    </cfRule>
  </conditionalFormatting>
  <conditionalFormatting sqref="D184">
    <cfRule type="cellIs" dxfId="1389" priority="6" operator="equal">
      <formula>"3-001-2214"</formula>
    </cfRule>
    <cfRule type="cellIs" dxfId="1388" priority="7" operator="equal">
      <formula>"3-001-5204"</formula>
    </cfRule>
    <cfRule type="cellIs" dxfId="1387" priority="8" operator="equal">
      <formula>"3-001-0002"</formula>
    </cfRule>
  </conditionalFormatting>
  <conditionalFormatting sqref="AP184">
    <cfRule type="expression" dxfId="1386" priority="9">
      <formula>IF(J184=AP184,1,0)</formula>
    </cfRule>
  </conditionalFormatting>
  <conditionalFormatting sqref="AP185">
    <cfRule type="expression" dxfId="1385" priority="5">
      <formula>IF(J185=AP185,1,0)</formula>
    </cfRule>
  </conditionalFormatting>
  <conditionalFormatting sqref="D185">
    <cfRule type="cellIs" dxfId="1384" priority="2" operator="equal">
      <formula>"3-001-2214"</formula>
    </cfRule>
    <cfRule type="cellIs" dxfId="1383" priority="3" operator="equal">
      <formula>"3-001-5204"</formula>
    </cfRule>
    <cfRule type="cellIs" dxfId="1382" priority="4" operator="equal">
      <formula>"3-001-0002"</formula>
    </cfRule>
  </conditionalFormatting>
  <conditionalFormatting sqref="U132">
    <cfRule type="cellIs" dxfId="1381" priority="1" operator="notEqual">
      <formula>$J$131</formula>
    </cfRule>
  </conditionalFormatting>
  <printOptions horizontalCentered="1"/>
  <pageMargins left="0" right="0" top="0" bottom="0" header="0.35433070866141736" footer="0.35433070866141736"/>
  <pageSetup paperSize="9" scale="19" fitToHeight="0" orientation="portrait" horizontalDpi="4294967295" verticalDpi="4294967295" r:id="rId1"/>
  <headerFooter alignWithMargins="0"/>
  <rowBreaks count="2" manualBreakCount="2">
    <brk id="130" min="3" max="68" man="1"/>
    <brk id="139" min="3" max="68" man="1"/>
  </rowBreaks>
  <legacyDrawing r:id="rId2"/>
  <extLst>
    <ext xmlns:x14="http://schemas.microsoft.com/office/spreadsheetml/2009/9/main" uri="{78C0D931-6437-407d-A8EE-F0AAD7539E65}">
      <x14:conditionalFormattings>
        <x14:conditionalFormatting xmlns:xm="http://schemas.microsoft.com/office/excel/2006/main">
          <x14:cfRule type="expression" priority="36" id="{B5DE55A6-4621-4276-9947-83CBF4A9B815}">
            <xm:f>IF('добавятся в 2021'!J119='добавятся в 2021'!AP119,1,0)</xm:f>
            <x14:dxf>
              <fill>
                <patternFill>
                  <bgColor rgb="FF00B050"/>
                </patternFill>
              </fill>
            </x14:dxf>
          </x14:cfRule>
          <xm:sqref>AP124:AP129</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66"/>
    <pageSetUpPr fitToPage="1"/>
  </sheetPr>
  <dimension ref="A1:R42"/>
  <sheetViews>
    <sheetView view="pageBreakPreview" topLeftCell="A10" zoomScale="55" zoomScaleNormal="75" zoomScaleSheetLayoutView="55" zoomScalePageLayoutView="85" workbookViewId="0">
      <selection activeCell="A28" sqref="A28:XFD28"/>
    </sheetView>
  </sheetViews>
  <sheetFormatPr defaultRowHeight="24" customHeight="1"/>
  <cols>
    <col min="1" max="1" width="19.28515625" customWidth="1"/>
    <col min="2" max="2" width="12.42578125" customWidth="1"/>
    <col min="3" max="3" width="34.85546875" customWidth="1"/>
    <col min="4" max="4" width="9.7109375" customWidth="1"/>
    <col min="5" max="5" width="13" customWidth="1"/>
    <col min="6" max="6" width="42" customWidth="1"/>
    <col min="7" max="7" width="21.5703125" customWidth="1"/>
    <col min="8" max="8" width="16.85546875" hidden="1" customWidth="1"/>
    <col min="9" max="10" width="21.5703125" customWidth="1"/>
    <col min="11" max="11" width="183.42578125" style="756" customWidth="1"/>
    <col min="12" max="12" width="10.5703125" bestFit="1" customWidth="1"/>
    <col min="14" max="14" width="12.28515625" bestFit="1" customWidth="1"/>
  </cols>
  <sheetData>
    <row r="1" spans="1:18" s="755" customFormat="1" ht="44.25" customHeight="1">
      <c r="A1" s="753" t="s">
        <v>475</v>
      </c>
      <c r="B1" s="977"/>
      <c r="C1" s="977"/>
      <c r="D1" s="977"/>
      <c r="E1" s="978"/>
      <c r="F1" s="978"/>
      <c r="G1" s="978"/>
      <c r="H1" s="978"/>
      <c r="I1" s="978"/>
      <c r="J1" s="978"/>
      <c r="K1" s="159"/>
    </row>
    <row r="2" spans="1:18" s="755" customFormat="1" ht="33" customHeight="1">
      <c r="A2" s="757" t="s">
        <v>781</v>
      </c>
      <c r="B2" s="977"/>
      <c r="C2" s="977"/>
      <c r="D2" s="977"/>
      <c r="E2" s="978"/>
      <c r="F2" s="978"/>
      <c r="G2" s="978"/>
      <c r="H2" s="978"/>
      <c r="I2" s="978"/>
      <c r="J2" s="978"/>
      <c r="K2" s="159"/>
    </row>
    <row r="3" spans="1:18" s="755" customFormat="1" ht="37.5" customHeight="1">
      <c r="A3" s="757" t="s">
        <v>782</v>
      </c>
      <c r="B3" s="977"/>
      <c r="C3" s="977"/>
      <c r="D3" s="977"/>
      <c r="E3" s="978"/>
      <c r="F3" s="978"/>
      <c r="G3" s="978"/>
      <c r="H3" s="978"/>
      <c r="I3" s="978"/>
      <c r="J3" s="978"/>
      <c r="K3" s="159"/>
    </row>
    <row r="4" spans="1:18" s="755" customFormat="1" ht="60.75" customHeight="1">
      <c r="A4" s="757" t="s">
        <v>106</v>
      </c>
      <c r="B4" s="977"/>
      <c r="C4" s="977"/>
      <c r="D4" s="977"/>
      <c r="E4" s="978"/>
      <c r="F4" s="978"/>
      <c r="G4" s="978"/>
      <c r="H4" s="978"/>
      <c r="I4" s="978"/>
      <c r="J4" s="978"/>
      <c r="K4" s="159"/>
    </row>
    <row r="5" spans="1:18" s="755" customFormat="1" ht="42" customHeight="1">
      <c r="A5" s="757" t="s">
        <v>437</v>
      </c>
      <c r="B5" s="977"/>
      <c r="C5" s="977"/>
      <c r="D5" s="977"/>
      <c r="E5" s="978"/>
      <c r="F5" s="978"/>
      <c r="G5" s="978"/>
      <c r="H5" s="978"/>
      <c r="I5" s="978"/>
      <c r="J5" s="978"/>
      <c r="K5" s="159"/>
    </row>
    <row r="6" spans="1:18" ht="24" customHeight="1">
      <c r="A6" s="979"/>
      <c r="B6" s="979"/>
      <c r="C6" s="979"/>
      <c r="D6" s="980"/>
      <c r="E6" s="980"/>
      <c r="F6" s="980"/>
      <c r="G6" s="980"/>
      <c r="H6" s="980"/>
      <c r="I6" s="980"/>
      <c r="J6" s="980"/>
      <c r="K6" s="159"/>
    </row>
    <row r="7" spans="1:18" ht="69" customHeight="1">
      <c r="A7" s="1510" t="s">
        <v>791</v>
      </c>
      <c r="B7" s="1510"/>
      <c r="C7" s="1510"/>
      <c r="D7" s="1510"/>
      <c r="E7" s="1510"/>
      <c r="F7" s="1510"/>
      <c r="G7" s="1510"/>
      <c r="H7" s="1510"/>
      <c r="I7" s="1510"/>
      <c r="J7" s="1510"/>
      <c r="K7" s="1510"/>
    </row>
    <row r="8" spans="1:18" ht="24" customHeight="1">
      <c r="A8" s="980"/>
      <c r="B8" s="980"/>
      <c r="C8" s="980"/>
      <c r="D8" s="980"/>
      <c r="E8" s="980"/>
      <c r="F8" s="980"/>
      <c r="G8" s="980"/>
      <c r="H8" s="980"/>
      <c r="I8" s="980"/>
      <c r="J8" s="980"/>
      <c r="K8" s="159"/>
    </row>
    <row r="9" spans="1:18" s="989" customFormat="1" ht="51" customHeight="1">
      <c r="A9" s="1232" t="s">
        <v>1</v>
      </c>
      <c r="B9" s="1232" t="s">
        <v>2</v>
      </c>
      <c r="C9" s="1522" t="s">
        <v>80</v>
      </c>
      <c r="D9" s="1522"/>
      <c r="E9" s="1522"/>
      <c r="F9" s="1232" t="s">
        <v>81</v>
      </c>
      <c r="G9" s="1232" t="s">
        <v>82</v>
      </c>
      <c r="H9" s="1232"/>
      <c r="I9" s="1232" t="s">
        <v>83</v>
      </c>
      <c r="J9" s="1232" t="s">
        <v>84</v>
      </c>
      <c r="K9" s="1232" t="s">
        <v>85</v>
      </c>
      <c r="L9" s="990"/>
    </row>
    <row r="10" spans="1:18" s="758" customFormat="1" ht="21">
      <c r="A10" s="1523" t="s">
        <v>86</v>
      </c>
      <c r="B10" s="1523"/>
      <c r="C10" s="1523"/>
      <c r="D10" s="1523"/>
      <c r="E10" s="1523"/>
      <c r="F10" s="1523"/>
      <c r="G10" s="1523"/>
      <c r="H10" s="1523"/>
      <c r="I10" s="1523"/>
      <c r="J10" s="1523"/>
      <c r="K10" s="1523"/>
    </row>
    <row r="11" spans="1:18" s="758" customFormat="1" ht="23.25" customHeight="1">
      <c r="A11" s="1524" t="s">
        <v>914</v>
      </c>
      <c r="B11" s="1524"/>
      <c r="C11" s="1524"/>
      <c r="D11" s="1524"/>
      <c r="E11" s="1524"/>
      <c r="F11" s="1524"/>
      <c r="G11" s="1524"/>
      <c r="H11" s="1524"/>
      <c r="I11" s="1524"/>
      <c r="J11" s="1524"/>
      <c r="K11" s="1524"/>
    </row>
    <row r="12" spans="1:18" s="758" customFormat="1" ht="132.75" customHeight="1">
      <c r="A12" s="1235" t="s">
        <v>877</v>
      </c>
      <c r="B12" s="1235">
        <v>5</v>
      </c>
      <c r="C12" s="1528" t="s">
        <v>103</v>
      </c>
      <c r="D12" s="1529"/>
      <c r="E12" s="1530"/>
      <c r="F12" s="1233" t="s">
        <v>914</v>
      </c>
      <c r="G12" s="173">
        <v>0</v>
      </c>
      <c r="H12" s="173">
        <v>0</v>
      </c>
      <c r="I12" s="173">
        <v>1476439</v>
      </c>
      <c r="J12" s="173">
        <f>G12+I12</f>
        <v>1476439</v>
      </c>
      <c r="K12" s="1203" t="s">
        <v>909</v>
      </c>
    </row>
    <row r="13" spans="1:18" s="763" customFormat="1" ht="21">
      <c r="A13" s="1514" t="s">
        <v>104</v>
      </c>
      <c r="B13" s="1515"/>
      <c r="C13" s="1515"/>
      <c r="D13" s="1515"/>
      <c r="E13" s="1515"/>
      <c r="F13" s="1516"/>
      <c r="G13" s="198">
        <f>SUM(G12:G12)</f>
        <v>0</v>
      </c>
      <c r="H13" s="198">
        <f>SUM(H12:H12)</f>
        <v>0</v>
      </c>
      <c r="I13" s="198">
        <f>SUM(I12:I12)</f>
        <v>1476439</v>
      </c>
      <c r="J13" s="198">
        <f>SUM(J12:J12)</f>
        <v>1476439</v>
      </c>
      <c r="K13" s="762"/>
    </row>
    <row r="14" spans="1:18" s="758" customFormat="1" ht="27.75" customHeight="1">
      <c r="A14" s="1523" t="s">
        <v>87</v>
      </c>
      <c r="B14" s="1523"/>
      <c r="C14" s="1523"/>
      <c r="D14" s="1523"/>
      <c r="E14" s="1523"/>
      <c r="F14" s="1523"/>
      <c r="G14" s="1523"/>
      <c r="H14" s="1523"/>
      <c r="I14" s="1523"/>
      <c r="J14" s="1523"/>
      <c r="K14" s="1523"/>
    </row>
    <row r="15" spans="1:18" s="758" customFormat="1" ht="44.25" customHeight="1">
      <c r="A15" s="1232" t="s">
        <v>1</v>
      </c>
      <c r="B15" s="1232" t="s">
        <v>2</v>
      </c>
      <c r="C15" s="1232" t="s">
        <v>3</v>
      </c>
      <c r="D15" s="1232" t="s">
        <v>4</v>
      </c>
      <c r="E15" s="1232" t="s">
        <v>5</v>
      </c>
      <c r="F15" s="1232" t="s">
        <v>6</v>
      </c>
      <c r="G15" s="1232" t="s">
        <v>82</v>
      </c>
      <c r="H15" s="1232"/>
      <c r="I15" s="1232" t="s">
        <v>83</v>
      </c>
      <c r="J15" s="1232" t="s">
        <v>84</v>
      </c>
      <c r="K15" s="1232" t="s">
        <v>85</v>
      </c>
    </row>
    <row r="16" spans="1:18" s="989" customFormat="1" ht="24" customHeight="1">
      <c r="A16" s="1524" t="s">
        <v>908</v>
      </c>
      <c r="B16" s="1524"/>
      <c r="C16" s="1524"/>
      <c r="D16" s="1524"/>
      <c r="E16" s="1524"/>
      <c r="F16" s="1524"/>
      <c r="G16" s="1524"/>
      <c r="H16" s="1524"/>
      <c r="I16" s="1524"/>
      <c r="J16" s="1524"/>
      <c r="K16" s="1524"/>
      <c r="L16" s="990"/>
      <c r="M16" s="990"/>
      <c r="N16" s="990"/>
      <c r="O16" s="990"/>
      <c r="P16" s="990"/>
      <c r="Q16" s="990"/>
      <c r="R16" s="990"/>
    </row>
    <row r="17" spans="1:18" s="989" customFormat="1" ht="65.25" customHeight="1">
      <c r="A17" s="1235" t="s">
        <v>7</v>
      </c>
      <c r="B17" s="1232">
        <v>4</v>
      </c>
      <c r="C17" s="1235" t="s">
        <v>69</v>
      </c>
      <c r="D17" s="1235">
        <v>111</v>
      </c>
      <c r="E17" s="1235">
        <v>211</v>
      </c>
      <c r="F17" s="146" t="s">
        <v>8</v>
      </c>
      <c r="G17" s="764">
        <v>30605523</v>
      </c>
      <c r="H17" s="202"/>
      <c r="I17" s="202">
        <v>-477817.67</v>
      </c>
      <c r="J17" s="764">
        <f t="shared" ref="J17:J23" si="0">G17+I17</f>
        <v>30127705.329999998</v>
      </c>
      <c r="K17" s="1588" t="s">
        <v>920</v>
      </c>
    </row>
    <row r="18" spans="1:18" s="989" customFormat="1" ht="65.25" customHeight="1">
      <c r="A18" s="1235" t="s">
        <v>7</v>
      </c>
      <c r="B18" s="1232">
        <v>4</v>
      </c>
      <c r="C18" s="1235" t="s">
        <v>477</v>
      </c>
      <c r="D18" s="1235">
        <v>111</v>
      </c>
      <c r="E18" s="1235">
        <v>211</v>
      </c>
      <c r="F18" s="146" t="s">
        <v>915</v>
      </c>
      <c r="G18" s="764">
        <v>709772.9</v>
      </c>
      <c r="H18" s="202"/>
      <c r="I18" s="202">
        <v>463974.22</v>
      </c>
      <c r="J18" s="764">
        <f t="shared" si="0"/>
        <v>1173747.1200000001</v>
      </c>
      <c r="K18" s="1588"/>
    </row>
    <row r="19" spans="1:18" s="989" customFormat="1" ht="65.25" customHeight="1">
      <c r="A19" s="1235" t="s">
        <v>7</v>
      </c>
      <c r="B19" s="1232">
        <v>4</v>
      </c>
      <c r="C19" s="1235" t="s">
        <v>409</v>
      </c>
      <c r="D19" s="1235">
        <v>111</v>
      </c>
      <c r="E19" s="1235">
        <v>211</v>
      </c>
      <c r="F19" s="146" t="s">
        <v>916</v>
      </c>
      <c r="G19" s="764">
        <v>0</v>
      </c>
      <c r="H19" s="202"/>
      <c r="I19" s="202">
        <v>13843.45</v>
      </c>
      <c r="J19" s="764">
        <f t="shared" si="0"/>
        <v>13843.45</v>
      </c>
      <c r="K19" s="1588"/>
    </row>
    <row r="20" spans="1:18" s="989" customFormat="1" ht="65.25" customHeight="1">
      <c r="A20" s="1235" t="s">
        <v>7</v>
      </c>
      <c r="B20" s="1232">
        <v>4</v>
      </c>
      <c r="C20" s="1235" t="s">
        <v>69</v>
      </c>
      <c r="D20" s="1235">
        <v>119</v>
      </c>
      <c r="E20" s="1235">
        <v>213</v>
      </c>
      <c r="F20" s="146" t="s">
        <v>10</v>
      </c>
      <c r="G20" s="764">
        <v>8985929.9399999995</v>
      </c>
      <c r="H20" s="202"/>
      <c r="I20" s="202">
        <v>-593108.06000000006</v>
      </c>
      <c r="J20" s="764">
        <f t="shared" si="0"/>
        <v>8392821.8800000008</v>
      </c>
      <c r="K20" s="1588"/>
    </row>
    <row r="21" spans="1:18" s="989" customFormat="1" ht="65.25" customHeight="1">
      <c r="A21" s="1235" t="s">
        <v>7</v>
      </c>
      <c r="B21" s="1232">
        <v>4</v>
      </c>
      <c r="C21" s="1235" t="s">
        <v>477</v>
      </c>
      <c r="D21" s="1235">
        <v>119</v>
      </c>
      <c r="E21" s="1235">
        <v>213</v>
      </c>
      <c r="F21" s="146" t="s">
        <v>917</v>
      </c>
      <c r="G21" s="764">
        <v>116685.88</v>
      </c>
      <c r="H21" s="202"/>
      <c r="I21" s="202">
        <v>140120.21</v>
      </c>
      <c r="J21" s="764">
        <f t="shared" si="0"/>
        <v>256806.09</v>
      </c>
      <c r="K21" s="1588"/>
    </row>
    <row r="22" spans="1:18" s="989" customFormat="1" ht="65.25" customHeight="1">
      <c r="A22" s="1235" t="s">
        <v>7</v>
      </c>
      <c r="B22" s="1232">
        <v>4</v>
      </c>
      <c r="C22" s="1235" t="s">
        <v>409</v>
      </c>
      <c r="D22" s="1235">
        <v>119</v>
      </c>
      <c r="E22" s="1235">
        <v>213</v>
      </c>
      <c r="F22" s="146" t="s">
        <v>918</v>
      </c>
      <c r="G22" s="764">
        <v>0</v>
      </c>
      <c r="H22" s="202"/>
      <c r="I22" s="202">
        <v>4180.7299999999996</v>
      </c>
      <c r="J22" s="764">
        <f t="shared" si="0"/>
        <v>4180.7299999999996</v>
      </c>
      <c r="K22" s="1588"/>
    </row>
    <row r="23" spans="1:18" s="989" customFormat="1" ht="57.75" customHeight="1">
      <c r="A23" s="1235" t="s">
        <v>7</v>
      </c>
      <c r="B23" s="1232">
        <v>4</v>
      </c>
      <c r="C23" s="1235" t="s">
        <v>71</v>
      </c>
      <c r="D23" s="1235">
        <v>112</v>
      </c>
      <c r="E23" s="1235">
        <v>214</v>
      </c>
      <c r="F23" s="146" t="s">
        <v>35</v>
      </c>
      <c r="G23" s="764">
        <v>993266</v>
      </c>
      <c r="H23" s="202"/>
      <c r="I23" s="202">
        <v>448807.12</v>
      </c>
      <c r="J23" s="764">
        <f t="shared" si="0"/>
        <v>1442073.12</v>
      </c>
      <c r="K23" s="1234" t="s">
        <v>921</v>
      </c>
    </row>
    <row r="24" spans="1:18" s="763" customFormat="1" ht="21">
      <c r="A24" s="1511" t="s">
        <v>17</v>
      </c>
      <c r="B24" s="1512"/>
      <c r="C24" s="1512"/>
      <c r="D24" s="1512"/>
      <c r="E24" s="1512"/>
      <c r="F24" s="1513"/>
      <c r="G24" s="198">
        <f t="shared" ref="G24:H24" si="1">SUM(G17:G23)</f>
        <v>41411177.719999999</v>
      </c>
      <c r="H24" s="198">
        <f t="shared" si="1"/>
        <v>0</v>
      </c>
      <c r="I24" s="198">
        <f>SUM(I17:I23)</f>
        <v>0</v>
      </c>
      <c r="J24" s="198">
        <f>SUM(J17:J23)</f>
        <v>41411177.719999999</v>
      </c>
      <c r="K24" s="766"/>
    </row>
    <row r="25" spans="1:18" s="989" customFormat="1" ht="24" customHeight="1">
      <c r="A25" s="1524" t="s">
        <v>913</v>
      </c>
      <c r="B25" s="1524"/>
      <c r="C25" s="1524"/>
      <c r="D25" s="1524"/>
      <c r="E25" s="1524"/>
      <c r="F25" s="1524"/>
      <c r="G25" s="1524"/>
      <c r="H25" s="1524"/>
      <c r="I25" s="1524"/>
      <c r="J25" s="1524"/>
      <c r="K25" s="1524"/>
      <c r="L25" s="990"/>
      <c r="M25" s="990"/>
      <c r="N25" s="990"/>
      <c r="O25" s="990"/>
      <c r="P25" s="990"/>
      <c r="Q25" s="990"/>
      <c r="R25" s="990"/>
    </row>
    <row r="26" spans="1:18" s="989" customFormat="1" ht="90" customHeight="1">
      <c r="A26" s="1235" t="s">
        <v>877</v>
      </c>
      <c r="B26" s="1232">
        <v>5</v>
      </c>
      <c r="C26" s="1235" t="s">
        <v>136</v>
      </c>
      <c r="D26" s="1235">
        <v>244</v>
      </c>
      <c r="E26" s="1235">
        <v>310</v>
      </c>
      <c r="F26" s="146" t="s">
        <v>532</v>
      </c>
      <c r="G26" s="764">
        <v>0</v>
      </c>
      <c r="H26" s="202"/>
      <c r="I26" s="202">
        <v>1476439</v>
      </c>
      <c r="J26" s="764">
        <f>G26+I26</f>
        <v>1476439</v>
      </c>
      <c r="K26" s="1204" t="s">
        <v>910</v>
      </c>
    </row>
    <row r="27" spans="1:18" s="763" customFormat="1" ht="21">
      <c r="A27" s="1511" t="s">
        <v>17</v>
      </c>
      <c r="B27" s="1512"/>
      <c r="C27" s="1512"/>
      <c r="D27" s="1512"/>
      <c r="E27" s="1512"/>
      <c r="F27" s="1513"/>
      <c r="G27" s="198">
        <f>SUM(G26)</f>
        <v>0</v>
      </c>
      <c r="H27" s="198">
        <f t="shared" ref="H27:J27" si="2">SUM(H26)</f>
        <v>0</v>
      </c>
      <c r="I27" s="198">
        <f t="shared" si="2"/>
        <v>1476439</v>
      </c>
      <c r="J27" s="198">
        <f t="shared" si="2"/>
        <v>1476439</v>
      </c>
      <c r="K27" s="766"/>
    </row>
    <row r="28" spans="1:18" s="763" customFormat="1" ht="21">
      <c r="A28" s="1511" t="s">
        <v>24</v>
      </c>
      <c r="B28" s="1512"/>
      <c r="C28" s="1512"/>
      <c r="D28" s="1512"/>
      <c r="E28" s="1512"/>
      <c r="F28" s="1513"/>
      <c r="G28" s="198">
        <f>G24+G27</f>
        <v>41411177.719999999</v>
      </c>
      <c r="H28" s="198">
        <f t="shared" ref="H28:J28" si="3">H24+H27</f>
        <v>0</v>
      </c>
      <c r="I28" s="198">
        <f t="shared" si="3"/>
        <v>1476439</v>
      </c>
      <c r="J28" s="198">
        <f t="shared" si="3"/>
        <v>42887616.719999999</v>
      </c>
      <c r="K28" s="766"/>
    </row>
    <row r="29" spans="1:18" ht="29.25" customHeight="1">
      <c r="A29" s="980"/>
      <c r="B29" s="980"/>
      <c r="C29" s="980"/>
      <c r="D29" s="980"/>
      <c r="E29" s="982"/>
      <c r="F29" s="982"/>
      <c r="G29" s="982"/>
      <c r="H29" s="980"/>
      <c r="I29" s="980"/>
      <c r="J29" s="980"/>
      <c r="K29" s="983"/>
    </row>
    <row r="30" spans="1:18" s="768" customFormat="1" ht="40.5" customHeight="1">
      <c r="A30" s="768" t="s">
        <v>88</v>
      </c>
      <c r="F30" s="769"/>
      <c r="J30" s="768" t="s">
        <v>89</v>
      </c>
      <c r="K30" s="1172"/>
      <c r="L30" s="134"/>
      <c r="M30" s="134"/>
      <c r="N30" s="134"/>
      <c r="O30" s="134"/>
      <c r="P30" s="134"/>
    </row>
    <row r="31" spans="1:18" ht="20.25">
      <c r="A31" s="980"/>
      <c r="B31" s="980"/>
      <c r="C31" s="980"/>
      <c r="D31" s="980"/>
      <c r="E31" s="980"/>
      <c r="F31" s="980"/>
      <c r="G31" s="980"/>
      <c r="H31" s="980"/>
      <c r="I31" s="980"/>
      <c r="J31" s="980"/>
      <c r="K31" s="983"/>
    </row>
    <row r="32" spans="1:18" ht="24" hidden="1" customHeight="1">
      <c r="A32" s="980"/>
      <c r="B32" s="980"/>
      <c r="C32" s="980"/>
      <c r="D32" s="980"/>
      <c r="E32" s="980"/>
      <c r="F32" s="980"/>
      <c r="G32" s="980"/>
      <c r="H32" s="980"/>
      <c r="I32" s="980"/>
      <c r="J32" s="980"/>
      <c r="K32" s="983"/>
    </row>
    <row r="33" spans="1:16" ht="25.5" hidden="1" customHeight="1">
      <c r="A33" s="980"/>
      <c r="B33" s="980"/>
      <c r="C33" s="980"/>
      <c r="D33" s="980"/>
      <c r="E33" s="980"/>
      <c r="F33" s="980"/>
      <c r="G33" s="980"/>
      <c r="H33" s="980"/>
      <c r="I33" s="980"/>
      <c r="J33" s="980"/>
      <c r="K33" s="983"/>
    </row>
    <row r="34" spans="1:16" ht="24" hidden="1" customHeight="1">
      <c r="A34" s="980"/>
      <c r="B34" s="980"/>
      <c r="C34" s="980"/>
      <c r="D34" s="980"/>
      <c r="E34" s="980"/>
      <c r="F34" s="980"/>
      <c r="G34" s="980"/>
      <c r="H34" s="980"/>
      <c r="I34" s="980"/>
      <c r="J34" s="980"/>
      <c r="K34" s="983"/>
    </row>
    <row r="35" spans="1:16" ht="105" customHeight="1">
      <c r="A35" s="980"/>
      <c r="B35" s="980"/>
      <c r="C35" s="980"/>
      <c r="D35" s="980"/>
      <c r="E35" s="980"/>
      <c r="F35" s="980"/>
      <c r="G35" s="980"/>
      <c r="H35" s="980"/>
      <c r="I35" s="980"/>
      <c r="J35" s="980"/>
      <c r="K35" s="983"/>
    </row>
    <row r="36" spans="1:16" s="758" customFormat="1" ht="21">
      <c r="A36" s="983" t="s">
        <v>90</v>
      </c>
      <c r="B36" s="983"/>
      <c r="C36" s="983"/>
      <c r="D36" s="983"/>
      <c r="E36" s="983"/>
      <c r="F36" s="983"/>
      <c r="G36" s="983"/>
      <c r="H36" s="983"/>
      <c r="I36" s="983"/>
      <c r="J36" s="983"/>
      <c r="K36" s="983"/>
      <c r="L36"/>
      <c r="M36"/>
      <c r="N36"/>
      <c r="O36"/>
      <c r="P36"/>
    </row>
    <row r="37" spans="1:16" s="758" customFormat="1" ht="21">
      <c r="A37" s="983" t="s">
        <v>433</v>
      </c>
      <c r="B37" s="983"/>
      <c r="C37" s="983"/>
      <c r="D37" s="983"/>
      <c r="E37" s="983"/>
      <c r="F37" s="983"/>
      <c r="G37" s="983"/>
      <c r="H37" s="983"/>
      <c r="I37" s="983"/>
      <c r="J37" s="983"/>
      <c r="K37" s="983"/>
      <c r="L37"/>
      <c r="M37"/>
      <c r="N37"/>
      <c r="O37"/>
      <c r="P37"/>
    </row>
    <row r="38" spans="1:16" s="758" customFormat="1" ht="21">
      <c r="A38" s="983" t="s">
        <v>27</v>
      </c>
      <c r="B38" s="983"/>
      <c r="C38" s="983"/>
      <c r="D38" s="983"/>
      <c r="E38" s="983"/>
      <c r="F38" s="983"/>
      <c r="G38" s="983"/>
      <c r="H38" s="983"/>
      <c r="I38" s="983"/>
      <c r="J38" s="983"/>
      <c r="K38" s="983"/>
      <c r="L38"/>
      <c r="M38"/>
      <c r="N38"/>
      <c r="O38"/>
      <c r="P38"/>
    </row>
    <row r="39" spans="1:16" ht="24" customHeight="1">
      <c r="K39" s="983"/>
    </row>
    <row r="40" spans="1:16" ht="24" customHeight="1">
      <c r="K40" s="983"/>
    </row>
    <row r="41" spans="1:16" ht="24" customHeight="1">
      <c r="K41" s="983"/>
    </row>
    <row r="42" spans="1:16" ht="24" customHeight="1">
      <c r="K42" s="983"/>
    </row>
  </sheetData>
  <mergeCells count="13">
    <mergeCell ref="A13:F13"/>
    <mergeCell ref="A7:K7"/>
    <mergeCell ref="C9:E9"/>
    <mergeCell ref="A10:K10"/>
    <mergeCell ref="A11:K11"/>
    <mergeCell ref="C12:E12"/>
    <mergeCell ref="A28:F28"/>
    <mergeCell ref="A14:K14"/>
    <mergeCell ref="A16:K16"/>
    <mergeCell ref="K17:K22"/>
    <mergeCell ref="A24:F24"/>
    <mergeCell ref="A25:K25"/>
    <mergeCell ref="A27:F27"/>
  </mergeCells>
  <printOptions horizontalCentered="1"/>
  <pageMargins left="0.39370078740157483" right="0.39370078740157483" top="0.39370078740157483" bottom="0.19685039370078741" header="0.31496062992125984" footer="0.31496062992125984"/>
  <pageSetup paperSize="9" scale="36" orientation="landscape"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FF00"/>
    <outlinePr summaryBelow="0" summaryRight="0"/>
    <pageSetUpPr fitToPage="1"/>
  </sheetPr>
  <dimension ref="A1:BV659"/>
  <sheetViews>
    <sheetView view="pageBreakPreview" topLeftCell="C27" zoomScale="85" zoomScaleNormal="85" zoomScaleSheetLayoutView="85" workbookViewId="0">
      <selection activeCell="K28" sqref="K28"/>
    </sheetView>
  </sheetViews>
  <sheetFormatPr defaultRowHeight="15" outlineLevelRow="2" outlineLevelCol="2"/>
  <cols>
    <col min="1" max="1" width="9.140625" style="833" customWidth="1"/>
    <col min="2" max="2" width="11" style="933" customWidth="1"/>
    <col min="3" max="3" width="5.140625" style="834" customWidth="1"/>
    <col min="4" max="4" width="6.7109375" style="835" customWidth="1"/>
    <col min="5" max="5" width="3.140625" style="833" customWidth="1"/>
    <col min="6" max="6" width="8.7109375" style="2" customWidth="1"/>
    <col min="7" max="7" width="7.42578125" style="2" customWidth="1"/>
    <col min="8" max="8" width="17.85546875" style="2" customWidth="1"/>
    <col min="9" max="9" width="6.5703125" style="2" customWidth="1"/>
    <col min="10" max="10" width="8.28515625" style="2" customWidth="1"/>
    <col min="11" max="11" width="45.140625" style="2" customWidth="1"/>
    <col min="12" max="12" width="16.5703125" style="1011" customWidth="1"/>
    <col min="13" max="13" width="13.140625" style="88" customWidth="1" outlineLevel="1"/>
    <col min="14" max="14" width="15.28515625" style="88" customWidth="1" outlineLevel="1"/>
    <col min="15" max="15" width="16.28515625" style="88" customWidth="1" outlineLevel="1" collapsed="1"/>
    <col min="16" max="16" width="16.42578125" style="326" hidden="1" customWidth="1" outlineLevel="2"/>
    <col min="17" max="17" width="17.5703125" style="88" customWidth="1" outlineLevel="1"/>
    <col min="18" max="18" width="15.85546875" style="326" customWidth="1" outlineLevel="2"/>
    <col min="19" max="19" width="17.5703125" style="88" customWidth="1" outlineLevel="1"/>
    <col min="20" max="20" width="13.7109375" style="326" customWidth="1" outlineLevel="2"/>
    <col min="21" max="21" width="2.85546875" style="324" customWidth="1"/>
    <col min="22" max="22" width="16.5703125" style="2" customWidth="1" outlineLevel="1"/>
    <col min="23" max="23" width="11.85546875" style="2" customWidth="1" outlineLevel="1"/>
    <col min="24" max="24" width="11.5703125" style="2" customWidth="1" outlineLevel="1"/>
    <col min="25" max="25" width="2.85546875" style="2" customWidth="1" collapsed="1"/>
    <col min="26" max="28" width="15.28515625" style="88" hidden="1" customWidth="1" outlineLevel="2"/>
    <col min="29" max="29" width="16.140625" style="88" hidden="1" customWidth="1" outlineLevel="2"/>
    <col min="30" max="30" width="15.28515625" style="88" hidden="1" customWidth="1" outlineLevel="2"/>
    <col min="31" max="31" width="15.85546875" style="88" hidden="1" customWidth="1" outlineLevel="2"/>
    <col min="32" max="37" width="15.28515625" style="88" hidden="1" customWidth="1" outlineLevel="2"/>
    <col min="38" max="38" width="2.85546875" style="274" customWidth="1"/>
    <col min="39" max="39" width="15.85546875" style="88" customWidth="1" outlineLevel="2"/>
    <col min="40" max="40" width="15.28515625" style="88" customWidth="1" outlineLevel="2"/>
    <col min="41" max="42" width="15.85546875" style="88" customWidth="1" outlineLevel="2"/>
    <col min="43" max="43" width="15.28515625" style="88" customWidth="1" outlineLevel="2"/>
    <col min="44" max="44" width="16" style="88" customWidth="1" outlineLevel="2"/>
    <col min="45" max="45" width="16.42578125" style="88" customWidth="1" collapsed="1"/>
    <col min="46" max="46" width="16.28515625" style="88" hidden="1" customWidth="1" outlineLevel="1"/>
    <col min="47" max="47" width="16" style="88" hidden="1" customWidth="1" outlineLevel="1"/>
    <col min="48" max="48" width="15.28515625" style="1246" customWidth="1"/>
    <col min="49" max="49" width="15.28515625" style="88" customWidth="1"/>
    <col min="50" max="50" width="15.28515625" style="1102" customWidth="1"/>
    <col min="51" max="51" width="15.28515625" style="88" customWidth="1"/>
    <col min="52" max="52" width="15.28515625" style="1102" customWidth="1"/>
    <col min="53" max="53" width="16" style="88" customWidth="1"/>
    <col min="54" max="54" width="15.28515625" style="1102" customWidth="1"/>
    <col min="55" max="58" width="15.28515625" style="88" customWidth="1"/>
    <col min="59" max="59" width="16.140625" style="88" customWidth="1"/>
    <col min="60" max="70" width="15.28515625" style="88" customWidth="1"/>
    <col min="71" max="71" width="15.85546875" style="88" customWidth="1"/>
    <col min="72" max="72" width="15.28515625" style="88" hidden="1" customWidth="1"/>
    <col min="73" max="73" width="18.28515625" style="2" customWidth="1"/>
    <col min="74" max="87" width="15.85546875" style="2" customWidth="1"/>
    <col min="88" max="247" width="9.140625" style="2"/>
    <col min="248" max="248" width="16.28515625" style="2" customWidth="1"/>
    <col min="249" max="249" width="9.5703125" style="2" customWidth="1"/>
    <col min="250" max="250" width="25.85546875" style="2" customWidth="1"/>
    <col min="251" max="251" width="10.7109375" style="2" customWidth="1"/>
    <col min="252" max="252" width="40.42578125" style="2" customWidth="1"/>
    <col min="253" max="253" width="30.5703125" style="2" customWidth="1"/>
    <col min="254" max="254" width="16.42578125" style="2" customWidth="1"/>
    <col min="255" max="255" width="13" style="2" bestFit="1" customWidth="1"/>
    <col min="256" max="503" width="9.140625" style="2"/>
    <col min="504" max="504" width="16.28515625" style="2" customWidth="1"/>
    <col min="505" max="505" width="9.5703125" style="2" customWidth="1"/>
    <col min="506" max="506" width="25.85546875" style="2" customWidth="1"/>
    <col min="507" max="507" width="10.7109375" style="2" customWidth="1"/>
    <col min="508" max="508" width="40.42578125" style="2" customWidth="1"/>
    <col min="509" max="509" width="30.5703125" style="2" customWidth="1"/>
    <col min="510" max="510" width="16.42578125" style="2" customWidth="1"/>
    <col min="511" max="511" width="13" style="2" bestFit="1" customWidth="1"/>
    <col min="512" max="759" width="9.140625" style="2"/>
    <col min="760" max="760" width="16.28515625" style="2" customWidth="1"/>
    <col min="761" max="761" width="9.5703125" style="2" customWidth="1"/>
    <col min="762" max="762" width="25.85546875" style="2" customWidth="1"/>
    <col min="763" max="763" width="10.7109375" style="2" customWidth="1"/>
    <col min="764" max="764" width="40.42578125" style="2" customWidth="1"/>
    <col min="765" max="765" width="30.5703125" style="2" customWidth="1"/>
    <col min="766" max="766" width="16.42578125" style="2" customWidth="1"/>
    <col min="767" max="767" width="13" style="2" bestFit="1" customWidth="1"/>
    <col min="768" max="1015" width="9.140625" style="2"/>
    <col min="1016" max="1016" width="16.28515625" style="2" customWidth="1"/>
    <col min="1017" max="1017" width="9.5703125" style="2" customWidth="1"/>
    <col min="1018" max="1018" width="25.85546875" style="2" customWidth="1"/>
    <col min="1019" max="1019" width="10.7109375" style="2" customWidth="1"/>
    <col min="1020" max="1020" width="40.42578125" style="2" customWidth="1"/>
    <col min="1021" max="1021" width="30.5703125" style="2" customWidth="1"/>
    <col min="1022" max="1022" width="16.42578125" style="2" customWidth="1"/>
    <col min="1023" max="1023" width="13" style="2" bestFit="1" customWidth="1"/>
    <col min="1024" max="1271" width="9.140625" style="2"/>
    <col min="1272" max="1272" width="16.28515625" style="2" customWidth="1"/>
    <col min="1273" max="1273" width="9.5703125" style="2" customWidth="1"/>
    <col min="1274" max="1274" width="25.85546875" style="2" customWidth="1"/>
    <col min="1275" max="1275" width="10.7109375" style="2" customWidth="1"/>
    <col min="1276" max="1276" width="40.42578125" style="2" customWidth="1"/>
    <col min="1277" max="1277" width="30.5703125" style="2" customWidth="1"/>
    <col min="1278" max="1278" width="16.42578125" style="2" customWidth="1"/>
    <col min="1279" max="1279" width="13" style="2" bestFit="1" customWidth="1"/>
    <col min="1280" max="1527" width="9.140625" style="2"/>
    <col min="1528" max="1528" width="16.28515625" style="2" customWidth="1"/>
    <col min="1529" max="1529" width="9.5703125" style="2" customWidth="1"/>
    <col min="1530" max="1530" width="25.85546875" style="2" customWidth="1"/>
    <col min="1531" max="1531" width="10.7109375" style="2" customWidth="1"/>
    <col min="1532" max="1532" width="40.42578125" style="2" customWidth="1"/>
    <col min="1533" max="1533" width="30.5703125" style="2" customWidth="1"/>
    <col min="1534" max="1534" width="16.42578125" style="2" customWidth="1"/>
    <col min="1535" max="1535" width="13" style="2" bestFit="1" customWidth="1"/>
    <col min="1536" max="1783" width="9.140625" style="2"/>
    <col min="1784" max="1784" width="16.28515625" style="2" customWidth="1"/>
    <col min="1785" max="1785" width="9.5703125" style="2" customWidth="1"/>
    <col min="1786" max="1786" width="25.85546875" style="2" customWidth="1"/>
    <col min="1787" max="1787" width="10.7109375" style="2" customWidth="1"/>
    <col min="1788" max="1788" width="40.42578125" style="2" customWidth="1"/>
    <col min="1789" max="1789" width="30.5703125" style="2" customWidth="1"/>
    <col min="1790" max="1790" width="16.42578125" style="2" customWidth="1"/>
    <col min="1791" max="1791" width="13" style="2" bestFit="1" customWidth="1"/>
    <col min="1792" max="2039" width="9.140625" style="2"/>
    <col min="2040" max="2040" width="16.28515625" style="2" customWidth="1"/>
    <col min="2041" max="2041" width="9.5703125" style="2" customWidth="1"/>
    <col min="2042" max="2042" width="25.85546875" style="2" customWidth="1"/>
    <col min="2043" max="2043" width="10.7109375" style="2" customWidth="1"/>
    <col min="2044" max="2044" width="40.42578125" style="2" customWidth="1"/>
    <col min="2045" max="2045" width="30.5703125" style="2" customWidth="1"/>
    <col min="2046" max="2046" width="16.42578125" style="2" customWidth="1"/>
    <col min="2047" max="2047" width="13" style="2" bestFit="1" customWidth="1"/>
    <col min="2048" max="2295" width="9.140625" style="2"/>
    <col min="2296" max="2296" width="16.28515625" style="2" customWidth="1"/>
    <col min="2297" max="2297" width="9.5703125" style="2" customWidth="1"/>
    <col min="2298" max="2298" width="25.85546875" style="2" customWidth="1"/>
    <col min="2299" max="2299" width="10.7109375" style="2" customWidth="1"/>
    <col min="2300" max="2300" width="40.42578125" style="2" customWidth="1"/>
    <col min="2301" max="2301" width="30.5703125" style="2" customWidth="1"/>
    <col min="2302" max="2302" width="16.42578125" style="2" customWidth="1"/>
    <col min="2303" max="2303" width="13" style="2" bestFit="1" customWidth="1"/>
    <col min="2304" max="2551" width="9.140625" style="2"/>
    <col min="2552" max="2552" width="16.28515625" style="2" customWidth="1"/>
    <col min="2553" max="2553" width="9.5703125" style="2" customWidth="1"/>
    <col min="2554" max="2554" width="25.85546875" style="2" customWidth="1"/>
    <col min="2555" max="2555" width="10.7109375" style="2" customWidth="1"/>
    <col min="2556" max="2556" width="40.42578125" style="2" customWidth="1"/>
    <col min="2557" max="2557" width="30.5703125" style="2" customWidth="1"/>
    <col min="2558" max="2558" width="16.42578125" style="2" customWidth="1"/>
    <col min="2559" max="2559" width="13" style="2" bestFit="1" customWidth="1"/>
    <col min="2560" max="2807" width="9.140625" style="2"/>
    <col min="2808" max="2808" width="16.28515625" style="2" customWidth="1"/>
    <col min="2809" max="2809" width="9.5703125" style="2" customWidth="1"/>
    <col min="2810" max="2810" width="25.85546875" style="2" customWidth="1"/>
    <col min="2811" max="2811" width="10.7109375" style="2" customWidth="1"/>
    <col min="2812" max="2812" width="40.42578125" style="2" customWidth="1"/>
    <col min="2813" max="2813" width="30.5703125" style="2" customWidth="1"/>
    <col min="2814" max="2814" width="16.42578125" style="2" customWidth="1"/>
    <col min="2815" max="2815" width="13" style="2" bestFit="1" customWidth="1"/>
    <col min="2816" max="3063" width="9.140625" style="2"/>
    <col min="3064" max="3064" width="16.28515625" style="2" customWidth="1"/>
    <col min="3065" max="3065" width="9.5703125" style="2" customWidth="1"/>
    <col min="3066" max="3066" width="25.85546875" style="2" customWidth="1"/>
    <col min="3067" max="3067" width="10.7109375" style="2" customWidth="1"/>
    <col min="3068" max="3068" width="40.42578125" style="2" customWidth="1"/>
    <col min="3069" max="3069" width="30.5703125" style="2" customWidth="1"/>
    <col min="3070" max="3070" width="16.42578125" style="2" customWidth="1"/>
    <col min="3071" max="3071" width="13" style="2" bestFit="1" customWidth="1"/>
    <col min="3072" max="3319" width="9.140625" style="2"/>
    <col min="3320" max="3320" width="16.28515625" style="2" customWidth="1"/>
    <col min="3321" max="3321" width="9.5703125" style="2" customWidth="1"/>
    <col min="3322" max="3322" width="25.85546875" style="2" customWidth="1"/>
    <col min="3323" max="3323" width="10.7109375" style="2" customWidth="1"/>
    <col min="3324" max="3324" width="40.42578125" style="2" customWidth="1"/>
    <col min="3325" max="3325" width="30.5703125" style="2" customWidth="1"/>
    <col min="3326" max="3326" width="16.42578125" style="2" customWidth="1"/>
    <col min="3327" max="3327" width="13" style="2" bestFit="1" customWidth="1"/>
    <col min="3328" max="3575" width="9.140625" style="2"/>
    <col min="3576" max="3576" width="16.28515625" style="2" customWidth="1"/>
    <col min="3577" max="3577" width="9.5703125" style="2" customWidth="1"/>
    <col min="3578" max="3578" width="25.85546875" style="2" customWidth="1"/>
    <col min="3579" max="3579" width="10.7109375" style="2" customWidth="1"/>
    <col min="3580" max="3580" width="40.42578125" style="2" customWidth="1"/>
    <col min="3581" max="3581" width="30.5703125" style="2" customWidth="1"/>
    <col min="3582" max="3582" width="16.42578125" style="2" customWidth="1"/>
    <col min="3583" max="3583" width="13" style="2" bestFit="1" customWidth="1"/>
    <col min="3584" max="3831" width="9.140625" style="2"/>
    <col min="3832" max="3832" width="16.28515625" style="2" customWidth="1"/>
    <col min="3833" max="3833" width="9.5703125" style="2" customWidth="1"/>
    <col min="3834" max="3834" width="25.85546875" style="2" customWidth="1"/>
    <col min="3835" max="3835" width="10.7109375" style="2" customWidth="1"/>
    <col min="3836" max="3836" width="40.42578125" style="2" customWidth="1"/>
    <col min="3837" max="3837" width="30.5703125" style="2" customWidth="1"/>
    <col min="3838" max="3838" width="16.42578125" style="2" customWidth="1"/>
    <col min="3839" max="3839" width="13" style="2" bestFit="1" customWidth="1"/>
    <col min="3840" max="4087" width="9.140625" style="2"/>
    <col min="4088" max="4088" width="16.28515625" style="2" customWidth="1"/>
    <col min="4089" max="4089" width="9.5703125" style="2" customWidth="1"/>
    <col min="4090" max="4090" width="25.85546875" style="2" customWidth="1"/>
    <col min="4091" max="4091" width="10.7109375" style="2" customWidth="1"/>
    <col min="4092" max="4092" width="40.42578125" style="2" customWidth="1"/>
    <col min="4093" max="4093" width="30.5703125" style="2" customWidth="1"/>
    <col min="4094" max="4094" width="16.42578125" style="2" customWidth="1"/>
    <col min="4095" max="4095" width="13" style="2" bestFit="1" customWidth="1"/>
    <col min="4096" max="4343" width="9.140625" style="2"/>
    <col min="4344" max="4344" width="16.28515625" style="2" customWidth="1"/>
    <col min="4345" max="4345" width="9.5703125" style="2" customWidth="1"/>
    <col min="4346" max="4346" width="25.85546875" style="2" customWidth="1"/>
    <col min="4347" max="4347" width="10.7109375" style="2" customWidth="1"/>
    <col min="4348" max="4348" width="40.42578125" style="2" customWidth="1"/>
    <col min="4349" max="4349" width="30.5703125" style="2" customWidth="1"/>
    <col min="4350" max="4350" width="16.42578125" style="2" customWidth="1"/>
    <col min="4351" max="4351" width="13" style="2" bestFit="1" customWidth="1"/>
    <col min="4352" max="4599" width="9.140625" style="2"/>
    <col min="4600" max="4600" width="16.28515625" style="2" customWidth="1"/>
    <col min="4601" max="4601" width="9.5703125" style="2" customWidth="1"/>
    <col min="4602" max="4602" width="25.85546875" style="2" customWidth="1"/>
    <col min="4603" max="4603" width="10.7109375" style="2" customWidth="1"/>
    <col min="4604" max="4604" width="40.42578125" style="2" customWidth="1"/>
    <col min="4605" max="4605" width="30.5703125" style="2" customWidth="1"/>
    <col min="4606" max="4606" width="16.42578125" style="2" customWidth="1"/>
    <col min="4607" max="4607" width="13" style="2" bestFit="1" customWidth="1"/>
    <col min="4608" max="4855" width="9.140625" style="2"/>
    <col min="4856" max="4856" width="16.28515625" style="2" customWidth="1"/>
    <col min="4857" max="4857" width="9.5703125" style="2" customWidth="1"/>
    <col min="4858" max="4858" width="25.85546875" style="2" customWidth="1"/>
    <col min="4859" max="4859" width="10.7109375" style="2" customWidth="1"/>
    <col min="4860" max="4860" width="40.42578125" style="2" customWidth="1"/>
    <col min="4861" max="4861" width="30.5703125" style="2" customWidth="1"/>
    <col min="4862" max="4862" width="16.42578125" style="2" customWidth="1"/>
    <col min="4863" max="4863" width="13" style="2" bestFit="1" customWidth="1"/>
    <col min="4864" max="5111" width="9.140625" style="2"/>
    <col min="5112" max="5112" width="16.28515625" style="2" customWidth="1"/>
    <col min="5113" max="5113" width="9.5703125" style="2" customWidth="1"/>
    <col min="5114" max="5114" width="25.85546875" style="2" customWidth="1"/>
    <col min="5115" max="5115" width="10.7109375" style="2" customWidth="1"/>
    <col min="5116" max="5116" width="40.42578125" style="2" customWidth="1"/>
    <col min="5117" max="5117" width="30.5703125" style="2" customWidth="1"/>
    <col min="5118" max="5118" width="16.42578125" style="2" customWidth="1"/>
    <col min="5119" max="5119" width="13" style="2" bestFit="1" customWidth="1"/>
    <col min="5120" max="5367" width="9.140625" style="2"/>
    <col min="5368" max="5368" width="16.28515625" style="2" customWidth="1"/>
    <col min="5369" max="5369" width="9.5703125" style="2" customWidth="1"/>
    <col min="5370" max="5370" width="25.85546875" style="2" customWidth="1"/>
    <col min="5371" max="5371" width="10.7109375" style="2" customWidth="1"/>
    <col min="5372" max="5372" width="40.42578125" style="2" customWidth="1"/>
    <col min="5373" max="5373" width="30.5703125" style="2" customWidth="1"/>
    <col min="5374" max="5374" width="16.42578125" style="2" customWidth="1"/>
    <col min="5375" max="5375" width="13" style="2" bestFit="1" customWidth="1"/>
    <col min="5376" max="5623" width="9.140625" style="2"/>
    <col min="5624" max="5624" width="16.28515625" style="2" customWidth="1"/>
    <col min="5625" max="5625" width="9.5703125" style="2" customWidth="1"/>
    <col min="5626" max="5626" width="25.85546875" style="2" customWidth="1"/>
    <col min="5627" max="5627" width="10.7109375" style="2" customWidth="1"/>
    <col min="5628" max="5628" width="40.42578125" style="2" customWidth="1"/>
    <col min="5629" max="5629" width="30.5703125" style="2" customWidth="1"/>
    <col min="5630" max="5630" width="16.42578125" style="2" customWidth="1"/>
    <col min="5631" max="5631" width="13" style="2" bestFit="1" customWidth="1"/>
    <col min="5632" max="5879" width="9.140625" style="2"/>
    <col min="5880" max="5880" width="16.28515625" style="2" customWidth="1"/>
    <col min="5881" max="5881" width="9.5703125" style="2" customWidth="1"/>
    <col min="5882" max="5882" width="25.85546875" style="2" customWidth="1"/>
    <col min="5883" max="5883" width="10.7109375" style="2" customWidth="1"/>
    <col min="5884" max="5884" width="40.42578125" style="2" customWidth="1"/>
    <col min="5885" max="5885" width="30.5703125" style="2" customWidth="1"/>
    <col min="5886" max="5886" width="16.42578125" style="2" customWidth="1"/>
    <col min="5887" max="5887" width="13" style="2" bestFit="1" customWidth="1"/>
    <col min="5888" max="6135" width="9.140625" style="2"/>
    <col min="6136" max="6136" width="16.28515625" style="2" customWidth="1"/>
    <col min="6137" max="6137" width="9.5703125" style="2" customWidth="1"/>
    <col min="6138" max="6138" width="25.85546875" style="2" customWidth="1"/>
    <col min="6139" max="6139" width="10.7109375" style="2" customWidth="1"/>
    <col min="6140" max="6140" width="40.42578125" style="2" customWidth="1"/>
    <col min="6141" max="6141" width="30.5703125" style="2" customWidth="1"/>
    <col min="6142" max="6142" width="16.42578125" style="2" customWidth="1"/>
    <col min="6143" max="6143" width="13" style="2" bestFit="1" customWidth="1"/>
    <col min="6144" max="6391" width="9.140625" style="2"/>
    <col min="6392" max="6392" width="16.28515625" style="2" customWidth="1"/>
    <col min="6393" max="6393" width="9.5703125" style="2" customWidth="1"/>
    <col min="6394" max="6394" width="25.85546875" style="2" customWidth="1"/>
    <col min="6395" max="6395" width="10.7109375" style="2" customWidth="1"/>
    <col min="6396" max="6396" width="40.42578125" style="2" customWidth="1"/>
    <col min="6397" max="6397" width="30.5703125" style="2" customWidth="1"/>
    <col min="6398" max="6398" width="16.42578125" style="2" customWidth="1"/>
    <col min="6399" max="6399" width="13" style="2" bestFit="1" customWidth="1"/>
    <col min="6400" max="6647" width="9.140625" style="2"/>
    <col min="6648" max="6648" width="16.28515625" style="2" customWidth="1"/>
    <col min="6649" max="6649" width="9.5703125" style="2" customWidth="1"/>
    <col min="6650" max="6650" width="25.85546875" style="2" customWidth="1"/>
    <col min="6651" max="6651" width="10.7109375" style="2" customWidth="1"/>
    <col min="6652" max="6652" width="40.42578125" style="2" customWidth="1"/>
    <col min="6653" max="6653" width="30.5703125" style="2" customWidth="1"/>
    <col min="6654" max="6654" width="16.42578125" style="2" customWidth="1"/>
    <col min="6655" max="6655" width="13" style="2" bestFit="1" customWidth="1"/>
    <col min="6656" max="6903" width="9.140625" style="2"/>
    <col min="6904" max="6904" width="16.28515625" style="2" customWidth="1"/>
    <col min="6905" max="6905" width="9.5703125" style="2" customWidth="1"/>
    <col min="6906" max="6906" width="25.85546875" style="2" customWidth="1"/>
    <col min="6907" max="6907" width="10.7109375" style="2" customWidth="1"/>
    <col min="6908" max="6908" width="40.42578125" style="2" customWidth="1"/>
    <col min="6909" max="6909" width="30.5703125" style="2" customWidth="1"/>
    <col min="6910" max="6910" width="16.42578125" style="2" customWidth="1"/>
    <col min="6911" max="6911" width="13" style="2" bestFit="1" customWidth="1"/>
    <col min="6912" max="7159" width="9.140625" style="2"/>
    <col min="7160" max="7160" width="16.28515625" style="2" customWidth="1"/>
    <col min="7161" max="7161" width="9.5703125" style="2" customWidth="1"/>
    <col min="7162" max="7162" width="25.85546875" style="2" customWidth="1"/>
    <col min="7163" max="7163" width="10.7109375" style="2" customWidth="1"/>
    <col min="7164" max="7164" width="40.42578125" style="2" customWidth="1"/>
    <col min="7165" max="7165" width="30.5703125" style="2" customWidth="1"/>
    <col min="7166" max="7166" width="16.42578125" style="2" customWidth="1"/>
    <col min="7167" max="7167" width="13" style="2" bestFit="1" customWidth="1"/>
    <col min="7168" max="7415" width="9.140625" style="2"/>
    <col min="7416" max="7416" width="16.28515625" style="2" customWidth="1"/>
    <col min="7417" max="7417" width="9.5703125" style="2" customWidth="1"/>
    <col min="7418" max="7418" width="25.85546875" style="2" customWidth="1"/>
    <col min="7419" max="7419" width="10.7109375" style="2" customWidth="1"/>
    <col min="7420" max="7420" width="40.42578125" style="2" customWidth="1"/>
    <col min="7421" max="7421" width="30.5703125" style="2" customWidth="1"/>
    <col min="7422" max="7422" width="16.42578125" style="2" customWidth="1"/>
    <col min="7423" max="7423" width="13" style="2" bestFit="1" customWidth="1"/>
    <col min="7424" max="7671" width="9.140625" style="2"/>
    <col min="7672" max="7672" width="16.28515625" style="2" customWidth="1"/>
    <col min="7673" max="7673" width="9.5703125" style="2" customWidth="1"/>
    <col min="7674" max="7674" width="25.85546875" style="2" customWidth="1"/>
    <col min="7675" max="7675" width="10.7109375" style="2" customWidth="1"/>
    <col min="7676" max="7676" width="40.42578125" style="2" customWidth="1"/>
    <col min="7677" max="7677" width="30.5703125" style="2" customWidth="1"/>
    <col min="7678" max="7678" width="16.42578125" style="2" customWidth="1"/>
    <col min="7679" max="7679" width="13" style="2" bestFit="1" customWidth="1"/>
    <col min="7680" max="7927" width="9.140625" style="2"/>
    <col min="7928" max="7928" width="16.28515625" style="2" customWidth="1"/>
    <col min="7929" max="7929" width="9.5703125" style="2" customWidth="1"/>
    <col min="7930" max="7930" width="25.85546875" style="2" customWidth="1"/>
    <col min="7931" max="7931" width="10.7109375" style="2" customWidth="1"/>
    <col min="7932" max="7932" width="40.42578125" style="2" customWidth="1"/>
    <col min="7933" max="7933" width="30.5703125" style="2" customWidth="1"/>
    <col min="7934" max="7934" width="16.42578125" style="2" customWidth="1"/>
    <col min="7935" max="7935" width="13" style="2" bestFit="1" customWidth="1"/>
    <col min="7936" max="8183" width="9.140625" style="2"/>
    <col min="8184" max="8184" width="16.28515625" style="2" customWidth="1"/>
    <col min="8185" max="8185" width="9.5703125" style="2" customWidth="1"/>
    <col min="8186" max="8186" width="25.85546875" style="2" customWidth="1"/>
    <col min="8187" max="8187" width="10.7109375" style="2" customWidth="1"/>
    <col min="8188" max="8188" width="40.42578125" style="2" customWidth="1"/>
    <col min="8189" max="8189" width="30.5703125" style="2" customWidth="1"/>
    <col min="8190" max="8190" width="16.42578125" style="2" customWidth="1"/>
    <col min="8191" max="8191" width="13" style="2" bestFit="1" customWidth="1"/>
    <col min="8192" max="8439" width="9.140625" style="2"/>
    <col min="8440" max="8440" width="16.28515625" style="2" customWidth="1"/>
    <col min="8441" max="8441" width="9.5703125" style="2" customWidth="1"/>
    <col min="8442" max="8442" width="25.85546875" style="2" customWidth="1"/>
    <col min="8443" max="8443" width="10.7109375" style="2" customWidth="1"/>
    <col min="8444" max="8444" width="40.42578125" style="2" customWidth="1"/>
    <col min="8445" max="8445" width="30.5703125" style="2" customWidth="1"/>
    <col min="8446" max="8446" width="16.42578125" style="2" customWidth="1"/>
    <col min="8447" max="8447" width="13" style="2" bestFit="1" customWidth="1"/>
    <col min="8448" max="8695" width="9.140625" style="2"/>
    <col min="8696" max="8696" width="16.28515625" style="2" customWidth="1"/>
    <col min="8697" max="8697" width="9.5703125" style="2" customWidth="1"/>
    <col min="8698" max="8698" width="25.85546875" style="2" customWidth="1"/>
    <col min="8699" max="8699" width="10.7109375" style="2" customWidth="1"/>
    <col min="8700" max="8700" width="40.42578125" style="2" customWidth="1"/>
    <col min="8701" max="8701" width="30.5703125" style="2" customWidth="1"/>
    <col min="8702" max="8702" width="16.42578125" style="2" customWidth="1"/>
    <col min="8703" max="8703" width="13" style="2" bestFit="1" customWidth="1"/>
    <col min="8704" max="8951" width="9.140625" style="2"/>
    <col min="8952" max="8952" width="16.28515625" style="2" customWidth="1"/>
    <col min="8953" max="8953" width="9.5703125" style="2" customWidth="1"/>
    <col min="8954" max="8954" width="25.85546875" style="2" customWidth="1"/>
    <col min="8955" max="8955" width="10.7109375" style="2" customWidth="1"/>
    <col min="8956" max="8956" width="40.42578125" style="2" customWidth="1"/>
    <col min="8957" max="8957" width="30.5703125" style="2" customWidth="1"/>
    <col min="8958" max="8958" width="16.42578125" style="2" customWidth="1"/>
    <col min="8959" max="8959" width="13" style="2" bestFit="1" customWidth="1"/>
    <col min="8960" max="9207" width="9.140625" style="2"/>
    <col min="9208" max="9208" width="16.28515625" style="2" customWidth="1"/>
    <col min="9209" max="9209" width="9.5703125" style="2" customWidth="1"/>
    <col min="9210" max="9210" width="25.85546875" style="2" customWidth="1"/>
    <col min="9211" max="9211" width="10.7109375" style="2" customWidth="1"/>
    <col min="9212" max="9212" width="40.42578125" style="2" customWidth="1"/>
    <col min="9213" max="9213" width="30.5703125" style="2" customWidth="1"/>
    <col min="9214" max="9214" width="16.42578125" style="2" customWidth="1"/>
    <col min="9215" max="9215" width="13" style="2" bestFit="1" customWidth="1"/>
    <col min="9216" max="9463" width="9.140625" style="2"/>
    <col min="9464" max="9464" width="16.28515625" style="2" customWidth="1"/>
    <col min="9465" max="9465" width="9.5703125" style="2" customWidth="1"/>
    <col min="9466" max="9466" width="25.85546875" style="2" customWidth="1"/>
    <col min="9467" max="9467" width="10.7109375" style="2" customWidth="1"/>
    <col min="9468" max="9468" width="40.42578125" style="2" customWidth="1"/>
    <col min="9469" max="9469" width="30.5703125" style="2" customWidth="1"/>
    <col min="9470" max="9470" width="16.42578125" style="2" customWidth="1"/>
    <col min="9471" max="9471" width="13" style="2" bestFit="1" customWidth="1"/>
    <col min="9472" max="9719" width="9.140625" style="2"/>
    <col min="9720" max="9720" width="16.28515625" style="2" customWidth="1"/>
    <col min="9721" max="9721" width="9.5703125" style="2" customWidth="1"/>
    <col min="9722" max="9722" width="25.85546875" style="2" customWidth="1"/>
    <col min="9723" max="9723" width="10.7109375" style="2" customWidth="1"/>
    <col min="9724" max="9724" width="40.42578125" style="2" customWidth="1"/>
    <col min="9725" max="9725" width="30.5703125" style="2" customWidth="1"/>
    <col min="9726" max="9726" width="16.42578125" style="2" customWidth="1"/>
    <col min="9727" max="9727" width="13" style="2" bestFit="1" customWidth="1"/>
    <col min="9728" max="9975" width="9.140625" style="2"/>
    <col min="9976" max="9976" width="16.28515625" style="2" customWidth="1"/>
    <col min="9977" max="9977" width="9.5703125" style="2" customWidth="1"/>
    <col min="9978" max="9978" width="25.85546875" style="2" customWidth="1"/>
    <col min="9979" max="9979" width="10.7109375" style="2" customWidth="1"/>
    <col min="9980" max="9980" width="40.42578125" style="2" customWidth="1"/>
    <col min="9981" max="9981" width="30.5703125" style="2" customWidth="1"/>
    <col min="9982" max="9982" width="16.42578125" style="2" customWidth="1"/>
    <col min="9983" max="9983" width="13" style="2" bestFit="1" customWidth="1"/>
    <col min="9984" max="10231" width="9.140625" style="2"/>
    <col min="10232" max="10232" width="16.28515625" style="2" customWidth="1"/>
    <col min="10233" max="10233" width="9.5703125" style="2" customWidth="1"/>
    <col min="10234" max="10234" width="25.85546875" style="2" customWidth="1"/>
    <col min="10235" max="10235" width="10.7109375" style="2" customWidth="1"/>
    <col min="10236" max="10236" width="40.42578125" style="2" customWidth="1"/>
    <col min="10237" max="10237" width="30.5703125" style="2" customWidth="1"/>
    <col min="10238" max="10238" width="16.42578125" style="2" customWidth="1"/>
    <col min="10239" max="10239" width="13" style="2" bestFit="1" customWidth="1"/>
    <col min="10240" max="10487" width="9.140625" style="2"/>
    <col min="10488" max="10488" width="16.28515625" style="2" customWidth="1"/>
    <col min="10489" max="10489" width="9.5703125" style="2" customWidth="1"/>
    <col min="10490" max="10490" width="25.85546875" style="2" customWidth="1"/>
    <col min="10491" max="10491" width="10.7109375" style="2" customWidth="1"/>
    <col min="10492" max="10492" width="40.42578125" style="2" customWidth="1"/>
    <col min="10493" max="10493" width="30.5703125" style="2" customWidth="1"/>
    <col min="10494" max="10494" width="16.42578125" style="2" customWidth="1"/>
    <col min="10495" max="10495" width="13" style="2" bestFit="1" customWidth="1"/>
    <col min="10496" max="10743" width="9.140625" style="2"/>
    <col min="10744" max="10744" width="16.28515625" style="2" customWidth="1"/>
    <col min="10745" max="10745" width="9.5703125" style="2" customWidth="1"/>
    <col min="10746" max="10746" width="25.85546875" style="2" customWidth="1"/>
    <col min="10747" max="10747" width="10.7109375" style="2" customWidth="1"/>
    <col min="10748" max="10748" width="40.42578125" style="2" customWidth="1"/>
    <col min="10749" max="10749" width="30.5703125" style="2" customWidth="1"/>
    <col min="10750" max="10750" width="16.42578125" style="2" customWidth="1"/>
    <col min="10751" max="10751" width="13" style="2" bestFit="1" customWidth="1"/>
    <col min="10752" max="10999" width="9.140625" style="2"/>
    <col min="11000" max="11000" width="16.28515625" style="2" customWidth="1"/>
    <col min="11001" max="11001" width="9.5703125" style="2" customWidth="1"/>
    <col min="11002" max="11002" width="25.85546875" style="2" customWidth="1"/>
    <col min="11003" max="11003" width="10.7109375" style="2" customWidth="1"/>
    <col min="11004" max="11004" width="40.42578125" style="2" customWidth="1"/>
    <col min="11005" max="11005" width="30.5703125" style="2" customWidth="1"/>
    <col min="11006" max="11006" width="16.42578125" style="2" customWidth="1"/>
    <col min="11007" max="11007" width="13" style="2" bestFit="1" customWidth="1"/>
    <col min="11008" max="11255" width="9.140625" style="2"/>
    <col min="11256" max="11256" width="16.28515625" style="2" customWidth="1"/>
    <col min="11257" max="11257" width="9.5703125" style="2" customWidth="1"/>
    <col min="11258" max="11258" width="25.85546875" style="2" customWidth="1"/>
    <col min="11259" max="11259" width="10.7109375" style="2" customWidth="1"/>
    <col min="11260" max="11260" width="40.42578125" style="2" customWidth="1"/>
    <col min="11261" max="11261" width="30.5703125" style="2" customWidth="1"/>
    <col min="11262" max="11262" width="16.42578125" style="2" customWidth="1"/>
    <col min="11263" max="11263" width="13" style="2" bestFit="1" customWidth="1"/>
    <col min="11264" max="11511" width="9.140625" style="2"/>
    <col min="11512" max="11512" width="16.28515625" style="2" customWidth="1"/>
    <col min="11513" max="11513" width="9.5703125" style="2" customWidth="1"/>
    <col min="11514" max="11514" width="25.85546875" style="2" customWidth="1"/>
    <col min="11515" max="11515" width="10.7109375" style="2" customWidth="1"/>
    <col min="11516" max="11516" width="40.42578125" style="2" customWidth="1"/>
    <col min="11517" max="11517" width="30.5703125" style="2" customWidth="1"/>
    <col min="11518" max="11518" width="16.42578125" style="2" customWidth="1"/>
    <col min="11519" max="11519" width="13" style="2" bestFit="1" customWidth="1"/>
    <col min="11520" max="11767" width="9.140625" style="2"/>
    <col min="11768" max="11768" width="16.28515625" style="2" customWidth="1"/>
    <col min="11769" max="11769" width="9.5703125" style="2" customWidth="1"/>
    <col min="11770" max="11770" width="25.85546875" style="2" customWidth="1"/>
    <col min="11771" max="11771" width="10.7109375" style="2" customWidth="1"/>
    <col min="11772" max="11772" width="40.42578125" style="2" customWidth="1"/>
    <col min="11773" max="11773" width="30.5703125" style="2" customWidth="1"/>
    <col min="11774" max="11774" width="16.42578125" style="2" customWidth="1"/>
    <col min="11775" max="11775" width="13" style="2" bestFit="1" customWidth="1"/>
    <col min="11776" max="12023" width="9.140625" style="2"/>
    <col min="12024" max="12024" width="16.28515625" style="2" customWidth="1"/>
    <col min="12025" max="12025" width="9.5703125" style="2" customWidth="1"/>
    <col min="12026" max="12026" width="25.85546875" style="2" customWidth="1"/>
    <col min="12027" max="12027" width="10.7109375" style="2" customWidth="1"/>
    <col min="12028" max="12028" width="40.42578125" style="2" customWidth="1"/>
    <col min="12029" max="12029" width="30.5703125" style="2" customWidth="1"/>
    <col min="12030" max="12030" width="16.42578125" style="2" customWidth="1"/>
    <col min="12031" max="12031" width="13" style="2" bestFit="1" customWidth="1"/>
    <col min="12032" max="12279" width="9.140625" style="2"/>
    <col min="12280" max="12280" width="16.28515625" style="2" customWidth="1"/>
    <col min="12281" max="12281" width="9.5703125" style="2" customWidth="1"/>
    <col min="12282" max="12282" width="25.85546875" style="2" customWidth="1"/>
    <col min="12283" max="12283" width="10.7109375" style="2" customWidth="1"/>
    <col min="12284" max="12284" width="40.42578125" style="2" customWidth="1"/>
    <col min="12285" max="12285" width="30.5703125" style="2" customWidth="1"/>
    <col min="12286" max="12286" width="16.42578125" style="2" customWidth="1"/>
    <col min="12287" max="12287" width="13" style="2" bestFit="1" customWidth="1"/>
    <col min="12288" max="12535" width="9.140625" style="2"/>
    <col min="12536" max="12536" width="16.28515625" style="2" customWidth="1"/>
    <col min="12537" max="12537" width="9.5703125" style="2" customWidth="1"/>
    <col min="12538" max="12538" width="25.85546875" style="2" customWidth="1"/>
    <col min="12539" max="12539" width="10.7109375" style="2" customWidth="1"/>
    <col min="12540" max="12540" width="40.42578125" style="2" customWidth="1"/>
    <col min="12541" max="12541" width="30.5703125" style="2" customWidth="1"/>
    <col min="12542" max="12542" width="16.42578125" style="2" customWidth="1"/>
    <col min="12543" max="12543" width="13" style="2" bestFit="1" customWidth="1"/>
    <col min="12544" max="12791" width="9.140625" style="2"/>
    <col min="12792" max="12792" width="16.28515625" style="2" customWidth="1"/>
    <col min="12793" max="12793" width="9.5703125" style="2" customWidth="1"/>
    <col min="12794" max="12794" width="25.85546875" style="2" customWidth="1"/>
    <col min="12795" max="12795" width="10.7109375" style="2" customWidth="1"/>
    <col min="12796" max="12796" width="40.42578125" style="2" customWidth="1"/>
    <col min="12797" max="12797" width="30.5703125" style="2" customWidth="1"/>
    <col min="12798" max="12798" width="16.42578125" style="2" customWidth="1"/>
    <col min="12799" max="12799" width="13" style="2" bestFit="1" customWidth="1"/>
    <col min="12800" max="13047" width="9.140625" style="2"/>
    <col min="13048" max="13048" width="16.28515625" style="2" customWidth="1"/>
    <col min="13049" max="13049" width="9.5703125" style="2" customWidth="1"/>
    <col min="13050" max="13050" width="25.85546875" style="2" customWidth="1"/>
    <col min="13051" max="13051" width="10.7109375" style="2" customWidth="1"/>
    <col min="13052" max="13052" width="40.42578125" style="2" customWidth="1"/>
    <col min="13053" max="13053" width="30.5703125" style="2" customWidth="1"/>
    <col min="13054" max="13054" width="16.42578125" style="2" customWidth="1"/>
    <col min="13055" max="13055" width="13" style="2" bestFit="1" customWidth="1"/>
    <col min="13056" max="13303" width="9.140625" style="2"/>
    <col min="13304" max="13304" width="16.28515625" style="2" customWidth="1"/>
    <col min="13305" max="13305" width="9.5703125" style="2" customWidth="1"/>
    <col min="13306" max="13306" width="25.85546875" style="2" customWidth="1"/>
    <col min="13307" max="13307" width="10.7109375" style="2" customWidth="1"/>
    <col min="13308" max="13308" width="40.42578125" style="2" customWidth="1"/>
    <col min="13309" max="13309" width="30.5703125" style="2" customWidth="1"/>
    <col min="13310" max="13310" width="16.42578125" style="2" customWidth="1"/>
    <col min="13311" max="13311" width="13" style="2" bestFit="1" customWidth="1"/>
    <col min="13312" max="13559" width="9.140625" style="2"/>
    <col min="13560" max="13560" width="16.28515625" style="2" customWidth="1"/>
    <col min="13561" max="13561" width="9.5703125" style="2" customWidth="1"/>
    <col min="13562" max="13562" width="25.85546875" style="2" customWidth="1"/>
    <col min="13563" max="13563" width="10.7109375" style="2" customWidth="1"/>
    <col min="13564" max="13564" width="40.42578125" style="2" customWidth="1"/>
    <col min="13565" max="13565" width="30.5703125" style="2" customWidth="1"/>
    <col min="13566" max="13566" width="16.42578125" style="2" customWidth="1"/>
    <col min="13567" max="13567" width="13" style="2" bestFit="1" customWidth="1"/>
    <col min="13568" max="13815" width="9.140625" style="2"/>
    <col min="13816" max="13816" width="16.28515625" style="2" customWidth="1"/>
    <col min="13817" max="13817" width="9.5703125" style="2" customWidth="1"/>
    <col min="13818" max="13818" width="25.85546875" style="2" customWidth="1"/>
    <col min="13819" max="13819" width="10.7109375" style="2" customWidth="1"/>
    <col min="13820" max="13820" width="40.42578125" style="2" customWidth="1"/>
    <col min="13821" max="13821" width="30.5703125" style="2" customWidth="1"/>
    <col min="13822" max="13822" width="16.42578125" style="2" customWidth="1"/>
    <col min="13823" max="13823" width="13" style="2" bestFit="1" customWidth="1"/>
    <col min="13824" max="14071" width="9.140625" style="2"/>
    <col min="14072" max="14072" width="16.28515625" style="2" customWidth="1"/>
    <col min="14073" max="14073" width="9.5703125" style="2" customWidth="1"/>
    <col min="14074" max="14074" width="25.85546875" style="2" customWidth="1"/>
    <col min="14075" max="14075" width="10.7109375" style="2" customWidth="1"/>
    <col min="14076" max="14076" width="40.42578125" style="2" customWidth="1"/>
    <col min="14077" max="14077" width="30.5703125" style="2" customWidth="1"/>
    <col min="14078" max="14078" width="16.42578125" style="2" customWidth="1"/>
    <col min="14079" max="14079" width="13" style="2" bestFit="1" customWidth="1"/>
    <col min="14080" max="14327" width="9.140625" style="2"/>
    <col min="14328" max="14328" width="16.28515625" style="2" customWidth="1"/>
    <col min="14329" max="14329" width="9.5703125" style="2" customWidth="1"/>
    <col min="14330" max="14330" width="25.85546875" style="2" customWidth="1"/>
    <col min="14331" max="14331" width="10.7109375" style="2" customWidth="1"/>
    <col min="14332" max="14332" width="40.42578125" style="2" customWidth="1"/>
    <col min="14333" max="14333" width="30.5703125" style="2" customWidth="1"/>
    <col min="14334" max="14334" width="16.42578125" style="2" customWidth="1"/>
    <col min="14335" max="14335" width="13" style="2" bestFit="1" customWidth="1"/>
    <col min="14336" max="14583" width="9.140625" style="2"/>
    <col min="14584" max="14584" width="16.28515625" style="2" customWidth="1"/>
    <col min="14585" max="14585" width="9.5703125" style="2" customWidth="1"/>
    <col min="14586" max="14586" width="25.85546875" style="2" customWidth="1"/>
    <col min="14587" max="14587" width="10.7109375" style="2" customWidth="1"/>
    <col min="14588" max="14588" width="40.42578125" style="2" customWidth="1"/>
    <col min="14589" max="14589" width="30.5703125" style="2" customWidth="1"/>
    <col min="14590" max="14590" width="16.42578125" style="2" customWidth="1"/>
    <col min="14591" max="14591" width="13" style="2" bestFit="1" customWidth="1"/>
    <col min="14592" max="14839" width="9.140625" style="2"/>
    <col min="14840" max="14840" width="16.28515625" style="2" customWidth="1"/>
    <col min="14841" max="14841" width="9.5703125" style="2" customWidth="1"/>
    <col min="14842" max="14842" width="25.85546875" style="2" customWidth="1"/>
    <col min="14843" max="14843" width="10.7109375" style="2" customWidth="1"/>
    <col min="14844" max="14844" width="40.42578125" style="2" customWidth="1"/>
    <col min="14845" max="14845" width="30.5703125" style="2" customWidth="1"/>
    <col min="14846" max="14846" width="16.42578125" style="2" customWidth="1"/>
    <col min="14847" max="14847" width="13" style="2" bestFit="1" customWidth="1"/>
    <col min="14848" max="15095" width="9.140625" style="2"/>
    <col min="15096" max="15096" width="16.28515625" style="2" customWidth="1"/>
    <col min="15097" max="15097" width="9.5703125" style="2" customWidth="1"/>
    <col min="15098" max="15098" width="25.85546875" style="2" customWidth="1"/>
    <col min="15099" max="15099" width="10.7109375" style="2" customWidth="1"/>
    <col min="15100" max="15100" width="40.42578125" style="2" customWidth="1"/>
    <col min="15101" max="15101" width="30.5703125" style="2" customWidth="1"/>
    <col min="15102" max="15102" width="16.42578125" style="2" customWidth="1"/>
    <col min="15103" max="15103" width="13" style="2" bestFit="1" customWidth="1"/>
    <col min="15104" max="15351" width="9.140625" style="2"/>
    <col min="15352" max="15352" width="16.28515625" style="2" customWidth="1"/>
    <col min="15353" max="15353" width="9.5703125" style="2" customWidth="1"/>
    <col min="15354" max="15354" width="25.85546875" style="2" customWidth="1"/>
    <col min="15355" max="15355" width="10.7109375" style="2" customWidth="1"/>
    <col min="15356" max="15356" width="40.42578125" style="2" customWidth="1"/>
    <col min="15357" max="15357" width="30.5703125" style="2" customWidth="1"/>
    <col min="15358" max="15358" width="16.42578125" style="2" customWidth="1"/>
    <col min="15359" max="15359" width="13" style="2" bestFit="1" customWidth="1"/>
    <col min="15360" max="15607" width="9.140625" style="2"/>
    <col min="15608" max="15608" width="16.28515625" style="2" customWidth="1"/>
    <col min="15609" max="15609" width="9.5703125" style="2" customWidth="1"/>
    <col min="15610" max="15610" width="25.85546875" style="2" customWidth="1"/>
    <col min="15611" max="15611" width="10.7109375" style="2" customWidth="1"/>
    <col min="15612" max="15612" width="40.42578125" style="2" customWidth="1"/>
    <col min="15613" max="15613" width="30.5703125" style="2" customWidth="1"/>
    <col min="15614" max="15614" width="16.42578125" style="2" customWidth="1"/>
    <col min="15615" max="15615" width="13" style="2" bestFit="1" customWidth="1"/>
    <col min="15616" max="15863" width="9.140625" style="2"/>
    <col min="15864" max="15864" width="16.28515625" style="2" customWidth="1"/>
    <col min="15865" max="15865" width="9.5703125" style="2" customWidth="1"/>
    <col min="15866" max="15866" width="25.85546875" style="2" customWidth="1"/>
    <col min="15867" max="15867" width="10.7109375" style="2" customWidth="1"/>
    <col min="15868" max="15868" width="40.42578125" style="2" customWidth="1"/>
    <col min="15869" max="15869" width="30.5703125" style="2" customWidth="1"/>
    <col min="15870" max="15870" width="16.42578125" style="2" customWidth="1"/>
    <col min="15871" max="15871" width="13" style="2" bestFit="1" customWidth="1"/>
    <col min="15872" max="16119" width="9.140625" style="2"/>
    <col min="16120" max="16120" width="16.28515625" style="2" customWidth="1"/>
    <col min="16121" max="16121" width="9.5703125" style="2" customWidth="1"/>
    <col min="16122" max="16122" width="25.85546875" style="2" customWidth="1"/>
    <col min="16123" max="16123" width="10.7109375" style="2" customWidth="1"/>
    <col min="16124" max="16124" width="40.42578125" style="2" customWidth="1"/>
    <col min="16125" max="16125" width="30.5703125" style="2" customWidth="1"/>
    <col min="16126" max="16126" width="16.42578125" style="2" customWidth="1"/>
    <col min="16127" max="16127" width="13" style="2" bestFit="1" customWidth="1"/>
    <col min="16128" max="16384" width="9.140625" style="2"/>
  </cols>
  <sheetData>
    <row r="1" spans="1:74" ht="15" hidden="1" customHeight="1">
      <c r="AV1" s="1242"/>
      <c r="AX1" s="88"/>
      <c r="AZ1" s="88"/>
      <c r="BB1" s="88"/>
    </row>
    <row r="2" spans="1:74" ht="15" hidden="1" customHeight="1">
      <c r="AV2" s="1242"/>
      <c r="AX2" s="88"/>
      <c r="AZ2" s="88"/>
      <c r="BB2" s="88"/>
    </row>
    <row r="3" spans="1:74" s="358" customFormat="1" ht="15.75">
      <c r="A3" s="836"/>
      <c r="B3" s="934"/>
      <c r="C3" s="837"/>
      <c r="D3" s="838"/>
      <c r="E3" s="836" t="s">
        <v>201</v>
      </c>
      <c r="F3" s="820"/>
      <c r="G3" s="360"/>
      <c r="H3" s="360"/>
      <c r="I3" s="360"/>
      <c r="J3" s="361"/>
      <c r="K3" s="362" t="s">
        <v>215</v>
      </c>
      <c r="L3" s="1012">
        <f t="shared" ref="L3:T3" si="0">L4</f>
        <v>0</v>
      </c>
      <c r="M3" s="363">
        <f t="shared" si="0"/>
        <v>0</v>
      </c>
      <c r="N3" s="363">
        <f t="shared" si="0"/>
        <v>0</v>
      </c>
      <c r="O3" s="363">
        <f t="shared" si="0"/>
        <v>0</v>
      </c>
      <c r="P3" s="364">
        <f t="shared" si="0"/>
        <v>0</v>
      </c>
      <c r="Q3" s="363">
        <f t="shared" si="0"/>
        <v>0</v>
      </c>
      <c r="R3" s="364">
        <f t="shared" si="0"/>
        <v>0</v>
      </c>
      <c r="S3" s="363">
        <f t="shared" si="0"/>
        <v>0</v>
      </c>
      <c r="T3" s="364">
        <f t="shared" si="0"/>
        <v>0</v>
      </c>
      <c r="U3" s="365"/>
      <c r="V3" s="366"/>
      <c r="W3" s="366"/>
      <c r="X3" s="366"/>
      <c r="Z3" s="367">
        <f>AW3+AY3+BA3</f>
        <v>0</v>
      </c>
      <c r="AA3" s="363">
        <f>AX3+AZ3+BB3</f>
        <v>0</v>
      </c>
      <c r="AB3" s="280">
        <f>Z3-AA3</f>
        <v>0</v>
      </c>
      <c r="AC3" s="367">
        <f>BC3+BE3+BG3</f>
        <v>0</v>
      </c>
      <c r="AD3" s="363">
        <f>BD3+BF3+BH3</f>
        <v>0</v>
      </c>
      <c r="AE3" s="280">
        <f>AC3-AD3</f>
        <v>0</v>
      </c>
      <c r="AF3" s="367">
        <f>BI3+BK3+BM3</f>
        <v>0</v>
      </c>
      <c r="AG3" s="363">
        <f>BJ3+BL3+BN3</f>
        <v>0</v>
      </c>
      <c r="AH3" s="280">
        <f>AF3-AG3</f>
        <v>0</v>
      </c>
      <c r="AI3" s="367">
        <f>BO3+BQ3+BS3</f>
        <v>0</v>
      </c>
      <c r="AJ3" s="363">
        <f>BP3+BR3+BT3</f>
        <v>0</v>
      </c>
      <c r="AK3" s="280">
        <f>AI3-AJ3</f>
        <v>0</v>
      </c>
      <c r="AL3" s="368"/>
      <c r="AM3" s="367">
        <f>Z3+AC3</f>
        <v>0</v>
      </c>
      <c r="AN3" s="363">
        <f>AA3+AD3</f>
        <v>0</v>
      </c>
      <c r="AO3" s="280">
        <f>AM3-AN3</f>
        <v>0</v>
      </c>
      <c r="AP3" s="367">
        <f>Z3+AC3+AF3</f>
        <v>0</v>
      </c>
      <c r="AQ3" s="363">
        <f>AA3+AD3+AG3</f>
        <v>0</v>
      </c>
      <c r="AR3" s="280">
        <f>AP3-AQ3</f>
        <v>0</v>
      </c>
      <c r="AS3" s="367">
        <f>Z3+AC3+AF3+AI3</f>
        <v>0</v>
      </c>
      <c r="AT3" s="363">
        <f>AA3+AD3+AG3+AJ3</f>
        <v>0</v>
      </c>
      <c r="AU3" s="280">
        <f>AS3-AT3</f>
        <v>0</v>
      </c>
      <c r="AV3" s="1243"/>
      <c r="AW3" s="367">
        <f t="shared" ref="AW3:BT3" si="1">AW4</f>
        <v>0</v>
      </c>
      <c r="AX3" s="1097">
        <f t="shared" si="1"/>
        <v>0</v>
      </c>
      <c r="AY3" s="363">
        <f t="shared" si="1"/>
        <v>0</v>
      </c>
      <c r="AZ3" s="1097">
        <f t="shared" si="1"/>
        <v>0</v>
      </c>
      <c r="BA3" s="363">
        <f t="shared" si="1"/>
        <v>0</v>
      </c>
      <c r="BB3" s="1119">
        <f t="shared" si="1"/>
        <v>0</v>
      </c>
      <c r="BC3" s="367">
        <f t="shared" si="1"/>
        <v>0</v>
      </c>
      <c r="BD3" s="363">
        <f t="shared" si="1"/>
        <v>0</v>
      </c>
      <c r="BE3" s="363">
        <f t="shared" si="1"/>
        <v>0</v>
      </c>
      <c r="BF3" s="363">
        <f t="shared" si="1"/>
        <v>0</v>
      </c>
      <c r="BG3" s="363">
        <f t="shared" si="1"/>
        <v>0</v>
      </c>
      <c r="BH3" s="369">
        <f t="shared" si="1"/>
        <v>0</v>
      </c>
      <c r="BI3" s="367">
        <f t="shared" si="1"/>
        <v>0</v>
      </c>
      <c r="BJ3" s="363">
        <f t="shared" si="1"/>
        <v>0</v>
      </c>
      <c r="BK3" s="363">
        <f t="shared" si="1"/>
        <v>0</v>
      </c>
      <c r="BL3" s="363">
        <f t="shared" si="1"/>
        <v>0</v>
      </c>
      <c r="BM3" s="363">
        <f t="shared" si="1"/>
        <v>0</v>
      </c>
      <c r="BN3" s="369">
        <f t="shared" si="1"/>
        <v>0</v>
      </c>
      <c r="BO3" s="367">
        <f t="shared" si="1"/>
        <v>0</v>
      </c>
      <c r="BP3" s="363">
        <f t="shared" si="1"/>
        <v>0</v>
      </c>
      <c r="BQ3" s="363">
        <f t="shared" si="1"/>
        <v>0</v>
      </c>
      <c r="BR3" s="363">
        <f t="shared" si="1"/>
        <v>0</v>
      </c>
      <c r="BS3" s="363">
        <f t="shared" si="1"/>
        <v>0</v>
      </c>
      <c r="BT3" s="280">
        <f t="shared" si="1"/>
        <v>0</v>
      </c>
    </row>
    <row r="4" spans="1:74" s="313" customFormat="1">
      <c r="A4" s="839"/>
      <c r="B4" s="935"/>
      <c r="C4" s="840"/>
      <c r="D4" s="841"/>
      <c r="E4" s="839"/>
      <c r="F4" s="821"/>
      <c r="G4" s="314"/>
      <c r="H4" s="739"/>
      <c r="I4" s="739"/>
      <c r="J4" s="740"/>
      <c r="K4" s="317" t="s">
        <v>214</v>
      </c>
      <c r="L4" s="1013"/>
      <c r="M4" s="318"/>
      <c r="N4" s="318"/>
      <c r="O4" s="318"/>
      <c r="P4" s="329"/>
      <c r="Q4" s="319"/>
      <c r="R4" s="329"/>
      <c r="S4" s="319"/>
      <c r="T4" s="329"/>
      <c r="U4" s="335"/>
      <c r="V4" s="320"/>
      <c r="W4" s="320"/>
      <c r="X4" s="320"/>
      <c r="Z4" s="336">
        <f>AW4+AY4+BA4</f>
        <v>0</v>
      </c>
      <c r="AA4" s="337">
        <f>AX4+AZ4+BB4</f>
        <v>0</v>
      </c>
      <c r="AB4" s="338">
        <f>Z4-AA4</f>
        <v>0</v>
      </c>
      <c r="AC4" s="336">
        <f>BC4+BE4+BG4</f>
        <v>0</v>
      </c>
      <c r="AD4" s="337">
        <f>BD4+BF4+BH4</f>
        <v>0</v>
      </c>
      <c r="AE4" s="338">
        <f>AC4-AD4</f>
        <v>0</v>
      </c>
      <c r="AF4" s="336">
        <f>BI4+BK4+BM4</f>
        <v>0</v>
      </c>
      <c r="AG4" s="337">
        <f>BJ4+BL4+BN4</f>
        <v>0</v>
      </c>
      <c r="AH4" s="338">
        <f>AF4-AG4</f>
        <v>0</v>
      </c>
      <c r="AI4" s="336">
        <f>BO4+BQ4+BS4</f>
        <v>0</v>
      </c>
      <c r="AJ4" s="337">
        <f>BP4+BR4+BT4</f>
        <v>0</v>
      </c>
      <c r="AK4" s="338">
        <f>AI4-AJ4</f>
        <v>0</v>
      </c>
      <c r="AL4" s="342"/>
      <c r="AM4" s="336">
        <f>Z4+AC4</f>
        <v>0</v>
      </c>
      <c r="AN4" s="339">
        <f>AA4+AD4</f>
        <v>0</v>
      </c>
      <c r="AO4" s="340">
        <f>AM4-AN4</f>
        <v>0</v>
      </c>
      <c r="AP4" s="336">
        <f>Z4+AC4+AF4</f>
        <v>0</v>
      </c>
      <c r="AQ4" s="339">
        <f>AA4+AD4+AG4</f>
        <v>0</v>
      </c>
      <c r="AR4" s="340">
        <f>AP4-AQ4</f>
        <v>0</v>
      </c>
      <c r="AS4" s="341">
        <f>Z4+AC4+AF4+AI4</f>
        <v>0</v>
      </c>
      <c r="AT4" s="339">
        <f>AA4+AD4+AG4+AJ4</f>
        <v>0</v>
      </c>
      <c r="AU4" s="340">
        <f>AS4-AT4</f>
        <v>0</v>
      </c>
      <c r="AV4" s="1244"/>
      <c r="AW4" s="343"/>
      <c r="AX4" s="1098"/>
      <c r="AY4" s="345"/>
      <c r="AZ4" s="1098"/>
      <c r="BA4" s="345"/>
      <c r="BB4" s="1120"/>
      <c r="BC4" s="347"/>
      <c r="BD4" s="348"/>
      <c r="BE4" s="349"/>
      <c r="BF4" s="348"/>
      <c r="BG4" s="349"/>
      <c r="BH4" s="350"/>
      <c r="BI4" s="351"/>
      <c r="BJ4" s="352"/>
      <c r="BK4" s="337"/>
      <c r="BL4" s="352"/>
      <c r="BM4" s="337"/>
      <c r="BN4" s="353"/>
      <c r="BO4" s="354"/>
      <c r="BP4" s="355"/>
      <c r="BQ4" s="356"/>
      <c r="BR4" s="355"/>
      <c r="BS4" s="356"/>
      <c r="BT4" s="357"/>
    </row>
    <row r="5" spans="1:74" s="523" customFormat="1" ht="39.75" customHeight="1" thickBot="1">
      <c r="A5" s="842"/>
      <c r="B5" s="934"/>
      <c r="C5" s="843"/>
      <c r="D5" s="844"/>
      <c r="E5" s="842"/>
      <c r="F5" s="822"/>
      <c r="G5" s="525"/>
      <c r="H5" s="525"/>
      <c r="I5" s="525"/>
      <c r="J5" s="526"/>
      <c r="K5" s="530" t="s">
        <v>376</v>
      </c>
      <c r="L5" s="685">
        <f t="shared" ref="L5:S5" si="2">SUBTOTAL(9,L12:L220,L226:L246,L253:L413)</f>
        <v>107399785.09999999</v>
      </c>
      <c r="M5" s="685">
        <f t="shared" si="2"/>
        <v>192442.91</v>
      </c>
      <c r="N5" s="685">
        <f t="shared" si="2"/>
        <v>14171997.41</v>
      </c>
      <c r="O5" s="685">
        <f t="shared" si="2"/>
        <v>121571782.51000001</v>
      </c>
      <c r="P5" s="685">
        <f t="shared" si="2"/>
        <v>11662679.17</v>
      </c>
      <c r="Q5" s="685">
        <f t="shared" si="2"/>
        <v>71462386.659999996</v>
      </c>
      <c r="R5" s="685">
        <f t="shared" si="2"/>
        <v>0</v>
      </c>
      <c r="S5" s="685">
        <f t="shared" si="2"/>
        <v>71114326.909999996</v>
      </c>
      <c r="T5" s="685">
        <f>SUBTOTAL(9,T12:T220,T226:T227,T253:T410)</f>
        <v>0</v>
      </c>
      <c r="U5" s="685"/>
      <c r="V5" s="685">
        <f>SUBTOTAL(9,V12:V220,V226:V246,V253:V413)</f>
        <v>467197.09</v>
      </c>
      <c r="W5" s="685">
        <f>SUBTOTAL(9,W12:W220,W226:W246,W253:W413)</f>
        <v>0</v>
      </c>
      <c r="X5" s="685" t="e">
        <f>SUBTOTAL(9,X12:X220,X226:X246,X253:X413)</f>
        <v>#VALUE!</v>
      </c>
      <c r="Y5" s="685"/>
      <c r="Z5" s="685"/>
      <c r="AA5" s="685"/>
      <c r="AB5" s="685"/>
      <c r="AC5" s="685"/>
      <c r="AD5" s="685"/>
      <c r="AE5" s="685"/>
      <c r="AF5" s="685"/>
      <c r="AG5" s="685"/>
      <c r="AH5" s="685"/>
      <c r="AI5" s="685"/>
      <c r="AJ5" s="685"/>
      <c r="AK5" s="685"/>
      <c r="AL5" s="685"/>
      <c r="AM5" s="685">
        <f t="shared" ref="AM5:AR5" si="3">SUBTOTAL(9,AM12:AM220,AM226:AM227,AM253:AM410)</f>
        <v>57736201.520000003</v>
      </c>
      <c r="AN5" s="685">
        <f t="shared" si="3"/>
        <v>32991059.239999998</v>
      </c>
      <c r="AO5" s="685">
        <f t="shared" si="3"/>
        <v>24745142.280000001</v>
      </c>
      <c r="AP5" s="685">
        <f t="shared" si="3"/>
        <v>76325677.579999998</v>
      </c>
      <c r="AQ5" s="685">
        <f t="shared" si="3"/>
        <v>34033686.310000002</v>
      </c>
      <c r="AR5" s="685">
        <f t="shared" si="3"/>
        <v>42291991.270000003</v>
      </c>
      <c r="AS5" s="685">
        <f t="shared" ref="AS5:BT5" si="4">SUBTOTAL(9,AS12:AS220,AS226:AS246,AS253:AS413)</f>
        <v>109241200.84999999</v>
      </c>
      <c r="AT5" s="685">
        <f t="shared" si="4"/>
        <v>35604937.740000002</v>
      </c>
      <c r="AU5" s="685">
        <f t="shared" si="4"/>
        <v>73636263.109999999</v>
      </c>
      <c r="AV5" s="1245">
        <f t="shared" si="4"/>
        <v>-2114583.3199999998</v>
      </c>
      <c r="AW5" s="685">
        <f t="shared" si="4"/>
        <v>7991015.5700000003</v>
      </c>
      <c r="AX5" s="1099">
        <f>SUBTOTAL(9,AX12:AX220,AX226:AX246,AX253:AX413)</f>
        <v>968202.02</v>
      </c>
      <c r="AY5" s="685">
        <f t="shared" si="4"/>
        <v>5721682.4699999997</v>
      </c>
      <c r="AZ5" s="1099">
        <f>SUBTOTAL(9,AZ12:AZ220,AZ226:AZ246,AZ253:AZ413)</f>
        <v>6844937.5300000003</v>
      </c>
      <c r="BA5" s="685">
        <f t="shared" si="4"/>
        <v>11883553.77</v>
      </c>
      <c r="BB5" s="1099">
        <f t="shared" si="4"/>
        <v>8626094.1799999997</v>
      </c>
      <c r="BC5" s="685">
        <f t="shared" si="4"/>
        <v>6803915.6500000004</v>
      </c>
      <c r="BD5" s="685">
        <f t="shared" si="4"/>
        <v>9122407.5299999993</v>
      </c>
      <c r="BE5" s="685">
        <f t="shared" si="4"/>
        <v>7214399.7699999996</v>
      </c>
      <c r="BF5" s="685">
        <f t="shared" si="4"/>
        <v>6923182.1200000001</v>
      </c>
      <c r="BG5" s="685">
        <f t="shared" si="4"/>
        <v>18151634.289999999</v>
      </c>
      <c r="BH5" s="685">
        <f t="shared" si="4"/>
        <v>516235.86</v>
      </c>
      <c r="BI5" s="685">
        <f t="shared" si="4"/>
        <v>9254105.2799999993</v>
      </c>
      <c r="BJ5" s="685">
        <f t="shared" si="4"/>
        <v>693248.32</v>
      </c>
      <c r="BK5" s="685">
        <f t="shared" si="4"/>
        <v>4760029.96</v>
      </c>
      <c r="BL5" s="685">
        <f t="shared" si="4"/>
        <v>158517.5</v>
      </c>
      <c r="BM5" s="685">
        <f t="shared" si="4"/>
        <v>9448218.8200000003</v>
      </c>
      <c r="BN5" s="685">
        <f t="shared" si="4"/>
        <v>190861.25</v>
      </c>
      <c r="BO5" s="685">
        <f t="shared" si="4"/>
        <v>10237749.93</v>
      </c>
      <c r="BP5" s="685">
        <f t="shared" si="4"/>
        <v>1120913.03</v>
      </c>
      <c r="BQ5" s="685">
        <f t="shared" si="4"/>
        <v>5969115.9199999999</v>
      </c>
      <c r="BR5" s="685">
        <f t="shared" si="4"/>
        <v>450338.4</v>
      </c>
      <c r="BS5" s="685">
        <f t="shared" si="4"/>
        <v>12109956.119999999</v>
      </c>
      <c r="BT5" s="575">
        <f t="shared" si="4"/>
        <v>0</v>
      </c>
    </row>
    <row r="6" spans="1:74" ht="18.75">
      <c r="A6" s="1200" t="s">
        <v>905</v>
      </c>
      <c r="F6" s="322" t="s">
        <v>137</v>
      </c>
      <c r="G6" s="322"/>
      <c r="H6" s="322"/>
      <c r="I6" s="322"/>
      <c r="J6" s="322"/>
      <c r="K6" s="322"/>
      <c r="L6" s="1197">
        <f>L223</f>
        <v>-43.69</v>
      </c>
      <c r="O6" s="1197">
        <f>O223</f>
        <v>-12674426</v>
      </c>
      <c r="P6" s="88"/>
      <c r="Q6" s="1197">
        <f>Q223</f>
        <v>0</v>
      </c>
      <c r="R6" s="88"/>
      <c r="S6" s="1197">
        <f>S223</f>
        <v>0</v>
      </c>
      <c r="T6" s="88"/>
      <c r="Z6" s="2"/>
      <c r="AA6" s="2"/>
      <c r="AB6" s="2"/>
      <c r="AC6" s="2"/>
      <c r="AD6" s="2"/>
      <c r="AE6" s="2"/>
      <c r="AF6" s="2"/>
      <c r="AG6" s="2"/>
      <c r="AH6" s="2"/>
      <c r="AI6" s="2"/>
      <c r="AJ6" s="2"/>
      <c r="AK6" s="2"/>
      <c r="AL6" s="273"/>
      <c r="AM6" s="2"/>
      <c r="AN6" s="2"/>
      <c r="AO6" s="2"/>
      <c r="AP6" s="2"/>
      <c r="AQ6" s="2"/>
      <c r="AR6" s="2"/>
      <c r="AS6" s="2"/>
      <c r="AT6" s="2"/>
      <c r="AU6" s="644"/>
      <c r="AW6" s="643"/>
      <c r="AX6" s="1100"/>
      <c r="AY6" s="643"/>
      <c r="AZ6" s="1100"/>
      <c r="BA6" s="643"/>
      <c r="BB6" s="1100"/>
      <c r="BC6" s="643"/>
      <c r="BD6" s="643"/>
      <c r="BE6" s="643"/>
      <c r="BF6" s="643"/>
      <c r="BG6" s="643"/>
      <c r="BH6" s="643"/>
      <c r="BI6" s="643"/>
      <c r="BJ6" s="643"/>
      <c r="BK6" s="643"/>
      <c r="BL6" s="643"/>
      <c r="BM6" s="643"/>
      <c r="BN6" s="643" t="e">
        <f t="shared" ref="BN6:BR6" si="5">ROUND(BN12/$AV$6,0)</f>
        <v>#DIV/0!</v>
      </c>
      <c r="BO6" s="643"/>
      <c r="BP6" s="643" t="e">
        <f t="shared" si="5"/>
        <v>#DIV/0!</v>
      </c>
      <c r="BQ6" s="643"/>
      <c r="BR6" s="643" t="e">
        <f t="shared" si="5"/>
        <v>#DIV/0!</v>
      </c>
      <c r="BS6" s="643"/>
      <c r="BT6" s="2"/>
    </row>
    <row r="7" spans="1:74" ht="18.75">
      <c r="A7" s="1201" t="s">
        <v>906</v>
      </c>
      <c r="F7" s="323" t="s">
        <v>29</v>
      </c>
      <c r="G7" s="321"/>
      <c r="H7" s="321"/>
      <c r="I7" s="321"/>
      <c r="J7" s="321"/>
      <c r="K7" s="321"/>
      <c r="L7" s="1198">
        <f>L250</f>
        <v>0</v>
      </c>
      <c r="O7" s="1198">
        <f>O250</f>
        <v>0</v>
      </c>
      <c r="P7" s="88"/>
      <c r="Q7" s="1198">
        <f>Q250</f>
        <v>0</v>
      </c>
      <c r="R7" s="88"/>
      <c r="S7" s="1198">
        <f>S250</f>
        <v>0</v>
      </c>
      <c r="T7" s="88"/>
      <c r="V7" s="1228" t="s">
        <v>973</v>
      </c>
      <c r="X7" s="1228" t="s">
        <v>1013</v>
      </c>
      <c r="Z7" s="2"/>
      <c r="AA7" s="2"/>
      <c r="AB7" s="2"/>
      <c r="AC7" s="2"/>
      <c r="AD7" s="2"/>
      <c r="AE7" s="2"/>
      <c r="AF7" s="2"/>
      <c r="AG7" s="2"/>
      <c r="AH7" s="2"/>
      <c r="AI7" s="2"/>
      <c r="AJ7" s="2"/>
      <c r="AK7" s="2"/>
      <c r="AL7" s="273"/>
      <c r="AM7" s="2"/>
      <c r="AN7" s="2"/>
      <c r="AO7" s="2"/>
      <c r="AP7" s="2"/>
      <c r="AQ7" s="2"/>
      <c r="AR7" s="2"/>
      <c r="AS7" s="2"/>
      <c r="AT7" s="2"/>
      <c r="AU7" s="2"/>
      <c r="AW7" s="1132" t="s">
        <v>738</v>
      </c>
      <c r="AX7" s="1348">
        <f>SUBTOTAL(9,AX12:AX220)</f>
        <v>968202.02</v>
      </c>
      <c r="AY7" s="2"/>
      <c r="AZ7" s="1348">
        <f>SUBTOTAL(9,AZ12:AZ220)</f>
        <v>6441853.6699999999</v>
      </c>
      <c r="BA7" s="2"/>
      <c r="BB7" s="1348">
        <f>SUBTOTAL(9,BB12:BB220)</f>
        <v>8126164.71</v>
      </c>
      <c r="BC7" s="2"/>
      <c r="BD7" s="1348">
        <f>SUBTOTAL(9,BD12:BD220)</f>
        <v>8886133.1300000008</v>
      </c>
      <c r="BE7" s="2"/>
      <c r="BF7" s="1348">
        <f>BF358+BF363+BF370+BF377</f>
        <v>52375</v>
      </c>
      <c r="BG7" s="2"/>
      <c r="BH7" s="1348">
        <f>BH358+BH363+BH370+BH377</f>
        <v>23086.76</v>
      </c>
      <c r="BI7" s="2"/>
      <c r="BJ7" s="1348">
        <f>BJ358+BJ363+BJ370+BJ377</f>
        <v>70040</v>
      </c>
      <c r="BK7" s="2"/>
      <c r="BL7" s="1348">
        <f>BL358+BL363+BL370+BL377</f>
        <v>5515</v>
      </c>
      <c r="BM7" s="2"/>
      <c r="BN7" s="1348">
        <f>BN358+BN363+BN370+BN377</f>
        <v>4056</v>
      </c>
      <c r="BO7" s="2"/>
      <c r="BP7" s="1348">
        <f>BP358+BP363+BP370+BP377</f>
        <v>13434.52</v>
      </c>
      <c r="BQ7" s="2"/>
      <c r="BR7" s="2"/>
      <c r="BS7" s="2"/>
      <c r="BT7" s="2"/>
    </row>
    <row r="8" spans="1:74" ht="19.5" thickBot="1">
      <c r="A8" s="1202" t="s">
        <v>907</v>
      </c>
      <c r="L8" s="1199">
        <f>L417</f>
        <v>-850000</v>
      </c>
      <c r="O8" s="1199">
        <f>O417</f>
        <v>-850000</v>
      </c>
      <c r="P8" s="88"/>
      <c r="Q8" s="1199">
        <f>Q417</f>
        <v>0</v>
      </c>
      <c r="R8" s="88"/>
      <c r="S8" s="1199">
        <f>S417</f>
        <v>0</v>
      </c>
      <c r="T8" s="88"/>
      <c r="AV8" s="1247" t="s">
        <v>449</v>
      </c>
      <c r="BA8" s="386">
        <f>BB8-AW12-AY12-BA12</f>
        <v>941214.16</v>
      </c>
      <c r="BB8" s="1121">
        <v>9724242</v>
      </c>
      <c r="BG8" s="387">
        <f>BH8-BC12-BE12-BG12</f>
        <v>-3915758</v>
      </c>
      <c r="BH8" s="385">
        <v>9724242</v>
      </c>
      <c r="BM8" s="386">
        <f>BN8-BI12-BK12-BM12</f>
        <v>4016972.8</v>
      </c>
      <c r="BN8" s="385">
        <v>9724242</v>
      </c>
      <c r="BS8" s="386">
        <f>BT8-BO12-BQ12-BS12</f>
        <v>2901359.42</v>
      </c>
      <c r="BT8" s="385">
        <f>ROUND($L$12*25%,2)</f>
        <v>7781926.3300000001</v>
      </c>
    </row>
    <row r="9" spans="1:74" ht="27" customHeight="1" thickBot="1">
      <c r="H9" s="4"/>
      <c r="I9" s="4"/>
      <c r="L9" s="1016"/>
      <c r="Q9" s="5"/>
      <c r="S9" s="5" t="s">
        <v>0</v>
      </c>
      <c r="V9" s="737" t="s">
        <v>382</v>
      </c>
      <c r="W9" s="736" t="s">
        <v>391</v>
      </c>
      <c r="X9" s="738" t="s">
        <v>383</v>
      </c>
      <c r="Z9" s="1489" t="s">
        <v>182</v>
      </c>
      <c r="AA9" s="1490"/>
      <c r="AB9" s="1491"/>
      <c r="AC9" s="1489" t="s">
        <v>181</v>
      </c>
      <c r="AD9" s="1490"/>
      <c r="AE9" s="1491"/>
      <c r="AF9" s="1489" t="s">
        <v>186</v>
      </c>
      <c r="AG9" s="1490"/>
      <c r="AH9" s="1491"/>
      <c r="AI9" s="1489" t="s">
        <v>189</v>
      </c>
      <c r="AJ9" s="1490"/>
      <c r="AK9" s="1491"/>
      <c r="AL9" s="275"/>
      <c r="AM9" s="1492" t="s">
        <v>188</v>
      </c>
      <c r="AN9" s="1493"/>
      <c r="AO9" s="1494"/>
      <c r="AP9" s="1492" t="s">
        <v>187</v>
      </c>
      <c r="AQ9" s="1493"/>
      <c r="AR9" s="1494"/>
      <c r="AS9" s="1492" t="s">
        <v>213</v>
      </c>
      <c r="AT9" s="1493"/>
      <c r="AU9" s="1494"/>
      <c r="AV9" s="1248"/>
      <c r="AW9" s="1495" t="s">
        <v>179</v>
      </c>
      <c r="AX9" s="1520"/>
      <c r="AY9" s="1496" t="s">
        <v>178</v>
      </c>
      <c r="AZ9" s="1520"/>
      <c r="BA9" s="1496" t="s">
        <v>180</v>
      </c>
      <c r="BB9" s="1521"/>
      <c r="BC9" s="1498" t="s">
        <v>183</v>
      </c>
      <c r="BD9" s="1488"/>
      <c r="BE9" s="1488" t="s">
        <v>184</v>
      </c>
      <c r="BF9" s="1488"/>
      <c r="BG9" s="1488" t="s">
        <v>185</v>
      </c>
      <c r="BH9" s="1501"/>
      <c r="BI9" s="1502" t="s">
        <v>190</v>
      </c>
      <c r="BJ9" s="1503"/>
      <c r="BK9" s="1503" t="s">
        <v>191</v>
      </c>
      <c r="BL9" s="1503"/>
      <c r="BM9" s="1503" t="s">
        <v>192</v>
      </c>
      <c r="BN9" s="1504"/>
      <c r="BO9" s="1505" t="s">
        <v>193</v>
      </c>
      <c r="BP9" s="1499"/>
      <c r="BQ9" s="1499" t="s">
        <v>194</v>
      </c>
      <c r="BR9" s="1499"/>
      <c r="BS9" s="1499" t="s">
        <v>195</v>
      </c>
      <c r="BT9" s="1500"/>
      <c r="BU9" s="307" t="s">
        <v>198</v>
      </c>
      <c r="BV9" s="307" t="s">
        <v>199</v>
      </c>
    </row>
    <row r="10" spans="1:74" s="31" customFormat="1" ht="84" customHeight="1" thickBot="1">
      <c r="A10" s="845" t="s">
        <v>450</v>
      </c>
      <c r="B10" s="936" t="s">
        <v>451</v>
      </c>
      <c r="C10" s="846" t="s">
        <v>377</v>
      </c>
      <c r="D10" s="847" t="s">
        <v>380</v>
      </c>
      <c r="E10" s="848" t="s">
        <v>200</v>
      </c>
      <c r="F10" s="823" t="s">
        <v>1</v>
      </c>
      <c r="G10" s="12" t="s">
        <v>2</v>
      </c>
      <c r="H10" s="12" t="s">
        <v>68</v>
      </c>
      <c r="I10" s="12" t="s">
        <v>4</v>
      </c>
      <c r="J10" s="12" t="s">
        <v>5</v>
      </c>
      <c r="K10" s="522" t="s">
        <v>6</v>
      </c>
      <c r="L10" s="1017" t="s">
        <v>641</v>
      </c>
      <c r="M10" s="732" t="s">
        <v>73</v>
      </c>
      <c r="N10" s="732" t="s">
        <v>203</v>
      </c>
      <c r="O10" s="732" t="s">
        <v>33</v>
      </c>
      <c r="P10" s="733" t="s">
        <v>62</v>
      </c>
      <c r="Q10" s="732" t="s">
        <v>50</v>
      </c>
      <c r="R10" s="734" t="s">
        <v>62</v>
      </c>
      <c r="S10" s="735" t="s">
        <v>138</v>
      </c>
      <c r="T10" s="659" t="s">
        <v>62</v>
      </c>
      <c r="U10" s="325"/>
      <c r="V10" s="12" t="s">
        <v>210</v>
      </c>
      <c r="W10" s="12" t="s">
        <v>211</v>
      </c>
      <c r="X10" s="12" t="s">
        <v>212</v>
      </c>
      <c r="Z10" s="261" t="s">
        <v>82</v>
      </c>
      <c r="AA10" s="252" t="s">
        <v>177</v>
      </c>
      <c r="AB10" s="268" t="s">
        <v>196</v>
      </c>
      <c r="AC10" s="261" t="s">
        <v>82</v>
      </c>
      <c r="AD10" s="252" t="s">
        <v>177</v>
      </c>
      <c r="AE10" s="268" t="s">
        <v>196</v>
      </c>
      <c r="AF10" s="261" t="s">
        <v>82</v>
      </c>
      <c r="AG10" s="252" t="s">
        <v>177</v>
      </c>
      <c r="AH10" s="268" t="s">
        <v>196</v>
      </c>
      <c r="AI10" s="261" t="s">
        <v>82</v>
      </c>
      <c r="AJ10" s="252" t="s">
        <v>177</v>
      </c>
      <c r="AK10" s="268" t="s">
        <v>196</v>
      </c>
      <c r="AL10" s="276"/>
      <c r="AM10" s="261" t="s">
        <v>82</v>
      </c>
      <c r="AN10" s="246" t="s">
        <v>177</v>
      </c>
      <c r="AO10" s="279" t="s">
        <v>196</v>
      </c>
      <c r="AP10" s="261" t="s">
        <v>82</v>
      </c>
      <c r="AQ10" s="246" t="s">
        <v>177</v>
      </c>
      <c r="AR10" s="279" t="s">
        <v>196</v>
      </c>
      <c r="AS10" s="261" t="s">
        <v>82</v>
      </c>
      <c r="AT10" s="246" t="s">
        <v>177</v>
      </c>
      <c r="AU10" s="279" t="s">
        <v>196</v>
      </c>
      <c r="AV10" s="1249"/>
      <c r="AW10" s="288" t="s">
        <v>82</v>
      </c>
      <c r="AX10" s="1103" t="s">
        <v>177</v>
      </c>
      <c r="AY10" s="285" t="s">
        <v>82</v>
      </c>
      <c r="AZ10" s="1103" t="s">
        <v>177</v>
      </c>
      <c r="BA10" s="285" t="s">
        <v>82</v>
      </c>
      <c r="BB10" s="1122" t="s">
        <v>177</v>
      </c>
      <c r="BC10" s="295" t="s">
        <v>82</v>
      </c>
      <c r="BD10" s="294" t="s">
        <v>177</v>
      </c>
      <c r="BE10" s="293" t="s">
        <v>82</v>
      </c>
      <c r="BF10" s="294" t="s">
        <v>177</v>
      </c>
      <c r="BG10" s="293" t="s">
        <v>82</v>
      </c>
      <c r="BH10" s="296" t="s">
        <v>177</v>
      </c>
      <c r="BI10" s="299" t="s">
        <v>82</v>
      </c>
      <c r="BJ10" s="298" t="s">
        <v>177</v>
      </c>
      <c r="BK10" s="297" t="s">
        <v>82</v>
      </c>
      <c r="BL10" s="298" t="s">
        <v>177</v>
      </c>
      <c r="BM10" s="297" t="s">
        <v>82</v>
      </c>
      <c r="BN10" s="300" t="s">
        <v>177</v>
      </c>
      <c r="BO10" s="304" t="s">
        <v>82</v>
      </c>
      <c r="BP10" s="303" t="s">
        <v>177</v>
      </c>
      <c r="BQ10" s="302" t="s">
        <v>82</v>
      </c>
      <c r="BR10" s="303" t="s">
        <v>177</v>
      </c>
      <c r="BS10" s="302" t="s">
        <v>82</v>
      </c>
      <c r="BT10" s="284" t="s">
        <v>177</v>
      </c>
    </row>
    <row r="11" spans="1:74" s="31" customFormat="1" ht="42" customHeight="1" thickBot="1">
      <c r="A11" s="287">
        <v>1</v>
      </c>
      <c r="B11" s="933"/>
      <c r="C11" s="845"/>
      <c r="D11" s="849"/>
      <c r="E11" s="287" t="s">
        <v>201</v>
      </c>
      <c r="F11" s="306" t="s">
        <v>219</v>
      </c>
      <c r="G11" s="306"/>
      <c r="H11" s="306"/>
      <c r="I11" s="306"/>
      <c r="J11" s="306"/>
      <c r="K11" s="306"/>
      <c r="L11" s="1018"/>
      <c r="M11" s="311"/>
      <c r="N11" s="311"/>
      <c r="O11" s="311"/>
      <c r="P11" s="333"/>
      <c r="Q11" s="311"/>
      <c r="R11" s="333"/>
      <c r="T11" s="333"/>
      <c r="U11" s="325"/>
      <c r="V11" s="308"/>
      <c r="W11" s="308"/>
      <c r="X11" s="308"/>
      <c r="Z11" s="262"/>
      <c r="AA11" s="3"/>
      <c r="AB11" s="257"/>
      <c r="AC11" s="262"/>
      <c r="AD11" s="3"/>
      <c r="AE11" s="257"/>
      <c r="AF11" s="262"/>
      <c r="AG11" s="3"/>
      <c r="AH11" s="257"/>
      <c r="AI11" s="262"/>
      <c r="AJ11" s="3"/>
      <c r="AK11" s="257"/>
      <c r="AL11" s="3"/>
      <c r="AM11" s="262"/>
      <c r="AN11" s="3"/>
      <c r="AO11" s="257"/>
      <c r="AP11" s="262"/>
      <c r="AQ11" s="3"/>
      <c r="AR11" s="257"/>
      <c r="AS11" s="262"/>
      <c r="AT11" s="3"/>
      <c r="AU11" s="257"/>
      <c r="AV11" s="1250"/>
      <c r="AW11" s="289"/>
      <c r="AX11" s="1104"/>
      <c r="AY11" s="287"/>
      <c r="AZ11" s="1104"/>
      <c r="BA11" s="287"/>
      <c r="BB11" s="1123"/>
      <c r="BC11" s="289"/>
      <c r="BD11" s="287"/>
      <c r="BE11" s="287"/>
      <c r="BF11" s="287"/>
      <c r="BG11" s="287"/>
      <c r="BH11" s="292"/>
      <c r="BI11" s="289"/>
      <c r="BJ11" s="287"/>
      <c r="BK11" s="287"/>
      <c r="BL11" s="287"/>
      <c r="BM11" s="287"/>
      <c r="BN11" s="292"/>
      <c r="BO11" s="289"/>
      <c r="BP11" s="287"/>
      <c r="BQ11" s="287"/>
      <c r="BR11" s="287"/>
      <c r="BS11" s="287"/>
      <c r="BT11" s="290"/>
    </row>
    <row r="12" spans="1:74" s="378" customFormat="1" ht="32.25" thickBot="1">
      <c r="A12" s="287">
        <v>2</v>
      </c>
      <c r="B12" s="936"/>
      <c r="C12" s="850"/>
      <c r="D12" s="851"/>
      <c r="E12" s="852" t="s">
        <v>201</v>
      </c>
      <c r="F12" s="824" t="s">
        <v>7</v>
      </c>
      <c r="G12" s="376">
        <v>4</v>
      </c>
      <c r="H12" s="376" t="s">
        <v>226</v>
      </c>
      <c r="I12" s="376">
        <v>111</v>
      </c>
      <c r="J12" s="377">
        <v>211</v>
      </c>
      <c r="K12" s="531" t="s">
        <v>8</v>
      </c>
      <c r="L12" s="1019">
        <v>31127705.329999998</v>
      </c>
      <c r="M12" s="972"/>
      <c r="N12" s="972">
        <f>7635615.03+960000</f>
        <v>8595615.0299999993</v>
      </c>
      <c r="O12" s="1057">
        <f>L12+N12</f>
        <v>39723320.359999999</v>
      </c>
      <c r="P12" s="973">
        <f>41959190-L12-L253</f>
        <v>5631835.46</v>
      </c>
      <c r="Q12" s="971">
        <v>24496803.949999999</v>
      </c>
      <c r="R12" s="973"/>
      <c r="S12" s="971">
        <v>24191233.949999999</v>
      </c>
      <c r="T12" s="556"/>
      <c r="U12" s="380"/>
      <c r="V12" s="381"/>
      <c r="W12" s="381"/>
      <c r="X12" s="381"/>
      <c r="Z12" s="382">
        <f t="shared" ref="Z12:AA54" si="6">AW12+AY12+BA12</f>
        <v>8783027.8399999999</v>
      </c>
      <c r="AA12" s="247">
        <f t="shared" si="6"/>
        <v>8479402.4700000007</v>
      </c>
      <c r="AB12" s="383">
        <f t="shared" ref="AB12:AB88" si="7">Z12-AA12</f>
        <v>303625.37</v>
      </c>
      <c r="AC12" s="382">
        <f t="shared" ref="AC12:AD54" si="8">BC12+BE12+BG12</f>
        <v>13640000</v>
      </c>
      <c r="AD12" s="247">
        <f t="shared" si="8"/>
        <v>6645781.3499999996</v>
      </c>
      <c r="AE12" s="383">
        <f t="shared" ref="AE12:AE88" si="9">AC12-AD12</f>
        <v>6994218.6500000004</v>
      </c>
      <c r="AF12" s="382">
        <f t="shared" ref="AF12:AG54" si="10">BI12+BK12+BM12</f>
        <v>5707269.2000000002</v>
      </c>
      <c r="AG12" s="247">
        <f t="shared" si="10"/>
        <v>0</v>
      </c>
      <c r="AH12" s="383">
        <f t="shared" ref="AH12:AH88" si="11">AF12-AG12</f>
        <v>5707269.2000000002</v>
      </c>
      <c r="AI12" s="382">
        <f t="shared" ref="AI12:AJ54" si="12">BO12+BQ12+BS12</f>
        <v>4880566.91</v>
      </c>
      <c r="AJ12" s="247">
        <f t="shared" si="12"/>
        <v>0</v>
      </c>
      <c r="AK12" s="383">
        <f t="shared" ref="AK12:AK88" si="13">AI12-AJ12</f>
        <v>4880566.91</v>
      </c>
      <c r="AL12" s="250"/>
      <c r="AM12" s="382">
        <f t="shared" ref="AM12:AN54" si="14">Z12+AC12</f>
        <v>22423027.84</v>
      </c>
      <c r="AN12" s="247">
        <f t="shared" si="14"/>
        <v>15125183.82</v>
      </c>
      <c r="AO12" s="383">
        <f t="shared" ref="AO12:AO88" si="15">AM12-AN12</f>
        <v>7297844.0199999996</v>
      </c>
      <c r="AP12" s="382">
        <f t="shared" ref="AP12:AQ54" si="16">Z12+AC12+AF12</f>
        <v>28130297.039999999</v>
      </c>
      <c r="AQ12" s="247">
        <f t="shared" si="16"/>
        <v>15125183.82</v>
      </c>
      <c r="AR12" s="383">
        <f t="shared" ref="AR12:AR88" si="17">AP12-AQ12</f>
        <v>13005113.220000001</v>
      </c>
      <c r="AS12" s="382">
        <f>Z12+AC12+AF12+AI12</f>
        <v>33010863.949999999</v>
      </c>
      <c r="AT12" s="247">
        <f t="shared" ref="AT12:AT88" si="18">AA12+AD12+AG12+AJ12</f>
        <v>15125183.82</v>
      </c>
      <c r="AU12" s="383">
        <f t="shared" ref="AU12:AU88" si="19">AS12-AT12</f>
        <v>17885680.129999999</v>
      </c>
      <c r="AV12" s="1251">
        <f t="shared" ref="AV12:AV88" si="20">L12-AS12</f>
        <v>-1883158.62</v>
      </c>
      <c r="AW12" s="382">
        <v>1390000</v>
      </c>
      <c r="AX12" s="1131">
        <v>948705.39</v>
      </c>
      <c r="AY12" s="247">
        <f>2420000-AY13</f>
        <v>2183027.84</v>
      </c>
      <c r="AZ12" s="1131">
        <v>3500238.93</v>
      </c>
      <c r="BA12" s="247">
        <v>5210000</v>
      </c>
      <c r="BB12" s="1124">
        <v>4030458.15</v>
      </c>
      <c r="BC12" s="382">
        <v>2420000</v>
      </c>
      <c r="BD12" s="247">
        <v>4764419.46</v>
      </c>
      <c r="BE12" s="247">
        <v>2420000</v>
      </c>
      <c r="BF12" s="247">
        <v>1881361.89</v>
      </c>
      <c r="BG12" s="247">
        <v>8800000</v>
      </c>
      <c r="BH12" s="384"/>
      <c r="BI12" s="382">
        <f>3420269.2-BI13-BI17-BI34-BI253-BI254</f>
        <v>3412269.2</v>
      </c>
      <c r="BJ12" s="247"/>
      <c r="BK12" s="247">
        <f>500000-BK13-BK17-BK34-BK253-BK254</f>
        <v>495000</v>
      </c>
      <c r="BL12" s="247"/>
      <c r="BM12" s="247">
        <f>1800000-BM13-BM17-BM34-BM253-BM254</f>
        <v>1800000</v>
      </c>
      <c r="BN12" s="384"/>
      <c r="BO12" s="382">
        <f>1636188.97-BO13-BO17-BO34-BO253-BO254</f>
        <v>1628188.97</v>
      </c>
      <c r="BP12" s="247"/>
      <c r="BQ12" s="247">
        <f>1636188.97-BQ13-BQ17-BQ34-BQ253-BQ254</f>
        <v>1616188.97</v>
      </c>
      <c r="BR12" s="247"/>
      <c r="BS12" s="247">
        <f>1636188.97-BS13-BS17-BS34-BS253-BS254</f>
        <v>1636188.97</v>
      </c>
      <c r="BT12" s="383"/>
      <c r="BU12" s="378">
        <v>0.01</v>
      </c>
      <c r="BV12" s="378" t="s">
        <v>197</v>
      </c>
    </row>
    <row r="13" spans="1:74" s="897" customFormat="1" ht="31.5">
      <c r="A13" s="287">
        <v>3</v>
      </c>
      <c r="B13" s="937"/>
      <c r="C13" s="887"/>
      <c r="D13" s="888"/>
      <c r="E13" s="889" t="s">
        <v>201</v>
      </c>
      <c r="F13" s="890" t="s">
        <v>7</v>
      </c>
      <c r="G13" s="891">
        <v>4</v>
      </c>
      <c r="H13" s="891" t="s">
        <v>489</v>
      </c>
      <c r="I13" s="891">
        <v>111</v>
      </c>
      <c r="J13" s="892">
        <v>211</v>
      </c>
      <c r="K13" s="893" t="s">
        <v>911</v>
      </c>
      <c r="L13" s="1020">
        <v>1173747.1200000001</v>
      </c>
      <c r="M13" s="253"/>
      <c r="N13" s="254">
        <v>0</v>
      </c>
      <c r="O13" s="1058">
        <f>L13+N13</f>
        <v>1173747.1200000001</v>
      </c>
      <c r="P13" s="975"/>
      <c r="Q13" s="974">
        <v>0</v>
      </c>
      <c r="R13" s="975"/>
      <c r="S13" s="974">
        <v>0</v>
      </c>
      <c r="T13" s="894"/>
      <c r="U13" s="895"/>
      <c r="V13" s="896"/>
      <c r="W13" s="896"/>
      <c r="X13" s="896"/>
      <c r="Z13" s="898">
        <f t="shared" si="6"/>
        <v>236972.16</v>
      </c>
      <c r="AA13" s="253">
        <f t="shared" si="6"/>
        <v>0</v>
      </c>
      <c r="AB13" s="899">
        <f t="shared" si="7"/>
        <v>236972.16</v>
      </c>
      <c r="AC13" s="898">
        <f t="shared" si="8"/>
        <v>0</v>
      </c>
      <c r="AD13" s="253">
        <f t="shared" si="8"/>
        <v>236972.16</v>
      </c>
      <c r="AE13" s="899">
        <f t="shared" si="9"/>
        <v>-236972.16</v>
      </c>
      <c r="AF13" s="898">
        <f t="shared" si="10"/>
        <v>0</v>
      </c>
      <c r="AG13" s="253">
        <f t="shared" si="10"/>
        <v>0</v>
      </c>
      <c r="AH13" s="899">
        <f t="shared" si="11"/>
        <v>0</v>
      </c>
      <c r="AI13" s="898">
        <f t="shared" si="12"/>
        <v>0</v>
      </c>
      <c r="AJ13" s="253">
        <f t="shared" si="12"/>
        <v>0</v>
      </c>
      <c r="AK13" s="899">
        <f t="shared" si="13"/>
        <v>0</v>
      </c>
      <c r="AL13" s="256"/>
      <c r="AM13" s="898">
        <f t="shared" si="14"/>
        <v>236972.16</v>
      </c>
      <c r="AN13" s="253">
        <f t="shared" si="14"/>
        <v>236972.16</v>
      </c>
      <c r="AO13" s="899">
        <f t="shared" si="15"/>
        <v>0</v>
      </c>
      <c r="AP13" s="898">
        <f t="shared" si="16"/>
        <v>236972.16</v>
      </c>
      <c r="AQ13" s="253">
        <f t="shared" si="16"/>
        <v>236972.16</v>
      </c>
      <c r="AR13" s="899">
        <f t="shared" si="17"/>
        <v>0</v>
      </c>
      <c r="AS13" s="898">
        <f>Z13+AC13+AF13+AI13</f>
        <v>236972.16</v>
      </c>
      <c r="AT13" s="253">
        <f t="shared" si="18"/>
        <v>236972.16</v>
      </c>
      <c r="AU13" s="899">
        <f t="shared" si="19"/>
        <v>0</v>
      </c>
      <c r="AV13" s="1252">
        <f t="shared" si="20"/>
        <v>936774.96</v>
      </c>
      <c r="AW13" s="898"/>
      <c r="AX13" s="1106"/>
      <c r="AY13" s="974">
        <v>236972.16</v>
      </c>
      <c r="AZ13" s="1106"/>
      <c r="BA13" s="253"/>
      <c r="BB13" s="1125"/>
      <c r="BC13" s="898"/>
      <c r="BD13" s="253">
        <v>120123.01</v>
      </c>
      <c r="BE13" s="253"/>
      <c r="BF13" s="253">
        <v>116849.15</v>
      </c>
      <c r="BG13" s="253"/>
      <c r="BH13" s="901"/>
      <c r="BI13" s="898"/>
      <c r="BJ13" s="253"/>
      <c r="BK13" s="253"/>
      <c r="BL13" s="253"/>
      <c r="BM13" s="253"/>
      <c r="BN13" s="901"/>
      <c r="BO13" s="898"/>
      <c r="BP13" s="253"/>
      <c r="BQ13" s="253"/>
      <c r="BR13" s="253"/>
      <c r="BS13" s="253"/>
      <c r="BT13" s="899"/>
      <c r="BU13" s="897">
        <v>0.01</v>
      </c>
      <c r="BV13" s="897" t="s">
        <v>197</v>
      </c>
    </row>
    <row r="14" spans="1:74" s="358" customFormat="1" ht="31.5">
      <c r="A14" s="287">
        <v>4</v>
      </c>
      <c r="B14" s="936"/>
      <c r="C14" s="837"/>
      <c r="D14" s="838"/>
      <c r="E14" s="836" t="s">
        <v>201</v>
      </c>
      <c r="F14" s="820" t="s">
        <v>7</v>
      </c>
      <c r="G14" s="360">
        <v>4</v>
      </c>
      <c r="H14" s="360" t="s">
        <v>226</v>
      </c>
      <c r="I14" s="360">
        <v>119</v>
      </c>
      <c r="J14" s="361">
        <v>213</v>
      </c>
      <c r="K14" s="532" t="s">
        <v>10</v>
      </c>
      <c r="L14" s="1021">
        <v>8392821.8800000008</v>
      </c>
      <c r="M14" s="363"/>
      <c r="N14" s="363">
        <v>2399225.37</v>
      </c>
      <c r="O14" s="1051">
        <f t="shared" ref="O14:O90" si="21">L14+N14</f>
        <v>10792047.25</v>
      </c>
      <c r="P14" s="557">
        <f>12475243.59-L14-L258</f>
        <v>2554306.1</v>
      </c>
      <c r="Q14" s="544">
        <v>7276356.8899999997</v>
      </c>
      <c r="R14" s="557"/>
      <c r="S14" s="544">
        <v>7185672.04</v>
      </c>
      <c r="T14" s="557"/>
      <c r="U14" s="365"/>
      <c r="V14" s="366"/>
      <c r="W14" s="366"/>
      <c r="X14" s="366"/>
      <c r="Z14" s="367">
        <f t="shared" si="6"/>
        <v>1374706.23</v>
      </c>
      <c r="AA14" s="363">
        <f t="shared" si="6"/>
        <v>1374706.23</v>
      </c>
      <c r="AB14" s="280">
        <f t="shared" si="7"/>
        <v>0</v>
      </c>
      <c r="AC14" s="367">
        <f t="shared" si="8"/>
        <v>2489448.19</v>
      </c>
      <c r="AD14" s="363">
        <f t="shared" si="8"/>
        <v>2269528.54</v>
      </c>
      <c r="AE14" s="280">
        <f t="shared" si="9"/>
        <v>219919.65</v>
      </c>
      <c r="AF14" s="367">
        <f t="shared" si="10"/>
        <v>3748295.19</v>
      </c>
      <c r="AG14" s="363">
        <f t="shared" si="10"/>
        <v>0</v>
      </c>
      <c r="AH14" s="280">
        <f t="shared" si="11"/>
        <v>3748295.19</v>
      </c>
      <c r="AI14" s="367">
        <f t="shared" si="12"/>
        <v>1562681.61</v>
      </c>
      <c r="AJ14" s="363">
        <f t="shared" si="12"/>
        <v>0</v>
      </c>
      <c r="AK14" s="280">
        <f t="shared" si="13"/>
        <v>1562681.61</v>
      </c>
      <c r="AL14" s="368"/>
      <c r="AM14" s="367">
        <f t="shared" si="14"/>
        <v>3864154.42</v>
      </c>
      <c r="AN14" s="363">
        <f t="shared" si="14"/>
        <v>3644234.77</v>
      </c>
      <c r="AO14" s="280">
        <f t="shared" si="15"/>
        <v>219919.65</v>
      </c>
      <c r="AP14" s="367">
        <f t="shared" si="16"/>
        <v>7612449.6100000003</v>
      </c>
      <c r="AQ14" s="363">
        <f t="shared" si="16"/>
        <v>3644234.77</v>
      </c>
      <c r="AR14" s="280">
        <f t="shared" si="17"/>
        <v>3968214.84</v>
      </c>
      <c r="AS14" s="367">
        <f t="shared" ref="AS14:AT79" si="22">Z14+AC14+AF14+AI14</f>
        <v>9175131.2200000007</v>
      </c>
      <c r="AT14" s="363">
        <f t="shared" si="18"/>
        <v>3644234.77</v>
      </c>
      <c r="AU14" s="280">
        <f t="shared" si="19"/>
        <v>5530896.4500000002</v>
      </c>
      <c r="AV14" s="1253">
        <f t="shared" si="20"/>
        <v>-782309.34</v>
      </c>
      <c r="AW14" s="367">
        <v>4830.41</v>
      </c>
      <c r="AX14" s="1097">
        <v>4830.41</v>
      </c>
      <c r="AY14" s="363">
        <v>517256.52</v>
      </c>
      <c r="AZ14" s="1097">
        <v>517256.52</v>
      </c>
      <c r="BA14" s="363">
        <v>852619.3</v>
      </c>
      <c r="BB14" s="1119">
        <v>852619.3</v>
      </c>
      <c r="BC14" s="367">
        <f>BA12*30.2%-545651.81</f>
        <v>1027768.19</v>
      </c>
      <c r="BD14" s="363">
        <v>1091716.48</v>
      </c>
      <c r="BE14" s="363">
        <f>BC12*30.2%</f>
        <v>730840</v>
      </c>
      <c r="BF14" s="363">
        <v>1177812.06</v>
      </c>
      <c r="BG14" s="363">
        <f>BE12*30.2%</f>
        <v>730840</v>
      </c>
      <c r="BH14" s="369"/>
      <c r="BI14" s="367">
        <f>BG12*30.2%</f>
        <v>2657600</v>
      </c>
      <c r="BJ14" s="363"/>
      <c r="BK14" s="363">
        <f>BI12*30.2%</f>
        <v>1030505.3</v>
      </c>
      <c r="BL14" s="363"/>
      <c r="BM14" s="363">
        <v>60189.89</v>
      </c>
      <c r="BN14" s="369"/>
      <c r="BO14" s="367">
        <v>520893.87</v>
      </c>
      <c r="BP14" s="363"/>
      <c r="BQ14" s="363">
        <v>520893.87</v>
      </c>
      <c r="BR14" s="363"/>
      <c r="BS14" s="363">
        <v>520893.87</v>
      </c>
      <c r="BT14" s="280"/>
      <c r="BV14" s="358" t="s">
        <v>197</v>
      </c>
    </row>
    <row r="15" spans="1:74" s="881" customFormat="1" ht="31.5">
      <c r="A15" s="287">
        <v>5</v>
      </c>
      <c r="B15" s="938"/>
      <c r="C15" s="869"/>
      <c r="D15" s="870"/>
      <c r="E15" s="871" t="s">
        <v>201</v>
      </c>
      <c r="F15" s="872" t="s">
        <v>7</v>
      </c>
      <c r="G15" s="873">
        <v>4</v>
      </c>
      <c r="H15" s="873" t="s">
        <v>489</v>
      </c>
      <c r="I15" s="873">
        <v>119</v>
      </c>
      <c r="J15" s="874">
        <v>213</v>
      </c>
      <c r="K15" s="875" t="s">
        <v>912</v>
      </c>
      <c r="L15" s="1022">
        <v>256806.09</v>
      </c>
      <c r="M15" s="877"/>
      <c r="N15" s="877">
        <v>181926.81</v>
      </c>
      <c r="O15" s="1059">
        <f>L15+N15</f>
        <v>438732.9</v>
      </c>
      <c r="P15" s="878"/>
      <c r="Q15" s="876">
        <v>0</v>
      </c>
      <c r="R15" s="878"/>
      <c r="S15" s="876">
        <v>0</v>
      </c>
      <c r="T15" s="878"/>
      <c r="U15" s="879"/>
      <c r="V15" s="880"/>
      <c r="W15" s="880"/>
      <c r="X15" s="880"/>
      <c r="Z15" s="882">
        <f t="shared" si="6"/>
        <v>71565.58</v>
      </c>
      <c r="AA15" s="877">
        <f t="shared" si="6"/>
        <v>0</v>
      </c>
      <c r="AB15" s="883">
        <f t="shared" si="7"/>
        <v>71565.58</v>
      </c>
      <c r="AC15" s="882">
        <f t="shared" si="8"/>
        <v>0</v>
      </c>
      <c r="AD15" s="877">
        <f t="shared" si="8"/>
        <v>0</v>
      </c>
      <c r="AE15" s="883">
        <f t="shared" si="9"/>
        <v>0</v>
      </c>
      <c r="AF15" s="882">
        <f t="shared" si="10"/>
        <v>0</v>
      </c>
      <c r="AG15" s="877">
        <f t="shared" si="10"/>
        <v>0</v>
      </c>
      <c r="AH15" s="883">
        <f t="shared" si="11"/>
        <v>0</v>
      </c>
      <c r="AI15" s="882">
        <f t="shared" si="12"/>
        <v>0</v>
      </c>
      <c r="AJ15" s="877">
        <f t="shared" si="12"/>
        <v>0</v>
      </c>
      <c r="AK15" s="883">
        <f t="shared" si="13"/>
        <v>0</v>
      </c>
      <c r="AL15" s="884"/>
      <c r="AM15" s="882">
        <f t="shared" si="14"/>
        <v>71565.58</v>
      </c>
      <c r="AN15" s="877">
        <f t="shared" si="14"/>
        <v>0</v>
      </c>
      <c r="AO15" s="883">
        <f t="shared" si="15"/>
        <v>71565.58</v>
      </c>
      <c r="AP15" s="882">
        <f t="shared" si="16"/>
        <v>71565.58</v>
      </c>
      <c r="AQ15" s="877">
        <f t="shared" si="16"/>
        <v>0</v>
      </c>
      <c r="AR15" s="883">
        <f t="shared" si="17"/>
        <v>71565.58</v>
      </c>
      <c r="AS15" s="882">
        <f t="shared" si="22"/>
        <v>71565.58</v>
      </c>
      <c r="AT15" s="877">
        <f t="shared" si="18"/>
        <v>0</v>
      </c>
      <c r="AU15" s="883">
        <f t="shared" si="19"/>
        <v>71565.58</v>
      </c>
      <c r="AV15" s="1254">
        <f t="shared" si="20"/>
        <v>185240.51</v>
      </c>
      <c r="AW15" s="882"/>
      <c r="AX15" s="1107"/>
      <c r="AY15" s="877">
        <v>71565.58</v>
      </c>
      <c r="AZ15" s="1107">
        <v>0</v>
      </c>
      <c r="BA15" s="877"/>
      <c r="BB15" s="1126"/>
      <c r="BC15" s="882"/>
      <c r="BD15" s="877"/>
      <c r="BE15" s="877"/>
      <c r="BF15" s="877"/>
      <c r="BG15" s="877"/>
      <c r="BH15" s="886"/>
      <c r="BI15" s="882"/>
      <c r="BJ15" s="877"/>
      <c r="BK15" s="877"/>
      <c r="BL15" s="877"/>
      <c r="BM15" s="877"/>
      <c r="BN15" s="886"/>
      <c r="BO15" s="882"/>
      <c r="BP15" s="877"/>
      <c r="BQ15" s="877"/>
      <c r="BR15" s="877"/>
      <c r="BS15" s="877"/>
      <c r="BT15" s="883"/>
      <c r="BV15" s="881" t="s">
        <v>197</v>
      </c>
    </row>
    <row r="16" spans="1:74" s="358" customFormat="1" ht="31.5">
      <c r="A16" s="287">
        <v>6</v>
      </c>
      <c r="B16" s="933"/>
      <c r="C16" s="837"/>
      <c r="D16" s="838"/>
      <c r="E16" s="836" t="s">
        <v>201</v>
      </c>
      <c r="F16" s="820" t="s">
        <v>135</v>
      </c>
      <c r="G16" s="360">
        <v>4</v>
      </c>
      <c r="H16" s="360" t="s">
        <v>226</v>
      </c>
      <c r="I16" s="360">
        <v>119</v>
      </c>
      <c r="J16" s="361">
        <v>213</v>
      </c>
      <c r="K16" s="532" t="s">
        <v>221</v>
      </c>
      <c r="L16" s="1023">
        <v>0</v>
      </c>
      <c r="M16" s="363"/>
      <c r="N16" s="363"/>
      <c r="O16" s="1051">
        <f t="shared" si="21"/>
        <v>0</v>
      </c>
      <c r="P16" s="557"/>
      <c r="Q16" s="367"/>
      <c r="R16" s="557"/>
      <c r="S16" s="367"/>
      <c r="T16" s="557"/>
      <c r="U16" s="365"/>
      <c r="V16" s="366"/>
      <c r="W16" s="366"/>
      <c r="X16" s="366"/>
      <c r="Z16" s="367">
        <f t="shared" si="6"/>
        <v>0</v>
      </c>
      <c r="AA16" s="363">
        <f t="shared" si="6"/>
        <v>0</v>
      </c>
      <c r="AB16" s="280">
        <f t="shared" si="7"/>
        <v>0</v>
      </c>
      <c r="AC16" s="367">
        <f t="shared" si="8"/>
        <v>0</v>
      </c>
      <c r="AD16" s="363">
        <f t="shared" si="8"/>
        <v>0</v>
      </c>
      <c r="AE16" s="280">
        <f t="shared" si="9"/>
        <v>0</v>
      </c>
      <c r="AF16" s="367">
        <f t="shared" si="10"/>
        <v>0</v>
      </c>
      <c r="AG16" s="363">
        <f t="shared" si="10"/>
        <v>0</v>
      </c>
      <c r="AH16" s="280">
        <f t="shared" si="11"/>
        <v>0</v>
      </c>
      <c r="AI16" s="367">
        <f t="shared" si="12"/>
        <v>0</v>
      </c>
      <c r="AJ16" s="363">
        <f t="shared" si="12"/>
        <v>0</v>
      </c>
      <c r="AK16" s="280">
        <f t="shared" si="13"/>
        <v>0</v>
      </c>
      <c r="AL16" s="368"/>
      <c r="AM16" s="367">
        <f t="shared" si="14"/>
        <v>0</v>
      </c>
      <c r="AN16" s="363">
        <f t="shared" si="14"/>
        <v>0</v>
      </c>
      <c r="AO16" s="280">
        <f t="shared" si="15"/>
        <v>0</v>
      </c>
      <c r="AP16" s="367">
        <f t="shared" si="16"/>
        <v>0</v>
      </c>
      <c r="AQ16" s="363">
        <f t="shared" si="16"/>
        <v>0</v>
      </c>
      <c r="AR16" s="280">
        <f t="shared" si="17"/>
        <v>0</v>
      </c>
      <c r="AS16" s="367">
        <f t="shared" si="22"/>
        <v>0</v>
      </c>
      <c r="AT16" s="363">
        <f t="shared" si="18"/>
        <v>0</v>
      </c>
      <c r="AU16" s="280">
        <f t="shared" si="19"/>
        <v>0</v>
      </c>
      <c r="AV16" s="1253">
        <f t="shared" si="20"/>
        <v>0</v>
      </c>
      <c r="AW16" s="367"/>
      <c r="AX16" s="1097"/>
      <c r="AY16" s="363"/>
      <c r="AZ16" s="1097"/>
      <c r="BA16" s="363"/>
      <c r="BB16" s="1119"/>
      <c r="BC16" s="367"/>
      <c r="BD16" s="363"/>
      <c r="BE16" s="363"/>
      <c r="BF16" s="363"/>
      <c r="BG16" s="363"/>
      <c r="BH16" s="369"/>
      <c r="BI16" s="367"/>
      <c r="BJ16" s="363"/>
      <c r="BK16" s="363"/>
      <c r="BL16" s="363"/>
      <c r="BM16" s="363"/>
      <c r="BN16" s="369"/>
      <c r="BO16" s="367"/>
      <c r="BP16" s="363"/>
      <c r="BQ16" s="363"/>
      <c r="BR16" s="363"/>
      <c r="BS16" s="363"/>
      <c r="BT16" s="280"/>
    </row>
    <row r="17" spans="1:72" s="378" customFormat="1" ht="111" customHeight="1">
      <c r="A17" s="287">
        <v>7</v>
      </c>
      <c r="B17" s="933"/>
      <c r="C17" s="850" t="s">
        <v>377</v>
      </c>
      <c r="D17" s="851"/>
      <c r="E17" s="852" t="s">
        <v>201</v>
      </c>
      <c r="F17" s="824" t="s">
        <v>7</v>
      </c>
      <c r="G17" s="376">
        <v>4</v>
      </c>
      <c r="H17" s="376" t="s">
        <v>71</v>
      </c>
      <c r="I17" s="376">
        <v>111</v>
      </c>
      <c r="J17" s="377">
        <v>211</v>
      </c>
      <c r="K17" s="531" t="s">
        <v>513</v>
      </c>
      <c r="L17" s="1024">
        <f>SUM(L18:L22)</f>
        <v>95000</v>
      </c>
      <c r="M17" s="247"/>
      <c r="N17" s="247">
        <f>SUM(N18:N22)</f>
        <v>0</v>
      </c>
      <c r="O17" s="1060">
        <f t="shared" si="21"/>
        <v>95000</v>
      </c>
      <c r="P17" s="558"/>
      <c r="Q17" s="382">
        <f>SUM(Q18:Q22)</f>
        <v>115000</v>
      </c>
      <c r="R17" s="558"/>
      <c r="S17" s="382">
        <f t="shared" ref="S17" si="23">SUM(S18:S22)</f>
        <v>87000</v>
      </c>
      <c r="T17" s="558"/>
      <c r="U17" s="380"/>
      <c r="V17" s="381"/>
      <c r="W17" s="381"/>
      <c r="X17" s="381"/>
      <c r="Z17" s="382">
        <f t="shared" si="6"/>
        <v>15000</v>
      </c>
      <c r="AA17" s="247">
        <f t="shared" si="6"/>
        <v>15000</v>
      </c>
      <c r="AB17" s="383">
        <f t="shared" si="7"/>
        <v>0</v>
      </c>
      <c r="AC17" s="382">
        <f t="shared" si="8"/>
        <v>41000</v>
      </c>
      <c r="AD17" s="247">
        <f t="shared" si="8"/>
        <v>6000</v>
      </c>
      <c r="AE17" s="383">
        <f t="shared" si="9"/>
        <v>35000</v>
      </c>
      <c r="AF17" s="382">
        <f t="shared" si="10"/>
        <v>12000</v>
      </c>
      <c r="AG17" s="247">
        <f t="shared" si="10"/>
        <v>0</v>
      </c>
      <c r="AH17" s="383">
        <f t="shared" si="11"/>
        <v>12000</v>
      </c>
      <c r="AI17" s="382">
        <f t="shared" si="12"/>
        <v>27000</v>
      </c>
      <c r="AJ17" s="247">
        <f t="shared" si="12"/>
        <v>0</v>
      </c>
      <c r="AK17" s="383">
        <f t="shared" si="13"/>
        <v>27000</v>
      </c>
      <c r="AL17" s="250"/>
      <c r="AM17" s="382">
        <f t="shared" si="14"/>
        <v>56000</v>
      </c>
      <c r="AN17" s="247">
        <f t="shared" si="14"/>
        <v>21000</v>
      </c>
      <c r="AO17" s="383">
        <f t="shared" si="15"/>
        <v>35000</v>
      </c>
      <c r="AP17" s="382">
        <f t="shared" si="16"/>
        <v>68000</v>
      </c>
      <c r="AQ17" s="247">
        <f t="shared" si="16"/>
        <v>21000</v>
      </c>
      <c r="AR17" s="383">
        <f t="shared" si="17"/>
        <v>47000</v>
      </c>
      <c r="AS17" s="382">
        <f t="shared" si="22"/>
        <v>95000</v>
      </c>
      <c r="AT17" s="247">
        <f t="shared" si="18"/>
        <v>21000</v>
      </c>
      <c r="AU17" s="383">
        <f t="shared" si="19"/>
        <v>74000</v>
      </c>
      <c r="AV17" s="1251">
        <f t="shared" si="20"/>
        <v>0</v>
      </c>
      <c r="AW17" s="1195">
        <f t="shared" ref="AW17:BT17" si="24">SUM(AW18:AW22)</f>
        <v>0</v>
      </c>
      <c r="AX17" s="1105">
        <f t="shared" si="24"/>
        <v>0</v>
      </c>
      <c r="AY17" s="247">
        <f t="shared" si="24"/>
        <v>15000</v>
      </c>
      <c r="AZ17" s="1105">
        <f t="shared" si="24"/>
        <v>15000</v>
      </c>
      <c r="BA17" s="247">
        <f t="shared" si="24"/>
        <v>0</v>
      </c>
      <c r="BB17" s="1124">
        <f t="shared" si="24"/>
        <v>0</v>
      </c>
      <c r="BC17" s="382">
        <f t="shared" si="24"/>
        <v>21000</v>
      </c>
      <c r="BD17" s="247">
        <f t="shared" si="24"/>
        <v>6000</v>
      </c>
      <c r="BE17" s="247">
        <f t="shared" si="24"/>
        <v>20000</v>
      </c>
      <c r="BF17" s="247">
        <f t="shared" si="24"/>
        <v>0</v>
      </c>
      <c r="BG17" s="247">
        <f t="shared" si="24"/>
        <v>0</v>
      </c>
      <c r="BH17" s="384">
        <f t="shared" si="24"/>
        <v>0</v>
      </c>
      <c r="BI17" s="382">
        <f t="shared" si="24"/>
        <v>7000</v>
      </c>
      <c r="BJ17" s="247">
        <f t="shared" si="24"/>
        <v>0</v>
      </c>
      <c r="BK17" s="247">
        <f t="shared" si="24"/>
        <v>5000</v>
      </c>
      <c r="BL17" s="247">
        <f t="shared" si="24"/>
        <v>0</v>
      </c>
      <c r="BM17" s="247">
        <f t="shared" si="24"/>
        <v>0</v>
      </c>
      <c r="BN17" s="384">
        <f t="shared" si="24"/>
        <v>0</v>
      </c>
      <c r="BO17" s="382">
        <f t="shared" si="24"/>
        <v>7000</v>
      </c>
      <c r="BP17" s="247">
        <f t="shared" si="24"/>
        <v>0</v>
      </c>
      <c r="BQ17" s="247">
        <f t="shared" si="24"/>
        <v>20000</v>
      </c>
      <c r="BR17" s="247">
        <f t="shared" si="24"/>
        <v>0</v>
      </c>
      <c r="BS17" s="247">
        <f t="shared" si="24"/>
        <v>0</v>
      </c>
      <c r="BT17" s="383">
        <f t="shared" si="24"/>
        <v>0</v>
      </c>
    </row>
    <row r="18" spans="1:72" s="313" customFormat="1" ht="25.5" outlineLevel="1">
      <c r="A18" s="287">
        <v>8</v>
      </c>
      <c r="B18" s="933"/>
      <c r="C18" s="840"/>
      <c r="D18" s="841"/>
      <c r="E18" s="839"/>
      <c r="F18" s="821" t="s">
        <v>7</v>
      </c>
      <c r="G18" s="314">
        <v>4</v>
      </c>
      <c r="H18" s="739" t="s">
        <v>71</v>
      </c>
      <c r="I18" s="739">
        <v>111</v>
      </c>
      <c r="J18" s="740">
        <v>211</v>
      </c>
      <c r="K18" s="533" t="s">
        <v>316</v>
      </c>
      <c r="L18" s="1025">
        <v>10000</v>
      </c>
      <c r="M18" s="318"/>
      <c r="N18" s="318"/>
      <c r="O18" s="1052">
        <f t="shared" si="21"/>
        <v>10000</v>
      </c>
      <c r="P18" s="559"/>
      <c r="Q18" s="341">
        <f>10000*3</f>
        <v>30000</v>
      </c>
      <c r="R18" s="559"/>
      <c r="S18" s="341">
        <v>10000</v>
      </c>
      <c r="T18" s="559"/>
      <c r="U18" s="335"/>
      <c r="V18" s="320"/>
      <c r="W18" s="320"/>
      <c r="X18" s="320"/>
      <c r="Z18" s="336">
        <f t="shared" si="6"/>
        <v>0</v>
      </c>
      <c r="AA18" s="337">
        <f t="shared" si="6"/>
        <v>0</v>
      </c>
      <c r="AB18" s="338">
        <f t="shared" si="7"/>
        <v>0</v>
      </c>
      <c r="AC18" s="336">
        <f t="shared" si="8"/>
        <v>10000</v>
      </c>
      <c r="AD18" s="337">
        <f t="shared" si="8"/>
        <v>0</v>
      </c>
      <c r="AE18" s="338">
        <f t="shared" si="9"/>
        <v>10000</v>
      </c>
      <c r="AF18" s="336">
        <f t="shared" si="10"/>
        <v>0</v>
      </c>
      <c r="AG18" s="337">
        <f t="shared" si="10"/>
        <v>0</v>
      </c>
      <c r="AH18" s="338">
        <f t="shared" si="11"/>
        <v>0</v>
      </c>
      <c r="AI18" s="336">
        <f t="shared" si="12"/>
        <v>0</v>
      </c>
      <c r="AJ18" s="337">
        <f t="shared" si="12"/>
        <v>0</v>
      </c>
      <c r="AK18" s="338">
        <f t="shared" si="13"/>
        <v>0</v>
      </c>
      <c r="AL18" s="342"/>
      <c r="AM18" s="336">
        <f t="shared" si="14"/>
        <v>10000</v>
      </c>
      <c r="AN18" s="339">
        <f t="shared" si="14"/>
        <v>0</v>
      </c>
      <c r="AO18" s="340">
        <f t="shared" si="15"/>
        <v>10000</v>
      </c>
      <c r="AP18" s="336">
        <f t="shared" si="16"/>
        <v>10000</v>
      </c>
      <c r="AQ18" s="339">
        <f t="shared" si="16"/>
        <v>0</v>
      </c>
      <c r="AR18" s="340">
        <f t="shared" si="17"/>
        <v>10000</v>
      </c>
      <c r="AS18" s="341">
        <f t="shared" si="22"/>
        <v>10000</v>
      </c>
      <c r="AT18" s="339">
        <f t="shared" si="18"/>
        <v>0</v>
      </c>
      <c r="AU18" s="340">
        <f t="shared" si="19"/>
        <v>10000</v>
      </c>
      <c r="AV18" s="1255">
        <f t="shared" si="20"/>
        <v>0</v>
      </c>
      <c r="AW18" s="345"/>
      <c r="AX18" s="1194"/>
      <c r="AY18" s="345"/>
      <c r="AZ18" s="1098"/>
      <c r="BA18" s="345"/>
      <c r="BB18" s="1120"/>
      <c r="BC18" s="347">
        <v>10000</v>
      </c>
      <c r="BD18" s="348"/>
      <c r="BE18" s="349"/>
      <c r="BF18" s="348"/>
      <c r="BG18" s="349"/>
      <c r="BH18" s="350"/>
      <c r="BI18" s="351"/>
      <c r="BJ18" s="352"/>
      <c r="BK18" s="337"/>
      <c r="BL18" s="352"/>
      <c r="BM18" s="337"/>
      <c r="BN18" s="353"/>
      <c r="BO18" s="354"/>
      <c r="BP18" s="355"/>
      <c r="BQ18" s="356"/>
      <c r="BR18" s="355"/>
      <c r="BS18" s="356"/>
      <c r="BT18" s="357"/>
    </row>
    <row r="19" spans="1:72" s="313" customFormat="1" ht="25.5" outlineLevel="1">
      <c r="A19" s="287">
        <v>9</v>
      </c>
      <c r="B19" s="933"/>
      <c r="C19" s="840"/>
      <c r="D19" s="841"/>
      <c r="E19" s="839"/>
      <c r="F19" s="821" t="s">
        <v>7</v>
      </c>
      <c r="G19" s="314">
        <v>4</v>
      </c>
      <c r="H19" s="739" t="s">
        <v>71</v>
      </c>
      <c r="I19" s="739">
        <v>111</v>
      </c>
      <c r="J19" s="740">
        <v>211</v>
      </c>
      <c r="K19" s="533" t="s">
        <v>317</v>
      </c>
      <c r="L19" s="1025">
        <f>20000*2</f>
        <v>40000</v>
      </c>
      <c r="M19" s="318"/>
      <c r="N19" s="318"/>
      <c r="O19" s="1052">
        <f t="shared" si="21"/>
        <v>40000</v>
      </c>
      <c r="P19" s="559"/>
      <c r="Q19" s="341">
        <f>20000*2</f>
        <v>40000</v>
      </c>
      <c r="R19" s="559"/>
      <c r="S19" s="341">
        <f>20000*2</f>
        <v>40000</v>
      </c>
      <c r="T19" s="559"/>
      <c r="U19" s="335"/>
      <c r="V19" s="320"/>
      <c r="W19" s="320"/>
      <c r="X19" s="320"/>
      <c r="Z19" s="336">
        <f t="shared" si="6"/>
        <v>0</v>
      </c>
      <c r="AA19" s="337">
        <f t="shared" si="6"/>
        <v>0</v>
      </c>
      <c r="AB19" s="338">
        <f t="shared" si="7"/>
        <v>0</v>
      </c>
      <c r="AC19" s="336">
        <f t="shared" si="8"/>
        <v>20000</v>
      </c>
      <c r="AD19" s="337">
        <f t="shared" si="8"/>
        <v>0</v>
      </c>
      <c r="AE19" s="338">
        <f t="shared" si="9"/>
        <v>20000</v>
      </c>
      <c r="AF19" s="336">
        <f t="shared" si="10"/>
        <v>0</v>
      </c>
      <c r="AG19" s="337">
        <f t="shared" si="10"/>
        <v>0</v>
      </c>
      <c r="AH19" s="338">
        <f t="shared" si="11"/>
        <v>0</v>
      </c>
      <c r="AI19" s="336">
        <f t="shared" si="12"/>
        <v>20000</v>
      </c>
      <c r="AJ19" s="337">
        <f t="shared" si="12"/>
        <v>0</v>
      </c>
      <c r="AK19" s="338">
        <f t="shared" si="13"/>
        <v>20000</v>
      </c>
      <c r="AL19" s="342"/>
      <c r="AM19" s="336">
        <f t="shared" si="14"/>
        <v>20000</v>
      </c>
      <c r="AN19" s="339">
        <f t="shared" si="14"/>
        <v>0</v>
      </c>
      <c r="AO19" s="340">
        <f t="shared" si="15"/>
        <v>20000</v>
      </c>
      <c r="AP19" s="336">
        <f t="shared" si="16"/>
        <v>20000</v>
      </c>
      <c r="AQ19" s="339">
        <f t="shared" si="16"/>
        <v>0</v>
      </c>
      <c r="AR19" s="340">
        <f t="shared" si="17"/>
        <v>20000</v>
      </c>
      <c r="AS19" s="341">
        <f t="shared" si="22"/>
        <v>40000</v>
      </c>
      <c r="AT19" s="339">
        <f t="shared" si="18"/>
        <v>0</v>
      </c>
      <c r="AU19" s="340">
        <f t="shared" si="19"/>
        <v>40000</v>
      </c>
      <c r="AV19" s="1255">
        <f t="shared" si="20"/>
        <v>0</v>
      </c>
      <c r="AW19" s="1196"/>
      <c r="AX19" s="1098"/>
      <c r="AY19" s="345"/>
      <c r="AZ19" s="1098"/>
      <c r="BA19" s="345"/>
      <c r="BB19" s="1120"/>
      <c r="BC19" s="347"/>
      <c r="BD19" s="348"/>
      <c r="BE19" s="349">
        <v>20000</v>
      </c>
      <c r="BF19" s="348"/>
      <c r="BG19" s="349"/>
      <c r="BH19" s="350"/>
      <c r="BI19" s="351"/>
      <c r="BJ19" s="352"/>
      <c r="BK19" s="337"/>
      <c r="BL19" s="352"/>
      <c r="BM19" s="337"/>
      <c r="BN19" s="353"/>
      <c r="BO19" s="354"/>
      <c r="BP19" s="355"/>
      <c r="BQ19" s="356">
        <v>20000</v>
      </c>
      <c r="BR19" s="355"/>
      <c r="BS19" s="356"/>
      <c r="BT19" s="357"/>
    </row>
    <row r="20" spans="1:72" s="313" customFormat="1" ht="25.5" outlineLevel="1">
      <c r="A20" s="287">
        <v>10</v>
      </c>
      <c r="B20" s="1148"/>
      <c r="C20" s="840"/>
      <c r="D20" s="841"/>
      <c r="E20" s="839"/>
      <c r="F20" s="821" t="s">
        <v>7</v>
      </c>
      <c r="G20" s="314">
        <v>4</v>
      </c>
      <c r="H20" s="739" t="s">
        <v>71</v>
      </c>
      <c r="I20" s="739">
        <v>111</v>
      </c>
      <c r="J20" s="740">
        <v>211</v>
      </c>
      <c r="K20" s="533" t="s">
        <v>318</v>
      </c>
      <c r="L20" s="1025">
        <f>5000*3-10000</f>
        <v>5000</v>
      </c>
      <c r="M20" s="318"/>
      <c r="N20" s="318"/>
      <c r="O20" s="1052">
        <f t="shared" si="21"/>
        <v>5000</v>
      </c>
      <c r="P20" s="559"/>
      <c r="Q20" s="341">
        <f>5000*3</f>
        <v>15000</v>
      </c>
      <c r="R20" s="559"/>
      <c r="S20" s="341">
        <f>5000*3</f>
        <v>15000</v>
      </c>
      <c r="T20" s="559"/>
      <c r="U20" s="335"/>
      <c r="V20" s="320"/>
      <c r="W20" s="320"/>
      <c r="X20" s="320"/>
      <c r="Z20" s="336">
        <f t="shared" si="6"/>
        <v>0</v>
      </c>
      <c r="AA20" s="337">
        <f t="shared" si="6"/>
        <v>0</v>
      </c>
      <c r="AB20" s="338">
        <f t="shared" si="7"/>
        <v>0</v>
      </c>
      <c r="AC20" s="336">
        <f t="shared" si="8"/>
        <v>0</v>
      </c>
      <c r="AD20" s="337">
        <f t="shared" si="8"/>
        <v>0</v>
      </c>
      <c r="AE20" s="338">
        <f t="shared" si="9"/>
        <v>0</v>
      </c>
      <c r="AF20" s="336">
        <f t="shared" si="10"/>
        <v>5000</v>
      </c>
      <c r="AG20" s="337">
        <f t="shared" si="10"/>
        <v>0</v>
      </c>
      <c r="AH20" s="338">
        <f t="shared" si="11"/>
        <v>5000</v>
      </c>
      <c r="AI20" s="336">
        <f t="shared" si="12"/>
        <v>0</v>
      </c>
      <c r="AJ20" s="337">
        <f t="shared" si="12"/>
        <v>0</v>
      </c>
      <c r="AK20" s="338">
        <f t="shared" si="13"/>
        <v>0</v>
      </c>
      <c r="AL20" s="342"/>
      <c r="AM20" s="336">
        <f t="shared" si="14"/>
        <v>0</v>
      </c>
      <c r="AN20" s="339">
        <f t="shared" si="14"/>
        <v>0</v>
      </c>
      <c r="AO20" s="340">
        <f t="shared" si="15"/>
        <v>0</v>
      </c>
      <c r="AP20" s="336">
        <f t="shared" si="16"/>
        <v>5000</v>
      </c>
      <c r="AQ20" s="339">
        <f t="shared" si="16"/>
        <v>0</v>
      </c>
      <c r="AR20" s="340">
        <f t="shared" si="17"/>
        <v>5000</v>
      </c>
      <c r="AS20" s="341">
        <f t="shared" si="22"/>
        <v>5000</v>
      </c>
      <c r="AT20" s="339">
        <f t="shared" si="18"/>
        <v>0</v>
      </c>
      <c r="AU20" s="340">
        <f t="shared" si="19"/>
        <v>5000</v>
      </c>
      <c r="AV20" s="1255">
        <f t="shared" si="20"/>
        <v>0</v>
      </c>
      <c r="AW20" s="343"/>
      <c r="AX20" s="1098"/>
      <c r="AY20" s="345"/>
      <c r="AZ20" s="1098"/>
      <c r="BA20" s="345"/>
      <c r="BB20" s="1120"/>
      <c r="BC20" s="347"/>
      <c r="BD20" s="348"/>
      <c r="BE20" s="349"/>
      <c r="BF20" s="348"/>
      <c r="BG20" s="349"/>
      <c r="BH20" s="350"/>
      <c r="BI20" s="351"/>
      <c r="BJ20" s="352"/>
      <c r="BK20" s="337">
        <v>5000</v>
      </c>
      <c r="BL20" s="352"/>
      <c r="BM20" s="337"/>
      <c r="BN20" s="353"/>
      <c r="BO20" s="354"/>
      <c r="BP20" s="355"/>
      <c r="BQ20" s="356"/>
      <c r="BR20" s="355"/>
      <c r="BS20" s="356"/>
      <c r="BT20" s="357"/>
    </row>
    <row r="21" spans="1:72" s="313" customFormat="1" ht="25.5" outlineLevel="1">
      <c r="A21" s="287">
        <v>11</v>
      </c>
      <c r="B21" s="1151"/>
      <c r="C21" s="840"/>
      <c r="D21" s="841"/>
      <c r="E21" s="839"/>
      <c r="F21" s="821" t="s">
        <v>7</v>
      </c>
      <c r="G21" s="314">
        <v>4</v>
      </c>
      <c r="H21" s="739" t="s">
        <v>71</v>
      </c>
      <c r="I21" s="739">
        <v>111</v>
      </c>
      <c r="J21" s="740">
        <v>211</v>
      </c>
      <c r="K21" s="533" t="s">
        <v>680</v>
      </c>
      <c r="L21" s="1025">
        <v>10000</v>
      </c>
      <c r="M21" s="318"/>
      <c r="N21" s="318"/>
      <c r="O21" s="1052">
        <f t="shared" si="21"/>
        <v>10000</v>
      </c>
      <c r="P21" s="559"/>
      <c r="Q21" s="341">
        <v>0</v>
      </c>
      <c r="R21" s="559"/>
      <c r="S21" s="341">
        <v>0</v>
      </c>
      <c r="T21" s="559"/>
      <c r="U21" s="335"/>
      <c r="V21" s="320"/>
      <c r="W21" s="320"/>
      <c r="X21" s="320"/>
      <c r="Z21" s="336"/>
      <c r="AA21" s="337"/>
      <c r="AB21" s="338"/>
      <c r="AC21" s="336"/>
      <c r="AD21" s="337"/>
      <c r="AE21" s="338"/>
      <c r="AF21" s="336"/>
      <c r="AG21" s="337"/>
      <c r="AH21" s="338"/>
      <c r="AI21" s="336"/>
      <c r="AJ21" s="337"/>
      <c r="AK21" s="338"/>
      <c r="AL21" s="342"/>
      <c r="AM21" s="336"/>
      <c r="AN21" s="339"/>
      <c r="AO21" s="340"/>
      <c r="AP21" s="336"/>
      <c r="AQ21" s="339"/>
      <c r="AR21" s="340"/>
      <c r="AS21" s="341"/>
      <c r="AT21" s="339"/>
      <c r="AU21" s="340"/>
      <c r="AV21" s="1255"/>
      <c r="AW21" s="343"/>
      <c r="AX21" s="1098"/>
      <c r="AY21" s="345">
        <v>10000</v>
      </c>
      <c r="AZ21" s="1098">
        <v>10000</v>
      </c>
      <c r="BA21" s="345"/>
      <c r="BB21" s="1120"/>
      <c r="BC21" s="347"/>
      <c r="BD21" s="348"/>
      <c r="BE21" s="349"/>
      <c r="BF21" s="348"/>
      <c r="BG21" s="349"/>
      <c r="BH21" s="350"/>
      <c r="BI21" s="351"/>
      <c r="BJ21" s="352"/>
      <c r="BK21" s="337"/>
      <c r="BL21" s="352"/>
      <c r="BM21" s="337"/>
      <c r="BN21" s="353"/>
      <c r="BO21" s="354"/>
      <c r="BP21" s="355"/>
      <c r="BQ21" s="356"/>
      <c r="BR21" s="355"/>
      <c r="BS21" s="356"/>
      <c r="BT21" s="357"/>
    </row>
    <row r="22" spans="1:72" s="313" customFormat="1" ht="38.25" outlineLevel="1">
      <c r="A22" s="287">
        <v>12</v>
      </c>
      <c r="B22" s="936"/>
      <c r="C22" s="840"/>
      <c r="D22" s="841"/>
      <c r="E22" s="839"/>
      <c r="F22" s="821" t="s">
        <v>7</v>
      </c>
      <c r="G22" s="314">
        <v>4</v>
      </c>
      <c r="H22" s="739" t="s">
        <v>71</v>
      </c>
      <c r="I22" s="739">
        <v>111</v>
      </c>
      <c r="J22" s="740">
        <v>211</v>
      </c>
      <c r="K22" s="533" t="s">
        <v>322</v>
      </c>
      <c r="L22" s="1025">
        <f>1000*9*4-6000</f>
        <v>30000</v>
      </c>
      <c r="M22" s="318"/>
      <c r="N22" s="318"/>
      <c r="O22" s="1052">
        <f t="shared" si="21"/>
        <v>30000</v>
      </c>
      <c r="P22" s="559"/>
      <c r="Q22" s="341">
        <f>1000*7*4+1000*1*2</f>
        <v>30000</v>
      </c>
      <c r="R22" s="559"/>
      <c r="S22" s="341">
        <f>1000*4*4+1000*2*3</f>
        <v>22000</v>
      </c>
      <c r="T22" s="559"/>
      <c r="U22" s="335"/>
      <c r="V22" s="320"/>
      <c r="W22" s="320"/>
      <c r="X22" s="320"/>
      <c r="Z22" s="336">
        <f t="shared" si="6"/>
        <v>5000</v>
      </c>
      <c r="AA22" s="337">
        <f t="shared" si="6"/>
        <v>5000</v>
      </c>
      <c r="AB22" s="338">
        <f t="shared" si="7"/>
        <v>0</v>
      </c>
      <c r="AC22" s="336">
        <f t="shared" si="8"/>
        <v>11000</v>
      </c>
      <c r="AD22" s="337">
        <f t="shared" si="8"/>
        <v>6000</v>
      </c>
      <c r="AE22" s="338">
        <f t="shared" si="9"/>
        <v>5000</v>
      </c>
      <c r="AF22" s="336">
        <f t="shared" si="10"/>
        <v>7000</v>
      </c>
      <c r="AG22" s="337">
        <f t="shared" si="10"/>
        <v>0</v>
      </c>
      <c r="AH22" s="338">
        <f t="shared" si="11"/>
        <v>7000</v>
      </c>
      <c r="AI22" s="336">
        <f t="shared" si="12"/>
        <v>7000</v>
      </c>
      <c r="AJ22" s="337">
        <f t="shared" si="12"/>
        <v>0</v>
      </c>
      <c r="AK22" s="338">
        <f t="shared" si="13"/>
        <v>7000</v>
      </c>
      <c r="AL22" s="342"/>
      <c r="AM22" s="336">
        <f t="shared" si="14"/>
        <v>16000</v>
      </c>
      <c r="AN22" s="339">
        <f t="shared" si="14"/>
        <v>11000</v>
      </c>
      <c r="AO22" s="340">
        <f t="shared" si="15"/>
        <v>5000</v>
      </c>
      <c r="AP22" s="336">
        <f t="shared" si="16"/>
        <v>23000</v>
      </c>
      <c r="AQ22" s="339">
        <f t="shared" si="16"/>
        <v>11000</v>
      </c>
      <c r="AR22" s="340">
        <f t="shared" si="17"/>
        <v>12000</v>
      </c>
      <c r="AS22" s="341">
        <f t="shared" si="22"/>
        <v>30000</v>
      </c>
      <c r="AT22" s="339">
        <f t="shared" si="18"/>
        <v>11000</v>
      </c>
      <c r="AU22" s="340">
        <f t="shared" si="19"/>
        <v>19000</v>
      </c>
      <c r="AV22" s="1255">
        <f t="shared" si="20"/>
        <v>0</v>
      </c>
      <c r="AW22" s="343"/>
      <c r="AX22" s="1098"/>
      <c r="AY22" s="345">
        <v>5000</v>
      </c>
      <c r="AZ22" s="1098">
        <v>5000</v>
      </c>
      <c r="BA22" s="345"/>
      <c r="BB22" s="1120"/>
      <c r="BC22" s="347">
        <f>9000-2000+4000</f>
        <v>11000</v>
      </c>
      <c r="BD22" s="348">
        <v>6000</v>
      </c>
      <c r="BE22" s="349"/>
      <c r="BF22" s="348"/>
      <c r="BG22" s="349"/>
      <c r="BH22" s="350"/>
      <c r="BI22" s="351">
        <f>9000-2000</f>
        <v>7000</v>
      </c>
      <c r="BJ22" s="352"/>
      <c r="BK22" s="337"/>
      <c r="BL22" s="352"/>
      <c r="BM22" s="337"/>
      <c r="BN22" s="353"/>
      <c r="BO22" s="354">
        <f>9000-2000</f>
        <v>7000</v>
      </c>
      <c r="BP22" s="355"/>
      <c r="BQ22" s="356"/>
      <c r="BR22" s="355"/>
      <c r="BS22" s="356"/>
      <c r="BT22" s="357"/>
    </row>
    <row r="23" spans="1:72" s="358" customFormat="1" ht="94.5">
      <c r="A23" s="287">
        <v>13</v>
      </c>
      <c r="B23" s="936"/>
      <c r="C23" s="850" t="s">
        <v>377</v>
      </c>
      <c r="D23" s="838"/>
      <c r="E23" s="836" t="s">
        <v>201</v>
      </c>
      <c r="F23" s="820" t="s">
        <v>7</v>
      </c>
      <c r="G23" s="360">
        <v>4</v>
      </c>
      <c r="H23" s="360" t="s">
        <v>71</v>
      </c>
      <c r="I23" s="360">
        <v>111</v>
      </c>
      <c r="J23" s="361">
        <v>266</v>
      </c>
      <c r="K23" s="532" t="s">
        <v>536</v>
      </c>
      <c r="L23" s="1023">
        <f>SUM(L24:L26)</f>
        <v>308770.48</v>
      </c>
      <c r="M23" s="363"/>
      <c r="N23" s="363">
        <f>SUM(N24:N26)</f>
        <v>0</v>
      </c>
      <c r="O23" s="1051">
        <f t="shared" si="21"/>
        <v>308770.48</v>
      </c>
      <c r="P23" s="557"/>
      <c r="Q23" s="367">
        <f>SUM(Q24:Q26)</f>
        <v>174498.02</v>
      </c>
      <c r="R23" s="557"/>
      <c r="S23" s="367">
        <f>SUM(S24:S26)</f>
        <v>146516.96</v>
      </c>
      <c r="T23" s="557"/>
      <c r="U23" s="365"/>
      <c r="V23" s="366"/>
      <c r="W23" s="366"/>
      <c r="X23" s="366"/>
      <c r="Z23" s="367">
        <f t="shared" si="6"/>
        <v>13266</v>
      </c>
      <c r="AA23" s="363">
        <f t="shared" si="6"/>
        <v>9261.42</v>
      </c>
      <c r="AB23" s="280">
        <f t="shared" si="7"/>
        <v>4004.58</v>
      </c>
      <c r="AC23" s="367">
        <f t="shared" si="8"/>
        <v>12000</v>
      </c>
      <c r="AD23" s="363">
        <f t="shared" si="8"/>
        <v>28844.98</v>
      </c>
      <c r="AE23" s="280">
        <f t="shared" si="9"/>
        <v>-16844.98</v>
      </c>
      <c r="AF23" s="367">
        <f t="shared" si="10"/>
        <v>168570.48</v>
      </c>
      <c r="AG23" s="363">
        <f t="shared" si="10"/>
        <v>0</v>
      </c>
      <c r="AH23" s="280">
        <f t="shared" si="11"/>
        <v>168570.48</v>
      </c>
      <c r="AI23" s="367">
        <f t="shared" si="12"/>
        <v>14934</v>
      </c>
      <c r="AJ23" s="363">
        <f t="shared" si="12"/>
        <v>0</v>
      </c>
      <c r="AK23" s="280">
        <f t="shared" si="13"/>
        <v>14934</v>
      </c>
      <c r="AL23" s="368"/>
      <c r="AM23" s="367">
        <f t="shared" si="14"/>
        <v>25266</v>
      </c>
      <c r="AN23" s="363">
        <f t="shared" si="14"/>
        <v>38106.400000000001</v>
      </c>
      <c r="AO23" s="280">
        <f t="shared" si="15"/>
        <v>-12840.4</v>
      </c>
      <c r="AP23" s="367">
        <f t="shared" si="16"/>
        <v>193836.48</v>
      </c>
      <c r="AQ23" s="363">
        <f t="shared" si="16"/>
        <v>38106.400000000001</v>
      </c>
      <c r="AR23" s="280">
        <f t="shared" si="17"/>
        <v>155730.07999999999</v>
      </c>
      <c r="AS23" s="367">
        <f t="shared" si="22"/>
        <v>208770.48</v>
      </c>
      <c r="AT23" s="363">
        <f t="shared" si="18"/>
        <v>38106.400000000001</v>
      </c>
      <c r="AU23" s="280">
        <f t="shared" si="19"/>
        <v>170664.08</v>
      </c>
      <c r="AV23" s="1253">
        <f t="shared" si="20"/>
        <v>100000</v>
      </c>
      <c r="AW23" s="367">
        <f t="shared" ref="AW23:BS23" si="25">SUM(AW24:AW26)</f>
        <v>0</v>
      </c>
      <c r="AX23" s="1097">
        <f t="shared" si="25"/>
        <v>1923.31</v>
      </c>
      <c r="AY23" s="363">
        <f t="shared" si="25"/>
        <v>13266</v>
      </c>
      <c r="AZ23" s="1097">
        <f t="shared" si="25"/>
        <v>574</v>
      </c>
      <c r="BA23" s="363">
        <f t="shared" si="25"/>
        <v>0</v>
      </c>
      <c r="BB23" s="1119">
        <f t="shared" si="25"/>
        <v>6764.11</v>
      </c>
      <c r="BC23" s="367">
        <f t="shared" si="25"/>
        <v>2000</v>
      </c>
      <c r="BD23" s="363">
        <f t="shared" si="25"/>
        <v>18844.98</v>
      </c>
      <c r="BE23" s="363">
        <f t="shared" si="25"/>
        <v>10000</v>
      </c>
      <c r="BF23" s="363">
        <f t="shared" si="25"/>
        <v>10000</v>
      </c>
      <c r="BG23" s="363">
        <f t="shared" si="25"/>
        <v>0</v>
      </c>
      <c r="BH23" s="369">
        <f t="shared" si="25"/>
        <v>0</v>
      </c>
      <c r="BI23" s="367">
        <f t="shared" si="25"/>
        <v>2000</v>
      </c>
      <c r="BJ23" s="363">
        <f t="shared" si="25"/>
        <v>0</v>
      </c>
      <c r="BK23" s="363">
        <f t="shared" si="25"/>
        <v>132483.46</v>
      </c>
      <c r="BL23" s="363">
        <f t="shared" si="25"/>
        <v>0</v>
      </c>
      <c r="BM23" s="363">
        <f t="shared" si="25"/>
        <v>34087.019999999997</v>
      </c>
      <c r="BN23" s="369">
        <f t="shared" si="25"/>
        <v>0</v>
      </c>
      <c r="BO23" s="367">
        <f t="shared" si="25"/>
        <v>2000</v>
      </c>
      <c r="BP23" s="363">
        <f t="shared" si="25"/>
        <v>0</v>
      </c>
      <c r="BQ23" s="363">
        <f t="shared" si="25"/>
        <v>6200</v>
      </c>
      <c r="BR23" s="363">
        <f t="shared" si="25"/>
        <v>0</v>
      </c>
      <c r="BS23" s="363">
        <f t="shared" si="25"/>
        <v>6734</v>
      </c>
      <c r="BT23" s="280"/>
    </row>
    <row r="24" spans="1:72" s="313" customFormat="1" ht="38.25">
      <c r="A24" s="287">
        <v>14</v>
      </c>
      <c r="B24" s="936" t="s">
        <v>716</v>
      </c>
      <c r="C24" s="840"/>
      <c r="D24" s="841"/>
      <c r="E24" s="839"/>
      <c r="F24" s="821" t="s">
        <v>7</v>
      </c>
      <c r="G24" s="314">
        <v>4</v>
      </c>
      <c r="H24" s="739" t="s">
        <v>71</v>
      </c>
      <c r="I24" s="739">
        <v>111</v>
      </c>
      <c r="J24" s="740">
        <v>266</v>
      </c>
      <c r="K24" s="317" t="s">
        <v>535</v>
      </c>
      <c r="L24" s="1025">
        <v>146200</v>
      </c>
      <c r="M24" s="318"/>
      <c r="N24" s="318"/>
      <c r="O24" s="1052">
        <f t="shared" si="21"/>
        <v>146200</v>
      </c>
      <c r="P24" s="329"/>
      <c r="Q24" s="319">
        <v>46200</v>
      </c>
      <c r="R24" s="329"/>
      <c r="S24" s="319">
        <v>46200</v>
      </c>
      <c r="T24" s="329"/>
      <c r="U24" s="335"/>
      <c r="V24" s="320"/>
      <c r="W24" s="320"/>
      <c r="X24" s="320"/>
      <c r="Z24" s="336">
        <f t="shared" si="6"/>
        <v>13266</v>
      </c>
      <c r="AA24" s="337">
        <f t="shared" si="6"/>
        <v>9261.42</v>
      </c>
      <c r="AB24" s="338">
        <f t="shared" si="7"/>
        <v>4004.58</v>
      </c>
      <c r="AC24" s="336">
        <f t="shared" si="8"/>
        <v>10000</v>
      </c>
      <c r="AD24" s="337">
        <f t="shared" si="8"/>
        <v>18844.98</v>
      </c>
      <c r="AE24" s="338">
        <f t="shared" si="9"/>
        <v>-8844.98</v>
      </c>
      <c r="AF24" s="336">
        <f t="shared" si="10"/>
        <v>10000</v>
      </c>
      <c r="AG24" s="337">
        <f t="shared" si="10"/>
        <v>0</v>
      </c>
      <c r="AH24" s="338">
        <f t="shared" si="11"/>
        <v>10000</v>
      </c>
      <c r="AI24" s="336">
        <f t="shared" si="12"/>
        <v>12934</v>
      </c>
      <c r="AJ24" s="337">
        <f t="shared" si="12"/>
        <v>0</v>
      </c>
      <c r="AK24" s="338">
        <f t="shared" si="13"/>
        <v>12934</v>
      </c>
      <c r="AL24" s="342"/>
      <c r="AM24" s="336">
        <f t="shared" si="14"/>
        <v>23266</v>
      </c>
      <c r="AN24" s="339">
        <f t="shared" si="14"/>
        <v>28106.400000000001</v>
      </c>
      <c r="AO24" s="340">
        <f t="shared" si="15"/>
        <v>-4840.3999999999996</v>
      </c>
      <c r="AP24" s="336">
        <f t="shared" si="16"/>
        <v>33266</v>
      </c>
      <c r="AQ24" s="339">
        <f t="shared" si="16"/>
        <v>28106.400000000001</v>
      </c>
      <c r="AR24" s="340">
        <f t="shared" si="17"/>
        <v>5159.6000000000004</v>
      </c>
      <c r="AS24" s="341">
        <f t="shared" si="22"/>
        <v>46200</v>
      </c>
      <c r="AT24" s="339">
        <f t="shared" si="18"/>
        <v>28106.400000000001</v>
      </c>
      <c r="AU24" s="340">
        <f t="shared" si="19"/>
        <v>18093.599999999999</v>
      </c>
      <c r="AV24" s="1255">
        <f t="shared" si="20"/>
        <v>100000</v>
      </c>
      <c r="AW24" s="343"/>
      <c r="AX24" s="1098">
        <v>1923.31</v>
      </c>
      <c r="AY24" s="345">
        <f>20000-6734</f>
        <v>13266</v>
      </c>
      <c r="AZ24" s="1098">
        <f>287*2</f>
        <v>574</v>
      </c>
      <c r="BA24" s="345"/>
      <c r="BB24" s="1120">
        <f>6914.11-150</f>
        <v>6764.11</v>
      </c>
      <c r="BC24" s="347"/>
      <c r="BD24" s="348">
        <v>18844.98</v>
      </c>
      <c r="BE24" s="349">
        <v>10000</v>
      </c>
      <c r="BF24" s="348"/>
      <c r="BG24" s="349"/>
      <c r="BH24" s="350"/>
      <c r="BI24" s="351"/>
      <c r="BJ24" s="352"/>
      <c r="BK24" s="337">
        <v>10000</v>
      </c>
      <c r="BL24" s="352"/>
      <c r="BM24" s="337"/>
      <c r="BN24" s="353"/>
      <c r="BO24" s="354"/>
      <c r="BP24" s="355"/>
      <c r="BQ24" s="356">
        <v>6200</v>
      </c>
      <c r="BR24" s="355"/>
      <c r="BS24" s="356">
        <v>6734</v>
      </c>
      <c r="BT24" s="357"/>
    </row>
    <row r="25" spans="1:72" s="313" customFormat="1" ht="51">
      <c r="A25" s="287">
        <v>15</v>
      </c>
      <c r="B25" s="936"/>
      <c r="C25" s="840"/>
      <c r="D25" s="841"/>
      <c r="E25" s="839"/>
      <c r="F25" s="821" t="s">
        <v>7</v>
      </c>
      <c r="G25" s="314">
        <v>4</v>
      </c>
      <c r="H25" s="739" t="s">
        <v>71</v>
      </c>
      <c r="I25" s="739">
        <v>111</v>
      </c>
      <c r="J25" s="740">
        <v>266</v>
      </c>
      <c r="K25" s="317" t="s">
        <v>527</v>
      </c>
      <c r="L25" s="1025">
        <v>6000</v>
      </c>
      <c r="M25" s="318"/>
      <c r="N25" s="318"/>
      <c r="O25" s="1052">
        <f t="shared" si="21"/>
        <v>6000</v>
      </c>
      <c r="P25" s="329"/>
      <c r="Q25" s="319">
        <v>0</v>
      </c>
      <c r="R25" s="329"/>
      <c r="S25" s="319">
        <v>0</v>
      </c>
      <c r="T25" s="329"/>
      <c r="U25" s="335"/>
      <c r="V25" s="320"/>
      <c r="W25" s="320"/>
      <c r="X25" s="320"/>
      <c r="Z25" s="336">
        <f>AW25+AY25+BA25</f>
        <v>0</v>
      </c>
      <c r="AA25" s="337">
        <f>AX25+AZ25+BB25</f>
        <v>0</v>
      </c>
      <c r="AB25" s="338">
        <f>Z25-AA25</f>
        <v>0</v>
      </c>
      <c r="AC25" s="336">
        <f>BC25+BE25+BG25</f>
        <v>2000</v>
      </c>
      <c r="AD25" s="337">
        <f>BD25+BF25+BH25</f>
        <v>0</v>
      </c>
      <c r="AE25" s="338">
        <f>AC25-AD25</f>
        <v>2000</v>
      </c>
      <c r="AF25" s="336">
        <f>BI25+BK25+BM25</f>
        <v>2000</v>
      </c>
      <c r="AG25" s="337">
        <f>BJ25+BL25+BN25</f>
        <v>0</v>
      </c>
      <c r="AH25" s="338">
        <f>AF25-AG25</f>
        <v>2000</v>
      </c>
      <c r="AI25" s="336">
        <f>BO25+BQ25+BS25</f>
        <v>2000</v>
      </c>
      <c r="AJ25" s="337">
        <f>BP25+BR25+BT25</f>
        <v>0</v>
      </c>
      <c r="AK25" s="338">
        <f>AI25-AJ25</f>
        <v>2000</v>
      </c>
      <c r="AL25" s="342"/>
      <c r="AM25" s="336">
        <f>Z25+AC25</f>
        <v>2000</v>
      </c>
      <c r="AN25" s="339">
        <f>AA25+AD25</f>
        <v>0</v>
      </c>
      <c r="AO25" s="340">
        <f>AM25-AN25</f>
        <v>2000</v>
      </c>
      <c r="AP25" s="336">
        <f>Z25+AC25+AF25</f>
        <v>4000</v>
      </c>
      <c r="AQ25" s="339">
        <f>AA25+AD25+AG25</f>
        <v>0</v>
      </c>
      <c r="AR25" s="340">
        <f>AP25-AQ25</f>
        <v>4000</v>
      </c>
      <c r="AS25" s="341">
        <f>Z25+AC25+AF25+AI25</f>
        <v>6000</v>
      </c>
      <c r="AT25" s="339">
        <f>AA25+AD25+AG25+AJ25</f>
        <v>0</v>
      </c>
      <c r="AU25" s="340">
        <f>AS25-AT25</f>
        <v>6000</v>
      </c>
      <c r="AV25" s="1255"/>
      <c r="AW25" s="343"/>
      <c r="AX25" s="1098"/>
      <c r="AY25" s="345"/>
      <c r="AZ25" s="1098"/>
      <c r="BA25" s="345"/>
      <c r="BB25" s="1120"/>
      <c r="BC25" s="347">
        <v>2000</v>
      </c>
      <c r="BD25" s="348"/>
      <c r="BE25" s="349"/>
      <c r="BF25" s="348"/>
      <c r="BG25" s="349"/>
      <c r="BH25" s="350"/>
      <c r="BI25" s="351">
        <v>2000</v>
      </c>
      <c r="BJ25" s="352"/>
      <c r="BK25" s="337"/>
      <c r="BL25" s="352"/>
      <c r="BM25" s="337"/>
      <c r="BN25" s="353"/>
      <c r="BO25" s="354">
        <v>2000</v>
      </c>
      <c r="BP25" s="355"/>
      <c r="BQ25" s="356"/>
      <c r="BR25" s="355"/>
      <c r="BS25" s="356"/>
      <c r="BT25" s="357"/>
    </row>
    <row r="26" spans="1:72" s="313" customFormat="1" ht="38.25">
      <c r="A26" s="287">
        <v>16</v>
      </c>
      <c r="B26" s="936"/>
      <c r="C26" s="840"/>
      <c r="D26" s="841"/>
      <c r="E26" s="839"/>
      <c r="F26" s="821" t="s">
        <v>7</v>
      </c>
      <c r="G26" s="314">
        <v>4</v>
      </c>
      <c r="H26" s="739" t="s">
        <v>71</v>
      </c>
      <c r="I26" s="739">
        <v>111</v>
      </c>
      <c r="J26" s="740">
        <v>266</v>
      </c>
      <c r="K26" s="317" t="s">
        <v>528</v>
      </c>
      <c r="L26" s="1025">
        <v>156570.48000000001</v>
      </c>
      <c r="M26" s="318"/>
      <c r="N26" s="318"/>
      <c r="O26" s="1052">
        <f t="shared" si="21"/>
        <v>156570.48000000001</v>
      </c>
      <c r="P26" s="329"/>
      <c r="Q26" s="319">
        <f>174498.02-46200</f>
        <v>128298.02</v>
      </c>
      <c r="R26" s="329"/>
      <c r="S26" s="319">
        <f>146516.96-46200</f>
        <v>100316.96</v>
      </c>
      <c r="T26" s="329"/>
      <c r="U26" s="335"/>
      <c r="V26" s="320"/>
      <c r="W26" s="320"/>
      <c r="X26" s="320"/>
      <c r="Z26" s="336">
        <f>AW26+AY26+BA26</f>
        <v>0</v>
      </c>
      <c r="AA26" s="337">
        <f>AX26+AZ26+BB26</f>
        <v>0</v>
      </c>
      <c r="AB26" s="338">
        <f>Z26-AA26</f>
        <v>0</v>
      </c>
      <c r="AC26" s="336">
        <f>BC26+BE26+BG26</f>
        <v>0</v>
      </c>
      <c r="AD26" s="337">
        <f>BD26+BF26+BH26</f>
        <v>10000</v>
      </c>
      <c r="AE26" s="338">
        <f>AC26-AD26</f>
        <v>-10000</v>
      </c>
      <c r="AF26" s="336">
        <f>BI26+BK26+BM26</f>
        <v>156570.48000000001</v>
      </c>
      <c r="AG26" s="337">
        <f>BJ26+BL26+BN26</f>
        <v>0</v>
      </c>
      <c r="AH26" s="338">
        <f>AF26-AG26</f>
        <v>156570.48000000001</v>
      </c>
      <c r="AI26" s="336">
        <f>BO26+BQ26+BS26</f>
        <v>0</v>
      </c>
      <c r="AJ26" s="337">
        <f>BP26+BR26+BT26</f>
        <v>0</v>
      </c>
      <c r="AK26" s="338">
        <f>AI26-AJ26</f>
        <v>0</v>
      </c>
      <c r="AL26" s="342"/>
      <c r="AM26" s="336">
        <f>Z26+AC26</f>
        <v>0</v>
      </c>
      <c r="AN26" s="339">
        <f>AA26+AD26</f>
        <v>10000</v>
      </c>
      <c r="AO26" s="340">
        <f>AM26-AN26</f>
        <v>-10000</v>
      </c>
      <c r="AP26" s="336">
        <f>Z26+AC26+AF26</f>
        <v>156570.48000000001</v>
      </c>
      <c r="AQ26" s="339">
        <f>AA26+AD26+AG26</f>
        <v>10000</v>
      </c>
      <c r="AR26" s="340">
        <f>AP26-AQ26</f>
        <v>146570.48000000001</v>
      </c>
      <c r="AS26" s="341">
        <f>Z26+AC26+AF26+AI26</f>
        <v>156570.48000000001</v>
      </c>
      <c r="AT26" s="339">
        <f>AA26+AD26+AG26+AJ26</f>
        <v>10000</v>
      </c>
      <c r="AU26" s="340">
        <f>AS26-AT26</f>
        <v>146570.48000000001</v>
      </c>
      <c r="AV26" s="1255"/>
      <c r="AW26" s="343"/>
      <c r="AX26" s="1098"/>
      <c r="AY26" s="345"/>
      <c r="AZ26" s="1098"/>
      <c r="BA26" s="345"/>
      <c r="BB26" s="1120"/>
      <c r="BC26" s="347"/>
      <c r="BD26" s="348"/>
      <c r="BE26" s="349"/>
      <c r="BF26" s="348">
        <v>10000</v>
      </c>
      <c r="BG26" s="349"/>
      <c r="BH26" s="350"/>
      <c r="BI26" s="351"/>
      <c r="BJ26" s="352"/>
      <c r="BK26" s="337">
        <v>122483.46</v>
      </c>
      <c r="BL26" s="352"/>
      <c r="BM26" s="337">
        <v>34087.019999999997</v>
      </c>
      <c r="BN26" s="353"/>
      <c r="BO26" s="354"/>
      <c r="BP26" s="355"/>
      <c r="BQ26" s="356"/>
      <c r="BR26" s="355"/>
      <c r="BS26" s="356"/>
      <c r="BT26" s="357"/>
    </row>
    <row r="27" spans="1:72" s="358" customFormat="1" ht="85.5" customHeight="1">
      <c r="A27" s="287">
        <v>17</v>
      </c>
      <c r="B27" s="936" t="s">
        <v>816</v>
      </c>
      <c r="C27" s="837"/>
      <c r="D27" s="838"/>
      <c r="E27" s="836" t="s">
        <v>201</v>
      </c>
      <c r="F27" s="820" t="s">
        <v>7</v>
      </c>
      <c r="G27" s="360">
        <v>4</v>
      </c>
      <c r="H27" s="360" t="s">
        <v>71</v>
      </c>
      <c r="I27" s="360">
        <v>119</v>
      </c>
      <c r="J27" s="361">
        <v>266</v>
      </c>
      <c r="K27" s="532" t="s">
        <v>530</v>
      </c>
      <c r="L27" s="1023">
        <v>150000</v>
      </c>
      <c r="M27" s="363"/>
      <c r="N27" s="363"/>
      <c r="O27" s="1051">
        <f t="shared" si="21"/>
        <v>150000</v>
      </c>
      <c r="P27" s="557"/>
      <c r="Q27" s="367"/>
      <c r="R27" s="557"/>
      <c r="S27" s="367"/>
      <c r="T27" s="557"/>
      <c r="U27" s="365"/>
      <c r="V27" s="366"/>
      <c r="W27" s="366"/>
      <c r="X27" s="366"/>
      <c r="Z27" s="367">
        <f t="shared" si="6"/>
        <v>37000</v>
      </c>
      <c r="AA27" s="363">
        <f t="shared" si="6"/>
        <v>0</v>
      </c>
      <c r="AB27" s="280">
        <f t="shared" si="7"/>
        <v>37000</v>
      </c>
      <c r="AC27" s="367">
        <f t="shared" si="8"/>
        <v>87000</v>
      </c>
      <c r="AD27" s="363">
        <f t="shared" si="8"/>
        <v>37000</v>
      </c>
      <c r="AE27" s="280">
        <f t="shared" si="9"/>
        <v>50000</v>
      </c>
      <c r="AF27" s="367">
        <f t="shared" si="10"/>
        <v>63000</v>
      </c>
      <c r="AG27" s="363">
        <f t="shared" si="10"/>
        <v>111000</v>
      </c>
      <c r="AH27" s="280">
        <f t="shared" si="11"/>
        <v>-48000</v>
      </c>
      <c r="AI27" s="367">
        <f t="shared" si="12"/>
        <v>63000</v>
      </c>
      <c r="AJ27" s="363">
        <f t="shared" si="12"/>
        <v>74000</v>
      </c>
      <c r="AK27" s="280">
        <f t="shared" si="13"/>
        <v>-11000</v>
      </c>
      <c r="AL27" s="368"/>
      <c r="AM27" s="367">
        <f t="shared" si="14"/>
        <v>124000</v>
      </c>
      <c r="AN27" s="363">
        <f t="shared" si="14"/>
        <v>37000</v>
      </c>
      <c r="AO27" s="280">
        <f t="shared" si="15"/>
        <v>87000</v>
      </c>
      <c r="AP27" s="367">
        <f t="shared" si="16"/>
        <v>187000</v>
      </c>
      <c r="AQ27" s="363">
        <f t="shared" si="16"/>
        <v>148000</v>
      </c>
      <c r="AR27" s="280">
        <f t="shared" si="17"/>
        <v>39000</v>
      </c>
      <c r="AS27" s="367">
        <f t="shared" si="22"/>
        <v>250000</v>
      </c>
      <c r="AT27" s="363">
        <f t="shared" si="18"/>
        <v>222000</v>
      </c>
      <c r="AU27" s="280">
        <f t="shared" si="19"/>
        <v>28000</v>
      </c>
      <c r="AV27" s="1253">
        <f t="shared" si="20"/>
        <v>-100000</v>
      </c>
      <c r="AW27" s="367"/>
      <c r="AX27" s="1097"/>
      <c r="AY27" s="363"/>
      <c r="AZ27" s="1097"/>
      <c r="BA27" s="363">
        <f>13000+24000</f>
        <v>37000</v>
      </c>
      <c r="BB27" s="1119"/>
      <c r="BC27" s="367">
        <f t="shared" ref="BC27:BR27" si="26">13000+24000</f>
        <v>37000</v>
      </c>
      <c r="BD27" s="363"/>
      <c r="BE27" s="363">
        <f>13000</f>
        <v>13000</v>
      </c>
      <c r="BF27" s="363"/>
      <c r="BG27" s="363">
        <f t="shared" si="26"/>
        <v>37000</v>
      </c>
      <c r="BH27" s="369">
        <f t="shared" si="26"/>
        <v>37000</v>
      </c>
      <c r="BI27" s="367">
        <f t="shared" si="26"/>
        <v>37000</v>
      </c>
      <c r="BJ27" s="363">
        <f t="shared" si="26"/>
        <v>37000</v>
      </c>
      <c r="BK27" s="363">
        <f>13000</f>
        <v>13000</v>
      </c>
      <c r="BL27" s="363">
        <f t="shared" si="26"/>
        <v>37000</v>
      </c>
      <c r="BM27" s="363">
        <f>13000</f>
        <v>13000</v>
      </c>
      <c r="BN27" s="369">
        <f t="shared" si="26"/>
        <v>37000</v>
      </c>
      <c r="BO27" s="367">
        <f t="shared" si="26"/>
        <v>37000</v>
      </c>
      <c r="BP27" s="363">
        <f t="shared" si="26"/>
        <v>37000</v>
      </c>
      <c r="BQ27" s="363">
        <f>13000</f>
        <v>13000</v>
      </c>
      <c r="BR27" s="363">
        <f t="shared" si="26"/>
        <v>37000</v>
      </c>
      <c r="BS27" s="363">
        <f>13000</f>
        <v>13000</v>
      </c>
      <c r="BT27" s="280"/>
    </row>
    <row r="28" spans="1:72" s="358" customFormat="1" ht="85.5" customHeight="1">
      <c r="A28" s="287">
        <v>18</v>
      </c>
      <c r="B28" s="936" t="s">
        <v>1045</v>
      </c>
      <c r="C28" s="837"/>
      <c r="D28" s="838"/>
      <c r="E28" s="836"/>
      <c r="F28" s="820" t="s">
        <v>7</v>
      </c>
      <c r="G28" s="360">
        <v>4</v>
      </c>
      <c r="H28" s="360" t="s">
        <v>71</v>
      </c>
      <c r="I28" s="360">
        <v>119</v>
      </c>
      <c r="J28" s="361">
        <v>266</v>
      </c>
      <c r="K28" s="532" t="s">
        <v>320</v>
      </c>
      <c r="L28" s="1302">
        <v>61236.68</v>
      </c>
      <c r="M28" s="363"/>
      <c r="N28" s="363"/>
      <c r="O28" s="1051">
        <f t="shared" ref="O28" si="27">L28+N28</f>
        <v>61236.68</v>
      </c>
      <c r="P28" s="557"/>
      <c r="Q28" s="1301">
        <v>52698.400000000001</v>
      </c>
      <c r="R28" s="557"/>
      <c r="S28" s="1301">
        <v>44248.12</v>
      </c>
      <c r="T28" s="557"/>
      <c r="U28" s="365"/>
      <c r="V28" s="366"/>
      <c r="W28" s="366"/>
      <c r="X28" s="366"/>
      <c r="Z28" s="367">
        <f t="shared" ref="Z28" si="28">AW28+AY28+BA28</f>
        <v>0</v>
      </c>
      <c r="AA28" s="363">
        <f t="shared" ref="AA28" si="29">AX28+AZ28+BB28</f>
        <v>0</v>
      </c>
      <c r="AB28" s="280">
        <f t="shared" ref="AB28" si="30">Z28-AA28</f>
        <v>0</v>
      </c>
      <c r="AC28" s="367">
        <f t="shared" ref="AC28" si="31">BC28+BE28+BG28</f>
        <v>0</v>
      </c>
      <c r="AD28" s="363">
        <f t="shared" ref="AD28" si="32">BD28+BF28+BH28</f>
        <v>0</v>
      </c>
      <c r="AE28" s="280">
        <f t="shared" ref="AE28" si="33">AC28-AD28</f>
        <v>0</v>
      </c>
      <c r="AF28" s="367">
        <f t="shared" ref="AF28" si="34">BI28+BK28+BM28</f>
        <v>28417.31</v>
      </c>
      <c r="AG28" s="363">
        <f t="shared" ref="AG28" si="35">BJ28+BL28+BN28</f>
        <v>28417.31</v>
      </c>
      <c r="AH28" s="280">
        <f t="shared" ref="AH28" si="36">AF28-AG28</f>
        <v>0</v>
      </c>
      <c r="AI28" s="367">
        <f t="shared" ref="AI28" si="37">BO28+BQ28+BS28</f>
        <v>32819.370000000003</v>
      </c>
      <c r="AJ28" s="363">
        <f t="shared" ref="AJ28" si="38">BP28+BR28+BT28</f>
        <v>0</v>
      </c>
      <c r="AK28" s="280">
        <f t="shared" ref="AK28" si="39">AI28-AJ28</f>
        <v>32819.370000000003</v>
      </c>
      <c r="AL28" s="368"/>
      <c r="AM28" s="367">
        <f t="shared" ref="AM28" si="40">Z28+AC28</f>
        <v>0</v>
      </c>
      <c r="AN28" s="363">
        <f t="shared" ref="AN28" si="41">AA28+AD28</f>
        <v>0</v>
      </c>
      <c r="AO28" s="280">
        <f t="shared" ref="AO28" si="42">AM28-AN28</f>
        <v>0</v>
      </c>
      <c r="AP28" s="367">
        <f t="shared" ref="AP28" si="43">Z28+AC28+AF28</f>
        <v>28417.31</v>
      </c>
      <c r="AQ28" s="363">
        <f t="shared" ref="AQ28" si="44">AA28+AD28+AG28</f>
        <v>28417.31</v>
      </c>
      <c r="AR28" s="280">
        <f t="shared" ref="AR28" si="45">AP28-AQ28</f>
        <v>0</v>
      </c>
      <c r="AS28" s="367">
        <f t="shared" ref="AS28" si="46">Z28+AC28+AF28+AI28</f>
        <v>61236.68</v>
      </c>
      <c r="AT28" s="363">
        <f t="shared" ref="AT28" si="47">AA28+AD28+AG28+AJ28</f>
        <v>28417.31</v>
      </c>
      <c r="AU28" s="280">
        <f t="shared" ref="AU28" si="48">AS28-AT28</f>
        <v>32819.370000000003</v>
      </c>
      <c r="AV28" s="1253">
        <f t="shared" ref="AV28" si="49">L28-AS28</f>
        <v>0</v>
      </c>
      <c r="AW28" s="367"/>
      <c r="AX28" s="1097"/>
      <c r="AY28" s="363"/>
      <c r="AZ28" s="1097"/>
      <c r="BA28" s="363"/>
      <c r="BB28" s="1119"/>
      <c r="BC28" s="367"/>
      <c r="BD28" s="363"/>
      <c r="BE28" s="363"/>
      <c r="BF28" s="363"/>
      <c r="BG28" s="363"/>
      <c r="BH28" s="369"/>
      <c r="BI28" s="367"/>
      <c r="BJ28" s="363"/>
      <c r="BK28" s="363"/>
      <c r="BL28" s="363"/>
      <c r="BM28" s="1303">
        <f>22365.58+5184.76+663.64+203.33</f>
        <v>28417.31</v>
      </c>
      <c r="BN28" s="1304">
        <f>22365.58+5184.76+663.64+203.33</f>
        <v>28417.31</v>
      </c>
      <c r="BO28" s="367"/>
      <c r="BP28" s="363"/>
      <c r="BQ28" s="363"/>
      <c r="BR28" s="363"/>
      <c r="BS28" s="1305">
        <v>32819.370000000003</v>
      </c>
      <c r="BT28" s="280"/>
    </row>
    <row r="29" spans="1:72" s="358" customFormat="1" ht="47.25" customHeight="1">
      <c r="A29" s="287">
        <v>19</v>
      </c>
      <c r="B29" s="933"/>
      <c r="C29" s="850" t="s">
        <v>377</v>
      </c>
      <c r="D29" s="838"/>
      <c r="E29" s="836" t="s">
        <v>201</v>
      </c>
      <c r="F29" s="820" t="s">
        <v>7</v>
      </c>
      <c r="G29" s="360">
        <v>4</v>
      </c>
      <c r="H29" s="360" t="s">
        <v>71</v>
      </c>
      <c r="I29" s="360">
        <v>119</v>
      </c>
      <c r="J29" s="361">
        <v>213</v>
      </c>
      <c r="K29" s="532" t="s">
        <v>366</v>
      </c>
      <c r="L29" s="1023">
        <v>19630</v>
      </c>
      <c r="M29" s="363"/>
      <c r="N29" s="363"/>
      <c r="O29" s="1051">
        <f t="shared" si="21"/>
        <v>19630</v>
      </c>
      <c r="P29" s="557"/>
      <c r="Q29" s="367">
        <f>SUM(Q30:Q33)</f>
        <v>25670</v>
      </c>
      <c r="R29" s="557"/>
      <c r="S29" s="367">
        <f>SUM(S30:S33)</f>
        <v>19630</v>
      </c>
      <c r="T29" s="557"/>
      <c r="U29" s="365"/>
      <c r="V29" s="366"/>
      <c r="W29" s="366"/>
      <c r="X29" s="366"/>
      <c r="Z29" s="367">
        <f t="shared" si="6"/>
        <v>0</v>
      </c>
      <c r="AA29" s="363">
        <f t="shared" si="6"/>
        <v>0</v>
      </c>
      <c r="AB29" s="280">
        <f t="shared" si="7"/>
        <v>0</v>
      </c>
      <c r="AC29" s="367">
        <f t="shared" si="8"/>
        <v>9060</v>
      </c>
      <c r="AD29" s="363">
        <f t="shared" si="8"/>
        <v>0</v>
      </c>
      <c r="AE29" s="280">
        <f t="shared" si="9"/>
        <v>9060</v>
      </c>
      <c r="AF29" s="367">
        <f t="shared" si="10"/>
        <v>1510</v>
      </c>
      <c r="AG29" s="363">
        <f t="shared" si="10"/>
        <v>0</v>
      </c>
      <c r="AH29" s="280">
        <f t="shared" si="11"/>
        <v>1510</v>
      </c>
      <c r="AI29" s="367">
        <f t="shared" si="12"/>
        <v>9060</v>
      </c>
      <c r="AJ29" s="363">
        <f t="shared" si="12"/>
        <v>0</v>
      </c>
      <c r="AK29" s="280">
        <f t="shared" si="13"/>
        <v>9060</v>
      </c>
      <c r="AL29" s="368"/>
      <c r="AM29" s="367">
        <f t="shared" si="14"/>
        <v>9060</v>
      </c>
      <c r="AN29" s="363">
        <f t="shared" si="14"/>
        <v>0</v>
      </c>
      <c r="AO29" s="280">
        <f t="shared" si="15"/>
        <v>9060</v>
      </c>
      <c r="AP29" s="367">
        <f t="shared" si="16"/>
        <v>10570</v>
      </c>
      <c r="AQ29" s="363">
        <f t="shared" si="16"/>
        <v>0</v>
      </c>
      <c r="AR29" s="280">
        <f t="shared" si="17"/>
        <v>10570</v>
      </c>
      <c r="AS29" s="367">
        <f t="shared" si="22"/>
        <v>19630</v>
      </c>
      <c r="AT29" s="363">
        <f t="shared" si="18"/>
        <v>0</v>
      </c>
      <c r="AU29" s="280">
        <f t="shared" si="19"/>
        <v>19630</v>
      </c>
      <c r="AV29" s="1253">
        <f t="shared" si="20"/>
        <v>0</v>
      </c>
      <c r="AW29" s="367">
        <f t="shared" ref="AW29:BT29" si="50">SUM(AW30:AW33)</f>
        <v>0</v>
      </c>
      <c r="AX29" s="1097">
        <f t="shared" si="50"/>
        <v>0</v>
      </c>
      <c r="AY29" s="363">
        <f t="shared" si="50"/>
        <v>0</v>
      </c>
      <c r="AZ29" s="1097">
        <f t="shared" si="50"/>
        <v>0</v>
      </c>
      <c r="BA29" s="363">
        <f t="shared" si="50"/>
        <v>0</v>
      </c>
      <c r="BB29" s="1119">
        <f t="shared" si="50"/>
        <v>0</v>
      </c>
      <c r="BC29" s="367">
        <f t="shared" si="50"/>
        <v>3020</v>
      </c>
      <c r="BD29" s="363">
        <f t="shared" si="50"/>
        <v>0</v>
      </c>
      <c r="BE29" s="363">
        <f t="shared" si="50"/>
        <v>0</v>
      </c>
      <c r="BF29" s="363">
        <f t="shared" si="50"/>
        <v>0</v>
      </c>
      <c r="BG29" s="363">
        <f t="shared" si="50"/>
        <v>6040</v>
      </c>
      <c r="BH29" s="369">
        <f t="shared" si="50"/>
        <v>0</v>
      </c>
      <c r="BI29" s="367">
        <f t="shared" si="50"/>
        <v>0</v>
      </c>
      <c r="BJ29" s="363">
        <f t="shared" si="50"/>
        <v>0</v>
      </c>
      <c r="BK29" s="363">
        <f t="shared" si="50"/>
        <v>0</v>
      </c>
      <c r="BL29" s="363">
        <f t="shared" si="50"/>
        <v>0</v>
      </c>
      <c r="BM29" s="363">
        <f t="shared" si="50"/>
        <v>1510</v>
      </c>
      <c r="BN29" s="369">
        <f t="shared" si="50"/>
        <v>0</v>
      </c>
      <c r="BO29" s="367">
        <f t="shared" si="50"/>
        <v>0</v>
      </c>
      <c r="BP29" s="363">
        <f t="shared" si="50"/>
        <v>0</v>
      </c>
      <c r="BQ29" s="363">
        <f t="shared" si="50"/>
        <v>3020</v>
      </c>
      <c r="BR29" s="363">
        <f t="shared" si="50"/>
        <v>0</v>
      </c>
      <c r="BS29" s="363">
        <f t="shared" si="50"/>
        <v>6040</v>
      </c>
      <c r="BT29" s="280">
        <f t="shared" si="50"/>
        <v>0</v>
      </c>
    </row>
    <row r="30" spans="1:72" s="313" customFormat="1" ht="51" outlineLevel="1">
      <c r="A30" s="287">
        <v>20</v>
      </c>
      <c r="B30" s="933"/>
      <c r="C30" s="840"/>
      <c r="D30" s="841"/>
      <c r="E30" s="839"/>
      <c r="F30" s="825" t="s">
        <v>7</v>
      </c>
      <c r="G30" s="314">
        <v>4</v>
      </c>
      <c r="H30" s="739" t="s">
        <v>71</v>
      </c>
      <c r="I30" s="739">
        <v>119</v>
      </c>
      <c r="J30" s="740">
        <v>213</v>
      </c>
      <c r="K30" s="533" t="s">
        <v>315</v>
      </c>
      <c r="L30" s="1025">
        <v>3020</v>
      </c>
      <c r="M30" s="318"/>
      <c r="N30" s="318"/>
      <c r="O30" s="1052">
        <f t="shared" si="21"/>
        <v>3020</v>
      </c>
      <c r="P30" s="559"/>
      <c r="Q30" s="336">
        <f>3020*3</f>
        <v>9060</v>
      </c>
      <c r="R30" s="559"/>
      <c r="S30" s="336">
        <v>3020</v>
      </c>
      <c r="T30" s="559"/>
      <c r="U30" s="335"/>
      <c r="V30" s="320"/>
      <c r="W30" s="320"/>
      <c r="X30" s="320"/>
      <c r="Z30" s="336">
        <f t="shared" si="6"/>
        <v>0</v>
      </c>
      <c r="AA30" s="337">
        <f t="shared" si="6"/>
        <v>0</v>
      </c>
      <c r="AB30" s="338">
        <f t="shared" si="7"/>
        <v>0</v>
      </c>
      <c r="AC30" s="336">
        <f t="shared" si="8"/>
        <v>3020</v>
      </c>
      <c r="AD30" s="337">
        <f t="shared" si="8"/>
        <v>0</v>
      </c>
      <c r="AE30" s="338">
        <f t="shared" si="9"/>
        <v>3020</v>
      </c>
      <c r="AF30" s="336">
        <f t="shared" si="10"/>
        <v>0</v>
      </c>
      <c r="AG30" s="337">
        <f t="shared" si="10"/>
        <v>0</v>
      </c>
      <c r="AH30" s="338">
        <f t="shared" si="11"/>
        <v>0</v>
      </c>
      <c r="AI30" s="336">
        <f t="shared" si="12"/>
        <v>0</v>
      </c>
      <c r="AJ30" s="337">
        <f t="shared" si="12"/>
        <v>0</v>
      </c>
      <c r="AK30" s="338">
        <f t="shared" si="13"/>
        <v>0</v>
      </c>
      <c r="AL30" s="342"/>
      <c r="AM30" s="336">
        <f t="shared" si="14"/>
        <v>3020</v>
      </c>
      <c r="AN30" s="339">
        <f t="shared" si="14"/>
        <v>0</v>
      </c>
      <c r="AO30" s="340">
        <f t="shared" si="15"/>
        <v>3020</v>
      </c>
      <c r="AP30" s="336">
        <f t="shared" si="16"/>
        <v>3020</v>
      </c>
      <c r="AQ30" s="339">
        <f t="shared" si="16"/>
        <v>0</v>
      </c>
      <c r="AR30" s="340">
        <f t="shared" si="17"/>
        <v>3020</v>
      </c>
      <c r="AS30" s="341">
        <f t="shared" si="22"/>
        <v>3020</v>
      </c>
      <c r="AT30" s="339">
        <f t="shared" si="18"/>
        <v>0</v>
      </c>
      <c r="AU30" s="340">
        <f t="shared" si="19"/>
        <v>3020</v>
      </c>
      <c r="AV30" s="1255">
        <f t="shared" si="20"/>
        <v>0</v>
      </c>
      <c r="AW30" s="343"/>
      <c r="AX30" s="1098"/>
      <c r="AY30" s="345"/>
      <c r="AZ30" s="1098"/>
      <c r="BA30" s="345"/>
      <c r="BB30" s="1120"/>
      <c r="BC30" s="347">
        <v>3020</v>
      </c>
      <c r="BD30" s="348"/>
      <c r="BE30" s="349"/>
      <c r="BF30" s="348"/>
      <c r="BG30" s="349"/>
      <c r="BH30" s="350"/>
      <c r="BI30" s="351"/>
      <c r="BJ30" s="352"/>
      <c r="BK30" s="337"/>
      <c r="BL30" s="352"/>
      <c r="BM30" s="337"/>
      <c r="BN30" s="353"/>
      <c r="BO30" s="354"/>
      <c r="BP30" s="355"/>
      <c r="BQ30" s="356"/>
      <c r="BR30" s="355"/>
      <c r="BS30" s="356"/>
      <c r="BT30" s="357"/>
    </row>
    <row r="31" spans="1:72" s="313" customFormat="1" ht="38.25" outlineLevel="1">
      <c r="A31" s="287">
        <v>21</v>
      </c>
      <c r="B31" s="933"/>
      <c r="C31" s="840"/>
      <c r="D31" s="841"/>
      <c r="E31" s="839"/>
      <c r="F31" s="825" t="s">
        <v>7</v>
      </c>
      <c r="G31" s="314">
        <v>4</v>
      </c>
      <c r="H31" s="739" t="s">
        <v>71</v>
      </c>
      <c r="I31" s="739">
        <v>119</v>
      </c>
      <c r="J31" s="740">
        <v>213</v>
      </c>
      <c r="K31" s="533" t="s">
        <v>319</v>
      </c>
      <c r="L31" s="1025">
        <f>6040*2</f>
        <v>12080</v>
      </c>
      <c r="M31" s="318"/>
      <c r="N31" s="318"/>
      <c r="O31" s="1052">
        <f t="shared" si="21"/>
        <v>12080</v>
      </c>
      <c r="P31" s="559"/>
      <c r="Q31" s="341">
        <f>6040*2</f>
        <v>12080</v>
      </c>
      <c r="R31" s="559"/>
      <c r="S31" s="341">
        <f>6040*2</f>
        <v>12080</v>
      </c>
      <c r="T31" s="559"/>
      <c r="U31" s="335"/>
      <c r="V31" s="320"/>
      <c r="W31" s="320"/>
      <c r="X31" s="320"/>
      <c r="Z31" s="336">
        <f t="shared" si="6"/>
        <v>0</v>
      </c>
      <c r="AA31" s="337">
        <f t="shared" si="6"/>
        <v>0</v>
      </c>
      <c r="AB31" s="338">
        <f t="shared" si="7"/>
        <v>0</v>
      </c>
      <c r="AC31" s="336">
        <f t="shared" si="8"/>
        <v>6040</v>
      </c>
      <c r="AD31" s="337">
        <f t="shared" si="8"/>
        <v>0</v>
      </c>
      <c r="AE31" s="338">
        <f t="shared" si="9"/>
        <v>6040</v>
      </c>
      <c r="AF31" s="336">
        <f t="shared" si="10"/>
        <v>0</v>
      </c>
      <c r="AG31" s="337">
        <f t="shared" si="10"/>
        <v>0</v>
      </c>
      <c r="AH31" s="338">
        <f t="shared" si="11"/>
        <v>0</v>
      </c>
      <c r="AI31" s="336">
        <f t="shared" si="12"/>
        <v>6040</v>
      </c>
      <c r="AJ31" s="337">
        <f t="shared" si="12"/>
        <v>0</v>
      </c>
      <c r="AK31" s="338">
        <f t="shared" si="13"/>
        <v>6040</v>
      </c>
      <c r="AL31" s="342"/>
      <c r="AM31" s="336">
        <f t="shared" si="14"/>
        <v>6040</v>
      </c>
      <c r="AN31" s="339">
        <f t="shared" si="14"/>
        <v>0</v>
      </c>
      <c r="AO31" s="340">
        <f t="shared" si="15"/>
        <v>6040</v>
      </c>
      <c r="AP31" s="336">
        <f t="shared" si="16"/>
        <v>6040</v>
      </c>
      <c r="AQ31" s="339">
        <f t="shared" si="16"/>
        <v>0</v>
      </c>
      <c r="AR31" s="340">
        <f t="shared" si="17"/>
        <v>6040</v>
      </c>
      <c r="AS31" s="341">
        <f t="shared" si="22"/>
        <v>12080</v>
      </c>
      <c r="AT31" s="339">
        <f t="shared" si="18"/>
        <v>0</v>
      </c>
      <c r="AU31" s="340">
        <f t="shared" si="19"/>
        <v>12080</v>
      </c>
      <c r="AV31" s="1255">
        <f t="shared" si="20"/>
        <v>0</v>
      </c>
      <c r="AW31" s="343"/>
      <c r="AX31" s="1098"/>
      <c r="AY31" s="345"/>
      <c r="AZ31" s="1098"/>
      <c r="BA31" s="345"/>
      <c r="BB31" s="1120"/>
      <c r="BC31" s="347"/>
      <c r="BD31" s="348"/>
      <c r="BE31" s="349"/>
      <c r="BF31" s="348"/>
      <c r="BG31" s="349">
        <v>6040</v>
      </c>
      <c r="BH31" s="350"/>
      <c r="BI31" s="351"/>
      <c r="BJ31" s="352"/>
      <c r="BK31" s="337"/>
      <c r="BL31" s="352"/>
      <c r="BM31" s="337"/>
      <c r="BN31" s="353"/>
      <c r="BO31" s="354"/>
      <c r="BP31" s="355"/>
      <c r="BQ31" s="356"/>
      <c r="BR31" s="355"/>
      <c r="BS31" s="356">
        <v>6040</v>
      </c>
      <c r="BT31" s="357"/>
    </row>
    <row r="32" spans="1:72" s="313" customFormat="1" ht="38.25" outlineLevel="1">
      <c r="A32" s="287">
        <v>22</v>
      </c>
      <c r="B32" s="933"/>
      <c r="C32" s="840"/>
      <c r="D32" s="841"/>
      <c r="E32" s="839"/>
      <c r="F32" s="825" t="s">
        <v>7</v>
      </c>
      <c r="G32" s="314">
        <v>4</v>
      </c>
      <c r="H32" s="739" t="s">
        <v>71</v>
      </c>
      <c r="I32" s="739">
        <v>119</v>
      </c>
      <c r="J32" s="740">
        <v>213</v>
      </c>
      <c r="K32" s="533" t="s">
        <v>321</v>
      </c>
      <c r="L32" s="1025">
        <f>1510*3</f>
        <v>4530</v>
      </c>
      <c r="M32" s="318"/>
      <c r="N32" s="318"/>
      <c r="O32" s="1052">
        <f t="shared" si="21"/>
        <v>4530</v>
      </c>
      <c r="P32" s="559"/>
      <c r="Q32" s="341">
        <f>1510*3</f>
        <v>4530</v>
      </c>
      <c r="R32" s="559"/>
      <c r="S32" s="341">
        <f>1510*3</f>
        <v>4530</v>
      </c>
      <c r="T32" s="559"/>
      <c r="U32" s="335"/>
      <c r="V32" s="320"/>
      <c r="W32" s="320"/>
      <c r="X32" s="320"/>
      <c r="Z32" s="336">
        <f t="shared" si="6"/>
        <v>0</v>
      </c>
      <c r="AA32" s="337">
        <f t="shared" si="6"/>
        <v>0</v>
      </c>
      <c r="AB32" s="338">
        <f t="shared" si="7"/>
        <v>0</v>
      </c>
      <c r="AC32" s="336">
        <f t="shared" si="8"/>
        <v>0</v>
      </c>
      <c r="AD32" s="337">
        <f t="shared" si="8"/>
        <v>0</v>
      </c>
      <c r="AE32" s="338">
        <f t="shared" si="9"/>
        <v>0</v>
      </c>
      <c r="AF32" s="336">
        <f t="shared" si="10"/>
        <v>1510</v>
      </c>
      <c r="AG32" s="337">
        <f t="shared" si="10"/>
        <v>0</v>
      </c>
      <c r="AH32" s="338">
        <f t="shared" si="11"/>
        <v>1510</v>
      </c>
      <c r="AI32" s="336">
        <f t="shared" si="12"/>
        <v>3020</v>
      </c>
      <c r="AJ32" s="337">
        <f t="shared" si="12"/>
        <v>0</v>
      </c>
      <c r="AK32" s="338">
        <f t="shared" si="13"/>
        <v>3020</v>
      </c>
      <c r="AL32" s="342"/>
      <c r="AM32" s="336">
        <f t="shared" si="14"/>
        <v>0</v>
      </c>
      <c r="AN32" s="339">
        <f t="shared" si="14"/>
        <v>0</v>
      </c>
      <c r="AO32" s="340">
        <f t="shared" si="15"/>
        <v>0</v>
      </c>
      <c r="AP32" s="336">
        <f t="shared" si="16"/>
        <v>1510</v>
      </c>
      <c r="AQ32" s="339">
        <f t="shared" si="16"/>
        <v>0</v>
      </c>
      <c r="AR32" s="340">
        <f t="shared" si="17"/>
        <v>1510</v>
      </c>
      <c r="AS32" s="341">
        <f t="shared" si="22"/>
        <v>4530</v>
      </c>
      <c r="AT32" s="339">
        <f t="shared" si="18"/>
        <v>0</v>
      </c>
      <c r="AU32" s="340">
        <f t="shared" si="19"/>
        <v>4530</v>
      </c>
      <c r="AV32" s="1255">
        <f t="shared" si="20"/>
        <v>0</v>
      </c>
      <c r="AW32" s="343"/>
      <c r="AX32" s="1098"/>
      <c r="AY32" s="345"/>
      <c r="AZ32" s="1098"/>
      <c r="BA32" s="345"/>
      <c r="BB32" s="1120"/>
      <c r="BC32" s="347"/>
      <c r="BD32" s="348"/>
      <c r="BE32" s="349"/>
      <c r="BF32" s="348"/>
      <c r="BG32" s="349"/>
      <c r="BH32" s="350"/>
      <c r="BI32" s="351"/>
      <c r="BJ32" s="352"/>
      <c r="BK32" s="337"/>
      <c r="BL32" s="352"/>
      <c r="BM32" s="337">
        <v>1510</v>
      </c>
      <c r="BN32" s="353"/>
      <c r="BO32" s="354"/>
      <c r="BP32" s="355"/>
      <c r="BQ32" s="356">
        <v>3020</v>
      </c>
      <c r="BR32" s="355"/>
      <c r="BS32" s="356"/>
      <c r="BT32" s="357"/>
    </row>
    <row r="33" spans="1:74" s="313" customFormat="1" ht="63.75" outlineLevel="1">
      <c r="A33" s="287">
        <v>23</v>
      </c>
      <c r="B33" s="933" t="s">
        <v>1044</v>
      </c>
      <c r="C33" s="840"/>
      <c r="D33" s="841"/>
      <c r="E33" s="839"/>
      <c r="F33" s="825" t="s">
        <v>7</v>
      </c>
      <c r="G33" s="314">
        <v>4</v>
      </c>
      <c r="H33" s="739" t="s">
        <v>71</v>
      </c>
      <c r="I33" s="739">
        <v>119</v>
      </c>
      <c r="J33" s="1291">
        <v>213</v>
      </c>
      <c r="K33" s="533" t="s">
        <v>320</v>
      </c>
      <c r="L33" s="1025">
        <v>0</v>
      </c>
      <c r="M33" s="318"/>
      <c r="N33" s="318">
        <v>0</v>
      </c>
      <c r="O33" s="1052">
        <f t="shared" si="21"/>
        <v>0</v>
      </c>
      <c r="P33" s="559"/>
      <c r="Q33" s="1300">
        <v>0</v>
      </c>
      <c r="R33" s="559"/>
      <c r="S33" s="1300">
        <v>0</v>
      </c>
      <c r="T33" s="559"/>
      <c r="U33" s="335"/>
      <c r="V33" s="320"/>
      <c r="W33" s="320"/>
      <c r="X33" s="320"/>
      <c r="Z33" s="336">
        <f t="shared" si="6"/>
        <v>0</v>
      </c>
      <c r="AA33" s="337">
        <f t="shared" si="6"/>
        <v>0</v>
      </c>
      <c r="AB33" s="338">
        <f t="shared" si="7"/>
        <v>0</v>
      </c>
      <c r="AC33" s="336">
        <f t="shared" si="8"/>
        <v>0</v>
      </c>
      <c r="AD33" s="337">
        <f t="shared" si="8"/>
        <v>0</v>
      </c>
      <c r="AE33" s="338">
        <f t="shared" si="9"/>
        <v>0</v>
      </c>
      <c r="AF33" s="336">
        <f t="shared" si="10"/>
        <v>0</v>
      </c>
      <c r="AG33" s="337">
        <f t="shared" si="10"/>
        <v>0</v>
      </c>
      <c r="AH33" s="338">
        <f t="shared" si="11"/>
        <v>0</v>
      </c>
      <c r="AI33" s="336">
        <f t="shared" si="12"/>
        <v>0</v>
      </c>
      <c r="AJ33" s="337">
        <f t="shared" si="12"/>
        <v>0</v>
      </c>
      <c r="AK33" s="338">
        <f t="shared" si="13"/>
        <v>0</v>
      </c>
      <c r="AL33" s="342"/>
      <c r="AM33" s="336">
        <f t="shared" si="14"/>
        <v>0</v>
      </c>
      <c r="AN33" s="339">
        <f t="shared" si="14"/>
        <v>0</v>
      </c>
      <c r="AO33" s="340">
        <f t="shared" si="15"/>
        <v>0</v>
      </c>
      <c r="AP33" s="336">
        <f t="shared" si="16"/>
        <v>0</v>
      </c>
      <c r="AQ33" s="339">
        <f t="shared" si="16"/>
        <v>0</v>
      </c>
      <c r="AR33" s="340">
        <f t="shared" si="17"/>
        <v>0</v>
      </c>
      <c r="AS33" s="341">
        <f t="shared" si="22"/>
        <v>0</v>
      </c>
      <c r="AT33" s="339">
        <f t="shared" si="18"/>
        <v>0</v>
      </c>
      <c r="AU33" s="340">
        <f t="shared" si="19"/>
        <v>0</v>
      </c>
      <c r="AV33" s="1255">
        <f t="shared" si="20"/>
        <v>0</v>
      </c>
      <c r="AW33" s="343"/>
      <c r="AX33" s="1098"/>
      <c r="AY33" s="345"/>
      <c r="AZ33" s="1098"/>
      <c r="BA33" s="345"/>
      <c r="BB33" s="1120"/>
      <c r="BC33" s="347"/>
      <c r="BD33" s="348"/>
      <c r="BE33" s="349"/>
      <c r="BF33" s="348"/>
      <c r="BG33" s="349"/>
      <c r="BH33" s="350"/>
      <c r="BI33" s="351"/>
      <c r="BJ33" s="352"/>
      <c r="BK33" s="337"/>
      <c r="BL33" s="352"/>
      <c r="BM33" s="337"/>
      <c r="BN33" s="353"/>
      <c r="BO33" s="354"/>
      <c r="BP33" s="355"/>
      <c r="BQ33" s="356"/>
      <c r="BR33" s="355"/>
      <c r="BS33" s="356"/>
      <c r="BT33" s="357"/>
    </row>
    <row r="34" spans="1:74" s="378" customFormat="1" ht="31.5">
      <c r="A34" s="287">
        <v>24</v>
      </c>
      <c r="B34" s="933"/>
      <c r="C34" s="850"/>
      <c r="D34" s="1181" t="s">
        <v>227</v>
      </c>
      <c r="E34" s="852" t="s">
        <v>201</v>
      </c>
      <c r="F34" s="824" t="s">
        <v>7</v>
      </c>
      <c r="G34" s="376">
        <v>4</v>
      </c>
      <c r="H34" s="375" t="s">
        <v>225</v>
      </c>
      <c r="I34" s="376">
        <v>111</v>
      </c>
      <c r="J34" s="377">
        <v>211</v>
      </c>
      <c r="K34" s="531" t="s">
        <v>222</v>
      </c>
      <c r="L34" s="1024">
        <v>13843.45</v>
      </c>
      <c r="M34" s="247"/>
      <c r="N34" s="247"/>
      <c r="O34" s="1060">
        <f t="shared" si="21"/>
        <v>13843.45</v>
      </c>
      <c r="P34" s="558"/>
      <c r="Q34" s="382"/>
      <c r="R34" s="558"/>
      <c r="S34" s="382"/>
      <c r="T34" s="558"/>
      <c r="U34" s="380"/>
      <c r="V34" s="381"/>
      <c r="W34" s="381"/>
      <c r="X34" s="381"/>
      <c r="Z34" s="382">
        <f t="shared" si="6"/>
        <v>0</v>
      </c>
      <c r="AA34" s="247">
        <f t="shared" si="6"/>
        <v>0</v>
      </c>
      <c r="AB34" s="383">
        <f t="shared" si="7"/>
        <v>0</v>
      </c>
      <c r="AC34" s="382">
        <f t="shared" si="8"/>
        <v>0</v>
      </c>
      <c r="AD34" s="247">
        <f t="shared" si="8"/>
        <v>0</v>
      </c>
      <c r="AE34" s="383">
        <f t="shared" si="9"/>
        <v>0</v>
      </c>
      <c r="AF34" s="382">
        <f t="shared" si="10"/>
        <v>0</v>
      </c>
      <c r="AG34" s="247">
        <f t="shared" si="10"/>
        <v>0</v>
      </c>
      <c r="AH34" s="383">
        <f t="shared" si="11"/>
        <v>0</v>
      </c>
      <c r="AI34" s="382">
        <f t="shared" si="12"/>
        <v>0</v>
      </c>
      <c r="AJ34" s="247">
        <f t="shared" si="12"/>
        <v>0</v>
      </c>
      <c r="AK34" s="383">
        <f t="shared" si="13"/>
        <v>0</v>
      </c>
      <c r="AL34" s="250"/>
      <c r="AM34" s="382">
        <f t="shared" si="14"/>
        <v>0</v>
      </c>
      <c r="AN34" s="247">
        <f t="shared" si="14"/>
        <v>0</v>
      </c>
      <c r="AO34" s="383">
        <f t="shared" si="15"/>
        <v>0</v>
      </c>
      <c r="AP34" s="382">
        <f t="shared" si="16"/>
        <v>0</v>
      </c>
      <c r="AQ34" s="247">
        <f t="shared" si="16"/>
        <v>0</v>
      </c>
      <c r="AR34" s="383">
        <f t="shared" si="17"/>
        <v>0</v>
      </c>
      <c r="AS34" s="382">
        <f t="shared" si="22"/>
        <v>0</v>
      </c>
      <c r="AT34" s="247">
        <f t="shared" si="18"/>
        <v>0</v>
      </c>
      <c r="AU34" s="383">
        <f t="shared" si="19"/>
        <v>0</v>
      </c>
      <c r="AV34" s="1251">
        <f t="shared" si="20"/>
        <v>13843.45</v>
      </c>
      <c r="AW34" s="382"/>
      <c r="AX34" s="1105"/>
      <c r="AY34" s="247"/>
      <c r="AZ34" s="1105"/>
      <c r="BA34" s="247"/>
      <c r="BB34" s="1124"/>
      <c r="BC34" s="382"/>
      <c r="BD34" s="247"/>
      <c r="BE34" s="247"/>
      <c r="BF34" s="247"/>
      <c r="BG34" s="247"/>
      <c r="BH34" s="384"/>
      <c r="BI34" s="382"/>
      <c r="BJ34" s="247"/>
      <c r="BK34" s="247"/>
      <c r="BL34" s="247"/>
      <c r="BM34" s="247"/>
      <c r="BN34" s="384"/>
      <c r="BO34" s="382"/>
      <c r="BP34" s="247"/>
      <c r="BQ34" s="247"/>
      <c r="BR34" s="247"/>
      <c r="BS34" s="247"/>
      <c r="BT34" s="383"/>
      <c r="BV34" s="378" t="s">
        <v>197</v>
      </c>
    </row>
    <row r="35" spans="1:74" s="358" customFormat="1" ht="31.5">
      <c r="A35" s="287">
        <v>25</v>
      </c>
      <c r="B35" s="933"/>
      <c r="C35" s="837"/>
      <c r="D35" s="1180" t="s">
        <v>227</v>
      </c>
      <c r="E35" s="836" t="s">
        <v>201</v>
      </c>
      <c r="F35" s="820" t="s">
        <v>7</v>
      </c>
      <c r="G35" s="360">
        <v>4</v>
      </c>
      <c r="H35" s="360" t="s">
        <v>224</v>
      </c>
      <c r="I35" s="360">
        <v>119</v>
      </c>
      <c r="J35" s="361">
        <v>213</v>
      </c>
      <c r="K35" s="532" t="s">
        <v>223</v>
      </c>
      <c r="L35" s="1023">
        <v>4180.7299999999996</v>
      </c>
      <c r="M35" s="363"/>
      <c r="N35" s="363"/>
      <c r="O35" s="1051">
        <f t="shared" si="21"/>
        <v>4180.7299999999996</v>
      </c>
      <c r="P35" s="557"/>
      <c r="Q35" s="367"/>
      <c r="R35" s="557"/>
      <c r="S35" s="367"/>
      <c r="T35" s="557"/>
      <c r="U35" s="365"/>
      <c r="V35" s="366"/>
      <c r="W35" s="366"/>
      <c r="X35" s="366"/>
      <c r="Z35" s="367">
        <f t="shared" si="6"/>
        <v>0</v>
      </c>
      <c r="AA35" s="363">
        <f t="shared" si="6"/>
        <v>0</v>
      </c>
      <c r="AB35" s="280">
        <f t="shared" si="7"/>
        <v>0</v>
      </c>
      <c r="AC35" s="367">
        <f t="shared" si="8"/>
        <v>0</v>
      </c>
      <c r="AD35" s="363">
        <f t="shared" si="8"/>
        <v>0</v>
      </c>
      <c r="AE35" s="280">
        <f t="shared" si="9"/>
        <v>0</v>
      </c>
      <c r="AF35" s="367">
        <f t="shared" si="10"/>
        <v>0</v>
      </c>
      <c r="AG35" s="363">
        <f t="shared" si="10"/>
        <v>0</v>
      </c>
      <c r="AH35" s="280">
        <f t="shared" si="11"/>
        <v>0</v>
      </c>
      <c r="AI35" s="367">
        <f t="shared" si="12"/>
        <v>0</v>
      </c>
      <c r="AJ35" s="363">
        <f t="shared" si="12"/>
        <v>0</v>
      </c>
      <c r="AK35" s="280">
        <f t="shared" si="13"/>
        <v>0</v>
      </c>
      <c r="AL35" s="368"/>
      <c r="AM35" s="367">
        <f t="shared" si="14"/>
        <v>0</v>
      </c>
      <c r="AN35" s="363">
        <f t="shared" si="14"/>
        <v>0</v>
      </c>
      <c r="AO35" s="280">
        <f t="shared" si="15"/>
        <v>0</v>
      </c>
      <c r="AP35" s="367">
        <f t="shared" si="16"/>
        <v>0</v>
      </c>
      <c r="AQ35" s="363">
        <f t="shared" si="16"/>
        <v>0</v>
      </c>
      <c r="AR35" s="280">
        <f t="shared" si="17"/>
        <v>0</v>
      </c>
      <c r="AS35" s="367">
        <f t="shared" si="22"/>
        <v>0</v>
      </c>
      <c r="AT35" s="363">
        <f t="shared" si="18"/>
        <v>0</v>
      </c>
      <c r="AU35" s="280">
        <f t="shared" si="19"/>
        <v>0</v>
      </c>
      <c r="AV35" s="1253">
        <f t="shared" si="20"/>
        <v>4180.7299999999996</v>
      </c>
      <c r="AW35" s="367"/>
      <c r="AX35" s="1097"/>
      <c r="AY35" s="363"/>
      <c r="AZ35" s="1097"/>
      <c r="BA35" s="363"/>
      <c r="BB35" s="1119"/>
      <c r="BC35" s="367"/>
      <c r="BD35" s="363"/>
      <c r="BE35" s="363"/>
      <c r="BF35" s="363"/>
      <c r="BG35" s="363"/>
      <c r="BH35" s="369"/>
      <c r="BI35" s="367"/>
      <c r="BJ35" s="363"/>
      <c r="BK35" s="363"/>
      <c r="BL35" s="363"/>
      <c r="BM35" s="363"/>
      <c r="BN35" s="369"/>
      <c r="BO35" s="367"/>
      <c r="BP35" s="363"/>
      <c r="BQ35" s="363"/>
      <c r="BR35" s="363"/>
      <c r="BS35" s="363"/>
      <c r="BT35" s="280"/>
      <c r="BV35" s="358" t="s">
        <v>197</v>
      </c>
    </row>
    <row r="36" spans="1:74" s="358" customFormat="1" ht="31.5">
      <c r="A36" s="287">
        <v>26</v>
      </c>
      <c r="B36" s="1151"/>
      <c r="C36" s="850" t="s">
        <v>377</v>
      </c>
      <c r="D36" s="838"/>
      <c r="E36" s="836" t="s">
        <v>201</v>
      </c>
      <c r="F36" s="820" t="s">
        <v>7</v>
      </c>
      <c r="G36" s="360">
        <v>4</v>
      </c>
      <c r="H36" s="360" t="s">
        <v>71</v>
      </c>
      <c r="I36" s="360">
        <v>112</v>
      </c>
      <c r="J36" s="361">
        <v>214</v>
      </c>
      <c r="K36" s="532" t="s">
        <v>35</v>
      </c>
      <c r="L36" s="1023">
        <f>SUM(L37:L38)</f>
        <v>1442073.12</v>
      </c>
      <c r="M36" s="363"/>
      <c r="N36" s="363">
        <f>SUM(N37:N38)</f>
        <v>0</v>
      </c>
      <c r="O36" s="1051">
        <f t="shared" si="21"/>
        <v>1442073.12</v>
      </c>
      <c r="P36" s="557"/>
      <c r="Q36" s="367">
        <f>SUM(Q37:Q38)</f>
        <v>900000</v>
      </c>
      <c r="R36" s="557"/>
      <c r="S36" s="367">
        <f>SUM(S37:S38)</f>
        <v>1000000</v>
      </c>
      <c r="T36" s="557"/>
      <c r="U36" s="365"/>
      <c r="V36" s="366"/>
      <c r="W36" s="366"/>
      <c r="X36" s="366"/>
      <c r="Z36" s="367">
        <f t="shared" si="6"/>
        <v>0</v>
      </c>
      <c r="AA36" s="363">
        <f t="shared" si="6"/>
        <v>0</v>
      </c>
      <c r="AB36" s="280">
        <f t="shared" si="7"/>
        <v>0</v>
      </c>
      <c r="AC36" s="367">
        <f t="shared" si="8"/>
        <v>800000</v>
      </c>
      <c r="AD36" s="363">
        <f t="shared" si="8"/>
        <v>559145</v>
      </c>
      <c r="AE36" s="280">
        <f t="shared" si="9"/>
        <v>240855</v>
      </c>
      <c r="AF36" s="367">
        <f t="shared" si="10"/>
        <v>193266</v>
      </c>
      <c r="AG36" s="363">
        <f t="shared" si="10"/>
        <v>0</v>
      </c>
      <c r="AH36" s="280">
        <f t="shared" si="11"/>
        <v>193266</v>
      </c>
      <c r="AI36" s="367">
        <f t="shared" si="12"/>
        <v>8926</v>
      </c>
      <c r="AJ36" s="363">
        <f t="shared" si="12"/>
        <v>0</v>
      </c>
      <c r="AK36" s="280">
        <f t="shared" si="13"/>
        <v>8926</v>
      </c>
      <c r="AL36" s="368"/>
      <c r="AM36" s="367">
        <f t="shared" si="14"/>
        <v>800000</v>
      </c>
      <c r="AN36" s="363">
        <f t="shared" si="14"/>
        <v>559145</v>
      </c>
      <c r="AO36" s="280">
        <f t="shared" si="15"/>
        <v>240855</v>
      </c>
      <c r="AP36" s="367">
        <f t="shared" si="16"/>
        <v>993266</v>
      </c>
      <c r="AQ36" s="363">
        <f t="shared" si="16"/>
        <v>559145</v>
      </c>
      <c r="AR36" s="280">
        <f t="shared" si="17"/>
        <v>434121</v>
      </c>
      <c r="AS36" s="367">
        <f t="shared" si="22"/>
        <v>1002192</v>
      </c>
      <c r="AT36" s="363">
        <f t="shared" si="18"/>
        <v>559145</v>
      </c>
      <c r="AU36" s="280">
        <f t="shared" si="19"/>
        <v>443047</v>
      </c>
      <c r="AV36" s="1253">
        <f t="shared" si="20"/>
        <v>439881.12</v>
      </c>
      <c r="AW36" s="367">
        <f t="shared" ref="AW36:BS36" si="51">SUM(AW37:AW38)</f>
        <v>0</v>
      </c>
      <c r="AX36" s="1097">
        <f t="shared" si="51"/>
        <v>0</v>
      </c>
      <c r="AY36" s="363">
        <f t="shared" si="51"/>
        <v>0</v>
      </c>
      <c r="AZ36" s="1097">
        <f t="shared" si="51"/>
        <v>0</v>
      </c>
      <c r="BA36" s="363">
        <f t="shared" si="51"/>
        <v>0</v>
      </c>
      <c r="BB36" s="1119">
        <f t="shared" si="51"/>
        <v>0</v>
      </c>
      <c r="BC36" s="367">
        <f t="shared" si="51"/>
        <v>0</v>
      </c>
      <c r="BD36" s="363">
        <f t="shared" si="51"/>
        <v>121730</v>
      </c>
      <c r="BE36" s="363">
        <f t="shared" si="51"/>
        <v>0</v>
      </c>
      <c r="BF36" s="363">
        <f t="shared" si="51"/>
        <v>437415</v>
      </c>
      <c r="BG36" s="363">
        <f t="shared" si="51"/>
        <v>800000</v>
      </c>
      <c r="BH36" s="369">
        <f t="shared" si="51"/>
        <v>0</v>
      </c>
      <c r="BI36" s="367">
        <f t="shared" si="51"/>
        <v>0</v>
      </c>
      <c r="BJ36" s="363">
        <f t="shared" si="51"/>
        <v>0</v>
      </c>
      <c r="BK36" s="363">
        <f t="shared" si="51"/>
        <v>193266</v>
      </c>
      <c r="BL36" s="363">
        <f t="shared" si="51"/>
        <v>0</v>
      </c>
      <c r="BM36" s="363">
        <f t="shared" si="51"/>
        <v>0</v>
      </c>
      <c r="BN36" s="369">
        <f t="shared" si="51"/>
        <v>0</v>
      </c>
      <c r="BO36" s="367">
        <f t="shared" si="51"/>
        <v>8926</v>
      </c>
      <c r="BP36" s="363">
        <f t="shared" si="51"/>
        <v>0</v>
      </c>
      <c r="BQ36" s="363">
        <f t="shared" si="51"/>
        <v>0</v>
      </c>
      <c r="BR36" s="363">
        <f t="shared" si="51"/>
        <v>0</v>
      </c>
      <c r="BS36" s="363">
        <f t="shared" si="51"/>
        <v>0</v>
      </c>
      <c r="BT36" s="280"/>
    </row>
    <row r="37" spans="1:74" s="313" customFormat="1" ht="76.5">
      <c r="A37" s="287">
        <v>27</v>
      </c>
      <c r="B37" s="935"/>
      <c r="C37" s="840"/>
      <c r="D37" s="841"/>
      <c r="E37" s="839"/>
      <c r="F37" s="821" t="s">
        <v>7</v>
      </c>
      <c r="G37" s="314">
        <v>4</v>
      </c>
      <c r="H37" s="739" t="s">
        <v>71</v>
      </c>
      <c r="I37" s="739">
        <v>112</v>
      </c>
      <c r="J37" s="740">
        <v>214</v>
      </c>
      <c r="K37" s="317" t="s">
        <v>844</v>
      </c>
      <c r="L37" s="1013">
        <v>1437580.52</v>
      </c>
      <c r="M37" s="318"/>
      <c r="N37" s="318"/>
      <c r="O37" s="1052">
        <f t="shared" si="21"/>
        <v>1437580.52</v>
      </c>
      <c r="P37" s="329"/>
      <c r="Q37" s="319">
        <v>900000</v>
      </c>
      <c r="R37" s="329"/>
      <c r="S37" s="319">
        <v>1000000</v>
      </c>
      <c r="T37" s="329"/>
      <c r="U37" s="335"/>
      <c r="V37" s="596" t="s">
        <v>863</v>
      </c>
      <c r="W37" s="320"/>
      <c r="X37" s="320"/>
      <c r="Z37" s="336">
        <f>AW37+AY37+BA37</f>
        <v>0</v>
      </c>
      <c r="AA37" s="337">
        <f>AX37+AZ37+BB37</f>
        <v>0</v>
      </c>
      <c r="AB37" s="338">
        <f>Z37-AA37</f>
        <v>0</v>
      </c>
      <c r="AC37" s="336">
        <f>BC37+BE37+BG37</f>
        <v>792993.6</v>
      </c>
      <c r="AD37" s="337">
        <f>BD37+BF37+BH37</f>
        <v>559145</v>
      </c>
      <c r="AE37" s="338">
        <f>AC37-AD37</f>
        <v>233848.6</v>
      </c>
      <c r="AF37" s="336">
        <f>BI37+BK37+BM37</f>
        <v>193266</v>
      </c>
      <c r="AG37" s="337">
        <f>BJ37+BL37+BN37</f>
        <v>0</v>
      </c>
      <c r="AH37" s="338">
        <f>AF37-AG37</f>
        <v>193266</v>
      </c>
      <c r="AI37" s="336">
        <f>BO37+BQ37+BS37</f>
        <v>8926</v>
      </c>
      <c r="AJ37" s="337">
        <f>BP37+BR37+BT37</f>
        <v>0</v>
      </c>
      <c r="AK37" s="338">
        <f>AI37-AJ37</f>
        <v>8926</v>
      </c>
      <c r="AL37" s="342"/>
      <c r="AM37" s="336">
        <f>Z37+AC37</f>
        <v>792993.6</v>
      </c>
      <c r="AN37" s="339">
        <f>AA37+AD37</f>
        <v>559145</v>
      </c>
      <c r="AO37" s="340">
        <f>AM37-AN37</f>
        <v>233848.6</v>
      </c>
      <c r="AP37" s="336">
        <f>Z37+AC37+AF37</f>
        <v>986259.6</v>
      </c>
      <c r="AQ37" s="339">
        <f>AA37+AD37+AG37</f>
        <v>559145</v>
      </c>
      <c r="AR37" s="340">
        <f>AP37-AQ37</f>
        <v>427114.6</v>
      </c>
      <c r="AS37" s="341">
        <f>Z37+AC37+AF37+AI37</f>
        <v>995185.6</v>
      </c>
      <c r="AT37" s="339">
        <f>AA37+AD37+AG37+AJ37</f>
        <v>559145</v>
      </c>
      <c r="AU37" s="340">
        <f>AS37-AT37</f>
        <v>436040.6</v>
      </c>
      <c r="AV37" s="1255">
        <f t="shared" si="20"/>
        <v>442394.92</v>
      </c>
      <c r="AW37" s="343"/>
      <c r="AX37" s="1098"/>
      <c r="AY37" s="345"/>
      <c r="AZ37" s="1098"/>
      <c r="BA37" s="345"/>
      <c r="BB37" s="1120"/>
      <c r="BC37" s="347"/>
      <c r="BD37" s="348">
        <v>121730</v>
      </c>
      <c r="BE37" s="349"/>
      <c r="BF37" s="348">
        <v>437415</v>
      </c>
      <c r="BG37" s="349">
        <v>792993.6</v>
      </c>
      <c r="BH37" s="350"/>
      <c r="BI37" s="351"/>
      <c r="BJ37" s="352"/>
      <c r="BK37" s="337">
        <f>200000-6734</f>
        <v>193266</v>
      </c>
      <c r="BL37" s="352"/>
      <c r="BM37" s="337"/>
      <c r="BN37" s="353"/>
      <c r="BO37" s="1138">
        <v>8926</v>
      </c>
      <c r="BP37" s="355"/>
      <c r="BQ37" s="356"/>
      <c r="BR37" s="355"/>
      <c r="BS37" s="356"/>
      <c r="BT37" s="357"/>
    </row>
    <row r="38" spans="1:74" s="313" customFormat="1" ht="25.5">
      <c r="A38" s="287">
        <v>28</v>
      </c>
      <c r="B38" s="935"/>
      <c r="C38" s="840"/>
      <c r="D38" s="841"/>
      <c r="E38" s="839"/>
      <c r="F38" s="821" t="s">
        <v>7</v>
      </c>
      <c r="G38" s="314">
        <v>4</v>
      </c>
      <c r="H38" s="739" t="s">
        <v>71</v>
      </c>
      <c r="I38" s="739">
        <v>112</v>
      </c>
      <c r="J38" s="740">
        <v>214</v>
      </c>
      <c r="K38" s="317" t="s">
        <v>843</v>
      </c>
      <c r="L38" s="1013">
        <v>4492.6000000000004</v>
      </c>
      <c r="M38" s="318"/>
      <c r="N38" s="318"/>
      <c r="O38" s="1052">
        <f t="shared" si="21"/>
        <v>4492.6000000000004</v>
      </c>
      <c r="P38" s="329"/>
      <c r="Q38" s="319">
        <v>0</v>
      </c>
      <c r="R38" s="329"/>
      <c r="S38" s="319">
        <v>0</v>
      </c>
      <c r="T38" s="329"/>
      <c r="U38" s="335"/>
      <c r="V38" s="596" t="s">
        <v>845</v>
      </c>
      <c r="W38" s="320"/>
      <c r="X38" s="320"/>
      <c r="Z38" s="336">
        <f>AW38+AY38+BA38</f>
        <v>0</v>
      </c>
      <c r="AA38" s="337">
        <f>AX38+AZ38+BB38</f>
        <v>0</v>
      </c>
      <c r="AB38" s="338">
        <f>Z38-AA38</f>
        <v>0</v>
      </c>
      <c r="AC38" s="336">
        <f>BC38+BE38+BG38</f>
        <v>7006.4</v>
      </c>
      <c r="AD38" s="337">
        <f>BD38+BF38+BH38</f>
        <v>0</v>
      </c>
      <c r="AE38" s="338">
        <f>AC38-AD38</f>
        <v>7006.4</v>
      </c>
      <c r="AF38" s="336">
        <f>BI38+BK38+BM38</f>
        <v>0</v>
      </c>
      <c r="AG38" s="337">
        <f>BJ38+BL38+BN38</f>
        <v>0</v>
      </c>
      <c r="AH38" s="338">
        <f>AF38-AG38</f>
        <v>0</v>
      </c>
      <c r="AI38" s="336">
        <f>BO38+BQ38+BS38</f>
        <v>0</v>
      </c>
      <c r="AJ38" s="337">
        <f>BP38+BR38+BT38</f>
        <v>0</v>
      </c>
      <c r="AK38" s="338">
        <f>AI38-AJ38</f>
        <v>0</v>
      </c>
      <c r="AL38" s="342"/>
      <c r="AM38" s="336">
        <f>Z38+AC38</f>
        <v>7006.4</v>
      </c>
      <c r="AN38" s="339">
        <f>AA38+AD38</f>
        <v>0</v>
      </c>
      <c r="AO38" s="340">
        <f>AM38-AN38</f>
        <v>7006.4</v>
      </c>
      <c r="AP38" s="336">
        <f>Z38+AC38+AF38</f>
        <v>7006.4</v>
      </c>
      <c r="AQ38" s="339">
        <f>AA38+AD38+AG38</f>
        <v>0</v>
      </c>
      <c r="AR38" s="340">
        <f>AP38-AQ38</f>
        <v>7006.4</v>
      </c>
      <c r="AS38" s="341">
        <f>Z38+AC38+AF38+AI38</f>
        <v>7006.4</v>
      </c>
      <c r="AT38" s="339">
        <f>AA38+AD38+AG38+AJ38</f>
        <v>0</v>
      </c>
      <c r="AU38" s="340">
        <f>AS38-AT38</f>
        <v>7006.4</v>
      </c>
      <c r="AV38" s="1255">
        <f t="shared" si="20"/>
        <v>-2513.8000000000002</v>
      </c>
      <c r="AW38" s="343"/>
      <c r="AX38" s="1098"/>
      <c r="AY38" s="345"/>
      <c r="AZ38" s="1098"/>
      <c r="BA38" s="345"/>
      <c r="BB38" s="1120"/>
      <c r="BC38" s="347"/>
      <c r="BD38" s="348"/>
      <c r="BE38" s="349"/>
      <c r="BF38" s="348"/>
      <c r="BG38" s="349">
        <v>7006.4</v>
      </c>
      <c r="BH38" s="350"/>
      <c r="BI38" s="351"/>
      <c r="BJ38" s="352"/>
      <c r="BK38" s="337"/>
      <c r="BL38" s="352"/>
      <c r="BM38" s="337"/>
      <c r="BN38" s="353"/>
      <c r="BO38" s="354"/>
      <c r="BP38" s="355"/>
      <c r="BQ38" s="356"/>
      <c r="BR38" s="355"/>
      <c r="BS38" s="356"/>
      <c r="BT38" s="357"/>
    </row>
    <row r="39" spans="1:74" s="358" customFormat="1" ht="47.25">
      <c r="A39" s="287">
        <v>29</v>
      </c>
      <c r="B39" s="933"/>
      <c r="C39" s="837"/>
      <c r="D39" s="838"/>
      <c r="E39" s="836" t="s">
        <v>201</v>
      </c>
      <c r="F39" s="820" t="s">
        <v>7</v>
      </c>
      <c r="G39" s="360">
        <v>4</v>
      </c>
      <c r="H39" s="360" t="s">
        <v>71</v>
      </c>
      <c r="I39" s="360">
        <v>112</v>
      </c>
      <c r="J39" s="361">
        <v>266</v>
      </c>
      <c r="K39" s="532" t="s">
        <v>220</v>
      </c>
      <c r="L39" s="1023">
        <f>3060</f>
        <v>3060</v>
      </c>
      <c r="M39" s="363"/>
      <c r="N39" s="363"/>
      <c r="O39" s="1051">
        <f t="shared" si="21"/>
        <v>3060</v>
      </c>
      <c r="P39" s="557"/>
      <c r="Q39" s="367">
        <v>1105</v>
      </c>
      <c r="R39" s="557"/>
      <c r="S39" s="367">
        <v>0</v>
      </c>
      <c r="T39" s="557"/>
      <c r="U39" s="365"/>
      <c r="V39" s="366"/>
      <c r="W39" s="366"/>
      <c r="X39" s="366"/>
      <c r="Z39" s="367">
        <f t="shared" si="6"/>
        <v>510</v>
      </c>
      <c r="AA39" s="363">
        <f t="shared" si="6"/>
        <v>300</v>
      </c>
      <c r="AB39" s="280">
        <f t="shared" si="7"/>
        <v>210</v>
      </c>
      <c r="AC39" s="367">
        <f t="shared" si="8"/>
        <v>765</v>
      </c>
      <c r="AD39" s="363">
        <f t="shared" si="8"/>
        <v>300</v>
      </c>
      <c r="AE39" s="280">
        <f t="shared" si="9"/>
        <v>465</v>
      </c>
      <c r="AF39" s="367">
        <f t="shared" si="10"/>
        <v>765</v>
      </c>
      <c r="AG39" s="363">
        <f t="shared" si="10"/>
        <v>0</v>
      </c>
      <c r="AH39" s="280">
        <f t="shared" si="11"/>
        <v>765</v>
      </c>
      <c r="AI39" s="367">
        <f t="shared" si="12"/>
        <v>1020</v>
      </c>
      <c r="AJ39" s="363">
        <f t="shared" si="12"/>
        <v>0</v>
      </c>
      <c r="AK39" s="280">
        <f t="shared" si="13"/>
        <v>1020</v>
      </c>
      <c r="AL39" s="368"/>
      <c r="AM39" s="367">
        <f t="shared" si="14"/>
        <v>1275</v>
      </c>
      <c r="AN39" s="363">
        <f t="shared" si="14"/>
        <v>600</v>
      </c>
      <c r="AO39" s="280">
        <f t="shared" si="15"/>
        <v>675</v>
      </c>
      <c r="AP39" s="367">
        <f t="shared" si="16"/>
        <v>2040</v>
      </c>
      <c r="AQ39" s="363">
        <f t="shared" si="16"/>
        <v>600</v>
      </c>
      <c r="AR39" s="280">
        <f t="shared" si="17"/>
        <v>1440</v>
      </c>
      <c r="AS39" s="367">
        <f t="shared" si="22"/>
        <v>3060</v>
      </c>
      <c r="AT39" s="363">
        <f t="shared" si="18"/>
        <v>600</v>
      </c>
      <c r="AU39" s="280">
        <f t="shared" si="19"/>
        <v>2460</v>
      </c>
      <c r="AV39" s="1253">
        <f t="shared" si="20"/>
        <v>0</v>
      </c>
      <c r="AW39" s="367"/>
      <c r="AX39" s="1097"/>
      <c r="AY39" s="363">
        <f>3*85</f>
        <v>255</v>
      </c>
      <c r="AZ39" s="1097">
        <v>150</v>
      </c>
      <c r="BA39" s="363">
        <f>3*85</f>
        <v>255</v>
      </c>
      <c r="BB39" s="1119">
        <v>150</v>
      </c>
      <c r="BC39" s="367">
        <f>3*85</f>
        <v>255</v>
      </c>
      <c r="BD39" s="363"/>
      <c r="BE39" s="363">
        <f>3*85</f>
        <v>255</v>
      </c>
      <c r="BF39" s="363">
        <f>75*4</f>
        <v>300</v>
      </c>
      <c r="BG39" s="363">
        <f>3*85</f>
        <v>255</v>
      </c>
      <c r="BH39" s="369"/>
      <c r="BI39" s="367">
        <f>3*85</f>
        <v>255</v>
      </c>
      <c r="BJ39" s="363"/>
      <c r="BK39" s="363">
        <f>3*85</f>
        <v>255</v>
      </c>
      <c r="BL39" s="363"/>
      <c r="BM39" s="363">
        <f>3*85</f>
        <v>255</v>
      </c>
      <c r="BN39" s="369"/>
      <c r="BO39" s="367">
        <f>3*85</f>
        <v>255</v>
      </c>
      <c r="BP39" s="363"/>
      <c r="BQ39" s="363">
        <f>3*85</f>
        <v>255</v>
      </c>
      <c r="BR39" s="363"/>
      <c r="BS39" s="363">
        <f>3*85*2</f>
        <v>510</v>
      </c>
      <c r="BT39" s="280"/>
    </row>
    <row r="40" spans="1:74" s="358" customFormat="1" ht="31.5" customHeight="1">
      <c r="A40" s="287">
        <v>30</v>
      </c>
      <c r="B40" s="933"/>
      <c r="C40" s="850" t="s">
        <v>377</v>
      </c>
      <c r="D40" s="838"/>
      <c r="E40" s="836" t="s">
        <v>201</v>
      </c>
      <c r="F40" s="820" t="s">
        <v>7</v>
      </c>
      <c r="G40" s="360">
        <v>4</v>
      </c>
      <c r="H40" s="360" t="s">
        <v>71</v>
      </c>
      <c r="I40" s="360">
        <v>244</v>
      </c>
      <c r="J40" s="361">
        <v>221</v>
      </c>
      <c r="K40" s="532" t="s">
        <v>11</v>
      </c>
      <c r="L40" s="1023">
        <f>SUM(L41:L45)</f>
        <v>196510.7</v>
      </c>
      <c r="M40" s="363"/>
      <c r="N40" s="363"/>
      <c r="O40" s="1051">
        <f t="shared" si="21"/>
        <v>196510.7</v>
      </c>
      <c r="P40" s="557"/>
      <c r="Q40" s="367">
        <f>SUM(Q41:Q45)</f>
        <v>196510.72</v>
      </c>
      <c r="R40" s="557"/>
      <c r="S40" s="367">
        <f t="shared" ref="S40" si="52">SUM(S41:S45)</f>
        <v>197767.89</v>
      </c>
      <c r="T40" s="557"/>
      <c r="U40" s="365"/>
      <c r="V40" s="366"/>
      <c r="W40" s="366"/>
      <c r="X40" s="366"/>
      <c r="Z40" s="367">
        <f t="shared" si="6"/>
        <v>36413.230000000003</v>
      </c>
      <c r="AA40" s="363">
        <f t="shared" si="6"/>
        <v>36413.230000000003</v>
      </c>
      <c r="AB40" s="280">
        <f t="shared" si="7"/>
        <v>0</v>
      </c>
      <c r="AC40" s="367">
        <f t="shared" si="8"/>
        <v>52194.8</v>
      </c>
      <c r="AD40" s="363">
        <f t="shared" si="8"/>
        <v>52194.8</v>
      </c>
      <c r="AE40" s="280">
        <f t="shared" si="9"/>
        <v>0</v>
      </c>
      <c r="AF40" s="367">
        <f t="shared" si="10"/>
        <v>52192.52</v>
      </c>
      <c r="AG40" s="363">
        <f t="shared" si="10"/>
        <v>52192.52</v>
      </c>
      <c r="AH40" s="280">
        <f t="shared" si="11"/>
        <v>0</v>
      </c>
      <c r="AI40" s="367">
        <f t="shared" si="12"/>
        <v>55684.46</v>
      </c>
      <c r="AJ40" s="363">
        <f t="shared" si="12"/>
        <v>17407.3</v>
      </c>
      <c r="AK40" s="280">
        <f t="shared" si="13"/>
        <v>38277.160000000003</v>
      </c>
      <c r="AL40" s="368"/>
      <c r="AM40" s="367">
        <f t="shared" si="14"/>
        <v>88608.03</v>
      </c>
      <c r="AN40" s="363">
        <f t="shared" si="14"/>
        <v>88608.03</v>
      </c>
      <c r="AO40" s="280">
        <f t="shared" si="15"/>
        <v>0</v>
      </c>
      <c r="AP40" s="367">
        <f t="shared" si="16"/>
        <v>140800.54999999999</v>
      </c>
      <c r="AQ40" s="363">
        <f t="shared" si="16"/>
        <v>140800.54999999999</v>
      </c>
      <c r="AR40" s="280">
        <f t="shared" si="17"/>
        <v>0</v>
      </c>
      <c r="AS40" s="367">
        <f t="shared" si="22"/>
        <v>196485.01</v>
      </c>
      <c r="AT40" s="363">
        <f t="shared" si="18"/>
        <v>158207.85</v>
      </c>
      <c r="AU40" s="280">
        <f t="shared" si="19"/>
        <v>38277.160000000003</v>
      </c>
      <c r="AV40" s="1253">
        <f t="shared" si="20"/>
        <v>25.69</v>
      </c>
      <c r="AW40" s="367">
        <f t="shared" ref="AW40:BT40" si="53">SUM(AW41:AW45)</f>
        <v>0</v>
      </c>
      <c r="AX40" s="1097">
        <f t="shared" si="53"/>
        <v>0</v>
      </c>
      <c r="AY40" s="363">
        <f t="shared" si="53"/>
        <v>18778.900000000001</v>
      </c>
      <c r="AZ40" s="1097">
        <f t="shared" si="53"/>
        <v>18284.400000000001</v>
      </c>
      <c r="BA40" s="363">
        <f t="shared" si="53"/>
        <v>17634.330000000002</v>
      </c>
      <c r="BB40" s="1119">
        <f t="shared" si="53"/>
        <v>18128.830000000002</v>
      </c>
      <c r="BC40" s="367">
        <f t="shared" si="53"/>
        <v>17405.59</v>
      </c>
      <c r="BD40" s="363">
        <f t="shared" si="53"/>
        <v>17405.59</v>
      </c>
      <c r="BE40" s="363">
        <f t="shared" si="53"/>
        <v>17390</v>
      </c>
      <c r="BF40" s="363">
        <f t="shared" si="53"/>
        <v>17390</v>
      </c>
      <c r="BG40" s="363">
        <f t="shared" si="53"/>
        <v>17399.21</v>
      </c>
      <c r="BH40" s="369">
        <f t="shared" si="53"/>
        <v>17399.21</v>
      </c>
      <c r="BI40" s="367">
        <f t="shared" si="53"/>
        <v>17398.43</v>
      </c>
      <c r="BJ40" s="363">
        <f t="shared" si="53"/>
        <v>17398.43</v>
      </c>
      <c r="BK40" s="363">
        <f t="shared" si="53"/>
        <v>17404.09</v>
      </c>
      <c r="BL40" s="363">
        <f t="shared" si="53"/>
        <v>17404.09</v>
      </c>
      <c r="BM40" s="363">
        <f t="shared" si="53"/>
        <v>17390</v>
      </c>
      <c r="BN40" s="369">
        <f t="shared" si="53"/>
        <v>17390</v>
      </c>
      <c r="BO40" s="367">
        <f t="shared" si="53"/>
        <v>17407.3</v>
      </c>
      <c r="BP40" s="363">
        <f t="shared" si="53"/>
        <v>17407.3</v>
      </c>
      <c r="BQ40" s="363">
        <f t="shared" si="53"/>
        <v>12640</v>
      </c>
      <c r="BR40" s="363">
        <f t="shared" si="53"/>
        <v>0</v>
      </c>
      <c r="BS40" s="363">
        <f t="shared" si="53"/>
        <v>25637.16</v>
      </c>
      <c r="BT40" s="280">
        <f t="shared" si="53"/>
        <v>0</v>
      </c>
    </row>
    <row r="41" spans="1:74" s="313" customFormat="1" ht="25.5" outlineLevel="1">
      <c r="A41" s="287">
        <v>31</v>
      </c>
      <c r="B41" s="933"/>
      <c r="C41" s="840"/>
      <c r="D41" s="841"/>
      <c r="E41" s="839"/>
      <c r="F41" s="821" t="s">
        <v>7</v>
      </c>
      <c r="G41" s="314">
        <v>4</v>
      </c>
      <c r="H41" s="739" t="s">
        <v>71</v>
      </c>
      <c r="I41" s="739">
        <v>244</v>
      </c>
      <c r="J41" s="740">
        <v>221</v>
      </c>
      <c r="K41" s="533" t="s">
        <v>236</v>
      </c>
      <c r="L41" s="1025">
        <f>2230.7-600</f>
        <v>1630.7</v>
      </c>
      <c r="M41" s="318"/>
      <c r="N41" s="318"/>
      <c r="O41" s="1052">
        <f t="shared" si="21"/>
        <v>1630.7</v>
      </c>
      <c r="P41" s="559"/>
      <c r="Q41" s="336">
        <v>2230.7199999999998</v>
      </c>
      <c r="R41" s="559"/>
      <c r="S41" s="336">
        <v>3487.89</v>
      </c>
      <c r="T41" s="559"/>
      <c r="U41" s="335"/>
      <c r="V41" s="320"/>
      <c r="W41" s="320"/>
      <c r="X41" s="320"/>
      <c r="Z41" s="336">
        <f t="shared" si="6"/>
        <v>1596.4</v>
      </c>
      <c r="AA41" s="337">
        <f t="shared" si="6"/>
        <v>1596.4</v>
      </c>
      <c r="AB41" s="338">
        <f t="shared" si="7"/>
        <v>0</v>
      </c>
      <c r="AC41" s="336">
        <f t="shared" si="8"/>
        <v>0</v>
      </c>
      <c r="AD41" s="337">
        <f t="shared" si="8"/>
        <v>0</v>
      </c>
      <c r="AE41" s="338">
        <f t="shared" si="9"/>
        <v>0</v>
      </c>
      <c r="AF41" s="336">
        <f t="shared" si="10"/>
        <v>0</v>
      </c>
      <c r="AG41" s="337">
        <f t="shared" si="10"/>
        <v>0</v>
      </c>
      <c r="AH41" s="338">
        <f t="shared" si="11"/>
        <v>0</v>
      </c>
      <c r="AI41" s="336">
        <f t="shared" si="12"/>
        <v>0</v>
      </c>
      <c r="AJ41" s="337">
        <f t="shared" si="12"/>
        <v>0</v>
      </c>
      <c r="AK41" s="338">
        <f t="shared" si="13"/>
        <v>0</v>
      </c>
      <c r="AL41" s="342"/>
      <c r="AM41" s="336">
        <f t="shared" si="14"/>
        <v>1596.4</v>
      </c>
      <c r="AN41" s="339">
        <f t="shared" si="14"/>
        <v>1596.4</v>
      </c>
      <c r="AO41" s="340">
        <f t="shared" si="15"/>
        <v>0</v>
      </c>
      <c r="AP41" s="336">
        <f t="shared" si="16"/>
        <v>1596.4</v>
      </c>
      <c r="AQ41" s="339">
        <f t="shared" si="16"/>
        <v>1596.4</v>
      </c>
      <c r="AR41" s="340">
        <f t="shared" si="17"/>
        <v>0</v>
      </c>
      <c r="AS41" s="341">
        <f t="shared" si="22"/>
        <v>1596.4</v>
      </c>
      <c r="AT41" s="339">
        <f t="shared" si="18"/>
        <v>1596.4</v>
      </c>
      <c r="AU41" s="340">
        <f t="shared" si="19"/>
        <v>0</v>
      </c>
      <c r="AV41" s="1255">
        <f t="shared" si="20"/>
        <v>34.299999999999997</v>
      </c>
      <c r="AW41" s="343"/>
      <c r="AX41" s="1098"/>
      <c r="AY41" s="345">
        <v>1388.9</v>
      </c>
      <c r="AZ41" s="1098">
        <v>894.4</v>
      </c>
      <c r="BA41" s="345">
        <v>207.5</v>
      </c>
      <c r="BB41" s="1120">
        <f>207.5+494.5</f>
        <v>702</v>
      </c>
      <c r="BC41" s="347"/>
      <c r="BD41" s="348"/>
      <c r="BE41" s="349"/>
      <c r="BF41" s="348"/>
      <c r="BG41" s="349"/>
      <c r="BH41" s="350"/>
      <c r="BI41" s="351"/>
      <c r="BJ41" s="352"/>
      <c r="BK41" s="337"/>
      <c r="BL41" s="352"/>
      <c r="BM41" s="337"/>
      <c r="BN41" s="353"/>
      <c r="BO41" s="354"/>
      <c r="BP41" s="355"/>
      <c r="BQ41" s="356"/>
      <c r="BR41" s="355"/>
      <c r="BS41" s="356"/>
      <c r="BT41" s="357"/>
    </row>
    <row r="42" spans="1:74" s="313" customFormat="1" ht="38.25" outlineLevel="1">
      <c r="A42" s="287">
        <v>32</v>
      </c>
      <c r="B42" s="933"/>
      <c r="C42" s="840"/>
      <c r="D42" s="841"/>
      <c r="E42" s="839"/>
      <c r="F42" s="821" t="s">
        <v>7</v>
      </c>
      <c r="G42" s="314">
        <v>4</v>
      </c>
      <c r="H42" s="739" t="s">
        <v>71</v>
      </c>
      <c r="I42" s="739">
        <v>244</v>
      </c>
      <c r="J42" s="740">
        <v>221</v>
      </c>
      <c r="K42" s="533" t="s">
        <v>422</v>
      </c>
      <c r="L42" s="1025">
        <v>63480</v>
      </c>
      <c r="M42" s="318"/>
      <c r="N42" s="318"/>
      <c r="O42" s="1052">
        <f t="shared" si="21"/>
        <v>63480</v>
      </c>
      <c r="P42" s="559"/>
      <c r="Q42" s="336">
        <v>63480</v>
      </c>
      <c r="R42" s="559"/>
      <c r="S42" s="336">
        <v>63480</v>
      </c>
      <c r="T42" s="559"/>
      <c r="U42" s="335"/>
      <c r="V42" s="596" t="s">
        <v>231</v>
      </c>
      <c r="W42" s="597" t="s">
        <v>423</v>
      </c>
      <c r="X42" s="597" t="s">
        <v>381</v>
      </c>
      <c r="Z42" s="336">
        <f t="shared" si="6"/>
        <v>10580</v>
      </c>
      <c r="AA42" s="337">
        <f t="shared" si="6"/>
        <v>10580</v>
      </c>
      <c r="AB42" s="338">
        <f t="shared" si="7"/>
        <v>0</v>
      </c>
      <c r="AC42" s="336">
        <f t="shared" si="8"/>
        <v>15870</v>
      </c>
      <c r="AD42" s="337">
        <f t="shared" si="8"/>
        <v>15870</v>
      </c>
      <c r="AE42" s="338">
        <f t="shared" si="9"/>
        <v>0</v>
      </c>
      <c r="AF42" s="336">
        <f t="shared" si="10"/>
        <v>15870</v>
      </c>
      <c r="AG42" s="337">
        <f t="shared" si="10"/>
        <v>15870</v>
      </c>
      <c r="AH42" s="338">
        <f t="shared" si="11"/>
        <v>0</v>
      </c>
      <c r="AI42" s="336">
        <f t="shared" si="12"/>
        <v>21160</v>
      </c>
      <c r="AJ42" s="337">
        <f t="shared" si="12"/>
        <v>5290</v>
      </c>
      <c r="AK42" s="338">
        <f t="shared" si="13"/>
        <v>15870</v>
      </c>
      <c r="AL42" s="342"/>
      <c r="AM42" s="336">
        <f t="shared" si="14"/>
        <v>26450</v>
      </c>
      <c r="AN42" s="339">
        <f t="shared" si="14"/>
        <v>26450</v>
      </c>
      <c r="AO42" s="340">
        <f t="shared" si="15"/>
        <v>0</v>
      </c>
      <c r="AP42" s="336">
        <f t="shared" si="16"/>
        <v>42320</v>
      </c>
      <c r="AQ42" s="339">
        <f t="shared" si="16"/>
        <v>42320</v>
      </c>
      <c r="AR42" s="340">
        <f t="shared" si="17"/>
        <v>0</v>
      </c>
      <c r="AS42" s="341">
        <f t="shared" si="22"/>
        <v>63480</v>
      </c>
      <c r="AT42" s="339">
        <f t="shared" si="18"/>
        <v>47610</v>
      </c>
      <c r="AU42" s="340">
        <f t="shared" si="19"/>
        <v>15870</v>
      </c>
      <c r="AV42" s="1255">
        <f t="shared" si="20"/>
        <v>0</v>
      </c>
      <c r="AW42" s="343"/>
      <c r="AX42" s="1098"/>
      <c r="AY42" s="1217">
        <v>5290</v>
      </c>
      <c r="AZ42" s="1218">
        <v>5290</v>
      </c>
      <c r="BA42" s="1217">
        <v>5290</v>
      </c>
      <c r="BB42" s="1219">
        <v>5290</v>
      </c>
      <c r="BC42" s="1220">
        <v>5290</v>
      </c>
      <c r="BD42" s="1221">
        <v>5290</v>
      </c>
      <c r="BE42" s="1222">
        <v>5290</v>
      </c>
      <c r="BF42" s="1221">
        <v>5290</v>
      </c>
      <c r="BG42" s="1222">
        <v>5290</v>
      </c>
      <c r="BH42" s="1223">
        <v>5290</v>
      </c>
      <c r="BI42" s="1224">
        <v>5290</v>
      </c>
      <c r="BJ42" s="1225">
        <v>5290</v>
      </c>
      <c r="BK42" s="1230">
        <v>5290</v>
      </c>
      <c r="BL42" s="1225">
        <v>5290</v>
      </c>
      <c r="BM42" s="1230">
        <v>5290</v>
      </c>
      <c r="BN42" s="1293">
        <v>5290</v>
      </c>
      <c r="BO42" s="1138">
        <v>5290</v>
      </c>
      <c r="BP42" s="355">
        <v>5290</v>
      </c>
      <c r="BQ42" s="356">
        <v>5290</v>
      </c>
      <c r="BR42" s="355"/>
      <c r="BS42" s="356">
        <f>5290*2</f>
        <v>10580</v>
      </c>
      <c r="BT42" s="357"/>
    </row>
    <row r="43" spans="1:74" s="313" customFormat="1" ht="38.25" outlineLevel="1">
      <c r="A43" s="287">
        <v>33</v>
      </c>
      <c r="B43" s="933"/>
      <c r="C43" s="840"/>
      <c r="D43" s="841"/>
      <c r="E43" s="839"/>
      <c r="F43" s="821" t="s">
        <v>7</v>
      </c>
      <c r="G43" s="314">
        <v>4</v>
      </c>
      <c r="H43" s="739" t="s">
        <v>71</v>
      </c>
      <c r="I43" s="739">
        <v>244</v>
      </c>
      <c r="J43" s="740">
        <v>221</v>
      </c>
      <c r="K43" s="533" t="s">
        <v>421</v>
      </c>
      <c r="L43" s="1025">
        <v>87600</v>
      </c>
      <c r="M43" s="318"/>
      <c r="N43" s="318"/>
      <c r="O43" s="1052">
        <f t="shared" si="21"/>
        <v>87600</v>
      </c>
      <c r="P43" s="559"/>
      <c r="Q43" s="336">
        <v>87600</v>
      </c>
      <c r="R43" s="559"/>
      <c r="S43" s="336">
        <v>87600</v>
      </c>
      <c r="T43" s="559"/>
      <c r="U43" s="335"/>
      <c r="V43" s="596" t="s">
        <v>231</v>
      </c>
      <c r="W43" s="597" t="s">
        <v>424</v>
      </c>
      <c r="X43" s="597" t="s">
        <v>381</v>
      </c>
      <c r="Z43" s="336">
        <f t="shared" si="6"/>
        <v>14600</v>
      </c>
      <c r="AA43" s="337">
        <f t="shared" si="6"/>
        <v>14600</v>
      </c>
      <c r="AB43" s="338">
        <f t="shared" si="7"/>
        <v>0</v>
      </c>
      <c r="AC43" s="336">
        <f t="shared" si="8"/>
        <v>21900</v>
      </c>
      <c r="AD43" s="337">
        <f t="shared" si="8"/>
        <v>21900</v>
      </c>
      <c r="AE43" s="338">
        <f t="shared" si="9"/>
        <v>0</v>
      </c>
      <c r="AF43" s="336">
        <f t="shared" si="10"/>
        <v>21900</v>
      </c>
      <c r="AG43" s="337">
        <f t="shared" si="10"/>
        <v>21900</v>
      </c>
      <c r="AH43" s="338">
        <f t="shared" si="11"/>
        <v>0</v>
      </c>
      <c r="AI43" s="336">
        <f t="shared" si="12"/>
        <v>29200</v>
      </c>
      <c r="AJ43" s="337">
        <f t="shared" si="12"/>
        <v>7300</v>
      </c>
      <c r="AK43" s="338">
        <f t="shared" si="13"/>
        <v>21900</v>
      </c>
      <c r="AL43" s="342"/>
      <c r="AM43" s="336">
        <f t="shared" si="14"/>
        <v>36500</v>
      </c>
      <c r="AN43" s="339">
        <f t="shared" si="14"/>
        <v>36500</v>
      </c>
      <c r="AO43" s="340">
        <f t="shared" si="15"/>
        <v>0</v>
      </c>
      <c r="AP43" s="336">
        <f t="shared" si="16"/>
        <v>58400</v>
      </c>
      <c r="AQ43" s="339">
        <f t="shared" si="16"/>
        <v>58400</v>
      </c>
      <c r="AR43" s="340">
        <f t="shared" si="17"/>
        <v>0</v>
      </c>
      <c r="AS43" s="341">
        <f t="shared" si="22"/>
        <v>87600</v>
      </c>
      <c r="AT43" s="339">
        <f t="shared" si="18"/>
        <v>65700</v>
      </c>
      <c r="AU43" s="340">
        <f t="shared" si="19"/>
        <v>21900</v>
      </c>
      <c r="AV43" s="1255">
        <f t="shared" si="20"/>
        <v>0</v>
      </c>
      <c r="AW43" s="343"/>
      <c r="AX43" s="1098"/>
      <c r="AY43" s="1217">
        <v>7300</v>
      </c>
      <c r="AZ43" s="1218">
        <v>7300</v>
      </c>
      <c r="BA43" s="1217">
        <v>7300</v>
      </c>
      <c r="BB43" s="1219">
        <v>7300</v>
      </c>
      <c r="BC43" s="1220">
        <v>7300</v>
      </c>
      <c r="BD43" s="1221">
        <v>7300</v>
      </c>
      <c r="BE43" s="1222">
        <v>7300</v>
      </c>
      <c r="BF43" s="1221">
        <v>7300</v>
      </c>
      <c r="BG43" s="1222">
        <v>7300</v>
      </c>
      <c r="BH43" s="1223">
        <v>7300</v>
      </c>
      <c r="BI43" s="1224">
        <v>7300</v>
      </c>
      <c r="BJ43" s="1225">
        <v>7300</v>
      </c>
      <c r="BK43" s="1230">
        <v>7300</v>
      </c>
      <c r="BL43" s="1225">
        <v>7300</v>
      </c>
      <c r="BM43" s="1230">
        <v>7300</v>
      </c>
      <c r="BN43" s="1293">
        <v>7300</v>
      </c>
      <c r="BO43" s="1138">
        <v>7300</v>
      </c>
      <c r="BP43" s="355">
        <v>7300</v>
      </c>
      <c r="BQ43" s="356">
        <v>7300</v>
      </c>
      <c r="BR43" s="355"/>
      <c r="BS43" s="356">
        <f>7300*2</f>
        <v>14600</v>
      </c>
      <c r="BT43" s="357"/>
    </row>
    <row r="44" spans="1:74" s="313" customFormat="1" ht="38.25" outlineLevel="1">
      <c r="A44" s="287">
        <v>34</v>
      </c>
      <c r="B44" s="933"/>
      <c r="C44" s="840"/>
      <c r="D44" s="841"/>
      <c r="E44" s="839"/>
      <c r="F44" s="821" t="s">
        <v>7</v>
      </c>
      <c r="G44" s="314">
        <v>4</v>
      </c>
      <c r="H44" s="739" t="s">
        <v>71</v>
      </c>
      <c r="I44" s="739">
        <v>244</v>
      </c>
      <c r="J44" s="740">
        <v>221</v>
      </c>
      <c r="K44" s="533" t="s">
        <v>418</v>
      </c>
      <c r="L44" s="1025">
        <v>600</v>
      </c>
      <c r="M44" s="318"/>
      <c r="N44" s="318"/>
      <c r="O44" s="1052">
        <f t="shared" si="21"/>
        <v>600</v>
      </c>
      <c r="P44" s="559"/>
      <c r="Q44" s="336">
        <v>0</v>
      </c>
      <c r="R44" s="559"/>
      <c r="S44" s="336">
        <v>0</v>
      </c>
      <c r="T44" s="559"/>
      <c r="U44" s="335"/>
      <c r="V44" s="596" t="s">
        <v>419</v>
      </c>
      <c r="W44" s="597" t="s">
        <v>420</v>
      </c>
      <c r="X44" s="597" t="s">
        <v>381</v>
      </c>
      <c r="Z44" s="336">
        <f t="shared" si="6"/>
        <v>36.83</v>
      </c>
      <c r="AA44" s="337">
        <f t="shared" si="6"/>
        <v>36.83</v>
      </c>
      <c r="AB44" s="338">
        <f t="shared" si="7"/>
        <v>0</v>
      </c>
      <c r="AC44" s="336">
        <f t="shared" si="8"/>
        <v>24.8</v>
      </c>
      <c r="AD44" s="337">
        <f t="shared" si="8"/>
        <v>24.8</v>
      </c>
      <c r="AE44" s="338">
        <f t="shared" si="9"/>
        <v>0</v>
      </c>
      <c r="AF44" s="336">
        <f t="shared" si="10"/>
        <v>22.52</v>
      </c>
      <c r="AG44" s="337">
        <f t="shared" si="10"/>
        <v>22.52</v>
      </c>
      <c r="AH44" s="338">
        <f t="shared" si="11"/>
        <v>0</v>
      </c>
      <c r="AI44" s="336">
        <f t="shared" si="12"/>
        <v>524.46</v>
      </c>
      <c r="AJ44" s="337">
        <f t="shared" si="12"/>
        <v>17.3</v>
      </c>
      <c r="AK44" s="338">
        <f t="shared" si="13"/>
        <v>507.16</v>
      </c>
      <c r="AL44" s="342"/>
      <c r="AM44" s="336">
        <f t="shared" si="14"/>
        <v>61.63</v>
      </c>
      <c r="AN44" s="339">
        <f t="shared" si="14"/>
        <v>61.63</v>
      </c>
      <c r="AO44" s="340">
        <f t="shared" si="15"/>
        <v>0</v>
      </c>
      <c r="AP44" s="336">
        <f t="shared" si="16"/>
        <v>84.15</v>
      </c>
      <c r="AQ44" s="339">
        <f t="shared" si="16"/>
        <v>84.15</v>
      </c>
      <c r="AR44" s="340">
        <f t="shared" si="17"/>
        <v>0</v>
      </c>
      <c r="AS44" s="341">
        <f t="shared" si="22"/>
        <v>608.61</v>
      </c>
      <c r="AT44" s="339">
        <f t="shared" si="18"/>
        <v>101.45</v>
      </c>
      <c r="AU44" s="340">
        <f t="shared" si="19"/>
        <v>507.16</v>
      </c>
      <c r="AV44" s="1255">
        <f t="shared" si="20"/>
        <v>-8.61</v>
      </c>
      <c r="AW44" s="1241"/>
      <c r="AX44" s="1218"/>
      <c r="AY44" s="1217"/>
      <c r="AZ44" s="1218"/>
      <c r="BA44" s="1217">
        <f>11.93+24.9</f>
        <v>36.83</v>
      </c>
      <c r="BB44" s="1219">
        <f>11.93+24.9</f>
        <v>36.83</v>
      </c>
      <c r="BC44" s="1220">
        <v>15.59</v>
      </c>
      <c r="BD44" s="1221">
        <v>15.59</v>
      </c>
      <c r="BE44" s="1222"/>
      <c r="BF44" s="1221"/>
      <c r="BG44" s="1222">
        <v>9.2100000000000009</v>
      </c>
      <c r="BH44" s="1223">
        <v>9.2100000000000009</v>
      </c>
      <c r="BI44" s="1224">
        <v>8.43</v>
      </c>
      <c r="BJ44" s="1225">
        <v>8.43</v>
      </c>
      <c r="BK44" s="1230">
        <v>14.09</v>
      </c>
      <c r="BL44" s="1225">
        <v>14.09</v>
      </c>
      <c r="BM44" s="1230"/>
      <c r="BN44" s="1293"/>
      <c r="BO44" s="1138">
        <f>8.61+8.69</f>
        <v>17.3</v>
      </c>
      <c r="BP44" s="355">
        <f>8.61+8.69</f>
        <v>17.3</v>
      </c>
      <c r="BQ44" s="356">
        <v>50</v>
      </c>
      <c r="BR44" s="355"/>
      <c r="BS44" s="356">
        <v>457.16</v>
      </c>
      <c r="BT44" s="357"/>
    </row>
    <row r="45" spans="1:74" s="313" customFormat="1" ht="31.5" customHeight="1" outlineLevel="1">
      <c r="A45" s="287">
        <v>35</v>
      </c>
      <c r="B45" s="936" t="s">
        <v>1113</v>
      </c>
      <c r="C45" s="840"/>
      <c r="D45" s="841"/>
      <c r="E45" s="839"/>
      <c r="F45" s="821" t="s">
        <v>7</v>
      </c>
      <c r="G45" s="314">
        <v>4</v>
      </c>
      <c r="H45" s="739" t="s">
        <v>71</v>
      </c>
      <c r="I45" s="739">
        <v>244</v>
      </c>
      <c r="J45" s="740">
        <v>221</v>
      </c>
      <c r="K45" s="533" t="s">
        <v>428</v>
      </c>
      <c r="L45" s="1025">
        <v>43200</v>
      </c>
      <c r="M45" s="318"/>
      <c r="N45" s="318"/>
      <c r="O45" s="1052">
        <f t="shared" si="21"/>
        <v>43200</v>
      </c>
      <c r="P45" s="559"/>
      <c r="Q45" s="336">
        <v>43200</v>
      </c>
      <c r="R45" s="559"/>
      <c r="S45" s="336">
        <v>43200</v>
      </c>
      <c r="T45" s="559"/>
      <c r="U45" s="335"/>
      <c r="V45" s="596" t="s">
        <v>234</v>
      </c>
      <c r="W45" s="597" t="s">
        <v>427</v>
      </c>
      <c r="X45" s="597" t="s">
        <v>381</v>
      </c>
      <c r="Z45" s="336">
        <f t="shared" si="6"/>
        <v>9600</v>
      </c>
      <c r="AA45" s="337">
        <f t="shared" si="6"/>
        <v>9600</v>
      </c>
      <c r="AB45" s="338">
        <f t="shared" si="7"/>
        <v>0</v>
      </c>
      <c r="AC45" s="336">
        <f t="shared" si="8"/>
        <v>14400</v>
      </c>
      <c r="AD45" s="337">
        <f t="shared" si="8"/>
        <v>14400</v>
      </c>
      <c r="AE45" s="338">
        <f t="shared" si="9"/>
        <v>0</v>
      </c>
      <c r="AF45" s="336">
        <f t="shared" si="10"/>
        <v>14400</v>
      </c>
      <c r="AG45" s="337">
        <f t="shared" si="10"/>
        <v>14400</v>
      </c>
      <c r="AH45" s="338">
        <f t="shared" si="11"/>
        <v>0</v>
      </c>
      <c r="AI45" s="336">
        <f t="shared" si="12"/>
        <v>4800</v>
      </c>
      <c r="AJ45" s="337">
        <f t="shared" si="12"/>
        <v>4800</v>
      </c>
      <c r="AK45" s="338">
        <f t="shared" si="13"/>
        <v>0</v>
      </c>
      <c r="AL45" s="342"/>
      <c r="AM45" s="336">
        <f t="shared" si="14"/>
        <v>24000</v>
      </c>
      <c r="AN45" s="339">
        <f t="shared" si="14"/>
        <v>24000</v>
      </c>
      <c r="AO45" s="340">
        <f t="shared" si="15"/>
        <v>0</v>
      </c>
      <c r="AP45" s="336">
        <f t="shared" si="16"/>
        <v>38400</v>
      </c>
      <c r="AQ45" s="339">
        <f t="shared" si="16"/>
        <v>38400</v>
      </c>
      <c r="AR45" s="340">
        <f t="shared" si="17"/>
        <v>0</v>
      </c>
      <c r="AS45" s="341">
        <f t="shared" si="22"/>
        <v>43200</v>
      </c>
      <c r="AT45" s="339">
        <f t="shared" si="18"/>
        <v>43200</v>
      </c>
      <c r="AU45" s="340">
        <f t="shared" si="19"/>
        <v>0</v>
      </c>
      <c r="AV45" s="1255">
        <f t="shared" si="20"/>
        <v>0</v>
      </c>
      <c r="AW45" s="343"/>
      <c r="AX45" s="1098"/>
      <c r="AY45" s="1217">
        <v>4800</v>
      </c>
      <c r="AZ45" s="1218">
        <v>4800</v>
      </c>
      <c r="BA45" s="1217">
        <v>4800</v>
      </c>
      <c r="BB45" s="1219">
        <v>4800</v>
      </c>
      <c r="BC45" s="1220">
        <v>4800</v>
      </c>
      <c r="BD45" s="1221">
        <v>4800</v>
      </c>
      <c r="BE45" s="1222">
        <v>4800</v>
      </c>
      <c r="BF45" s="1221">
        <v>4800</v>
      </c>
      <c r="BG45" s="1222">
        <v>4800</v>
      </c>
      <c r="BH45" s="1223">
        <v>4800</v>
      </c>
      <c r="BI45" s="1224">
        <v>4800</v>
      </c>
      <c r="BJ45" s="1225">
        <v>4800</v>
      </c>
      <c r="BK45" s="1230">
        <v>4800</v>
      </c>
      <c r="BL45" s="1225">
        <v>4800</v>
      </c>
      <c r="BM45" s="1230">
        <v>4800</v>
      </c>
      <c r="BN45" s="1293">
        <v>4800</v>
      </c>
      <c r="BO45" s="1138">
        <v>4800</v>
      </c>
      <c r="BP45" s="355">
        <v>4800</v>
      </c>
      <c r="BQ45" s="356"/>
      <c r="BR45" s="355"/>
      <c r="BS45" s="356"/>
      <c r="BT45" s="357"/>
    </row>
    <row r="46" spans="1:74" s="358" customFormat="1" ht="31.5" customHeight="1">
      <c r="A46" s="287">
        <v>36</v>
      </c>
      <c r="B46" s="933"/>
      <c r="C46" s="850" t="s">
        <v>377</v>
      </c>
      <c r="D46" s="838"/>
      <c r="E46" s="836" t="s">
        <v>201</v>
      </c>
      <c r="F46" s="820" t="s">
        <v>7</v>
      </c>
      <c r="G46" s="360">
        <v>4</v>
      </c>
      <c r="H46" s="360" t="s">
        <v>71</v>
      </c>
      <c r="I46" s="360">
        <v>244</v>
      </c>
      <c r="J46" s="361">
        <v>222</v>
      </c>
      <c r="K46" s="532" t="s">
        <v>12</v>
      </c>
      <c r="L46" s="1023">
        <f>SUM(L47:L48)</f>
        <v>137727.94</v>
      </c>
      <c r="M46" s="363"/>
      <c r="N46" s="363"/>
      <c r="O46" s="1051">
        <f t="shared" si="21"/>
        <v>137727.94</v>
      </c>
      <c r="P46" s="557"/>
      <c r="Q46" s="367">
        <f>SUM(Q47:Q48)</f>
        <v>137727.94</v>
      </c>
      <c r="R46" s="557"/>
      <c r="S46" s="367">
        <f>SUM(S47:S48)</f>
        <v>138609.04999999999</v>
      </c>
      <c r="T46" s="557"/>
      <c r="U46" s="365"/>
      <c r="V46" s="366"/>
      <c r="W46" s="366"/>
      <c r="X46" s="366"/>
      <c r="Z46" s="367">
        <f t="shared" si="6"/>
        <v>23763.57</v>
      </c>
      <c r="AA46" s="363">
        <f t="shared" si="6"/>
        <v>23763.57</v>
      </c>
      <c r="AB46" s="280">
        <f t="shared" si="7"/>
        <v>0</v>
      </c>
      <c r="AC46" s="367">
        <f t="shared" si="8"/>
        <v>49449</v>
      </c>
      <c r="AD46" s="363">
        <f t="shared" si="8"/>
        <v>49449</v>
      </c>
      <c r="AE46" s="280">
        <f t="shared" si="9"/>
        <v>0</v>
      </c>
      <c r="AF46" s="367">
        <f t="shared" si="10"/>
        <v>29212.7</v>
      </c>
      <c r="AG46" s="363">
        <f t="shared" si="10"/>
        <v>29212.7</v>
      </c>
      <c r="AH46" s="280">
        <f t="shared" si="11"/>
        <v>0</v>
      </c>
      <c r="AI46" s="367">
        <f t="shared" si="12"/>
        <v>46677.67</v>
      </c>
      <c r="AJ46" s="363">
        <f t="shared" si="12"/>
        <v>20099.93</v>
      </c>
      <c r="AK46" s="280">
        <f t="shared" si="13"/>
        <v>26577.74</v>
      </c>
      <c r="AL46" s="368"/>
      <c r="AM46" s="367">
        <f t="shared" si="14"/>
        <v>73212.570000000007</v>
      </c>
      <c r="AN46" s="363">
        <f t="shared" si="14"/>
        <v>73212.570000000007</v>
      </c>
      <c r="AO46" s="280">
        <f t="shared" si="15"/>
        <v>0</v>
      </c>
      <c r="AP46" s="367">
        <f t="shared" si="16"/>
        <v>102425.27</v>
      </c>
      <c r="AQ46" s="363">
        <f t="shared" si="16"/>
        <v>102425.27</v>
      </c>
      <c r="AR46" s="280">
        <f t="shared" si="17"/>
        <v>0</v>
      </c>
      <c r="AS46" s="367">
        <f t="shared" si="22"/>
        <v>149102.94</v>
      </c>
      <c r="AT46" s="363">
        <f t="shared" si="18"/>
        <v>122525.2</v>
      </c>
      <c r="AU46" s="280">
        <f t="shared" si="19"/>
        <v>26577.74</v>
      </c>
      <c r="AV46" s="1253">
        <f t="shared" si="20"/>
        <v>-11375</v>
      </c>
      <c r="AW46" s="367">
        <f t="shared" ref="AW46:BT46" si="54">SUM(AW47:AW48)</f>
        <v>5409.8</v>
      </c>
      <c r="AX46" s="1097">
        <f t="shared" si="54"/>
        <v>5409.8</v>
      </c>
      <c r="AY46" s="363">
        <f t="shared" si="54"/>
        <v>4026.5</v>
      </c>
      <c r="AZ46" s="1097">
        <f t="shared" si="54"/>
        <v>4026.5</v>
      </c>
      <c r="BA46" s="363">
        <f t="shared" si="54"/>
        <v>14327.27</v>
      </c>
      <c r="BB46" s="1119">
        <f t="shared" si="54"/>
        <v>14327.27</v>
      </c>
      <c r="BC46" s="367">
        <f t="shared" si="54"/>
        <v>18356</v>
      </c>
      <c r="BD46" s="363">
        <f t="shared" si="54"/>
        <v>18356</v>
      </c>
      <c r="BE46" s="363">
        <f t="shared" si="54"/>
        <v>12406.1</v>
      </c>
      <c r="BF46" s="363">
        <f t="shared" si="54"/>
        <v>12406.1</v>
      </c>
      <c r="BG46" s="363">
        <f t="shared" si="54"/>
        <v>18686.900000000001</v>
      </c>
      <c r="BH46" s="369">
        <f t="shared" si="54"/>
        <v>18686.900000000001</v>
      </c>
      <c r="BI46" s="367">
        <f t="shared" si="54"/>
        <v>22393.33</v>
      </c>
      <c r="BJ46" s="363">
        <f t="shared" si="54"/>
        <v>22393.33</v>
      </c>
      <c r="BK46" s="363">
        <f t="shared" si="54"/>
        <v>260.5</v>
      </c>
      <c r="BL46" s="363">
        <f t="shared" si="54"/>
        <v>260.5</v>
      </c>
      <c r="BM46" s="363">
        <f t="shared" si="54"/>
        <v>6558.87</v>
      </c>
      <c r="BN46" s="369">
        <f t="shared" si="54"/>
        <v>6558.87</v>
      </c>
      <c r="BO46" s="367">
        <f t="shared" si="54"/>
        <v>20099.93</v>
      </c>
      <c r="BP46" s="363">
        <f t="shared" si="54"/>
        <v>20099.93</v>
      </c>
      <c r="BQ46" s="363">
        <f t="shared" si="54"/>
        <v>5000</v>
      </c>
      <c r="BR46" s="363">
        <f t="shared" si="54"/>
        <v>0</v>
      </c>
      <c r="BS46" s="363">
        <f t="shared" si="54"/>
        <v>21577.74</v>
      </c>
      <c r="BT46" s="280">
        <f t="shared" si="54"/>
        <v>0</v>
      </c>
    </row>
    <row r="47" spans="1:74" s="313" customFormat="1" ht="25.5" outlineLevel="1">
      <c r="A47" s="287">
        <v>37</v>
      </c>
      <c r="B47" s="936" t="s">
        <v>1110</v>
      </c>
      <c r="C47" s="840"/>
      <c r="D47" s="841"/>
      <c r="E47" s="839"/>
      <c r="F47" s="821" t="s">
        <v>7</v>
      </c>
      <c r="G47" s="314">
        <v>4</v>
      </c>
      <c r="H47" s="739" t="s">
        <v>71</v>
      </c>
      <c r="I47" s="739">
        <v>244</v>
      </c>
      <c r="J47" s="740">
        <v>222</v>
      </c>
      <c r="K47" s="533" t="s">
        <v>245</v>
      </c>
      <c r="L47" s="1025">
        <f>137727.94-77727.94</f>
        <v>60000</v>
      </c>
      <c r="M47" s="318"/>
      <c r="N47" s="318"/>
      <c r="O47" s="1052">
        <f t="shared" si="21"/>
        <v>60000</v>
      </c>
      <c r="P47" s="559"/>
      <c r="Q47" s="336">
        <v>137727.94</v>
      </c>
      <c r="R47" s="559"/>
      <c r="S47" s="336">
        <v>138609.04999999999</v>
      </c>
      <c r="T47" s="559"/>
      <c r="U47" s="335"/>
      <c r="V47" s="597" t="s">
        <v>240</v>
      </c>
      <c r="W47" s="597" t="s">
        <v>429</v>
      </c>
      <c r="X47" s="597" t="s">
        <v>381</v>
      </c>
      <c r="Z47" s="336">
        <f t="shared" si="6"/>
        <v>15063.57</v>
      </c>
      <c r="AA47" s="337">
        <f t="shared" si="6"/>
        <v>15063.57</v>
      </c>
      <c r="AB47" s="338">
        <f t="shared" si="7"/>
        <v>0</v>
      </c>
      <c r="AC47" s="336">
        <f t="shared" si="8"/>
        <v>17474</v>
      </c>
      <c r="AD47" s="337">
        <f t="shared" si="8"/>
        <v>17474</v>
      </c>
      <c r="AE47" s="338">
        <f t="shared" si="9"/>
        <v>0</v>
      </c>
      <c r="AF47" s="336">
        <f t="shared" si="10"/>
        <v>14112.7</v>
      </c>
      <c r="AG47" s="337">
        <f t="shared" si="10"/>
        <v>14112.7</v>
      </c>
      <c r="AH47" s="338">
        <f t="shared" si="11"/>
        <v>0</v>
      </c>
      <c r="AI47" s="336">
        <f t="shared" si="12"/>
        <v>13349.73</v>
      </c>
      <c r="AJ47" s="337">
        <f t="shared" si="12"/>
        <v>7224.93</v>
      </c>
      <c r="AK47" s="338">
        <f t="shared" si="13"/>
        <v>6124.8</v>
      </c>
      <c r="AL47" s="342"/>
      <c r="AM47" s="336">
        <f t="shared" si="14"/>
        <v>32537.57</v>
      </c>
      <c r="AN47" s="339">
        <f t="shared" si="14"/>
        <v>32537.57</v>
      </c>
      <c r="AO47" s="340">
        <f t="shared" si="15"/>
        <v>0</v>
      </c>
      <c r="AP47" s="336">
        <f t="shared" si="16"/>
        <v>46650.27</v>
      </c>
      <c r="AQ47" s="339">
        <f t="shared" si="16"/>
        <v>46650.27</v>
      </c>
      <c r="AR47" s="340">
        <f t="shared" si="17"/>
        <v>0</v>
      </c>
      <c r="AS47" s="341">
        <f t="shared" si="22"/>
        <v>60000</v>
      </c>
      <c r="AT47" s="339">
        <f t="shared" si="18"/>
        <v>53875.199999999997</v>
      </c>
      <c r="AU47" s="340">
        <f t="shared" si="19"/>
        <v>6124.8</v>
      </c>
      <c r="AV47" s="1255">
        <f t="shared" si="20"/>
        <v>0</v>
      </c>
      <c r="AW47" s="1241">
        <v>5409.8</v>
      </c>
      <c r="AX47" s="1218">
        <v>5409.8</v>
      </c>
      <c r="AY47" s="1217">
        <v>2651.5</v>
      </c>
      <c r="AZ47" s="1218">
        <v>2651.5</v>
      </c>
      <c r="BA47" s="1217">
        <v>7002.27</v>
      </c>
      <c r="BB47" s="1219">
        <v>7002.27</v>
      </c>
      <c r="BC47" s="1220">
        <v>11631</v>
      </c>
      <c r="BD47" s="1221">
        <v>11631</v>
      </c>
      <c r="BE47" s="1222">
        <v>3606.1</v>
      </c>
      <c r="BF47" s="1221">
        <v>3606.1</v>
      </c>
      <c r="BG47" s="1222">
        <v>2236.9</v>
      </c>
      <c r="BH47" s="1223">
        <v>2236.9</v>
      </c>
      <c r="BI47" s="1224">
        <v>10843.33</v>
      </c>
      <c r="BJ47" s="1225">
        <v>10843.33</v>
      </c>
      <c r="BK47" s="1230">
        <v>260.5</v>
      </c>
      <c r="BL47" s="1225">
        <v>260.5</v>
      </c>
      <c r="BM47" s="1230">
        <v>3008.87</v>
      </c>
      <c r="BN47" s="1293">
        <v>3008.87</v>
      </c>
      <c r="BO47" s="1138">
        <v>7224.93</v>
      </c>
      <c r="BP47" s="355">
        <v>7224.93</v>
      </c>
      <c r="BQ47" s="356">
        <v>5000</v>
      </c>
      <c r="BR47" s="355"/>
      <c r="BS47" s="356">
        <v>1124.8</v>
      </c>
      <c r="BT47" s="357"/>
    </row>
    <row r="48" spans="1:74" s="313" customFormat="1" ht="38.25" outlineLevel="1">
      <c r="A48" s="287">
        <v>38</v>
      </c>
      <c r="B48" s="933"/>
      <c r="C48" s="840"/>
      <c r="D48" s="841"/>
      <c r="E48" s="839"/>
      <c r="F48" s="821" t="s">
        <v>7</v>
      </c>
      <c r="G48" s="314">
        <v>4</v>
      </c>
      <c r="H48" s="739" t="s">
        <v>71</v>
      </c>
      <c r="I48" s="739">
        <v>244</v>
      </c>
      <c r="J48" s="740">
        <v>222</v>
      </c>
      <c r="K48" s="533" t="s">
        <v>244</v>
      </c>
      <c r="L48" s="1025">
        <v>77727.94</v>
      </c>
      <c r="M48" s="318"/>
      <c r="N48" s="318"/>
      <c r="O48" s="1052">
        <f t="shared" si="21"/>
        <v>77727.94</v>
      </c>
      <c r="P48" s="559"/>
      <c r="Q48" s="336">
        <v>0</v>
      </c>
      <c r="R48" s="559"/>
      <c r="S48" s="336">
        <v>0</v>
      </c>
      <c r="T48" s="559"/>
      <c r="U48" s="335"/>
      <c r="V48" s="597" t="s">
        <v>459</v>
      </c>
      <c r="W48" s="597" t="s">
        <v>460</v>
      </c>
      <c r="X48" s="597" t="s">
        <v>461</v>
      </c>
      <c r="Z48" s="336">
        <f t="shared" si="6"/>
        <v>8700</v>
      </c>
      <c r="AA48" s="337">
        <f t="shared" si="6"/>
        <v>8700</v>
      </c>
      <c r="AB48" s="338">
        <f t="shared" si="7"/>
        <v>0</v>
      </c>
      <c r="AC48" s="336">
        <f t="shared" si="8"/>
        <v>31975</v>
      </c>
      <c r="AD48" s="337">
        <f t="shared" si="8"/>
        <v>31975</v>
      </c>
      <c r="AE48" s="338">
        <f t="shared" si="9"/>
        <v>0</v>
      </c>
      <c r="AF48" s="336">
        <f t="shared" si="10"/>
        <v>15100</v>
      </c>
      <c r="AG48" s="337">
        <f t="shared" si="10"/>
        <v>15100</v>
      </c>
      <c r="AH48" s="338">
        <f t="shared" si="11"/>
        <v>0</v>
      </c>
      <c r="AI48" s="336">
        <f t="shared" si="12"/>
        <v>33327.94</v>
      </c>
      <c r="AJ48" s="337">
        <f t="shared" si="12"/>
        <v>12875</v>
      </c>
      <c r="AK48" s="338">
        <f t="shared" si="13"/>
        <v>20452.939999999999</v>
      </c>
      <c r="AL48" s="342"/>
      <c r="AM48" s="336">
        <f t="shared" si="14"/>
        <v>40675</v>
      </c>
      <c r="AN48" s="339">
        <f t="shared" si="14"/>
        <v>40675</v>
      </c>
      <c r="AO48" s="340">
        <f t="shared" si="15"/>
        <v>0</v>
      </c>
      <c r="AP48" s="336">
        <f t="shared" si="16"/>
        <v>55775</v>
      </c>
      <c r="AQ48" s="339">
        <f t="shared" si="16"/>
        <v>55775</v>
      </c>
      <c r="AR48" s="340">
        <f t="shared" si="17"/>
        <v>0</v>
      </c>
      <c r="AS48" s="341">
        <f t="shared" si="22"/>
        <v>89102.94</v>
      </c>
      <c r="AT48" s="339">
        <f t="shared" si="18"/>
        <v>68650</v>
      </c>
      <c r="AU48" s="340">
        <f t="shared" si="19"/>
        <v>20452.939999999999</v>
      </c>
      <c r="AV48" s="1256">
        <f t="shared" si="20"/>
        <v>-11375</v>
      </c>
      <c r="AW48" s="1241"/>
      <c r="AX48" s="1218"/>
      <c r="AY48" s="1217">
        <v>1375</v>
      </c>
      <c r="AZ48" s="1218">
        <v>1375</v>
      </c>
      <c r="BA48" s="1217">
        <v>7325</v>
      </c>
      <c r="BB48" s="1219">
        <v>7325</v>
      </c>
      <c r="BC48" s="1220">
        <v>6725</v>
      </c>
      <c r="BD48" s="1221">
        <v>6725</v>
      </c>
      <c r="BE48" s="1222">
        <v>8800</v>
      </c>
      <c r="BF48" s="1221">
        <v>8800</v>
      </c>
      <c r="BG48" s="1222">
        <v>16450</v>
      </c>
      <c r="BH48" s="1223">
        <v>16450</v>
      </c>
      <c r="BI48" s="1224">
        <v>11550</v>
      </c>
      <c r="BJ48" s="1225">
        <v>11550</v>
      </c>
      <c r="BK48" s="337"/>
      <c r="BL48" s="352"/>
      <c r="BM48" s="1230">
        <f>550+2450+550</f>
        <v>3550</v>
      </c>
      <c r="BN48" s="1293">
        <f>550+2450+550</f>
        <v>3550</v>
      </c>
      <c r="BO48" s="1138">
        <f>550+1500+10825</f>
        <v>12875</v>
      </c>
      <c r="BP48" s="355">
        <v>12875</v>
      </c>
      <c r="BQ48" s="356"/>
      <c r="BR48" s="355"/>
      <c r="BS48" s="356">
        <f>14952.94-1700-750+9450-1500</f>
        <v>20452.939999999999</v>
      </c>
      <c r="BT48" s="357"/>
    </row>
    <row r="49" spans="1:72" s="358" customFormat="1" ht="31.5" customHeight="1">
      <c r="A49" s="287">
        <v>39</v>
      </c>
      <c r="B49" s="933"/>
      <c r="C49" s="850" t="s">
        <v>377</v>
      </c>
      <c r="D49" s="838"/>
      <c r="E49" s="836" t="s">
        <v>201</v>
      </c>
      <c r="F49" s="820" t="s">
        <v>7</v>
      </c>
      <c r="G49" s="360">
        <v>4</v>
      </c>
      <c r="H49" s="360" t="s">
        <v>71</v>
      </c>
      <c r="I49" s="360">
        <v>244</v>
      </c>
      <c r="J49" s="361">
        <v>223</v>
      </c>
      <c r="K49" s="532" t="s">
        <v>13</v>
      </c>
      <c r="L49" s="1023">
        <f>SUM(L50:L51)</f>
        <v>544506.81000000006</v>
      </c>
      <c r="M49" s="363"/>
      <c r="N49" s="363">
        <f>N50</f>
        <v>83726.64</v>
      </c>
      <c r="O49" s="1051">
        <f>L49+N49</f>
        <v>628233.44999999995</v>
      </c>
      <c r="P49" s="557"/>
      <c r="Q49" s="367">
        <f>SUM(Q50:Q51)</f>
        <v>1121133.8700000001</v>
      </c>
      <c r="R49" s="557"/>
      <c r="S49" s="367">
        <f>SUM(S50:S51)</f>
        <v>1129802.1399999999</v>
      </c>
      <c r="T49" s="557"/>
      <c r="U49" s="365"/>
      <c r="V49" s="366"/>
      <c r="W49" s="366"/>
      <c r="X49" s="366"/>
      <c r="Z49" s="367">
        <f t="shared" si="6"/>
        <v>160043.54999999999</v>
      </c>
      <c r="AA49" s="363">
        <f t="shared" si="6"/>
        <v>160043.54999999999</v>
      </c>
      <c r="AB49" s="280">
        <f t="shared" si="7"/>
        <v>0</v>
      </c>
      <c r="AC49" s="367">
        <f t="shared" si="8"/>
        <v>168073.98</v>
      </c>
      <c r="AD49" s="363">
        <f t="shared" si="8"/>
        <v>123436.67</v>
      </c>
      <c r="AE49" s="280">
        <f t="shared" si="9"/>
        <v>44637.31</v>
      </c>
      <c r="AF49" s="367">
        <f t="shared" si="10"/>
        <v>168010</v>
      </c>
      <c r="AG49" s="363">
        <f t="shared" si="10"/>
        <v>0</v>
      </c>
      <c r="AH49" s="280">
        <f t="shared" si="11"/>
        <v>168010</v>
      </c>
      <c r="AI49" s="367">
        <f t="shared" si="12"/>
        <v>548379.28</v>
      </c>
      <c r="AJ49" s="363">
        <f t="shared" si="12"/>
        <v>0</v>
      </c>
      <c r="AK49" s="280">
        <f t="shared" si="13"/>
        <v>548379.28</v>
      </c>
      <c r="AL49" s="368"/>
      <c r="AM49" s="367">
        <f t="shared" si="14"/>
        <v>328117.53000000003</v>
      </c>
      <c r="AN49" s="363">
        <f t="shared" si="14"/>
        <v>283480.21999999997</v>
      </c>
      <c r="AO49" s="280">
        <f t="shared" si="15"/>
        <v>44637.31</v>
      </c>
      <c r="AP49" s="367">
        <f t="shared" si="16"/>
        <v>496127.53</v>
      </c>
      <c r="AQ49" s="363">
        <f t="shared" si="16"/>
        <v>283480.21999999997</v>
      </c>
      <c r="AR49" s="280">
        <f t="shared" si="17"/>
        <v>212647.31</v>
      </c>
      <c r="AS49" s="367">
        <f t="shared" si="22"/>
        <v>1044506.81</v>
      </c>
      <c r="AT49" s="363">
        <f t="shared" si="18"/>
        <v>283480.21999999997</v>
      </c>
      <c r="AU49" s="280">
        <f t="shared" si="19"/>
        <v>761026.59</v>
      </c>
      <c r="AV49" s="1253">
        <f t="shared" si="20"/>
        <v>-500000</v>
      </c>
      <c r="AW49" s="367">
        <f t="shared" ref="AW49:BT49" si="55">SUM(AW50:AW51)</f>
        <v>0</v>
      </c>
      <c r="AX49" s="1097">
        <f t="shared" si="55"/>
        <v>0</v>
      </c>
      <c r="AY49" s="363">
        <f t="shared" si="55"/>
        <v>73050.59</v>
      </c>
      <c r="AZ49" s="1097">
        <f t="shared" si="55"/>
        <v>0</v>
      </c>
      <c r="BA49" s="363">
        <f t="shared" si="55"/>
        <v>86992.960000000006</v>
      </c>
      <c r="BB49" s="1119">
        <f t="shared" si="55"/>
        <v>160043.54999999999</v>
      </c>
      <c r="BC49" s="367">
        <f t="shared" si="55"/>
        <v>70183.58</v>
      </c>
      <c r="BD49" s="363">
        <f t="shared" si="55"/>
        <v>70183.58</v>
      </c>
      <c r="BE49" s="363">
        <f t="shared" si="55"/>
        <v>53253.09</v>
      </c>
      <c r="BF49" s="363">
        <f t="shared" si="55"/>
        <v>53253.09</v>
      </c>
      <c r="BG49" s="363">
        <f t="shared" si="55"/>
        <v>44637.31</v>
      </c>
      <c r="BH49" s="369">
        <f t="shared" si="55"/>
        <v>0</v>
      </c>
      <c r="BI49" s="367">
        <f t="shared" si="55"/>
        <v>62670</v>
      </c>
      <c r="BJ49" s="363">
        <f t="shared" si="55"/>
        <v>0</v>
      </c>
      <c r="BK49" s="363">
        <f t="shared" si="55"/>
        <v>52670</v>
      </c>
      <c r="BL49" s="363">
        <f t="shared" si="55"/>
        <v>0</v>
      </c>
      <c r="BM49" s="363">
        <f t="shared" si="55"/>
        <v>52670</v>
      </c>
      <c r="BN49" s="369">
        <f t="shared" si="55"/>
        <v>0</v>
      </c>
      <c r="BO49" s="367">
        <f t="shared" si="55"/>
        <v>82670</v>
      </c>
      <c r="BP49" s="363">
        <f t="shared" si="55"/>
        <v>0</v>
      </c>
      <c r="BQ49" s="363">
        <f t="shared" si="55"/>
        <v>121365.21</v>
      </c>
      <c r="BR49" s="363">
        <f t="shared" si="55"/>
        <v>0</v>
      </c>
      <c r="BS49" s="363">
        <f t="shared" si="55"/>
        <v>344344.07</v>
      </c>
      <c r="BT49" s="280">
        <f t="shared" si="55"/>
        <v>0</v>
      </c>
    </row>
    <row r="50" spans="1:72" s="313" customFormat="1" ht="25.5" outlineLevel="1">
      <c r="A50" s="287">
        <v>40</v>
      </c>
      <c r="B50" s="933"/>
      <c r="C50" s="840"/>
      <c r="D50" s="841"/>
      <c r="E50" s="839"/>
      <c r="F50" s="821" t="s">
        <v>7</v>
      </c>
      <c r="G50" s="314">
        <v>4</v>
      </c>
      <c r="H50" s="739" t="s">
        <v>71</v>
      </c>
      <c r="I50" s="739">
        <v>244</v>
      </c>
      <c r="J50" s="740">
        <v>223</v>
      </c>
      <c r="K50" s="533" t="s">
        <v>246</v>
      </c>
      <c r="L50" s="1025">
        <f>1016987.56-500000</f>
        <v>516987.56</v>
      </c>
      <c r="M50" s="318"/>
      <c r="N50" s="318">
        <v>83726.64</v>
      </c>
      <c r="O50" s="1052">
        <f t="shared" si="21"/>
        <v>600714.19999999995</v>
      </c>
      <c r="P50" s="559"/>
      <c r="Q50" s="336">
        <v>1092480.0900000001</v>
      </c>
      <c r="R50" s="559"/>
      <c r="S50" s="336">
        <v>1100951.1299999999</v>
      </c>
      <c r="T50" s="559"/>
      <c r="U50" s="335"/>
      <c r="V50" s="596" t="s">
        <v>444</v>
      </c>
      <c r="W50" s="597" t="s">
        <v>875</v>
      </c>
      <c r="X50" s="597" t="s">
        <v>381</v>
      </c>
      <c r="Z50" s="336">
        <f t="shared" si="6"/>
        <v>154403.65</v>
      </c>
      <c r="AA50" s="337">
        <f t="shared" si="6"/>
        <v>160043.54999999999</v>
      </c>
      <c r="AB50" s="338">
        <f t="shared" si="7"/>
        <v>-5639.9</v>
      </c>
      <c r="AC50" s="336">
        <f t="shared" si="8"/>
        <v>158909.14000000001</v>
      </c>
      <c r="AD50" s="337">
        <f t="shared" si="8"/>
        <v>123436.67</v>
      </c>
      <c r="AE50" s="338">
        <f t="shared" si="9"/>
        <v>35472.47</v>
      </c>
      <c r="AF50" s="336">
        <f t="shared" si="10"/>
        <v>160000</v>
      </c>
      <c r="AG50" s="337">
        <f t="shared" si="10"/>
        <v>0</v>
      </c>
      <c r="AH50" s="338">
        <f t="shared" si="11"/>
        <v>160000</v>
      </c>
      <c r="AI50" s="336">
        <f t="shared" si="12"/>
        <v>543674.77</v>
      </c>
      <c r="AJ50" s="337">
        <f t="shared" si="12"/>
        <v>0</v>
      </c>
      <c r="AK50" s="338">
        <f t="shared" si="13"/>
        <v>543674.77</v>
      </c>
      <c r="AL50" s="342"/>
      <c r="AM50" s="336">
        <f t="shared" si="14"/>
        <v>313312.78999999998</v>
      </c>
      <c r="AN50" s="339">
        <f t="shared" si="14"/>
        <v>283480.21999999997</v>
      </c>
      <c r="AO50" s="340">
        <f t="shared" si="15"/>
        <v>29832.57</v>
      </c>
      <c r="AP50" s="336">
        <f t="shared" si="16"/>
        <v>473312.79</v>
      </c>
      <c r="AQ50" s="339">
        <f t="shared" si="16"/>
        <v>283480.21999999997</v>
      </c>
      <c r="AR50" s="340">
        <f t="shared" si="17"/>
        <v>189832.57</v>
      </c>
      <c r="AS50" s="341">
        <f t="shared" si="22"/>
        <v>1016987.56</v>
      </c>
      <c r="AT50" s="339">
        <f t="shared" si="18"/>
        <v>283480.21999999997</v>
      </c>
      <c r="AU50" s="340">
        <f t="shared" si="19"/>
        <v>733507.34</v>
      </c>
      <c r="AV50" s="1255">
        <f t="shared" si="20"/>
        <v>-500000</v>
      </c>
      <c r="AW50" s="343"/>
      <c r="AX50" s="1098"/>
      <c r="AY50" s="1133">
        <f>73050.59-2819.95</f>
        <v>70230.64</v>
      </c>
      <c r="AZ50" s="1098"/>
      <c r="BA50" s="1133">
        <f>86992.96-2819.95</f>
        <v>84173.01</v>
      </c>
      <c r="BB50" s="1120">
        <f>73050.59+86992.96</f>
        <v>160043.54999999999</v>
      </c>
      <c r="BC50" s="1134">
        <f>70183.58-3524.94</f>
        <v>66658.64</v>
      </c>
      <c r="BD50" s="348">
        <v>70183.58</v>
      </c>
      <c r="BE50" s="1135">
        <f>53253.09-2819.95</f>
        <v>50433.14</v>
      </c>
      <c r="BF50" s="348">
        <v>53253.09</v>
      </c>
      <c r="BG50" s="1135">
        <f>44637.31-2819.95</f>
        <v>41817.360000000001</v>
      </c>
      <c r="BH50" s="350"/>
      <c r="BI50" s="351">
        <v>60000</v>
      </c>
      <c r="BJ50" s="352"/>
      <c r="BK50" s="337">
        <v>50000</v>
      </c>
      <c r="BL50" s="352"/>
      <c r="BM50" s="337">
        <v>50000</v>
      </c>
      <c r="BN50" s="353"/>
      <c r="BO50" s="354">
        <v>80000</v>
      </c>
      <c r="BP50" s="355"/>
      <c r="BQ50" s="356">
        <v>120000</v>
      </c>
      <c r="BR50" s="355"/>
      <c r="BS50" s="356">
        <f>130000+6987.56+15362.69+191324.52</f>
        <v>343674.77</v>
      </c>
      <c r="BT50" s="357"/>
    </row>
    <row r="51" spans="1:72" s="313" customFormat="1" ht="25.5" outlineLevel="1">
      <c r="A51" s="287">
        <v>41</v>
      </c>
      <c r="B51" s="933"/>
      <c r="C51" s="840"/>
      <c r="D51" s="841"/>
      <c r="E51" s="839"/>
      <c r="F51" s="821" t="s">
        <v>7</v>
      </c>
      <c r="G51" s="314">
        <v>4</v>
      </c>
      <c r="H51" s="739" t="s">
        <v>71</v>
      </c>
      <c r="I51" s="739">
        <v>244</v>
      </c>
      <c r="J51" s="740">
        <v>223</v>
      </c>
      <c r="K51" s="533" t="s">
        <v>252</v>
      </c>
      <c r="L51" s="1025">
        <v>27519.25</v>
      </c>
      <c r="M51" s="318"/>
      <c r="N51" s="318"/>
      <c r="O51" s="1052">
        <f t="shared" si="21"/>
        <v>27519.25</v>
      </c>
      <c r="P51" s="559"/>
      <c r="Q51" s="336">
        <v>28653.78</v>
      </c>
      <c r="R51" s="559"/>
      <c r="S51" s="336">
        <v>28851.01</v>
      </c>
      <c r="T51" s="559"/>
      <c r="U51" s="335"/>
      <c r="V51" s="596" t="s">
        <v>444</v>
      </c>
      <c r="W51" s="597" t="s">
        <v>875</v>
      </c>
      <c r="X51" s="597" t="s">
        <v>381</v>
      </c>
      <c r="Z51" s="336">
        <f t="shared" si="6"/>
        <v>5639.9</v>
      </c>
      <c r="AA51" s="337">
        <f t="shared" si="6"/>
        <v>0</v>
      </c>
      <c r="AB51" s="338">
        <f t="shared" si="7"/>
        <v>5639.9</v>
      </c>
      <c r="AC51" s="336">
        <f t="shared" si="8"/>
        <v>9164.84</v>
      </c>
      <c r="AD51" s="337">
        <f t="shared" si="8"/>
        <v>0</v>
      </c>
      <c r="AE51" s="338">
        <f t="shared" si="9"/>
        <v>9164.84</v>
      </c>
      <c r="AF51" s="336">
        <f t="shared" si="10"/>
        <v>8010</v>
      </c>
      <c r="AG51" s="337">
        <f t="shared" si="10"/>
        <v>0</v>
      </c>
      <c r="AH51" s="338">
        <f t="shared" si="11"/>
        <v>8010</v>
      </c>
      <c r="AI51" s="336">
        <f t="shared" si="12"/>
        <v>4704.51</v>
      </c>
      <c r="AJ51" s="337">
        <f t="shared" si="12"/>
        <v>0</v>
      </c>
      <c r="AK51" s="338">
        <f t="shared" si="13"/>
        <v>4704.51</v>
      </c>
      <c r="AL51" s="342"/>
      <c r="AM51" s="336">
        <f t="shared" si="14"/>
        <v>14804.74</v>
      </c>
      <c r="AN51" s="339">
        <f t="shared" si="14"/>
        <v>0</v>
      </c>
      <c r="AO51" s="340">
        <f t="shared" si="15"/>
        <v>14804.74</v>
      </c>
      <c r="AP51" s="336">
        <f t="shared" si="16"/>
        <v>22814.74</v>
      </c>
      <c r="AQ51" s="339">
        <f t="shared" si="16"/>
        <v>0</v>
      </c>
      <c r="AR51" s="340">
        <f t="shared" si="17"/>
        <v>22814.74</v>
      </c>
      <c r="AS51" s="341">
        <f t="shared" si="22"/>
        <v>27519.25</v>
      </c>
      <c r="AT51" s="339">
        <f t="shared" si="18"/>
        <v>0</v>
      </c>
      <c r="AU51" s="340">
        <f t="shared" si="19"/>
        <v>27519.25</v>
      </c>
      <c r="AV51" s="1257">
        <f t="shared" si="20"/>
        <v>0</v>
      </c>
      <c r="AW51" s="343"/>
      <c r="AX51" s="1098"/>
      <c r="AY51" s="1133">
        <v>2819.95</v>
      </c>
      <c r="AZ51" s="1098"/>
      <c r="BA51" s="1133">
        <v>2819.95</v>
      </c>
      <c r="BB51" s="1120"/>
      <c r="BC51" s="1134">
        <v>3524.94</v>
      </c>
      <c r="BD51" s="348"/>
      <c r="BE51" s="1135">
        <v>2819.95</v>
      </c>
      <c r="BF51" s="348"/>
      <c r="BG51" s="1135">
        <v>2819.95</v>
      </c>
      <c r="BH51" s="350"/>
      <c r="BI51" s="351">
        <v>2670</v>
      </c>
      <c r="BJ51" s="352"/>
      <c r="BK51" s="337">
        <v>2670</v>
      </c>
      <c r="BL51" s="352"/>
      <c r="BM51" s="337">
        <v>2670</v>
      </c>
      <c r="BN51" s="353"/>
      <c r="BO51" s="354">
        <v>2670</v>
      </c>
      <c r="BP51" s="355"/>
      <c r="BQ51" s="356">
        <f>2670-1304.79</f>
        <v>1365.21</v>
      </c>
      <c r="BR51" s="355"/>
      <c r="BS51" s="356">
        <f>819.25-149.95</f>
        <v>669.3</v>
      </c>
      <c r="BT51" s="357"/>
    </row>
    <row r="52" spans="1:72" s="358" customFormat="1" ht="31.5" customHeight="1">
      <c r="A52" s="287">
        <v>42</v>
      </c>
      <c r="B52" s="933"/>
      <c r="C52" s="850" t="s">
        <v>377</v>
      </c>
      <c r="D52" s="838"/>
      <c r="E52" s="836" t="s">
        <v>201</v>
      </c>
      <c r="F52" s="820" t="s">
        <v>7</v>
      </c>
      <c r="G52" s="360">
        <v>4</v>
      </c>
      <c r="H52" s="360" t="s">
        <v>71</v>
      </c>
      <c r="I52" s="360">
        <v>244</v>
      </c>
      <c r="J52" s="361">
        <v>224</v>
      </c>
      <c r="K52" s="532" t="s">
        <v>151</v>
      </c>
      <c r="L52" s="1042">
        <f>L53</f>
        <v>11928476.800000001</v>
      </c>
      <c r="M52" s="363"/>
      <c r="N52" s="363">
        <f>N53</f>
        <v>500000</v>
      </c>
      <c r="O52" s="1051">
        <f t="shared" si="21"/>
        <v>12428476.800000001</v>
      </c>
      <c r="P52" s="557">
        <f>12428476.8-L52</f>
        <v>500000</v>
      </c>
      <c r="Q52" s="544">
        <f>Q53</f>
        <v>3668142.76</v>
      </c>
      <c r="R52" s="557"/>
      <c r="S52" s="544">
        <f t="shared" ref="S52" si="56">S53</f>
        <v>3648174.72</v>
      </c>
      <c r="T52" s="557"/>
      <c r="U52" s="365"/>
      <c r="V52" s="366"/>
      <c r="W52" s="366"/>
      <c r="X52" s="366"/>
      <c r="Z52" s="367">
        <f>AW52+AY52+BA52</f>
        <v>2071412.8</v>
      </c>
      <c r="AA52" s="363">
        <f>AX52+AZ52+BB52</f>
        <v>2071412.8</v>
      </c>
      <c r="AB52" s="280">
        <f>Z52-AA52</f>
        <v>0</v>
      </c>
      <c r="AC52" s="367">
        <f>BC52+BE52+BG52</f>
        <v>3107119.2</v>
      </c>
      <c r="AD52" s="363">
        <f>BD52+BF52+BH52</f>
        <v>2071412.8</v>
      </c>
      <c r="AE52" s="280">
        <f>AC52-AD52</f>
        <v>1035706.4</v>
      </c>
      <c r="AF52" s="367">
        <f>BI52+BK52+BM52</f>
        <v>3107119.2</v>
      </c>
      <c r="AG52" s="363">
        <f>BJ52+BL52+BN52</f>
        <v>0</v>
      </c>
      <c r="AH52" s="280">
        <f>AF52-AG52</f>
        <v>3107119.2</v>
      </c>
      <c r="AI52" s="367">
        <f>BO52+BQ52+BS52</f>
        <v>4142825.6</v>
      </c>
      <c r="AJ52" s="363">
        <f>BP52+BR52+BT52</f>
        <v>0</v>
      </c>
      <c r="AK52" s="280">
        <f>AI52-AJ52</f>
        <v>4142825.6</v>
      </c>
      <c r="AL52" s="368"/>
      <c r="AM52" s="367">
        <f>Z52+AC52</f>
        <v>5178532</v>
      </c>
      <c r="AN52" s="363">
        <f>AA52+AD52</f>
        <v>4142825.6</v>
      </c>
      <c r="AO52" s="280">
        <f>AM52-AN52</f>
        <v>1035706.4</v>
      </c>
      <c r="AP52" s="367">
        <f>Z52+AC52+AF52</f>
        <v>8285651.2000000002</v>
      </c>
      <c r="AQ52" s="363">
        <f>AA52+AD52+AG52</f>
        <v>4142825.6</v>
      </c>
      <c r="AR52" s="280">
        <f>AP52-AQ52</f>
        <v>4142825.6</v>
      </c>
      <c r="AS52" s="367">
        <f>Z52+AC52+AF52+AI52</f>
        <v>12428476.800000001</v>
      </c>
      <c r="AT52" s="363">
        <f>AA52+AD52+AG52+AJ52</f>
        <v>4142825.6</v>
      </c>
      <c r="AU52" s="280">
        <f>AS52-AT52</f>
        <v>8285651.2000000002</v>
      </c>
      <c r="AV52" s="1253">
        <f t="shared" si="20"/>
        <v>-500000</v>
      </c>
      <c r="AW52" s="367">
        <f t="shared" ref="AW52:BT52" si="57">AW53</f>
        <v>0</v>
      </c>
      <c r="AX52" s="1097">
        <f t="shared" si="57"/>
        <v>0</v>
      </c>
      <c r="AY52" s="363">
        <f t="shared" si="57"/>
        <v>1035706.4</v>
      </c>
      <c r="AZ52" s="1097">
        <f t="shared" si="57"/>
        <v>1035706.4</v>
      </c>
      <c r="BA52" s="363">
        <f t="shared" si="57"/>
        <v>1035706.4</v>
      </c>
      <c r="BB52" s="1119">
        <f t="shared" si="57"/>
        <v>1035706.4</v>
      </c>
      <c r="BC52" s="367">
        <f t="shared" si="57"/>
        <v>1035706.4</v>
      </c>
      <c r="BD52" s="363">
        <f t="shared" si="57"/>
        <v>1035706.4</v>
      </c>
      <c r="BE52" s="363">
        <f t="shared" si="57"/>
        <v>1035706.4</v>
      </c>
      <c r="BF52" s="363">
        <f t="shared" si="57"/>
        <v>1035706.4</v>
      </c>
      <c r="BG52" s="363">
        <f t="shared" si="57"/>
        <v>1035706.4</v>
      </c>
      <c r="BH52" s="369">
        <f t="shared" si="57"/>
        <v>0</v>
      </c>
      <c r="BI52" s="367">
        <f t="shared" si="57"/>
        <v>1035706.4</v>
      </c>
      <c r="BJ52" s="363">
        <f t="shared" si="57"/>
        <v>0</v>
      </c>
      <c r="BK52" s="363">
        <f t="shared" si="57"/>
        <v>1035706.4</v>
      </c>
      <c r="BL52" s="363">
        <f t="shared" si="57"/>
        <v>0</v>
      </c>
      <c r="BM52" s="363">
        <f t="shared" si="57"/>
        <v>1035706.4</v>
      </c>
      <c r="BN52" s="369">
        <f t="shared" si="57"/>
        <v>0</v>
      </c>
      <c r="BO52" s="367">
        <f t="shared" si="57"/>
        <v>1035706.4</v>
      </c>
      <c r="BP52" s="363">
        <f t="shared" si="57"/>
        <v>0</v>
      </c>
      <c r="BQ52" s="363">
        <f t="shared" si="57"/>
        <v>1035706.4</v>
      </c>
      <c r="BR52" s="363">
        <f t="shared" si="57"/>
        <v>0</v>
      </c>
      <c r="BS52" s="363">
        <f t="shared" si="57"/>
        <v>2071412.8</v>
      </c>
      <c r="BT52" s="280">
        <f t="shared" si="57"/>
        <v>0</v>
      </c>
    </row>
    <row r="53" spans="1:72" s="313" customFormat="1" ht="51" outlineLevel="1">
      <c r="A53" s="287">
        <v>43</v>
      </c>
      <c r="B53" s="933"/>
      <c r="C53" s="840"/>
      <c r="D53" s="841"/>
      <c r="E53" s="839"/>
      <c r="F53" s="821" t="s">
        <v>7</v>
      </c>
      <c r="G53" s="314">
        <v>4</v>
      </c>
      <c r="H53" s="739" t="s">
        <v>71</v>
      </c>
      <c r="I53" s="739">
        <v>244</v>
      </c>
      <c r="J53" s="740">
        <v>224</v>
      </c>
      <c r="K53" s="533" t="s">
        <v>264</v>
      </c>
      <c r="L53" s="1044">
        <v>11928476.800000001</v>
      </c>
      <c r="M53" s="318"/>
      <c r="N53" s="318">
        <v>500000</v>
      </c>
      <c r="O53" s="1010">
        <f t="shared" si="21"/>
        <v>12428476.800000001</v>
      </c>
      <c r="P53" s="559"/>
      <c r="Q53" s="509">
        <v>3668142.76</v>
      </c>
      <c r="R53" s="560"/>
      <c r="S53" s="509">
        <v>3648174.72</v>
      </c>
      <c r="T53" s="559"/>
      <c r="U53" s="335"/>
      <c r="V53" s="597" t="s">
        <v>265</v>
      </c>
      <c r="W53" s="597" t="s">
        <v>966</v>
      </c>
      <c r="X53" s="597" t="s">
        <v>965</v>
      </c>
      <c r="Z53" s="336">
        <f>AW53+AY53+BA53</f>
        <v>2071412.8</v>
      </c>
      <c r="AA53" s="337">
        <f>AX53+AZ53+BB53</f>
        <v>2071412.8</v>
      </c>
      <c r="AB53" s="338">
        <f>Z53-AA53</f>
        <v>0</v>
      </c>
      <c r="AC53" s="336">
        <f>BC53+BE53+BG53</f>
        <v>3107119.2</v>
      </c>
      <c r="AD53" s="337">
        <f>BD53+BF53+BH53</f>
        <v>2071412.8</v>
      </c>
      <c r="AE53" s="338">
        <f>AC53-AD53</f>
        <v>1035706.4</v>
      </c>
      <c r="AF53" s="336">
        <f>BI53+BK53+BM53</f>
        <v>3107119.2</v>
      </c>
      <c r="AG53" s="337">
        <f>BJ53+BL53+BN53</f>
        <v>0</v>
      </c>
      <c r="AH53" s="338">
        <f>AF53-AG53</f>
        <v>3107119.2</v>
      </c>
      <c r="AI53" s="336">
        <f>BO53+BQ53+BS53</f>
        <v>4142825.6</v>
      </c>
      <c r="AJ53" s="337">
        <f>BP53+BR53+BT53</f>
        <v>0</v>
      </c>
      <c r="AK53" s="338">
        <f>AI53-AJ53</f>
        <v>4142825.6</v>
      </c>
      <c r="AL53" s="342"/>
      <c r="AM53" s="336">
        <f>Z53+AC53</f>
        <v>5178532</v>
      </c>
      <c r="AN53" s="339">
        <f>AA53+AD53</f>
        <v>4142825.6</v>
      </c>
      <c r="AO53" s="340">
        <f>AM53-AN53</f>
        <v>1035706.4</v>
      </c>
      <c r="AP53" s="336">
        <f>Z53+AC53+AF53</f>
        <v>8285651.2000000002</v>
      </c>
      <c r="AQ53" s="339">
        <f>AA53+AD53+AG53</f>
        <v>4142825.6</v>
      </c>
      <c r="AR53" s="340">
        <f>AP53-AQ53</f>
        <v>4142825.6</v>
      </c>
      <c r="AS53" s="341">
        <f>Z53+AC53+AF53+AI53</f>
        <v>12428476.800000001</v>
      </c>
      <c r="AT53" s="339">
        <f>AA53+AD53+AG53+AJ53</f>
        <v>4142825.6</v>
      </c>
      <c r="AU53" s="340">
        <f>AS53-AT53</f>
        <v>8285651.2000000002</v>
      </c>
      <c r="AV53" s="1255">
        <f t="shared" si="20"/>
        <v>-500000</v>
      </c>
      <c r="AW53" s="343"/>
      <c r="AX53" s="1098"/>
      <c r="AY53" s="345">
        <v>1035706.4</v>
      </c>
      <c r="AZ53" s="1098">
        <v>1035706.4</v>
      </c>
      <c r="BA53" s="345">
        <v>1035706.4</v>
      </c>
      <c r="BB53" s="1120">
        <v>1035706.4</v>
      </c>
      <c r="BC53" s="347">
        <v>1035706.4</v>
      </c>
      <c r="BD53" s="348">
        <v>1035706.4</v>
      </c>
      <c r="BE53" s="349">
        <v>1035706.4</v>
      </c>
      <c r="BF53" s="348">
        <v>1035706.4</v>
      </c>
      <c r="BG53" s="1135">
        <v>1035706.4</v>
      </c>
      <c r="BH53" s="350"/>
      <c r="BI53" s="351">
        <v>1035706.4</v>
      </c>
      <c r="BJ53" s="352"/>
      <c r="BK53" s="337">
        <v>1035706.4</v>
      </c>
      <c r="BL53" s="352"/>
      <c r="BM53" s="337">
        <v>1035706.4</v>
      </c>
      <c r="BN53" s="353"/>
      <c r="BO53" s="354">
        <v>1035706.4</v>
      </c>
      <c r="BP53" s="355"/>
      <c r="BQ53" s="356">
        <v>1035706.4</v>
      </c>
      <c r="BR53" s="355"/>
      <c r="BS53" s="356">
        <f>1035706.4*2</f>
        <v>2071412.8</v>
      </c>
      <c r="BT53" s="357"/>
    </row>
    <row r="54" spans="1:72" s="358" customFormat="1" ht="31.5" customHeight="1">
      <c r="A54" s="287">
        <v>44</v>
      </c>
      <c r="B54" s="933"/>
      <c r="C54" s="850" t="s">
        <v>377</v>
      </c>
      <c r="D54" s="1180" t="s">
        <v>588</v>
      </c>
      <c r="E54" s="836" t="s">
        <v>201</v>
      </c>
      <c r="F54" s="820" t="s">
        <v>7</v>
      </c>
      <c r="G54" s="360">
        <v>4</v>
      </c>
      <c r="H54" s="360" t="s">
        <v>71</v>
      </c>
      <c r="I54" s="360">
        <v>244</v>
      </c>
      <c r="J54" s="361">
        <v>225</v>
      </c>
      <c r="K54" s="532" t="s">
        <v>149</v>
      </c>
      <c r="L54" s="1023">
        <f>SUM(L55:L57)</f>
        <v>77583.179999999993</v>
      </c>
      <c r="M54" s="363"/>
      <c r="N54" s="363"/>
      <c r="O54" s="1051">
        <f t="shared" si="21"/>
        <v>77583.179999999993</v>
      </c>
      <c r="P54" s="557"/>
      <c r="Q54" s="367">
        <f>SUM(Q55:Q57)</f>
        <v>81611.22</v>
      </c>
      <c r="R54" s="557"/>
      <c r="S54" s="367">
        <f>SUM(S55:S57)</f>
        <v>81611.22</v>
      </c>
      <c r="T54" s="557"/>
      <c r="U54" s="365"/>
      <c r="V54" s="366"/>
      <c r="W54" s="366"/>
      <c r="X54" s="366"/>
      <c r="Z54" s="367">
        <f t="shared" si="6"/>
        <v>16380.54</v>
      </c>
      <c r="AA54" s="363">
        <f t="shared" si="6"/>
        <v>16380.54</v>
      </c>
      <c r="AB54" s="280">
        <f t="shared" si="7"/>
        <v>0</v>
      </c>
      <c r="AC54" s="367">
        <f t="shared" si="8"/>
        <v>29380.54</v>
      </c>
      <c r="AD54" s="363">
        <f t="shared" si="8"/>
        <v>29380.54</v>
      </c>
      <c r="AE54" s="280">
        <f t="shared" si="9"/>
        <v>0</v>
      </c>
      <c r="AF54" s="367">
        <f t="shared" si="10"/>
        <v>7570.81</v>
      </c>
      <c r="AG54" s="363">
        <f t="shared" si="10"/>
        <v>7570.81</v>
      </c>
      <c r="AH54" s="280">
        <f t="shared" si="11"/>
        <v>0</v>
      </c>
      <c r="AI54" s="367">
        <f t="shared" si="12"/>
        <v>24051.41</v>
      </c>
      <c r="AJ54" s="363">
        <f t="shared" si="12"/>
        <v>6380.54</v>
      </c>
      <c r="AK54" s="280">
        <f t="shared" si="13"/>
        <v>17670.87</v>
      </c>
      <c r="AL54" s="368"/>
      <c r="AM54" s="367">
        <f t="shared" si="14"/>
        <v>45761.08</v>
      </c>
      <c r="AN54" s="363">
        <f t="shared" si="14"/>
        <v>45761.08</v>
      </c>
      <c r="AO54" s="280">
        <f t="shared" si="15"/>
        <v>0</v>
      </c>
      <c r="AP54" s="367">
        <f t="shared" si="16"/>
        <v>53331.89</v>
      </c>
      <c r="AQ54" s="363">
        <f t="shared" si="16"/>
        <v>53331.89</v>
      </c>
      <c r="AR54" s="280">
        <f t="shared" si="17"/>
        <v>0</v>
      </c>
      <c r="AS54" s="367">
        <f t="shared" si="22"/>
        <v>77383.3</v>
      </c>
      <c r="AT54" s="363">
        <f t="shared" si="18"/>
        <v>59712.43</v>
      </c>
      <c r="AU54" s="280">
        <f t="shared" si="19"/>
        <v>17670.87</v>
      </c>
      <c r="AV54" s="1253">
        <f t="shared" si="20"/>
        <v>199.88</v>
      </c>
      <c r="AW54" s="367">
        <f t="shared" ref="AW54:BT54" si="58">SUM(AW55:AW57)</f>
        <v>0</v>
      </c>
      <c r="AX54" s="1097">
        <f t="shared" si="58"/>
        <v>0</v>
      </c>
      <c r="AY54" s="363">
        <f t="shared" si="58"/>
        <v>6440.27</v>
      </c>
      <c r="AZ54" s="1097">
        <f t="shared" si="58"/>
        <v>6440.27</v>
      </c>
      <c r="BA54" s="363">
        <f t="shared" si="58"/>
        <v>9940.27</v>
      </c>
      <c r="BB54" s="1119">
        <f t="shared" si="58"/>
        <v>9940.27</v>
      </c>
      <c r="BC54" s="367">
        <f t="shared" si="58"/>
        <v>10390.27</v>
      </c>
      <c r="BD54" s="363">
        <f t="shared" si="58"/>
        <v>10390.27</v>
      </c>
      <c r="BE54" s="363">
        <f t="shared" si="58"/>
        <v>10390.27</v>
      </c>
      <c r="BF54" s="363">
        <f t="shared" si="58"/>
        <v>10390.27</v>
      </c>
      <c r="BG54" s="363">
        <f t="shared" si="58"/>
        <v>8600</v>
      </c>
      <c r="BH54" s="369">
        <f t="shared" si="58"/>
        <v>8600</v>
      </c>
      <c r="BI54" s="367">
        <f t="shared" si="58"/>
        <v>4000</v>
      </c>
      <c r="BJ54" s="363">
        <f t="shared" si="58"/>
        <v>4000</v>
      </c>
      <c r="BK54" s="363">
        <f t="shared" si="58"/>
        <v>3570.81</v>
      </c>
      <c r="BL54" s="363">
        <f t="shared" si="58"/>
        <v>3570.81</v>
      </c>
      <c r="BM54" s="363">
        <f t="shared" si="58"/>
        <v>0</v>
      </c>
      <c r="BN54" s="369">
        <f t="shared" si="58"/>
        <v>0</v>
      </c>
      <c r="BO54" s="367">
        <f t="shared" si="58"/>
        <v>6380.54</v>
      </c>
      <c r="BP54" s="363">
        <f t="shared" si="58"/>
        <v>6380.54</v>
      </c>
      <c r="BQ54" s="363">
        <f t="shared" si="58"/>
        <v>5190.2700000000004</v>
      </c>
      <c r="BR54" s="363">
        <f t="shared" si="58"/>
        <v>0</v>
      </c>
      <c r="BS54" s="363">
        <f t="shared" si="58"/>
        <v>12480.6</v>
      </c>
      <c r="BT54" s="280">
        <f t="shared" si="58"/>
        <v>0</v>
      </c>
    </row>
    <row r="55" spans="1:72" s="313" customFormat="1" ht="63.75" outlineLevel="1">
      <c r="A55" s="287">
        <v>45</v>
      </c>
      <c r="B55" s="933"/>
      <c r="C55" s="840"/>
      <c r="D55" s="853" t="s">
        <v>588</v>
      </c>
      <c r="E55" s="839"/>
      <c r="F55" s="821" t="s">
        <v>7</v>
      </c>
      <c r="G55" s="314">
        <v>4</v>
      </c>
      <c r="H55" s="739" t="s">
        <v>71</v>
      </c>
      <c r="I55" s="739">
        <v>244</v>
      </c>
      <c r="J55" s="740">
        <v>225</v>
      </c>
      <c r="K55" s="533" t="s">
        <v>262</v>
      </c>
      <c r="L55" s="1025">
        <f>18311.28-4028.04</f>
        <v>14283.24</v>
      </c>
      <c r="M55" s="318"/>
      <c r="N55" s="318"/>
      <c r="O55" s="1052">
        <f t="shared" si="21"/>
        <v>14283.24</v>
      </c>
      <c r="P55" s="559"/>
      <c r="Q55" s="341">
        <v>18311.28</v>
      </c>
      <c r="R55" s="559"/>
      <c r="S55" s="341">
        <v>18311.28</v>
      </c>
      <c r="T55" s="559"/>
      <c r="U55" s="335"/>
      <c r="V55" s="596" t="s">
        <v>253</v>
      </c>
      <c r="W55" s="597" t="s">
        <v>394</v>
      </c>
      <c r="X55" s="597" t="s">
        <v>381</v>
      </c>
      <c r="Z55" s="336">
        <f t="shared" ref="Z55:AA106" si="59">AW55+AY55+BA55</f>
        <v>2380.54</v>
      </c>
      <c r="AA55" s="337">
        <f t="shared" si="59"/>
        <v>2380.54</v>
      </c>
      <c r="AB55" s="338">
        <f t="shared" si="7"/>
        <v>0</v>
      </c>
      <c r="AC55" s="336">
        <f t="shared" ref="AC55:AD106" si="60">BC55+BE55+BG55</f>
        <v>2380.54</v>
      </c>
      <c r="AD55" s="337">
        <f t="shared" si="60"/>
        <v>2380.54</v>
      </c>
      <c r="AE55" s="338">
        <f t="shared" si="9"/>
        <v>0</v>
      </c>
      <c r="AF55" s="336">
        <f t="shared" ref="AF55:AG106" si="61">BI55+BK55+BM55</f>
        <v>3570.81</v>
      </c>
      <c r="AG55" s="337">
        <f t="shared" si="61"/>
        <v>3570.81</v>
      </c>
      <c r="AH55" s="338">
        <f t="shared" si="11"/>
        <v>0</v>
      </c>
      <c r="AI55" s="336">
        <f t="shared" ref="AI55:AJ106" si="62">BO55+BQ55+BS55</f>
        <v>5951.35</v>
      </c>
      <c r="AJ55" s="337">
        <f t="shared" si="62"/>
        <v>2380.54</v>
      </c>
      <c r="AK55" s="338">
        <f t="shared" si="13"/>
        <v>3570.81</v>
      </c>
      <c r="AL55" s="342"/>
      <c r="AM55" s="336">
        <f t="shared" ref="AM55:AN106" si="63">Z55+AC55</f>
        <v>4761.08</v>
      </c>
      <c r="AN55" s="339">
        <f t="shared" si="63"/>
        <v>4761.08</v>
      </c>
      <c r="AO55" s="340">
        <f t="shared" si="15"/>
        <v>0</v>
      </c>
      <c r="AP55" s="336">
        <f t="shared" ref="AP55:AQ106" si="64">Z55+AC55+AF55</f>
        <v>8331.89</v>
      </c>
      <c r="AQ55" s="339">
        <f t="shared" si="64"/>
        <v>8331.89</v>
      </c>
      <c r="AR55" s="340">
        <f t="shared" si="17"/>
        <v>0</v>
      </c>
      <c r="AS55" s="341">
        <f t="shared" si="22"/>
        <v>14283.24</v>
      </c>
      <c r="AT55" s="339">
        <f t="shared" si="18"/>
        <v>10712.43</v>
      </c>
      <c r="AU55" s="340">
        <f t="shared" si="19"/>
        <v>3570.81</v>
      </c>
      <c r="AV55" s="1255">
        <f t="shared" si="20"/>
        <v>0</v>
      </c>
      <c r="AW55" s="1241"/>
      <c r="AX55" s="1218"/>
      <c r="AY55" s="1217">
        <v>1190.27</v>
      </c>
      <c r="AZ55" s="1218">
        <v>1190.27</v>
      </c>
      <c r="BA55" s="1217">
        <v>1190.27</v>
      </c>
      <c r="BB55" s="1219">
        <v>1190.27</v>
      </c>
      <c r="BC55" s="1220">
        <v>1190.27</v>
      </c>
      <c r="BD55" s="1221">
        <v>1190.27</v>
      </c>
      <c r="BE55" s="1222">
        <v>1190.27</v>
      </c>
      <c r="BF55" s="1221">
        <v>1190.27</v>
      </c>
      <c r="BG55" s="1222"/>
      <c r="BH55" s="1223"/>
      <c r="BI55" s="1224"/>
      <c r="BJ55" s="1225"/>
      <c r="BK55" s="1230">
        <f>1190.27*3</f>
        <v>3570.81</v>
      </c>
      <c r="BL55" s="1225">
        <f>1190.27*3</f>
        <v>3570.81</v>
      </c>
      <c r="BM55" s="1230"/>
      <c r="BN55" s="1293"/>
      <c r="BO55" s="1138">
        <f>1190.27*2</f>
        <v>2380.54</v>
      </c>
      <c r="BP55" s="355">
        <f>1190.27*2</f>
        <v>2380.54</v>
      </c>
      <c r="BQ55" s="356">
        <v>1190.27</v>
      </c>
      <c r="BR55" s="355"/>
      <c r="BS55" s="356">
        <f>1190.27*2</f>
        <v>2380.54</v>
      </c>
      <c r="BT55" s="357"/>
    </row>
    <row r="56" spans="1:72" s="313" customFormat="1" ht="76.5" outlineLevel="1">
      <c r="A56" s="287">
        <v>46</v>
      </c>
      <c r="B56" s="933"/>
      <c r="C56" s="840"/>
      <c r="D56" s="853" t="s">
        <v>588</v>
      </c>
      <c r="E56" s="839"/>
      <c r="F56" s="821" t="s">
        <v>7</v>
      </c>
      <c r="G56" s="314">
        <v>4</v>
      </c>
      <c r="H56" s="739" t="s">
        <v>71</v>
      </c>
      <c r="I56" s="739">
        <v>244</v>
      </c>
      <c r="J56" s="740">
        <v>225</v>
      </c>
      <c r="K56" s="533" t="s">
        <v>263</v>
      </c>
      <c r="L56" s="1025">
        <v>25199.88</v>
      </c>
      <c r="M56" s="318"/>
      <c r="N56" s="318"/>
      <c r="O56" s="1294">
        <f t="shared" si="21"/>
        <v>25199.88</v>
      </c>
      <c r="P56" s="559"/>
      <c r="Q56" s="341">
        <v>25199.88</v>
      </c>
      <c r="R56" s="559"/>
      <c r="S56" s="341">
        <v>25199.88</v>
      </c>
      <c r="T56" s="559"/>
      <c r="U56" s="335"/>
      <c r="V56" s="1226" t="s">
        <v>599</v>
      </c>
      <c r="W56" s="1227" t="s">
        <v>452</v>
      </c>
      <c r="X56" s="1227" t="s">
        <v>453</v>
      </c>
      <c r="Z56" s="336">
        <f t="shared" si="59"/>
        <v>10000</v>
      </c>
      <c r="AA56" s="337">
        <f t="shared" si="59"/>
        <v>10000</v>
      </c>
      <c r="AB56" s="338">
        <f t="shared" si="7"/>
        <v>0</v>
      </c>
      <c r="AC56" s="336">
        <f t="shared" si="60"/>
        <v>15000</v>
      </c>
      <c r="AD56" s="337">
        <f t="shared" si="60"/>
        <v>15000</v>
      </c>
      <c r="AE56" s="338">
        <f t="shared" si="9"/>
        <v>0</v>
      </c>
      <c r="AF56" s="336">
        <f t="shared" si="61"/>
        <v>0</v>
      </c>
      <c r="AG56" s="337">
        <f t="shared" si="61"/>
        <v>0</v>
      </c>
      <c r="AH56" s="338">
        <f t="shared" si="11"/>
        <v>0</v>
      </c>
      <c r="AI56" s="336">
        <f t="shared" si="62"/>
        <v>0</v>
      </c>
      <c r="AJ56" s="337">
        <f t="shared" si="62"/>
        <v>0</v>
      </c>
      <c r="AK56" s="338">
        <f t="shared" si="13"/>
        <v>0</v>
      </c>
      <c r="AL56" s="342"/>
      <c r="AM56" s="336">
        <f t="shared" si="63"/>
        <v>25000</v>
      </c>
      <c r="AN56" s="339">
        <f t="shared" si="63"/>
        <v>25000</v>
      </c>
      <c r="AO56" s="340">
        <f t="shared" si="15"/>
        <v>0</v>
      </c>
      <c r="AP56" s="336">
        <f t="shared" si="64"/>
        <v>25000</v>
      </c>
      <c r="AQ56" s="339">
        <f t="shared" si="64"/>
        <v>25000</v>
      </c>
      <c r="AR56" s="340">
        <f t="shared" si="17"/>
        <v>0</v>
      </c>
      <c r="AS56" s="341">
        <f t="shared" si="22"/>
        <v>25000</v>
      </c>
      <c r="AT56" s="339">
        <f t="shared" si="18"/>
        <v>25000</v>
      </c>
      <c r="AU56" s="340">
        <f t="shared" si="19"/>
        <v>0</v>
      </c>
      <c r="AV56" s="1258">
        <f t="shared" si="20"/>
        <v>199.88</v>
      </c>
      <c r="AW56" s="343"/>
      <c r="AX56" s="1098"/>
      <c r="AY56" s="1217">
        <v>5250</v>
      </c>
      <c r="AZ56" s="1218">
        <v>5250</v>
      </c>
      <c r="BA56" s="1217">
        <v>4750</v>
      </c>
      <c r="BB56" s="1219">
        <v>4750</v>
      </c>
      <c r="BC56" s="1220">
        <v>5200</v>
      </c>
      <c r="BD56" s="1221">
        <v>5200</v>
      </c>
      <c r="BE56" s="1222">
        <v>5200</v>
      </c>
      <c r="BF56" s="1221">
        <v>5200</v>
      </c>
      <c r="BG56" s="1222">
        <v>4600</v>
      </c>
      <c r="BH56" s="1223">
        <v>4600</v>
      </c>
      <c r="BI56" s="351"/>
      <c r="BJ56" s="352"/>
      <c r="BK56" s="337"/>
      <c r="BL56" s="352"/>
      <c r="BM56" s="337"/>
      <c r="BN56" s="353"/>
      <c r="BO56" s="354"/>
      <c r="BP56" s="355"/>
      <c r="BQ56" s="356"/>
      <c r="BR56" s="355"/>
      <c r="BS56" s="356"/>
      <c r="BT56" s="357"/>
    </row>
    <row r="57" spans="1:72" s="313" customFormat="1" ht="63.75" outlineLevel="1">
      <c r="A57" s="287">
        <v>47</v>
      </c>
      <c r="B57" s="933"/>
      <c r="C57" s="840"/>
      <c r="D57" s="853" t="s">
        <v>588</v>
      </c>
      <c r="E57" s="839"/>
      <c r="F57" s="821" t="s">
        <v>7</v>
      </c>
      <c r="G57" s="314">
        <v>4</v>
      </c>
      <c r="H57" s="739" t="s">
        <v>71</v>
      </c>
      <c r="I57" s="739">
        <v>244</v>
      </c>
      <c r="J57" s="740">
        <v>225</v>
      </c>
      <c r="K57" s="533" t="s">
        <v>361</v>
      </c>
      <c r="L57" s="1025">
        <v>38100.06</v>
      </c>
      <c r="M57" s="318"/>
      <c r="N57" s="318"/>
      <c r="O57" s="1052">
        <f t="shared" si="21"/>
        <v>38100.06</v>
      </c>
      <c r="P57" s="559"/>
      <c r="Q57" s="341">
        <v>38100.06</v>
      </c>
      <c r="R57" s="559"/>
      <c r="S57" s="341">
        <v>38100.06</v>
      </c>
      <c r="T57" s="559"/>
      <c r="U57" s="335"/>
      <c r="V57" s="597" t="s">
        <v>258</v>
      </c>
      <c r="W57" s="597" t="s">
        <v>454</v>
      </c>
      <c r="X57" s="597" t="s">
        <v>455</v>
      </c>
      <c r="Z57" s="336">
        <f t="shared" si="59"/>
        <v>4000</v>
      </c>
      <c r="AA57" s="337">
        <f t="shared" si="59"/>
        <v>4000</v>
      </c>
      <c r="AB57" s="338">
        <f t="shared" si="7"/>
        <v>0</v>
      </c>
      <c r="AC57" s="336">
        <f t="shared" si="60"/>
        <v>12000</v>
      </c>
      <c r="AD57" s="337">
        <f t="shared" si="60"/>
        <v>12000</v>
      </c>
      <c r="AE57" s="338">
        <f t="shared" si="9"/>
        <v>0</v>
      </c>
      <c r="AF57" s="336">
        <f t="shared" si="61"/>
        <v>4000</v>
      </c>
      <c r="AG57" s="337">
        <f t="shared" si="61"/>
        <v>4000</v>
      </c>
      <c r="AH57" s="338">
        <f t="shared" si="11"/>
        <v>0</v>
      </c>
      <c r="AI57" s="336">
        <f t="shared" si="62"/>
        <v>18100.060000000001</v>
      </c>
      <c r="AJ57" s="337">
        <f t="shared" si="62"/>
        <v>4000</v>
      </c>
      <c r="AK57" s="338">
        <f t="shared" si="13"/>
        <v>14100.06</v>
      </c>
      <c r="AL57" s="342"/>
      <c r="AM57" s="336">
        <f t="shared" si="63"/>
        <v>16000</v>
      </c>
      <c r="AN57" s="339">
        <f t="shared" si="63"/>
        <v>16000</v>
      </c>
      <c r="AO57" s="340">
        <f t="shared" si="15"/>
        <v>0</v>
      </c>
      <c r="AP57" s="336">
        <f t="shared" si="64"/>
        <v>20000</v>
      </c>
      <c r="AQ57" s="339">
        <f t="shared" si="64"/>
        <v>20000</v>
      </c>
      <c r="AR57" s="340">
        <f t="shared" si="17"/>
        <v>0</v>
      </c>
      <c r="AS57" s="341">
        <f t="shared" si="22"/>
        <v>38100.06</v>
      </c>
      <c r="AT57" s="339">
        <f t="shared" si="18"/>
        <v>24000</v>
      </c>
      <c r="AU57" s="340">
        <f t="shared" si="19"/>
        <v>14100.06</v>
      </c>
      <c r="AV57" s="1255">
        <f t="shared" si="20"/>
        <v>0</v>
      </c>
      <c r="AW57" s="1241"/>
      <c r="AX57" s="1218"/>
      <c r="AY57" s="1217"/>
      <c r="AZ57" s="1218"/>
      <c r="BA57" s="1217">
        <v>4000</v>
      </c>
      <c r="BB57" s="1219">
        <v>4000</v>
      </c>
      <c r="BC57" s="1220">
        <v>4000</v>
      </c>
      <c r="BD57" s="1221">
        <v>4000</v>
      </c>
      <c r="BE57" s="1222">
        <v>4000</v>
      </c>
      <c r="BF57" s="1221">
        <v>4000</v>
      </c>
      <c r="BG57" s="1222">
        <v>4000</v>
      </c>
      <c r="BH57" s="1223">
        <v>4000</v>
      </c>
      <c r="BI57" s="1224">
        <v>4000</v>
      </c>
      <c r="BJ57" s="1225">
        <v>4000</v>
      </c>
      <c r="BK57" s="1230"/>
      <c r="BL57" s="1225"/>
      <c r="BM57" s="1230"/>
      <c r="BN57" s="1293"/>
      <c r="BO57" s="1138">
        <v>4000</v>
      </c>
      <c r="BP57" s="355">
        <v>4000</v>
      </c>
      <c r="BQ57" s="356">
        <v>4000</v>
      </c>
      <c r="BR57" s="355"/>
      <c r="BS57" s="356">
        <f>4000*2+2100.06</f>
        <v>10100.06</v>
      </c>
      <c r="BT57" s="357"/>
    </row>
    <row r="58" spans="1:72" s="358" customFormat="1" ht="31.5" customHeight="1">
      <c r="A58" s="287">
        <v>48</v>
      </c>
      <c r="B58" s="933"/>
      <c r="C58" s="850" t="s">
        <v>377</v>
      </c>
      <c r="D58" s="853" t="s">
        <v>207</v>
      </c>
      <c r="E58" s="836" t="s">
        <v>201</v>
      </c>
      <c r="F58" s="820" t="s">
        <v>7</v>
      </c>
      <c r="G58" s="360">
        <v>4</v>
      </c>
      <c r="H58" s="360" t="s">
        <v>71</v>
      </c>
      <c r="I58" s="360">
        <v>244</v>
      </c>
      <c r="J58" s="361">
        <v>225</v>
      </c>
      <c r="K58" s="532" t="s">
        <v>148</v>
      </c>
      <c r="L58" s="1023">
        <f>SUM(L59:L62)</f>
        <v>532089.69999999995</v>
      </c>
      <c r="M58" s="363"/>
      <c r="N58" s="363">
        <f>SUM(N59:N62)</f>
        <v>0</v>
      </c>
      <c r="O58" s="1051">
        <f t="shared" si="21"/>
        <v>532089.69999999995</v>
      </c>
      <c r="P58" s="557"/>
      <c r="Q58" s="367">
        <f>SUM(Q59:Q62)</f>
        <v>538687.53</v>
      </c>
      <c r="R58" s="557"/>
      <c r="S58" s="367">
        <f>SUM(S59:S62)</f>
        <v>538687.52</v>
      </c>
      <c r="T58" s="557"/>
      <c r="U58" s="365"/>
      <c r="V58" s="366">
        <f>L275</f>
        <v>109000</v>
      </c>
      <c r="W58" s="366"/>
      <c r="X58" s="391">
        <f>L58/(L58+V58)</f>
        <v>0.83</v>
      </c>
      <c r="Z58" s="367">
        <f t="shared" si="59"/>
        <v>53494.19</v>
      </c>
      <c r="AA58" s="363">
        <f t="shared" si="59"/>
        <v>53494.19</v>
      </c>
      <c r="AB58" s="280">
        <f t="shared" si="7"/>
        <v>0</v>
      </c>
      <c r="AC58" s="367">
        <f t="shared" si="60"/>
        <v>101255.89</v>
      </c>
      <c r="AD58" s="363">
        <f t="shared" si="60"/>
        <v>101255.89</v>
      </c>
      <c r="AE58" s="280">
        <f t="shared" si="9"/>
        <v>0</v>
      </c>
      <c r="AF58" s="367">
        <f t="shared" si="61"/>
        <v>71695.16</v>
      </c>
      <c r="AG58" s="363">
        <f t="shared" si="61"/>
        <v>51433.47</v>
      </c>
      <c r="AH58" s="280">
        <f t="shared" si="11"/>
        <v>20261.689999999999</v>
      </c>
      <c r="AI58" s="367">
        <f t="shared" si="62"/>
        <v>256117.05</v>
      </c>
      <c r="AJ58" s="363">
        <f t="shared" si="62"/>
        <v>0</v>
      </c>
      <c r="AK58" s="280">
        <f t="shared" si="13"/>
        <v>256117.05</v>
      </c>
      <c r="AL58" s="368"/>
      <c r="AM58" s="367">
        <f t="shared" si="63"/>
        <v>154750.07999999999</v>
      </c>
      <c r="AN58" s="363">
        <f t="shared" si="63"/>
        <v>154750.07999999999</v>
      </c>
      <c r="AO58" s="280">
        <f t="shared" si="15"/>
        <v>0</v>
      </c>
      <c r="AP58" s="367">
        <f t="shared" si="64"/>
        <v>226445.24</v>
      </c>
      <c r="AQ58" s="363">
        <f t="shared" si="64"/>
        <v>206183.55</v>
      </c>
      <c r="AR58" s="280">
        <f t="shared" si="17"/>
        <v>20261.689999999999</v>
      </c>
      <c r="AS58" s="367">
        <f t="shared" si="22"/>
        <v>482562.29</v>
      </c>
      <c r="AT58" s="363">
        <f t="shared" si="18"/>
        <v>206183.55</v>
      </c>
      <c r="AU58" s="280">
        <f t="shared" si="19"/>
        <v>276378.74</v>
      </c>
      <c r="AV58" s="1253">
        <f t="shared" si="20"/>
        <v>49527.41</v>
      </c>
      <c r="AW58" s="367">
        <f t="shared" ref="AW58:BS58" si="65">SUM(AW59:AW62)</f>
        <v>0</v>
      </c>
      <c r="AX58" s="1097">
        <f t="shared" si="65"/>
        <v>0</v>
      </c>
      <c r="AY58" s="363">
        <f t="shared" si="65"/>
        <v>22339.96</v>
      </c>
      <c r="AZ58" s="1097">
        <f t="shared" si="65"/>
        <v>22339.96</v>
      </c>
      <c r="BA58" s="363">
        <f t="shared" si="65"/>
        <v>31154.23</v>
      </c>
      <c r="BB58" s="1119">
        <f t="shared" si="65"/>
        <v>31154.23</v>
      </c>
      <c r="BC58" s="367">
        <f t="shared" si="65"/>
        <v>35050.83</v>
      </c>
      <c r="BD58" s="363">
        <f t="shared" si="65"/>
        <v>35050.83</v>
      </c>
      <c r="BE58" s="363">
        <f t="shared" si="65"/>
        <v>35050.83</v>
      </c>
      <c r="BF58" s="363">
        <f t="shared" si="65"/>
        <v>35050.83</v>
      </c>
      <c r="BG58" s="363">
        <f t="shared" si="65"/>
        <v>31154.23</v>
      </c>
      <c r="BH58" s="369">
        <f t="shared" si="65"/>
        <v>31154.23</v>
      </c>
      <c r="BI58" s="367">
        <f t="shared" si="65"/>
        <v>51433.47</v>
      </c>
      <c r="BJ58" s="363">
        <f t="shared" si="65"/>
        <v>51433.47</v>
      </c>
      <c r="BK58" s="363">
        <f t="shared" si="65"/>
        <v>3355.24</v>
      </c>
      <c r="BL58" s="363">
        <f t="shared" si="65"/>
        <v>0</v>
      </c>
      <c r="BM58" s="363">
        <f t="shared" si="65"/>
        <v>16906.45</v>
      </c>
      <c r="BN58" s="369">
        <f t="shared" si="65"/>
        <v>0</v>
      </c>
      <c r="BO58" s="367">
        <f t="shared" si="65"/>
        <v>61053.3</v>
      </c>
      <c r="BP58" s="363">
        <f t="shared" si="65"/>
        <v>0</v>
      </c>
      <c r="BQ58" s="363">
        <f t="shared" si="65"/>
        <v>63601.65</v>
      </c>
      <c r="BR58" s="363">
        <f t="shared" si="65"/>
        <v>0</v>
      </c>
      <c r="BS58" s="363">
        <f t="shared" si="65"/>
        <v>131462.1</v>
      </c>
      <c r="BT58" s="280">
        <f t="shared" ref="BT58" si="66">BT59</f>
        <v>0</v>
      </c>
    </row>
    <row r="59" spans="1:72" s="313" customFormat="1" ht="38.25" outlineLevel="1">
      <c r="A59" s="287">
        <v>49</v>
      </c>
      <c r="B59" s="936"/>
      <c r="C59" s="840"/>
      <c r="D59" s="853" t="s">
        <v>207</v>
      </c>
      <c r="E59" s="839"/>
      <c r="F59" s="821" t="s">
        <v>7</v>
      </c>
      <c r="G59" s="314">
        <v>4</v>
      </c>
      <c r="H59" s="739" t="s">
        <v>71</v>
      </c>
      <c r="I59" s="739">
        <v>244</v>
      </c>
      <c r="J59" s="740">
        <v>225</v>
      </c>
      <c r="K59" s="1005" t="s">
        <v>983</v>
      </c>
      <c r="L59" s="1031">
        <f>69756.71-20229.3</f>
        <v>49527.41</v>
      </c>
      <c r="M59" s="318"/>
      <c r="N59" s="318"/>
      <c r="O59" s="1055">
        <f t="shared" si="21"/>
        <v>49527.41</v>
      </c>
      <c r="P59" s="559"/>
      <c r="Q59" s="336"/>
      <c r="R59" s="559"/>
      <c r="S59" s="336"/>
      <c r="T59" s="559"/>
      <c r="U59" s="335"/>
      <c r="V59" s="811"/>
      <c r="W59" s="811"/>
      <c r="X59" s="811"/>
      <c r="Z59" s="336">
        <f t="shared" si="59"/>
        <v>0</v>
      </c>
      <c r="AA59" s="337">
        <f t="shared" si="59"/>
        <v>0</v>
      </c>
      <c r="AB59" s="338">
        <f t="shared" si="7"/>
        <v>0</v>
      </c>
      <c r="AC59" s="336">
        <f t="shared" si="60"/>
        <v>0</v>
      </c>
      <c r="AD59" s="337">
        <f t="shared" si="60"/>
        <v>0</v>
      </c>
      <c r="AE59" s="338">
        <f t="shared" si="9"/>
        <v>0</v>
      </c>
      <c r="AF59" s="336">
        <f t="shared" si="61"/>
        <v>0</v>
      </c>
      <c r="AG59" s="337">
        <f t="shared" si="61"/>
        <v>0</v>
      </c>
      <c r="AH59" s="338">
        <f t="shared" si="11"/>
        <v>0</v>
      </c>
      <c r="AI59" s="336">
        <f t="shared" si="62"/>
        <v>0</v>
      </c>
      <c r="AJ59" s="337">
        <f t="shared" si="62"/>
        <v>0</v>
      </c>
      <c r="AK59" s="338">
        <f t="shared" si="13"/>
        <v>0</v>
      </c>
      <c r="AL59" s="342"/>
      <c r="AM59" s="336">
        <f t="shared" si="63"/>
        <v>0</v>
      </c>
      <c r="AN59" s="339">
        <f t="shared" si="63"/>
        <v>0</v>
      </c>
      <c r="AO59" s="340">
        <f t="shared" si="15"/>
        <v>0</v>
      </c>
      <c r="AP59" s="336">
        <f t="shared" si="64"/>
        <v>0</v>
      </c>
      <c r="AQ59" s="339">
        <f t="shared" si="64"/>
        <v>0</v>
      </c>
      <c r="AR59" s="340">
        <f t="shared" si="17"/>
        <v>0</v>
      </c>
      <c r="AS59" s="341">
        <f t="shared" si="22"/>
        <v>0</v>
      </c>
      <c r="AT59" s="339">
        <f t="shared" si="18"/>
        <v>0</v>
      </c>
      <c r="AU59" s="340">
        <f t="shared" si="19"/>
        <v>0</v>
      </c>
      <c r="AV59" s="1255">
        <f t="shared" si="20"/>
        <v>49527.41</v>
      </c>
      <c r="AW59" s="343"/>
      <c r="AX59" s="1098"/>
      <c r="AY59" s="1217"/>
      <c r="AZ59" s="1218"/>
      <c r="BA59" s="1222"/>
      <c r="BB59" s="1219"/>
      <c r="BC59" s="1220"/>
      <c r="BD59" s="1221"/>
      <c r="BE59" s="1222"/>
      <c r="BF59" s="1221"/>
      <c r="BG59" s="1222"/>
      <c r="BH59" s="1223"/>
      <c r="BI59" s="1224"/>
      <c r="BJ59" s="1225"/>
      <c r="BK59" s="337"/>
      <c r="BL59" s="352"/>
      <c r="BM59" s="337"/>
      <c r="BN59" s="353"/>
      <c r="BO59" s="354"/>
      <c r="BP59" s="355"/>
      <c r="BQ59" s="356"/>
      <c r="BR59" s="355"/>
      <c r="BS59" s="356"/>
      <c r="BT59" s="357"/>
    </row>
    <row r="60" spans="1:72" s="313" customFormat="1" ht="25.5" outlineLevel="1">
      <c r="A60" s="287">
        <v>50</v>
      </c>
      <c r="B60" s="933"/>
      <c r="C60" s="840"/>
      <c r="D60" s="853" t="s">
        <v>207</v>
      </c>
      <c r="E60" s="839"/>
      <c r="F60" s="821" t="s">
        <v>7</v>
      </c>
      <c r="G60" s="314">
        <v>4</v>
      </c>
      <c r="H60" s="739" t="s">
        <v>71</v>
      </c>
      <c r="I60" s="739">
        <v>244</v>
      </c>
      <c r="J60" s="740">
        <v>225</v>
      </c>
      <c r="K60" s="533" t="s">
        <v>209</v>
      </c>
      <c r="L60" s="1025">
        <f>535089.7-20261.69-235887.75-72756.71</f>
        <v>206183.55</v>
      </c>
      <c r="M60" s="318"/>
      <c r="N60" s="318"/>
      <c r="O60" s="1052">
        <f t="shared" si="21"/>
        <v>206183.55</v>
      </c>
      <c r="P60" s="559"/>
      <c r="Q60" s="336">
        <v>538687.53</v>
      </c>
      <c r="R60" s="559"/>
      <c r="S60" s="336">
        <v>538687.52</v>
      </c>
      <c r="T60" s="559"/>
      <c r="U60" s="335"/>
      <c r="V60" s="1227" t="s">
        <v>832</v>
      </c>
      <c r="W60" s="1227" t="s">
        <v>685</v>
      </c>
      <c r="X60" s="1227" t="s">
        <v>686</v>
      </c>
      <c r="Z60" s="336">
        <f t="shared" si="59"/>
        <v>53494.19</v>
      </c>
      <c r="AA60" s="337">
        <f t="shared" si="59"/>
        <v>53494.19</v>
      </c>
      <c r="AB60" s="338">
        <f t="shared" si="7"/>
        <v>0</v>
      </c>
      <c r="AC60" s="336">
        <f t="shared" si="60"/>
        <v>101255.89</v>
      </c>
      <c r="AD60" s="337">
        <f t="shared" si="60"/>
        <v>101255.89</v>
      </c>
      <c r="AE60" s="338">
        <f t="shared" si="9"/>
        <v>0</v>
      </c>
      <c r="AF60" s="336">
        <f t="shared" si="61"/>
        <v>51433.47</v>
      </c>
      <c r="AG60" s="337">
        <f t="shared" si="61"/>
        <v>51433.47</v>
      </c>
      <c r="AH60" s="338">
        <f t="shared" si="11"/>
        <v>0</v>
      </c>
      <c r="AI60" s="336">
        <f t="shared" si="62"/>
        <v>0</v>
      </c>
      <c r="AJ60" s="337">
        <f t="shared" si="62"/>
        <v>0</v>
      </c>
      <c r="AK60" s="338">
        <f t="shared" si="13"/>
        <v>0</v>
      </c>
      <c r="AL60" s="342"/>
      <c r="AM60" s="336">
        <f t="shared" si="63"/>
        <v>154750.07999999999</v>
      </c>
      <c r="AN60" s="339">
        <f t="shared" si="63"/>
        <v>154750.07999999999</v>
      </c>
      <c r="AO60" s="340">
        <f t="shared" si="15"/>
        <v>0</v>
      </c>
      <c r="AP60" s="336">
        <f t="shared" si="64"/>
        <v>206183.55</v>
      </c>
      <c r="AQ60" s="339">
        <f t="shared" si="64"/>
        <v>206183.55</v>
      </c>
      <c r="AR60" s="340">
        <f t="shared" si="17"/>
        <v>0</v>
      </c>
      <c r="AS60" s="809">
        <f t="shared" si="22"/>
        <v>206183.55</v>
      </c>
      <c r="AT60" s="339">
        <f t="shared" si="18"/>
        <v>206183.55</v>
      </c>
      <c r="AU60" s="340">
        <f t="shared" si="19"/>
        <v>0</v>
      </c>
      <c r="AV60" s="1255">
        <f t="shared" si="20"/>
        <v>0</v>
      </c>
      <c r="AW60" s="343"/>
      <c r="AX60" s="1098"/>
      <c r="AY60" s="1217">
        <v>22339.96</v>
      </c>
      <c r="AZ60" s="1218">
        <v>22339.96</v>
      </c>
      <c r="BA60" s="1222">
        <f>ROUND(925.05*1.61*19,2)+ROUND(354.9*1.61*5,2)</f>
        <v>31154.23</v>
      </c>
      <c r="BB60" s="1219">
        <v>31154.23</v>
      </c>
      <c r="BC60" s="1220">
        <f>925.05*1.61*22+354.9*1.61*4</f>
        <v>35050.83</v>
      </c>
      <c r="BD60" s="1221">
        <v>35050.83</v>
      </c>
      <c r="BE60" s="1222">
        <f>925.05*1.61*22+354.9*1.61*4</f>
        <v>35050.83</v>
      </c>
      <c r="BF60" s="1221">
        <v>35050.83</v>
      </c>
      <c r="BG60" s="1222">
        <f>ROUND(925.05*1.61*19,2)+ROUND(354.9*1.61*5,2)</f>
        <v>31154.23</v>
      </c>
      <c r="BH60" s="1223">
        <v>31154.23</v>
      </c>
      <c r="BI60" s="1224">
        <v>51433.47</v>
      </c>
      <c r="BJ60" s="1225">
        <v>51433.47</v>
      </c>
      <c r="BK60" s="337"/>
      <c r="BL60" s="352"/>
      <c r="BM60" s="337"/>
      <c r="BN60" s="353"/>
      <c r="BO60" s="354"/>
      <c r="BP60" s="355"/>
      <c r="BQ60" s="356"/>
      <c r="BR60" s="355"/>
      <c r="BS60" s="356"/>
      <c r="BT60" s="357"/>
    </row>
    <row r="61" spans="1:72" s="313" customFormat="1" ht="25.5" outlineLevel="1">
      <c r="A61" s="287">
        <v>51</v>
      </c>
      <c r="B61" s="933"/>
      <c r="C61" s="840"/>
      <c r="D61" s="853" t="s">
        <v>207</v>
      </c>
      <c r="E61" s="839"/>
      <c r="F61" s="821" t="s">
        <v>7</v>
      </c>
      <c r="G61" s="314">
        <v>4</v>
      </c>
      <c r="H61" s="739" t="s">
        <v>71</v>
      </c>
      <c r="I61" s="739">
        <v>244</v>
      </c>
      <c r="J61" s="740">
        <v>225</v>
      </c>
      <c r="K61" s="533" t="s">
        <v>209</v>
      </c>
      <c r="L61" s="1025">
        <v>20261.689999999999</v>
      </c>
      <c r="M61" s="318"/>
      <c r="N61" s="318"/>
      <c r="O61" s="1052">
        <f t="shared" si="21"/>
        <v>20261.689999999999</v>
      </c>
      <c r="P61" s="559"/>
      <c r="Q61" s="336"/>
      <c r="R61" s="559"/>
      <c r="S61" s="336"/>
      <c r="T61" s="559"/>
      <c r="U61" s="335"/>
      <c r="V61" s="597" t="s">
        <v>896</v>
      </c>
      <c r="W61" s="597" t="s">
        <v>897</v>
      </c>
      <c r="X61" s="597" t="s">
        <v>898</v>
      </c>
      <c r="Z61" s="336">
        <f t="shared" si="59"/>
        <v>0</v>
      </c>
      <c r="AA61" s="337">
        <f t="shared" si="59"/>
        <v>0</v>
      </c>
      <c r="AB61" s="338">
        <f t="shared" si="7"/>
        <v>0</v>
      </c>
      <c r="AC61" s="336">
        <f t="shared" si="60"/>
        <v>0</v>
      </c>
      <c r="AD61" s="337">
        <f t="shared" si="60"/>
        <v>0</v>
      </c>
      <c r="AE61" s="338">
        <f t="shared" si="9"/>
        <v>0</v>
      </c>
      <c r="AF61" s="336">
        <f t="shared" si="61"/>
        <v>20261.689999999999</v>
      </c>
      <c r="AG61" s="337">
        <f t="shared" si="61"/>
        <v>0</v>
      </c>
      <c r="AH61" s="338">
        <f t="shared" si="11"/>
        <v>20261.689999999999</v>
      </c>
      <c r="AI61" s="336">
        <f t="shared" si="62"/>
        <v>0</v>
      </c>
      <c r="AJ61" s="337">
        <f t="shared" si="62"/>
        <v>0</v>
      </c>
      <c r="AK61" s="338">
        <f t="shared" si="13"/>
        <v>0</v>
      </c>
      <c r="AL61" s="342"/>
      <c r="AM61" s="336">
        <f t="shared" si="63"/>
        <v>0</v>
      </c>
      <c r="AN61" s="339">
        <f t="shared" si="63"/>
        <v>0</v>
      </c>
      <c r="AO61" s="340">
        <f t="shared" si="15"/>
        <v>0</v>
      </c>
      <c r="AP61" s="336">
        <f t="shared" si="64"/>
        <v>20261.689999999999</v>
      </c>
      <c r="AQ61" s="339">
        <f t="shared" si="64"/>
        <v>0</v>
      </c>
      <c r="AR61" s="340">
        <f t="shared" si="17"/>
        <v>20261.689999999999</v>
      </c>
      <c r="AS61" s="809">
        <f t="shared" si="22"/>
        <v>20261.689999999999</v>
      </c>
      <c r="AT61" s="339">
        <f t="shared" si="18"/>
        <v>0</v>
      </c>
      <c r="AU61" s="340">
        <f t="shared" si="19"/>
        <v>20261.689999999999</v>
      </c>
      <c r="AV61" s="1255">
        <f t="shared" si="20"/>
        <v>0</v>
      </c>
      <c r="AW61" s="343"/>
      <c r="AX61" s="1098"/>
      <c r="AY61" s="345"/>
      <c r="AZ61" s="1098"/>
      <c r="BA61" s="1135"/>
      <c r="BB61" s="1120"/>
      <c r="BC61" s="347"/>
      <c r="BD61" s="348"/>
      <c r="BE61" s="349"/>
      <c r="BF61" s="348"/>
      <c r="BG61" s="1135"/>
      <c r="BH61" s="350"/>
      <c r="BI61" s="1136"/>
      <c r="BJ61" s="352"/>
      <c r="BK61" s="1137">
        <v>3355.24</v>
      </c>
      <c r="BL61" s="352"/>
      <c r="BM61" s="337">
        <f>2013.14+14893.31</f>
        <v>16906.45</v>
      </c>
      <c r="BN61" s="353"/>
      <c r="BO61" s="354"/>
      <c r="BP61" s="355"/>
      <c r="BQ61" s="356"/>
      <c r="BR61" s="355"/>
      <c r="BS61" s="356"/>
      <c r="BT61" s="357"/>
    </row>
    <row r="62" spans="1:72" s="313" customFormat="1" ht="102" outlineLevel="1">
      <c r="A62" s="287">
        <v>52</v>
      </c>
      <c r="B62" s="933"/>
      <c r="C62" s="840"/>
      <c r="D62" s="853" t="s">
        <v>207</v>
      </c>
      <c r="E62" s="839"/>
      <c r="F62" s="821" t="s">
        <v>7</v>
      </c>
      <c r="G62" s="314">
        <v>4</v>
      </c>
      <c r="H62" s="739" t="s">
        <v>71</v>
      </c>
      <c r="I62" s="739">
        <v>244</v>
      </c>
      <c r="J62" s="740">
        <v>225</v>
      </c>
      <c r="K62" s="533" t="s">
        <v>209</v>
      </c>
      <c r="L62" s="1025">
        <f>235887.75+20229.3</f>
        <v>256117.05</v>
      </c>
      <c r="M62" s="318"/>
      <c r="N62" s="318"/>
      <c r="O62" s="1052">
        <f t="shared" si="21"/>
        <v>256117.05</v>
      </c>
      <c r="P62" s="559"/>
      <c r="Q62" s="336"/>
      <c r="R62" s="559"/>
      <c r="S62" s="336"/>
      <c r="T62" s="559"/>
      <c r="U62" s="335"/>
      <c r="V62" s="597" t="s">
        <v>896</v>
      </c>
      <c r="W62" s="597" t="s">
        <v>1038</v>
      </c>
      <c r="X62" s="597" t="s">
        <v>899</v>
      </c>
      <c r="Z62" s="336">
        <f t="shared" si="59"/>
        <v>0</v>
      </c>
      <c r="AA62" s="337">
        <f t="shared" si="59"/>
        <v>0</v>
      </c>
      <c r="AB62" s="338">
        <f t="shared" si="7"/>
        <v>0</v>
      </c>
      <c r="AC62" s="336">
        <f t="shared" si="60"/>
        <v>0</v>
      </c>
      <c r="AD62" s="337">
        <f t="shared" si="60"/>
        <v>0</v>
      </c>
      <c r="AE62" s="338">
        <f t="shared" si="9"/>
        <v>0</v>
      </c>
      <c r="AF62" s="336">
        <f t="shared" si="61"/>
        <v>0</v>
      </c>
      <c r="AG62" s="337">
        <f t="shared" si="61"/>
        <v>0</v>
      </c>
      <c r="AH62" s="338">
        <f t="shared" si="11"/>
        <v>0</v>
      </c>
      <c r="AI62" s="336">
        <f t="shared" si="62"/>
        <v>256117.05</v>
      </c>
      <c r="AJ62" s="337">
        <f t="shared" si="62"/>
        <v>0</v>
      </c>
      <c r="AK62" s="338">
        <f t="shared" si="13"/>
        <v>256117.05</v>
      </c>
      <c r="AL62" s="342"/>
      <c r="AM62" s="336">
        <f t="shared" si="63"/>
        <v>0</v>
      </c>
      <c r="AN62" s="339">
        <f t="shared" si="63"/>
        <v>0</v>
      </c>
      <c r="AO62" s="340">
        <f t="shared" si="15"/>
        <v>0</v>
      </c>
      <c r="AP62" s="336">
        <f t="shared" si="64"/>
        <v>0</v>
      </c>
      <c r="AQ62" s="339">
        <f t="shared" si="64"/>
        <v>0</v>
      </c>
      <c r="AR62" s="340">
        <f t="shared" si="17"/>
        <v>0</v>
      </c>
      <c r="AS62" s="809">
        <f t="shared" si="22"/>
        <v>256117.05</v>
      </c>
      <c r="AT62" s="339">
        <f t="shared" si="18"/>
        <v>0</v>
      </c>
      <c r="AU62" s="340">
        <f t="shared" si="19"/>
        <v>256117.05</v>
      </c>
      <c r="AV62" s="1255">
        <f t="shared" si="20"/>
        <v>0</v>
      </c>
      <c r="AW62" s="343"/>
      <c r="AX62" s="1098"/>
      <c r="AY62" s="345"/>
      <c r="AZ62" s="1098"/>
      <c r="BA62" s="1135"/>
      <c r="BB62" s="1120"/>
      <c r="BC62" s="347"/>
      <c r="BD62" s="348"/>
      <c r="BE62" s="349"/>
      <c r="BF62" s="348"/>
      <c r="BG62" s="1135"/>
      <c r="BH62" s="350"/>
      <c r="BI62" s="1136"/>
      <c r="BJ62" s="352"/>
      <c r="BK62" s="337"/>
      <c r="BL62" s="352"/>
      <c r="BM62" s="337"/>
      <c r="BN62" s="353"/>
      <c r="BO62" s="1138">
        <f>925.05*3*22</f>
        <v>61053.3</v>
      </c>
      <c r="BP62" s="355"/>
      <c r="BQ62" s="356">
        <f>925.05*3*21+354.9*3*5</f>
        <v>63601.65</v>
      </c>
      <c r="BR62" s="355"/>
      <c r="BS62" s="356">
        <f>(925.05*3*20+354.9*3*8)+(925.05*3*22+354.9*3*6)</f>
        <v>131462.1</v>
      </c>
      <c r="BT62" s="357"/>
    </row>
    <row r="63" spans="1:72" s="358" customFormat="1" ht="51" customHeight="1">
      <c r="A63" s="287">
        <v>53</v>
      </c>
      <c r="B63" s="933"/>
      <c r="C63" s="850" t="s">
        <v>377</v>
      </c>
      <c r="D63" s="853"/>
      <c r="E63" s="836" t="s">
        <v>201</v>
      </c>
      <c r="F63" s="820" t="s">
        <v>7</v>
      </c>
      <c r="G63" s="360">
        <v>4</v>
      </c>
      <c r="H63" s="360" t="s">
        <v>71</v>
      </c>
      <c r="I63" s="360">
        <v>244</v>
      </c>
      <c r="J63" s="361">
        <v>225</v>
      </c>
      <c r="K63" s="532" t="s">
        <v>364</v>
      </c>
      <c r="L63" s="1023">
        <f>SUM(L64:L67)</f>
        <v>27290.76</v>
      </c>
      <c r="M63" s="363"/>
      <c r="N63" s="363">
        <f>SUM(N64:N67)</f>
        <v>0</v>
      </c>
      <c r="O63" s="1051">
        <f t="shared" si="21"/>
        <v>27290.76</v>
      </c>
      <c r="P63" s="557"/>
      <c r="Q63" s="367">
        <f>SUM(Q64:Q67)</f>
        <v>27290.76</v>
      </c>
      <c r="R63" s="557"/>
      <c r="S63" s="367">
        <f>SUM(S64:S67)</f>
        <v>27290.76</v>
      </c>
      <c r="T63" s="557"/>
      <c r="U63" s="365"/>
      <c r="V63" s="366"/>
      <c r="W63" s="366"/>
      <c r="X63" s="391"/>
      <c r="Z63" s="367">
        <f>AW63+AY63+BA63</f>
        <v>0</v>
      </c>
      <c r="AA63" s="363">
        <f>AX63+AZ63+BB63</f>
        <v>0</v>
      </c>
      <c r="AB63" s="280">
        <f>Z63-AA63</f>
        <v>0</v>
      </c>
      <c r="AC63" s="367">
        <f>BC63+BE63+BG63</f>
        <v>6822.69</v>
      </c>
      <c r="AD63" s="363">
        <f>BD63+BF63+BH63</f>
        <v>2520</v>
      </c>
      <c r="AE63" s="280">
        <f>AC63-AD63</f>
        <v>4302.6899999999996</v>
      </c>
      <c r="AF63" s="367">
        <f>BI63+BK63+BM63</f>
        <v>0</v>
      </c>
      <c r="AG63" s="363">
        <f>BJ63+BL63+BN63</f>
        <v>0</v>
      </c>
      <c r="AH63" s="280">
        <f>AF63-AG63</f>
        <v>0</v>
      </c>
      <c r="AI63" s="367">
        <f>BO63+BQ63+BS63</f>
        <v>11022.69</v>
      </c>
      <c r="AJ63" s="363">
        <f>BP63+BR63+BT63</f>
        <v>4200</v>
      </c>
      <c r="AK63" s="280">
        <f>AI63-AJ63</f>
        <v>6822.69</v>
      </c>
      <c r="AL63" s="368"/>
      <c r="AM63" s="367">
        <f>Z63+AC63</f>
        <v>6822.69</v>
      </c>
      <c r="AN63" s="363">
        <f>AA63+AD63</f>
        <v>2520</v>
      </c>
      <c r="AO63" s="280">
        <f>AM63-AN63</f>
        <v>4302.6899999999996</v>
      </c>
      <c r="AP63" s="367">
        <f>Z63+AC63+AF63</f>
        <v>6822.69</v>
      </c>
      <c r="AQ63" s="363">
        <f>AA63+AD63+AG63</f>
        <v>2520</v>
      </c>
      <c r="AR63" s="280">
        <f>AP63-AQ63</f>
        <v>4302.6899999999996</v>
      </c>
      <c r="AS63" s="367">
        <f>Z63+AC63+AF63+AI63</f>
        <v>17845.38</v>
      </c>
      <c r="AT63" s="363">
        <f>AA63+AD63+AG63+AJ63</f>
        <v>6720</v>
      </c>
      <c r="AU63" s="280">
        <f>AS63-AT63</f>
        <v>11125.38</v>
      </c>
      <c r="AV63" s="1253">
        <f t="shared" si="20"/>
        <v>9445.3799999999992</v>
      </c>
      <c r="AW63" s="367">
        <f t="shared" ref="AW63:BT63" si="67">SUM(AW64:AW67)</f>
        <v>0</v>
      </c>
      <c r="AX63" s="1097">
        <f t="shared" si="67"/>
        <v>0</v>
      </c>
      <c r="AY63" s="363">
        <f t="shared" si="67"/>
        <v>0</v>
      </c>
      <c r="AZ63" s="1097">
        <f t="shared" si="67"/>
        <v>0</v>
      </c>
      <c r="BA63" s="363">
        <f t="shared" si="67"/>
        <v>0</v>
      </c>
      <c r="BB63" s="1119">
        <f t="shared" si="67"/>
        <v>0</v>
      </c>
      <c r="BC63" s="367">
        <f t="shared" si="67"/>
        <v>2520</v>
      </c>
      <c r="BD63" s="363">
        <f t="shared" si="67"/>
        <v>2520</v>
      </c>
      <c r="BE63" s="363">
        <f t="shared" si="67"/>
        <v>4302.6899999999996</v>
      </c>
      <c r="BF63" s="363">
        <f t="shared" si="67"/>
        <v>0</v>
      </c>
      <c r="BG63" s="363">
        <f t="shared" si="67"/>
        <v>0</v>
      </c>
      <c r="BH63" s="369">
        <f t="shared" si="67"/>
        <v>0</v>
      </c>
      <c r="BI63" s="367">
        <f t="shared" si="67"/>
        <v>0</v>
      </c>
      <c r="BJ63" s="363">
        <f t="shared" si="67"/>
        <v>0</v>
      </c>
      <c r="BK63" s="363">
        <f t="shared" si="67"/>
        <v>0</v>
      </c>
      <c r="BL63" s="363">
        <f t="shared" si="67"/>
        <v>0</v>
      </c>
      <c r="BM63" s="363">
        <f t="shared" si="67"/>
        <v>0</v>
      </c>
      <c r="BN63" s="369">
        <f t="shared" si="67"/>
        <v>0</v>
      </c>
      <c r="BO63" s="367">
        <f t="shared" si="67"/>
        <v>4200</v>
      </c>
      <c r="BP63" s="363">
        <f t="shared" si="67"/>
        <v>4200</v>
      </c>
      <c r="BQ63" s="363">
        <f t="shared" si="67"/>
        <v>6822.69</v>
      </c>
      <c r="BR63" s="363">
        <f t="shared" si="67"/>
        <v>0</v>
      </c>
      <c r="BS63" s="363">
        <f t="shared" si="67"/>
        <v>0</v>
      </c>
      <c r="BT63" s="280">
        <f t="shared" si="67"/>
        <v>0</v>
      </c>
    </row>
    <row r="64" spans="1:72" s="313" customFormat="1" ht="51" outlineLevel="1">
      <c r="A64" s="287">
        <v>54</v>
      </c>
      <c r="B64" s="933"/>
      <c r="C64" s="840"/>
      <c r="D64" s="853" t="s">
        <v>216</v>
      </c>
      <c r="E64" s="839"/>
      <c r="F64" s="821" t="s">
        <v>7</v>
      </c>
      <c r="G64" s="314">
        <v>4</v>
      </c>
      <c r="H64" s="739" t="s">
        <v>71</v>
      </c>
      <c r="I64" s="739">
        <v>244</v>
      </c>
      <c r="J64" s="740">
        <v>225</v>
      </c>
      <c r="K64" s="533" t="s">
        <v>574</v>
      </c>
      <c r="L64" s="1025">
        <v>6822.69</v>
      </c>
      <c r="M64" s="318"/>
      <c r="N64" s="318"/>
      <c r="O64" s="1052">
        <f t="shared" si="21"/>
        <v>6822.69</v>
      </c>
      <c r="P64" s="570"/>
      <c r="Q64" s="509">
        <v>6822.69</v>
      </c>
      <c r="R64" s="559"/>
      <c r="S64" s="542">
        <v>6822.69</v>
      </c>
      <c r="T64" s="559"/>
      <c r="U64" s="335"/>
      <c r="V64" s="597" t="s">
        <v>254</v>
      </c>
      <c r="W64" s="597" t="s">
        <v>653</v>
      </c>
      <c r="X64" s="597" t="s">
        <v>654</v>
      </c>
      <c r="Z64" s="336">
        <f t="shared" ref="Z64:AA72" si="68">AW64+AY64+BA64</f>
        <v>0</v>
      </c>
      <c r="AA64" s="337">
        <f t="shared" si="68"/>
        <v>0</v>
      </c>
      <c r="AB64" s="338">
        <f t="shared" ref="AB64" si="69">Z64-AA64</f>
        <v>0</v>
      </c>
      <c r="AC64" s="336">
        <f t="shared" ref="AC64:AD72" si="70">BC64+BE64+BG64</f>
        <v>6822.69</v>
      </c>
      <c r="AD64" s="337">
        <f t="shared" si="70"/>
        <v>2520</v>
      </c>
      <c r="AE64" s="338">
        <f t="shared" ref="AE64" si="71">AC64-AD64</f>
        <v>4302.6899999999996</v>
      </c>
      <c r="AF64" s="336">
        <f t="shared" ref="AF64:AG72" si="72">BI64+BK64+BM64</f>
        <v>0</v>
      </c>
      <c r="AG64" s="337">
        <f t="shared" si="72"/>
        <v>0</v>
      </c>
      <c r="AH64" s="338">
        <f t="shared" ref="AH64" si="73">AF64-AG64</f>
        <v>0</v>
      </c>
      <c r="AI64" s="336">
        <f t="shared" ref="AI64:AJ72" si="74">BO64+BQ64+BS64</f>
        <v>0</v>
      </c>
      <c r="AJ64" s="337">
        <f t="shared" si="74"/>
        <v>0</v>
      </c>
      <c r="AK64" s="338">
        <f t="shared" ref="AK64" si="75">AI64-AJ64</f>
        <v>0</v>
      </c>
      <c r="AL64" s="342"/>
      <c r="AM64" s="336">
        <f t="shared" ref="AM64:AN72" si="76">Z64+AC64</f>
        <v>6822.69</v>
      </c>
      <c r="AN64" s="339">
        <f t="shared" si="76"/>
        <v>2520</v>
      </c>
      <c r="AO64" s="340">
        <f t="shared" ref="AO64" si="77">AM64-AN64</f>
        <v>4302.6899999999996</v>
      </c>
      <c r="AP64" s="336">
        <f t="shared" ref="AP64:AQ72" si="78">Z64+AC64+AF64</f>
        <v>6822.69</v>
      </c>
      <c r="AQ64" s="339">
        <f t="shared" si="78"/>
        <v>2520</v>
      </c>
      <c r="AR64" s="340">
        <f t="shared" ref="AR64" si="79">AP64-AQ64</f>
        <v>4302.6899999999996</v>
      </c>
      <c r="AS64" s="341">
        <f t="shared" ref="AS64:AT72" si="80">Z64+AC64+AF64+AI64</f>
        <v>6822.69</v>
      </c>
      <c r="AT64" s="339">
        <f t="shared" si="80"/>
        <v>2520</v>
      </c>
      <c r="AU64" s="340">
        <f t="shared" ref="AU64" si="81">AS64-AT64</f>
        <v>4302.6899999999996</v>
      </c>
      <c r="AV64" s="1259">
        <f t="shared" si="20"/>
        <v>0</v>
      </c>
      <c r="AW64" s="343"/>
      <c r="AX64" s="1098"/>
      <c r="AY64" s="345"/>
      <c r="AZ64" s="1098"/>
      <c r="BA64" s="345"/>
      <c r="BB64" s="1120"/>
      <c r="BC64" s="347">
        <f>(9*140+9*140)</f>
        <v>2520</v>
      </c>
      <c r="BD64" s="348">
        <v>2520</v>
      </c>
      <c r="BE64" s="349">
        <v>4302.6899999999996</v>
      </c>
      <c r="BF64" s="348"/>
      <c r="BG64" s="349"/>
      <c r="BH64" s="350"/>
      <c r="BI64" s="351"/>
      <c r="BJ64" s="352"/>
      <c r="BK64" s="337"/>
      <c r="BL64" s="352"/>
      <c r="BM64" s="337"/>
      <c r="BN64" s="353"/>
      <c r="BO64" s="354"/>
      <c r="BP64" s="355"/>
      <c r="BQ64" s="356"/>
      <c r="BR64" s="355"/>
      <c r="BS64" s="356"/>
      <c r="BT64" s="357"/>
    </row>
    <row r="65" spans="1:72" s="313" customFormat="1" ht="51" outlineLevel="1">
      <c r="A65" s="287">
        <v>55</v>
      </c>
      <c r="B65" s="933"/>
      <c r="C65" s="840"/>
      <c r="D65" s="853" t="s">
        <v>216</v>
      </c>
      <c r="E65" s="839"/>
      <c r="F65" s="821" t="s">
        <v>7</v>
      </c>
      <c r="G65" s="314">
        <v>4</v>
      </c>
      <c r="H65" s="739" t="s">
        <v>71</v>
      </c>
      <c r="I65" s="739">
        <v>244</v>
      </c>
      <c r="J65" s="740">
        <v>225</v>
      </c>
      <c r="K65" s="533" t="s">
        <v>1063</v>
      </c>
      <c r="L65" s="1025">
        <v>6822.69</v>
      </c>
      <c r="M65" s="318"/>
      <c r="N65" s="318"/>
      <c r="O65" s="1052">
        <f t="shared" si="21"/>
        <v>6822.69</v>
      </c>
      <c r="P65" s="570"/>
      <c r="Q65" s="509">
        <v>6822.69</v>
      </c>
      <c r="R65" s="559"/>
      <c r="S65" s="542">
        <v>6822.69</v>
      </c>
      <c r="T65" s="559"/>
      <c r="U65" s="335"/>
      <c r="V65" s="597" t="s">
        <v>254</v>
      </c>
      <c r="W65" s="597" t="s">
        <v>1121</v>
      </c>
      <c r="X65" s="597" t="s">
        <v>1079</v>
      </c>
      <c r="Z65" s="336">
        <f t="shared" si="68"/>
        <v>0</v>
      </c>
      <c r="AA65" s="337">
        <f t="shared" si="68"/>
        <v>0</v>
      </c>
      <c r="AB65" s="338">
        <f>Z65-AA65</f>
        <v>0</v>
      </c>
      <c r="AC65" s="336">
        <f t="shared" si="70"/>
        <v>0</v>
      </c>
      <c r="AD65" s="337">
        <f t="shared" si="70"/>
        <v>0</v>
      </c>
      <c r="AE65" s="338">
        <f>AC65-AD65</f>
        <v>0</v>
      </c>
      <c r="AF65" s="336">
        <f t="shared" si="72"/>
        <v>0</v>
      </c>
      <c r="AG65" s="337">
        <f t="shared" si="72"/>
        <v>0</v>
      </c>
      <c r="AH65" s="338">
        <f>AF65-AG65</f>
        <v>0</v>
      </c>
      <c r="AI65" s="336">
        <f t="shared" si="74"/>
        <v>4200</v>
      </c>
      <c r="AJ65" s="337">
        <f t="shared" si="74"/>
        <v>4200</v>
      </c>
      <c r="AK65" s="338">
        <f>AI65-AJ65</f>
        <v>0</v>
      </c>
      <c r="AL65" s="342"/>
      <c r="AM65" s="336">
        <f t="shared" si="76"/>
        <v>0</v>
      </c>
      <c r="AN65" s="339">
        <f t="shared" si="76"/>
        <v>0</v>
      </c>
      <c r="AO65" s="340">
        <f>AM65-AN65</f>
        <v>0</v>
      </c>
      <c r="AP65" s="336">
        <f t="shared" si="78"/>
        <v>0</v>
      </c>
      <c r="AQ65" s="339">
        <f t="shared" si="78"/>
        <v>0</v>
      </c>
      <c r="AR65" s="340">
        <f>AP65-AQ65</f>
        <v>0</v>
      </c>
      <c r="AS65" s="341">
        <f t="shared" si="80"/>
        <v>4200</v>
      </c>
      <c r="AT65" s="339">
        <f t="shared" si="80"/>
        <v>4200</v>
      </c>
      <c r="AU65" s="340">
        <f>AS65-AT65</f>
        <v>0</v>
      </c>
      <c r="AV65" s="1258">
        <f t="shared" si="20"/>
        <v>2622.69</v>
      </c>
      <c r="AW65" s="343"/>
      <c r="AX65" s="1098"/>
      <c r="AY65" s="345"/>
      <c r="AZ65" s="1098"/>
      <c r="BA65" s="345"/>
      <c r="BB65" s="1120"/>
      <c r="BC65" s="347"/>
      <c r="BD65" s="348"/>
      <c r="BE65" s="349"/>
      <c r="BF65" s="348"/>
      <c r="BG65" s="349"/>
      <c r="BH65" s="350"/>
      <c r="BI65" s="351"/>
      <c r="BJ65" s="352"/>
      <c r="BK65" s="337"/>
      <c r="BL65" s="352"/>
      <c r="BM65" s="337"/>
      <c r="BN65" s="353"/>
      <c r="BO65" s="1138">
        <v>4200</v>
      </c>
      <c r="BP65" s="355">
        <v>4200</v>
      </c>
      <c r="BQ65" s="356"/>
      <c r="BR65" s="355"/>
      <c r="BS65" s="356"/>
      <c r="BT65" s="357"/>
    </row>
    <row r="66" spans="1:72" s="313" customFormat="1" ht="51" outlineLevel="1">
      <c r="A66" s="287">
        <v>56</v>
      </c>
      <c r="B66" s="933"/>
      <c r="C66" s="840"/>
      <c r="D66" s="853" t="s">
        <v>216</v>
      </c>
      <c r="E66" s="839"/>
      <c r="F66" s="821" t="s">
        <v>7</v>
      </c>
      <c r="G66" s="314">
        <v>4</v>
      </c>
      <c r="H66" s="739" t="s">
        <v>71</v>
      </c>
      <c r="I66" s="739">
        <v>244</v>
      </c>
      <c r="J66" s="740">
        <v>225</v>
      </c>
      <c r="K66" s="1005" t="s">
        <v>1064</v>
      </c>
      <c r="L66" s="1031">
        <v>6822.69</v>
      </c>
      <c r="M66" s="318"/>
      <c r="N66" s="318"/>
      <c r="O66" s="1055">
        <f t="shared" si="21"/>
        <v>6822.69</v>
      </c>
      <c r="P66" s="570"/>
      <c r="Q66" s="509">
        <v>6822.69</v>
      </c>
      <c r="R66" s="559"/>
      <c r="S66" s="542">
        <v>6822.69</v>
      </c>
      <c r="T66" s="559"/>
      <c r="U66" s="335"/>
      <c r="V66" s="320" t="s">
        <v>254</v>
      </c>
      <c r="W66" s="388"/>
      <c r="X66" s="388"/>
      <c r="Z66" s="336">
        <f t="shared" si="68"/>
        <v>0</v>
      </c>
      <c r="AA66" s="337">
        <f t="shared" si="68"/>
        <v>0</v>
      </c>
      <c r="AB66" s="338">
        <f>Z66-AA66</f>
        <v>0</v>
      </c>
      <c r="AC66" s="336">
        <f t="shared" si="70"/>
        <v>0</v>
      </c>
      <c r="AD66" s="337">
        <f t="shared" si="70"/>
        <v>0</v>
      </c>
      <c r="AE66" s="338">
        <f>AC66-AD66</f>
        <v>0</v>
      </c>
      <c r="AF66" s="336">
        <f t="shared" si="72"/>
        <v>0</v>
      </c>
      <c r="AG66" s="337">
        <f t="shared" si="72"/>
        <v>0</v>
      </c>
      <c r="AH66" s="338">
        <f>AF66-AG66</f>
        <v>0</v>
      </c>
      <c r="AI66" s="336">
        <f t="shared" si="74"/>
        <v>0</v>
      </c>
      <c r="AJ66" s="337">
        <f t="shared" si="74"/>
        <v>0</v>
      </c>
      <c r="AK66" s="338">
        <f>AI66-AJ66</f>
        <v>0</v>
      </c>
      <c r="AL66" s="342"/>
      <c r="AM66" s="336">
        <f t="shared" si="76"/>
        <v>0</v>
      </c>
      <c r="AN66" s="339">
        <f t="shared" si="76"/>
        <v>0</v>
      </c>
      <c r="AO66" s="340">
        <f>AM66-AN66</f>
        <v>0</v>
      </c>
      <c r="AP66" s="336">
        <f t="shared" si="78"/>
        <v>0</v>
      </c>
      <c r="AQ66" s="339">
        <f t="shared" si="78"/>
        <v>0</v>
      </c>
      <c r="AR66" s="340">
        <f>AP66-AQ66</f>
        <v>0</v>
      </c>
      <c r="AS66" s="341">
        <f t="shared" si="80"/>
        <v>0</v>
      </c>
      <c r="AT66" s="339">
        <f t="shared" si="80"/>
        <v>0</v>
      </c>
      <c r="AU66" s="340">
        <f>AS66-AT66</f>
        <v>0</v>
      </c>
      <c r="AV66" s="1258">
        <f t="shared" si="20"/>
        <v>6822.69</v>
      </c>
      <c r="AW66" s="343"/>
      <c r="AX66" s="1098"/>
      <c r="AY66" s="345"/>
      <c r="AZ66" s="1098"/>
      <c r="BA66" s="345"/>
      <c r="BB66" s="1120"/>
      <c r="BC66" s="347"/>
      <c r="BD66" s="348"/>
      <c r="BE66" s="349"/>
      <c r="BF66" s="348"/>
      <c r="BG66" s="349"/>
      <c r="BH66" s="350"/>
      <c r="BI66" s="351"/>
      <c r="BJ66" s="352"/>
      <c r="BK66" s="337"/>
      <c r="BL66" s="352"/>
      <c r="BM66" s="337"/>
      <c r="BN66" s="353"/>
      <c r="BO66" s="354"/>
      <c r="BP66" s="355"/>
      <c r="BQ66" s="356"/>
      <c r="BR66" s="355"/>
      <c r="BS66" s="356"/>
      <c r="BT66" s="357"/>
    </row>
    <row r="67" spans="1:72" s="313" customFormat="1" ht="51" outlineLevel="1">
      <c r="A67" s="287">
        <v>57</v>
      </c>
      <c r="B67" s="933"/>
      <c r="C67" s="840"/>
      <c r="D67" s="853" t="s">
        <v>216</v>
      </c>
      <c r="E67" s="839"/>
      <c r="F67" s="821" t="s">
        <v>7</v>
      </c>
      <c r="G67" s="314">
        <v>4</v>
      </c>
      <c r="H67" s="739" t="s">
        <v>71</v>
      </c>
      <c r="I67" s="739">
        <v>244</v>
      </c>
      <c r="J67" s="740">
        <v>225</v>
      </c>
      <c r="K67" s="533" t="s">
        <v>261</v>
      </c>
      <c r="L67" s="1025">
        <v>6822.69</v>
      </c>
      <c r="M67" s="318"/>
      <c r="N67" s="318"/>
      <c r="O67" s="1052">
        <f t="shared" si="21"/>
        <v>6822.69</v>
      </c>
      <c r="P67" s="570"/>
      <c r="Q67" s="509">
        <v>6822.69</v>
      </c>
      <c r="R67" s="559"/>
      <c r="S67" s="542">
        <v>6822.69</v>
      </c>
      <c r="T67" s="559"/>
      <c r="U67" s="335"/>
      <c r="V67" s="320" t="s">
        <v>254</v>
      </c>
      <c r="W67" s="388"/>
      <c r="X67" s="388"/>
      <c r="Z67" s="336">
        <f t="shared" si="68"/>
        <v>0</v>
      </c>
      <c r="AA67" s="337">
        <f t="shared" si="68"/>
        <v>0</v>
      </c>
      <c r="AB67" s="338">
        <f>Z67-AA67</f>
        <v>0</v>
      </c>
      <c r="AC67" s="336">
        <f t="shared" si="70"/>
        <v>0</v>
      </c>
      <c r="AD67" s="337">
        <f t="shared" si="70"/>
        <v>0</v>
      </c>
      <c r="AE67" s="338">
        <f>AC67-AD67</f>
        <v>0</v>
      </c>
      <c r="AF67" s="336">
        <f t="shared" si="72"/>
        <v>0</v>
      </c>
      <c r="AG67" s="337">
        <f t="shared" si="72"/>
        <v>0</v>
      </c>
      <c r="AH67" s="338">
        <f>AF67-AG67</f>
        <v>0</v>
      </c>
      <c r="AI67" s="336">
        <f t="shared" si="74"/>
        <v>6822.69</v>
      </c>
      <c r="AJ67" s="337">
        <f t="shared" si="74"/>
        <v>0</v>
      </c>
      <c r="AK67" s="338">
        <f>AI67-AJ67</f>
        <v>6822.69</v>
      </c>
      <c r="AL67" s="342"/>
      <c r="AM67" s="336">
        <f t="shared" si="76"/>
        <v>0</v>
      </c>
      <c r="AN67" s="339">
        <f t="shared" si="76"/>
        <v>0</v>
      </c>
      <c r="AO67" s="340">
        <f>AM67-AN67</f>
        <v>0</v>
      </c>
      <c r="AP67" s="336">
        <f t="shared" si="78"/>
        <v>0</v>
      </c>
      <c r="AQ67" s="339">
        <f t="shared" si="78"/>
        <v>0</v>
      </c>
      <c r="AR67" s="340">
        <f>AP67-AQ67</f>
        <v>0</v>
      </c>
      <c r="AS67" s="341">
        <f t="shared" si="80"/>
        <v>6822.69</v>
      </c>
      <c r="AT67" s="339">
        <f t="shared" si="80"/>
        <v>0</v>
      </c>
      <c r="AU67" s="340">
        <f>AS67-AT67</f>
        <v>6822.69</v>
      </c>
      <c r="AV67" s="1255">
        <f t="shared" si="20"/>
        <v>0</v>
      </c>
      <c r="AW67" s="343"/>
      <c r="AX67" s="1098"/>
      <c r="AY67" s="345"/>
      <c r="AZ67" s="1098"/>
      <c r="BA67" s="345"/>
      <c r="BB67" s="1120"/>
      <c r="BC67" s="347"/>
      <c r="BD67" s="348"/>
      <c r="BE67" s="349"/>
      <c r="BF67" s="348"/>
      <c r="BG67" s="349"/>
      <c r="BH67" s="350"/>
      <c r="BI67" s="351"/>
      <c r="BJ67" s="352"/>
      <c r="BK67" s="337"/>
      <c r="BL67" s="352"/>
      <c r="BM67" s="337"/>
      <c r="BN67" s="353"/>
      <c r="BO67" s="354"/>
      <c r="BP67" s="355"/>
      <c r="BQ67" s="356">
        <f>35*170 + 7*124.67</f>
        <v>6822.69</v>
      </c>
      <c r="BR67" s="355"/>
      <c r="BS67" s="356"/>
      <c r="BT67" s="357"/>
    </row>
    <row r="68" spans="1:72" s="358" customFormat="1" ht="60" customHeight="1">
      <c r="A68" s="287">
        <v>58</v>
      </c>
      <c r="B68" s="1148"/>
      <c r="C68" s="850" t="s">
        <v>377</v>
      </c>
      <c r="D68" s="838"/>
      <c r="E68" s="836" t="s">
        <v>201</v>
      </c>
      <c r="F68" s="820" t="s">
        <v>7</v>
      </c>
      <c r="G68" s="360">
        <v>4</v>
      </c>
      <c r="H68" s="360" t="s">
        <v>71</v>
      </c>
      <c r="I68" s="360">
        <v>112</v>
      </c>
      <c r="J68" s="361">
        <v>226</v>
      </c>
      <c r="K68" s="532" t="s">
        <v>771</v>
      </c>
      <c r="L68" s="1023">
        <f>SUM(L69:L70)</f>
        <v>6734</v>
      </c>
      <c r="M68" s="363"/>
      <c r="N68" s="363">
        <f>SUM(N69:N70)</f>
        <v>0</v>
      </c>
      <c r="O68" s="1051">
        <f t="shared" si="21"/>
        <v>6734</v>
      </c>
      <c r="P68" s="557"/>
      <c r="Q68" s="367">
        <f>SUM(Q69:Q70)</f>
        <v>0</v>
      </c>
      <c r="R68" s="557"/>
      <c r="S68" s="367">
        <f>SUM(S69:S70)</f>
        <v>0</v>
      </c>
      <c r="T68" s="557"/>
      <c r="U68" s="365"/>
      <c r="V68" s="366"/>
      <c r="W68" s="366"/>
      <c r="X68" s="366"/>
      <c r="Z68" s="367">
        <f t="shared" si="68"/>
        <v>6734</v>
      </c>
      <c r="AA68" s="363">
        <f t="shared" si="68"/>
        <v>0</v>
      </c>
      <c r="AB68" s="280">
        <f t="shared" ref="AB68:AB69" si="82">Z68-AA68</f>
        <v>6734</v>
      </c>
      <c r="AC68" s="367">
        <f t="shared" si="70"/>
        <v>0</v>
      </c>
      <c r="AD68" s="363">
        <f t="shared" si="70"/>
        <v>0</v>
      </c>
      <c r="AE68" s="280">
        <f t="shared" ref="AE68:AE69" si="83">AC68-AD68</f>
        <v>0</v>
      </c>
      <c r="AF68" s="367">
        <f t="shared" si="72"/>
        <v>0</v>
      </c>
      <c r="AG68" s="363">
        <f t="shared" si="72"/>
        <v>0</v>
      </c>
      <c r="AH68" s="280">
        <f t="shared" ref="AH68:AH69" si="84">AF68-AG68</f>
        <v>0</v>
      </c>
      <c r="AI68" s="367">
        <f t="shared" si="74"/>
        <v>0</v>
      </c>
      <c r="AJ68" s="363">
        <f t="shared" si="74"/>
        <v>0</v>
      </c>
      <c r="AK68" s="280">
        <f t="shared" ref="AK68:AK69" si="85">AI68-AJ68</f>
        <v>0</v>
      </c>
      <c r="AL68" s="368"/>
      <c r="AM68" s="367">
        <f t="shared" si="76"/>
        <v>6734</v>
      </c>
      <c r="AN68" s="363">
        <f t="shared" si="76"/>
        <v>0</v>
      </c>
      <c r="AO68" s="280">
        <f t="shared" ref="AO68:AO69" si="86">AM68-AN68</f>
        <v>6734</v>
      </c>
      <c r="AP68" s="367">
        <f t="shared" si="78"/>
        <v>6734</v>
      </c>
      <c r="AQ68" s="363">
        <f t="shared" si="78"/>
        <v>0</v>
      </c>
      <c r="AR68" s="280">
        <f t="shared" ref="AR68:AR69" si="87">AP68-AQ68</f>
        <v>6734</v>
      </c>
      <c r="AS68" s="367">
        <f t="shared" si="80"/>
        <v>6734</v>
      </c>
      <c r="AT68" s="363">
        <f t="shared" si="80"/>
        <v>0</v>
      </c>
      <c r="AU68" s="280">
        <f t="shared" ref="AU68:AU69" si="88">AS68-AT68</f>
        <v>6734</v>
      </c>
      <c r="AV68" s="1253">
        <f t="shared" si="20"/>
        <v>0</v>
      </c>
      <c r="AW68" s="367">
        <f t="shared" ref="AW68:BS68" si="89">SUM(AW69:AW70)</f>
        <v>0</v>
      </c>
      <c r="AX68" s="1097">
        <f t="shared" si="89"/>
        <v>0</v>
      </c>
      <c r="AY68" s="363">
        <f t="shared" si="89"/>
        <v>0</v>
      </c>
      <c r="AZ68" s="1097">
        <f t="shared" si="89"/>
        <v>0</v>
      </c>
      <c r="BA68" s="363">
        <f t="shared" si="89"/>
        <v>6734</v>
      </c>
      <c r="BB68" s="1119">
        <f t="shared" si="89"/>
        <v>0</v>
      </c>
      <c r="BC68" s="367">
        <f t="shared" si="89"/>
        <v>0</v>
      </c>
      <c r="BD68" s="363">
        <f t="shared" si="89"/>
        <v>0</v>
      </c>
      <c r="BE68" s="363">
        <f t="shared" si="89"/>
        <v>0</v>
      </c>
      <c r="BF68" s="363">
        <f t="shared" si="89"/>
        <v>0</v>
      </c>
      <c r="BG68" s="363">
        <f t="shared" si="89"/>
        <v>0</v>
      </c>
      <c r="BH68" s="369">
        <f t="shared" si="89"/>
        <v>0</v>
      </c>
      <c r="BI68" s="367">
        <f t="shared" si="89"/>
        <v>0</v>
      </c>
      <c r="BJ68" s="363">
        <f t="shared" si="89"/>
        <v>0</v>
      </c>
      <c r="BK68" s="363">
        <f t="shared" si="89"/>
        <v>0</v>
      </c>
      <c r="BL68" s="363">
        <f t="shared" si="89"/>
        <v>0</v>
      </c>
      <c r="BM68" s="363">
        <f t="shared" si="89"/>
        <v>0</v>
      </c>
      <c r="BN68" s="369">
        <f t="shared" si="89"/>
        <v>0</v>
      </c>
      <c r="BO68" s="367">
        <f t="shared" si="89"/>
        <v>0</v>
      </c>
      <c r="BP68" s="363">
        <f t="shared" si="89"/>
        <v>0</v>
      </c>
      <c r="BQ68" s="363">
        <f t="shared" si="89"/>
        <v>0</v>
      </c>
      <c r="BR68" s="363">
        <f t="shared" si="89"/>
        <v>0</v>
      </c>
      <c r="BS68" s="363">
        <f t="shared" si="89"/>
        <v>0</v>
      </c>
      <c r="BT68" s="280">
        <f>SUM(BT69:BT79)</f>
        <v>0</v>
      </c>
    </row>
    <row r="69" spans="1:72" s="313" customFormat="1" ht="38.25" outlineLevel="1">
      <c r="A69" s="287">
        <v>59</v>
      </c>
      <c r="B69" s="1148"/>
      <c r="C69" s="840"/>
      <c r="D69" s="841"/>
      <c r="E69" s="839"/>
      <c r="F69" s="821" t="s">
        <v>7</v>
      </c>
      <c r="G69" s="314">
        <v>4</v>
      </c>
      <c r="H69" s="739" t="s">
        <v>71</v>
      </c>
      <c r="I69" s="739">
        <v>112</v>
      </c>
      <c r="J69" s="740">
        <v>226</v>
      </c>
      <c r="K69" s="533" t="s">
        <v>621</v>
      </c>
      <c r="L69" s="1025">
        <v>3744</v>
      </c>
      <c r="M69" s="318"/>
      <c r="N69" s="318"/>
      <c r="O69" s="1052">
        <f t="shared" si="21"/>
        <v>3744</v>
      </c>
      <c r="P69" s="559"/>
      <c r="Q69" s="336"/>
      <c r="R69" s="559"/>
      <c r="S69" s="336"/>
      <c r="T69" s="559"/>
      <c r="U69" s="335"/>
      <c r="V69" s="801" t="s">
        <v>625</v>
      </c>
      <c r="W69" s="801" t="s">
        <v>626</v>
      </c>
      <c r="X69" s="801"/>
      <c r="Z69" s="336">
        <f t="shared" si="68"/>
        <v>3744</v>
      </c>
      <c r="AA69" s="337">
        <f t="shared" si="68"/>
        <v>0</v>
      </c>
      <c r="AB69" s="338">
        <f t="shared" si="82"/>
        <v>3744</v>
      </c>
      <c r="AC69" s="336">
        <f t="shared" si="70"/>
        <v>0</v>
      </c>
      <c r="AD69" s="337">
        <f t="shared" si="70"/>
        <v>0</v>
      </c>
      <c r="AE69" s="338">
        <f t="shared" si="83"/>
        <v>0</v>
      </c>
      <c r="AF69" s="336">
        <f t="shared" si="72"/>
        <v>0</v>
      </c>
      <c r="AG69" s="337">
        <f t="shared" si="72"/>
        <v>0</v>
      </c>
      <c r="AH69" s="338">
        <f t="shared" si="84"/>
        <v>0</v>
      </c>
      <c r="AI69" s="336">
        <f t="shared" si="74"/>
        <v>0</v>
      </c>
      <c r="AJ69" s="337">
        <f t="shared" si="74"/>
        <v>0</v>
      </c>
      <c r="AK69" s="338">
        <f t="shared" si="85"/>
        <v>0</v>
      </c>
      <c r="AL69" s="342"/>
      <c r="AM69" s="336">
        <f t="shared" si="76"/>
        <v>3744</v>
      </c>
      <c r="AN69" s="339">
        <f t="shared" si="76"/>
        <v>0</v>
      </c>
      <c r="AO69" s="340">
        <f t="shared" si="86"/>
        <v>3744</v>
      </c>
      <c r="AP69" s="336">
        <f t="shared" si="78"/>
        <v>3744</v>
      </c>
      <c r="AQ69" s="339">
        <f t="shared" si="78"/>
        <v>0</v>
      </c>
      <c r="AR69" s="340">
        <f t="shared" si="87"/>
        <v>3744</v>
      </c>
      <c r="AS69" s="341">
        <f t="shared" si="80"/>
        <v>3744</v>
      </c>
      <c r="AT69" s="339">
        <f t="shared" si="80"/>
        <v>0</v>
      </c>
      <c r="AU69" s="340">
        <f t="shared" si="88"/>
        <v>3744</v>
      </c>
      <c r="AV69" s="1255">
        <f t="shared" si="20"/>
        <v>0</v>
      </c>
      <c r="AW69" s="343"/>
      <c r="AX69" s="1098"/>
      <c r="AY69" s="345"/>
      <c r="AZ69" s="1098"/>
      <c r="BA69" s="345">
        <v>3744</v>
      </c>
      <c r="BB69" s="1120"/>
      <c r="BC69" s="347"/>
      <c r="BD69" s="348"/>
      <c r="BE69" s="349"/>
      <c r="BF69" s="348"/>
      <c r="BG69" s="349"/>
      <c r="BH69" s="350"/>
      <c r="BI69" s="351"/>
      <c r="BJ69" s="352"/>
      <c r="BK69" s="337"/>
      <c r="BL69" s="352"/>
      <c r="BM69" s="337"/>
      <c r="BN69" s="353"/>
      <c r="BO69" s="354"/>
      <c r="BP69" s="355"/>
      <c r="BQ69" s="356"/>
      <c r="BR69" s="355"/>
      <c r="BS69" s="356"/>
      <c r="BT69" s="357"/>
    </row>
    <row r="70" spans="1:72" s="313" customFormat="1" ht="25.5" outlineLevel="1">
      <c r="A70" s="287">
        <v>60</v>
      </c>
      <c r="B70" s="1148"/>
      <c r="C70" s="840"/>
      <c r="D70" s="841"/>
      <c r="E70" s="839"/>
      <c r="F70" s="821" t="s">
        <v>7</v>
      </c>
      <c r="G70" s="314">
        <v>4</v>
      </c>
      <c r="H70" s="739" t="s">
        <v>71</v>
      </c>
      <c r="I70" s="739">
        <v>112</v>
      </c>
      <c r="J70" s="740">
        <v>226</v>
      </c>
      <c r="K70" s="533" t="s">
        <v>622</v>
      </c>
      <c r="L70" s="1025">
        <v>2990</v>
      </c>
      <c r="M70" s="318"/>
      <c r="N70" s="318"/>
      <c r="O70" s="1052">
        <f t="shared" si="21"/>
        <v>2990</v>
      </c>
      <c r="P70" s="559"/>
      <c r="Q70" s="336"/>
      <c r="R70" s="559"/>
      <c r="S70" s="336"/>
      <c r="T70" s="559"/>
      <c r="U70" s="335"/>
      <c r="V70" s="801" t="s">
        <v>650</v>
      </c>
      <c r="W70" s="801" t="s">
        <v>651</v>
      </c>
      <c r="X70" s="801"/>
      <c r="Z70" s="336">
        <f t="shared" si="68"/>
        <v>2990</v>
      </c>
      <c r="AA70" s="337">
        <f t="shared" si="68"/>
        <v>0</v>
      </c>
      <c r="AB70" s="338">
        <f>Z70-AA70</f>
        <v>2990</v>
      </c>
      <c r="AC70" s="336">
        <f t="shared" si="70"/>
        <v>0</v>
      </c>
      <c r="AD70" s="337">
        <f t="shared" si="70"/>
        <v>0</v>
      </c>
      <c r="AE70" s="338">
        <f>AC70-AD70</f>
        <v>0</v>
      </c>
      <c r="AF70" s="336">
        <f t="shared" si="72"/>
        <v>0</v>
      </c>
      <c r="AG70" s="337">
        <f t="shared" si="72"/>
        <v>0</v>
      </c>
      <c r="AH70" s="338">
        <f>AF70-AG70</f>
        <v>0</v>
      </c>
      <c r="AI70" s="336">
        <f t="shared" si="74"/>
        <v>0</v>
      </c>
      <c r="AJ70" s="337">
        <f t="shared" si="74"/>
        <v>0</v>
      </c>
      <c r="AK70" s="338">
        <f>AI70-AJ70</f>
        <v>0</v>
      </c>
      <c r="AL70" s="342"/>
      <c r="AM70" s="336">
        <f t="shared" si="76"/>
        <v>2990</v>
      </c>
      <c r="AN70" s="339">
        <f t="shared" si="76"/>
        <v>0</v>
      </c>
      <c r="AO70" s="340">
        <f>AM70-AN70</f>
        <v>2990</v>
      </c>
      <c r="AP70" s="336">
        <f t="shared" si="78"/>
        <v>2990</v>
      </c>
      <c r="AQ70" s="339">
        <f t="shared" si="78"/>
        <v>0</v>
      </c>
      <c r="AR70" s="340">
        <f>AP70-AQ70</f>
        <v>2990</v>
      </c>
      <c r="AS70" s="341">
        <f t="shared" si="80"/>
        <v>2990</v>
      </c>
      <c r="AT70" s="339">
        <f t="shared" si="80"/>
        <v>0</v>
      </c>
      <c r="AU70" s="340">
        <f>AS70-AT70</f>
        <v>2990</v>
      </c>
      <c r="AV70" s="1255">
        <f t="shared" si="20"/>
        <v>0</v>
      </c>
      <c r="AW70" s="343"/>
      <c r="AX70" s="1098"/>
      <c r="AY70" s="345"/>
      <c r="AZ70" s="1098"/>
      <c r="BA70" s="345">
        <v>2990</v>
      </c>
      <c r="BB70" s="1120"/>
      <c r="BC70" s="347"/>
      <c r="BD70" s="348"/>
      <c r="BE70" s="349"/>
      <c r="BF70" s="348"/>
      <c r="BG70" s="349"/>
      <c r="BH70" s="350"/>
      <c r="BI70" s="351"/>
      <c r="BJ70" s="352"/>
      <c r="BK70" s="337"/>
      <c r="BL70" s="352"/>
      <c r="BM70" s="337"/>
      <c r="BN70" s="353"/>
      <c r="BO70" s="354"/>
      <c r="BP70" s="355"/>
      <c r="BQ70" s="356"/>
      <c r="BR70" s="355"/>
      <c r="BS70" s="356"/>
      <c r="BT70" s="357"/>
    </row>
    <row r="71" spans="1:72" s="358" customFormat="1" ht="31.5" customHeight="1">
      <c r="A71" s="287">
        <v>61</v>
      </c>
      <c r="B71" s="933"/>
      <c r="C71" s="850" t="s">
        <v>377</v>
      </c>
      <c r="D71" s="853" t="s">
        <v>207</v>
      </c>
      <c r="E71" s="836" t="s">
        <v>201</v>
      </c>
      <c r="F71" s="820" t="s">
        <v>7</v>
      </c>
      <c r="G71" s="360">
        <v>4</v>
      </c>
      <c r="H71" s="360" t="s">
        <v>71</v>
      </c>
      <c r="I71" s="360">
        <v>244</v>
      </c>
      <c r="J71" s="361">
        <v>226</v>
      </c>
      <c r="K71" s="532" t="s">
        <v>150</v>
      </c>
      <c r="L71" s="1023">
        <f>L72</f>
        <v>279750</v>
      </c>
      <c r="M71" s="363"/>
      <c r="N71" s="363">
        <f>SUM(N72:N72)</f>
        <v>156000</v>
      </c>
      <c r="O71" s="1051">
        <f t="shared" si="21"/>
        <v>435750</v>
      </c>
      <c r="P71" s="557"/>
      <c r="Q71" s="367">
        <f>Q72</f>
        <v>215351.84</v>
      </c>
      <c r="R71" s="557"/>
      <c r="S71" s="367">
        <f>S72</f>
        <v>185247.25</v>
      </c>
      <c r="T71" s="557"/>
      <c r="U71" s="365"/>
      <c r="V71" s="366">
        <f>L285</f>
        <v>358197.09</v>
      </c>
      <c r="W71" s="366"/>
      <c r="X71" s="391">
        <f>L71/(L71+V71)</f>
        <v>0.4385</v>
      </c>
      <c r="Z71" s="367">
        <f t="shared" si="68"/>
        <v>73650</v>
      </c>
      <c r="AA71" s="363">
        <f t="shared" si="68"/>
        <v>73650</v>
      </c>
      <c r="AB71" s="280">
        <f>Z71-AA71</f>
        <v>0</v>
      </c>
      <c r="AC71" s="367">
        <f t="shared" si="70"/>
        <v>152400</v>
      </c>
      <c r="AD71" s="363">
        <f t="shared" si="70"/>
        <v>152400</v>
      </c>
      <c r="AE71" s="280">
        <f>AC71-AD71</f>
        <v>0</v>
      </c>
      <c r="AF71" s="367">
        <f t="shared" si="72"/>
        <v>53700</v>
      </c>
      <c r="AG71" s="363">
        <f t="shared" si="72"/>
        <v>53700</v>
      </c>
      <c r="AH71" s="280">
        <f>AF71-AG71</f>
        <v>0</v>
      </c>
      <c r="AI71" s="367">
        <f t="shared" si="74"/>
        <v>0</v>
      </c>
      <c r="AJ71" s="363">
        <f t="shared" si="74"/>
        <v>0</v>
      </c>
      <c r="AK71" s="280">
        <f>AI71-AJ71</f>
        <v>0</v>
      </c>
      <c r="AL71" s="368"/>
      <c r="AM71" s="367">
        <f t="shared" si="76"/>
        <v>226050</v>
      </c>
      <c r="AN71" s="363">
        <f t="shared" si="76"/>
        <v>226050</v>
      </c>
      <c r="AO71" s="280">
        <f>AM71-AN71</f>
        <v>0</v>
      </c>
      <c r="AP71" s="367">
        <f t="shared" si="78"/>
        <v>279750</v>
      </c>
      <c r="AQ71" s="363">
        <f t="shared" si="78"/>
        <v>279750</v>
      </c>
      <c r="AR71" s="280">
        <f>AP71-AQ71</f>
        <v>0</v>
      </c>
      <c r="AS71" s="367">
        <f t="shared" si="80"/>
        <v>279750</v>
      </c>
      <c r="AT71" s="363">
        <f t="shared" si="80"/>
        <v>279750</v>
      </c>
      <c r="AU71" s="280">
        <f>AS71-AT71</f>
        <v>0</v>
      </c>
      <c r="AV71" s="1253">
        <f t="shared" si="20"/>
        <v>0</v>
      </c>
      <c r="AW71" s="367">
        <f>SUM(AW72)</f>
        <v>0</v>
      </c>
      <c r="AX71" s="1097">
        <f t="shared" ref="AX71:BT71" si="90">SUM(AX72)</f>
        <v>0</v>
      </c>
      <c r="AY71" s="363">
        <f t="shared" si="90"/>
        <v>27000</v>
      </c>
      <c r="AZ71" s="1097">
        <f t="shared" si="90"/>
        <v>27000</v>
      </c>
      <c r="BA71" s="363">
        <f t="shared" si="90"/>
        <v>46650</v>
      </c>
      <c r="BB71" s="1119">
        <f t="shared" si="90"/>
        <v>46650</v>
      </c>
      <c r="BC71" s="367">
        <f t="shared" si="90"/>
        <v>51600</v>
      </c>
      <c r="BD71" s="363">
        <f t="shared" si="90"/>
        <v>51600</v>
      </c>
      <c r="BE71" s="363">
        <f t="shared" si="90"/>
        <v>51600</v>
      </c>
      <c r="BF71" s="363">
        <f t="shared" si="90"/>
        <v>51600</v>
      </c>
      <c r="BG71" s="363">
        <f t="shared" si="90"/>
        <v>49200</v>
      </c>
      <c r="BH71" s="369">
        <f t="shared" si="90"/>
        <v>49200</v>
      </c>
      <c r="BI71" s="367">
        <f t="shared" si="90"/>
        <v>49800</v>
      </c>
      <c r="BJ71" s="363">
        <f t="shared" si="90"/>
        <v>49800</v>
      </c>
      <c r="BK71" s="363">
        <f t="shared" si="90"/>
        <v>3900</v>
      </c>
      <c r="BL71" s="363">
        <f t="shared" si="90"/>
        <v>3900</v>
      </c>
      <c r="BM71" s="363">
        <f t="shared" si="90"/>
        <v>0</v>
      </c>
      <c r="BN71" s="369">
        <f t="shared" si="90"/>
        <v>0</v>
      </c>
      <c r="BO71" s="367">
        <f t="shared" si="90"/>
        <v>0</v>
      </c>
      <c r="BP71" s="363">
        <f t="shared" si="90"/>
        <v>0</v>
      </c>
      <c r="BQ71" s="363">
        <f t="shared" si="90"/>
        <v>0</v>
      </c>
      <c r="BR71" s="363">
        <f t="shared" si="90"/>
        <v>0</v>
      </c>
      <c r="BS71" s="363">
        <f t="shared" si="90"/>
        <v>0</v>
      </c>
      <c r="BT71" s="280">
        <f t="shared" si="90"/>
        <v>0</v>
      </c>
    </row>
    <row r="72" spans="1:72" s="313" customFormat="1" ht="51" outlineLevel="1">
      <c r="A72" s="287">
        <v>62</v>
      </c>
      <c r="B72" s="1286"/>
      <c r="C72" s="840"/>
      <c r="D72" s="853" t="s">
        <v>207</v>
      </c>
      <c r="E72" s="839"/>
      <c r="F72" s="821" t="s">
        <v>7</v>
      </c>
      <c r="G72" s="314">
        <v>4</v>
      </c>
      <c r="H72" s="739" t="s">
        <v>71</v>
      </c>
      <c r="I72" s="739">
        <v>244</v>
      </c>
      <c r="J72" s="740">
        <v>226</v>
      </c>
      <c r="K72" s="533" t="s">
        <v>267</v>
      </c>
      <c r="L72" s="1025">
        <v>279750</v>
      </c>
      <c r="M72" s="318"/>
      <c r="N72" s="318">
        <v>156000</v>
      </c>
      <c r="O72" s="1229">
        <f t="shared" si="21"/>
        <v>435750</v>
      </c>
      <c r="P72" s="559"/>
      <c r="Q72" s="336">
        <v>215351.84</v>
      </c>
      <c r="R72" s="559"/>
      <c r="S72" s="336">
        <v>185247.25</v>
      </c>
      <c r="T72" s="559"/>
      <c r="U72" s="335"/>
      <c r="V72" s="1226" t="s">
        <v>268</v>
      </c>
      <c r="W72" s="1227" t="s">
        <v>465</v>
      </c>
      <c r="X72" s="1227" t="s">
        <v>416</v>
      </c>
      <c r="Z72" s="336">
        <f t="shared" si="68"/>
        <v>73650</v>
      </c>
      <c r="AA72" s="337">
        <f t="shared" si="68"/>
        <v>73650</v>
      </c>
      <c r="AB72" s="338">
        <f>Z72-AA72</f>
        <v>0</v>
      </c>
      <c r="AC72" s="336">
        <f t="shared" si="70"/>
        <v>152400</v>
      </c>
      <c r="AD72" s="337">
        <f t="shared" si="70"/>
        <v>152400</v>
      </c>
      <c r="AE72" s="338">
        <f>AC72-AD72</f>
        <v>0</v>
      </c>
      <c r="AF72" s="336">
        <f t="shared" si="72"/>
        <v>53700</v>
      </c>
      <c r="AG72" s="337">
        <f t="shared" si="72"/>
        <v>53700</v>
      </c>
      <c r="AH72" s="338">
        <f>AF72-AG72</f>
        <v>0</v>
      </c>
      <c r="AI72" s="336">
        <f t="shared" si="74"/>
        <v>0</v>
      </c>
      <c r="AJ72" s="337">
        <f t="shared" si="74"/>
        <v>0</v>
      </c>
      <c r="AK72" s="338">
        <f>AI72-AJ72</f>
        <v>0</v>
      </c>
      <c r="AL72" s="342"/>
      <c r="AM72" s="336">
        <f t="shared" si="76"/>
        <v>226050</v>
      </c>
      <c r="AN72" s="339">
        <f t="shared" si="76"/>
        <v>226050</v>
      </c>
      <c r="AO72" s="340">
        <f>AM72-AN72</f>
        <v>0</v>
      </c>
      <c r="AP72" s="336">
        <f t="shared" si="78"/>
        <v>279750</v>
      </c>
      <c r="AQ72" s="339">
        <f t="shared" si="78"/>
        <v>279750</v>
      </c>
      <c r="AR72" s="340">
        <f>AP72-AQ72</f>
        <v>0</v>
      </c>
      <c r="AS72" s="341">
        <f t="shared" si="80"/>
        <v>279750</v>
      </c>
      <c r="AT72" s="339">
        <f t="shared" si="80"/>
        <v>279750</v>
      </c>
      <c r="AU72" s="340">
        <f>AS72-AT72</f>
        <v>0</v>
      </c>
      <c r="AV72" s="1255">
        <f t="shared" si="20"/>
        <v>0</v>
      </c>
      <c r="AW72" s="343"/>
      <c r="AX72" s="1098"/>
      <c r="AY72" s="1217">
        <f>150*12*15</f>
        <v>27000</v>
      </c>
      <c r="AZ72" s="1218">
        <v>27000</v>
      </c>
      <c r="BA72" s="1217">
        <v>46650</v>
      </c>
      <c r="BB72" s="1219">
        <f>46200+450</f>
        <v>46650</v>
      </c>
      <c r="BC72" s="1220">
        <f>150*12*26+150*4*8</f>
        <v>51600</v>
      </c>
      <c r="BD72" s="1221">
        <v>51600</v>
      </c>
      <c r="BE72" s="1222">
        <f>150*12*26+150*4*8</f>
        <v>51600</v>
      </c>
      <c r="BF72" s="1221">
        <v>51600</v>
      </c>
      <c r="BG72" s="1222">
        <f>150*12*24+150*5*8</f>
        <v>49200</v>
      </c>
      <c r="BH72" s="1223">
        <v>49200</v>
      </c>
      <c r="BI72" s="1224">
        <f>150*12*25+150*3*8+150*2*4</f>
        <v>49800</v>
      </c>
      <c r="BJ72" s="1225">
        <v>49800</v>
      </c>
      <c r="BK72" s="1224">
        <f>300+3600</f>
        <v>3900</v>
      </c>
      <c r="BL72" s="1225">
        <v>3900</v>
      </c>
      <c r="BM72" s="622"/>
      <c r="BN72" s="353"/>
      <c r="BO72" s="354"/>
      <c r="BP72" s="355"/>
      <c r="BQ72" s="356"/>
      <c r="BR72" s="355"/>
      <c r="BS72" s="356"/>
      <c r="BT72" s="357"/>
    </row>
    <row r="73" spans="1:72" s="358" customFormat="1" ht="60" customHeight="1">
      <c r="A73" s="287">
        <v>63</v>
      </c>
      <c r="B73" s="933"/>
      <c r="C73" s="850" t="s">
        <v>377</v>
      </c>
      <c r="D73" s="838"/>
      <c r="E73" s="836" t="s">
        <v>201</v>
      </c>
      <c r="F73" s="820" t="s">
        <v>7</v>
      </c>
      <c r="G73" s="360">
        <v>4</v>
      </c>
      <c r="H73" s="360" t="s">
        <v>71</v>
      </c>
      <c r="I73" s="360">
        <v>244</v>
      </c>
      <c r="J73" s="361">
        <v>226</v>
      </c>
      <c r="K73" s="532" t="s">
        <v>170</v>
      </c>
      <c r="L73" s="1023">
        <f>SUM(L74:L87)</f>
        <v>439218.61</v>
      </c>
      <c r="M73" s="363"/>
      <c r="N73" s="363">
        <f>SUM(N74:N87)</f>
        <v>676598.75</v>
      </c>
      <c r="O73" s="1051">
        <f>L73+N73</f>
        <v>1115817.3600000001</v>
      </c>
      <c r="P73" s="557"/>
      <c r="Q73" s="367">
        <f>SUM(Q74:Q87)</f>
        <v>515206.86</v>
      </c>
      <c r="R73" s="557"/>
      <c r="S73" s="367">
        <f>SUM(S74:S87)</f>
        <v>515206.86</v>
      </c>
      <c r="T73" s="557"/>
      <c r="U73" s="365"/>
      <c r="V73" s="366"/>
      <c r="W73" s="366"/>
      <c r="X73" s="366"/>
      <c r="Z73" s="367">
        <f t="shared" si="59"/>
        <v>64599.96</v>
      </c>
      <c r="AA73" s="363">
        <f t="shared" si="59"/>
        <v>64599.96</v>
      </c>
      <c r="AB73" s="280">
        <f t="shared" si="7"/>
        <v>0</v>
      </c>
      <c r="AC73" s="367">
        <f t="shared" si="60"/>
        <v>91490.69</v>
      </c>
      <c r="AD73" s="363">
        <f t="shared" si="60"/>
        <v>68157.36</v>
      </c>
      <c r="AE73" s="280">
        <f t="shared" si="9"/>
        <v>23333.33</v>
      </c>
      <c r="AF73" s="367">
        <f t="shared" si="61"/>
        <v>130921.44</v>
      </c>
      <c r="AG73" s="363">
        <f t="shared" si="61"/>
        <v>28896.45</v>
      </c>
      <c r="AH73" s="280">
        <f t="shared" si="11"/>
        <v>102024.99</v>
      </c>
      <c r="AI73" s="367">
        <f t="shared" si="62"/>
        <v>426713.97</v>
      </c>
      <c r="AJ73" s="363">
        <f t="shared" si="62"/>
        <v>37765.5</v>
      </c>
      <c r="AK73" s="280">
        <f t="shared" si="13"/>
        <v>388948.47</v>
      </c>
      <c r="AL73" s="368"/>
      <c r="AM73" s="367">
        <f t="shared" si="63"/>
        <v>156090.65</v>
      </c>
      <c r="AN73" s="363">
        <f t="shared" si="63"/>
        <v>132757.32</v>
      </c>
      <c r="AO73" s="280">
        <f t="shared" si="15"/>
        <v>23333.33</v>
      </c>
      <c r="AP73" s="367">
        <f t="shared" si="64"/>
        <v>287012.09000000003</v>
      </c>
      <c r="AQ73" s="363">
        <f t="shared" si="64"/>
        <v>161653.76999999999</v>
      </c>
      <c r="AR73" s="280">
        <f t="shared" si="17"/>
        <v>125358.32</v>
      </c>
      <c r="AS73" s="367">
        <f t="shared" si="22"/>
        <v>713726.06</v>
      </c>
      <c r="AT73" s="363">
        <f t="shared" si="18"/>
        <v>199419.27</v>
      </c>
      <c r="AU73" s="280">
        <f t="shared" si="19"/>
        <v>514306.79</v>
      </c>
      <c r="AV73" s="1253">
        <f t="shared" si="20"/>
        <v>-274507.45</v>
      </c>
      <c r="AW73" s="367">
        <f t="shared" ref="AW73:BT73" si="91">SUM(AW74:AW87)</f>
        <v>0</v>
      </c>
      <c r="AX73" s="1097">
        <f t="shared" si="91"/>
        <v>0</v>
      </c>
      <c r="AY73" s="363">
        <f t="shared" si="91"/>
        <v>16828.080000000002</v>
      </c>
      <c r="AZ73" s="1097">
        <f t="shared" si="91"/>
        <v>16828.080000000002</v>
      </c>
      <c r="BA73" s="363">
        <f t="shared" si="91"/>
        <v>47771.88</v>
      </c>
      <c r="BB73" s="1119">
        <f t="shared" si="91"/>
        <v>47771.88</v>
      </c>
      <c r="BC73" s="367">
        <f t="shared" si="91"/>
        <v>32989.68</v>
      </c>
      <c r="BD73" s="363">
        <f t="shared" si="91"/>
        <v>17989.68</v>
      </c>
      <c r="BE73" s="363">
        <f t="shared" si="91"/>
        <v>32917.08</v>
      </c>
      <c r="BF73" s="363">
        <f t="shared" si="91"/>
        <v>47917.08</v>
      </c>
      <c r="BG73" s="363">
        <f t="shared" si="91"/>
        <v>25583.93</v>
      </c>
      <c r="BH73" s="369">
        <f t="shared" si="91"/>
        <v>2250.6</v>
      </c>
      <c r="BI73" s="367">
        <f t="shared" si="91"/>
        <v>57900.33</v>
      </c>
      <c r="BJ73" s="363">
        <f t="shared" si="91"/>
        <v>2178</v>
      </c>
      <c r="BK73" s="363">
        <f t="shared" si="91"/>
        <v>47619.18</v>
      </c>
      <c r="BL73" s="363">
        <f t="shared" si="91"/>
        <v>24467.85</v>
      </c>
      <c r="BM73" s="363">
        <f t="shared" si="91"/>
        <v>25401.93</v>
      </c>
      <c r="BN73" s="369">
        <f t="shared" si="91"/>
        <v>2250.6</v>
      </c>
      <c r="BO73" s="367">
        <f t="shared" si="91"/>
        <v>328363.53000000003</v>
      </c>
      <c r="BP73" s="363">
        <f t="shared" si="91"/>
        <v>22947.5</v>
      </c>
      <c r="BQ73" s="363">
        <f t="shared" si="91"/>
        <v>32807.68</v>
      </c>
      <c r="BR73" s="363">
        <f t="shared" si="91"/>
        <v>14818</v>
      </c>
      <c r="BS73" s="363">
        <f t="shared" si="91"/>
        <v>65542.759999999995</v>
      </c>
      <c r="BT73" s="280">
        <f t="shared" si="91"/>
        <v>0</v>
      </c>
    </row>
    <row r="74" spans="1:72" s="313" customFormat="1" ht="63.75" outlineLevel="1">
      <c r="A74" s="287">
        <v>64</v>
      </c>
      <c r="B74" s="933"/>
      <c r="C74" s="840"/>
      <c r="D74" s="841"/>
      <c r="E74" s="839"/>
      <c r="F74" s="821" t="s">
        <v>7</v>
      </c>
      <c r="G74" s="314">
        <v>4</v>
      </c>
      <c r="H74" s="739" t="s">
        <v>71</v>
      </c>
      <c r="I74" s="739">
        <v>244</v>
      </c>
      <c r="J74" s="740">
        <v>226</v>
      </c>
      <c r="K74" s="533" t="s">
        <v>447</v>
      </c>
      <c r="L74" s="1025">
        <f>17950.7+7386.7</f>
        <v>25337.4</v>
      </c>
      <c r="M74" s="318"/>
      <c r="N74" s="318"/>
      <c r="O74" s="1052">
        <f t="shared" si="21"/>
        <v>25337.4</v>
      </c>
      <c r="P74" s="559"/>
      <c r="Q74" s="336">
        <v>17950.7</v>
      </c>
      <c r="R74" s="559"/>
      <c r="S74" s="336">
        <v>17950.7</v>
      </c>
      <c r="T74" s="559"/>
      <c r="U74" s="335"/>
      <c r="V74" s="801" t="s">
        <v>448</v>
      </c>
      <c r="W74" s="801" t="s">
        <v>474</v>
      </c>
      <c r="X74" s="801" t="s">
        <v>446</v>
      </c>
      <c r="Z74" s="336">
        <f t="shared" si="59"/>
        <v>3121.8</v>
      </c>
      <c r="AA74" s="337">
        <f t="shared" si="59"/>
        <v>3121.8</v>
      </c>
      <c r="AB74" s="338">
        <f t="shared" si="7"/>
        <v>0</v>
      </c>
      <c r="AC74" s="336">
        <f t="shared" si="60"/>
        <v>6679.2</v>
      </c>
      <c r="AD74" s="337">
        <f t="shared" si="60"/>
        <v>6679.2</v>
      </c>
      <c r="AE74" s="338">
        <f t="shared" si="9"/>
        <v>0</v>
      </c>
      <c r="AF74" s="336">
        <f t="shared" si="61"/>
        <v>6679.2</v>
      </c>
      <c r="AG74" s="337">
        <f t="shared" si="61"/>
        <v>6679.2</v>
      </c>
      <c r="AH74" s="338">
        <f t="shared" si="11"/>
        <v>0</v>
      </c>
      <c r="AI74" s="336">
        <f t="shared" si="62"/>
        <v>8857.2000000000007</v>
      </c>
      <c r="AJ74" s="337">
        <f t="shared" si="62"/>
        <v>0</v>
      </c>
      <c r="AK74" s="338">
        <f t="shared" si="13"/>
        <v>8857.2000000000007</v>
      </c>
      <c r="AL74" s="342"/>
      <c r="AM74" s="336">
        <f t="shared" si="63"/>
        <v>9801</v>
      </c>
      <c r="AN74" s="339">
        <f t="shared" si="63"/>
        <v>9801</v>
      </c>
      <c r="AO74" s="340">
        <f t="shared" si="15"/>
        <v>0</v>
      </c>
      <c r="AP74" s="336">
        <f t="shared" si="64"/>
        <v>16480.2</v>
      </c>
      <c r="AQ74" s="339">
        <f t="shared" si="64"/>
        <v>16480.2</v>
      </c>
      <c r="AR74" s="340">
        <f t="shared" si="17"/>
        <v>0</v>
      </c>
      <c r="AS74" s="341">
        <f t="shared" si="22"/>
        <v>25337.4</v>
      </c>
      <c r="AT74" s="339">
        <f t="shared" si="18"/>
        <v>16480.2</v>
      </c>
      <c r="AU74" s="340">
        <f t="shared" si="19"/>
        <v>8857.2000000000007</v>
      </c>
      <c r="AV74" s="1258">
        <f t="shared" si="20"/>
        <v>0</v>
      </c>
      <c r="AW74" s="343"/>
      <c r="AX74" s="1098"/>
      <c r="AY74" s="1217">
        <f>180*6.05</f>
        <v>1089</v>
      </c>
      <c r="AZ74" s="1218">
        <v>1089</v>
      </c>
      <c r="BA74" s="1217">
        <f>336*6.05</f>
        <v>2032.8</v>
      </c>
      <c r="BB74" s="1219">
        <v>2032.8</v>
      </c>
      <c r="BC74" s="1220">
        <f>372*6.05</f>
        <v>2250.6</v>
      </c>
      <c r="BD74" s="1221">
        <v>2250.6</v>
      </c>
      <c r="BE74" s="1222">
        <f>360*6.05</f>
        <v>2178</v>
      </c>
      <c r="BF74" s="1221">
        <v>2178</v>
      </c>
      <c r="BG74" s="1222">
        <f>372*6.05</f>
        <v>2250.6</v>
      </c>
      <c r="BH74" s="1223">
        <v>2250.6</v>
      </c>
      <c r="BI74" s="1224">
        <f>360*6.05</f>
        <v>2178</v>
      </c>
      <c r="BJ74" s="1225">
        <v>2178</v>
      </c>
      <c r="BK74" s="1230">
        <f>372*6.05</f>
        <v>2250.6</v>
      </c>
      <c r="BL74" s="1225">
        <v>2250.6</v>
      </c>
      <c r="BM74" s="1230">
        <f>372*6.05</f>
        <v>2250.6</v>
      </c>
      <c r="BN74" s="1293">
        <v>2250.6</v>
      </c>
      <c r="BO74" s="354">
        <f>360*6.05</f>
        <v>2178</v>
      </c>
      <c r="BP74" s="355"/>
      <c r="BQ74" s="356">
        <f>372*6.05</f>
        <v>2250.6</v>
      </c>
      <c r="BR74" s="355"/>
      <c r="BS74" s="356">
        <f>360*6.05+372*6.05</f>
        <v>4428.6000000000004</v>
      </c>
      <c r="BT74" s="357"/>
    </row>
    <row r="75" spans="1:72" s="313" customFormat="1" ht="38.25" outlineLevel="1">
      <c r="A75" s="287">
        <v>65</v>
      </c>
      <c r="B75" s="933"/>
      <c r="C75" s="840"/>
      <c r="D75" s="841"/>
      <c r="E75" s="839"/>
      <c r="F75" s="821" t="s">
        <v>7</v>
      </c>
      <c r="G75" s="314">
        <v>4</v>
      </c>
      <c r="H75" s="739" t="s">
        <v>71</v>
      </c>
      <c r="I75" s="739">
        <v>244</v>
      </c>
      <c r="J75" s="740">
        <v>226</v>
      </c>
      <c r="K75" s="533" t="s">
        <v>343</v>
      </c>
      <c r="L75" s="1025">
        <v>52171.199999999997</v>
      </c>
      <c r="M75" s="318"/>
      <c r="N75" s="318"/>
      <c r="O75" s="1052">
        <f t="shared" si="21"/>
        <v>52171.199999999997</v>
      </c>
      <c r="P75" s="559"/>
      <c r="Q75" s="336">
        <v>52171.199999999997</v>
      </c>
      <c r="R75" s="559"/>
      <c r="S75" s="336">
        <v>52171.199999999997</v>
      </c>
      <c r="T75" s="559"/>
      <c r="U75" s="335"/>
      <c r="V75" s="596" t="s">
        <v>253</v>
      </c>
      <c r="W75" s="597" t="s">
        <v>395</v>
      </c>
      <c r="X75" s="597" t="s">
        <v>381</v>
      </c>
      <c r="Z75" s="336">
        <f t="shared" si="59"/>
        <v>8695.2000000000007</v>
      </c>
      <c r="AA75" s="337">
        <f t="shared" si="59"/>
        <v>8695.2000000000007</v>
      </c>
      <c r="AB75" s="338">
        <f>Z75-AA75</f>
        <v>0</v>
      </c>
      <c r="AC75" s="336">
        <f t="shared" si="60"/>
        <v>8695.2000000000007</v>
      </c>
      <c r="AD75" s="337">
        <f t="shared" si="60"/>
        <v>8695.2000000000007</v>
      </c>
      <c r="AE75" s="338">
        <f>AC75-AD75</f>
        <v>0</v>
      </c>
      <c r="AF75" s="336">
        <f t="shared" si="61"/>
        <v>13042.8</v>
      </c>
      <c r="AG75" s="337">
        <f t="shared" si="61"/>
        <v>13042.8</v>
      </c>
      <c r="AH75" s="338">
        <f>AF75-AG75</f>
        <v>0</v>
      </c>
      <c r="AI75" s="336">
        <f t="shared" si="62"/>
        <v>21738</v>
      </c>
      <c r="AJ75" s="337">
        <f t="shared" si="62"/>
        <v>8695.2000000000007</v>
      </c>
      <c r="AK75" s="338">
        <f>AI75-AJ75</f>
        <v>13042.8</v>
      </c>
      <c r="AL75" s="342"/>
      <c r="AM75" s="336">
        <f t="shared" si="63"/>
        <v>17390.400000000001</v>
      </c>
      <c r="AN75" s="339">
        <f t="shared" si="63"/>
        <v>17390.400000000001</v>
      </c>
      <c r="AO75" s="340">
        <f>AM75-AN75</f>
        <v>0</v>
      </c>
      <c r="AP75" s="336">
        <f t="shared" si="64"/>
        <v>30433.200000000001</v>
      </c>
      <c r="AQ75" s="339">
        <f t="shared" si="64"/>
        <v>30433.200000000001</v>
      </c>
      <c r="AR75" s="340">
        <f>AP75-AQ75</f>
        <v>0</v>
      </c>
      <c r="AS75" s="341">
        <f t="shared" si="22"/>
        <v>52171.199999999997</v>
      </c>
      <c r="AT75" s="339">
        <f t="shared" si="22"/>
        <v>39128.400000000001</v>
      </c>
      <c r="AU75" s="340">
        <f>AS75-AT75</f>
        <v>13042.8</v>
      </c>
      <c r="AV75" s="1255">
        <f t="shared" si="20"/>
        <v>0</v>
      </c>
      <c r="AW75" s="1241"/>
      <c r="AX75" s="1218"/>
      <c r="AY75" s="1217">
        <v>4347.6000000000004</v>
      </c>
      <c r="AZ75" s="1218">
        <v>4347.6000000000004</v>
      </c>
      <c r="BA75" s="1217">
        <v>4347.6000000000004</v>
      </c>
      <c r="BB75" s="1219">
        <v>4347.6000000000004</v>
      </c>
      <c r="BC75" s="1220">
        <v>4347.6000000000004</v>
      </c>
      <c r="BD75" s="1221">
        <v>4347.6000000000004</v>
      </c>
      <c r="BE75" s="1222">
        <v>4347.6000000000004</v>
      </c>
      <c r="BF75" s="1221">
        <v>4347.6000000000004</v>
      </c>
      <c r="BG75" s="1222"/>
      <c r="BH75" s="1223"/>
      <c r="BI75" s="1224"/>
      <c r="BJ75" s="1225"/>
      <c r="BK75" s="1230">
        <f>4347.6*3</f>
        <v>13042.8</v>
      </c>
      <c r="BL75" s="1225">
        <f>4347.6*3</f>
        <v>13042.8</v>
      </c>
      <c r="BM75" s="337"/>
      <c r="BN75" s="353"/>
      <c r="BO75" s="1138">
        <f>4347.6*2</f>
        <v>8695.2000000000007</v>
      </c>
      <c r="BP75" s="355">
        <f>4347.6*2</f>
        <v>8695.2000000000007</v>
      </c>
      <c r="BQ75" s="356">
        <v>4347.6000000000004</v>
      </c>
      <c r="BR75" s="355"/>
      <c r="BS75" s="356">
        <f>4347.6*2</f>
        <v>8695.2000000000007</v>
      </c>
      <c r="BT75" s="357"/>
    </row>
    <row r="76" spans="1:72" s="313" customFormat="1" ht="38.25" outlineLevel="1">
      <c r="A76" s="287">
        <v>66</v>
      </c>
      <c r="B76" s="933"/>
      <c r="C76" s="840"/>
      <c r="D76" s="841"/>
      <c r="E76" s="839"/>
      <c r="F76" s="821" t="s">
        <v>7</v>
      </c>
      <c r="G76" s="314">
        <v>4</v>
      </c>
      <c r="H76" s="739" t="s">
        <v>71</v>
      </c>
      <c r="I76" s="739">
        <v>244</v>
      </c>
      <c r="J76" s="740">
        <v>226</v>
      </c>
      <c r="K76" s="533" t="s">
        <v>814</v>
      </c>
      <c r="L76" s="1025">
        <f>33361.68+4028.04-691.92</f>
        <v>36697.800000000003</v>
      </c>
      <c r="M76" s="318"/>
      <c r="N76" s="318"/>
      <c r="O76" s="1052">
        <f>L76+N76</f>
        <v>36697.800000000003</v>
      </c>
      <c r="P76" s="559"/>
      <c r="Q76" s="336">
        <v>33361.68</v>
      </c>
      <c r="R76" s="559"/>
      <c r="S76" s="336">
        <v>33361.68</v>
      </c>
      <c r="T76" s="559"/>
      <c r="U76" s="335"/>
      <c r="V76" s="596" t="s">
        <v>253</v>
      </c>
      <c r="W76" s="597" t="s">
        <v>394</v>
      </c>
      <c r="X76" s="597" t="s">
        <v>381</v>
      </c>
      <c r="Z76" s="336">
        <f t="shared" si="59"/>
        <v>6116.3</v>
      </c>
      <c r="AA76" s="337">
        <f t="shared" si="59"/>
        <v>6116.3</v>
      </c>
      <c r="AB76" s="338">
        <f>Z76-AA76</f>
        <v>0</v>
      </c>
      <c r="AC76" s="336">
        <f t="shared" si="60"/>
        <v>6116.3</v>
      </c>
      <c r="AD76" s="337">
        <f t="shared" si="60"/>
        <v>6116.3</v>
      </c>
      <c r="AE76" s="338">
        <f>AC76-AD76</f>
        <v>0</v>
      </c>
      <c r="AF76" s="336">
        <f t="shared" si="61"/>
        <v>9174.4500000000007</v>
      </c>
      <c r="AG76" s="337">
        <f t="shared" si="61"/>
        <v>9174.4500000000007</v>
      </c>
      <c r="AH76" s="338">
        <f>AF76-AG76</f>
        <v>0</v>
      </c>
      <c r="AI76" s="336">
        <f t="shared" si="62"/>
        <v>15290.75</v>
      </c>
      <c r="AJ76" s="337">
        <f t="shared" si="62"/>
        <v>6116.3</v>
      </c>
      <c r="AK76" s="338">
        <f>AI76-AJ76</f>
        <v>9174.4500000000007</v>
      </c>
      <c r="AL76" s="342"/>
      <c r="AM76" s="336">
        <f t="shared" si="63"/>
        <v>12232.6</v>
      </c>
      <c r="AN76" s="339">
        <f t="shared" si="63"/>
        <v>12232.6</v>
      </c>
      <c r="AO76" s="340">
        <f>AM76-AN76</f>
        <v>0</v>
      </c>
      <c r="AP76" s="336">
        <f t="shared" si="64"/>
        <v>21407.05</v>
      </c>
      <c r="AQ76" s="339">
        <f t="shared" si="64"/>
        <v>21407.05</v>
      </c>
      <c r="AR76" s="340">
        <f>AP76-AQ76</f>
        <v>0</v>
      </c>
      <c r="AS76" s="341">
        <f t="shared" si="22"/>
        <v>36697.800000000003</v>
      </c>
      <c r="AT76" s="339">
        <f t="shared" si="22"/>
        <v>27523.35</v>
      </c>
      <c r="AU76" s="340">
        <f>AS76-AT76</f>
        <v>9174.4500000000007</v>
      </c>
      <c r="AV76" s="1255">
        <f>L76-AS76</f>
        <v>0</v>
      </c>
      <c r="AW76" s="343"/>
      <c r="AX76" s="1098"/>
      <c r="AY76" s="1217">
        <f>104.24+2171.99+781.92</f>
        <v>3058.15</v>
      </c>
      <c r="AZ76" s="1218">
        <v>3058.15</v>
      </c>
      <c r="BA76" s="1217">
        <f>104.24+2171.99+781.92</f>
        <v>3058.15</v>
      </c>
      <c r="BB76" s="1219">
        <v>3058.15</v>
      </c>
      <c r="BC76" s="1220">
        <f>104.24+2171.99+781.92</f>
        <v>3058.15</v>
      </c>
      <c r="BD76" s="1221">
        <v>3058.15</v>
      </c>
      <c r="BE76" s="1222">
        <v>3058.15</v>
      </c>
      <c r="BF76" s="1221">
        <v>3058.15</v>
      </c>
      <c r="BG76" s="1222"/>
      <c r="BH76" s="1223"/>
      <c r="BI76" s="1224"/>
      <c r="BJ76" s="1225"/>
      <c r="BK76" s="1230">
        <f>(104.24+2171.99+781.92)*3</f>
        <v>9174.4500000000007</v>
      </c>
      <c r="BL76" s="1225">
        <f>(104.24+2171.99+781.92)*3</f>
        <v>9174.4500000000007</v>
      </c>
      <c r="BM76" s="1230"/>
      <c r="BN76" s="1293"/>
      <c r="BO76" s="1138">
        <f>(104.24+2171.99+781.92)*2</f>
        <v>6116.3</v>
      </c>
      <c r="BP76" s="355">
        <f>(104.24+2171.99+781.92)*2</f>
        <v>6116.3</v>
      </c>
      <c r="BQ76" s="356">
        <f>104.24+2171.99+781.92</f>
        <v>3058.15</v>
      </c>
      <c r="BR76" s="355"/>
      <c r="BS76" s="356">
        <f>(104.24+2171.99+781.92)*2</f>
        <v>6116.3</v>
      </c>
      <c r="BT76" s="357"/>
    </row>
    <row r="77" spans="1:72" s="313" customFormat="1" ht="25.5" outlineLevel="1">
      <c r="A77" s="287">
        <v>67</v>
      </c>
      <c r="B77" s="1287" t="s">
        <v>1122</v>
      </c>
      <c r="C77" s="840"/>
      <c r="D77" s="841"/>
      <c r="E77" s="839"/>
      <c r="F77" s="821" t="s">
        <v>7</v>
      </c>
      <c r="G77" s="314">
        <v>4</v>
      </c>
      <c r="H77" s="739" t="s">
        <v>71</v>
      </c>
      <c r="I77" s="739">
        <v>244</v>
      </c>
      <c r="J77" s="740">
        <v>226</v>
      </c>
      <c r="K77" s="533" t="s">
        <v>344</v>
      </c>
      <c r="L77" s="1025">
        <v>11515.25</v>
      </c>
      <c r="M77" s="318"/>
      <c r="N77" s="318"/>
      <c r="O77" s="1052">
        <f t="shared" si="21"/>
        <v>11515.25</v>
      </c>
      <c r="P77" s="559"/>
      <c r="Q77" s="336">
        <v>21790</v>
      </c>
      <c r="R77" s="559"/>
      <c r="S77" s="336">
        <v>21790</v>
      </c>
      <c r="T77" s="559"/>
      <c r="U77" s="335"/>
      <c r="V77" s="596" t="s">
        <v>599</v>
      </c>
      <c r="W77" s="597" t="s">
        <v>1078</v>
      </c>
      <c r="X77" s="597" t="s">
        <v>1079</v>
      </c>
      <c r="Z77" s="336">
        <f t="shared" si="59"/>
        <v>0</v>
      </c>
      <c r="AA77" s="337">
        <f t="shared" si="59"/>
        <v>0</v>
      </c>
      <c r="AB77" s="338">
        <f>Z77-AA77</f>
        <v>0</v>
      </c>
      <c r="AC77" s="336">
        <f t="shared" si="60"/>
        <v>0</v>
      </c>
      <c r="AD77" s="337">
        <f t="shared" si="60"/>
        <v>0</v>
      </c>
      <c r="AE77" s="338">
        <f>AC77-AD77</f>
        <v>0</v>
      </c>
      <c r="AF77" s="336">
        <f t="shared" si="61"/>
        <v>0</v>
      </c>
      <c r="AG77" s="337">
        <f t="shared" si="61"/>
        <v>0</v>
      </c>
      <c r="AH77" s="338">
        <f>AF77-AG77</f>
        <v>0</v>
      </c>
      <c r="AI77" s="336">
        <f t="shared" si="62"/>
        <v>8136</v>
      </c>
      <c r="AJ77" s="337">
        <f t="shared" si="62"/>
        <v>8136</v>
      </c>
      <c r="AK77" s="338">
        <f>AI77-AJ77</f>
        <v>0</v>
      </c>
      <c r="AL77" s="342"/>
      <c r="AM77" s="336">
        <f t="shared" si="63"/>
        <v>0</v>
      </c>
      <c r="AN77" s="339">
        <f t="shared" si="63"/>
        <v>0</v>
      </c>
      <c r="AO77" s="340">
        <f>AM77-AN77</f>
        <v>0</v>
      </c>
      <c r="AP77" s="336">
        <f t="shared" si="64"/>
        <v>0</v>
      </c>
      <c r="AQ77" s="339">
        <f t="shared" si="64"/>
        <v>0</v>
      </c>
      <c r="AR77" s="340">
        <f>AP77-AQ77</f>
        <v>0</v>
      </c>
      <c r="AS77" s="341">
        <f t="shared" si="22"/>
        <v>8136</v>
      </c>
      <c r="AT77" s="339">
        <f t="shared" si="22"/>
        <v>8136</v>
      </c>
      <c r="AU77" s="340">
        <f>AS77-AT77</f>
        <v>0</v>
      </c>
      <c r="AV77" s="1258">
        <f t="shared" si="20"/>
        <v>3379.25</v>
      </c>
      <c r="AW77" s="343"/>
      <c r="AX77" s="1098"/>
      <c r="AY77" s="345"/>
      <c r="AZ77" s="1098"/>
      <c r="BA77" s="345"/>
      <c r="BB77" s="1120"/>
      <c r="BC77" s="347"/>
      <c r="BD77" s="348"/>
      <c r="BE77" s="349"/>
      <c r="BF77" s="348"/>
      <c r="BG77" s="349"/>
      <c r="BH77" s="350"/>
      <c r="BI77" s="351"/>
      <c r="BJ77" s="352"/>
      <c r="BK77" s="337"/>
      <c r="BL77" s="352"/>
      <c r="BM77" s="337"/>
      <c r="BN77" s="353"/>
      <c r="BO77" s="1138">
        <v>8136</v>
      </c>
      <c r="BP77" s="355">
        <v>8136</v>
      </c>
      <c r="BQ77" s="356"/>
      <c r="BR77" s="355"/>
      <c r="BS77" s="356"/>
      <c r="BT77" s="357"/>
    </row>
    <row r="78" spans="1:72" s="313" customFormat="1" ht="25.5" outlineLevel="1">
      <c r="A78" s="287">
        <v>68</v>
      </c>
      <c r="B78" s="933"/>
      <c r="C78" s="840"/>
      <c r="D78" s="841"/>
      <c r="E78" s="839"/>
      <c r="F78" s="821" t="s">
        <v>7</v>
      </c>
      <c r="G78" s="314">
        <v>4</v>
      </c>
      <c r="H78" s="739" t="s">
        <v>71</v>
      </c>
      <c r="I78" s="739">
        <v>244</v>
      </c>
      <c r="J78" s="740">
        <v>226</v>
      </c>
      <c r="K78" s="533" t="s">
        <v>345</v>
      </c>
      <c r="L78" s="1025">
        <v>0</v>
      </c>
      <c r="M78" s="318"/>
      <c r="N78" s="318"/>
      <c r="O78" s="1052">
        <f t="shared" si="21"/>
        <v>0</v>
      </c>
      <c r="P78" s="559"/>
      <c r="Q78" s="336">
        <v>100000</v>
      </c>
      <c r="R78" s="559"/>
      <c r="S78" s="336">
        <v>100000</v>
      </c>
      <c r="T78" s="559"/>
      <c r="U78" s="335"/>
      <c r="V78" s="320" t="s">
        <v>470</v>
      </c>
      <c r="W78" s="388" t="s">
        <v>328</v>
      </c>
      <c r="X78" s="388" t="s">
        <v>329</v>
      </c>
      <c r="Z78" s="336">
        <f t="shared" si="59"/>
        <v>0</v>
      </c>
      <c r="AA78" s="337">
        <f t="shared" si="59"/>
        <v>0</v>
      </c>
      <c r="AB78" s="338">
        <f t="shared" si="7"/>
        <v>0</v>
      </c>
      <c r="AC78" s="336">
        <f t="shared" si="60"/>
        <v>0</v>
      </c>
      <c r="AD78" s="337">
        <f t="shared" si="60"/>
        <v>0</v>
      </c>
      <c r="AE78" s="338">
        <f t="shared" si="9"/>
        <v>0</v>
      </c>
      <c r="AF78" s="336">
        <f t="shared" si="61"/>
        <v>0</v>
      </c>
      <c r="AG78" s="337">
        <f t="shared" si="61"/>
        <v>0</v>
      </c>
      <c r="AH78" s="338">
        <f t="shared" si="11"/>
        <v>0</v>
      </c>
      <c r="AI78" s="336">
        <f t="shared" si="62"/>
        <v>0</v>
      </c>
      <c r="AJ78" s="337">
        <f t="shared" si="62"/>
        <v>0</v>
      </c>
      <c r="AK78" s="338">
        <f t="shared" si="13"/>
        <v>0</v>
      </c>
      <c r="AL78" s="342"/>
      <c r="AM78" s="336">
        <f t="shared" si="63"/>
        <v>0</v>
      </c>
      <c r="AN78" s="339">
        <f t="shared" si="63"/>
        <v>0</v>
      </c>
      <c r="AO78" s="340">
        <f t="shared" si="15"/>
        <v>0</v>
      </c>
      <c r="AP78" s="336">
        <f t="shared" si="64"/>
        <v>0</v>
      </c>
      <c r="AQ78" s="339">
        <f t="shared" si="64"/>
        <v>0</v>
      </c>
      <c r="AR78" s="340">
        <f t="shared" si="17"/>
        <v>0</v>
      </c>
      <c r="AS78" s="341">
        <f t="shared" si="22"/>
        <v>0</v>
      </c>
      <c r="AT78" s="339">
        <f t="shared" si="18"/>
        <v>0</v>
      </c>
      <c r="AU78" s="340">
        <f t="shared" si="19"/>
        <v>0</v>
      </c>
      <c r="AV78" s="1255">
        <f t="shared" si="20"/>
        <v>0</v>
      </c>
      <c r="AW78" s="343"/>
      <c r="AX78" s="1098"/>
      <c r="AY78" s="345"/>
      <c r="AZ78" s="1098"/>
      <c r="BA78" s="345"/>
      <c r="BB78" s="1120"/>
      <c r="BC78" s="347"/>
      <c r="BD78" s="348"/>
      <c r="BE78" s="349"/>
      <c r="BF78" s="348"/>
      <c r="BG78" s="349"/>
      <c r="BH78" s="350"/>
      <c r="BI78" s="351"/>
      <c r="BJ78" s="352"/>
      <c r="BK78" s="337"/>
      <c r="BL78" s="352"/>
      <c r="BM78" s="337"/>
      <c r="BN78" s="353"/>
      <c r="BO78" s="354"/>
      <c r="BP78" s="355"/>
      <c r="BQ78" s="356"/>
      <c r="BR78" s="355"/>
      <c r="BS78" s="356"/>
      <c r="BT78" s="357"/>
    </row>
    <row r="79" spans="1:72" s="313" customFormat="1" ht="51" outlineLevel="1">
      <c r="A79" s="287">
        <v>69</v>
      </c>
      <c r="B79" s="1287"/>
      <c r="C79" s="840"/>
      <c r="D79" s="841"/>
      <c r="E79" s="839"/>
      <c r="F79" s="821" t="s">
        <v>7</v>
      </c>
      <c r="G79" s="314">
        <v>4</v>
      </c>
      <c r="H79" s="739" t="s">
        <v>71</v>
      </c>
      <c r="I79" s="739">
        <v>244</v>
      </c>
      <c r="J79" s="740">
        <v>226</v>
      </c>
      <c r="K79" s="533" t="s">
        <v>346</v>
      </c>
      <c r="L79" s="1025">
        <v>90000</v>
      </c>
      <c r="M79" s="318"/>
      <c r="N79" s="318"/>
      <c r="O79" s="1052">
        <f t="shared" si="21"/>
        <v>90000</v>
      </c>
      <c r="P79" s="559"/>
      <c r="Q79" s="336">
        <v>0</v>
      </c>
      <c r="R79" s="559"/>
      <c r="S79" s="336">
        <v>0</v>
      </c>
      <c r="T79" s="559"/>
      <c r="U79" s="335"/>
      <c r="V79" s="596" t="s">
        <v>611</v>
      </c>
      <c r="W79" s="597" t="s">
        <v>612</v>
      </c>
      <c r="X79" s="597" t="s">
        <v>392</v>
      </c>
      <c r="Z79" s="336">
        <f t="shared" si="59"/>
        <v>30000</v>
      </c>
      <c r="AA79" s="337">
        <f t="shared" si="59"/>
        <v>30000</v>
      </c>
      <c r="AB79" s="338">
        <f t="shared" si="7"/>
        <v>0</v>
      </c>
      <c r="AC79" s="336">
        <f t="shared" si="60"/>
        <v>45000</v>
      </c>
      <c r="AD79" s="337">
        <f t="shared" si="60"/>
        <v>30000</v>
      </c>
      <c r="AE79" s="338">
        <f t="shared" si="9"/>
        <v>15000</v>
      </c>
      <c r="AF79" s="336">
        <f t="shared" si="61"/>
        <v>15000</v>
      </c>
      <c r="AG79" s="337">
        <f t="shared" si="61"/>
        <v>0</v>
      </c>
      <c r="AH79" s="338">
        <f t="shared" si="11"/>
        <v>15000</v>
      </c>
      <c r="AI79" s="336">
        <f t="shared" si="62"/>
        <v>0</v>
      </c>
      <c r="AJ79" s="337">
        <f t="shared" si="62"/>
        <v>0</v>
      </c>
      <c r="AK79" s="338">
        <f t="shared" si="13"/>
        <v>0</v>
      </c>
      <c r="AL79" s="342"/>
      <c r="AM79" s="336">
        <f t="shared" si="63"/>
        <v>75000</v>
      </c>
      <c r="AN79" s="339">
        <f t="shared" si="63"/>
        <v>60000</v>
      </c>
      <c r="AO79" s="340">
        <f t="shared" si="15"/>
        <v>15000</v>
      </c>
      <c r="AP79" s="336">
        <f t="shared" si="64"/>
        <v>90000</v>
      </c>
      <c r="AQ79" s="339">
        <f t="shared" si="64"/>
        <v>60000</v>
      </c>
      <c r="AR79" s="340">
        <f t="shared" si="17"/>
        <v>30000</v>
      </c>
      <c r="AS79" s="341">
        <f t="shared" si="22"/>
        <v>90000</v>
      </c>
      <c r="AT79" s="339">
        <f t="shared" si="22"/>
        <v>60000</v>
      </c>
      <c r="AU79" s="340">
        <f t="shared" si="19"/>
        <v>30000</v>
      </c>
      <c r="AV79" s="1255">
        <f t="shared" si="20"/>
        <v>0</v>
      </c>
      <c r="AW79" s="343"/>
      <c r="AX79" s="1098"/>
      <c r="AY79" s="345"/>
      <c r="AZ79" s="1098"/>
      <c r="BA79" s="345">
        <v>30000</v>
      </c>
      <c r="BB79" s="1120">
        <v>30000</v>
      </c>
      <c r="BC79" s="347">
        <v>15000</v>
      </c>
      <c r="BD79" s="348"/>
      <c r="BE79" s="349">
        <v>15000</v>
      </c>
      <c r="BF79" s="348">
        <v>30000</v>
      </c>
      <c r="BG79" s="349">
        <v>15000</v>
      </c>
      <c r="BH79" s="350"/>
      <c r="BI79" s="351">
        <v>15000</v>
      </c>
      <c r="BJ79" s="352"/>
      <c r="BK79" s="337"/>
      <c r="BL79" s="352"/>
      <c r="BM79" s="337"/>
      <c r="BN79" s="353"/>
      <c r="BO79" s="354"/>
      <c r="BP79" s="355"/>
      <c r="BQ79" s="356"/>
      <c r="BR79" s="355"/>
      <c r="BS79" s="356"/>
      <c r="BT79" s="357"/>
    </row>
    <row r="80" spans="1:72" s="313" customFormat="1" ht="51" outlineLevel="1">
      <c r="A80" s="287">
        <v>70</v>
      </c>
      <c r="B80" s="1286"/>
      <c r="C80" s="840"/>
      <c r="D80" s="841"/>
      <c r="E80" s="839"/>
      <c r="F80" s="821" t="s">
        <v>7</v>
      </c>
      <c r="G80" s="314">
        <v>4</v>
      </c>
      <c r="H80" s="739" t="s">
        <v>71</v>
      </c>
      <c r="I80" s="739">
        <v>244</v>
      </c>
      <c r="J80" s="740">
        <v>226</v>
      </c>
      <c r="K80" s="533" t="s">
        <v>838</v>
      </c>
      <c r="L80" s="1025">
        <v>88908</v>
      </c>
      <c r="M80" s="318"/>
      <c r="N80" s="318"/>
      <c r="O80" s="1052">
        <f t="shared" si="21"/>
        <v>88908</v>
      </c>
      <c r="P80" s="559"/>
      <c r="Q80" s="336">
        <v>180000</v>
      </c>
      <c r="R80" s="559"/>
      <c r="S80" s="336">
        <v>180000</v>
      </c>
      <c r="T80" s="559"/>
      <c r="U80" s="335"/>
      <c r="V80" s="596" t="s">
        <v>471</v>
      </c>
      <c r="W80" s="597" t="s">
        <v>873</v>
      </c>
      <c r="X80" s="597" t="s">
        <v>872</v>
      </c>
      <c r="Z80" s="336">
        <f t="shared" si="59"/>
        <v>0</v>
      </c>
      <c r="AA80" s="337">
        <f t="shared" si="59"/>
        <v>0</v>
      </c>
      <c r="AB80" s="338">
        <f t="shared" si="7"/>
        <v>0</v>
      </c>
      <c r="AC80" s="336">
        <f t="shared" si="60"/>
        <v>0</v>
      </c>
      <c r="AD80" s="337">
        <f t="shared" si="60"/>
        <v>0</v>
      </c>
      <c r="AE80" s="338">
        <f t="shared" si="9"/>
        <v>0</v>
      </c>
      <c r="AF80" s="336">
        <f t="shared" si="61"/>
        <v>29636</v>
      </c>
      <c r="AG80" s="337">
        <f t="shared" si="61"/>
        <v>0</v>
      </c>
      <c r="AH80" s="338">
        <f t="shared" si="11"/>
        <v>29636</v>
      </c>
      <c r="AI80" s="336">
        <f t="shared" si="62"/>
        <v>59272</v>
      </c>
      <c r="AJ80" s="337">
        <f t="shared" si="62"/>
        <v>14818</v>
      </c>
      <c r="AK80" s="338">
        <f t="shared" si="13"/>
        <v>44454</v>
      </c>
      <c r="AL80" s="342"/>
      <c r="AM80" s="336">
        <f t="shared" si="63"/>
        <v>0</v>
      </c>
      <c r="AN80" s="339">
        <f t="shared" si="63"/>
        <v>0</v>
      </c>
      <c r="AO80" s="340">
        <f t="shared" si="15"/>
        <v>0</v>
      </c>
      <c r="AP80" s="336">
        <f t="shared" si="64"/>
        <v>29636</v>
      </c>
      <c r="AQ80" s="339">
        <f t="shared" si="64"/>
        <v>0</v>
      </c>
      <c r="AR80" s="340">
        <f t="shared" si="17"/>
        <v>29636</v>
      </c>
      <c r="AS80" s="341">
        <f t="shared" ref="AS80:AT98" si="92">Z80+AC80+AF80+AI80</f>
        <v>88908</v>
      </c>
      <c r="AT80" s="339">
        <f t="shared" si="92"/>
        <v>14818</v>
      </c>
      <c r="AU80" s="340">
        <f t="shared" si="19"/>
        <v>74090</v>
      </c>
      <c r="AV80" s="1255">
        <f t="shared" si="20"/>
        <v>0</v>
      </c>
      <c r="AW80" s="343"/>
      <c r="AX80" s="1098"/>
      <c r="AY80" s="345"/>
      <c r="AZ80" s="1098"/>
      <c r="BA80" s="345"/>
      <c r="BB80" s="1120"/>
      <c r="BC80" s="347"/>
      <c r="BD80" s="348"/>
      <c r="BE80" s="349"/>
      <c r="BF80" s="348"/>
      <c r="BG80" s="349"/>
      <c r="BH80" s="350"/>
      <c r="BI80" s="351"/>
      <c r="BJ80" s="352"/>
      <c r="BK80" s="337">
        <v>14818</v>
      </c>
      <c r="BL80" s="352"/>
      <c r="BM80" s="337">
        <v>14818</v>
      </c>
      <c r="BN80" s="353"/>
      <c r="BO80" s="354">
        <v>14818</v>
      </c>
      <c r="BP80" s="355"/>
      <c r="BQ80" s="356">
        <v>14818</v>
      </c>
      <c r="BR80" s="355">
        <v>14818</v>
      </c>
      <c r="BS80" s="356">
        <f>14818*2</f>
        <v>29636</v>
      </c>
      <c r="BT80" s="357"/>
    </row>
    <row r="81" spans="1:72" s="313" customFormat="1" ht="38.25" outlineLevel="1">
      <c r="A81" s="287">
        <v>71</v>
      </c>
      <c r="B81" s="1286"/>
      <c r="C81" s="840"/>
      <c r="D81" s="841"/>
      <c r="E81" s="839"/>
      <c r="F81" s="821" t="s">
        <v>7</v>
      </c>
      <c r="G81" s="314">
        <v>4</v>
      </c>
      <c r="H81" s="739" t="s">
        <v>71</v>
      </c>
      <c r="I81" s="739">
        <v>244</v>
      </c>
      <c r="J81" s="740">
        <v>226</v>
      </c>
      <c r="K81" s="533" t="s">
        <v>371</v>
      </c>
      <c r="L81" s="1025">
        <f>(9933.32+691.92)-10625.24</f>
        <v>0</v>
      </c>
      <c r="M81" s="318"/>
      <c r="N81" s="318"/>
      <c r="O81" s="1052">
        <f t="shared" si="21"/>
        <v>0</v>
      </c>
      <c r="P81" s="559"/>
      <c r="Q81" s="336">
        <v>9933.32</v>
      </c>
      <c r="R81" s="559"/>
      <c r="S81" s="336">
        <v>9933.32</v>
      </c>
      <c r="T81" s="559"/>
      <c r="U81" s="335"/>
      <c r="V81" s="388" t="s">
        <v>384</v>
      </c>
      <c r="W81" s="320"/>
      <c r="X81" s="320"/>
      <c r="Z81" s="336">
        <f t="shared" si="59"/>
        <v>0</v>
      </c>
      <c r="AA81" s="337">
        <f t="shared" si="59"/>
        <v>0</v>
      </c>
      <c r="AB81" s="338">
        <f t="shared" si="7"/>
        <v>0</v>
      </c>
      <c r="AC81" s="336">
        <f t="shared" si="60"/>
        <v>0</v>
      </c>
      <c r="AD81" s="337">
        <f t="shared" si="60"/>
        <v>0</v>
      </c>
      <c r="AE81" s="338">
        <f t="shared" si="9"/>
        <v>0</v>
      </c>
      <c r="AF81" s="336">
        <f t="shared" si="61"/>
        <v>0</v>
      </c>
      <c r="AG81" s="337">
        <f t="shared" si="61"/>
        <v>0</v>
      </c>
      <c r="AH81" s="338">
        <f t="shared" si="11"/>
        <v>0</v>
      </c>
      <c r="AI81" s="336">
        <f t="shared" si="62"/>
        <v>0</v>
      </c>
      <c r="AJ81" s="337">
        <f t="shared" si="62"/>
        <v>0</v>
      </c>
      <c r="AK81" s="338">
        <f t="shared" si="13"/>
        <v>0</v>
      </c>
      <c r="AL81" s="342"/>
      <c r="AM81" s="336">
        <f t="shared" si="63"/>
        <v>0</v>
      </c>
      <c r="AN81" s="339">
        <f t="shared" si="63"/>
        <v>0</v>
      </c>
      <c r="AO81" s="340">
        <f t="shared" si="15"/>
        <v>0</v>
      </c>
      <c r="AP81" s="336">
        <f t="shared" si="64"/>
        <v>0</v>
      </c>
      <c r="AQ81" s="339">
        <f t="shared" si="64"/>
        <v>0</v>
      </c>
      <c r="AR81" s="340">
        <f t="shared" si="17"/>
        <v>0</v>
      </c>
      <c r="AS81" s="341">
        <f t="shared" si="92"/>
        <v>0</v>
      </c>
      <c r="AT81" s="339">
        <f t="shared" si="92"/>
        <v>0</v>
      </c>
      <c r="AU81" s="340">
        <f t="shared" si="19"/>
        <v>0</v>
      </c>
      <c r="AV81" s="1255">
        <f t="shared" si="20"/>
        <v>0</v>
      </c>
      <c r="AW81" s="343"/>
      <c r="AX81" s="1098"/>
      <c r="AY81" s="345"/>
      <c r="AZ81" s="1098"/>
      <c r="BA81" s="345"/>
      <c r="BB81" s="1120"/>
      <c r="BC81" s="347"/>
      <c r="BD81" s="348"/>
      <c r="BE81" s="349"/>
      <c r="BF81" s="348"/>
      <c r="BG81" s="349"/>
      <c r="BH81" s="350"/>
      <c r="BI81" s="351"/>
      <c r="BJ81" s="352"/>
      <c r="BK81" s="337"/>
      <c r="BL81" s="352"/>
      <c r="BM81" s="337"/>
      <c r="BN81" s="353"/>
      <c r="BO81" s="354"/>
      <c r="BP81" s="355"/>
      <c r="BQ81" s="356"/>
      <c r="BR81" s="355"/>
      <c r="BS81" s="356"/>
      <c r="BT81" s="357"/>
    </row>
    <row r="82" spans="1:72" s="313" customFormat="1" ht="38.25" outlineLevel="1">
      <c r="A82" s="287">
        <v>72</v>
      </c>
      <c r="B82" s="933"/>
      <c r="C82" s="840"/>
      <c r="D82" s="841"/>
      <c r="E82" s="839"/>
      <c r="F82" s="821" t="s">
        <v>7</v>
      </c>
      <c r="G82" s="314">
        <v>4</v>
      </c>
      <c r="H82" s="739" t="s">
        <v>71</v>
      </c>
      <c r="I82" s="739">
        <v>244</v>
      </c>
      <c r="J82" s="740">
        <v>226</v>
      </c>
      <c r="K82" s="533" t="s">
        <v>396</v>
      </c>
      <c r="L82" s="1025">
        <f>8333.33*12</f>
        <v>99999.96</v>
      </c>
      <c r="M82" s="318"/>
      <c r="N82" s="318"/>
      <c r="O82" s="1052">
        <f t="shared" si="21"/>
        <v>99999.96</v>
      </c>
      <c r="P82" s="559"/>
      <c r="Q82" s="336">
        <v>99999.96</v>
      </c>
      <c r="R82" s="559"/>
      <c r="S82" s="336">
        <v>99999.96</v>
      </c>
      <c r="T82" s="559"/>
      <c r="U82" s="335"/>
      <c r="V82" s="596" t="s">
        <v>331</v>
      </c>
      <c r="W82" s="597" t="s">
        <v>386</v>
      </c>
      <c r="X82" s="597" t="s">
        <v>381</v>
      </c>
      <c r="Z82" s="336">
        <f t="shared" si="59"/>
        <v>16666.66</v>
      </c>
      <c r="AA82" s="337">
        <f t="shared" si="59"/>
        <v>16666.66</v>
      </c>
      <c r="AB82" s="338">
        <f t="shared" si="7"/>
        <v>0</v>
      </c>
      <c r="AC82" s="336">
        <f t="shared" si="60"/>
        <v>24999.99</v>
      </c>
      <c r="AD82" s="337">
        <f t="shared" si="60"/>
        <v>16666.66</v>
      </c>
      <c r="AE82" s="338">
        <f t="shared" si="9"/>
        <v>8333.33</v>
      </c>
      <c r="AF82" s="336">
        <f t="shared" si="61"/>
        <v>24999.99</v>
      </c>
      <c r="AG82" s="337">
        <f t="shared" si="61"/>
        <v>0</v>
      </c>
      <c r="AH82" s="338">
        <f t="shared" si="11"/>
        <v>24999.99</v>
      </c>
      <c r="AI82" s="336">
        <f t="shared" si="62"/>
        <v>33333.32</v>
      </c>
      <c r="AJ82" s="337">
        <f t="shared" si="62"/>
        <v>0</v>
      </c>
      <c r="AK82" s="338">
        <f t="shared" si="13"/>
        <v>33333.32</v>
      </c>
      <c r="AL82" s="342"/>
      <c r="AM82" s="336">
        <f t="shared" si="63"/>
        <v>41666.65</v>
      </c>
      <c r="AN82" s="339">
        <f t="shared" si="63"/>
        <v>33333.32</v>
      </c>
      <c r="AO82" s="340">
        <f t="shared" si="15"/>
        <v>8333.33</v>
      </c>
      <c r="AP82" s="336">
        <f t="shared" si="64"/>
        <v>66666.64</v>
      </c>
      <c r="AQ82" s="339">
        <f t="shared" si="64"/>
        <v>33333.32</v>
      </c>
      <c r="AR82" s="340">
        <f t="shared" si="17"/>
        <v>33333.32</v>
      </c>
      <c r="AS82" s="341">
        <f t="shared" si="92"/>
        <v>99999.96</v>
      </c>
      <c r="AT82" s="339">
        <f t="shared" si="92"/>
        <v>33333.32</v>
      </c>
      <c r="AU82" s="340">
        <f t="shared" si="19"/>
        <v>66666.64</v>
      </c>
      <c r="AV82" s="1255">
        <f t="shared" si="20"/>
        <v>0</v>
      </c>
      <c r="AW82" s="343"/>
      <c r="AX82" s="1098"/>
      <c r="AY82" s="345">
        <v>8333.33</v>
      </c>
      <c r="AZ82" s="1098">
        <v>8333.33</v>
      </c>
      <c r="BA82" s="345">
        <v>8333.33</v>
      </c>
      <c r="BB82" s="1120">
        <v>8333.33</v>
      </c>
      <c r="BC82" s="347">
        <v>8333.33</v>
      </c>
      <c r="BD82" s="348">
        <v>8333.33</v>
      </c>
      <c r="BE82" s="349">
        <v>8333.33</v>
      </c>
      <c r="BF82" s="348">
        <v>8333.33</v>
      </c>
      <c r="BG82" s="1135">
        <v>8333.33</v>
      </c>
      <c r="BH82" s="350"/>
      <c r="BI82" s="1136">
        <v>8333.33</v>
      </c>
      <c r="BJ82" s="352"/>
      <c r="BK82" s="337">
        <v>8333.33</v>
      </c>
      <c r="BL82" s="352"/>
      <c r="BM82" s="337">
        <v>8333.33</v>
      </c>
      <c r="BN82" s="353"/>
      <c r="BO82" s="1138">
        <v>8333.33</v>
      </c>
      <c r="BP82" s="355"/>
      <c r="BQ82" s="356">
        <v>8333.33</v>
      </c>
      <c r="BR82" s="355"/>
      <c r="BS82" s="356">
        <f>8333.33*2</f>
        <v>16666.66</v>
      </c>
      <c r="BT82" s="357"/>
    </row>
    <row r="83" spans="1:72" s="313" customFormat="1" ht="38.25" outlineLevel="1">
      <c r="A83" s="287">
        <v>73</v>
      </c>
      <c r="B83" s="933"/>
      <c r="C83" s="840"/>
      <c r="D83" s="841"/>
      <c r="E83" s="839"/>
      <c r="F83" s="821" t="s">
        <v>7</v>
      </c>
      <c r="G83" s="314">
        <v>4</v>
      </c>
      <c r="H83" s="739" t="s">
        <v>71</v>
      </c>
      <c r="I83" s="739">
        <v>244</v>
      </c>
      <c r="J83" s="740">
        <v>226</v>
      </c>
      <c r="K83" s="533" t="s">
        <v>347</v>
      </c>
      <c r="L83" s="1025">
        <v>0</v>
      </c>
      <c r="M83" s="318"/>
      <c r="N83" s="318"/>
      <c r="O83" s="1052">
        <f t="shared" si="21"/>
        <v>0</v>
      </c>
      <c r="P83" s="559"/>
      <c r="Q83" s="336">
        <v>0</v>
      </c>
      <c r="R83" s="559"/>
      <c r="S83" s="336">
        <v>0</v>
      </c>
      <c r="T83" s="559"/>
      <c r="U83" s="335"/>
      <c r="V83" s="320" t="s">
        <v>338</v>
      </c>
      <c r="W83" s="388" t="s">
        <v>339</v>
      </c>
      <c r="X83" s="388" t="s">
        <v>340</v>
      </c>
      <c r="Z83" s="336">
        <f t="shared" si="59"/>
        <v>0</v>
      </c>
      <c r="AA83" s="337">
        <f t="shared" si="59"/>
        <v>0</v>
      </c>
      <c r="AB83" s="338">
        <f t="shared" si="7"/>
        <v>0</v>
      </c>
      <c r="AC83" s="336">
        <f t="shared" si="60"/>
        <v>0</v>
      </c>
      <c r="AD83" s="337">
        <f t="shared" si="60"/>
        <v>0</v>
      </c>
      <c r="AE83" s="338">
        <f t="shared" si="9"/>
        <v>0</v>
      </c>
      <c r="AF83" s="336">
        <f t="shared" si="61"/>
        <v>0</v>
      </c>
      <c r="AG83" s="337">
        <f t="shared" si="61"/>
        <v>0</v>
      </c>
      <c r="AH83" s="338">
        <f t="shared" si="11"/>
        <v>0</v>
      </c>
      <c r="AI83" s="336">
        <f t="shared" si="62"/>
        <v>0</v>
      </c>
      <c r="AJ83" s="337">
        <f t="shared" si="62"/>
        <v>0</v>
      </c>
      <c r="AK83" s="338">
        <f t="shared" si="13"/>
        <v>0</v>
      </c>
      <c r="AL83" s="342"/>
      <c r="AM83" s="336">
        <f t="shared" si="63"/>
        <v>0</v>
      </c>
      <c r="AN83" s="339">
        <f t="shared" si="63"/>
        <v>0</v>
      </c>
      <c r="AO83" s="340">
        <f t="shared" si="15"/>
        <v>0</v>
      </c>
      <c r="AP83" s="336">
        <f t="shared" si="64"/>
        <v>0</v>
      </c>
      <c r="AQ83" s="339">
        <f t="shared" si="64"/>
        <v>0</v>
      </c>
      <c r="AR83" s="340">
        <f t="shared" si="17"/>
        <v>0</v>
      </c>
      <c r="AS83" s="341">
        <f t="shared" si="92"/>
        <v>0</v>
      </c>
      <c r="AT83" s="339">
        <f t="shared" si="92"/>
        <v>0</v>
      </c>
      <c r="AU83" s="340">
        <f t="shared" si="19"/>
        <v>0</v>
      </c>
      <c r="AV83" s="1255">
        <f t="shared" si="20"/>
        <v>0</v>
      </c>
      <c r="AW83" s="343"/>
      <c r="AX83" s="1098"/>
      <c r="AY83" s="345"/>
      <c r="AZ83" s="1098"/>
      <c r="BA83" s="345"/>
      <c r="BB83" s="1120"/>
      <c r="BC83" s="347"/>
      <c r="BD83" s="348"/>
      <c r="BE83" s="349"/>
      <c r="BF83" s="348"/>
      <c r="BG83" s="349"/>
      <c r="BH83" s="350"/>
      <c r="BI83" s="351"/>
      <c r="BJ83" s="352"/>
      <c r="BK83" s="337"/>
      <c r="BL83" s="352"/>
      <c r="BM83" s="337"/>
      <c r="BN83" s="353"/>
      <c r="BO83" s="354"/>
      <c r="BP83" s="355"/>
      <c r="BQ83" s="356"/>
      <c r="BR83" s="355"/>
      <c r="BS83" s="356"/>
      <c r="BT83" s="357"/>
    </row>
    <row r="84" spans="1:72" s="313" customFormat="1" ht="38.25" outlineLevel="1">
      <c r="A84" s="287">
        <v>74</v>
      </c>
      <c r="B84" s="1286"/>
      <c r="C84" s="840"/>
      <c r="D84" s="841"/>
      <c r="E84" s="839"/>
      <c r="F84" s="821" t="s">
        <v>7</v>
      </c>
      <c r="G84" s="314">
        <v>4</v>
      </c>
      <c r="H84" s="739" t="s">
        <v>71</v>
      </c>
      <c r="I84" s="739">
        <v>244</v>
      </c>
      <c r="J84" s="740">
        <v>226</v>
      </c>
      <c r="K84" s="533" t="s">
        <v>891</v>
      </c>
      <c r="L84" s="1025">
        <f>21763.76+10625.24</f>
        <v>32389</v>
      </c>
      <c r="M84" s="318"/>
      <c r="N84" s="318"/>
      <c r="O84" s="1052">
        <f t="shared" si="21"/>
        <v>32389</v>
      </c>
      <c r="P84" s="559"/>
      <c r="Q84" s="336">
        <v>0</v>
      </c>
      <c r="R84" s="559"/>
      <c r="S84" s="336">
        <v>0</v>
      </c>
      <c r="T84" s="559"/>
      <c r="U84" s="335"/>
      <c r="V84" s="596" t="s">
        <v>892</v>
      </c>
      <c r="W84" s="597" t="s">
        <v>893</v>
      </c>
      <c r="X84" s="597" t="s">
        <v>894</v>
      </c>
      <c r="Z84" s="336">
        <f t="shared" si="59"/>
        <v>0</v>
      </c>
      <c r="AA84" s="337">
        <f t="shared" si="59"/>
        <v>0</v>
      </c>
      <c r="AB84" s="338">
        <f t="shared" si="7"/>
        <v>0</v>
      </c>
      <c r="AC84" s="336">
        <f t="shared" si="60"/>
        <v>0</v>
      </c>
      <c r="AD84" s="337">
        <f t="shared" si="60"/>
        <v>0</v>
      </c>
      <c r="AE84" s="338">
        <f t="shared" si="9"/>
        <v>0</v>
      </c>
      <c r="AF84" s="336">
        <f t="shared" si="61"/>
        <v>32389</v>
      </c>
      <c r="AG84" s="337">
        <f t="shared" si="61"/>
        <v>0</v>
      </c>
      <c r="AH84" s="338">
        <f t="shared" si="11"/>
        <v>32389</v>
      </c>
      <c r="AI84" s="336">
        <f t="shared" si="62"/>
        <v>0</v>
      </c>
      <c r="AJ84" s="337">
        <f t="shared" si="62"/>
        <v>0</v>
      </c>
      <c r="AK84" s="338">
        <f t="shared" si="13"/>
        <v>0</v>
      </c>
      <c r="AL84" s="342"/>
      <c r="AM84" s="336">
        <f t="shared" si="63"/>
        <v>0</v>
      </c>
      <c r="AN84" s="339">
        <f t="shared" si="63"/>
        <v>0</v>
      </c>
      <c r="AO84" s="340">
        <f t="shared" si="15"/>
        <v>0</v>
      </c>
      <c r="AP84" s="336">
        <f t="shared" si="64"/>
        <v>32389</v>
      </c>
      <c r="AQ84" s="339">
        <f t="shared" si="64"/>
        <v>0</v>
      </c>
      <c r="AR84" s="340">
        <f t="shared" si="17"/>
        <v>32389</v>
      </c>
      <c r="AS84" s="341">
        <f t="shared" si="92"/>
        <v>32389</v>
      </c>
      <c r="AT84" s="339">
        <f t="shared" si="92"/>
        <v>0</v>
      </c>
      <c r="AU84" s="340">
        <f t="shared" si="19"/>
        <v>32389</v>
      </c>
      <c r="AV84" s="1255">
        <f t="shared" si="20"/>
        <v>0</v>
      </c>
      <c r="AW84" s="343"/>
      <c r="AX84" s="1098"/>
      <c r="AY84" s="345"/>
      <c r="AZ84" s="1098"/>
      <c r="BA84" s="345"/>
      <c r="BB84" s="1120"/>
      <c r="BC84" s="347"/>
      <c r="BD84" s="348"/>
      <c r="BE84" s="349"/>
      <c r="BF84" s="348"/>
      <c r="BG84" s="349"/>
      <c r="BH84" s="350"/>
      <c r="BI84" s="1136">
        <v>32389</v>
      </c>
      <c r="BJ84" s="352"/>
      <c r="BK84" s="337"/>
      <c r="BL84" s="352"/>
      <c r="BM84" s="337"/>
      <c r="BN84" s="353"/>
      <c r="BO84" s="354"/>
      <c r="BP84" s="355"/>
      <c r="BQ84" s="356"/>
      <c r="BR84" s="355"/>
      <c r="BS84" s="356"/>
      <c r="BT84" s="357"/>
    </row>
    <row r="85" spans="1:72" s="313" customFormat="1" ht="25.5" outlineLevel="1">
      <c r="A85" s="287">
        <v>75</v>
      </c>
      <c r="B85" s="936"/>
      <c r="C85" s="840"/>
      <c r="D85" s="841"/>
      <c r="E85" s="839"/>
      <c r="F85" s="821" t="s">
        <v>7</v>
      </c>
      <c r="G85" s="314">
        <v>4</v>
      </c>
      <c r="H85" s="739" t="s">
        <v>71</v>
      </c>
      <c r="I85" s="739">
        <v>244</v>
      </c>
      <c r="J85" s="740">
        <v>226</v>
      </c>
      <c r="K85" s="1360" t="s">
        <v>1009</v>
      </c>
      <c r="L85" s="1025">
        <v>2200</v>
      </c>
      <c r="M85" s="318"/>
      <c r="N85" s="318"/>
      <c r="O85" s="1052">
        <f t="shared" si="21"/>
        <v>2200</v>
      </c>
      <c r="P85" s="559"/>
      <c r="Q85" s="336">
        <v>0</v>
      </c>
      <c r="R85" s="559"/>
      <c r="S85" s="336">
        <v>0</v>
      </c>
      <c r="T85" s="559"/>
      <c r="U85" s="335"/>
      <c r="V85" s="320"/>
      <c r="W85" s="811"/>
      <c r="X85" s="811"/>
      <c r="Z85" s="336">
        <f t="shared" si="59"/>
        <v>0</v>
      </c>
      <c r="AA85" s="337">
        <f t="shared" si="59"/>
        <v>0</v>
      </c>
      <c r="AB85" s="338">
        <f t="shared" si="7"/>
        <v>0</v>
      </c>
      <c r="AC85" s="336">
        <f t="shared" si="60"/>
        <v>0</v>
      </c>
      <c r="AD85" s="337">
        <f t="shared" si="60"/>
        <v>0</v>
      </c>
      <c r="AE85" s="338">
        <f t="shared" si="9"/>
        <v>0</v>
      </c>
      <c r="AF85" s="336">
        <f t="shared" si="61"/>
        <v>0</v>
      </c>
      <c r="AG85" s="337">
        <f t="shared" si="61"/>
        <v>0</v>
      </c>
      <c r="AH85" s="338">
        <f t="shared" si="11"/>
        <v>0</v>
      </c>
      <c r="AI85" s="336">
        <f t="shared" si="62"/>
        <v>2200</v>
      </c>
      <c r="AJ85" s="337">
        <f t="shared" si="62"/>
        <v>0</v>
      </c>
      <c r="AK85" s="338">
        <f t="shared" si="13"/>
        <v>2200</v>
      </c>
      <c r="AL85" s="342"/>
      <c r="AM85" s="336">
        <f t="shared" si="63"/>
        <v>0</v>
      </c>
      <c r="AN85" s="339">
        <f t="shared" si="63"/>
        <v>0</v>
      </c>
      <c r="AO85" s="340">
        <f t="shared" si="15"/>
        <v>0</v>
      </c>
      <c r="AP85" s="336">
        <f t="shared" si="64"/>
        <v>0</v>
      </c>
      <c r="AQ85" s="339">
        <f t="shared" si="64"/>
        <v>0</v>
      </c>
      <c r="AR85" s="340">
        <f t="shared" si="17"/>
        <v>0</v>
      </c>
      <c r="AS85" s="341">
        <f t="shared" si="92"/>
        <v>2200</v>
      </c>
      <c r="AT85" s="339">
        <f t="shared" si="92"/>
        <v>0</v>
      </c>
      <c r="AU85" s="340">
        <f t="shared" si="19"/>
        <v>2200</v>
      </c>
      <c r="AV85" s="1255">
        <f t="shared" si="20"/>
        <v>0</v>
      </c>
      <c r="AW85" s="343"/>
      <c r="AX85" s="1098"/>
      <c r="AY85" s="345"/>
      <c r="AZ85" s="1098"/>
      <c r="BA85" s="345"/>
      <c r="BB85" s="1120"/>
      <c r="BC85" s="347"/>
      <c r="BD85" s="348"/>
      <c r="BE85" s="349"/>
      <c r="BF85" s="348"/>
      <c r="BG85" s="349"/>
      <c r="BH85" s="350"/>
      <c r="BI85" s="1136"/>
      <c r="BJ85" s="352"/>
      <c r="BK85" s="337"/>
      <c r="BL85" s="352"/>
      <c r="BM85" s="337"/>
      <c r="BN85" s="353"/>
      <c r="BO85" s="354">
        <v>2200</v>
      </c>
      <c r="BP85" s="355"/>
      <c r="BQ85" s="356"/>
      <c r="BR85" s="355"/>
      <c r="BS85" s="356"/>
      <c r="BT85" s="357"/>
    </row>
    <row r="86" spans="1:72" s="1377" customFormat="1" ht="25.5" outlineLevel="1">
      <c r="A86" s="1361"/>
      <c r="B86" s="1362"/>
      <c r="C86" s="1363"/>
      <c r="D86" s="1364"/>
      <c r="E86" s="1364"/>
      <c r="F86" s="1365" t="s">
        <v>7</v>
      </c>
      <c r="G86" s="1366">
        <v>4</v>
      </c>
      <c r="H86" s="1367" t="s">
        <v>71</v>
      </c>
      <c r="I86" s="1367">
        <v>244</v>
      </c>
      <c r="J86" s="1368">
        <v>226</v>
      </c>
      <c r="K86" s="1369" t="s">
        <v>1191</v>
      </c>
      <c r="L86" s="1370">
        <v>0</v>
      </c>
      <c r="M86" s="1371"/>
      <c r="N86" s="1371">
        <v>295978.36</v>
      </c>
      <c r="O86" s="1372">
        <f t="shared" si="21"/>
        <v>295978.36</v>
      </c>
      <c r="P86" s="1373"/>
      <c r="Q86" s="1374">
        <v>0</v>
      </c>
      <c r="R86" s="1373"/>
      <c r="S86" s="1374">
        <v>0</v>
      </c>
      <c r="T86" s="1373"/>
      <c r="U86" s="1375"/>
      <c r="V86" s="1376"/>
      <c r="W86" s="1376"/>
      <c r="X86" s="1376"/>
      <c r="Z86" s="1374"/>
      <c r="AA86" s="1378"/>
      <c r="AB86" s="1379"/>
      <c r="AC86" s="1374"/>
      <c r="AD86" s="1378"/>
      <c r="AE86" s="1379"/>
      <c r="AF86" s="1374"/>
      <c r="AG86" s="1378"/>
      <c r="AH86" s="1379"/>
      <c r="AI86" s="1374"/>
      <c r="AJ86" s="1378"/>
      <c r="AK86" s="1379"/>
      <c r="AL86" s="1380"/>
      <c r="AM86" s="1374"/>
      <c r="AN86" s="1378"/>
      <c r="AO86" s="1379"/>
      <c r="AP86" s="1374"/>
      <c r="AQ86" s="1378"/>
      <c r="AR86" s="1379"/>
      <c r="AS86" s="1381"/>
      <c r="AT86" s="1378"/>
      <c r="AU86" s="1379"/>
      <c r="AV86" s="1382"/>
      <c r="AW86" s="1374"/>
      <c r="AX86" s="1378"/>
      <c r="AY86" s="1378"/>
      <c r="AZ86" s="1378"/>
      <c r="BA86" s="1378"/>
      <c r="BB86" s="1383"/>
      <c r="BC86" s="1374"/>
      <c r="BD86" s="1378"/>
      <c r="BE86" s="1378"/>
      <c r="BF86" s="1378"/>
      <c r="BG86" s="1378"/>
      <c r="BH86" s="1383"/>
      <c r="BI86" s="1374"/>
      <c r="BJ86" s="1378"/>
      <c r="BK86" s="1378"/>
      <c r="BL86" s="1378"/>
      <c r="BM86" s="1378"/>
      <c r="BN86" s="1383"/>
      <c r="BO86" s="1374">
        <v>277886.7</v>
      </c>
      <c r="BP86" s="1378"/>
      <c r="BQ86" s="1378"/>
      <c r="BR86" s="1378"/>
      <c r="BS86" s="1378"/>
      <c r="BT86" s="1379"/>
    </row>
    <row r="87" spans="1:72" s="1377" customFormat="1" ht="25.5" outlineLevel="1">
      <c r="A87" s="1361">
        <v>76</v>
      </c>
      <c r="B87" s="1384"/>
      <c r="C87" s="1363"/>
      <c r="D87" s="1364"/>
      <c r="E87" s="1364"/>
      <c r="F87" s="1365" t="s">
        <v>7</v>
      </c>
      <c r="G87" s="1366">
        <v>4</v>
      </c>
      <c r="H87" s="1367" t="s">
        <v>71</v>
      </c>
      <c r="I87" s="1367">
        <v>244</v>
      </c>
      <c r="J87" s="1368">
        <v>226</v>
      </c>
      <c r="K87" s="1369" t="s">
        <v>1190</v>
      </c>
      <c r="L87" s="1370">
        <v>0</v>
      </c>
      <c r="M87" s="1371"/>
      <c r="N87" s="1371">
        <f>355620.4+24999.99</f>
        <v>380620.39</v>
      </c>
      <c r="O87" s="1372">
        <f t="shared" si="21"/>
        <v>380620.39</v>
      </c>
      <c r="P87" s="1373"/>
      <c r="Q87" s="1374">
        <v>0</v>
      </c>
      <c r="R87" s="1373"/>
      <c r="S87" s="1374">
        <v>0</v>
      </c>
      <c r="T87" s="1373"/>
      <c r="U87" s="1375"/>
      <c r="V87" s="1376"/>
      <c r="W87" s="1376"/>
      <c r="X87" s="1376"/>
      <c r="Z87" s="1374">
        <f>AW87+AY87+BA87</f>
        <v>0</v>
      </c>
      <c r="AA87" s="1378">
        <f>AX87+AZ87+BB87</f>
        <v>0</v>
      </c>
      <c r="AB87" s="1379">
        <f t="shared" si="7"/>
        <v>0</v>
      </c>
      <c r="AC87" s="1374">
        <f>BC87+BE87+BG87</f>
        <v>0</v>
      </c>
      <c r="AD87" s="1378">
        <f>BD87+BF87+BH87</f>
        <v>0</v>
      </c>
      <c r="AE87" s="1379">
        <f t="shared" si="9"/>
        <v>0</v>
      </c>
      <c r="AF87" s="1374">
        <f>BI87+BK87+BM87</f>
        <v>0</v>
      </c>
      <c r="AG87" s="1378">
        <f>BJ87+BL87+BN87</f>
        <v>0</v>
      </c>
      <c r="AH87" s="1379">
        <f t="shared" si="11"/>
        <v>0</v>
      </c>
      <c r="AI87" s="1374">
        <f>BO87+BQ87+BS87</f>
        <v>0</v>
      </c>
      <c r="AJ87" s="1378">
        <f>BP87+BR87+BT87</f>
        <v>0</v>
      </c>
      <c r="AK87" s="1379">
        <f t="shared" si="13"/>
        <v>0</v>
      </c>
      <c r="AL87" s="1380"/>
      <c r="AM87" s="1374">
        <f>Z87+AC87</f>
        <v>0</v>
      </c>
      <c r="AN87" s="1378">
        <f>AA87+AD87</f>
        <v>0</v>
      </c>
      <c r="AO87" s="1379">
        <f t="shared" si="15"/>
        <v>0</v>
      </c>
      <c r="AP87" s="1374">
        <f>Z87+AC87+AF87</f>
        <v>0</v>
      </c>
      <c r="AQ87" s="1378">
        <f>AA87+AD87+AG87</f>
        <v>0</v>
      </c>
      <c r="AR87" s="1379">
        <f t="shared" si="17"/>
        <v>0</v>
      </c>
      <c r="AS87" s="1381">
        <f>Z87+AC87+AF87+AI87</f>
        <v>0</v>
      </c>
      <c r="AT87" s="1378">
        <f>AA87+AD87+AG87+AJ87</f>
        <v>0</v>
      </c>
      <c r="AU87" s="1379">
        <f t="shared" si="19"/>
        <v>0</v>
      </c>
      <c r="AV87" s="1382">
        <f t="shared" si="20"/>
        <v>0</v>
      </c>
      <c r="AW87" s="1374"/>
      <c r="AX87" s="1378"/>
      <c r="AY87" s="1378"/>
      <c r="AZ87" s="1378"/>
      <c r="BA87" s="1378"/>
      <c r="BB87" s="1383"/>
      <c r="BC87" s="1374"/>
      <c r="BD87" s="1378"/>
      <c r="BE87" s="1378"/>
      <c r="BF87" s="1378"/>
      <c r="BG87" s="1378"/>
      <c r="BH87" s="1383"/>
      <c r="BI87" s="1374"/>
      <c r="BJ87" s="1378"/>
      <c r="BK87" s="1378"/>
      <c r="BL87" s="1378"/>
      <c r="BM87" s="1378"/>
      <c r="BN87" s="1383"/>
      <c r="BO87" s="1374"/>
      <c r="BP87" s="1378"/>
      <c r="BQ87" s="1378"/>
      <c r="BR87" s="1378"/>
      <c r="BS87" s="1378"/>
      <c r="BT87" s="1379"/>
    </row>
    <row r="88" spans="1:72" s="965" customFormat="1" ht="48.75" customHeight="1">
      <c r="A88" s="287">
        <v>77</v>
      </c>
      <c r="B88" s="952"/>
      <c r="C88" s="953" t="s">
        <v>377</v>
      </c>
      <c r="D88" s="954"/>
      <c r="E88" s="955" t="s">
        <v>201</v>
      </c>
      <c r="F88" s="956" t="s">
        <v>7</v>
      </c>
      <c r="G88" s="957">
        <v>4</v>
      </c>
      <c r="H88" s="957" t="s">
        <v>266</v>
      </c>
      <c r="I88" s="957">
        <v>244</v>
      </c>
      <c r="J88" s="958">
        <v>226</v>
      </c>
      <c r="K88" s="959" t="s">
        <v>307</v>
      </c>
      <c r="L88" s="1027">
        <f>L89+L96+L105+L111+L126+L134</f>
        <v>2003787.24</v>
      </c>
      <c r="M88" s="961"/>
      <c r="N88" s="961">
        <f>N89+N96+N105+N111+N126+N134</f>
        <v>0</v>
      </c>
      <c r="O88" s="1061">
        <f t="shared" si="21"/>
        <v>2003787.24</v>
      </c>
      <c r="P88" s="962"/>
      <c r="Q88" s="960">
        <f>Q97</f>
        <v>2256788.4500000002</v>
      </c>
      <c r="R88" s="962"/>
      <c r="S88" s="960">
        <f>S97</f>
        <v>2150208.7400000002</v>
      </c>
      <c r="T88" s="962"/>
      <c r="U88" s="963"/>
      <c r="V88" s="964"/>
      <c r="W88" s="964"/>
      <c r="X88" s="964"/>
      <c r="Z88" s="960">
        <f t="shared" si="59"/>
        <v>340187.83</v>
      </c>
      <c r="AA88" s="961">
        <f t="shared" si="59"/>
        <v>0</v>
      </c>
      <c r="AB88" s="966">
        <f t="shared" si="7"/>
        <v>340187.83</v>
      </c>
      <c r="AC88" s="960">
        <f t="shared" si="60"/>
        <v>559569.35</v>
      </c>
      <c r="AD88" s="961">
        <f t="shared" si="60"/>
        <v>25300</v>
      </c>
      <c r="AE88" s="966">
        <f t="shared" si="9"/>
        <v>534269.35</v>
      </c>
      <c r="AF88" s="960">
        <f t="shared" si="61"/>
        <v>49800</v>
      </c>
      <c r="AG88" s="961">
        <f t="shared" si="61"/>
        <v>0</v>
      </c>
      <c r="AH88" s="966">
        <f t="shared" si="11"/>
        <v>49800</v>
      </c>
      <c r="AI88" s="960">
        <f t="shared" si="62"/>
        <v>777408.57</v>
      </c>
      <c r="AJ88" s="961">
        <f t="shared" si="62"/>
        <v>195900.79999999999</v>
      </c>
      <c r="AK88" s="966">
        <f t="shared" si="13"/>
        <v>581507.77</v>
      </c>
      <c r="AL88" s="967"/>
      <c r="AM88" s="960">
        <f t="shared" si="63"/>
        <v>899757.18</v>
      </c>
      <c r="AN88" s="961">
        <f t="shared" si="63"/>
        <v>25300</v>
      </c>
      <c r="AO88" s="966">
        <f t="shared" si="15"/>
        <v>874457.18</v>
      </c>
      <c r="AP88" s="960">
        <f t="shared" si="64"/>
        <v>949557.18</v>
      </c>
      <c r="AQ88" s="961">
        <f t="shared" si="64"/>
        <v>25300</v>
      </c>
      <c r="AR88" s="966">
        <f t="shared" si="17"/>
        <v>924257.18</v>
      </c>
      <c r="AS88" s="960">
        <f t="shared" si="92"/>
        <v>1726965.75</v>
      </c>
      <c r="AT88" s="961">
        <f t="shared" si="18"/>
        <v>221200.8</v>
      </c>
      <c r="AU88" s="966">
        <f t="shared" si="19"/>
        <v>1505764.95</v>
      </c>
      <c r="AV88" s="1260">
        <f t="shared" si="20"/>
        <v>276821.49</v>
      </c>
      <c r="AW88" s="960">
        <f t="shared" ref="AW88:BT88" si="93">SUM(AW96,AW89,AW105,AW111,AW126,AW134)</f>
        <v>0</v>
      </c>
      <c r="AX88" s="1109">
        <f t="shared" si="93"/>
        <v>0</v>
      </c>
      <c r="AY88" s="961">
        <f t="shared" si="93"/>
        <v>0</v>
      </c>
      <c r="AZ88" s="1109">
        <f t="shared" si="93"/>
        <v>0</v>
      </c>
      <c r="BA88" s="961">
        <f t="shared" si="93"/>
        <v>340187.83</v>
      </c>
      <c r="BB88" s="1127">
        <f t="shared" si="93"/>
        <v>0</v>
      </c>
      <c r="BC88" s="960">
        <f t="shared" si="93"/>
        <v>25300</v>
      </c>
      <c r="BD88" s="961">
        <f t="shared" si="93"/>
        <v>0</v>
      </c>
      <c r="BE88" s="961">
        <f t="shared" si="93"/>
        <v>0</v>
      </c>
      <c r="BF88" s="961">
        <f t="shared" si="93"/>
        <v>25300</v>
      </c>
      <c r="BG88" s="961">
        <f t="shared" si="93"/>
        <v>534269.35</v>
      </c>
      <c r="BH88" s="969">
        <f t="shared" si="93"/>
        <v>0</v>
      </c>
      <c r="BI88" s="960">
        <f t="shared" si="93"/>
        <v>49800</v>
      </c>
      <c r="BJ88" s="961">
        <f t="shared" si="93"/>
        <v>0</v>
      </c>
      <c r="BK88" s="961">
        <f t="shared" si="93"/>
        <v>0</v>
      </c>
      <c r="BL88" s="961">
        <f t="shared" si="93"/>
        <v>0</v>
      </c>
      <c r="BM88" s="961">
        <f t="shared" si="93"/>
        <v>0</v>
      </c>
      <c r="BN88" s="969">
        <f t="shared" si="93"/>
        <v>0</v>
      </c>
      <c r="BO88" s="960">
        <f t="shared" si="93"/>
        <v>283502</v>
      </c>
      <c r="BP88" s="961">
        <f t="shared" si="93"/>
        <v>68000</v>
      </c>
      <c r="BQ88" s="961">
        <f t="shared" si="93"/>
        <v>147900.79999999999</v>
      </c>
      <c r="BR88" s="961">
        <f t="shared" si="93"/>
        <v>127900.8</v>
      </c>
      <c r="BS88" s="961">
        <f t="shared" si="93"/>
        <v>346005.77</v>
      </c>
      <c r="BT88" s="966">
        <f t="shared" si="93"/>
        <v>0</v>
      </c>
    </row>
    <row r="89" spans="1:72" s="459" customFormat="1" ht="97.5" outlineLevel="1">
      <c r="A89" s="287">
        <v>78</v>
      </c>
      <c r="B89" s="1297"/>
      <c r="C89" s="922" t="s">
        <v>378</v>
      </c>
      <c r="D89" s="854" t="s">
        <v>273</v>
      </c>
      <c r="E89" s="855"/>
      <c r="F89" s="923" t="s">
        <v>7</v>
      </c>
      <c r="G89" s="462">
        <v>4</v>
      </c>
      <c r="H89" s="741" t="s">
        <v>70</v>
      </c>
      <c r="I89" s="741">
        <v>244</v>
      </c>
      <c r="J89" s="742">
        <v>226</v>
      </c>
      <c r="K89" s="535" t="s">
        <v>492</v>
      </c>
      <c r="L89" s="1028">
        <f>SUM(L90:L95)</f>
        <v>340187.83</v>
      </c>
      <c r="M89" s="352"/>
      <c r="N89" s="352">
        <f>SUM(N90:N95)</f>
        <v>0</v>
      </c>
      <c r="O89" s="1062">
        <f t="shared" si="21"/>
        <v>340187.83</v>
      </c>
      <c r="P89" s="924"/>
      <c r="Q89" s="464"/>
      <c r="R89" s="924"/>
      <c r="S89" s="464"/>
      <c r="T89" s="924"/>
      <c r="U89" s="925"/>
      <c r="V89" s="926"/>
      <c r="W89" s="926"/>
      <c r="X89" s="926"/>
      <c r="Y89" s="927"/>
      <c r="Z89" s="928">
        <f t="shared" si="59"/>
        <v>340187.83</v>
      </c>
      <c r="AA89" s="929">
        <f t="shared" si="59"/>
        <v>0</v>
      </c>
      <c r="AB89" s="930">
        <f t="shared" ref="AB89:AB222" si="94">Z89-AA89</f>
        <v>340187.83</v>
      </c>
      <c r="AC89" s="928">
        <f t="shared" si="60"/>
        <v>0</v>
      </c>
      <c r="AD89" s="929">
        <f t="shared" si="60"/>
        <v>0</v>
      </c>
      <c r="AE89" s="930">
        <f t="shared" ref="AE89:AE222" si="95">AC89-AD89</f>
        <v>0</v>
      </c>
      <c r="AF89" s="928">
        <f t="shared" si="61"/>
        <v>0</v>
      </c>
      <c r="AG89" s="929">
        <f t="shared" si="61"/>
        <v>0</v>
      </c>
      <c r="AH89" s="930">
        <f t="shared" ref="AH89:AH222" si="96">AF89-AG89</f>
        <v>0</v>
      </c>
      <c r="AI89" s="928">
        <f t="shared" si="62"/>
        <v>0</v>
      </c>
      <c r="AJ89" s="929">
        <f t="shared" si="62"/>
        <v>0</v>
      </c>
      <c r="AK89" s="930">
        <f t="shared" ref="AK89:AK222" si="97">AI89-AJ89</f>
        <v>0</v>
      </c>
      <c r="AL89" s="931"/>
      <c r="AM89" s="464">
        <f t="shared" si="63"/>
        <v>340187.83</v>
      </c>
      <c r="AN89" s="352">
        <f t="shared" si="63"/>
        <v>0</v>
      </c>
      <c r="AO89" s="465">
        <f t="shared" ref="AO89:AO222" si="98">AM89-AN89</f>
        <v>340187.83</v>
      </c>
      <c r="AP89" s="464">
        <f t="shared" si="64"/>
        <v>340187.83</v>
      </c>
      <c r="AQ89" s="352">
        <f t="shared" si="64"/>
        <v>0</v>
      </c>
      <c r="AR89" s="465">
        <f t="shared" ref="AR89:AR222" si="99">AP89-AQ89</f>
        <v>340187.83</v>
      </c>
      <c r="AS89" s="464">
        <f t="shared" si="92"/>
        <v>340187.83</v>
      </c>
      <c r="AT89" s="352">
        <f t="shared" si="92"/>
        <v>0</v>
      </c>
      <c r="AU89" s="465">
        <f t="shared" ref="AU89:AU220" si="100">AS89-AT89</f>
        <v>340187.83</v>
      </c>
      <c r="AV89" s="1261">
        <f t="shared" ref="AV89:AV227" si="101">L89-AS89</f>
        <v>0</v>
      </c>
      <c r="AW89" s="464">
        <f t="shared" ref="AW89:BT89" si="102">SUM(AW90:AW95)</f>
        <v>0</v>
      </c>
      <c r="AX89" s="1110">
        <f t="shared" si="102"/>
        <v>0</v>
      </c>
      <c r="AY89" s="352">
        <f t="shared" si="102"/>
        <v>0</v>
      </c>
      <c r="AZ89" s="1110">
        <f t="shared" si="102"/>
        <v>0</v>
      </c>
      <c r="BA89" s="352">
        <f t="shared" si="102"/>
        <v>340187.83</v>
      </c>
      <c r="BB89" s="1128"/>
      <c r="BC89" s="464">
        <f t="shared" si="102"/>
        <v>0</v>
      </c>
      <c r="BD89" s="352">
        <f t="shared" si="102"/>
        <v>0</v>
      </c>
      <c r="BE89" s="352">
        <f t="shared" si="102"/>
        <v>0</v>
      </c>
      <c r="BF89" s="352">
        <f t="shared" si="102"/>
        <v>0</v>
      </c>
      <c r="BG89" s="352">
        <f t="shared" si="102"/>
        <v>0</v>
      </c>
      <c r="BH89" s="353">
        <f t="shared" si="102"/>
        <v>0</v>
      </c>
      <c r="BI89" s="464">
        <f t="shared" si="102"/>
        <v>0</v>
      </c>
      <c r="BJ89" s="352">
        <f t="shared" si="102"/>
        <v>0</v>
      </c>
      <c r="BK89" s="352">
        <f t="shared" si="102"/>
        <v>0</v>
      </c>
      <c r="BL89" s="352">
        <f t="shared" si="102"/>
        <v>0</v>
      </c>
      <c r="BM89" s="352">
        <f t="shared" si="102"/>
        <v>0</v>
      </c>
      <c r="BN89" s="353">
        <f t="shared" si="102"/>
        <v>0</v>
      </c>
      <c r="BO89" s="464">
        <f t="shared" si="102"/>
        <v>0</v>
      </c>
      <c r="BP89" s="352">
        <f t="shared" si="102"/>
        <v>0</v>
      </c>
      <c r="BQ89" s="352">
        <f t="shared" si="102"/>
        <v>0</v>
      </c>
      <c r="BR89" s="352">
        <f t="shared" si="102"/>
        <v>0</v>
      </c>
      <c r="BS89" s="352">
        <f t="shared" si="102"/>
        <v>0</v>
      </c>
      <c r="BT89" s="465">
        <f t="shared" si="102"/>
        <v>0</v>
      </c>
    </row>
    <row r="90" spans="1:72" s="399" customFormat="1" ht="38.25" customHeight="1" outlineLevel="2">
      <c r="A90" s="287">
        <v>79</v>
      </c>
      <c r="B90" s="933"/>
      <c r="C90" s="859"/>
      <c r="D90" s="841" t="s">
        <v>273</v>
      </c>
      <c r="E90" s="860"/>
      <c r="F90" s="829" t="s">
        <v>7</v>
      </c>
      <c r="G90" s="400">
        <v>4</v>
      </c>
      <c r="H90" s="747" t="s">
        <v>70</v>
      </c>
      <c r="I90" s="747">
        <v>244</v>
      </c>
      <c r="J90" s="748">
        <v>226</v>
      </c>
      <c r="K90" s="538" t="s">
        <v>493</v>
      </c>
      <c r="L90" s="1029">
        <v>36399</v>
      </c>
      <c r="M90" s="403"/>
      <c r="N90" s="403"/>
      <c r="O90" s="1063">
        <f t="shared" si="21"/>
        <v>36399</v>
      </c>
      <c r="P90" s="565"/>
      <c r="Q90" s="406"/>
      <c r="R90" s="565"/>
      <c r="S90" s="406"/>
      <c r="T90" s="565"/>
      <c r="U90" s="428"/>
      <c r="V90" s="597" t="s">
        <v>494</v>
      </c>
      <c r="W90" s="597" t="s">
        <v>539</v>
      </c>
      <c r="X90" s="597" t="s">
        <v>540</v>
      </c>
      <c r="Z90" s="406">
        <f t="shared" si="59"/>
        <v>36399</v>
      </c>
      <c r="AA90" s="407">
        <f t="shared" si="59"/>
        <v>36399</v>
      </c>
      <c r="AB90" s="408">
        <f t="shared" si="94"/>
        <v>0</v>
      </c>
      <c r="AC90" s="406">
        <f t="shared" si="60"/>
        <v>0</v>
      </c>
      <c r="AD90" s="407">
        <f t="shared" si="60"/>
        <v>0</v>
      </c>
      <c r="AE90" s="408">
        <f t="shared" si="95"/>
        <v>0</v>
      </c>
      <c r="AF90" s="406">
        <f t="shared" si="61"/>
        <v>0</v>
      </c>
      <c r="AG90" s="407">
        <f t="shared" si="61"/>
        <v>0</v>
      </c>
      <c r="AH90" s="408">
        <f t="shared" si="96"/>
        <v>0</v>
      </c>
      <c r="AI90" s="406">
        <f t="shared" si="62"/>
        <v>0</v>
      </c>
      <c r="AJ90" s="407">
        <f t="shared" si="62"/>
        <v>0</v>
      </c>
      <c r="AK90" s="408">
        <f t="shared" si="97"/>
        <v>0</v>
      </c>
      <c r="AL90" s="409"/>
      <c r="AM90" s="406">
        <f t="shared" si="63"/>
        <v>36399</v>
      </c>
      <c r="AN90" s="410">
        <f t="shared" si="63"/>
        <v>36399</v>
      </c>
      <c r="AO90" s="411">
        <f t="shared" si="98"/>
        <v>0</v>
      </c>
      <c r="AP90" s="406">
        <f t="shared" si="64"/>
        <v>36399</v>
      </c>
      <c r="AQ90" s="410">
        <f t="shared" si="64"/>
        <v>36399</v>
      </c>
      <c r="AR90" s="411">
        <f t="shared" si="99"/>
        <v>0</v>
      </c>
      <c r="AS90" s="412">
        <f t="shared" si="92"/>
        <v>36399</v>
      </c>
      <c r="AT90" s="410">
        <f t="shared" si="92"/>
        <v>36399</v>
      </c>
      <c r="AU90" s="411">
        <f t="shared" si="100"/>
        <v>0</v>
      </c>
      <c r="AV90" s="1262">
        <f t="shared" si="101"/>
        <v>0</v>
      </c>
      <c r="AW90" s="413"/>
      <c r="AX90" s="1098"/>
      <c r="AY90" s="415"/>
      <c r="AZ90" s="1098"/>
      <c r="BA90" s="415">
        <v>36399</v>
      </c>
      <c r="BB90" s="1120">
        <v>36399</v>
      </c>
      <c r="BC90" s="417"/>
      <c r="BD90" s="418"/>
      <c r="BE90" s="419"/>
      <c r="BF90" s="418"/>
      <c r="BG90" s="419"/>
      <c r="BH90" s="420"/>
      <c r="BI90" s="421"/>
      <c r="BJ90" s="422"/>
      <c r="BK90" s="407"/>
      <c r="BL90" s="422"/>
      <c r="BM90" s="407"/>
      <c r="BN90" s="423"/>
      <c r="BO90" s="424"/>
      <c r="BP90" s="425"/>
      <c r="BQ90" s="426"/>
      <c r="BR90" s="425"/>
      <c r="BS90" s="426"/>
      <c r="BT90" s="427"/>
    </row>
    <row r="91" spans="1:72" s="399" customFormat="1" ht="38.25" customHeight="1" outlineLevel="2">
      <c r="A91" s="287">
        <v>80</v>
      </c>
      <c r="B91" s="933"/>
      <c r="C91" s="859"/>
      <c r="D91" s="841" t="s">
        <v>273</v>
      </c>
      <c r="E91" s="860"/>
      <c r="F91" s="829" t="s">
        <v>7</v>
      </c>
      <c r="G91" s="400">
        <v>4</v>
      </c>
      <c r="H91" s="747" t="s">
        <v>70</v>
      </c>
      <c r="I91" s="747">
        <v>244</v>
      </c>
      <c r="J91" s="748">
        <v>226</v>
      </c>
      <c r="K91" s="538" t="s">
        <v>504</v>
      </c>
      <c r="L91" s="1029">
        <v>126600</v>
      </c>
      <c r="M91" s="403"/>
      <c r="N91" s="403"/>
      <c r="O91" s="1063">
        <f t="shared" ref="O91:O211" si="103">L91+N91</f>
        <v>126600</v>
      </c>
      <c r="P91" s="565"/>
      <c r="Q91" s="406"/>
      <c r="R91" s="565"/>
      <c r="S91" s="406"/>
      <c r="T91" s="565"/>
      <c r="U91" s="428"/>
      <c r="V91" s="597" t="s">
        <v>592</v>
      </c>
      <c r="W91" s="597" t="s">
        <v>593</v>
      </c>
      <c r="X91" s="597" t="s">
        <v>594</v>
      </c>
      <c r="Z91" s="406">
        <f t="shared" si="59"/>
        <v>126600</v>
      </c>
      <c r="AA91" s="407">
        <f t="shared" si="59"/>
        <v>126600</v>
      </c>
      <c r="AB91" s="408">
        <f t="shared" si="94"/>
        <v>0</v>
      </c>
      <c r="AC91" s="406">
        <f t="shared" si="60"/>
        <v>0</v>
      </c>
      <c r="AD91" s="407">
        <f t="shared" si="60"/>
        <v>0</v>
      </c>
      <c r="AE91" s="408">
        <f t="shared" si="95"/>
        <v>0</v>
      </c>
      <c r="AF91" s="406">
        <f t="shared" si="61"/>
        <v>0</v>
      </c>
      <c r="AG91" s="407">
        <f t="shared" si="61"/>
        <v>0</v>
      </c>
      <c r="AH91" s="408">
        <f t="shared" si="96"/>
        <v>0</v>
      </c>
      <c r="AI91" s="406">
        <f t="shared" si="62"/>
        <v>0</v>
      </c>
      <c r="AJ91" s="407">
        <f t="shared" si="62"/>
        <v>0</v>
      </c>
      <c r="AK91" s="408">
        <f t="shared" si="97"/>
        <v>0</v>
      </c>
      <c r="AL91" s="409"/>
      <c r="AM91" s="406">
        <f t="shared" si="63"/>
        <v>126600</v>
      </c>
      <c r="AN91" s="410">
        <f t="shared" si="63"/>
        <v>126600</v>
      </c>
      <c r="AO91" s="411">
        <f t="shared" si="98"/>
        <v>0</v>
      </c>
      <c r="AP91" s="406">
        <f t="shared" si="64"/>
        <v>126600</v>
      </c>
      <c r="AQ91" s="410">
        <f t="shared" si="64"/>
        <v>126600</v>
      </c>
      <c r="AR91" s="411">
        <f t="shared" si="99"/>
        <v>0</v>
      </c>
      <c r="AS91" s="412">
        <f t="shared" si="92"/>
        <v>126600</v>
      </c>
      <c r="AT91" s="410">
        <f t="shared" si="92"/>
        <v>126600</v>
      </c>
      <c r="AU91" s="411">
        <f t="shared" si="100"/>
        <v>0</v>
      </c>
      <c r="AV91" s="1262">
        <f t="shared" si="101"/>
        <v>0</v>
      </c>
      <c r="AW91" s="413"/>
      <c r="AX91" s="1098"/>
      <c r="AY91" s="415"/>
      <c r="AZ91" s="1098"/>
      <c r="BA91" s="415">
        <v>126600</v>
      </c>
      <c r="BB91" s="1120">
        <v>126600</v>
      </c>
      <c r="BC91" s="417"/>
      <c r="BD91" s="418"/>
      <c r="BE91" s="419"/>
      <c r="BF91" s="418"/>
      <c r="BG91" s="419"/>
      <c r="BH91" s="420"/>
      <c r="BI91" s="421"/>
      <c r="BJ91" s="422"/>
      <c r="BK91" s="407"/>
      <c r="BL91" s="422"/>
      <c r="BM91" s="407"/>
      <c r="BN91" s="423"/>
      <c r="BO91" s="424"/>
      <c r="BP91" s="425"/>
      <c r="BQ91" s="426"/>
      <c r="BR91" s="425"/>
      <c r="BS91" s="426"/>
      <c r="BT91" s="427"/>
    </row>
    <row r="92" spans="1:72" s="399" customFormat="1" ht="38.25" customHeight="1" outlineLevel="2">
      <c r="A92" s="287">
        <v>81</v>
      </c>
      <c r="B92" s="933"/>
      <c r="C92" s="859"/>
      <c r="D92" s="841" t="s">
        <v>273</v>
      </c>
      <c r="E92" s="860"/>
      <c r="F92" s="829" t="s">
        <v>7</v>
      </c>
      <c r="G92" s="400">
        <v>4</v>
      </c>
      <c r="H92" s="747" t="s">
        <v>70</v>
      </c>
      <c r="I92" s="747">
        <v>244</v>
      </c>
      <c r="J92" s="748">
        <v>226</v>
      </c>
      <c r="K92" s="538" t="s">
        <v>646</v>
      </c>
      <c r="L92" s="1029">
        <v>53200</v>
      </c>
      <c r="M92" s="403"/>
      <c r="N92" s="403"/>
      <c r="O92" s="1063">
        <f t="shared" si="103"/>
        <v>53200</v>
      </c>
      <c r="P92" s="565"/>
      <c r="Q92" s="406"/>
      <c r="R92" s="565"/>
      <c r="S92" s="406"/>
      <c r="T92" s="565"/>
      <c r="U92" s="428"/>
      <c r="V92" s="597" t="s">
        <v>544</v>
      </c>
      <c r="W92" s="597" t="s">
        <v>647</v>
      </c>
      <c r="X92" s="597" t="s">
        <v>602</v>
      </c>
      <c r="Z92" s="406">
        <f t="shared" si="59"/>
        <v>53200</v>
      </c>
      <c r="AA92" s="407">
        <f t="shared" si="59"/>
        <v>53200</v>
      </c>
      <c r="AB92" s="408">
        <f t="shared" si="94"/>
        <v>0</v>
      </c>
      <c r="AC92" s="406">
        <f t="shared" si="60"/>
        <v>0</v>
      </c>
      <c r="AD92" s="407">
        <f t="shared" si="60"/>
        <v>0</v>
      </c>
      <c r="AE92" s="408">
        <f t="shared" si="95"/>
        <v>0</v>
      </c>
      <c r="AF92" s="406">
        <f t="shared" si="61"/>
        <v>0</v>
      </c>
      <c r="AG92" s="407">
        <f t="shared" si="61"/>
        <v>0</v>
      </c>
      <c r="AH92" s="408">
        <f t="shared" si="96"/>
        <v>0</v>
      </c>
      <c r="AI92" s="406">
        <f t="shared" si="62"/>
        <v>0</v>
      </c>
      <c r="AJ92" s="407">
        <f t="shared" si="62"/>
        <v>0</v>
      </c>
      <c r="AK92" s="408">
        <f t="shared" si="97"/>
        <v>0</v>
      </c>
      <c r="AL92" s="409"/>
      <c r="AM92" s="406">
        <f t="shared" si="63"/>
        <v>53200</v>
      </c>
      <c r="AN92" s="410">
        <f t="shared" si="63"/>
        <v>53200</v>
      </c>
      <c r="AO92" s="411">
        <f t="shared" si="98"/>
        <v>0</v>
      </c>
      <c r="AP92" s="406">
        <f t="shared" si="64"/>
        <v>53200</v>
      </c>
      <c r="AQ92" s="410">
        <f t="shared" si="64"/>
        <v>53200</v>
      </c>
      <c r="AR92" s="411">
        <f t="shared" si="99"/>
        <v>0</v>
      </c>
      <c r="AS92" s="412">
        <f t="shared" si="92"/>
        <v>53200</v>
      </c>
      <c r="AT92" s="410">
        <f t="shared" si="92"/>
        <v>53200</v>
      </c>
      <c r="AU92" s="411">
        <f t="shared" si="100"/>
        <v>0</v>
      </c>
      <c r="AV92" s="1262">
        <f t="shared" si="101"/>
        <v>0</v>
      </c>
      <c r="AW92" s="413"/>
      <c r="AX92" s="1098"/>
      <c r="AY92" s="415"/>
      <c r="AZ92" s="1098"/>
      <c r="BA92" s="415">
        <v>53200</v>
      </c>
      <c r="BB92" s="1120">
        <v>53200</v>
      </c>
      <c r="BC92" s="417"/>
      <c r="BD92" s="418"/>
      <c r="BE92" s="419"/>
      <c r="BF92" s="418"/>
      <c r="BG92" s="419"/>
      <c r="BH92" s="420"/>
      <c r="BI92" s="421"/>
      <c r="BJ92" s="422"/>
      <c r="BK92" s="407"/>
      <c r="BL92" s="422"/>
      <c r="BM92" s="407"/>
      <c r="BN92" s="423"/>
      <c r="BO92" s="424"/>
      <c r="BP92" s="425"/>
      <c r="BQ92" s="426"/>
      <c r="BR92" s="425"/>
      <c r="BS92" s="426"/>
      <c r="BT92" s="427"/>
    </row>
    <row r="93" spans="1:72" s="399" customFormat="1" ht="38.25" customHeight="1" outlineLevel="2">
      <c r="A93" s="287">
        <v>82</v>
      </c>
      <c r="B93" s="933"/>
      <c r="C93" s="859"/>
      <c r="D93" s="841" t="s">
        <v>273</v>
      </c>
      <c r="E93" s="860"/>
      <c r="F93" s="829" t="s">
        <v>7</v>
      </c>
      <c r="G93" s="400">
        <v>4</v>
      </c>
      <c r="H93" s="747" t="s">
        <v>70</v>
      </c>
      <c r="I93" s="747">
        <v>244</v>
      </c>
      <c r="J93" s="748">
        <v>226</v>
      </c>
      <c r="K93" s="538" t="s">
        <v>545</v>
      </c>
      <c r="L93" s="1029">
        <v>95800</v>
      </c>
      <c r="M93" s="403"/>
      <c r="N93" s="403"/>
      <c r="O93" s="1063">
        <f t="shared" si="103"/>
        <v>95800</v>
      </c>
      <c r="P93" s="565"/>
      <c r="Q93" s="406"/>
      <c r="R93" s="565"/>
      <c r="S93" s="406"/>
      <c r="T93" s="565"/>
      <c r="U93" s="428"/>
      <c r="V93" s="597" t="s">
        <v>659</v>
      </c>
      <c r="W93" s="597" t="s">
        <v>658</v>
      </c>
      <c r="X93" s="597" t="s">
        <v>660</v>
      </c>
      <c r="Z93" s="406">
        <f t="shared" si="59"/>
        <v>95800</v>
      </c>
      <c r="AA93" s="407">
        <f t="shared" si="59"/>
        <v>95800</v>
      </c>
      <c r="AB93" s="408">
        <f t="shared" si="94"/>
        <v>0</v>
      </c>
      <c r="AC93" s="406">
        <f t="shared" si="60"/>
        <v>0</v>
      </c>
      <c r="AD93" s="407">
        <f t="shared" si="60"/>
        <v>0</v>
      </c>
      <c r="AE93" s="408">
        <f t="shared" si="95"/>
        <v>0</v>
      </c>
      <c r="AF93" s="406">
        <f t="shared" si="61"/>
        <v>0</v>
      </c>
      <c r="AG93" s="407">
        <f t="shared" si="61"/>
        <v>0</v>
      </c>
      <c r="AH93" s="408">
        <f t="shared" si="96"/>
        <v>0</v>
      </c>
      <c r="AI93" s="406">
        <f t="shared" si="62"/>
        <v>0</v>
      </c>
      <c r="AJ93" s="407">
        <f t="shared" si="62"/>
        <v>0</v>
      </c>
      <c r="AK93" s="408">
        <f t="shared" si="97"/>
        <v>0</v>
      </c>
      <c r="AL93" s="409"/>
      <c r="AM93" s="406">
        <f t="shared" si="63"/>
        <v>95800</v>
      </c>
      <c r="AN93" s="410">
        <f t="shared" si="63"/>
        <v>95800</v>
      </c>
      <c r="AO93" s="411">
        <f t="shared" si="98"/>
        <v>0</v>
      </c>
      <c r="AP93" s="406">
        <f t="shared" si="64"/>
        <v>95800</v>
      </c>
      <c r="AQ93" s="410">
        <f t="shared" si="64"/>
        <v>95800</v>
      </c>
      <c r="AR93" s="411">
        <f t="shared" si="99"/>
        <v>0</v>
      </c>
      <c r="AS93" s="412">
        <f t="shared" si="92"/>
        <v>95800</v>
      </c>
      <c r="AT93" s="410">
        <f t="shared" si="92"/>
        <v>95800</v>
      </c>
      <c r="AU93" s="411">
        <f t="shared" si="100"/>
        <v>0</v>
      </c>
      <c r="AV93" s="1262">
        <f t="shared" si="101"/>
        <v>0</v>
      </c>
      <c r="AW93" s="413"/>
      <c r="AX93" s="1098"/>
      <c r="AY93" s="415"/>
      <c r="AZ93" s="1098"/>
      <c r="BA93" s="415">
        <v>95800</v>
      </c>
      <c r="BB93" s="1120">
        <v>95800</v>
      </c>
      <c r="BC93" s="417"/>
      <c r="BD93" s="418"/>
      <c r="BE93" s="419"/>
      <c r="BF93" s="418"/>
      <c r="BG93" s="419"/>
      <c r="BH93" s="420"/>
      <c r="BI93" s="421"/>
      <c r="BJ93" s="422"/>
      <c r="BK93" s="407"/>
      <c r="BL93" s="422"/>
      <c r="BM93" s="407"/>
      <c r="BN93" s="423"/>
      <c r="BO93" s="424"/>
      <c r="BP93" s="425"/>
      <c r="BQ93" s="426"/>
      <c r="BR93" s="425"/>
      <c r="BS93" s="426"/>
      <c r="BT93" s="427"/>
    </row>
    <row r="94" spans="1:72" s="399" customFormat="1" ht="38.25" customHeight="1" outlineLevel="2">
      <c r="A94" s="287">
        <v>83</v>
      </c>
      <c r="B94" s="933"/>
      <c r="C94" s="859"/>
      <c r="D94" s="841" t="s">
        <v>273</v>
      </c>
      <c r="E94" s="860"/>
      <c r="F94" s="829" t="s">
        <v>7</v>
      </c>
      <c r="G94" s="400">
        <v>4</v>
      </c>
      <c r="H94" s="747" t="s">
        <v>70</v>
      </c>
      <c r="I94" s="747">
        <v>244</v>
      </c>
      <c r="J94" s="748">
        <v>226</v>
      </c>
      <c r="K94" s="538" t="s">
        <v>552</v>
      </c>
      <c r="L94" s="1029">
        <v>28188.83</v>
      </c>
      <c r="M94" s="403"/>
      <c r="N94" s="403"/>
      <c r="O94" s="1063">
        <f t="shared" si="103"/>
        <v>28188.83</v>
      </c>
      <c r="P94" s="565"/>
      <c r="Q94" s="406"/>
      <c r="R94" s="565"/>
      <c r="S94" s="406"/>
      <c r="T94" s="565"/>
      <c r="U94" s="428"/>
      <c r="V94" s="597" t="s">
        <v>553</v>
      </c>
      <c r="W94" s="597" t="s">
        <v>661</v>
      </c>
      <c r="X94" s="597" t="s">
        <v>657</v>
      </c>
      <c r="Z94" s="406">
        <f t="shared" si="59"/>
        <v>28188.83</v>
      </c>
      <c r="AA94" s="407">
        <f t="shared" si="59"/>
        <v>28188.83</v>
      </c>
      <c r="AB94" s="408">
        <f t="shared" si="94"/>
        <v>0</v>
      </c>
      <c r="AC94" s="406">
        <f t="shared" si="60"/>
        <v>0</v>
      </c>
      <c r="AD94" s="407">
        <f t="shared" si="60"/>
        <v>0</v>
      </c>
      <c r="AE94" s="408">
        <f t="shared" si="95"/>
        <v>0</v>
      </c>
      <c r="AF94" s="406">
        <f t="shared" si="61"/>
        <v>0</v>
      </c>
      <c r="AG94" s="407">
        <f t="shared" si="61"/>
        <v>0</v>
      </c>
      <c r="AH94" s="408">
        <f t="shared" si="96"/>
        <v>0</v>
      </c>
      <c r="AI94" s="406">
        <f t="shared" si="62"/>
        <v>0</v>
      </c>
      <c r="AJ94" s="407">
        <f t="shared" si="62"/>
        <v>0</v>
      </c>
      <c r="AK94" s="408">
        <f t="shared" si="97"/>
        <v>0</v>
      </c>
      <c r="AL94" s="409"/>
      <c r="AM94" s="406">
        <f t="shared" si="63"/>
        <v>28188.83</v>
      </c>
      <c r="AN94" s="410">
        <f t="shared" si="63"/>
        <v>28188.83</v>
      </c>
      <c r="AO94" s="411">
        <f t="shared" si="98"/>
        <v>0</v>
      </c>
      <c r="AP94" s="406">
        <f t="shared" si="64"/>
        <v>28188.83</v>
      </c>
      <c r="AQ94" s="410">
        <f t="shared" si="64"/>
        <v>28188.83</v>
      </c>
      <c r="AR94" s="411">
        <f t="shared" si="99"/>
        <v>0</v>
      </c>
      <c r="AS94" s="412">
        <f t="shared" si="92"/>
        <v>28188.83</v>
      </c>
      <c r="AT94" s="410">
        <f t="shared" si="92"/>
        <v>28188.83</v>
      </c>
      <c r="AU94" s="411">
        <f t="shared" si="100"/>
        <v>0</v>
      </c>
      <c r="AV94" s="1262">
        <f t="shared" si="101"/>
        <v>0</v>
      </c>
      <c r="AW94" s="413"/>
      <c r="AX94" s="1098"/>
      <c r="AY94" s="415"/>
      <c r="AZ94" s="1098"/>
      <c r="BA94" s="415">
        <v>28188.83</v>
      </c>
      <c r="BB94" s="1120">
        <v>28188.83</v>
      </c>
      <c r="BC94" s="417"/>
      <c r="BD94" s="418"/>
      <c r="BE94" s="419"/>
      <c r="BF94" s="418"/>
      <c r="BG94" s="419"/>
      <c r="BH94" s="420"/>
      <c r="BI94" s="421"/>
      <c r="BJ94" s="422"/>
      <c r="BK94" s="407"/>
      <c r="BL94" s="422"/>
      <c r="BM94" s="407"/>
      <c r="BN94" s="423"/>
      <c r="BO94" s="424"/>
      <c r="BP94" s="425"/>
      <c r="BQ94" s="426"/>
      <c r="BR94" s="425"/>
      <c r="BS94" s="426"/>
      <c r="BT94" s="427"/>
    </row>
    <row r="95" spans="1:72" s="430" customFormat="1" ht="25.5" customHeight="1" outlineLevel="2">
      <c r="A95" s="287">
        <v>84</v>
      </c>
      <c r="B95" s="933"/>
      <c r="C95" s="743"/>
      <c r="D95" s="856" t="s">
        <v>273</v>
      </c>
      <c r="E95" s="857"/>
      <c r="F95" s="827" t="s">
        <v>7</v>
      </c>
      <c r="G95" s="431">
        <v>4</v>
      </c>
      <c r="H95" s="474" t="s">
        <v>70</v>
      </c>
      <c r="I95" s="743">
        <v>244</v>
      </c>
      <c r="J95" s="744">
        <v>226</v>
      </c>
      <c r="K95" s="536" t="s">
        <v>284</v>
      </c>
      <c r="L95" s="1030"/>
      <c r="M95" s="434"/>
      <c r="N95" s="434"/>
      <c r="O95" s="1064">
        <f t="shared" si="103"/>
        <v>0</v>
      </c>
      <c r="P95" s="563"/>
      <c r="Q95" s="437"/>
      <c r="R95" s="563"/>
      <c r="S95" s="437"/>
      <c r="T95" s="563"/>
      <c r="U95" s="467"/>
      <c r="V95" s="436"/>
      <c r="W95" s="436"/>
      <c r="X95" s="436"/>
      <c r="Z95" s="437">
        <f t="shared" si="59"/>
        <v>0</v>
      </c>
      <c r="AA95" s="438">
        <f t="shared" si="59"/>
        <v>0</v>
      </c>
      <c r="AB95" s="439">
        <f t="shared" si="94"/>
        <v>0</v>
      </c>
      <c r="AC95" s="437">
        <f t="shared" si="60"/>
        <v>0</v>
      </c>
      <c r="AD95" s="438">
        <f t="shared" si="60"/>
        <v>0</v>
      </c>
      <c r="AE95" s="439">
        <f t="shared" si="95"/>
        <v>0</v>
      </c>
      <c r="AF95" s="437">
        <f t="shared" si="61"/>
        <v>0</v>
      </c>
      <c r="AG95" s="438">
        <f t="shared" si="61"/>
        <v>0</v>
      </c>
      <c r="AH95" s="439">
        <f t="shared" si="96"/>
        <v>0</v>
      </c>
      <c r="AI95" s="437">
        <f t="shared" si="62"/>
        <v>0</v>
      </c>
      <c r="AJ95" s="438">
        <f t="shared" si="62"/>
        <v>0</v>
      </c>
      <c r="AK95" s="439">
        <f t="shared" si="97"/>
        <v>0</v>
      </c>
      <c r="AL95" s="440"/>
      <c r="AM95" s="437">
        <f t="shared" si="63"/>
        <v>0</v>
      </c>
      <c r="AN95" s="441">
        <f t="shared" si="63"/>
        <v>0</v>
      </c>
      <c r="AO95" s="442">
        <f t="shared" si="98"/>
        <v>0</v>
      </c>
      <c r="AP95" s="437">
        <f t="shared" si="64"/>
        <v>0</v>
      </c>
      <c r="AQ95" s="441">
        <f t="shared" si="64"/>
        <v>0</v>
      </c>
      <c r="AR95" s="442">
        <f t="shared" si="99"/>
        <v>0</v>
      </c>
      <c r="AS95" s="443">
        <f t="shared" si="92"/>
        <v>0</v>
      </c>
      <c r="AT95" s="441">
        <f t="shared" si="92"/>
        <v>0</v>
      </c>
      <c r="AU95" s="442">
        <f t="shared" si="100"/>
        <v>0</v>
      </c>
      <c r="AV95" s="440">
        <f t="shared" si="101"/>
        <v>0</v>
      </c>
      <c r="AW95" s="444"/>
      <c r="AX95" s="1111"/>
      <c r="AY95" s="446"/>
      <c r="AZ95" s="1111"/>
      <c r="BA95" s="446"/>
      <c r="BB95" s="1129"/>
      <c r="BC95" s="448"/>
      <c r="BD95" s="449"/>
      <c r="BE95" s="450"/>
      <c r="BF95" s="449"/>
      <c r="BG95" s="450"/>
      <c r="BH95" s="451"/>
      <c r="BI95" s="452"/>
      <c r="BJ95" s="453"/>
      <c r="BK95" s="438"/>
      <c r="BL95" s="453"/>
      <c r="BM95" s="438"/>
      <c r="BN95" s="454"/>
      <c r="BO95" s="455"/>
      <c r="BP95" s="456"/>
      <c r="BQ95" s="457"/>
      <c r="BR95" s="456"/>
      <c r="BS95" s="457"/>
      <c r="BT95" s="458"/>
    </row>
    <row r="96" spans="1:72" s="459" customFormat="1" ht="66.75" outlineLevel="1">
      <c r="A96" s="287">
        <v>85</v>
      </c>
      <c r="B96" s="933"/>
      <c r="C96" s="850" t="s">
        <v>378</v>
      </c>
      <c r="D96" s="854" t="s">
        <v>807</v>
      </c>
      <c r="E96" s="855"/>
      <c r="F96" s="826" t="s">
        <v>7</v>
      </c>
      <c r="G96" s="462">
        <v>4</v>
      </c>
      <c r="H96" s="741" t="s">
        <v>70</v>
      </c>
      <c r="I96" s="741">
        <v>244</v>
      </c>
      <c r="J96" s="742">
        <v>226</v>
      </c>
      <c r="K96" s="907" t="s">
        <v>687</v>
      </c>
      <c r="L96" s="1028">
        <f>SUM(L97:L104)</f>
        <v>559569.35</v>
      </c>
      <c r="M96" s="352"/>
      <c r="N96" s="352">
        <f>SUM(N97:N104)</f>
        <v>0</v>
      </c>
      <c r="O96" s="1062">
        <f t="shared" si="103"/>
        <v>559569.35</v>
      </c>
      <c r="P96" s="561"/>
      <c r="Q96" s="464">
        <f>Q97</f>
        <v>2256788.4500000002</v>
      </c>
      <c r="R96" s="561"/>
      <c r="S96" s="464">
        <f>S97</f>
        <v>2150208.7400000002</v>
      </c>
      <c r="T96" s="561"/>
      <c r="U96" s="393"/>
      <c r="V96" s="394"/>
      <c r="W96" s="394"/>
      <c r="X96" s="394"/>
      <c r="Y96" s="392"/>
      <c r="Z96" s="395">
        <f t="shared" si="59"/>
        <v>0</v>
      </c>
      <c r="AA96" s="396">
        <f t="shared" si="59"/>
        <v>0</v>
      </c>
      <c r="AB96" s="397">
        <f t="shared" si="94"/>
        <v>0</v>
      </c>
      <c r="AC96" s="395">
        <f t="shared" si="60"/>
        <v>559569.35</v>
      </c>
      <c r="AD96" s="396">
        <f t="shared" si="60"/>
        <v>25300</v>
      </c>
      <c r="AE96" s="397">
        <f t="shared" si="95"/>
        <v>534269.35</v>
      </c>
      <c r="AF96" s="395">
        <f t="shared" si="61"/>
        <v>0</v>
      </c>
      <c r="AG96" s="396">
        <f t="shared" si="61"/>
        <v>0</v>
      </c>
      <c r="AH96" s="397">
        <f t="shared" si="96"/>
        <v>0</v>
      </c>
      <c r="AI96" s="395">
        <f t="shared" si="62"/>
        <v>0</v>
      </c>
      <c r="AJ96" s="396">
        <f t="shared" si="62"/>
        <v>0</v>
      </c>
      <c r="AK96" s="397">
        <f t="shared" si="97"/>
        <v>0</v>
      </c>
      <c r="AL96" s="398"/>
      <c r="AM96" s="464">
        <f t="shared" si="63"/>
        <v>559569.35</v>
      </c>
      <c r="AN96" s="352">
        <f t="shared" si="63"/>
        <v>25300</v>
      </c>
      <c r="AO96" s="465">
        <f t="shared" si="98"/>
        <v>534269.35</v>
      </c>
      <c r="AP96" s="464">
        <f t="shared" si="64"/>
        <v>559569.35</v>
      </c>
      <c r="AQ96" s="352">
        <f t="shared" si="64"/>
        <v>25300</v>
      </c>
      <c r="AR96" s="465">
        <f t="shared" si="99"/>
        <v>534269.35</v>
      </c>
      <c r="AS96" s="464">
        <f t="shared" si="92"/>
        <v>559569.35</v>
      </c>
      <c r="AT96" s="352">
        <f t="shared" si="92"/>
        <v>25300</v>
      </c>
      <c r="AU96" s="465">
        <f t="shared" si="100"/>
        <v>534269.35</v>
      </c>
      <c r="AV96" s="1261">
        <f t="shared" si="101"/>
        <v>0</v>
      </c>
      <c r="AW96" s="464">
        <f t="shared" ref="AW96:BT96" si="104">SUM(AW97:AW104)</f>
        <v>0</v>
      </c>
      <c r="AX96" s="1110">
        <f t="shared" si="104"/>
        <v>0</v>
      </c>
      <c r="AY96" s="352">
        <f t="shared" si="104"/>
        <v>0</v>
      </c>
      <c r="AZ96" s="1110">
        <f t="shared" si="104"/>
        <v>0</v>
      </c>
      <c r="BA96" s="352">
        <f t="shared" si="104"/>
        <v>0</v>
      </c>
      <c r="BB96" s="1128">
        <f t="shared" si="104"/>
        <v>0</v>
      </c>
      <c r="BC96" s="464">
        <f t="shared" si="104"/>
        <v>25300</v>
      </c>
      <c r="BD96" s="352">
        <f t="shared" si="104"/>
        <v>0</v>
      </c>
      <c r="BE96" s="352">
        <f t="shared" si="104"/>
        <v>0</v>
      </c>
      <c r="BF96" s="352">
        <f t="shared" si="104"/>
        <v>25300</v>
      </c>
      <c r="BG96" s="352">
        <f t="shared" si="104"/>
        <v>534269.35</v>
      </c>
      <c r="BH96" s="353">
        <f t="shared" si="104"/>
        <v>0</v>
      </c>
      <c r="BI96" s="464">
        <f t="shared" si="104"/>
        <v>0</v>
      </c>
      <c r="BJ96" s="352">
        <f t="shared" si="104"/>
        <v>0</v>
      </c>
      <c r="BK96" s="352">
        <f t="shared" si="104"/>
        <v>0</v>
      </c>
      <c r="BL96" s="352">
        <f t="shared" si="104"/>
        <v>0</v>
      </c>
      <c r="BM96" s="352">
        <f t="shared" si="104"/>
        <v>0</v>
      </c>
      <c r="BN96" s="353">
        <f t="shared" si="104"/>
        <v>0</v>
      </c>
      <c r="BO96" s="464">
        <f t="shared" si="104"/>
        <v>0</v>
      </c>
      <c r="BP96" s="352">
        <f t="shared" si="104"/>
        <v>0</v>
      </c>
      <c r="BQ96" s="352">
        <f t="shared" si="104"/>
        <v>0</v>
      </c>
      <c r="BR96" s="352">
        <f t="shared" si="104"/>
        <v>0</v>
      </c>
      <c r="BS96" s="352">
        <f t="shared" si="104"/>
        <v>0</v>
      </c>
      <c r="BT96" s="465">
        <f t="shared" si="104"/>
        <v>0</v>
      </c>
    </row>
    <row r="97" spans="1:72" s="313" customFormat="1" ht="38.25" customHeight="1" outlineLevel="2">
      <c r="A97" s="287">
        <v>86</v>
      </c>
      <c r="B97" s="933"/>
      <c r="C97" s="840"/>
      <c r="D97" s="841" t="s">
        <v>807</v>
      </c>
      <c r="E97" s="839"/>
      <c r="F97" s="821" t="s">
        <v>7</v>
      </c>
      <c r="G97" s="314">
        <v>4</v>
      </c>
      <c r="H97" s="739" t="s">
        <v>70</v>
      </c>
      <c r="I97" s="739">
        <v>244</v>
      </c>
      <c r="J97" s="740">
        <v>226</v>
      </c>
      <c r="K97" s="533" t="s">
        <v>285</v>
      </c>
      <c r="L97" s="1031">
        <v>0</v>
      </c>
      <c r="M97" s="318"/>
      <c r="N97" s="318"/>
      <c r="O97" s="1052">
        <f t="shared" si="103"/>
        <v>0</v>
      </c>
      <c r="P97" s="562"/>
      <c r="Q97" s="336">
        <v>2256788.4500000002</v>
      </c>
      <c r="R97" s="562"/>
      <c r="S97" s="336">
        <v>2150208.7400000002</v>
      </c>
      <c r="T97" s="562"/>
      <c r="U97" s="466"/>
      <c r="V97" s="320"/>
      <c r="W97" s="320"/>
      <c r="X97" s="320"/>
      <c r="Z97" s="336">
        <f t="shared" si="59"/>
        <v>0</v>
      </c>
      <c r="AA97" s="337">
        <f t="shared" si="59"/>
        <v>0</v>
      </c>
      <c r="AB97" s="338">
        <f t="shared" si="94"/>
        <v>0</v>
      </c>
      <c r="AC97" s="336">
        <f t="shared" si="60"/>
        <v>0</v>
      </c>
      <c r="AD97" s="337">
        <f t="shared" si="60"/>
        <v>0</v>
      </c>
      <c r="AE97" s="338">
        <f t="shared" si="95"/>
        <v>0</v>
      </c>
      <c r="AF97" s="336">
        <f t="shared" si="61"/>
        <v>0</v>
      </c>
      <c r="AG97" s="337">
        <f t="shared" si="61"/>
        <v>0</v>
      </c>
      <c r="AH97" s="338">
        <f t="shared" si="96"/>
        <v>0</v>
      </c>
      <c r="AI97" s="336">
        <f t="shared" si="62"/>
        <v>0</v>
      </c>
      <c r="AJ97" s="337">
        <f t="shared" si="62"/>
        <v>0</v>
      </c>
      <c r="AK97" s="338">
        <f t="shared" si="97"/>
        <v>0</v>
      </c>
      <c r="AL97" s="342"/>
      <c r="AM97" s="336">
        <f t="shared" si="63"/>
        <v>0</v>
      </c>
      <c r="AN97" s="339">
        <f t="shared" si="63"/>
        <v>0</v>
      </c>
      <c r="AO97" s="340">
        <f t="shared" si="98"/>
        <v>0</v>
      </c>
      <c r="AP97" s="336">
        <f t="shared" si="64"/>
        <v>0</v>
      </c>
      <c r="AQ97" s="339">
        <f t="shared" si="64"/>
        <v>0</v>
      </c>
      <c r="AR97" s="340">
        <f t="shared" si="99"/>
        <v>0</v>
      </c>
      <c r="AS97" s="341">
        <f t="shared" si="92"/>
        <v>0</v>
      </c>
      <c r="AT97" s="339">
        <f t="shared" si="92"/>
        <v>0</v>
      </c>
      <c r="AU97" s="340">
        <f t="shared" si="100"/>
        <v>0</v>
      </c>
      <c r="AV97" s="1255">
        <f t="shared" si="101"/>
        <v>0</v>
      </c>
      <c r="AW97" s="343"/>
      <c r="AX97" s="1098"/>
      <c r="AY97" s="345"/>
      <c r="AZ97" s="1098"/>
      <c r="BA97" s="345"/>
      <c r="BB97" s="1120"/>
      <c r="BC97" s="347"/>
      <c r="BD97" s="348"/>
      <c r="BE97" s="349"/>
      <c r="BF97" s="348"/>
      <c r="BG97" s="349"/>
      <c r="BH97" s="350"/>
      <c r="BI97" s="351"/>
      <c r="BJ97" s="352"/>
      <c r="BK97" s="337"/>
      <c r="BL97" s="352"/>
      <c r="BM97" s="337"/>
      <c r="BN97" s="353"/>
      <c r="BO97" s="354"/>
      <c r="BP97" s="355"/>
      <c r="BQ97" s="356"/>
      <c r="BR97" s="355"/>
      <c r="BS97" s="356"/>
      <c r="BT97" s="357"/>
    </row>
    <row r="98" spans="1:72" s="313" customFormat="1" ht="38.25" customHeight="1" outlineLevel="2">
      <c r="A98" s="287">
        <v>87</v>
      </c>
      <c r="B98" s="933"/>
      <c r="C98" s="840"/>
      <c r="D98" s="841" t="s">
        <v>807</v>
      </c>
      <c r="E98" s="839"/>
      <c r="F98" s="821" t="s">
        <v>7</v>
      </c>
      <c r="G98" s="314">
        <v>4</v>
      </c>
      <c r="H98" s="739" t="s">
        <v>70</v>
      </c>
      <c r="I98" s="739">
        <v>244</v>
      </c>
      <c r="J98" s="740">
        <v>226</v>
      </c>
      <c r="K98" s="538" t="s">
        <v>780</v>
      </c>
      <c r="L98" s="1029">
        <v>285966</v>
      </c>
      <c r="M98" s="318"/>
      <c r="N98" s="318"/>
      <c r="O98" s="1063">
        <f t="shared" si="103"/>
        <v>285966</v>
      </c>
      <c r="P98" s="562"/>
      <c r="Q98" s="336"/>
      <c r="R98" s="562"/>
      <c r="S98" s="336"/>
      <c r="T98" s="562"/>
      <c r="U98" s="466"/>
      <c r="V98" s="597" t="s">
        <v>776</v>
      </c>
      <c r="W98" s="597" t="s">
        <v>810</v>
      </c>
      <c r="X98" s="597" t="s">
        <v>809</v>
      </c>
      <c r="Z98" s="336">
        <f t="shared" si="59"/>
        <v>0</v>
      </c>
      <c r="AA98" s="337">
        <f t="shared" si="59"/>
        <v>0</v>
      </c>
      <c r="AB98" s="338">
        <f t="shared" si="94"/>
        <v>0</v>
      </c>
      <c r="AC98" s="336">
        <f t="shared" si="60"/>
        <v>285966</v>
      </c>
      <c r="AD98" s="337">
        <f t="shared" si="60"/>
        <v>0</v>
      </c>
      <c r="AE98" s="338">
        <f t="shared" si="95"/>
        <v>285966</v>
      </c>
      <c r="AF98" s="336">
        <f t="shared" si="61"/>
        <v>0</v>
      </c>
      <c r="AG98" s="337">
        <f t="shared" si="61"/>
        <v>0</v>
      </c>
      <c r="AH98" s="338">
        <f t="shared" si="96"/>
        <v>0</v>
      </c>
      <c r="AI98" s="336">
        <f t="shared" si="62"/>
        <v>0</v>
      </c>
      <c r="AJ98" s="337">
        <f t="shared" si="62"/>
        <v>0</v>
      </c>
      <c r="AK98" s="338">
        <f t="shared" si="97"/>
        <v>0</v>
      </c>
      <c r="AL98" s="342"/>
      <c r="AM98" s="336">
        <f t="shared" si="63"/>
        <v>285966</v>
      </c>
      <c r="AN98" s="339">
        <f t="shared" si="63"/>
        <v>0</v>
      </c>
      <c r="AO98" s="340">
        <f t="shared" si="98"/>
        <v>285966</v>
      </c>
      <c r="AP98" s="336">
        <f t="shared" si="64"/>
        <v>285966</v>
      </c>
      <c r="AQ98" s="339">
        <f t="shared" si="64"/>
        <v>0</v>
      </c>
      <c r="AR98" s="340">
        <f t="shared" si="99"/>
        <v>285966</v>
      </c>
      <c r="AS98" s="341">
        <f t="shared" si="92"/>
        <v>285966</v>
      </c>
      <c r="AT98" s="339">
        <f t="shared" si="92"/>
        <v>0</v>
      </c>
      <c r="AU98" s="340">
        <f t="shared" si="100"/>
        <v>285966</v>
      </c>
      <c r="AV98" s="1255">
        <f t="shared" si="101"/>
        <v>0</v>
      </c>
      <c r="AW98" s="343"/>
      <c r="AX98" s="1098"/>
      <c r="AY98" s="345"/>
      <c r="AZ98" s="1098"/>
      <c r="BA98" s="345"/>
      <c r="BB98" s="1120"/>
      <c r="BC98" s="347"/>
      <c r="BD98" s="348"/>
      <c r="BE98" s="349"/>
      <c r="BF98" s="348"/>
      <c r="BG98" s="349">
        <f>288966-3000</f>
        <v>285966</v>
      </c>
      <c r="BH98" s="350"/>
      <c r="BI98" s="351"/>
      <c r="BJ98" s="352"/>
      <c r="BK98" s="337"/>
      <c r="BL98" s="352"/>
      <c r="BM98" s="337"/>
      <c r="BN98" s="353"/>
      <c r="BO98" s="354"/>
      <c r="BP98" s="355"/>
      <c r="BQ98" s="356"/>
      <c r="BR98" s="355"/>
      <c r="BS98" s="356"/>
      <c r="BT98" s="357"/>
    </row>
    <row r="99" spans="1:72" s="313" customFormat="1" ht="38.25" customHeight="1" outlineLevel="2">
      <c r="A99" s="287">
        <v>88</v>
      </c>
      <c r="B99" s="933"/>
      <c r="C99" s="840"/>
      <c r="D99" s="841" t="s">
        <v>807</v>
      </c>
      <c r="E99" s="839"/>
      <c r="F99" s="821" t="s">
        <v>7</v>
      </c>
      <c r="G99" s="314">
        <v>4</v>
      </c>
      <c r="H99" s="739" t="s">
        <v>70</v>
      </c>
      <c r="I99" s="739">
        <v>244</v>
      </c>
      <c r="J99" s="740">
        <v>226</v>
      </c>
      <c r="K99" s="538" t="s">
        <v>1057</v>
      </c>
      <c r="L99" s="1029">
        <v>248303.35</v>
      </c>
      <c r="M99" s="318"/>
      <c r="N99" s="318"/>
      <c r="O99" s="1063">
        <f t="shared" si="103"/>
        <v>248303.35</v>
      </c>
      <c r="P99" s="562"/>
      <c r="Q99" s="336"/>
      <c r="R99" s="562"/>
      <c r="S99" s="336"/>
      <c r="T99" s="562"/>
      <c r="U99" s="466"/>
      <c r="V99" s="597" t="s">
        <v>777</v>
      </c>
      <c r="W99" s="597" t="s">
        <v>808</v>
      </c>
      <c r="X99" s="597" t="s">
        <v>809</v>
      </c>
      <c r="Z99" s="336">
        <f t="shared" si="59"/>
        <v>0</v>
      </c>
      <c r="AA99" s="337">
        <f t="shared" si="59"/>
        <v>0</v>
      </c>
      <c r="AB99" s="338">
        <f t="shared" si="94"/>
        <v>0</v>
      </c>
      <c r="AC99" s="336">
        <f t="shared" si="60"/>
        <v>248303.35</v>
      </c>
      <c r="AD99" s="337">
        <f t="shared" si="60"/>
        <v>0</v>
      </c>
      <c r="AE99" s="338">
        <f t="shared" si="95"/>
        <v>248303.35</v>
      </c>
      <c r="AF99" s="336">
        <f t="shared" si="61"/>
        <v>0</v>
      </c>
      <c r="AG99" s="337">
        <f t="shared" si="61"/>
        <v>0</v>
      </c>
      <c r="AH99" s="338">
        <f t="shared" si="96"/>
        <v>0</v>
      </c>
      <c r="AI99" s="336">
        <f t="shared" si="62"/>
        <v>0</v>
      </c>
      <c r="AJ99" s="337">
        <f t="shared" si="62"/>
        <v>0</v>
      </c>
      <c r="AK99" s="338">
        <f t="shared" si="97"/>
        <v>0</v>
      </c>
      <c r="AL99" s="342"/>
      <c r="AM99" s="336">
        <f t="shared" si="63"/>
        <v>248303.35</v>
      </c>
      <c r="AN99" s="339">
        <f t="shared" si="63"/>
        <v>0</v>
      </c>
      <c r="AO99" s="340">
        <f t="shared" si="98"/>
        <v>248303.35</v>
      </c>
      <c r="AP99" s="336">
        <f t="shared" si="64"/>
        <v>248303.35</v>
      </c>
      <c r="AQ99" s="339">
        <f t="shared" si="64"/>
        <v>0</v>
      </c>
      <c r="AR99" s="340">
        <f t="shared" si="99"/>
        <v>248303.35</v>
      </c>
      <c r="AS99" s="341">
        <f t="shared" ref="AS99:AT124" si="105">Z99+AC99+AF99+AI99</f>
        <v>248303.35</v>
      </c>
      <c r="AT99" s="339">
        <f t="shared" si="105"/>
        <v>0</v>
      </c>
      <c r="AU99" s="340">
        <f t="shared" si="100"/>
        <v>248303.35</v>
      </c>
      <c r="AV99" s="1255">
        <f t="shared" si="101"/>
        <v>0</v>
      </c>
      <c r="AW99" s="343"/>
      <c r="AX99" s="1098"/>
      <c r="AY99" s="345"/>
      <c r="AZ99" s="1098"/>
      <c r="BA99" s="345"/>
      <c r="BB99" s="1120"/>
      <c r="BC99" s="347"/>
      <c r="BD99" s="348"/>
      <c r="BE99" s="349"/>
      <c r="BF99" s="348"/>
      <c r="BG99" s="349">
        <v>248303.35</v>
      </c>
      <c r="BH99" s="350"/>
      <c r="BI99" s="351"/>
      <c r="BJ99" s="352"/>
      <c r="BK99" s="337"/>
      <c r="BL99" s="352"/>
      <c r="BM99" s="337"/>
      <c r="BN99" s="353"/>
      <c r="BO99" s="354"/>
      <c r="BP99" s="355"/>
      <c r="BQ99" s="356"/>
      <c r="BR99" s="355"/>
      <c r="BS99" s="356"/>
      <c r="BT99" s="357"/>
    </row>
    <row r="100" spans="1:72" s="313" customFormat="1" ht="25.5" customHeight="1" outlineLevel="2">
      <c r="A100" s="287">
        <v>89</v>
      </c>
      <c r="B100" s="933"/>
      <c r="C100" s="840"/>
      <c r="D100" s="841" t="s">
        <v>807</v>
      </c>
      <c r="E100" s="839"/>
      <c r="F100" s="821" t="s">
        <v>7</v>
      </c>
      <c r="G100" s="314">
        <v>4</v>
      </c>
      <c r="H100" s="739" t="s">
        <v>70</v>
      </c>
      <c r="I100" s="739">
        <v>244</v>
      </c>
      <c r="J100" s="740">
        <v>226</v>
      </c>
      <c r="K100" s="533" t="s">
        <v>286</v>
      </c>
      <c r="L100" s="1031">
        <v>0</v>
      </c>
      <c r="M100" s="318"/>
      <c r="N100" s="318"/>
      <c r="O100" s="1052">
        <f t="shared" si="103"/>
        <v>0</v>
      </c>
      <c r="P100" s="562"/>
      <c r="Q100" s="336"/>
      <c r="R100" s="562"/>
      <c r="S100" s="336"/>
      <c r="T100" s="562"/>
      <c r="U100" s="466"/>
      <c r="V100" s="320"/>
      <c r="W100" s="320"/>
      <c r="X100" s="320"/>
      <c r="Z100" s="336">
        <f t="shared" si="59"/>
        <v>0</v>
      </c>
      <c r="AA100" s="337">
        <f t="shared" si="59"/>
        <v>0</v>
      </c>
      <c r="AB100" s="338">
        <f t="shared" si="94"/>
        <v>0</v>
      </c>
      <c r="AC100" s="336">
        <f t="shared" si="60"/>
        <v>0</v>
      </c>
      <c r="AD100" s="337">
        <f t="shared" si="60"/>
        <v>0</v>
      </c>
      <c r="AE100" s="338">
        <f t="shared" si="95"/>
        <v>0</v>
      </c>
      <c r="AF100" s="336">
        <f t="shared" si="61"/>
        <v>0</v>
      </c>
      <c r="AG100" s="337">
        <f t="shared" si="61"/>
        <v>0</v>
      </c>
      <c r="AH100" s="338">
        <f t="shared" si="96"/>
        <v>0</v>
      </c>
      <c r="AI100" s="336">
        <f t="shared" si="62"/>
        <v>0</v>
      </c>
      <c r="AJ100" s="337">
        <f t="shared" si="62"/>
        <v>0</v>
      </c>
      <c r="AK100" s="338">
        <f t="shared" si="97"/>
        <v>0</v>
      </c>
      <c r="AL100" s="342"/>
      <c r="AM100" s="336">
        <f t="shared" si="63"/>
        <v>0</v>
      </c>
      <c r="AN100" s="339">
        <f t="shared" si="63"/>
        <v>0</v>
      </c>
      <c r="AO100" s="340">
        <f t="shared" si="98"/>
        <v>0</v>
      </c>
      <c r="AP100" s="336">
        <f t="shared" si="64"/>
        <v>0</v>
      </c>
      <c r="AQ100" s="339">
        <f t="shared" si="64"/>
        <v>0</v>
      </c>
      <c r="AR100" s="340">
        <f t="shared" si="99"/>
        <v>0</v>
      </c>
      <c r="AS100" s="341">
        <f t="shared" si="105"/>
        <v>0</v>
      </c>
      <c r="AT100" s="339">
        <f t="shared" si="105"/>
        <v>0</v>
      </c>
      <c r="AU100" s="340">
        <f t="shared" si="100"/>
        <v>0</v>
      </c>
      <c r="AV100" s="1255">
        <f t="shared" si="101"/>
        <v>0</v>
      </c>
      <c r="AW100" s="343"/>
      <c r="AX100" s="1098"/>
      <c r="AY100" s="345"/>
      <c r="AZ100" s="1098"/>
      <c r="BA100" s="345"/>
      <c r="BB100" s="1120"/>
      <c r="BC100" s="347"/>
      <c r="BD100" s="348"/>
      <c r="BE100" s="349"/>
      <c r="BF100" s="348"/>
      <c r="BG100" s="349"/>
      <c r="BH100" s="350"/>
      <c r="BI100" s="351"/>
      <c r="BJ100" s="352"/>
      <c r="BK100" s="337"/>
      <c r="BL100" s="352"/>
      <c r="BM100" s="337"/>
      <c r="BN100" s="353"/>
      <c r="BO100" s="354"/>
      <c r="BP100" s="355"/>
      <c r="BQ100" s="356"/>
      <c r="BR100" s="355"/>
      <c r="BS100" s="356"/>
      <c r="BT100" s="357"/>
    </row>
    <row r="101" spans="1:72" s="313" customFormat="1" ht="25.5" customHeight="1" outlineLevel="2">
      <c r="A101" s="287">
        <v>90</v>
      </c>
      <c r="B101" s="933"/>
      <c r="C101" s="840"/>
      <c r="D101" s="841" t="s">
        <v>807</v>
      </c>
      <c r="E101" s="839"/>
      <c r="F101" s="821" t="s">
        <v>7</v>
      </c>
      <c r="G101" s="314">
        <v>4</v>
      </c>
      <c r="H101" s="739" t="s">
        <v>70</v>
      </c>
      <c r="I101" s="739">
        <v>244</v>
      </c>
      <c r="J101" s="740">
        <v>226</v>
      </c>
      <c r="K101" s="533" t="s">
        <v>287</v>
      </c>
      <c r="L101" s="1031">
        <v>0</v>
      </c>
      <c r="M101" s="318"/>
      <c r="N101" s="318"/>
      <c r="O101" s="1052">
        <f t="shared" si="103"/>
        <v>0</v>
      </c>
      <c r="P101" s="562"/>
      <c r="Q101" s="336"/>
      <c r="R101" s="562"/>
      <c r="S101" s="336"/>
      <c r="T101" s="562"/>
      <c r="U101" s="466"/>
      <c r="V101" s="320"/>
      <c r="W101" s="320"/>
      <c r="X101" s="320"/>
      <c r="Z101" s="336">
        <f t="shared" si="59"/>
        <v>0</v>
      </c>
      <c r="AA101" s="337">
        <f t="shared" si="59"/>
        <v>0</v>
      </c>
      <c r="AB101" s="338">
        <f t="shared" si="94"/>
        <v>0</v>
      </c>
      <c r="AC101" s="336">
        <f t="shared" si="60"/>
        <v>0</v>
      </c>
      <c r="AD101" s="337">
        <f t="shared" si="60"/>
        <v>0</v>
      </c>
      <c r="AE101" s="338">
        <f t="shared" si="95"/>
        <v>0</v>
      </c>
      <c r="AF101" s="336">
        <f t="shared" si="61"/>
        <v>0</v>
      </c>
      <c r="AG101" s="337">
        <f t="shared" si="61"/>
        <v>0</v>
      </c>
      <c r="AH101" s="338">
        <f t="shared" si="96"/>
        <v>0</v>
      </c>
      <c r="AI101" s="336">
        <f t="shared" si="62"/>
        <v>0</v>
      </c>
      <c r="AJ101" s="337">
        <f t="shared" si="62"/>
        <v>0</v>
      </c>
      <c r="AK101" s="338">
        <f t="shared" si="97"/>
        <v>0</v>
      </c>
      <c r="AL101" s="342"/>
      <c r="AM101" s="336">
        <f t="shared" si="63"/>
        <v>0</v>
      </c>
      <c r="AN101" s="339">
        <f t="shared" si="63"/>
        <v>0</v>
      </c>
      <c r="AO101" s="340">
        <f t="shared" si="98"/>
        <v>0</v>
      </c>
      <c r="AP101" s="336">
        <f t="shared" si="64"/>
        <v>0</v>
      </c>
      <c r="AQ101" s="339">
        <f t="shared" si="64"/>
        <v>0</v>
      </c>
      <c r="AR101" s="340">
        <f t="shared" si="99"/>
        <v>0</v>
      </c>
      <c r="AS101" s="341">
        <f t="shared" si="105"/>
        <v>0</v>
      </c>
      <c r="AT101" s="339">
        <f t="shared" si="105"/>
        <v>0</v>
      </c>
      <c r="AU101" s="340">
        <f t="shared" si="100"/>
        <v>0</v>
      </c>
      <c r="AV101" s="1255">
        <f t="shared" si="101"/>
        <v>0</v>
      </c>
      <c r="AW101" s="343"/>
      <c r="AX101" s="1098"/>
      <c r="AY101" s="345"/>
      <c r="AZ101" s="1098"/>
      <c r="BA101" s="345"/>
      <c r="BB101" s="1120"/>
      <c r="BC101" s="347"/>
      <c r="BD101" s="348"/>
      <c r="BE101" s="349"/>
      <c r="BF101" s="348"/>
      <c r="BG101" s="349"/>
      <c r="BH101" s="350"/>
      <c r="BI101" s="351"/>
      <c r="BJ101" s="352"/>
      <c r="BK101" s="337"/>
      <c r="BL101" s="352"/>
      <c r="BM101" s="337"/>
      <c r="BN101" s="353"/>
      <c r="BO101" s="354"/>
      <c r="BP101" s="355"/>
      <c r="BQ101" s="356"/>
      <c r="BR101" s="355"/>
      <c r="BS101" s="356"/>
      <c r="BT101" s="357"/>
    </row>
    <row r="102" spans="1:72" s="313" customFormat="1" ht="25.5" customHeight="1" outlineLevel="2">
      <c r="A102" s="287">
        <v>91</v>
      </c>
      <c r="B102" s="933"/>
      <c r="C102" s="840"/>
      <c r="D102" s="841" t="s">
        <v>807</v>
      </c>
      <c r="E102" s="839"/>
      <c r="F102" s="821" t="s">
        <v>7</v>
      </c>
      <c r="G102" s="314">
        <v>4</v>
      </c>
      <c r="H102" s="739" t="s">
        <v>70</v>
      </c>
      <c r="I102" s="739">
        <v>244</v>
      </c>
      <c r="J102" s="740">
        <v>226</v>
      </c>
      <c r="K102" s="538" t="s">
        <v>493</v>
      </c>
      <c r="L102" s="1029">
        <v>25300</v>
      </c>
      <c r="M102" s="318"/>
      <c r="N102" s="318"/>
      <c r="O102" s="1063">
        <f t="shared" si="103"/>
        <v>25300</v>
      </c>
      <c r="P102" s="562"/>
      <c r="Q102" s="336"/>
      <c r="R102" s="562"/>
      <c r="S102" s="336"/>
      <c r="T102" s="562"/>
      <c r="U102" s="466"/>
      <c r="V102" s="597" t="s">
        <v>494</v>
      </c>
      <c r="W102" s="597" t="s">
        <v>763</v>
      </c>
      <c r="X102" s="597" t="s">
        <v>764</v>
      </c>
      <c r="Z102" s="336">
        <f t="shared" si="59"/>
        <v>0</v>
      </c>
      <c r="AA102" s="337">
        <f t="shared" si="59"/>
        <v>0</v>
      </c>
      <c r="AB102" s="338">
        <f t="shared" si="94"/>
        <v>0</v>
      </c>
      <c r="AC102" s="336">
        <f t="shared" si="60"/>
        <v>25300</v>
      </c>
      <c r="AD102" s="337">
        <f t="shared" si="60"/>
        <v>25300</v>
      </c>
      <c r="AE102" s="338">
        <f t="shared" si="95"/>
        <v>0</v>
      </c>
      <c r="AF102" s="336">
        <f t="shared" si="61"/>
        <v>0</v>
      </c>
      <c r="AG102" s="337">
        <f t="shared" si="61"/>
        <v>0</v>
      </c>
      <c r="AH102" s="338">
        <f t="shared" si="96"/>
        <v>0</v>
      </c>
      <c r="AI102" s="336">
        <f t="shared" si="62"/>
        <v>0</v>
      </c>
      <c r="AJ102" s="337">
        <f t="shared" si="62"/>
        <v>0</v>
      </c>
      <c r="AK102" s="338">
        <f t="shared" si="97"/>
        <v>0</v>
      </c>
      <c r="AL102" s="342"/>
      <c r="AM102" s="336">
        <f t="shared" si="63"/>
        <v>25300</v>
      </c>
      <c r="AN102" s="339">
        <f t="shared" si="63"/>
        <v>25300</v>
      </c>
      <c r="AO102" s="340">
        <f t="shared" si="98"/>
        <v>0</v>
      </c>
      <c r="AP102" s="336">
        <f t="shared" si="64"/>
        <v>25300</v>
      </c>
      <c r="AQ102" s="339">
        <f t="shared" si="64"/>
        <v>25300</v>
      </c>
      <c r="AR102" s="340">
        <f t="shared" si="99"/>
        <v>0</v>
      </c>
      <c r="AS102" s="341">
        <f t="shared" si="105"/>
        <v>25300</v>
      </c>
      <c r="AT102" s="339">
        <f t="shared" si="105"/>
        <v>25300</v>
      </c>
      <c r="AU102" s="340">
        <f t="shared" si="100"/>
        <v>0</v>
      </c>
      <c r="AV102" s="1255">
        <f t="shared" si="101"/>
        <v>0</v>
      </c>
      <c r="AW102" s="343"/>
      <c r="AX102" s="1098"/>
      <c r="AY102" s="345"/>
      <c r="AZ102" s="1098"/>
      <c r="BA102" s="345"/>
      <c r="BB102" s="1120"/>
      <c r="BC102" s="347">
        <v>25300</v>
      </c>
      <c r="BD102" s="348"/>
      <c r="BE102" s="349"/>
      <c r="BF102" s="348">
        <v>25300</v>
      </c>
      <c r="BG102" s="349"/>
      <c r="BH102" s="350"/>
      <c r="BI102" s="351"/>
      <c r="BJ102" s="352"/>
      <c r="BK102" s="337"/>
      <c r="BL102" s="352"/>
      <c r="BM102" s="337"/>
      <c r="BN102" s="353"/>
      <c r="BO102" s="354"/>
      <c r="BP102" s="355"/>
      <c r="BQ102" s="356"/>
      <c r="BR102" s="355"/>
      <c r="BS102" s="356"/>
      <c r="BT102" s="357"/>
    </row>
    <row r="103" spans="1:72" s="313" customFormat="1" ht="25.5" customHeight="1" outlineLevel="2">
      <c r="A103" s="287">
        <v>92</v>
      </c>
      <c r="B103" s="933"/>
      <c r="C103" s="840"/>
      <c r="D103" s="841" t="s">
        <v>807</v>
      </c>
      <c r="E103" s="839"/>
      <c r="F103" s="821" t="s">
        <v>7</v>
      </c>
      <c r="G103" s="314">
        <v>4</v>
      </c>
      <c r="H103" s="739" t="s">
        <v>70</v>
      </c>
      <c r="I103" s="739">
        <v>244</v>
      </c>
      <c r="J103" s="740">
        <v>226</v>
      </c>
      <c r="K103" s="533" t="s">
        <v>289</v>
      </c>
      <c r="L103" s="1031">
        <v>0</v>
      </c>
      <c r="M103" s="318"/>
      <c r="N103" s="318"/>
      <c r="O103" s="1052">
        <f t="shared" si="103"/>
        <v>0</v>
      </c>
      <c r="P103" s="562"/>
      <c r="Q103" s="336"/>
      <c r="R103" s="562"/>
      <c r="S103" s="336"/>
      <c r="T103" s="562"/>
      <c r="U103" s="466"/>
      <c r="V103" s="320"/>
      <c r="W103" s="320"/>
      <c r="X103" s="320"/>
      <c r="Z103" s="336">
        <f t="shared" si="59"/>
        <v>0</v>
      </c>
      <c r="AA103" s="337">
        <f t="shared" si="59"/>
        <v>0</v>
      </c>
      <c r="AB103" s="338">
        <f t="shared" si="94"/>
        <v>0</v>
      </c>
      <c r="AC103" s="336">
        <f t="shared" si="60"/>
        <v>0</v>
      </c>
      <c r="AD103" s="337">
        <f t="shared" si="60"/>
        <v>0</v>
      </c>
      <c r="AE103" s="338">
        <f t="shared" si="95"/>
        <v>0</v>
      </c>
      <c r="AF103" s="336">
        <f t="shared" si="61"/>
        <v>0</v>
      </c>
      <c r="AG103" s="337">
        <f t="shared" si="61"/>
        <v>0</v>
      </c>
      <c r="AH103" s="338">
        <f t="shared" si="96"/>
        <v>0</v>
      </c>
      <c r="AI103" s="336">
        <f t="shared" si="62"/>
        <v>0</v>
      </c>
      <c r="AJ103" s="337">
        <f t="shared" si="62"/>
        <v>0</v>
      </c>
      <c r="AK103" s="338">
        <f t="shared" si="97"/>
        <v>0</v>
      </c>
      <c r="AL103" s="342"/>
      <c r="AM103" s="336">
        <f t="shared" si="63"/>
        <v>0</v>
      </c>
      <c r="AN103" s="339">
        <f t="shared" si="63"/>
        <v>0</v>
      </c>
      <c r="AO103" s="340">
        <f t="shared" si="98"/>
        <v>0</v>
      </c>
      <c r="AP103" s="336">
        <f t="shared" si="64"/>
        <v>0</v>
      </c>
      <c r="AQ103" s="339">
        <f t="shared" si="64"/>
        <v>0</v>
      </c>
      <c r="AR103" s="340">
        <f t="shared" si="99"/>
        <v>0</v>
      </c>
      <c r="AS103" s="341">
        <f t="shared" si="105"/>
        <v>0</v>
      </c>
      <c r="AT103" s="339">
        <f t="shared" si="105"/>
        <v>0</v>
      </c>
      <c r="AU103" s="340">
        <f t="shared" si="100"/>
        <v>0</v>
      </c>
      <c r="AV103" s="1255">
        <f t="shared" si="101"/>
        <v>0</v>
      </c>
      <c r="AW103" s="343"/>
      <c r="AX103" s="1098"/>
      <c r="AY103" s="345"/>
      <c r="AZ103" s="1098"/>
      <c r="BA103" s="345"/>
      <c r="BB103" s="1120"/>
      <c r="BC103" s="347"/>
      <c r="BD103" s="348"/>
      <c r="BE103" s="349"/>
      <c r="BF103" s="348"/>
      <c r="BG103" s="349"/>
      <c r="BH103" s="350"/>
      <c r="BI103" s="351"/>
      <c r="BJ103" s="352"/>
      <c r="BK103" s="337"/>
      <c r="BL103" s="352"/>
      <c r="BM103" s="337"/>
      <c r="BN103" s="353"/>
      <c r="BO103" s="354"/>
      <c r="BP103" s="355"/>
      <c r="BQ103" s="356"/>
      <c r="BR103" s="355"/>
      <c r="BS103" s="356"/>
      <c r="BT103" s="357"/>
    </row>
    <row r="104" spans="1:72" s="430" customFormat="1" ht="25.5" customHeight="1" outlineLevel="2">
      <c r="A104" s="287">
        <v>93</v>
      </c>
      <c r="B104" s="936"/>
      <c r="C104" s="743"/>
      <c r="D104" s="856" t="s">
        <v>807</v>
      </c>
      <c r="E104" s="857"/>
      <c r="F104" s="827" t="s">
        <v>7</v>
      </c>
      <c r="G104" s="431">
        <v>4</v>
      </c>
      <c r="H104" s="474" t="s">
        <v>70</v>
      </c>
      <c r="I104" s="743">
        <v>244</v>
      </c>
      <c r="J104" s="744">
        <v>226</v>
      </c>
      <c r="K104" s="536" t="s">
        <v>688</v>
      </c>
      <c r="L104" s="1030">
        <f>559569.35-SUM(L97:L103)</f>
        <v>0</v>
      </c>
      <c r="M104" s="434"/>
      <c r="N104" s="434"/>
      <c r="O104" s="1064">
        <f t="shared" si="103"/>
        <v>0</v>
      </c>
      <c r="P104" s="563"/>
      <c r="Q104" s="437"/>
      <c r="R104" s="563"/>
      <c r="S104" s="437"/>
      <c r="T104" s="563"/>
      <c r="U104" s="467"/>
      <c r="V104" s="436"/>
      <c r="W104" s="436"/>
      <c r="X104" s="436"/>
      <c r="Z104" s="437">
        <f t="shared" si="59"/>
        <v>0</v>
      </c>
      <c r="AA104" s="438">
        <f t="shared" si="59"/>
        <v>0</v>
      </c>
      <c r="AB104" s="439">
        <f t="shared" si="94"/>
        <v>0</v>
      </c>
      <c r="AC104" s="437">
        <f t="shared" si="60"/>
        <v>0</v>
      </c>
      <c r="AD104" s="438">
        <f t="shared" si="60"/>
        <v>0</v>
      </c>
      <c r="AE104" s="439">
        <f t="shared" si="95"/>
        <v>0</v>
      </c>
      <c r="AF104" s="437">
        <f t="shared" si="61"/>
        <v>0</v>
      </c>
      <c r="AG104" s="438">
        <f t="shared" si="61"/>
        <v>0</v>
      </c>
      <c r="AH104" s="439">
        <f t="shared" si="96"/>
        <v>0</v>
      </c>
      <c r="AI104" s="437">
        <f t="shared" si="62"/>
        <v>0</v>
      </c>
      <c r="AJ104" s="438">
        <f t="shared" si="62"/>
        <v>0</v>
      </c>
      <c r="AK104" s="439">
        <f t="shared" si="97"/>
        <v>0</v>
      </c>
      <c r="AL104" s="440"/>
      <c r="AM104" s="437">
        <f t="shared" si="63"/>
        <v>0</v>
      </c>
      <c r="AN104" s="441">
        <f t="shared" si="63"/>
        <v>0</v>
      </c>
      <c r="AO104" s="442">
        <f t="shared" si="98"/>
        <v>0</v>
      </c>
      <c r="AP104" s="437">
        <f t="shared" si="64"/>
        <v>0</v>
      </c>
      <c r="AQ104" s="441">
        <f t="shared" si="64"/>
        <v>0</v>
      </c>
      <c r="AR104" s="442">
        <f t="shared" si="99"/>
        <v>0</v>
      </c>
      <c r="AS104" s="443">
        <f t="shared" si="105"/>
        <v>0</v>
      </c>
      <c r="AT104" s="441">
        <f t="shared" si="105"/>
        <v>0</v>
      </c>
      <c r="AU104" s="442">
        <f t="shared" si="100"/>
        <v>0</v>
      </c>
      <c r="AV104" s="440">
        <f t="shared" si="101"/>
        <v>0</v>
      </c>
      <c r="AW104" s="444"/>
      <c r="AX104" s="1111"/>
      <c r="AY104" s="446"/>
      <c r="AZ104" s="1111"/>
      <c r="BA104" s="446"/>
      <c r="BB104" s="1129"/>
      <c r="BC104" s="448"/>
      <c r="BD104" s="449"/>
      <c r="BE104" s="450"/>
      <c r="BF104" s="449"/>
      <c r="BG104" s="450"/>
      <c r="BH104" s="451"/>
      <c r="BI104" s="452"/>
      <c r="BJ104" s="453"/>
      <c r="BK104" s="438"/>
      <c r="BL104" s="453"/>
      <c r="BM104" s="438"/>
      <c r="BN104" s="454"/>
      <c r="BO104" s="455"/>
      <c r="BP104" s="456"/>
      <c r="BQ104" s="457"/>
      <c r="BR104" s="456"/>
      <c r="BS104" s="457"/>
      <c r="BT104" s="458"/>
    </row>
    <row r="105" spans="1:72" s="459" customFormat="1" ht="66.75" customHeight="1" outlineLevel="1">
      <c r="A105" s="287">
        <v>94</v>
      </c>
      <c r="B105" s="933"/>
      <c r="C105" s="850" t="s">
        <v>378</v>
      </c>
      <c r="D105" s="854" t="s">
        <v>272</v>
      </c>
      <c r="E105" s="855"/>
      <c r="F105" s="826" t="s">
        <v>7</v>
      </c>
      <c r="G105" s="462">
        <v>4</v>
      </c>
      <c r="H105" s="741" t="s">
        <v>70</v>
      </c>
      <c r="I105" s="741">
        <v>244</v>
      </c>
      <c r="J105" s="742">
        <v>226</v>
      </c>
      <c r="K105" s="535" t="s">
        <v>278</v>
      </c>
      <c r="L105" s="1028">
        <f>SUM(L106:L110)</f>
        <v>265302</v>
      </c>
      <c r="M105" s="352"/>
      <c r="N105" s="352">
        <f>SUM(N106:N110)</f>
        <v>0</v>
      </c>
      <c r="O105" s="1062">
        <f t="shared" si="103"/>
        <v>265302</v>
      </c>
      <c r="P105" s="561"/>
      <c r="Q105" s="464"/>
      <c r="R105" s="561"/>
      <c r="S105" s="464"/>
      <c r="T105" s="561"/>
      <c r="U105" s="393"/>
      <c r="V105" s="394"/>
      <c r="W105" s="394"/>
      <c r="X105" s="394"/>
      <c r="Y105" s="392"/>
      <c r="Z105" s="395">
        <f t="shared" si="59"/>
        <v>0</v>
      </c>
      <c r="AA105" s="396">
        <f t="shared" si="59"/>
        <v>0</v>
      </c>
      <c r="AB105" s="397">
        <f t="shared" si="94"/>
        <v>0</v>
      </c>
      <c r="AC105" s="395">
        <f t="shared" si="60"/>
        <v>0</v>
      </c>
      <c r="AD105" s="396">
        <f t="shared" si="60"/>
        <v>0</v>
      </c>
      <c r="AE105" s="397">
        <f t="shared" si="95"/>
        <v>0</v>
      </c>
      <c r="AF105" s="395">
        <f t="shared" si="61"/>
        <v>49800</v>
      </c>
      <c r="AG105" s="396">
        <f t="shared" si="61"/>
        <v>0</v>
      </c>
      <c r="AH105" s="397">
        <f t="shared" si="96"/>
        <v>49800</v>
      </c>
      <c r="AI105" s="395">
        <f t="shared" si="62"/>
        <v>215502</v>
      </c>
      <c r="AJ105" s="396">
        <f t="shared" si="62"/>
        <v>0</v>
      </c>
      <c r="AK105" s="397">
        <f t="shared" si="97"/>
        <v>215502</v>
      </c>
      <c r="AL105" s="398"/>
      <c r="AM105" s="464">
        <f t="shared" si="63"/>
        <v>0</v>
      </c>
      <c r="AN105" s="352">
        <f t="shared" si="63"/>
        <v>0</v>
      </c>
      <c r="AO105" s="465">
        <f t="shared" si="98"/>
        <v>0</v>
      </c>
      <c r="AP105" s="464">
        <f t="shared" si="64"/>
        <v>49800</v>
      </c>
      <c r="AQ105" s="352">
        <f t="shared" si="64"/>
        <v>0</v>
      </c>
      <c r="AR105" s="465">
        <f t="shared" si="99"/>
        <v>49800</v>
      </c>
      <c r="AS105" s="464">
        <f t="shared" si="105"/>
        <v>265302</v>
      </c>
      <c r="AT105" s="352">
        <f t="shared" si="105"/>
        <v>0</v>
      </c>
      <c r="AU105" s="465">
        <f t="shared" si="100"/>
        <v>265302</v>
      </c>
      <c r="AV105" s="1261">
        <f t="shared" si="101"/>
        <v>0</v>
      </c>
      <c r="AW105" s="464">
        <f t="shared" ref="AW105:BT105" si="106">SUM(AW106:AW110)</f>
        <v>0</v>
      </c>
      <c r="AX105" s="1110">
        <f t="shared" si="106"/>
        <v>0</v>
      </c>
      <c r="AY105" s="352">
        <f t="shared" si="106"/>
        <v>0</v>
      </c>
      <c r="AZ105" s="1110">
        <f t="shared" si="106"/>
        <v>0</v>
      </c>
      <c r="BA105" s="352">
        <f t="shared" si="106"/>
        <v>0</v>
      </c>
      <c r="BB105" s="1128">
        <f t="shared" si="106"/>
        <v>0</v>
      </c>
      <c r="BC105" s="464">
        <f t="shared" si="106"/>
        <v>0</v>
      </c>
      <c r="BD105" s="352">
        <f t="shared" si="106"/>
        <v>0</v>
      </c>
      <c r="BE105" s="352">
        <f t="shared" si="106"/>
        <v>0</v>
      </c>
      <c r="BF105" s="352">
        <f t="shared" si="106"/>
        <v>0</v>
      </c>
      <c r="BG105" s="352">
        <f t="shared" si="106"/>
        <v>0</v>
      </c>
      <c r="BH105" s="353">
        <f t="shared" si="106"/>
        <v>0</v>
      </c>
      <c r="BI105" s="464">
        <f t="shared" si="106"/>
        <v>49800</v>
      </c>
      <c r="BJ105" s="352">
        <f t="shared" si="106"/>
        <v>0</v>
      </c>
      <c r="BK105" s="352">
        <f t="shared" si="106"/>
        <v>0</v>
      </c>
      <c r="BL105" s="352">
        <f t="shared" si="106"/>
        <v>0</v>
      </c>
      <c r="BM105" s="352">
        <f t="shared" si="106"/>
        <v>0</v>
      </c>
      <c r="BN105" s="353">
        <f t="shared" si="106"/>
        <v>0</v>
      </c>
      <c r="BO105" s="464">
        <f t="shared" si="106"/>
        <v>215502</v>
      </c>
      <c r="BP105" s="352">
        <f t="shared" si="106"/>
        <v>0</v>
      </c>
      <c r="BQ105" s="352">
        <f t="shared" si="106"/>
        <v>0</v>
      </c>
      <c r="BR105" s="352">
        <f t="shared" si="106"/>
        <v>0</v>
      </c>
      <c r="BS105" s="352">
        <f t="shared" si="106"/>
        <v>0</v>
      </c>
      <c r="BT105" s="465">
        <f t="shared" si="106"/>
        <v>0</v>
      </c>
    </row>
    <row r="106" spans="1:72" s="313" customFormat="1" ht="38.25" customHeight="1" outlineLevel="2">
      <c r="A106" s="287">
        <v>95</v>
      </c>
      <c r="B106" s="933"/>
      <c r="C106" s="840"/>
      <c r="D106" s="841" t="s">
        <v>272</v>
      </c>
      <c r="E106" s="839"/>
      <c r="F106" s="821" t="s">
        <v>7</v>
      </c>
      <c r="G106" s="314">
        <v>4</v>
      </c>
      <c r="H106" s="739" t="s">
        <v>70</v>
      </c>
      <c r="I106" s="739">
        <v>244</v>
      </c>
      <c r="J106" s="740">
        <v>226</v>
      </c>
      <c r="K106" s="1005" t="s">
        <v>1048</v>
      </c>
      <c r="L106" s="1031">
        <f>340187.83-74885.83-SUM(L107:L110)</f>
        <v>0</v>
      </c>
      <c r="M106" s="318"/>
      <c r="N106" s="318"/>
      <c r="O106" s="1052">
        <f t="shared" si="103"/>
        <v>0</v>
      </c>
      <c r="P106" s="562"/>
      <c r="Q106" s="336"/>
      <c r="R106" s="562"/>
      <c r="S106" s="336"/>
      <c r="T106" s="562"/>
      <c r="U106" s="466"/>
      <c r="V106" s="320"/>
      <c r="W106" s="320"/>
      <c r="X106" s="320"/>
      <c r="Z106" s="336">
        <f t="shared" si="59"/>
        <v>0</v>
      </c>
      <c r="AA106" s="337">
        <f t="shared" si="59"/>
        <v>0</v>
      </c>
      <c r="AB106" s="338">
        <f t="shared" si="94"/>
        <v>0</v>
      </c>
      <c r="AC106" s="336">
        <f t="shared" si="60"/>
        <v>0</v>
      </c>
      <c r="AD106" s="337">
        <f t="shared" si="60"/>
        <v>0</v>
      </c>
      <c r="AE106" s="338">
        <f t="shared" si="95"/>
        <v>0</v>
      </c>
      <c r="AF106" s="336">
        <f t="shared" si="61"/>
        <v>0</v>
      </c>
      <c r="AG106" s="337">
        <f t="shared" si="61"/>
        <v>0</v>
      </c>
      <c r="AH106" s="338">
        <f t="shared" si="96"/>
        <v>0</v>
      </c>
      <c r="AI106" s="336">
        <f t="shared" si="62"/>
        <v>0</v>
      </c>
      <c r="AJ106" s="337">
        <f t="shared" si="62"/>
        <v>0</v>
      </c>
      <c r="AK106" s="338">
        <f t="shared" si="97"/>
        <v>0</v>
      </c>
      <c r="AL106" s="342"/>
      <c r="AM106" s="336">
        <f t="shared" si="63"/>
        <v>0</v>
      </c>
      <c r="AN106" s="339">
        <f t="shared" si="63"/>
        <v>0</v>
      </c>
      <c r="AO106" s="340">
        <f t="shared" si="98"/>
        <v>0</v>
      </c>
      <c r="AP106" s="336">
        <f t="shared" si="64"/>
        <v>0</v>
      </c>
      <c r="AQ106" s="339">
        <f t="shared" si="64"/>
        <v>0</v>
      </c>
      <c r="AR106" s="340">
        <f t="shared" si="99"/>
        <v>0</v>
      </c>
      <c r="AS106" s="341">
        <f t="shared" si="105"/>
        <v>0</v>
      </c>
      <c r="AT106" s="339">
        <f t="shared" si="105"/>
        <v>0</v>
      </c>
      <c r="AU106" s="340">
        <f t="shared" si="100"/>
        <v>0</v>
      </c>
      <c r="AV106" s="1255">
        <f t="shared" si="101"/>
        <v>0</v>
      </c>
      <c r="AW106" s="343"/>
      <c r="AX106" s="1098"/>
      <c r="AY106" s="345"/>
      <c r="AZ106" s="1098"/>
      <c r="BA106" s="345"/>
      <c r="BB106" s="1120"/>
      <c r="BC106" s="347"/>
      <c r="BD106" s="348"/>
      <c r="BE106" s="349"/>
      <c r="BF106" s="348"/>
      <c r="BG106" s="349"/>
      <c r="BH106" s="350"/>
      <c r="BI106" s="351"/>
      <c r="BJ106" s="352"/>
      <c r="BK106" s="337"/>
      <c r="BL106" s="352"/>
      <c r="BM106" s="337"/>
      <c r="BN106" s="353"/>
      <c r="BO106" s="354"/>
      <c r="BP106" s="355"/>
      <c r="BQ106" s="356"/>
      <c r="BR106" s="355"/>
      <c r="BS106" s="356"/>
      <c r="BT106" s="357"/>
    </row>
    <row r="107" spans="1:72" s="313" customFormat="1" ht="38.25" customHeight="1" outlineLevel="2">
      <c r="A107" s="287">
        <v>96</v>
      </c>
      <c r="B107" s="933"/>
      <c r="C107" s="840"/>
      <c r="D107" s="841" t="s">
        <v>272</v>
      </c>
      <c r="E107" s="839"/>
      <c r="F107" s="821" t="s">
        <v>7</v>
      </c>
      <c r="G107" s="314">
        <v>4</v>
      </c>
      <c r="H107" s="739" t="s">
        <v>70</v>
      </c>
      <c r="I107" s="739">
        <v>244</v>
      </c>
      <c r="J107" s="740">
        <v>226</v>
      </c>
      <c r="K107" s="533" t="s">
        <v>552</v>
      </c>
      <c r="L107" s="1025">
        <v>32800</v>
      </c>
      <c r="M107" s="318"/>
      <c r="N107" s="318"/>
      <c r="O107" s="1052">
        <f t="shared" si="103"/>
        <v>32800</v>
      </c>
      <c r="P107" s="562"/>
      <c r="Q107" s="336"/>
      <c r="R107" s="562"/>
      <c r="S107" s="336"/>
      <c r="T107" s="562"/>
      <c r="U107" s="466"/>
      <c r="V107" s="597" t="s">
        <v>553</v>
      </c>
      <c r="W107" s="597" t="s">
        <v>968</v>
      </c>
      <c r="X107" s="597" t="s">
        <v>969</v>
      </c>
      <c r="Z107" s="336">
        <f t="shared" ref="Z107:AA122" si="107">AW107+AY107+BA107</f>
        <v>0</v>
      </c>
      <c r="AA107" s="337">
        <f t="shared" si="107"/>
        <v>0</v>
      </c>
      <c r="AB107" s="338">
        <f t="shared" si="94"/>
        <v>0</v>
      </c>
      <c r="AC107" s="336">
        <f t="shared" ref="AC107:AD122" si="108">BC107+BE107+BG107</f>
        <v>0</v>
      </c>
      <c r="AD107" s="337">
        <f t="shared" si="108"/>
        <v>0</v>
      </c>
      <c r="AE107" s="338">
        <f t="shared" si="95"/>
        <v>0</v>
      </c>
      <c r="AF107" s="336">
        <f t="shared" ref="AF107:AG122" si="109">BI107+BK107+BM107</f>
        <v>32800</v>
      </c>
      <c r="AG107" s="337">
        <f t="shared" si="109"/>
        <v>0</v>
      </c>
      <c r="AH107" s="338">
        <f t="shared" si="96"/>
        <v>32800</v>
      </c>
      <c r="AI107" s="336">
        <f t="shared" ref="AI107:AJ122" si="110">BO107+BQ107+BS107</f>
        <v>0</v>
      </c>
      <c r="AJ107" s="337">
        <f t="shared" si="110"/>
        <v>0</v>
      </c>
      <c r="AK107" s="338">
        <f t="shared" si="97"/>
        <v>0</v>
      </c>
      <c r="AL107" s="342"/>
      <c r="AM107" s="336">
        <f t="shared" ref="AM107:AN122" si="111">Z107+AC107</f>
        <v>0</v>
      </c>
      <c r="AN107" s="339">
        <f t="shared" si="111"/>
        <v>0</v>
      </c>
      <c r="AO107" s="340">
        <f t="shared" si="98"/>
        <v>0</v>
      </c>
      <c r="AP107" s="336">
        <f t="shared" ref="AP107:AQ122" si="112">Z107+AC107+AF107</f>
        <v>32800</v>
      </c>
      <c r="AQ107" s="339">
        <f t="shared" si="112"/>
        <v>0</v>
      </c>
      <c r="AR107" s="340">
        <f t="shared" si="99"/>
        <v>32800</v>
      </c>
      <c r="AS107" s="341">
        <f t="shared" si="105"/>
        <v>32800</v>
      </c>
      <c r="AT107" s="339">
        <f t="shared" si="105"/>
        <v>0</v>
      </c>
      <c r="AU107" s="340">
        <f t="shared" si="100"/>
        <v>32800</v>
      </c>
      <c r="AV107" s="1255">
        <f t="shared" si="101"/>
        <v>0</v>
      </c>
      <c r="AW107" s="343"/>
      <c r="AX107" s="1098"/>
      <c r="AY107" s="345"/>
      <c r="AZ107" s="1098"/>
      <c r="BA107" s="345"/>
      <c r="BB107" s="1120"/>
      <c r="BC107" s="347"/>
      <c r="BD107" s="348"/>
      <c r="BE107" s="349"/>
      <c r="BF107" s="348"/>
      <c r="BG107" s="349"/>
      <c r="BH107" s="350"/>
      <c r="BI107" s="1136">
        <v>32800</v>
      </c>
      <c r="BJ107" s="352"/>
      <c r="BK107" s="337"/>
      <c r="BL107" s="352"/>
      <c r="BM107" s="337"/>
      <c r="BN107" s="353"/>
      <c r="BO107" s="354"/>
      <c r="BP107" s="355"/>
      <c r="BQ107" s="356"/>
      <c r="BR107" s="355"/>
      <c r="BS107" s="356"/>
      <c r="BT107" s="357"/>
    </row>
    <row r="108" spans="1:72" s="313" customFormat="1" ht="38.25" customHeight="1" outlineLevel="2">
      <c r="A108" s="287">
        <v>97</v>
      </c>
      <c r="B108" s="933"/>
      <c r="C108" s="840"/>
      <c r="D108" s="841" t="s">
        <v>272</v>
      </c>
      <c r="E108" s="839"/>
      <c r="F108" s="821" t="s">
        <v>7</v>
      </c>
      <c r="G108" s="314">
        <v>4</v>
      </c>
      <c r="H108" s="739" t="s">
        <v>70</v>
      </c>
      <c r="I108" s="739">
        <v>244</v>
      </c>
      <c r="J108" s="740">
        <v>226</v>
      </c>
      <c r="K108" s="533" t="s">
        <v>493</v>
      </c>
      <c r="L108" s="1025">
        <v>17000</v>
      </c>
      <c r="M108" s="318"/>
      <c r="N108" s="318"/>
      <c r="O108" s="1052">
        <f t="shared" si="103"/>
        <v>17000</v>
      </c>
      <c r="P108" s="562"/>
      <c r="Q108" s="336"/>
      <c r="R108" s="562"/>
      <c r="S108" s="336"/>
      <c r="T108" s="562"/>
      <c r="U108" s="466"/>
      <c r="V108" s="597" t="s">
        <v>494</v>
      </c>
      <c r="W108" s="597" t="s">
        <v>1054</v>
      </c>
      <c r="X108" s="597" t="s">
        <v>1055</v>
      </c>
      <c r="Z108" s="336">
        <f t="shared" si="107"/>
        <v>0</v>
      </c>
      <c r="AA108" s="337">
        <f t="shared" si="107"/>
        <v>0</v>
      </c>
      <c r="AB108" s="338">
        <f t="shared" si="94"/>
        <v>0</v>
      </c>
      <c r="AC108" s="336">
        <f t="shared" si="108"/>
        <v>0</v>
      </c>
      <c r="AD108" s="337">
        <f t="shared" si="108"/>
        <v>0</v>
      </c>
      <c r="AE108" s="338">
        <f t="shared" si="95"/>
        <v>0</v>
      </c>
      <c r="AF108" s="336">
        <f t="shared" si="109"/>
        <v>17000</v>
      </c>
      <c r="AG108" s="337">
        <f t="shared" si="109"/>
        <v>0</v>
      </c>
      <c r="AH108" s="338">
        <f t="shared" si="96"/>
        <v>17000</v>
      </c>
      <c r="AI108" s="336">
        <f t="shared" si="110"/>
        <v>0</v>
      </c>
      <c r="AJ108" s="337">
        <f t="shared" si="110"/>
        <v>0</v>
      </c>
      <c r="AK108" s="338">
        <f t="shared" si="97"/>
        <v>0</v>
      </c>
      <c r="AL108" s="342"/>
      <c r="AM108" s="336">
        <f t="shared" si="111"/>
        <v>0</v>
      </c>
      <c r="AN108" s="339">
        <f t="shared" si="111"/>
        <v>0</v>
      </c>
      <c r="AO108" s="340">
        <f t="shared" si="98"/>
        <v>0</v>
      </c>
      <c r="AP108" s="336">
        <f t="shared" si="112"/>
        <v>17000</v>
      </c>
      <c r="AQ108" s="339">
        <f t="shared" si="112"/>
        <v>0</v>
      </c>
      <c r="AR108" s="340">
        <f t="shared" si="99"/>
        <v>17000</v>
      </c>
      <c r="AS108" s="341">
        <f t="shared" si="105"/>
        <v>17000</v>
      </c>
      <c r="AT108" s="339">
        <f t="shared" si="105"/>
        <v>0</v>
      </c>
      <c r="AU108" s="340">
        <f t="shared" si="100"/>
        <v>17000</v>
      </c>
      <c r="AV108" s="1255">
        <f t="shared" si="101"/>
        <v>0</v>
      </c>
      <c r="AW108" s="343"/>
      <c r="AX108" s="1098"/>
      <c r="AY108" s="345"/>
      <c r="AZ108" s="1098"/>
      <c r="BA108" s="345"/>
      <c r="BB108" s="1120"/>
      <c r="BC108" s="347"/>
      <c r="BD108" s="348"/>
      <c r="BE108" s="349"/>
      <c r="BF108" s="348"/>
      <c r="BG108" s="349"/>
      <c r="BH108" s="350"/>
      <c r="BI108" s="1136">
        <v>17000</v>
      </c>
      <c r="BJ108" s="352"/>
      <c r="BK108" s="337"/>
      <c r="BL108" s="352"/>
      <c r="BM108" s="337"/>
      <c r="BN108" s="353"/>
      <c r="BO108" s="354"/>
      <c r="BP108" s="355"/>
      <c r="BQ108" s="356"/>
      <c r="BR108" s="355"/>
      <c r="BS108" s="356"/>
      <c r="BT108" s="357"/>
    </row>
    <row r="109" spans="1:72" s="313" customFormat="1" ht="38.25" customHeight="1" outlineLevel="2">
      <c r="A109" s="287">
        <v>98</v>
      </c>
      <c r="B109" s="933"/>
      <c r="C109" s="840"/>
      <c r="D109" s="841" t="s">
        <v>272</v>
      </c>
      <c r="E109" s="839"/>
      <c r="F109" s="821" t="s">
        <v>7</v>
      </c>
      <c r="G109" s="314">
        <v>4</v>
      </c>
      <c r="H109" s="739" t="s">
        <v>70</v>
      </c>
      <c r="I109" s="739">
        <v>244</v>
      </c>
      <c r="J109" s="740">
        <v>226</v>
      </c>
      <c r="K109" s="533" t="s">
        <v>290</v>
      </c>
      <c r="L109" s="1025">
        <v>215502</v>
      </c>
      <c r="M109" s="318"/>
      <c r="N109" s="318"/>
      <c r="O109" s="1052">
        <f t="shared" si="103"/>
        <v>215502</v>
      </c>
      <c r="P109" s="562"/>
      <c r="Q109" s="336"/>
      <c r="R109" s="562"/>
      <c r="S109" s="336"/>
      <c r="T109" s="562"/>
      <c r="U109" s="466"/>
      <c r="V109" s="597" t="s">
        <v>1049</v>
      </c>
      <c r="W109" s="597" t="s">
        <v>1050</v>
      </c>
      <c r="X109" s="597" t="s">
        <v>1051</v>
      </c>
      <c r="Z109" s="336">
        <f t="shared" si="107"/>
        <v>0</v>
      </c>
      <c r="AA109" s="337">
        <f t="shared" si="107"/>
        <v>0</v>
      </c>
      <c r="AB109" s="338">
        <f t="shared" si="94"/>
        <v>0</v>
      </c>
      <c r="AC109" s="336">
        <f t="shared" si="108"/>
        <v>0</v>
      </c>
      <c r="AD109" s="337">
        <f t="shared" si="108"/>
        <v>0</v>
      </c>
      <c r="AE109" s="338">
        <f t="shared" si="95"/>
        <v>0</v>
      </c>
      <c r="AF109" s="336">
        <f t="shared" si="109"/>
        <v>0</v>
      </c>
      <c r="AG109" s="337">
        <f t="shared" si="109"/>
        <v>0</v>
      </c>
      <c r="AH109" s="338">
        <f t="shared" si="96"/>
        <v>0</v>
      </c>
      <c r="AI109" s="336">
        <f t="shared" si="110"/>
        <v>215502</v>
      </c>
      <c r="AJ109" s="337">
        <f t="shared" si="110"/>
        <v>0</v>
      </c>
      <c r="AK109" s="338">
        <f t="shared" si="97"/>
        <v>215502</v>
      </c>
      <c r="AL109" s="342"/>
      <c r="AM109" s="336">
        <f t="shared" si="111"/>
        <v>0</v>
      </c>
      <c r="AN109" s="339">
        <f t="shared" si="111"/>
        <v>0</v>
      </c>
      <c r="AO109" s="340">
        <f t="shared" si="98"/>
        <v>0</v>
      </c>
      <c r="AP109" s="336">
        <f t="shared" si="112"/>
        <v>0</v>
      </c>
      <c r="AQ109" s="339">
        <f t="shared" si="112"/>
        <v>0</v>
      </c>
      <c r="AR109" s="340">
        <f t="shared" si="99"/>
        <v>0</v>
      </c>
      <c r="AS109" s="341">
        <f t="shared" si="105"/>
        <v>215502</v>
      </c>
      <c r="AT109" s="339">
        <f t="shared" si="105"/>
        <v>0</v>
      </c>
      <c r="AU109" s="340">
        <f t="shared" si="100"/>
        <v>215502</v>
      </c>
      <c r="AV109" s="1255">
        <f t="shared" si="101"/>
        <v>0</v>
      </c>
      <c r="AW109" s="343"/>
      <c r="AX109" s="1098"/>
      <c r="AY109" s="345"/>
      <c r="AZ109" s="1098"/>
      <c r="BA109" s="345"/>
      <c r="BB109" s="1120"/>
      <c r="BC109" s="347"/>
      <c r="BD109" s="348"/>
      <c r="BE109" s="349"/>
      <c r="BF109" s="348"/>
      <c r="BG109" s="349"/>
      <c r="BH109" s="350"/>
      <c r="BI109" s="351"/>
      <c r="BJ109" s="352"/>
      <c r="BK109" s="337"/>
      <c r="BL109" s="352"/>
      <c r="BM109" s="337"/>
      <c r="BN109" s="353"/>
      <c r="BO109" s="1138">
        <v>215502</v>
      </c>
      <c r="BP109" s="355"/>
      <c r="BQ109" s="356"/>
      <c r="BR109" s="355"/>
      <c r="BS109" s="356"/>
      <c r="BT109" s="357"/>
    </row>
    <row r="110" spans="1:72" s="430" customFormat="1" ht="25.5" customHeight="1" outlineLevel="2">
      <c r="A110" s="287">
        <v>99</v>
      </c>
      <c r="B110" s="933"/>
      <c r="C110" s="743"/>
      <c r="D110" s="856" t="s">
        <v>272</v>
      </c>
      <c r="E110" s="857"/>
      <c r="F110" s="827" t="s">
        <v>7</v>
      </c>
      <c r="G110" s="431">
        <v>4</v>
      </c>
      <c r="H110" s="474" t="s">
        <v>70</v>
      </c>
      <c r="I110" s="743">
        <v>244</v>
      </c>
      <c r="J110" s="744">
        <v>226</v>
      </c>
      <c r="K110" s="536" t="s">
        <v>284</v>
      </c>
      <c r="L110" s="1030">
        <v>0</v>
      </c>
      <c r="M110" s="434"/>
      <c r="N110" s="434"/>
      <c r="O110" s="1064">
        <f t="shared" si="103"/>
        <v>0</v>
      </c>
      <c r="P110" s="563"/>
      <c r="Q110" s="437"/>
      <c r="R110" s="563"/>
      <c r="S110" s="437"/>
      <c r="T110" s="563"/>
      <c r="U110" s="467"/>
      <c r="V110" s="436"/>
      <c r="W110" s="436"/>
      <c r="X110" s="436"/>
      <c r="Z110" s="437">
        <f t="shared" si="107"/>
        <v>0</v>
      </c>
      <c r="AA110" s="438">
        <f t="shared" si="107"/>
        <v>0</v>
      </c>
      <c r="AB110" s="439">
        <f t="shared" si="94"/>
        <v>0</v>
      </c>
      <c r="AC110" s="437">
        <f t="shared" si="108"/>
        <v>0</v>
      </c>
      <c r="AD110" s="438">
        <f t="shared" si="108"/>
        <v>0</v>
      </c>
      <c r="AE110" s="439">
        <f t="shared" si="95"/>
        <v>0</v>
      </c>
      <c r="AF110" s="437">
        <f t="shared" si="109"/>
        <v>0</v>
      </c>
      <c r="AG110" s="438">
        <f t="shared" si="109"/>
        <v>0</v>
      </c>
      <c r="AH110" s="439">
        <f t="shared" si="96"/>
        <v>0</v>
      </c>
      <c r="AI110" s="437">
        <f t="shared" si="110"/>
        <v>0</v>
      </c>
      <c r="AJ110" s="438">
        <f t="shared" si="110"/>
        <v>0</v>
      </c>
      <c r="AK110" s="439">
        <f t="shared" si="97"/>
        <v>0</v>
      </c>
      <c r="AL110" s="440"/>
      <c r="AM110" s="437">
        <f t="shared" si="111"/>
        <v>0</v>
      </c>
      <c r="AN110" s="441">
        <f t="shared" si="111"/>
        <v>0</v>
      </c>
      <c r="AO110" s="442">
        <f t="shared" si="98"/>
        <v>0</v>
      </c>
      <c r="AP110" s="437">
        <f t="shared" si="112"/>
        <v>0</v>
      </c>
      <c r="AQ110" s="441">
        <f t="shared" si="112"/>
        <v>0</v>
      </c>
      <c r="AR110" s="442">
        <f t="shared" si="99"/>
        <v>0</v>
      </c>
      <c r="AS110" s="443">
        <f t="shared" si="105"/>
        <v>0</v>
      </c>
      <c r="AT110" s="441">
        <f t="shared" si="105"/>
        <v>0</v>
      </c>
      <c r="AU110" s="442">
        <f t="shared" si="100"/>
        <v>0</v>
      </c>
      <c r="AV110" s="440">
        <f t="shared" si="101"/>
        <v>0</v>
      </c>
      <c r="AW110" s="444"/>
      <c r="AX110" s="1111"/>
      <c r="AY110" s="446"/>
      <c r="AZ110" s="1111"/>
      <c r="BA110" s="446"/>
      <c r="BB110" s="1129"/>
      <c r="BC110" s="448"/>
      <c r="BD110" s="449"/>
      <c r="BE110" s="450"/>
      <c r="BF110" s="449"/>
      <c r="BG110" s="450"/>
      <c r="BH110" s="451"/>
      <c r="BI110" s="452"/>
      <c r="BJ110" s="453"/>
      <c r="BK110" s="438"/>
      <c r="BL110" s="453"/>
      <c r="BM110" s="438"/>
      <c r="BN110" s="454"/>
      <c r="BO110" s="455"/>
      <c r="BP110" s="456"/>
      <c r="BQ110" s="457"/>
      <c r="BR110" s="456"/>
      <c r="BS110" s="457"/>
      <c r="BT110" s="458"/>
    </row>
    <row r="111" spans="1:72" s="468" customFormat="1" ht="66.75" customHeight="1" outlineLevel="1">
      <c r="A111" s="287">
        <v>100</v>
      </c>
      <c r="B111" s="933"/>
      <c r="C111" s="850" t="s">
        <v>378</v>
      </c>
      <c r="D111" s="854" t="s">
        <v>876</v>
      </c>
      <c r="E111" s="858"/>
      <c r="F111" s="828" t="s">
        <v>7</v>
      </c>
      <c r="G111" s="469">
        <v>4</v>
      </c>
      <c r="H111" s="745" t="s">
        <v>70</v>
      </c>
      <c r="I111" s="745">
        <v>244</v>
      </c>
      <c r="J111" s="746">
        <v>226</v>
      </c>
      <c r="K111" s="537" t="s">
        <v>1119</v>
      </c>
      <c r="L111" s="1032">
        <f>SUM(L112:L125)</f>
        <v>195900.79999999999</v>
      </c>
      <c r="M111" s="422"/>
      <c r="N111" s="352">
        <f>SUM(N112:N125)</f>
        <v>0</v>
      </c>
      <c r="O111" s="1065">
        <f t="shared" si="103"/>
        <v>195900.79999999999</v>
      </c>
      <c r="P111" s="564">
        <v>741617.76</v>
      </c>
      <c r="Q111" s="472"/>
      <c r="R111" s="564"/>
      <c r="S111" s="472"/>
      <c r="T111" s="564"/>
      <c r="U111" s="393"/>
      <c r="V111" s="394"/>
      <c r="W111" s="394"/>
      <c r="X111" s="394"/>
      <c r="Y111" s="392"/>
      <c r="Z111" s="395">
        <f t="shared" si="107"/>
        <v>0</v>
      </c>
      <c r="AA111" s="396">
        <f t="shared" si="107"/>
        <v>0</v>
      </c>
      <c r="AB111" s="397">
        <f t="shared" si="94"/>
        <v>0</v>
      </c>
      <c r="AC111" s="395">
        <f t="shared" si="108"/>
        <v>0</v>
      </c>
      <c r="AD111" s="396">
        <f t="shared" si="108"/>
        <v>0</v>
      </c>
      <c r="AE111" s="397">
        <f t="shared" si="95"/>
        <v>0</v>
      </c>
      <c r="AF111" s="395">
        <f t="shared" si="109"/>
        <v>0</v>
      </c>
      <c r="AG111" s="396">
        <f t="shared" si="109"/>
        <v>0</v>
      </c>
      <c r="AH111" s="397">
        <f t="shared" si="96"/>
        <v>0</v>
      </c>
      <c r="AI111" s="395">
        <f t="shared" si="110"/>
        <v>448846.8</v>
      </c>
      <c r="AJ111" s="396">
        <f t="shared" si="110"/>
        <v>195900.79999999999</v>
      </c>
      <c r="AK111" s="397">
        <f t="shared" si="97"/>
        <v>252946</v>
      </c>
      <c r="AL111" s="398"/>
      <c r="AM111" s="472">
        <f t="shared" si="111"/>
        <v>0</v>
      </c>
      <c r="AN111" s="422">
        <f t="shared" si="111"/>
        <v>0</v>
      </c>
      <c r="AO111" s="473">
        <f t="shared" si="98"/>
        <v>0</v>
      </c>
      <c r="AP111" s="472">
        <f t="shared" si="112"/>
        <v>0</v>
      </c>
      <c r="AQ111" s="422">
        <f t="shared" si="112"/>
        <v>0</v>
      </c>
      <c r="AR111" s="473">
        <f t="shared" si="99"/>
        <v>0</v>
      </c>
      <c r="AS111" s="472">
        <f t="shared" si="105"/>
        <v>448846.8</v>
      </c>
      <c r="AT111" s="422">
        <f t="shared" si="105"/>
        <v>195900.79999999999</v>
      </c>
      <c r="AU111" s="473">
        <f t="shared" si="100"/>
        <v>252946</v>
      </c>
      <c r="AV111" s="1263">
        <f t="shared" si="101"/>
        <v>-252946</v>
      </c>
      <c r="AW111" s="472">
        <f t="shared" ref="AW111:BT111" si="113">SUM(AW112:AW125)</f>
        <v>0</v>
      </c>
      <c r="AX111" s="1110">
        <f t="shared" si="113"/>
        <v>0</v>
      </c>
      <c r="AY111" s="422">
        <f t="shared" si="113"/>
        <v>0</v>
      </c>
      <c r="AZ111" s="1110">
        <f t="shared" si="113"/>
        <v>0</v>
      </c>
      <c r="BA111" s="422">
        <f t="shared" si="113"/>
        <v>0</v>
      </c>
      <c r="BB111" s="1128">
        <f t="shared" si="113"/>
        <v>0</v>
      </c>
      <c r="BC111" s="472">
        <f t="shared" si="113"/>
        <v>0</v>
      </c>
      <c r="BD111" s="422">
        <f t="shared" si="113"/>
        <v>0</v>
      </c>
      <c r="BE111" s="422">
        <f t="shared" si="113"/>
        <v>0</v>
      </c>
      <c r="BF111" s="422">
        <f t="shared" si="113"/>
        <v>0</v>
      </c>
      <c r="BG111" s="422">
        <f t="shared" si="113"/>
        <v>0</v>
      </c>
      <c r="BH111" s="423">
        <f t="shared" si="113"/>
        <v>0</v>
      </c>
      <c r="BI111" s="472">
        <f t="shared" si="113"/>
        <v>0</v>
      </c>
      <c r="BJ111" s="422">
        <f t="shared" si="113"/>
        <v>0</v>
      </c>
      <c r="BK111" s="422">
        <f t="shared" si="113"/>
        <v>0</v>
      </c>
      <c r="BL111" s="422">
        <f t="shared" si="113"/>
        <v>0</v>
      </c>
      <c r="BM111" s="422">
        <f t="shared" si="113"/>
        <v>0</v>
      </c>
      <c r="BN111" s="423">
        <f t="shared" si="113"/>
        <v>0</v>
      </c>
      <c r="BO111" s="472">
        <f t="shared" si="113"/>
        <v>68000</v>
      </c>
      <c r="BP111" s="422">
        <f t="shared" si="113"/>
        <v>68000</v>
      </c>
      <c r="BQ111" s="422">
        <f t="shared" si="113"/>
        <v>127900.8</v>
      </c>
      <c r="BR111" s="422">
        <f t="shared" si="113"/>
        <v>127900.8</v>
      </c>
      <c r="BS111" s="422">
        <f t="shared" si="113"/>
        <v>252946</v>
      </c>
      <c r="BT111" s="473">
        <f t="shared" si="113"/>
        <v>0</v>
      </c>
    </row>
    <row r="112" spans="1:72" s="399" customFormat="1" ht="25.5" customHeight="1" outlineLevel="2">
      <c r="A112" s="287">
        <v>101</v>
      </c>
      <c r="B112" s="933" t="s">
        <v>1123</v>
      </c>
      <c r="C112" s="859"/>
      <c r="D112" s="854" t="s">
        <v>876</v>
      </c>
      <c r="E112" s="860"/>
      <c r="F112" s="829" t="s">
        <v>7</v>
      </c>
      <c r="G112" s="400">
        <v>4</v>
      </c>
      <c r="H112" s="747" t="s">
        <v>70</v>
      </c>
      <c r="I112" s="747">
        <v>244</v>
      </c>
      <c r="J112" s="748">
        <v>226</v>
      </c>
      <c r="K112" s="1005" t="s">
        <v>1037</v>
      </c>
      <c r="L112" s="1031">
        <v>0</v>
      </c>
      <c r="M112" s="403"/>
      <c r="N112" s="403"/>
      <c r="O112" s="1063">
        <f t="shared" si="103"/>
        <v>0</v>
      </c>
      <c r="P112" s="565">
        <v>0</v>
      </c>
      <c r="Q112" s="406"/>
      <c r="R112" s="565"/>
      <c r="S112" s="406"/>
      <c r="T112" s="565"/>
      <c r="U112" s="428"/>
      <c r="V112" s="405"/>
      <c r="W112" s="405"/>
      <c r="X112" s="405"/>
      <c r="Z112" s="406">
        <f t="shared" si="107"/>
        <v>0</v>
      </c>
      <c r="AA112" s="407">
        <f t="shared" si="107"/>
        <v>0</v>
      </c>
      <c r="AB112" s="408">
        <f t="shared" si="94"/>
        <v>0</v>
      </c>
      <c r="AC112" s="406">
        <f t="shared" si="108"/>
        <v>0</v>
      </c>
      <c r="AD112" s="407">
        <f t="shared" si="108"/>
        <v>0</v>
      </c>
      <c r="AE112" s="408">
        <f t="shared" si="95"/>
        <v>0</v>
      </c>
      <c r="AF112" s="406">
        <f t="shared" si="109"/>
        <v>0</v>
      </c>
      <c r="AG112" s="407">
        <f t="shared" si="109"/>
        <v>0</v>
      </c>
      <c r="AH112" s="408">
        <f t="shared" si="96"/>
        <v>0</v>
      </c>
      <c r="AI112" s="406">
        <f t="shared" si="110"/>
        <v>252946</v>
      </c>
      <c r="AJ112" s="407">
        <f t="shared" si="110"/>
        <v>0</v>
      </c>
      <c r="AK112" s="408">
        <f t="shared" si="97"/>
        <v>252946</v>
      </c>
      <c r="AL112" s="409"/>
      <c r="AM112" s="406">
        <f t="shared" si="111"/>
        <v>0</v>
      </c>
      <c r="AN112" s="410">
        <f t="shared" si="111"/>
        <v>0</v>
      </c>
      <c r="AO112" s="411">
        <f t="shared" si="98"/>
        <v>0</v>
      </c>
      <c r="AP112" s="406">
        <f t="shared" si="112"/>
        <v>0</v>
      </c>
      <c r="AQ112" s="410">
        <f t="shared" si="112"/>
        <v>0</v>
      </c>
      <c r="AR112" s="411">
        <f t="shared" si="99"/>
        <v>0</v>
      </c>
      <c r="AS112" s="412">
        <f t="shared" si="105"/>
        <v>252946</v>
      </c>
      <c r="AT112" s="410">
        <f t="shared" si="105"/>
        <v>0</v>
      </c>
      <c r="AU112" s="411">
        <f t="shared" si="100"/>
        <v>252946</v>
      </c>
      <c r="AV112" s="1262">
        <f t="shared" si="101"/>
        <v>-252946</v>
      </c>
      <c r="AW112" s="413"/>
      <c r="AX112" s="1098"/>
      <c r="AY112" s="415"/>
      <c r="AZ112" s="1098"/>
      <c r="BA112" s="415"/>
      <c r="BB112" s="1120"/>
      <c r="BC112" s="417"/>
      <c r="BD112" s="418"/>
      <c r="BE112" s="419"/>
      <c r="BF112" s="418"/>
      <c r="BG112" s="419"/>
      <c r="BH112" s="420"/>
      <c r="BI112" s="421"/>
      <c r="BJ112" s="422"/>
      <c r="BK112" s="407"/>
      <c r="BL112" s="422"/>
      <c r="BM112" s="407"/>
      <c r="BN112" s="423"/>
      <c r="BO112" s="354"/>
      <c r="BP112" s="425"/>
      <c r="BQ112" s="426"/>
      <c r="BR112" s="425"/>
      <c r="BS112" s="356">
        <v>252946</v>
      </c>
      <c r="BT112" s="427"/>
    </row>
    <row r="113" spans="1:72" s="399" customFormat="1" ht="38.25" outlineLevel="2">
      <c r="A113" s="287">
        <v>102</v>
      </c>
      <c r="B113" s="933"/>
      <c r="C113" s="859"/>
      <c r="D113" s="854" t="s">
        <v>876</v>
      </c>
      <c r="E113" s="860"/>
      <c r="F113" s="829" t="s">
        <v>7</v>
      </c>
      <c r="G113" s="400">
        <v>4</v>
      </c>
      <c r="H113" s="747" t="s">
        <v>70</v>
      </c>
      <c r="I113" s="747">
        <v>244</v>
      </c>
      <c r="J113" s="748">
        <v>226</v>
      </c>
      <c r="K113" s="1414" t="s">
        <v>1116</v>
      </c>
      <c r="L113" s="1415">
        <v>65660</v>
      </c>
      <c r="M113" s="1416"/>
      <c r="N113" s="1416"/>
      <c r="O113" s="1417">
        <f t="shared" si="103"/>
        <v>65660</v>
      </c>
      <c r="P113" s="565">
        <v>0</v>
      </c>
      <c r="Q113" s="406"/>
      <c r="R113" s="565"/>
      <c r="S113" s="406"/>
      <c r="T113" s="565"/>
      <c r="U113" s="428"/>
      <c r="V113" s="597" t="s">
        <v>1117</v>
      </c>
      <c r="W113" s="597" t="s">
        <v>1118</v>
      </c>
      <c r="X113" s="597" t="s">
        <v>1079</v>
      </c>
      <c r="Z113" s="406">
        <f t="shared" si="107"/>
        <v>0</v>
      </c>
      <c r="AA113" s="407">
        <f t="shared" si="107"/>
        <v>0</v>
      </c>
      <c r="AB113" s="408">
        <f t="shared" si="94"/>
        <v>0</v>
      </c>
      <c r="AC113" s="406">
        <f t="shared" si="108"/>
        <v>0</v>
      </c>
      <c r="AD113" s="407">
        <f t="shared" si="108"/>
        <v>0</v>
      </c>
      <c r="AE113" s="408">
        <f t="shared" si="95"/>
        <v>0</v>
      </c>
      <c r="AF113" s="406">
        <f t="shared" si="109"/>
        <v>0</v>
      </c>
      <c r="AG113" s="407">
        <f t="shared" si="109"/>
        <v>0</v>
      </c>
      <c r="AH113" s="408">
        <f t="shared" si="96"/>
        <v>0</v>
      </c>
      <c r="AI113" s="406">
        <f t="shared" si="110"/>
        <v>65660</v>
      </c>
      <c r="AJ113" s="407">
        <f t="shared" si="110"/>
        <v>65660</v>
      </c>
      <c r="AK113" s="408">
        <f t="shared" si="97"/>
        <v>0</v>
      </c>
      <c r="AL113" s="409"/>
      <c r="AM113" s="406">
        <f t="shared" si="111"/>
        <v>0</v>
      </c>
      <c r="AN113" s="410">
        <f t="shared" si="111"/>
        <v>0</v>
      </c>
      <c r="AO113" s="411">
        <f t="shared" si="98"/>
        <v>0</v>
      </c>
      <c r="AP113" s="406">
        <f t="shared" si="112"/>
        <v>0</v>
      </c>
      <c r="AQ113" s="410">
        <f t="shared" si="112"/>
        <v>0</v>
      </c>
      <c r="AR113" s="411">
        <f t="shared" si="99"/>
        <v>0</v>
      </c>
      <c r="AS113" s="412">
        <f t="shared" si="105"/>
        <v>65660</v>
      </c>
      <c r="AT113" s="410">
        <f t="shared" si="105"/>
        <v>65660</v>
      </c>
      <c r="AU113" s="411">
        <f t="shared" si="100"/>
        <v>0</v>
      </c>
      <c r="AV113" s="1262">
        <f t="shared" si="101"/>
        <v>0</v>
      </c>
      <c r="AW113" s="413"/>
      <c r="AX113" s="1098"/>
      <c r="AY113" s="415"/>
      <c r="AZ113" s="1098"/>
      <c r="BA113" s="415"/>
      <c r="BB113" s="1120"/>
      <c r="BC113" s="417"/>
      <c r="BD113" s="418"/>
      <c r="BE113" s="419"/>
      <c r="BF113" s="418"/>
      <c r="BG113" s="419"/>
      <c r="BH113" s="420"/>
      <c r="BI113" s="421"/>
      <c r="BJ113" s="422"/>
      <c r="BK113" s="407"/>
      <c r="BL113" s="422"/>
      <c r="BM113" s="407"/>
      <c r="BN113" s="353"/>
      <c r="BO113" s="354"/>
      <c r="BP113" s="425"/>
      <c r="BQ113" s="426">
        <v>65660</v>
      </c>
      <c r="BR113" s="355">
        <v>65660</v>
      </c>
      <c r="BS113" s="426"/>
      <c r="BT113" s="427"/>
    </row>
    <row r="114" spans="1:72" s="399" customFormat="1" ht="51" outlineLevel="2">
      <c r="A114" s="287">
        <v>103</v>
      </c>
      <c r="B114" s="933"/>
      <c r="C114" s="859"/>
      <c r="D114" s="854" t="s">
        <v>876</v>
      </c>
      <c r="E114" s="860"/>
      <c r="F114" s="829" t="s">
        <v>7</v>
      </c>
      <c r="G114" s="400">
        <v>4</v>
      </c>
      <c r="H114" s="747" t="s">
        <v>70</v>
      </c>
      <c r="I114" s="747">
        <v>244</v>
      </c>
      <c r="J114" s="748">
        <v>226</v>
      </c>
      <c r="K114" s="538" t="s">
        <v>1028</v>
      </c>
      <c r="L114" s="1288">
        <v>20000</v>
      </c>
      <c r="M114" s="403"/>
      <c r="N114" s="403"/>
      <c r="O114" s="1063">
        <f t="shared" si="103"/>
        <v>20000</v>
      </c>
      <c r="P114" s="565">
        <v>0</v>
      </c>
      <c r="Q114" s="406"/>
      <c r="R114" s="565"/>
      <c r="S114" s="406"/>
      <c r="T114" s="565"/>
      <c r="U114" s="428"/>
      <c r="V114" s="597" t="s">
        <v>1160</v>
      </c>
      <c r="W114" s="597" t="s">
        <v>1161</v>
      </c>
      <c r="X114" s="597" t="s">
        <v>1162</v>
      </c>
      <c r="Z114" s="406">
        <f t="shared" si="107"/>
        <v>0</v>
      </c>
      <c r="AA114" s="407">
        <f t="shared" si="107"/>
        <v>0</v>
      </c>
      <c r="AB114" s="408">
        <f t="shared" si="94"/>
        <v>0</v>
      </c>
      <c r="AC114" s="406">
        <f t="shared" si="108"/>
        <v>0</v>
      </c>
      <c r="AD114" s="407">
        <f t="shared" si="108"/>
        <v>0</v>
      </c>
      <c r="AE114" s="408">
        <f t="shared" si="95"/>
        <v>0</v>
      </c>
      <c r="AF114" s="406">
        <f t="shared" si="109"/>
        <v>0</v>
      </c>
      <c r="AG114" s="407">
        <f t="shared" si="109"/>
        <v>0</v>
      </c>
      <c r="AH114" s="408">
        <f t="shared" si="96"/>
        <v>0</v>
      </c>
      <c r="AI114" s="406">
        <f t="shared" si="110"/>
        <v>20000</v>
      </c>
      <c r="AJ114" s="407">
        <f t="shared" si="110"/>
        <v>20000</v>
      </c>
      <c r="AK114" s="408">
        <f t="shared" si="97"/>
        <v>0</v>
      </c>
      <c r="AL114" s="409"/>
      <c r="AM114" s="406">
        <f t="shared" si="111"/>
        <v>0</v>
      </c>
      <c r="AN114" s="410">
        <f t="shared" si="111"/>
        <v>0</v>
      </c>
      <c r="AO114" s="411">
        <f t="shared" si="98"/>
        <v>0</v>
      </c>
      <c r="AP114" s="406">
        <f t="shared" si="112"/>
        <v>0</v>
      </c>
      <c r="AQ114" s="410">
        <f t="shared" si="112"/>
        <v>0</v>
      </c>
      <c r="AR114" s="411">
        <f t="shared" si="99"/>
        <v>0</v>
      </c>
      <c r="AS114" s="412">
        <f t="shared" si="105"/>
        <v>20000</v>
      </c>
      <c r="AT114" s="410">
        <f t="shared" si="105"/>
        <v>20000</v>
      </c>
      <c r="AU114" s="411">
        <f t="shared" si="100"/>
        <v>0</v>
      </c>
      <c r="AV114" s="1262">
        <f t="shared" si="101"/>
        <v>0</v>
      </c>
      <c r="AW114" s="413"/>
      <c r="AX114" s="1098"/>
      <c r="AY114" s="415"/>
      <c r="AZ114" s="1098"/>
      <c r="BA114" s="415"/>
      <c r="BB114" s="1120"/>
      <c r="BC114" s="417"/>
      <c r="BD114" s="418"/>
      <c r="BE114" s="419"/>
      <c r="BF114" s="418"/>
      <c r="BG114" s="419"/>
      <c r="BH114" s="420"/>
      <c r="BI114" s="421"/>
      <c r="BJ114" s="422"/>
      <c r="BK114" s="407"/>
      <c r="BL114" s="422"/>
      <c r="BM114" s="407"/>
      <c r="BN114" s="353"/>
      <c r="BO114" s="354"/>
      <c r="BP114" s="425"/>
      <c r="BQ114" s="426">
        <v>20000</v>
      </c>
      <c r="BR114" s="355">
        <v>20000</v>
      </c>
      <c r="BS114" s="426"/>
      <c r="BT114" s="427"/>
    </row>
    <row r="115" spans="1:72" s="399" customFormat="1" ht="25.5" customHeight="1" outlineLevel="2">
      <c r="A115" s="287">
        <v>104</v>
      </c>
      <c r="B115" s="933"/>
      <c r="C115" s="859"/>
      <c r="D115" s="854" t="s">
        <v>876</v>
      </c>
      <c r="E115" s="860"/>
      <c r="F115" s="829" t="s">
        <v>7</v>
      </c>
      <c r="G115" s="400">
        <v>4</v>
      </c>
      <c r="H115" s="747" t="s">
        <v>70</v>
      </c>
      <c r="I115" s="747">
        <v>244</v>
      </c>
      <c r="J115" s="748">
        <v>226</v>
      </c>
      <c r="K115" s="538" t="s">
        <v>1029</v>
      </c>
      <c r="L115" s="1288">
        <v>25000</v>
      </c>
      <c r="M115" s="403"/>
      <c r="N115" s="403"/>
      <c r="O115" s="1063">
        <f t="shared" si="103"/>
        <v>25000</v>
      </c>
      <c r="P115" s="565">
        <v>0</v>
      </c>
      <c r="Q115" s="406"/>
      <c r="R115" s="565"/>
      <c r="S115" s="406"/>
      <c r="T115" s="565"/>
      <c r="U115" s="428"/>
      <c r="V115" s="405"/>
      <c r="W115" s="405"/>
      <c r="X115" s="405"/>
      <c r="Z115" s="406">
        <f t="shared" si="107"/>
        <v>0</v>
      </c>
      <c r="AA115" s="407">
        <f t="shared" si="107"/>
        <v>0</v>
      </c>
      <c r="AB115" s="408">
        <f t="shared" si="94"/>
        <v>0</v>
      </c>
      <c r="AC115" s="406">
        <f t="shared" si="108"/>
        <v>0</v>
      </c>
      <c r="AD115" s="407">
        <f t="shared" si="108"/>
        <v>0</v>
      </c>
      <c r="AE115" s="408">
        <f t="shared" si="95"/>
        <v>0</v>
      </c>
      <c r="AF115" s="406">
        <f t="shared" si="109"/>
        <v>0</v>
      </c>
      <c r="AG115" s="407">
        <f t="shared" si="109"/>
        <v>0</v>
      </c>
      <c r="AH115" s="408">
        <f t="shared" si="96"/>
        <v>0</v>
      </c>
      <c r="AI115" s="406">
        <f t="shared" si="110"/>
        <v>25000</v>
      </c>
      <c r="AJ115" s="407">
        <f t="shared" si="110"/>
        <v>25000</v>
      </c>
      <c r="AK115" s="408">
        <f t="shared" si="97"/>
        <v>0</v>
      </c>
      <c r="AL115" s="409"/>
      <c r="AM115" s="406">
        <f t="shared" si="111"/>
        <v>0</v>
      </c>
      <c r="AN115" s="410">
        <f t="shared" si="111"/>
        <v>0</v>
      </c>
      <c r="AO115" s="411">
        <f t="shared" si="98"/>
        <v>0</v>
      </c>
      <c r="AP115" s="406">
        <f t="shared" si="112"/>
        <v>0</v>
      </c>
      <c r="AQ115" s="410">
        <f t="shared" si="112"/>
        <v>0</v>
      </c>
      <c r="AR115" s="411">
        <f t="shared" si="99"/>
        <v>0</v>
      </c>
      <c r="AS115" s="412">
        <f t="shared" si="105"/>
        <v>25000</v>
      </c>
      <c r="AT115" s="410">
        <f t="shared" si="105"/>
        <v>25000</v>
      </c>
      <c r="AU115" s="411">
        <f t="shared" si="100"/>
        <v>0</v>
      </c>
      <c r="AV115" s="1262">
        <f t="shared" si="101"/>
        <v>0</v>
      </c>
      <c r="AW115" s="413"/>
      <c r="AX115" s="1098"/>
      <c r="AY115" s="415"/>
      <c r="AZ115" s="1098"/>
      <c r="BA115" s="415"/>
      <c r="BB115" s="1120"/>
      <c r="BC115" s="417"/>
      <c r="BD115" s="418"/>
      <c r="BE115" s="419"/>
      <c r="BF115" s="418"/>
      <c r="BG115" s="419"/>
      <c r="BH115" s="420"/>
      <c r="BI115" s="421"/>
      <c r="BJ115" s="422"/>
      <c r="BK115" s="407"/>
      <c r="BL115" s="422"/>
      <c r="BM115" s="407"/>
      <c r="BN115" s="353"/>
      <c r="BO115" s="354"/>
      <c r="BP115" s="425"/>
      <c r="BQ115" s="426">
        <v>25000</v>
      </c>
      <c r="BR115" s="355">
        <v>25000</v>
      </c>
      <c r="BS115" s="426"/>
      <c r="BT115" s="427"/>
    </row>
    <row r="116" spans="1:72" s="399" customFormat="1" ht="51" outlineLevel="2">
      <c r="A116" s="287">
        <v>105</v>
      </c>
      <c r="B116" s="933"/>
      <c r="C116" s="859"/>
      <c r="D116" s="854" t="s">
        <v>876</v>
      </c>
      <c r="E116" s="860"/>
      <c r="F116" s="829" t="s">
        <v>7</v>
      </c>
      <c r="G116" s="400">
        <v>4</v>
      </c>
      <c r="H116" s="747" t="s">
        <v>70</v>
      </c>
      <c r="I116" s="747">
        <v>244</v>
      </c>
      <c r="J116" s="748">
        <v>226</v>
      </c>
      <c r="K116" s="538" t="s">
        <v>1093</v>
      </c>
      <c r="L116" s="1288">
        <v>17240.8</v>
      </c>
      <c r="M116" s="403"/>
      <c r="N116" s="403"/>
      <c r="O116" s="1063">
        <f t="shared" si="103"/>
        <v>17240.8</v>
      </c>
      <c r="P116" s="565">
        <v>0</v>
      </c>
      <c r="Q116" s="406"/>
      <c r="R116" s="565"/>
      <c r="S116" s="406"/>
      <c r="T116" s="565"/>
      <c r="U116" s="428"/>
      <c r="V116" s="597" t="s">
        <v>1094</v>
      </c>
      <c r="W116" s="405"/>
      <c r="X116" s="405"/>
      <c r="Z116" s="406">
        <f t="shared" si="107"/>
        <v>0</v>
      </c>
      <c r="AA116" s="407">
        <f t="shared" si="107"/>
        <v>0</v>
      </c>
      <c r="AB116" s="408">
        <f t="shared" si="94"/>
        <v>0</v>
      </c>
      <c r="AC116" s="406">
        <f t="shared" si="108"/>
        <v>0</v>
      </c>
      <c r="AD116" s="407">
        <f t="shared" si="108"/>
        <v>0</v>
      </c>
      <c r="AE116" s="408">
        <f t="shared" si="95"/>
        <v>0</v>
      </c>
      <c r="AF116" s="406">
        <f t="shared" si="109"/>
        <v>0</v>
      </c>
      <c r="AG116" s="407">
        <f t="shared" si="109"/>
        <v>0</v>
      </c>
      <c r="AH116" s="408">
        <f t="shared" si="96"/>
        <v>0</v>
      </c>
      <c r="AI116" s="406">
        <f t="shared" si="110"/>
        <v>17240.8</v>
      </c>
      <c r="AJ116" s="407">
        <f t="shared" si="110"/>
        <v>17240.8</v>
      </c>
      <c r="AK116" s="408">
        <f t="shared" si="97"/>
        <v>0</v>
      </c>
      <c r="AL116" s="409"/>
      <c r="AM116" s="406">
        <f t="shared" si="111"/>
        <v>0</v>
      </c>
      <c r="AN116" s="410">
        <f t="shared" si="111"/>
        <v>0</v>
      </c>
      <c r="AO116" s="411">
        <f t="shared" si="98"/>
        <v>0</v>
      </c>
      <c r="AP116" s="406">
        <f t="shared" si="112"/>
        <v>0</v>
      </c>
      <c r="AQ116" s="410">
        <f t="shared" si="112"/>
        <v>0</v>
      </c>
      <c r="AR116" s="411">
        <f t="shared" si="99"/>
        <v>0</v>
      </c>
      <c r="AS116" s="412">
        <f t="shared" si="105"/>
        <v>17240.8</v>
      </c>
      <c r="AT116" s="410">
        <f t="shared" si="105"/>
        <v>17240.8</v>
      </c>
      <c r="AU116" s="411">
        <f t="shared" si="100"/>
        <v>0</v>
      </c>
      <c r="AV116" s="1262">
        <f t="shared" si="101"/>
        <v>0</v>
      </c>
      <c r="AW116" s="413"/>
      <c r="AX116" s="1098"/>
      <c r="AY116" s="415"/>
      <c r="AZ116" s="1098"/>
      <c r="BA116" s="415"/>
      <c r="BB116" s="1120"/>
      <c r="BC116" s="417"/>
      <c r="BD116" s="418"/>
      <c r="BE116" s="419"/>
      <c r="BF116" s="418"/>
      <c r="BG116" s="419"/>
      <c r="BH116" s="420"/>
      <c r="BI116" s="421"/>
      <c r="BJ116" s="422"/>
      <c r="BK116" s="407"/>
      <c r="BL116" s="422"/>
      <c r="BM116" s="407"/>
      <c r="BN116" s="423"/>
      <c r="BO116" s="1138"/>
      <c r="BP116" s="355"/>
      <c r="BQ116" s="426">
        <v>17240.8</v>
      </c>
      <c r="BR116" s="355">
        <v>17240.8</v>
      </c>
      <c r="BS116" s="426"/>
      <c r="BT116" s="427"/>
    </row>
    <row r="117" spans="1:72" s="399" customFormat="1" ht="25.5" outlineLevel="2">
      <c r="A117" s="287">
        <v>106</v>
      </c>
      <c r="B117" s="933"/>
      <c r="C117" s="859"/>
      <c r="D117" s="854" t="s">
        <v>876</v>
      </c>
      <c r="E117" s="860"/>
      <c r="F117" s="829" t="s">
        <v>7</v>
      </c>
      <c r="G117" s="400">
        <v>4</v>
      </c>
      <c r="H117" s="747" t="s">
        <v>70</v>
      </c>
      <c r="I117" s="747">
        <v>244</v>
      </c>
      <c r="J117" s="748">
        <v>226</v>
      </c>
      <c r="K117" s="1414" t="s">
        <v>1172</v>
      </c>
      <c r="L117" s="1415">
        <v>55000</v>
      </c>
      <c r="M117" s="1416"/>
      <c r="N117" s="1416"/>
      <c r="O117" s="1417">
        <f t="shared" si="103"/>
        <v>55000</v>
      </c>
      <c r="P117" s="565">
        <v>0</v>
      </c>
      <c r="Q117" s="406"/>
      <c r="R117" s="565"/>
      <c r="S117" s="406"/>
      <c r="T117" s="565"/>
      <c r="U117" s="428"/>
      <c r="V117" s="405" t="s">
        <v>1182</v>
      </c>
      <c r="W117" s="405" t="s">
        <v>1183</v>
      </c>
      <c r="X117" s="405" t="s">
        <v>1184</v>
      </c>
      <c r="Z117" s="406">
        <f t="shared" si="107"/>
        <v>0</v>
      </c>
      <c r="AA117" s="407">
        <f t="shared" si="107"/>
        <v>0</v>
      </c>
      <c r="AB117" s="408">
        <f t="shared" si="94"/>
        <v>0</v>
      </c>
      <c r="AC117" s="406">
        <f t="shared" si="108"/>
        <v>0</v>
      </c>
      <c r="AD117" s="407">
        <f t="shared" si="108"/>
        <v>0</v>
      </c>
      <c r="AE117" s="408">
        <f t="shared" si="95"/>
        <v>0</v>
      </c>
      <c r="AF117" s="406">
        <f t="shared" si="109"/>
        <v>0</v>
      </c>
      <c r="AG117" s="407">
        <f t="shared" si="109"/>
        <v>0</v>
      </c>
      <c r="AH117" s="408">
        <f t="shared" si="96"/>
        <v>0</v>
      </c>
      <c r="AI117" s="406">
        <f t="shared" si="110"/>
        <v>55000</v>
      </c>
      <c r="AJ117" s="407">
        <f t="shared" si="110"/>
        <v>55000</v>
      </c>
      <c r="AK117" s="408">
        <f t="shared" si="97"/>
        <v>0</v>
      </c>
      <c r="AL117" s="409"/>
      <c r="AM117" s="406">
        <f t="shared" si="111"/>
        <v>0</v>
      </c>
      <c r="AN117" s="410">
        <f t="shared" si="111"/>
        <v>0</v>
      </c>
      <c r="AO117" s="411">
        <f t="shared" si="98"/>
        <v>0</v>
      </c>
      <c r="AP117" s="406">
        <f t="shared" si="112"/>
        <v>0</v>
      </c>
      <c r="AQ117" s="410">
        <f t="shared" si="112"/>
        <v>0</v>
      </c>
      <c r="AR117" s="411">
        <f t="shared" si="99"/>
        <v>0</v>
      </c>
      <c r="AS117" s="412">
        <f t="shared" si="105"/>
        <v>55000</v>
      </c>
      <c r="AT117" s="410">
        <f t="shared" si="105"/>
        <v>55000</v>
      </c>
      <c r="AU117" s="411">
        <f t="shared" si="100"/>
        <v>0</v>
      </c>
      <c r="AV117" s="1262">
        <f t="shared" si="101"/>
        <v>0</v>
      </c>
      <c r="AW117" s="413"/>
      <c r="AX117" s="1098"/>
      <c r="AY117" s="415"/>
      <c r="AZ117" s="1098"/>
      <c r="BA117" s="415"/>
      <c r="BB117" s="1120"/>
      <c r="BC117" s="417"/>
      <c r="BD117" s="418"/>
      <c r="BE117" s="419"/>
      <c r="BF117" s="418"/>
      <c r="BG117" s="419"/>
      <c r="BH117" s="420"/>
      <c r="BI117" s="421"/>
      <c r="BJ117" s="422"/>
      <c r="BK117" s="407"/>
      <c r="BL117" s="422"/>
      <c r="BM117" s="407"/>
      <c r="BN117" s="423"/>
      <c r="BO117" s="1138">
        <v>55000</v>
      </c>
      <c r="BP117" s="355">
        <v>55000</v>
      </c>
      <c r="BQ117" s="426"/>
      <c r="BR117" s="425"/>
      <c r="BS117" s="426"/>
      <c r="BT117" s="427"/>
    </row>
    <row r="118" spans="1:72" s="399" customFormat="1" ht="25.5" customHeight="1" outlineLevel="2">
      <c r="A118" s="287">
        <v>107</v>
      </c>
      <c r="B118" s="933"/>
      <c r="C118" s="859"/>
      <c r="D118" s="854" t="s">
        <v>876</v>
      </c>
      <c r="E118" s="860"/>
      <c r="F118" s="829" t="s">
        <v>7</v>
      </c>
      <c r="G118" s="400">
        <v>4</v>
      </c>
      <c r="H118" s="747" t="s">
        <v>70</v>
      </c>
      <c r="I118" s="747">
        <v>244</v>
      </c>
      <c r="J118" s="748">
        <v>226</v>
      </c>
      <c r="K118" s="538" t="s">
        <v>293</v>
      </c>
      <c r="L118" s="1031">
        <v>0</v>
      </c>
      <c r="M118" s="403"/>
      <c r="N118" s="403"/>
      <c r="O118" s="1063">
        <f t="shared" si="103"/>
        <v>0</v>
      </c>
      <c r="P118" s="565">
        <v>165393.4</v>
      </c>
      <c r="Q118" s="406"/>
      <c r="R118" s="565"/>
      <c r="S118" s="406"/>
      <c r="T118" s="565"/>
      <c r="U118" s="428"/>
      <c r="V118" s="405"/>
      <c r="W118" s="405"/>
      <c r="X118" s="405"/>
      <c r="Z118" s="406">
        <f t="shared" si="107"/>
        <v>0</v>
      </c>
      <c r="AA118" s="407">
        <f t="shared" si="107"/>
        <v>0</v>
      </c>
      <c r="AB118" s="408">
        <f t="shared" si="94"/>
        <v>0</v>
      </c>
      <c r="AC118" s="406">
        <f t="shared" si="108"/>
        <v>0</v>
      </c>
      <c r="AD118" s="407">
        <f t="shared" si="108"/>
        <v>0</v>
      </c>
      <c r="AE118" s="408">
        <f t="shared" si="95"/>
        <v>0</v>
      </c>
      <c r="AF118" s="406">
        <f t="shared" si="109"/>
        <v>0</v>
      </c>
      <c r="AG118" s="407">
        <f t="shared" si="109"/>
        <v>0</v>
      </c>
      <c r="AH118" s="408">
        <f t="shared" si="96"/>
        <v>0</v>
      </c>
      <c r="AI118" s="406">
        <f t="shared" si="110"/>
        <v>0</v>
      </c>
      <c r="AJ118" s="407">
        <f t="shared" si="110"/>
        <v>0</v>
      </c>
      <c r="AK118" s="408">
        <f t="shared" si="97"/>
        <v>0</v>
      </c>
      <c r="AL118" s="409"/>
      <c r="AM118" s="406">
        <f t="shared" si="111"/>
        <v>0</v>
      </c>
      <c r="AN118" s="410">
        <f t="shared" si="111"/>
        <v>0</v>
      </c>
      <c r="AO118" s="411">
        <f t="shared" si="98"/>
        <v>0</v>
      </c>
      <c r="AP118" s="406">
        <f t="shared" si="112"/>
        <v>0</v>
      </c>
      <c r="AQ118" s="410">
        <f t="shared" si="112"/>
        <v>0</v>
      </c>
      <c r="AR118" s="411">
        <f t="shared" si="99"/>
        <v>0</v>
      </c>
      <c r="AS118" s="412">
        <f t="shared" si="105"/>
        <v>0</v>
      </c>
      <c r="AT118" s="410">
        <f t="shared" si="105"/>
        <v>0</v>
      </c>
      <c r="AU118" s="411">
        <f t="shared" si="100"/>
        <v>0</v>
      </c>
      <c r="AV118" s="1262">
        <f t="shared" si="101"/>
        <v>0</v>
      </c>
      <c r="AW118" s="413"/>
      <c r="AX118" s="1098"/>
      <c r="AY118" s="415"/>
      <c r="AZ118" s="1098"/>
      <c r="BA118" s="415"/>
      <c r="BB118" s="1120"/>
      <c r="BC118" s="417"/>
      <c r="BD118" s="418"/>
      <c r="BE118" s="419"/>
      <c r="BF118" s="418"/>
      <c r="BG118" s="419"/>
      <c r="BH118" s="420"/>
      <c r="BI118" s="421"/>
      <c r="BJ118" s="422"/>
      <c r="BK118" s="407"/>
      <c r="BL118" s="422"/>
      <c r="BM118" s="407"/>
      <c r="BN118" s="423"/>
      <c r="BO118" s="354"/>
      <c r="BP118" s="425"/>
      <c r="BQ118" s="426"/>
      <c r="BR118" s="425"/>
      <c r="BS118" s="426"/>
      <c r="BT118" s="427"/>
    </row>
    <row r="119" spans="1:72" s="399" customFormat="1" ht="25.5" customHeight="1" outlineLevel="2">
      <c r="A119" s="287">
        <v>108</v>
      </c>
      <c r="B119" s="933"/>
      <c r="C119" s="859"/>
      <c r="D119" s="854" t="s">
        <v>876</v>
      </c>
      <c r="E119" s="860"/>
      <c r="F119" s="829" t="s">
        <v>7</v>
      </c>
      <c r="G119" s="400">
        <v>4</v>
      </c>
      <c r="H119" s="747" t="s">
        <v>70</v>
      </c>
      <c r="I119" s="747">
        <v>244</v>
      </c>
      <c r="J119" s="748">
        <v>226</v>
      </c>
      <c r="K119" s="538" t="s">
        <v>1008</v>
      </c>
      <c r="L119" s="1031">
        <v>0</v>
      </c>
      <c r="M119" s="403"/>
      <c r="N119" s="403"/>
      <c r="O119" s="1063">
        <f t="shared" si="103"/>
        <v>0</v>
      </c>
      <c r="P119" s="565">
        <v>246736.08</v>
      </c>
      <c r="Q119" s="406"/>
      <c r="R119" s="565"/>
      <c r="S119" s="406"/>
      <c r="T119" s="565"/>
      <c r="U119" s="428"/>
      <c r="V119" s="405"/>
      <c r="W119" s="405"/>
      <c r="X119" s="405"/>
      <c r="Z119" s="406">
        <f t="shared" si="107"/>
        <v>0</v>
      </c>
      <c r="AA119" s="407">
        <f t="shared" si="107"/>
        <v>0</v>
      </c>
      <c r="AB119" s="408">
        <f t="shared" si="94"/>
        <v>0</v>
      </c>
      <c r="AC119" s="406">
        <f t="shared" si="108"/>
        <v>0</v>
      </c>
      <c r="AD119" s="407">
        <f t="shared" si="108"/>
        <v>0</v>
      </c>
      <c r="AE119" s="408">
        <f t="shared" si="95"/>
        <v>0</v>
      </c>
      <c r="AF119" s="406">
        <f t="shared" si="109"/>
        <v>0</v>
      </c>
      <c r="AG119" s="407">
        <f t="shared" si="109"/>
        <v>0</v>
      </c>
      <c r="AH119" s="408">
        <f t="shared" si="96"/>
        <v>0</v>
      </c>
      <c r="AI119" s="406">
        <f t="shared" si="110"/>
        <v>0</v>
      </c>
      <c r="AJ119" s="407">
        <f t="shared" si="110"/>
        <v>0</v>
      </c>
      <c r="AK119" s="408">
        <f t="shared" si="97"/>
        <v>0</v>
      </c>
      <c r="AL119" s="409"/>
      <c r="AM119" s="406">
        <f t="shared" si="111"/>
        <v>0</v>
      </c>
      <c r="AN119" s="410">
        <f t="shared" si="111"/>
        <v>0</v>
      </c>
      <c r="AO119" s="411">
        <f t="shared" si="98"/>
        <v>0</v>
      </c>
      <c r="AP119" s="406">
        <f t="shared" si="112"/>
        <v>0</v>
      </c>
      <c r="AQ119" s="410">
        <f t="shared" si="112"/>
        <v>0</v>
      </c>
      <c r="AR119" s="411">
        <f t="shared" si="99"/>
        <v>0</v>
      </c>
      <c r="AS119" s="412">
        <f t="shared" si="105"/>
        <v>0</v>
      </c>
      <c r="AT119" s="410">
        <f t="shared" si="105"/>
        <v>0</v>
      </c>
      <c r="AU119" s="411">
        <f t="shared" si="100"/>
        <v>0</v>
      </c>
      <c r="AV119" s="1262">
        <f t="shared" si="101"/>
        <v>0</v>
      </c>
      <c r="AW119" s="413"/>
      <c r="AX119" s="1098"/>
      <c r="AY119" s="415"/>
      <c r="AZ119" s="1098"/>
      <c r="BA119" s="415"/>
      <c r="BB119" s="1120"/>
      <c r="BC119" s="417"/>
      <c r="BD119" s="418"/>
      <c r="BE119" s="419"/>
      <c r="BF119" s="418"/>
      <c r="BG119" s="419"/>
      <c r="BH119" s="420"/>
      <c r="BI119" s="421"/>
      <c r="BJ119" s="422"/>
      <c r="BK119" s="407"/>
      <c r="BL119" s="422"/>
      <c r="BM119" s="407"/>
      <c r="BN119" s="423"/>
      <c r="BO119" s="354"/>
      <c r="BP119" s="425"/>
      <c r="BQ119" s="426"/>
      <c r="BR119" s="425"/>
      <c r="BS119" s="426"/>
      <c r="BT119" s="427"/>
    </row>
    <row r="120" spans="1:72" s="399" customFormat="1" ht="25.5" customHeight="1" outlineLevel="2">
      <c r="A120" s="287">
        <v>109</v>
      </c>
      <c r="B120" s="933"/>
      <c r="C120" s="859"/>
      <c r="D120" s="854" t="s">
        <v>876</v>
      </c>
      <c r="E120" s="860"/>
      <c r="F120" s="829" t="s">
        <v>7</v>
      </c>
      <c r="G120" s="400">
        <v>4</v>
      </c>
      <c r="H120" s="747" t="s">
        <v>70</v>
      </c>
      <c r="I120" s="747">
        <v>244</v>
      </c>
      <c r="J120" s="748">
        <v>226</v>
      </c>
      <c r="K120" s="538" t="s">
        <v>295</v>
      </c>
      <c r="L120" s="1031">
        <v>0</v>
      </c>
      <c r="M120" s="403"/>
      <c r="N120" s="403"/>
      <c r="O120" s="1063">
        <f t="shared" si="103"/>
        <v>0</v>
      </c>
      <c r="P120" s="565">
        <v>299886.7</v>
      </c>
      <c r="Q120" s="406"/>
      <c r="R120" s="565"/>
      <c r="S120" s="406"/>
      <c r="T120" s="565"/>
      <c r="U120" s="428"/>
      <c r="V120" s="405"/>
      <c r="W120" s="405"/>
      <c r="X120" s="405"/>
      <c r="Z120" s="406">
        <f t="shared" si="107"/>
        <v>0</v>
      </c>
      <c r="AA120" s="407">
        <f t="shared" si="107"/>
        <v>0</v>
      </c>
      <c r="AB120" s="408">
        <f t="shared" si="94"/>
        <v>0</v>
      </c>
      <c r="AC120" s="406">
        <f t="shared" si="108"/>
        <v>0</v>
      </c>
      <c r="AD120" s="407">
        <f t="shared" si="108"/>
        <v>0</v>
      </c>
      <c r="AE120" s="408">
        <f t="shared" si="95"/>
        <v>0</v>
      </c>
      <c r="AF120" s="406">
        <f t="shared" si="109"/>
        <v>0</v>
      </c>
      <c r="AG120" s="407">
        <f t="shared" si="109"/>
        <v>0</v>
      </c>
      <c r="AH120" s="408">
        <f t="shared" si="96"/>
        <v>0</v>
      </c>
      <c r="AI120" s="406">
        <f t="shared" si="110"/>
        <v>0</v>
      </c>
      <c r="AJ120" s="407">
        <f t="shared" si="110"/>
        <v>0</v>
      </c>
      <c r="AK120" s="408">
        <f t="shared" si="97"/>
        <v>0</v>
      </c>
      <c r="AL120" s="409"/>
      <c r="AM120" s="406">
        <f t="shared" si="111"/>
        <v>0</v>
      </c>
      <c r="AN120" s="410">
        <f t="shared" si="111"/>
        <v>0</v>
      </c>
      <c r="AO120" s="411">
        <f t="shared" si="98"/>
        <v>0</v>
      </c>
      <c r="AP120" s="406">
        <f t="shared" si="112"/>
        <v>0</v>
      </c>
      <c r="AQ120" s="410">
        <f t="shared" si="112"/>
        <v>0</v>
      </c>
      <c r="AR120" s="411">
        <f t="shared" si="99"/>
        <v>0</v>
      </c>
      <c r="AS120" s="412">
        <f t="shared" si="105"/>
        <v>0</v>
      </c>
      <c r="AT120" s="410">
        <f t="shared" si="105"/>
        <v>0</v>
      </c>
      <c r="AU120" s="411">
        <f t="shared" si="100"/>
        <v>0</v>
      </c>
      <c r="AV120" s="1262">
        <f t="shared" si="101"/>
        <v>0</v>
      </c>
      <c r="AW120" s="413"/>
      <c r="AX120" s="1098"/>
      <c r="AY120" s="415"/>
      <c r="AZ120" s="1098"/>
      <c r="BA120" s="415"/>
      <c r="BB120" s="1120"/>
      <c r="BC120" s="417"/>
      <c r="BD120" s="418"/>
      <c r="BE120" s="419"/>
      <c r="BF120" s="418"/>
      <c r="BG120" s="419"/>
      <c r="BH120" s="420"/>
      <c r="BI120" s="421"/>
      <c r="BJ120" s="422"/>
      <c r="BK120" s="407"/>
      <c r="BL120" s="422"/>
      <c r="BM120" s="407"/>
      <c r="BN120" s="423"/>
      <c r="BO120" s="354"/>
      <c r="BP120" s="425"/>
      <c r="BQ120" s="426"/>
      <c r="BR120" s="425"/>
      <c r="BS120" s="426"/>
      <c r="BT120" s="427"/>
    </row>
    <row r="121" spans="1:72" s="399" customFormat="1" ht="25.5" customHeight="1" outlineLevel="2">
      <c r="A121" s="287">
        <v>110</v>
      </c>
      <c r="B121" s="933"/>
      <c r="C121" s="859"/>
      <c r="D121" s="854" t="s">
        <v>876</v>
      </c>
      <c r="E121" s="860"/>
      <c r="F121" s="829" t="s">
        <v>7</v>
      </c>
      <c r="G121" s="400">
        <v>4</v>
      </c>
      <c r="H121" s="747" t="s">
        <v>70</v>
      </c>
      <c r="I121" s="747">
        <v>244</v>
      </c>
      <c r="J121" s="748">
        <v>226</v>
      </c>
      <c r="K121" s="538" t="s">
        <v>1006</v>
      </c>
      <c r="L121" s="1031">
        <v>0</v>
      </c>
      <c r="M121" s="403"/>
      <c r="N121" s="403"/>
      <c r="O121" s="1063">
        <f>L121+N121</f>
        <v>0</v>
      </c>
      <c r="P121" s="565">
        <v>27268.25</v>
      </c>
      <c r="Q121" s="406"/>
      <c r="R121" s="565"/>
      <c r="S121" s="406"/>
      <c r="T121" s="565"/>
      <c r="U121" s="428"/>
      <c r="V121" s="405"/>
      <c r="W121" s="405"/>
      <c r="X121" s="405"/>
      <c r="Z121" s="406">
        <f t="shared" si="107"/>
        <v>0</v>
      </c>
      <c r="AA121" s="407">
        <f t="shared" si="107"/>
        <v>0</v>
      </c>
      <c r="AB121" s="408">
        <f t="shared" si="94"/>
        <v>0</v>
      </c>
      <c r="AC121" s="406">
        <f t="shared" si="108"/>
        <v>0</v>
      </c>
      <c r="AD121" s="407">
        <f t="shared" si="108"/>
        <v>0</v>
      </c>
      <c r="AE121" s="408">
        <f t="shared" si="95"/>
        <v>0</v>
      </c>
      <c r="AF121" s="406">
        <f t="shared" si="109"/>
        <v>0</v>
      </c>
      <c r="AG121" s="407">
        <f t="shared" si="109"/>
        <v>0</v>
      </c>
      <c r="AH121" s="408">
        <f t="shared" si="96"/>
        <v>0</v>
      </c>
      <c r="AI121" s="406">
        <f t="shared" si="110"/>
        <v>0</v>
      </c>
      <c r="AJ121" s="407">
        <f t="shared" si="110"/>
        <v>0</v>
      </c>
      <c r="AK121" s="408">
        <f t="shared" si="97"/>
        <v>0</v>
      </c>
      <c r="AL121" s="409"/>
      <c r="AM121" s="406">
        <f t="shared" si="111"/>
        <v>0</v>
      </c>
      <c r="AN121" s="410">
        <f t="shared" si="111"/>
        <v>0</v>
      </c>
      <c r="AO121" s="411">
        <f t="shared" si="98"/>
        <v>0</v>
      </c>
      <c r="AP121" s="406">
        <f t="shared" si="112"/>
        <v>0</v>
      </c>
      <c r="AQ121" s="410">
        <f t="shared" si="112"/>
        <v>0</v>
      </c>
      <c r="AR121" s="411">
        <f t="shared" si="99"/>
        <v>0</v>
      </c>
      <c r="AS121" s="412">
        <f t="shared" si="105"/>
        <v>0</v>
      </c>
      <c r="AT121" s="410">
        <f t="shared" si="105"/>
        <v>0</v>
      </c>
      <c r="AU121" s="411">
        <f t="shared" si="100"/>
        <v>0</v>
      </c>
      <c r="AV121" s="1262">
        <f t="shared" si="101"/>
        <v>0</v>
      </c>
      <c r="AW121" s="413"/>
      <c r="AX121" s="1098"/>
      <c r="AY121" s="415"/>
      <c r="AZ121" s="1098"/>
      <c r="BA121" s="415"/>
      <c r="BB121" s="1120"/>
      <c r="BC121" s="417"/>
      <c r="BD121" s="418"/>
      <c r="BE121" s="419"/>
      <c r="BF121" s="418"/>
      <c r="BG121" s="419"/>
      <c r="BH121" s="420"/>
      <c r="BI121" s="421"/>
      <c r="BJ121" s="422"/>
      <c r="BK121" s="407"/>
      <c r="BL121" s="422"/>
      <c r="BM121" s="407"/>
      <c r="BN121" s="423"/>
      <c r="BO121" s="354"/>
      <c r="BP121" s="425"/>
      <c r="BQ121" s="426"/>
      <c r="BR121" s="425"/>
      <c r="BS121" s="426"/>
      <c r="BT121" s="427"/>
    </row>
    <row r="122" spans="1:72" s="399" customFormat="1" ht="25.5" customHeight="1" outlineLevel="2">
      <c r="A122" s="287">
        <v>111</v>
      </c>
      <c r="B122" s="933"/>
      <c r="C122" s="859"/>
      <c r="D122" s="854" t="s">
        <v>876</v>
      </c>
      <c r="E122" s="860"/>
      <c r="F122" s="829" t="s">
        <v>7</v>
      </c>
      <c r="G122" s="400">
        <v>4</v>
      </c>
      <c r="H122" s="747" t="s">
        <v>70</v>
      </c>
      <c r="I122" s="747">
        <v>244</v>
      </c>
      <c r="J122" s="748">
        <v>226</v>
      </c>
      <c r="K122" s="538" t="s">
        <v>288</v>
      </c>
      <c r="L122" s="1031">
        <v>0</v>
      </c>
      <c r="M122" s="403"/>
      <c r="N122" s="403"/>
      <c r="O122" s="1063">
        <f t="shared" si="103"/>
        <v>0</v>
      </c>
      <c r="P122" s="565">
        <v>0</v>
      </c>
      <c r="Q122" s="406"/>
      <c r="R122" s="565"/>
      <c r="S122" s="406"/>
      <c r="T122" s="565"/>
      <c r="U122" s="428"/>
      <c r="V122" s="405"/>
      <c r="W122" s="405"/>
      <c r="X122" s="405"/>
      <c r="Z122" s="406">
        <f t="shared" si="107"/>
        <v>0</v>
      </c>
      <c r="AA122" s="407">
        <f t="shared" si="107"/>
        <v>0</v>
      </c>
      <c r="AB122" s="408">
        <f t="shared" si="94"/>
        <v>0</v>
      </c>
      <c r="AC122" s="406">
        <f t="shared" si="108"/>
        <v>0</v>
      </c>
      <c r="AD122" s="407">
        <f t="shared" si="108"/>
        <v>0</v>
      </c>
      <c r="AE122" s="408">
        <f t="shared" si="95"/>
        <v>0</v>
      </c>
      <c r="AF122" s="406">
        <f t="shared" si="109"/>
        <v>0</v>
      </c>
      <c r="AG122" s="407">
        <f t="shared" si="109"/>
        <v>0</v>
      </c>
      <c r="AH122" s="408">
        <f t="shared" si="96"/>
        <v>0</v>
      </c>
      <c r="AI122" s="406">
        <f t="shared" si="110"/>
        <v>0</v>
      </c>
      <c r="AJ122" s="407">
        <f t="shared" si="110"/>
        <v>0</v>
      </c>
      <c r="AK122" s="408">
        <f t="shared" si="97"/>
        <v>0</v>
      </c>
      <c r="AL122" s="409"/>
      <c r="AM122" s="406">
        <f t="shared" si="111"/>
        <v>0</v>
      </c>
      <c r="AN122" s="410">
        <f t="shared" si="111"/>
        <v>0</v>
      </c>
      <c r="AO122" s="411">
        <f t="shared" si="98"/>
        <v>0</v>
      </c>
      <c r="AP122" s="406">
        <f t="shared" si="112"/>
        <v>0</v>
      </c>
      <c r="AQ122" s="410">
        <f t="shared" si="112"/>
        <v>0</v>
      </c>
      <c r="AR122" s="411">
        <f t="shared" si="99"/>
        <v>0</v>
      </c>
      <c r="AS122" s="412">
        <f t="shared" si="105"/>
        <v>0</v>
      </c>
      <c r="AT122" s="410">
        <f t="shared" si="105"/>
        <v>0</v>
      </c>
      <c r="AU122" s="411">
        <f t="shared" si="100"/>
        <v>0</v>
      </c>
      <c r="AV122" s="1262">
        <f t="shared" si="101"/>
        <v>0</v>
      </c>
      <c r="AW122" s="413"/>
      <c r="AX122" s="1098"/>
      <c r="AY122" s="415"/>
      <c r="AZ122" s="1098"/>
      <c r="BA122" s="415"/>
      <c r="BB122" s="1120"/>
      <c r="BC122" s="417"/>
      <c r="BD122" s="418"/>
      <c r="BE122" s="419"/>
      <c r="BF122" s="418"/>
      <c r="BG122" s="419"/>
      <c r="BH122" s="420"/>
      <c r="BI122" s="421"/>
      <c r="BJ122" s="422"/>
      <c r="BK122" s="407"/>
      <c r="BL122" s="422"/>
      <c r="BM122" s="407"/>
      <c r="BN122" s="423"/>
      <c r="BO122" s="354"/>
      <c r="BP122" s="425"/>
      <c r="BQ122" s="426"/>
      <c r="BR122" s="425"/>
      <c r="BS122" s="426"/>
      <c r="BT122" s="427"/>
    </row>
    <row r="123" spans="1:72" s="399" customFormat="1" ht="25.5" customHeight="1" outlineLevel="2">
      <c r="A123" s="287">
        <v>112</v>
      </c>
      <c r="B123" s="933"/>
      <c r="C123" s="859"/>
      <c r="D123" s="854" t="s">
        <v>876</v>
      </c>
      <c r="E123" s="860"/>
      <c r="F123" s="829" t="s">
        <v>7</v>
      </c>
      <c r="G123" s="400">
        <v>4</v>
      </c>
      <c r="H123" s="747" t="s">
        <v>70</v>
      </c>
      <c r="I123" s="747">
        <v>244</v>
      </c>
      <c r="J123" s="748">
        <v>226</v>
      </c>
      <c r="K123" s="538" t="s">
        <v>297</v>
      </c>
      <c r="L123" s="1031">
        <v>0</v>
      </c>
      <c r="M123" s="403"/>
      <c r="N123" s="403"/>
      <c r="O123" s="1063">
        <f t="shared" si="103"/>
        <v>0</v>
      </c>
      <c r="P123" s="565">
        <v>2333.33</v>
      </c>
      <c r="Q123" s="406"/>
      <c r="R123" s="565"/>
      <c r="S123" s="406"/>
      <c r="T123" s="565"/>
      <c r="U123" s="428"/>
      <c r="V123" s="405"/>
      <c r="W123" s="405"/>
      <c r="X123" s="405"/>
      <c r="Z123" s="406">
        <f t="shared" ref="Z123:AA141" si="114">AW123+AY123+BA123</f>
        <v>0</v>
      </c>
      <c r="AA123" s="407">
        <f t="shared" si="114"/>
        <v>0</v>
      </c>
      <c r="AB123" s="408">
        <f t="shared" si="94"/>
        <v>0</v>
      </c>
      <c r="AC123" s="406">
        <f t="shared" ref="AC123:AD141" si="115">BC123+BE123+BG123</f>
        <v>0</v>
      </c>
      <c r="AD123" s="407">
        <f t="shared" si="115"/>
        <v>0</v>
      </c>
      <c r="AE123" s="408">
        <f t="shared" si="95"/>
        <v>0</v>
      </c>
      <c r="AF123" s="406">
        <f t="shared" ref="AF123:AG141" si="116">BI123+BK123+BM123</f>
        <v>0</v>
      </c>
      <c r="AG123" s="407">
        <f t="shared" si="116"/>
        <v>0</v>
      </c>
      <c r="AH123" s="408">
        <f t="shared" si="96"/>
        <v>0</v>
      </c>
      <c r="AI123" s="406">
        <f t="shared" ref="AI123:AJ141" si="117">BO123+BQ123+BS123</f>
        <v>0</v>
      </c>
      <c r="AJ123" s="407">
        <f t="shared" si="117"/>
        <v>0</v>
      </c>
      <c r="AK123" s="408">
        <f t="shared" si="97"/>
        <v>0</v>
      </c>
      <c r="AL123" s="409"/>
      <c r="AM123" s="406">
        <f t="shared" ref="AM123:AN141" si="118">Z123+AC123</f>
        <v>0</v>
      </c>
      <c r="AN123" s="410">
        <f t="shared" si="118"/>
        <v>0</v>
      </c>
      <c r="AO123" s="411">
        <f t="shared" si="98"/>
        <v>0</v>
      </c>
      <c r="AP123" s="406">
        <f t="shared" ref="AP123:AQ141" si="119">Z123+AC123+AF123</f>
        <v>0</v>
      </c>
      <c r="AQ123" s="410">
        <f t="shared" si="119"/>
        <v>0</v>
      </c>
      <c r="AR123" s="411">
        <f t="shared" si="99"/>
        <v>0</v>
      </c>
      <c r="AS123" s="412">
        <f t="shared" si="105"/>
        <v>0</v>
      </c>
      <c r="AT123" s="410">
        <f t="shared" si="105"/>
        <v>0</v>
      </c>
      <c r="AU123" s="411">
        <f t="shared" si="100"/>
        <v>0</v>
      </c>
      <c r="AV123" s="1262">
        <f t="shared" si="101"/>
        <v>0</v>
      </c>
      <c r="AW123" s="413"/>
      <c r="AX123" s="1098"/>
      <c r="AY123" s="415"/>
      <c r="AZ123" s="1098"/>
      <c r="BA123" s="415"/>
      <c r="BB123" s="1120"/>
      <c r="BC123" s="417"/>
      <c r="BD123" s="418"/>
      <c r="BE123" s="419"/>
      <c r="BF123" s="418"/>
      <c r="BG123" s="419"/>
      <c r="BH123" s="420"/>
      <c r="BI123" s="421"/>
      <c r="BJ123" s="422"/>
      <c r="BK123" s="407"/>
      <c r="BL123" s="422"/>
      <c r="BM123" s="407"/>
      <c r="BN123" s="423"/>
      <c r="BO123" s="424"/>
      <c r="BP123" s="425"/>
      <c r="BQ123" s="426"/>
      <c r="BR123" s="425"/>
      <c r="BS123" s="426"/>
      <c r="BT123" s="427"/>
    </row>
    <row r="124" spans="1:72" s="399" customFormat="1" ht="25.5" customHeight="1" outlineLevel="2">
      <c r="A124" s="287">
        <v>113</v>
      </c>
      <c r="B124" s="933"/>
      <c r="C124" s="859"/>
      <c r="D124" s="854" t="s">
        <v>876</v>
      </c>
      <c r="E124" s="860"/>
      <c r="F124" s="829" t="s">
        <v>7</v>
      </c>
      <c r="G124" s="400">
        <v>4</v>
      </c>
      <c r="H124" s="747" t="s">
        <v>70</v>
      </c>
      <c r="I124" s="747">
        <v>244</v>
      </c>
      <c r="J124" s="748">
        <v>226</v>
      </c>
      <c r="K124" s="1414" t="s">
        <v>1036</v>
      </c>
      <c r="L124" s="1415">
        <v>13000</v>
      </c>
      <c r="M124" s="1416"/>
      <c r="N124" s="1416"/>
      <c r="O124" s="1417">
        <f t="shared" si="103"/>
        <v>13000</v>
      </c>
      <c r="P124" s="565">
        <v>2333.33</v>
      </c>
      <c r="Q124" s="406"/>
      <c r="R124" s="565"/>
      <c r="S124" s="406"/>
      <c r="T124" s="565"/>
      <c r="U124" s="428"/>
      <c r="V124" s="597" t="s">
        <v>494</v>
      </c>
      <c r="W124" s="597" t="s">
        <v>1109</v>
      </c>
      <c r="X124" s="405"/>
      <c r="Z124" s="406">
        <f t="shared" si="114"/>
        <v>0</v>
      </c>
      <c r="AA124" s="407">
        <f t="shared" si="114"/>
        <v>0</v>
      </c>
      <c r="AB124" s="408">
        <f t="shared" si="94"/>
        <v>0</v>
      </c>
      <c r="AC124" s="406">
        <f t="shared" si="115"/>
        <v>0</v>
      </c>
      <c r="AD124" s="407">
        <f t="shared" si="115"/>
        <v>0</v>
      </c>
      <c r="AE124" s="408">
        <f t="shared" si="95"/>
        <v>0</v>
      </c>
      <c r="AF124" s="406">
        <f t="shared" si="116"/>
        <v>0</v>
      </c>
      <c r="AG124" s="407">
        <f t="shared" si="116"/>
        <v>0</v>
      </c>
      <c r="AH124" s="408">
        <f t="shared" si="96"/>
        <v>0</v>
      </c>
      <c r="AI124" s="406">
        <f t="shared" si="117"/>
        <v>13000</v>
      </c>
      <c r="AJ124" s="407">
        <f t="shared" si="117"/>
        <v>13000</v>
      </c>
      <c r="AK124" s="408">
        <f t="shared" si="97"/>
        <v>0</v>
      </c>
      <c r="AL124" s="409"/>
      <c r="AM124" s="406">
        <f t="shared" si="118"/>
        <v>0</v>
      </c>
      <c r="AN124" s="410">
        <f t="shared" si="118"/>
        <v>0</v>
      </c>
      <c r="AO124" s="411">
        <f t="shared" si="98"/>
        <v>0</v>
      </c>
      <c r="AP124" s="406">
        <f t="shared" si="119"/>
        <v>0</v>
      </c>
      <c r="AQ124" s="410">
        <f t="shared" si="119"/>
        <v>0</v>
      </c>
      <c r="AR124" s="411">
        <f t="shared" si="99"/>
        <v>0</v>
      </c>
      <c r="AS124" s="412">
        <f t="shared" si="105"/>
        <v>13000</v>
      </c>
      <c r="AT124" s="410">
        <f t="shared" si="105"/>
        <v>13000</v>
      </c>
      <c r="AU124" s="411">
        <f t="shared" si="100"/>
        <v>0</v>
      </c>
      <c r="AV124" s="1262">
        <f t="shared" si="101"/>
        <v>0</v>
      </c>
      <c r="AW124" s="413"/>
      <c r="AX124" s="1098"/>
      <c r="AY124" s="415"/>
      <c r="AZ124" s="1098"/>
      <c r="BA124" s="415"/>
      <c r="BB124" s="1120"/>
      <c r="BC124" s="417"/>
      <c r="BD124" s="418"/>
      <c r="BE124" s="419"/>
      <c r="BF124" s="418"/>
      <c r="BG124" s="419"/>
      <c r="BH124" s="420"/>
      <c r="BI124" s="421"/>
      <c r="BJ124" s="422"/>
      <c r="BK124" s="407"/>
      <c r="BL124" s="422"/>
      <c r="BM124" s="407"/>
      <c r="BN124" s="423"/>
      <c r="BO124" s="424">
        <v>13000</v>
      </c>
      <c r="BP124" s="355">
        <v>13000</v>
      </c>
      <c r="BQ124" s="426"/>
      <c r="BR124" s="425"/>
      <c r="BS124" s="426"/>
      <c r="BT124" s="427"/>
    </row>
    <row r="125" spans="1:72" s="430" customFormat="1" ht="25.5" customHeight="1" outlineLevel="2">
      <c r="A125" s="287">
        <v>114</v>
      </c>
      <c r="B125" s="933"/>
      <c r="C125" s="743"/>
      <c r="D125" s="854" t="s">
        <v>876</v>
      </c>
      <c r="E125" s="857"/>
      <c r="F125" s="827" t="s">
        <v>7</v>
      </c>
      <c r="G125" s="431">
        <v>4</v>
      </c>
      <c r="H125" s="474" t="s">
        <v>70</v>
      </c>
      <c r="I125" s="743">
        <v>244</v>
      </c>
      <c r="J125" s="744">
        <v>226</v>
      </c>
      <c r="K125" s="536" t="s">
        <v>284</v>
      </c>
      <c r="L125" s="1030"/>
      <c r="M125" s="434"/>
      <c r="N125" s="434"/>
      <c r="O125" s="1064">
        <f t="shared" si="103"/>
        <v>0</v>
      </c>
      <c r="P125" s="563"/>
      <c r="Q125" s="437"/>
      <c r="R125" s="563"/>
      <c r="S125" s="437"/>
      <c r="T125" s="563"/>
      <c r="U125" s="467"/>
      <c r="V125" s="436"/>
      <c r="W125" s="436"/>
      <c r="X125" s="436"/>
      <c r="Z125" s="437">
        <f t="shared" si="114"/>
        <v>0</v>
      </c>
      <c r="AA125" s="438">
        <f t="shared" si="114"/>
        <v>0</v>
      </c>
      <c r="AB125" s="439">
        <f t="shared" si="94"/>
        <v>0</v>
      </c>
      <c r="AC125" s="437">
        <f t="shared" si="115"/>
        <v>0</v>
      </c>
      <c r="AD125" s="438">
        <f t="shared" si="115"/>
        <v>0</v>
      </c>
      <c r="AE125" s="439">
        <f t="shared" si="95"/>
        <v>0</v>
      </c>
      <c r="AF125" s="437">
        <f t="shared" si="116"/>
        <v>0</v>
      </c>
      <c r="AG125" s="438">
        <f t="shared" si="116"/>
        <v>0</v>
      </c>
      <c r="AH125" s="439">
        <f t="shared" si="96"/>
        <v>0</v>
      </c>
      <c r="AI125" s="437">
        <f t="shared" si="117"/>
        <v>0</v>
      </c>
      <c r="AJ125" s="438">
        <f t="shared" si="117"/>
        <v>0</v>
      </c>
      <c r="AK125" s="439">
        <f t="shared" si="97"/>
        <v>0</v>
      </c>
      <c r="AL125" s="440"/>
      <c r="AM125" s="437">
        <f t="shared" si="118"/>
        <v>0</v>
      </c>
      <c r="AN125" s="441">
        <f t="shared" si="118"/>
        <v>0</v>
      </c>
      <c r="AO125" s="442">
        <f t="shared" si="98"/>
        <v>0</v>
      </c>
      <c r="AP125" s="437">
        <f t="shared" si="119"/>
        <v>0</v>
      </c>
      <c r="AQ125" s="441">
        <f t="shared" si="119"/>
        <v>0</v>
      </c>
      <c r="AR125" s="442">
        <f t="shared" si="99"/>
        <v>0</v>
      </c>
      <c r="AS125" s="443">
        <f t="shared" ref="AS125:AT141" si="120">Z125+AC125+AF125+AI125</f>
        <v>0</v>
      </c>
      <c r="AT125" s="441">
        <f t="shared" si="120"/>
        <v>0</v>
      </c>
      <c r="AU125" s="442">
        <f t="shared" si="100"/>
        <v>0</v>
      </c>
      <c r="AV125" s="440">
        <f t="shared" si="101"/>
        <v>0</v>
      </c>
      <c r="AW125" s="444"/>
      <c r="AX125" s="1111"/>
      <c r="AY125" s="446"/>
      <c r="AZ125" s="1111"/>
      <c r="BA125" s="446"/>
      <c r="BB125" s="1129"/>
      <c r="BC125" s="448"/>
      <c r="BD125" s="449"/>
      <c r="BE125" s="450"/>
      <c r="BF125" s="449"/>
      <c r="BG125" s="450"/>
      <c r="BH125" s="451"/>
      <c r="BI125" s="452"/>
      <c r="BJ125" s="453"/>
      <c r="BK125" s="438"/>
      <c r="BL125" s="453"/>
      <c r="BM125" s="438"/>
      <c r="BN125" s="454"/>
      <c r="BO125" s="455"/>
      <c r="BP125" s="456"/>
      <c r="BQ125" s="457"/>
      <c r="BR125" s="456"/>
      <c r="BS125" s="457"/>
      <c r="BT125" s="458"/>
    </row>
    <row r="126" spans="1:72" s="459" customFormat="1" ht="66.75" customHeight="1" outlineLevel="1">
      <c r="A126" s="287">
        <v>115</v>
      </c>
      <c r="B126" s="933"/>
      <c r="C126" s="850" t="s">
        <v>378</v>
      </c>
      <c r="D126" s="854" t="s">
        <v>274</v>
      </c>
      <c r="E126" s="855"/>
      <c r="F126" s="826" t="s">
        <v>7</v>
      </c>
      <c r="G126" s="462">
        <v>4</v>
      </c>
      <c r="H126" s="741" t="s">
        <v>70</v>
      </c>
      <c r="I126" s="741">
        <v>244</v>
      </c>
      <c r="J126" s="742">
        <v>226</v>
      </c>
      <c r="K126" s="535" t="s">
        <v>283</v>
      </c>
      <c r="L126" s="1028">
        <f>420073.66+129693.83+46389.72</f>
        <v>596157.21</v>
      </c>
      <c r="M126" s="352"/>
      <c r="N126" s="352">
        <f>SUM(N127:N133)</f>
        <v>0</v>
      </c>
      <c r="O126" s="1062">
        <f t="shared" si="103"/>
        <v>596157.21</v>
      </c>
      <c r="P126" s="561"/>
      <c r="Q126" s="464"/>
      <c r="R126" s="561"/>
      <c r="S126" s="464"/>
      <c r="T126" s="561"/>
      <c r="U126" s="393"/>
      <c r="V126" s="394"/>
      <c r="W126" s="394"/>
      <c r="X126" s="394"/>
      <c r="Y126" s="392"/>
      <c r="Z126" s="395">
        <f t="shared" si="114"/>
        <v>0</v>
      </c>
      <c r="AA126" s="396">
        <f t="shared" si="114"/>
        <v>0</v>
      </c>
      <c r="AB126" s="397">
        <f t="shared" si="94"/>
        <v>0</v>
      </c>
      <c r="AC126" s="395">
        <f t="shared" si="115"/>
        <v>0</v>
      </c>
      <c r="AD126" s="396">
        <f t="shared" si="115"/>
        <v>0</v>
      </c>
      <c r="AE126" s="397">
        <f t="shared" si="95"/>
        <v>0</v>
      </c>
      <c r="AF126" s="395">
        <f t="shared" si="116"/>
        <v>0</v>
      </c>
      <c r="AG126" s="396">
        <f t="shared" si="116"/>
        <v>0</v>
      </c>
      <c r="AH126" s="397">
        <f t="shared" si="96"/>
        <v>0</v>
      </c>
      <c r="AI126" s="395">
        <f t="shared" si="117"/>
        <v>20000</v>
      </c>
      <c r="AJ126" s="396">
        <f t="shared" si="117"/>
        <v>0</v>
      </c>
      <c r="AK126" s="397">
        <f t="shared" si="97"/>
        <v>20000</v>
      </c>
      <c r="AL126" s="398"/>
      <c r="AM126" s="464">
        <f t="shared" si="118"/>
        <v>0</v>
      </c>
      <c r="AN126" s="352">
        <f t="shared" si="118"/>
        <v>0</v>
      </c>
      <c r="AO126" s="465">
        <f t="shared" si="98"/>
        <v>0</v>
      </c>
      <c r="AP126" s="464">
        <f t="shared" si="119"/>
        <v>0</v>
      </c>
      <c r="AQ126" s="352">
        <f t="shared" si="119"/>
        <v>0</v>
      </c>
      <c r="AR126" s="465">
        <f t="shared" si="99"/>
        <v>0</v>
      </c>
      <c r="AS126" s="464">
        <f t="shared" si="120"/>
        <v>20000</v>
      </c>
      <c r="AT126" s="352">
        <f t="shared" si="120"/>
        <v>0</v>
      </c>
      <c r="AU126" s="465">
        <f t="shared" si="100"/>
        <v>20000</v>
      </c>
      <c r="AV126" s="1261">
        <f t="shared" si="101"/>
        <v>576157.21</v>
      </c>
      <c r="AW126" s="464">
        <f t="shared" ref="AW126:BT126" si="121">SUM(AW127:AW133)</f>
        <v>0</v>
      </c>
      <c r="AX126" s="1110">
        <f t="shared" si="121"/>
        <v>0</v>
      </c>
      <c r="AY126" s="352">
        <f t="shared" si="121"/>
        <v>0</v>
      </c>
      <c r="AZ126" s="1110">
        <f t="shared" si="121"/>
        <v>0</v>
      </c>
      <c r="BA126" s="352">
        <f t="shared" si="121"/>
        <v>0</v>
      </c>
      <c r="BB126" s="1128">
        <f t="shared" si="121"/>
        <v>0</v>
      </c>
      <c r="BC126" s="464">
        <f t="shared" si="121"/>
        <v>0</v>
      </c>
      <c r="BD126" s="352">
        <f t="shared" si="121"/>
        <v>0</v>
      </c>
      <c r="BE126" s="352">
        <f t="shared" si="121"/>
        <v>0</v>
      </c>
      <c r="BF126" s="352">
        <f t="shared" si="121"/>
        <v>0</v>
      </c>
      <c r="BG126" s="352">
        <f t="shared" si="121"/>
        <v>0</v>
      </c>
      <c r="BH126" s="353">
        <f t="shared" si="121"/>
        <v>0</v>
      </c>
      <c r="BI126" s="464">
        <f t="shared" si="121"/>
        <v>0</v>
      </c>
      <c r="BJ126" s="352">
        <f t="shared" si="121"/>
        <v>0</v>
      </c>
      <c r="BK126" s="352">
        <f t="shared" si="121"/>
        <v>0</v>
      </c>
      <c r="BL126" s="352">
        <f t="shared" si="121"/>
        <v>0</v>
      </c>
      <c r="BM126" s="352">
        <f t="shared" si="121"/>
        <v>0</v>
      </c>
      <c r="BN126" s="353">
        <f t="shared" si="121"/>
        <v>0</v>
      </c>
      <c r="BO126" s="464">
        <f t="shared" si="121"/>
        <v>0</v>
      </c>
      <c r="BP126" s="352">
        <f t="shared" si="121"/>
        <v>0</v>
      </c>
      <c r="BQ126" s="352">
        <f t="shared" si="121"/>
        <v>20000</v>
      </c>
      <c r="BR126" s="352">
        <f t="shared" si="121"/>
        <v>0</v>
      </c>
      <c r="BS126" s="352">
        <f t="shared" si="121"/>
        <v>0</v>
      </c>
      <c r="BT126" s="465">
        <f t="shared" si="121"/>
        <v>0</v>
      </c>
    </row>
    <row r="127" spans="1:72" s="313" customFormat="1" ht="38.25" customHeight="1" outlineLevel="2">
      <c r="A127" s="287">
        <v>116</v>
      </c>
      <c r="B127" s="933"/>
      <c r="C127" s="840"/>
      <c r="D127" s="841" t="s">
        <v>274</v>
      </c>
      <c r="E127" s="839"/>
      <c r="F127" s="821" t="s">
        <v>7</v>
      </c>
      <c r="G127" s="314">
        <v>4</v>
      </c>
      <c r="H127" s="739" t="s">
        <v>70</v>
      </c>
      <c r="I127" s="739">
        <v>244</v>
      </c>
      <c r="J127" s="740">
        <v>226</v>
      </c>
      <c r="K127" s="1005" t="s">
        <v>1198</v>
      </c>
      <c r="L127" s="1031">
        <v>65000</v>
      </c>
      <c r="M127" s="318"/>
      <c r="N127" s="1008"/>
      <c r="O127" s="1055">
        <f>L127+N127</f>
        <v>65000</v>
      </c>
      <c r="P127" s="562"/>
      <c r="Q127" s="336"/>
      <c r="R127" s="562"/>
      <c r="S127" s="336"/>
      <c r="T127" s="562"/>
      <c r="U127" s="466"/>
      <c r="V127" s="320"/>
      <c r="W127" s="320"/>
      <c r="X127" s="320"/>
      <c r="Z127" s="336">
        <f t="shared" si="114"/>
        <v>0</v>
      </c>
      <c r="AA127" s="337">
        <f t="shared" si="114"/>
        <v>0</v>
      </c>
      <c r="AB127" s="338">
        <f t="shared" si="94"/>
        <v>0</v>
      </c>
      <c r="AC127" s="336">
        <f t="shared" si="115"/>
        <v>0</v>
      </c>
      <c r="AD127" s="337">
        <f t="shared" si="115"/>
        <v>0</v>
      </c>
      <c r="AE127" s="338">
        <f t="shared" si="95"/>
        <v>0</v>
      </c>
      <c r="AF127" s="336">
        <f t="shared" si="116"/>
        <v>0</v>
      </c>
      <c r="AG127" s="337">
        <f t="shared" si="116"/>
        <v>0</v>
      </c>
      <c r="AH127" s="338">
        <f t="shared" si="96"/>
        <v>0</v>
      </c>
      <c r="AI127" s="336">
        <f t="shared" si="117"/>
        <v>0</v>
      </c>
      <c r="AJ127" s="337">
        <f t="shared" si="117"/>
        <v>0</v>
      </c>
      <c r="AK127" s="338">
        <f t="shared" si="97"/>
        <v>0</v>
      </c>
      <c r="AL127" s="342"/>
      <c r="AM127" s="336">
        <f>Z127+AC127</f>
        <v>0</v>
      </c>
      <c r="AN127" s="339">
        <f t="shared" si="118"/>
        <v>0</v>
      </c>
      <c r="AO127" s="340">
        <f t="shared" si="98"/>
        <v>0</v>
      </c>
      <c r="AP127" s="336">
        <f t="shared" si="119"/>
        <v>0</v>
      </c>
      <c r="AQ127" s="339">
        <f t="shared" si="119"/>
        <v>0</v>
      </c>
      <c r="AR127" s="340">
        <f t="shared" si="99"/>
        <v>0</v>
      </c>
      <c r="AS127" s="341">
        <f t="shared" si="120"/>
        <v>0</v>
      </c>
      <c r="AT127" s="339">
        <f t="shared" si="120"/>
        <v>0</v>
      </c>
      <c r="AU127" s="340">
        <f t="shared" si="100"/>
        <v>0</v>
      </c>
      <c r="AV127" s="1255">
        <f t="shared" si="101"/>
        <v>65000</v>
      </c>
      <c r="AW127" s="343"/>
      <c r="AX127" s="1098"/>
      <c r="AY127" s="345"/>
      <c r="AZ127" s="1098"/>
      <c r="BA127" s="345"/>
      <c r="BB127" s="1120"/>
      <c r="BC127" s="347"/>
      <c r="BD127" s="348"/>
      <c r="BE127" s="349"/>
      <c r="BF127" s="348"/>
      <c r="BG127" s="349"/>
      <c r="BH127" s="350"/>
      <c r="BI127" s="351"/>
      <c r="BJ127" s="352"/>
      <c r="BK127" s="337"/>
      <c r="BL127" s="352"/>
      <c r="BM127" s="337"/>
      <c r="BN127" s="353"/>
      <c r="BO127" s="354"/>
      <c r="BP127" s="355"/>
      <c r="BQ127" s="356"/>
      <c r="BR127" s="355"/>
      <c r="BS127" s="356"/>
      <c r="BT127" s="357"/>
    </row>
    <row r="128" spans="1:72" s="313" customFormat="1" ht="38.25" customHeight="1" outlineLevel="2">
      <c r="A128" s="287"/>
      <c r="B128" s="933"/>
      <c r="C128" s="840"/>
      <c r="D128" s="841"/>
      <c r="E128" s="839"/>
      <c r="F128" s="821" t="s">
        <v>7</v>
      </c>
      <c r="G128" s="314">
        <v>4</v>
      </c>
      <c r="H128" s="739" t="s">
        <v>70</v>
      </c>
      <c r="I128" s="739">
        <v>244</v>
      </c>
      <c r="J128" s="740">
        <v>226</v>
      </c>
      <c r="K128" s="1005" t="s">
        <v>1196</v>
      </c>
      <c r="L128" s="1031">
        <v>146092.54999999999</v>
      </c>
      <c r="M128" s="318"/>
      <c r="N128" s="1008"/>
      <c r="O128" s="1055">
        <f t="shared" si="103"/>
        <v>146092.54999999999</v>
      </c>
      <c r="P128" s="562"/>
      <c r="Q128" s="336"/>
      <c r="R128" s="562"/>
      <c r="S128" s="336"/>
      <c r="T128" s="562"/>
      <c r="U128" s="466"/>
      <c r="V128" s="320"/>
      <c r="W128" s="320"/>
      <c r="X128" s="320"/>
      <c r="Z128" s="336"/>
      <c r="AA128" s="337"/>
      <c r="AB128" s="338"/>
      <c r="AC128" s="336"/>
      <c r="AD128" s="337"/>
      <c r="AE128" s="338"/>
      <c r="AF128" s="336"/>
      <c r="AG128" s="337"/>
      <c r="AH128" s="338"/>
      <c r="AI128" s="336"/>
      <c r="AJ128" s="337"/>
      <c r="AK128" s="338"/>
      <c r="AL128" s="342"/>
      <c r="AM128" s="336">
        <f t="shared" ref="AM128:AM131" si="122">Z128+AC128</f>
        <v>0</v>
      </c>
      <c r="AN128" s="339">
        <f t="shared" ref="AN128:AN131" si="123">AA128+AD128</f>
        <v>0</v>
      </c>
      <c r="AO128" s="340">
        <f t="shared" ref="AO128:AO131" si="124">AM128-AN128</f>
        <v>0</v>
      </c>
      <c r="AP128" s="336">
        <f t="shared" ref="AP128:AP131" si="125">Z128+AC128+AF128</f>
        <v>0</v>
      </c>
      <c r="AQ128" s="339">
        <f t="shared" ref="AQ128:AQ131" si="126">AA128+AD128+AG128</f>
        <v>0</v>
      </c>
      <c r="AR128" s="340">
        <f t="shared" ref="AR128:AR131" si="127">AP128-AQ128</f>
        <v>0</v>
      </c>
      <c r="AS128" s="341">
        <f t="shared" si="120"/>
        <v>0</v>
      </c>
      <c r="AT128" s="339"/>
      <c r="AU128" s="340"/>
      <c r="AV128" s="1255"/>
      <c r="AW128" s="343"/>
      <c r="AX128" s="1098"/>
      <c r="AY128" s="345"/>
      <c r="AZ128" s="1098"/>
      <c r="BA128" s="345"/>
      <c r="BB128" s="1120"/>
      <c r="BC128" s="347"/>
      <c r="BD128" s="348"/>
      <c r="BE128" s="349"/>
      <c r="BF128" s="348"/>
      <c r="BG128" s="349"/>
      <c r="BH128" s="350"/>
      <c r="BI128" s="351"/>
      <c r="BJ128" s="352"/>
      <c r="BK128" s="337"/>
      <c r="BL128" s="352"/>
      <c r="BM128" s="337"/>
      <c r="BN128" s="353"/>
      <c r="BO128" s="354"/>
      <c r="BP128" s="355"/>
      <c r="BQ128" s="356"/>
      <c r="BR128" s="355"/>
      <c r="BS128" s="356"/>
      <c r="BT128" s="357"/>
    </row>
    <row r="129" spans="1:72" s="313" customFormat="1" ht="38.25" customHeight="1" outlineLevel="2">
      <c r="A129" s="287"/>
      <c r="B129" s="933"/>
      <c r="C129" s="840"/>
      <c r="D129" s="841"/>
      <c r="E129" s="839"/>
      <c r="F129" s="821" t="s">
        <v>7</v>
      </c>
      <c r="G129" s="314">
        <v>4</v>
      </c>
      <c r="H129" s="739" t="s">
        <v>70</v>
      </c>
      <c r="I129" s="739">
        <v>244</v>
      </c>
      <c r="J129" s="740">
        <v>226</v>
      </c>
      <c r="K129" s="1005" t="s">
        <v>504</v>
      </c>
      <c r="L129" s="1031">
        <v>102264.66</v>
      </c>
      <c r="M129" s="318"/>
      <c r="N129" s="1008"/>
      <c r="O129" s="1055">
        <f t="shared" si="103"/>
        <v>102264.66</v>
      </c>
      <c r="P129" s="562"/>
      <c r="Q129" s="336"/>
      <c r="R129" s="562"/>
      <c r="S129" s="336"/>
      <c r="T129" s="562"/>
      <c r="U129" s="466"/>
      <c r="V129" s="320"/>
      <c r="W129" s="320"/>
      <c r="X129" s="320"/>
      <c r="Z129" s="336"/>
      <c r="AA129" s="337"/>
      <c r="AB129" s="338"/>
      <c r="AC129" s="336"/>
      <c r="AD129" s="337"/>
      <c r="AE129" s="338"/>
      <c r="AF129" s="336"/>
      <c r="AG129" s="337"/>
      <c r="AH129" s="338"/>
      <c r="AI129" s="336"/>
      <c r="AJ129" s="337"/>
      <c r="AK129" s="338"/>
      <c r="AL129" s="342"/>
      <c r="AM129" s="336">
        <f t="shared" si="122"/>
        <v>0</v>
      </c>
      <c r="AN129" s="339">
        <f t="shared" si="123"/>
        <v>0</v>
      </c>
      <c r="AO129" s="340">
        <f t="shared" si="124"/>
        <v>0</v>
      </c>
      <c r="AP129" s="336">
        <f t="shared" si="125"/>
        <v>0</v>
      </c>
      <c r="AQ129" s="339">
        <f t="shared" si="126"/>
        <v>0</v>
      </c>
      <c r="AR129" s="340">
        <f t="shared" si="127"/>
        <v>0</v>
      </c>
      <c r="AS129" s="341">
        <f t="shared" si="120"/>
        <v>0</v>
      </c>
      <c r="AT129" s="339"/>
      <c r="AU129" s="340"/>
      <c r="AV129" s="1255"/>
      <c r="AW129" s="343"/>
      <c r="AX129" s="1098"/>
      <c r="AY129" s="345"/>
      <c r="AZ129" s="1098"/>
      <c r="BA129" s="345"/>
      <c r="BB129" s="1120"/>
      <c r="BC129" s="347"/>
      <c r="BD129" s="348"/>
      <c r="BE129" s="349"/>
      <c r="BF129" s="348"/>
      <c r="BG129" s="349"/>
      <c r="BH129" s="350"/>
      <c r="BI129" s="351"/>
      <c r="BJ129" s="352"/>
      <c r="BK129" s="337"/>
      <c r="BL129" s="352"/>
      <c r="BM129" s="337"/>
      <c r="BN129" s="353"/>
      <c r="BO129" s="354"/>
      <c r="BP129" s="355"/>
      <c r="BQ129" s="356"/>
      <c r="BR129" s="355"/>
      <c r="BS129" s="356"/>
      <c r="BT129" s="357"/>
    </row>
    <row r="130" spans="1:72" s="313" customFormat="1" ht="38.25" customHeight="1" outlineLevel="2">
      <c r="A130" s="287"/>
      <c r="B130" s="933"/>
      <c r="C130" s="840"/>
      <c r="D130" s="841"/>
      <c r="E130" s="839"/>
      <c r="F130" s="821" t="s">
        <v>7</v>
      </c>
      <c r="G130" s="314">
        <v>4</v>
      </c>
      <c r="H130" s="739" t="s">
        <v>70</v>
      </c>
      <c r="I130" s="739">
        <v>244</v>
      </c>
      <c r="J130" s="740">
        <v>226</v>
      </c>
      <c r="K130" s="1005" t="s">
        <v>286</v>
      </c>
      <c r="L130" s="1031">
        <v>180000</v>
      </c>
      <c r="M130" s="318"/>
      <c r="N130" s="1008"/>
      <c r="O130" s="1055">
        <f t="shared" si="103"/>
        <v>180000</v>
      </c>
      <c r="P130" s="562"/>
      <c r="Q130" s="336"/>
      <c r="R130" s="562"/>
      <c r="S130" s="336"/>
      <c r="T130" s="562"/>
      <c r="U130" s="466"/>
      <c r="V130" s="320"/>
      <c r="W130" s="320"/>
      <c r="X130" s="320"/>
      <c r="Z130" s="336"/>
      <c r="AA130" s="337"/>
      <c r="AB130" s="338"/>
      <c r="AC130" s="336"/>
      <c r="AD130" s="337"/>
      <c r="AE130" s="338"/>
      <c r="AF130" s="336"/>
      <c r="AG130" s="337"/>
      <c r="AH130" s="338"/>
      <c r="AI130" s="336"/>
      <c r="AJ130" s="337"/>
      <c r="AK130" s="338"/>
      <c r="AL130" s="342"/>
      <c r="AM130" s="336">
        <f t="shared" si="122"/>
        <v>0</v>
      </c>
      <c r="AN130" s="339">
        <f t="shared" si="123"/>
        <v>0</v>
      </c>
      <c r="AO130" s="340">
        <f t="shared" si="124"/>
        <v>0</v>
      </c>
      <c r="AP130" s="336">
        <f t="shared" si="125"/>
        <v>0</v>
      </c>
      <c r="AQ130" s="339">
        <f t="shared" si="126"/>
        <v>0</v>
      </c>
      <c r="AR130" s="340">
        <f t="shared" si="127"/>
        <v>0</v>
      </c>
      <c r="AS130" s="341">
        <f t="shared" si="120"/>
        <v>0</v>
      </c>
      <c r="AT130" s="339"/>
      <c r="AU130" s="340"/>
      <c r="AV130" s="1255"/>
      <c r="AW130" s="343"/>
      <c r="AX130" s="1098"/>
      <c r="AY130" s="345"/>
      <c r="AZ130" s="1098"/>
      <c r="BA130" s="345"/>
      <c r="BB130" s="1120"/>
      <c r="BC130" s="347"/>
      <c r="BD130" s="348"/>
      <c r="BE130" s="349"/>
      <c r="BF130" s="348"/>
      <c r="BG130" s="349"/>
      <c r="BH130" s="350"/>
      <c r="BI130" s="351"/>
      <c r="BJ130" s="352"/>
      <c r="BK130" s="337"/>
      <c r="BL130" s="352"/>
      <c r="BM130" s="337"/>
      <c r="BN130" s="353"/>
      <c r="BO130" s="354"/>
      <c r="BP130" s="355"/>
      <c r="BQ130" s="356"/>
      <c r="BR130" s="355"/>
      <c r="BS130" s="356"/>
      <c r="BT130" s="357"/>
    </row>
    <row r="131" spans="1:72" s="313" customFormat="1" ht="38.25" customHeight="1" outlineLevel="2">
      <c r="A131" s="287"/>
      <c r="B131" s="933"/>
      <c r="C131" s="840"/>
      <c r="D131" s="841"/>
      <c r="E131" s="839"/>
      <c r="F131" s="821" t="s">
        <v>7</v>
      </c>
      <c r="G131" s="314">
        <v>4</v>
      </c>
      <c r="H131" s="739" t="s">
        <v>70</v>
      </c>
      <c r="I131" s="739">
        <v>244</v>
      </c>
      <c r="J131" s="740">
        <v>226</v>
      </c>
      <c r="K131" s="1005" t="s">
        <v>1197</v>
      </c>
      <c r="L131" s="1031">
        <v>82800</v>
      </c>
      <c r="M131" s="318"/>
      <c r="N131" s="1008"/>
      <c r="O131" s="1055">
        <f t="shared" si="103"/>
        <v>82800</v>
      </c>
      <c r="P131" s="562"/>
      <c r="Q131" s="336"/>
      <c r="R131" s="562"/>
      <c r="S131" s="336"/>
      <c r="T131" s="562"/>
      <c r="U131" s="466"/>
      <c r="V131" s="320"/>
      <c r="W131" s="320"/>
      <c r="X131" s="320"/>
      <c r="Z131" s="336"/>
      <c r="AA131" s="337"/>
      <c r="AB131" s="338"/>
      <c r="AC131" s="336"/>
      <c r="AD131" s="337"/>
      <c r="AE131" s="338"/>
      <c r="AF131" s="336"/>
      <c r="AG131" s="337"/>
      <c r="AH131" s="338"/>
      <c r="AI131" s="336"/>
      <c r="AJ131" s="337"/>
      <c r="AK131" s="338"/>
      <c r="AL131" s="342"/>
      <c r="AM131" s="336">
        <f t="shared" si="122"/>
        <v>0</v>
      </c>
      <c r="AN131" s="339">
        <f t="shared" si="123"/>
        <v>0</v>
      </c>
      <c r="AO131" s="340">
        <f t="shared" si="124"/>
        <v>0</v>
      </c>
      <c r="AP131" s="336">
        <f t="shared" si="125"/>
        <v>0</v>
      </c>
      <c r="AQ131" s="339">
        <f t="shared" si="126"/>
        <v>0</v>
      </c>
      <c r="AR131" s="340">
        <f t="shared" si="127"/>
        <v>0</v>
      </c>
      <c r="AS131" s="341">
        <f t="shared" si="120"/>
        <v>0</v>
      </c>
      <c r="AT131" s="339"/>
      <c r="AU131" s="340"/>
      <c r="AV131" s="1255"/>
      <c r="AW131" s="343"/>
      <c r="AX131" s="1098"/>
      <c r="AY131" s="345"/>
      <c r="AZ131" s="1098"/>
      <c r="BA131" s="345"/>
      <c r="BB131" s="1120"/>
      <c r="BC131" s="347"/>
      <c r="BD131" s="348"/>
      <c r="BE131" s="349"/>
      <c r="BF131" s="348"/>
      <c r="BG131" s="349"/>
      <c r="BH131" s="350"/>
      <c r="BI131" s="351"/>
      <c r="BJ131" s="352"/>
      <c r="BK131" s="337"/>
      <c r="BL131" s="352"/>
      <c r="BM131" s="337"/>
      <c r="BN131" s="353"/>
      <c r="BO131" s="354"/>
      <c r="BP131" s="355"/>
      <c r="BQ131" s="356"/>
      <c r="BR131" s="355"/>
      <c r="BS131" s="356"/>
      <c r="BT131" s="357"/>
    </row>
    <row r="132" spans="1:72" s="313" customFormat="1" ht="25.5" customHeight="1" outlineLevel="2">
      <c r="A132" s="287">
        <v>117</v>
      </c>
      <c r="B132" s="933"/>
      <c r="C132" s="840"/>
      <c r="D132" s="841" t="s">
        <v>274</v>
      </c>
      <c r="E132" s="839"/>
      <c r="F132" s="821" t="s">
        <v>7</v>
      </c>
      <c r="G132" s="314">
        <v>4</v>
      </c>
      <c r="H132" s="739" t="s">
        <v>70</v>
      </c>
      <c r="I132" s="739">
        <v>244</v>
      </c>
      <c r="J132" s="740">
        <v>226</v>
      </c>
      <c r="K132" s="1418" t="s">
        <v>1036</v>
      </c>
      <c r="L132" s="1419">
        <v>20000</v>
      </c>
      <c r="M132" s="1420"/>
      <c r="N132" s="1420"/>
      <c r="O132" s="1421">
        <f t="shared" si="103"/>
        <v>20000</v>
      </c>
      <c r="P132" s="562"/>
      <c r="Q132" s="336"/>
      <c r="R132" s="562"/>
      <c r="S132" s="336"/>
      <c r="T132" s="562"/>
      <c r="U132" s="466"/>
      <c r="V132" s="597" t="s">
        <v>494</v>
      </c>
      <c r="W132" s="405" t="s">
        <v>1185</v>
      </c>
      <c r="X132" s="320" t="s">
        <v>1184</v>
      </c>
      <c r="Z132" s="336">
        <f t="shared" si="114"/>
        <v>0</v>
      </c>
      <c r="AA132" s="337">
        <f t="shared" si="114"/>
        <v>0</v>
      </c>
      <c r="AB132" s="338">
        <f t="shared" si="94"/>
        <v>0</v>
      </c>
      <c r="AC132" s="336">
        <f t="shared" si="115"/>
        <v>0</v>
      </c>
      <c r="AD132" s="337">
        <f t="shared" si="115"/>
        <v>0</v>
      </c>
      <c r="AE132" s="338">
        <f t="shared" si="95"/>
        <v>0</v>
      </c>
      <c r="AF132" s="336">
        <f t="shared" si="116"/>
        <v>0</v>
      </c>
      <c r="AG132" s="337">
        <f t="shared" si="116"/>
        <v>0</v>
      </c>
      <c r="AH132" s="338">
        <f t="shared" si="96"/>
        <v>0</v>
      </c>
      <c r="AI132" s="336">
        <f t="shared" si="117"/>
        <v>20000</v>
      </c>
      <c r="AJ132" s="337">
        <f t="shared" si="117"/>
        <v>0</v>
      </c>
      <c r="AK132" s="338">
        <f t="shared" si="97"/>
        <v>20000</v>
      </c>
      <c r="AL132" s="342"/>
      <c r="AM132" s="336">
        <f t="shared" si="118"/>
        <v>0</v>
      </c>
      <c r="AN132" s="339">
        <f t="shared" si="118"/>
        <v>0</v>
      </c>
      <c r="AO132" s="340">
        <f t="shared" si="98"/>
        <v>0</v>
      </c>
      <c r="AP132" s="336">
        <f t="shared" si="119"/>
        <v>0</v>
      </c>
      <c r="AQ132" s="339">
        <f t="shared" si="119"/>
        <v>0</v>
      </c>
      <c r="AR132" s="340">
        <f t="shared" si="99"/>
        <v>0</v>
      </c>
      <c r="AS132" s="341">
        <f t="shared" si="120"/>
        <v>20000</v>
      </c>
      <c r="AT132" s="339">
        <f t="shared" si="120"/>
        <v>0</v>
      </c>
      <c r="AU132" s="340">
        <f t="shared" si="100"/>
        <v>20000</v>
      </c>
      <c r="AV132" s="1255">
        <f t="shared" si="101"/>
        <v>0</v>
      </c>
      <c r="AW132" s="343"/>
      <c r="AX132" s="1098"/>
      <c r="AY132" s="345"/>
      <c r="AZ132" s="1098"/>
      <c r="BA132" s="345"/>
      <c r="BB132" s="1120"/>
      <c r="BC132" s="347"/>
      <c r="BD132" s="348"/>
      <c r="BE132" s="349"/>
      <c r="BF132" s="348"/>
      <c r="BG132" s="349"/>
      <c r="BH132" s="350"/>
      <c r="BI132" s="351"/>
      <c r="BJ132" s="352"/>
      <c r="BK132" s="337"/>
      <c r="BL132" s="352"/>
      <c r="BM132" s="337"/>
      <c r="BN132" s="353"/>
      <c r="BO132" s="354"/>
      <c r="BP132" s="355"/>
      <c r="BQ132" s="1139">
        <v>20000</v>
      </c>
      <c r="BR132" s="355"/>
      <c r="BS132" s="356"/>
      <c r="BT132" s="357"/>
    </row>
    <row r="133" spans="1:72" s="430" customFormat="1" ht="25.5" customHeight="1" outlineLevel="2">
      <c r="A133" s="287">
        <v>118</v>
      </c>
      <c r="B133" s="933"/>
      <c r="C133" s="743"/>
      <c r="D133" s="856" t="s">
        <v>274</v>
      </c>
      <c r="E133" s="857"/>
      <c r="F133" s="827" t="s">
        <v>7</v>
      </c>
      <c r="G133" s="431">
        <v>4</v>
      </c>
      <c r="H133" s="474" t="s">
        <v>70</v>
      </c>
      <c r="I133" s="743">
        <v>244</v>
      </c>
      <c r="J133" s="744">
        <v>226</v>
      </c>
      <c r="K133" s="536" t="s">
        <v>284</v>
      </c>
      <c r="L133" s="1030"/>
      <c r="M133" s="434"/>
      <c r="N133" s="434"/>
      <c r="O133" s="1064">
        <f t="shared" si="103"/>
        <v>0</v>
      </c>
      <c r="P133" s="563"/>
      <c r="Q133" s="437"/>
      <c r="R133" s="563"/>
      <c r="S133" s="437"/>
      <c r="T133" s="563"/>
      <c r="U133" s="467"/>
      <c r="V133" s="436"/>
      <c r="W133" s="436"/>
      <c r="X133" s="436"/>
      <c r="Z133" s="437">
        <f t="shared" si="114"/>
        <v>0</v>
      </c>
      <c r="AA133" s="438">
        <f t="shared" si="114"/>
        <v>0</v>
      </c>
      <c r="AB133" s="439">
        <f t="shared" si="94"/>
        <v>0</v>
      </c>
      <c r="AC133" s="437">
        <f t="shared" si="115"/>
        <v>0</v>
      </c>
      <c r="AD133" s="438">
        <f t="shared" si="115"/>
        <v>0</v>
      </c>
      <c r="AE133" s="439">
        <f t="shared" si="95"/>
        <v>0</v>
      </c>
      <c r="AF133" s="437">
        <f t="shared" si="116"/>
        <v>0</v>
      </c>
      <c r="AG133" s="438">
        <f t="shared" si="116"/>
        <v>0</v>
      </c>
      <c r="AH133" s="439">
        <f t="shared" si="96"/>
        <v>0</v>
      </c>
      <c r="AI133" s="437">
        <f t="shared" si="117"/>
        <v>0</v>
      </c>
      <c r="AJ133" s="438">
        <f t="shared" si="117"/>
        <v>0</v>
      </c>
      <c r="AK133" s="439">
        <f t="shared" si="97"/>
        <v>0</v>
      </c>
      <c r="AL133" s="440"/>
      <c r="AM133" s="437">
        <f t="shared" si="118"/>
        <v>0</v>
      </c>
      <c r="AN133" s="441">
        <f t="shared" si="118"/>
        <v>0</v>
      </c>
      <c r="AO133" s="442">
        <f t="shared" si="98"/>
        <v>0</v>
      </c>
      <c r="AP133" s="437">
        <f t="shared" si="119"/>
        <v>0</v>
      </c>
      <c r="AQ133" s="441">
        <f t="shared" si="119"/>
        <v>0</v>
      </c>
      <c r="AR133" s="442">
        <f t="shared" si="99"/>
        <v>0</v>
      </c>
      <c r="AS133" s="443">
        <f t="shared" si="120"/>
        <v>0</v>
      </c>
      <c r="AT133" s="441">
        <f t="shared" si="120"/>
        <v>0</v>
      </c>
      <c r="AU133" s="442">
        <f t="shared" si="100"/>
        <v>0</v>
      </c>
      <c r="AV133" s="440">
        <f t="shared" si="101"/>
        <v>0</v>
      </c>
      <c r="AW133" s="444"/>
      <c r="AX133" s="1111"/>
      <c r="AY133" s="446"/>
      <c r="AZ133" s="1111"/>
      <c r="BA133" s="446"/>
      <c r="BB133" s="1129"/>
      <c r="BC133" s="448"/>
      <c r="BD133" s="449"/>
      <c r="BE133" s="450"/>
      <c r="BF133" s="449"/>
      <c r="BG133" s="450"/>
      <c r="BH133" s="451"/>
      <c r="BI133" s="452"/>
      <c r="BJ133" s="453"/>
      <c r="BK133" s="438"/>
      <c r="BL133" s="453"/>
      <c r="BM133" s="438"/>
      <c r="BN133" s="454"/>
      <c r="BO133" s="455"/>
      <c r="BP133" s="456"/>
      <c r="BQ133" s="457"/>
      <c r="BR133" s="456"/>
      <c r="BS133" s="457"/>
      <c r="BT133" s="458"/>
    </row>
    <row r="134" spans="1:72" s="468" customFormat="1" ht="72.75" customHeight="1" outlineLevel="1">
      <c r="A134" s="287">
        <v>119</v>
      </c>
      <c r="B134" s="933"/>
      <c r="C134" s="850" t="s">
        <v>378</v>
      </c>
      <c r="D134" s="854" t="s">
        <v>277</v>
      </c>
      <c r="E134" s="858"/>
      <c r="F134" s="828" t="s">
        <v>7</v>
      </c>
      <c r="G134" s="469">
        <v>4</v>
      </c>
      <c r="H134" s="745" t="s">
        <v>70</v>
      </c>
      <c r="I134" s="745">
        <v>244</v>
      </c>
      <c r="J134" s="746">
        <v>226</v>
      </c>
      <c r="K134" s="537" t="s">
        <v>282</v>
      </c>
      <c r="L134" s="1032">
        <f>SUM(L135:L138)</f>
        <v>46670.05</v>
      </c>
      <c r="M134" s="422"/>
      <c r="N134" s="352">
        <f>SUM(N135:N138)</f>
        <v>0</v>
      </c>
      <c r="O134" s="1065">
        <f t="shared" si="103"/>
        <v>46670.05</v>
      </c>
      <c r="P134" s="564"/>
      <c r="Q134" s="472"/>
      <c r="R134" s="564"/>
      <c r="S134" s="472"/>
      <c r="T134" s="564"/>
      <c r="U134" s="393"/>
      <c r="V134" s="394"/>
      <c r="W134" s="394"/>
      <c r="X134" s="394"/>
      <c r="Y134" s="392"/>
      <c r="Z134" s="395">
        <f t="shared" si="114"/>
        <v>0</v>
      </c>
      <c r="AA134" s="396">
        <f t="shared" si="114"/>
        <v>0</v>
      </c>
      <c r="AB134" s="397">
        <f t="shared" si="94"/>
        <v>0</v>
      </c>
      <c r="AC134" s="395">
        <f t="shared" si="115"/>
        <v>0</v>
      </c>
      <c r="AD134" s="396">
        <f t="shared" si="115"/>
        <v>0</v>
      </c>
      <c r="AE134" s="397">
        <f t="shared" si="95"/>
        <v>0</v>
      </c>
      <c r="AF134" s="395">
        <f t="shared" si="116"/>
        <v>0</v>
      </c>
      <c r="AG134" s="396">
        <f t="shared" si="116"/>
        <v>0</v>
      </c>
      <c r="AH134" s="397">
        <f t="shared" si="96"/>
        <v>0</v>
      </c>
      <c r="AI134" s="395">
        <f t="shared" si="117"/>
        <v>93059.77</v>
      </c>
      <c r="AJ134" s="396">
        <f t="shared" si="117"/>
        <v>0</v>
      </c>
      <c r="AK134" s="397">
        <f t="shared" si="97"/>
        <v>93059.77</v>
      </c>
      <c r="AL134" s="398"/>
      <c r="AM134" s="472">
        <f t="shared" si="118"/>
        <v>0</v>
      </c>
      <c r="AN134" s="422">
        <f t="shared" si="118"/>
        <v>0</v>
      </c>
      <c r="AO134" s="473">
        <f t="shared" si="98"/>
        <v>0</v>
      </c>
      <c r="AP134" s="472">
        <f t="shared" si="119"/>
        <v>0</v>
      </c>
      <c r="AQ134" s="422">
        <f t="shared" si="119"/>
        <v>0</v>
      </c>
      <c r="AR134" s="473">
        <f t="shared" si="99"/>
        <v>0</v>
      </c>
      <c r="AS134" s="472">
        <f t="shared" si="120"/>
        <v>93059.77</v>
      </c>
      <c r="AT134" s="422">
        <f t="shared" si="120"/>
        <v>0</v>
      </c>
      <c r="AU134" s="473">
        <f t="shared" si="100"/>
        <v>93059.77</v>
      </c>
      <c r="AV134" s="1263">
        <f t="shared" si="101"/>
        <v>-46389.72</v>
      </c>
      <c r="AW134" s="472">
        <f t="shared" ref="AW134:BT134" si="128">SUM(AW135:AW138)</f>
        <v>0</v>
      </c>
      <c r="AX134" s="1110">
        <f t="shared" si="128"/>
        <v>0</v>
      </c>
      <c r="AY134" s="422">
        <f t="shared" si="128"/>
        <v>0</v>
      </c>
      <c r="AZ134" s="1110">
        <f t="shared" si="128"/>
        <v>0</v>
      </c>
      <c r="BA134" s="422">
        <f t="shared" si="128"/>
        <v>0</v>
      </c>
      <c r="BB134" s="1128">
        <f t="shared" si="128"/>
        <v>0</v>
      </c>
      <c r="BC134" s="472">
        <f t="shared" si="128"/>
        <v>0</v>
      </c>
      <c r="BD134" s="422">
        <f t="shared" si="128"/>
        <v>0</v>
      </c>
      <c r="BE134" s="422">
        <f t="shared" si="128"/>
        <v>0</v>
      </c>
      <c r="BF134" s="422">
        <f t="shared" si="128"/>
        <v>0</v>
      </c>
      <c r="BG134" s="422">
        <f t="shared" si="128"/>
        <v>0</v>
      </c>
      <c r="BH134" s="423">
        <f t="shared" si="128"/>
        <v>0</v>
      </c>
      <c r="BI134" s="472">
        <f t="shared" si="128"/>
        <v>0</v>
      </c>
      <c r="BJ134" s="422">
        <f t="shared" si="128"/>
        <v>0</v>
      </c>
      <c r="BK134" s="422">
        <f t="shared" si="128"/>
        <v>0</v>
      </c>
      <c r="BL134" s="422">
        <f t="shared" si="128"/>
        <v>0</v>
      </c>
      <c r="BM134" s="422">
        <f t="shared" si="128"/>
        <v>0</v>
      </c>
      <c r="BN134" s="423">
        <f t="shared" si="128"/>
        <v>0</v>
      </c>
      <c r="BO134" s="472">
        <f t="shared" si="128"/>
        <v>0</v>
      </c>
      <c r="BP134" s="422">
        <f t="shared" si="128"/>
        <v>0</v>
      </c>
      <c r="BQ134" s="422">
        <f t="shared" si="128"/>
        <v>0</v>
      </c>
      <c r="BR134" s="422">
        <f t="shared" si="128"/>
        <v>0</v>
      </c>
      <c r="BS134" s="422">
        <f t="shared" si="128"/>
        <v>93059.77</v>
      </c>
      <c r="BT134" s="473">
        <f t="shared" si="128"/>
        <v>0</v>
      </c>
    </row>
    <row r="135" spans="1:72" s="399" customFormat="1" ht="25.5" customHeight="1" outlineLevel="2">
      <c r="A135" s="287">
        <v>120</v>
      </c>
      <c r="B135" s="933"/>
      <c r="C135" s="859"/>
      <c r="D135" s="841" t="s">
        <v>277</v>
      </c>
      <c r="E135" s="860"/>
      <c r="F135" s="829" t="s">
        <v>7</v>
      </c>
      <c r="G135" s="400">
        <v>4</v>
      </c>
      <c r="H135" s="747" t="s">
        <v>70</v>
      </c>
      <c r="I135" s="747">
        <v>244</v>
      </c>
      <c r="J135" s="748">
        <v>226</v>
      </c>
      <c r="K135" s="538" t="s">
        <v>298</v>
      </c>
      <c r="L135" s="1031">
        <v>5666.67</v>
      </c>
      <c r="M135" s="403"/>
      <c r="N135" s="403"/>
      <c r="O135" s="1063">
        <f t="shared" si="103"/>
        <v>5666.67</v>
      </c>
      <c r="P135" s="566"/>
      <c r="Q135" s="406"/>
      <c r="R135" s="566"/>
      <c r="S135" s="406"/>
      <c r="T135" s="566"/>
      <c r="U135" s="404"/>
      <c r="V135" s="405"/>
      <c r="W135" s="405"/>
      <c r="X135" s="405"/>
      <c r="Z135" s="406">
        <f t="shared" si="114"/>
        <v>0</v>
      </c>
      <c r="AA135" s="407">
        <f t="shared" si="114"/>
        <v>0</v>
      </c>
      <c r="AB135" s="408">
        <f t="shared" si="94"/>
        <v>0</v>
      </c>
      <c r="AC135" s="406">
        <f t="shared" si="115"/>
        <v>0</v>
      </c>
      <c r="AD135" s="407">
        <f t="shared" si="115"/>
        <v>0</v>
      </c>
      <c r="AE135" s="408">
        <f t="shared" si="95"/>
        <v>0</v>
      </c>
      <c r="AF135" s="406">
        <f t="shared" si="116"/>
        <v>0</v>
      </c>
      <c r="AG135" s="407">
        <f t="shared" si="116"/>
        <v>0</v>
      </c>
      <c r="AH135" s="408">
        <f t="shared" si="96"/>
        <v>0</v>
      </c>
      <c r="AI135" s="406">
        <f t="shared" si="117"/>
        <v>5666.67</v>
      </c>
      <c r="AJ135" s="407">
        <f t="shared" si="117"/>
        <v>0</v>
      </c>
      <c r="AK135" s="408">
        <f t="shared" si="97"/>
        <v>5666.67</v>
      </c>
      <c r="AL135" s="409"/>
      <c r="AM135" s="406">
        <f t="shared" si="118"/>
        <v>0</v>
      </c>
      <c r="AN135" s="410">
        <f t="shared" si="118"/>
        <v>0</v>
      </c>
      <c r="AO135" s="411">
        <f t="shared" si="98"/>
        <v>0</v>
      </c>
      <c r="AP135" s="406">
        <f t="shared" si="119"/>
        <v>0</v>
      </c>
      <c r="AQ135" s="410">
        <f t="shared" si="119"/>
        <v>0</v>
      </c>
      <c r="AR135" s="411">
        <f t="shared" si="99"/>
        <v>0</v>
      </c>
      <c r="AS135" s="412">
        <f t="shared" si="120"/>
        <v>5666.67</v>
      </c>
      <c r="AT135" s="410">
        <f t="shared" si="120"/>
        <v>0</v>
      </c>
      <c r="AU135" s="411">
        <f t="shared" si="100"/>
        <v>5666.67</v>
      </c>
      <c r="AV135" s="1262">
        <f t="shared" si="101"/>
        <v>0</v>
      </c>
      <c r="AW135" s="413"/>
      <c r="AX135" s="1098"/>
      <c r="AY135" s="415"/>
      <c r="AZ135" s="1098"/>
      <c r="BA135" s="415"/>
      <c r="BB135" s="1120"/>
      <c r="BC135" s="417"/>
      <c r="BD135" s="418"/>
      <c r="BE135" s="419"/>
      <c r="BF135" s="418"/>
      <c r="BG135" s="419"/>
      <c r="BH135" s="420"/>
      <c r="BI135" s="421"/>
      <c r="BJ135" s="422"/>
      <c r="BK135" s="407"/>
      <c r="BL135" s="422"/>
      <c r="BM135" s="407"/>
      <c r="BN135" s="423"/>
      <c r="BO135" s="424"/>
      <c r="BP135" s="425"/>
      <c r="BQ135" s="426"/>
      <c r="BR135" s="425"/>
      <c r="BS135" s="426">
        <v>5666.67</v>
      </c>
      <c r="BT135" s="427"/>
    </row>
    <row r="136" spans="1:72" s="399" customFormat="1" ht="25.5" customHeight="1" outlineLevel="2">
      <c r="A136" s="287">
        <v>121</v>
      </c>
      <c r="B136" s="933"/>
      <c r="C136" s="859"/>
      <c r="D136" s="841" t="s">
        <v>277</v>
      </c>
      <c r="E136" s="860"/>
      <c r="F136" s="829" t="s">
        <v>7</v>
      </c>
      <c r="G136" s="400">
        <v>4</v>
      </c>
      <c r="H136" s="747" t="s">
        <v>70</v>
      </c>
      <c r="I136" s="747">
        <v>244</v>
      </c>
      <c r="J136" s="748">
        <v>226</v>
      </c>
      <c r="K136" s="538" t="s">
        <v>299</v>
      </c>
      <c r="L136" s="1031">
        <v>28059.9</v>
      </c>
      <c r="M136" s="403"/>
      <c r="N136" s="403"/>
      <c r="O136" s="1063">
        <f t="shared" si="103"/>
        <v>28059.9</v>
      </c>
      <c r="P136" s="566"/>
      <c r="Q136" s="406"/>
      <c r="R136" s="566"/>
      <c r="S136" s="406"/>
      <c r="T136" s="566"/>
      <c r="U136" s="404"/>
      <c r="V136" s="405"/>
      <c r="W136" s="405"/>
      <c r="X136" s="405"/>
      <c r="Z136" s="406">
        <f t="shared" si="114"/>
        <v>0</v>
      </c>
      <c r="AA136" s="407">
        <f t="shared" si="114"/>
        <v>0</v>
      </c>
      <c r="AB136" s="408">
        <f t="shared" si="94"/>
        <v>0</v>
      </c>
      <c r="AC136" s="406">
        <f t="shared" si="115"/>
        <v>0</v>
      </c>
      <c r="AD136" s="407">
        <f t="shared" si="115"/>
        <v>0</v>
      </c>
      <c r="AE136" s="408">
        <f t="shared" si="95"/>
        <v>0</v>
      </c>
      <c r="AF136" s="406">
        <f t="shared" si="116"/>
        <v>0</v>
      </c>
      <c r="AG136" s="407">
        <f t="shared" si="116"/>
        <v>0</v>
      </c>
      <c r="AH136" s="408">
        <f t="shared" si="96"/>
        <v>0</v>
      </c>
      <c r="AI136" s="406">
        <f t="shared" si="117"/>
        <v>28059.9</v>
      </c>
      <c r="AJ136" s="407">
        <f t="shared" si="117"/>
        <v>0</v>
      </c>
      <c r="AK136" s="408">
        <f t="shared" si="97"/>
        <v>28059.9</v>
      </c>
      <c r="AL136" s="409"/>
      <c r="AM136" s="406">
        <f t="shared" si="118"/>
        <v>0</v>
      </c>
      <c r="AN136" s="410">
        <f t="shared" si="118"/>
        <v>0</v>
      </c>
      <c r="AO136" s="411">
        <f t="shared" si="98"/>
        <v>0</v>
      </c>
      <c r="AP136" s="406">
        <f t="shared" si="119"/>
        <v>0</v>
      </c>
      <c r="AQ136" s="410">
        <f t="shared" si="119"/>
        <v>0</v>
      </c>
      <c r="AR136" s="411">
        <f t="shared" si="99"/>
        <v>0</v>
      </c>
      <c r="AS136" s="412">
        <f t="shared" si="120"/>
        <v>28059.9</v>
      </c>
      <c r="AT136" s="410">
        <f t="shared" si="120"/>
        <v>0</v>
      </c>
      <c r="AU136" s="411">
        <f t="shared" si="100"/>
        <v>28059.9</v>
      </c>
      <c r="AV136" s="1262">
        <f t="shared" si="101"/>
        <v>0</v>
      </c>
      <c r="AW136" s="413"/>
      <c r="AX136" s="1098"/>
      <c r="AY136" s="415"/>
      <c r="AZ136" s="1098"/>
      <c r="BA136" s="415"/>
      <c r="BB136" s="1120"/>
      <c r="BC136" s="417"/>
      <c r="BD136" s="418"/>
      <c r="BE136" s="419"/>
      <c r="BF136" s="418"/>
      <c r="BG136" s="419"/>
      <c r="BH136" s="420"/>
      <c r="BI136" s="421"/>
      <c r="BJ136" s="422"/>
      <c r="BK136" s="407"/>
      <c r="BL136" s="422"/>
      <c r="BM136" s="407"/>
      <c r="BN136" s="423"/>
      <c r="BO136" s="424"/>
      <c r="BP136" s="425"/>
      <c r="BQ136" s="426"/>
      <c r="BR136" s="425"/>
      <c r="BS136" s="426">
        <v>28059.9</v>
      </c>
      <c r="BT136" s="427"/>
    </row>
    <row r="137" spans="1:72" s="399" customFormat="1" ht="25.5" customHeight="1" outlineLevel="2">
      <c r="A137" s="287">
        <v>122</v>
      </c>
      <c r="B137" s="933"/>
      <c r="C137" s="859"/>
      <c r="D137" s="841" t="s">
        <v>277</v>
      </c>
      <c r="E137" s="860"/>
      <c r="F137" s="829" t="s">
        <v>7</v>
      </c>
      <c r="G137" s="400">
        <v>4</v>
      </c>
      <c r="H137" s="747" t="s">
        <v>70</v>
      </c>
      <c r="I137" s="747">
        <v>244</v>
      </c>
      <c r="J137" s="748">
        <v>226</v>
      </c>
      <c r="K137" s="538" t="s">
        <v>300</v>
      </c>
      <c r="L137" s="1031">
        <f>59333.2-46389.72</f>
        <v>12943.48</v>
      </c>
      <c r="M137" s="403"/>
      <c r="N137" s="403"/>
      <c r="O137" s="1063">
        <f t="shared" si="103"/>
        <v>12943.48</v>
      </c>
      <c r="P137" s="566"/>
      <c r="Q137" s="406"/>
      <c r="R137" s="566"/>
      <c r="S137" s="406"/>
      <c r="T137" s="566"/>
      <c r="U137" s="404"/>
      <c r="V137" s="405"/>
      <c r="W137" s="405"/>
      <c r="X137" s="405"/>
      <c r="Z137" s="406">
        <f t="shared" si="114"/>
        <v>0</v>
      </c>
      <c r="AA137" s="407">
        <f t="shared" si="114"/>
        <v>0</v>
      </c>
      <c r="AB137" s="408">
        <f t="shared" si="94"/>
        <v>0</v>
      </c>
      <c r="AC137" s="406">
        <f t="shared" si="115"/>
        <v>0</v>
      </c>
      <c r="AD137" s="407">
        <f t="shared" si="115"/>
        <v>0</v>
      </c>
      <c r="AE137" s="408">
        <f t="shared" si="95"/>
        <v>0</v>
      </c>
      <c r="AF137" s="406">
        <f t="shared" si="116"/>
        <v>0</v>
      </c>
      <c r="AG137" s="407">
        <f t="shared" si="116"/>
        <v>0</v>
      </c>
      <c r="AH137" s="408">
        <f t="shared" si="96"/>
        <v>0</v>
      </c>
      <c r="AI137" s="406">
        <f t="shared" si="117"/>
        <v>59333.2</v>
      </c>
      <c r="AJ137" s="407">
        <f t="shared" si="117"/>
        <v>0</v>
      </c>
      <c r="AK137" s="408">
        <f t="shared" si="97"/>
        <v>59333.2</v>
      </c>
      <c r="AL137" s="409"/>
      <c r="AM137" s="406">
        <f t="shared" si="118"/>
        <v>0</v>
      </c>
      <c r="AN137" s="410">
        <f t="shared" si="118"/>
        <v>0</v>
      </c>
      <c r="AO137" s="411">
        <f t="shared" si="98"/>
        <v>0</v>
      </c>
      <c r="AP137" s="406">
        <f t="shared" si="119"/>
        <v>0</v>
      </c>
      <c r="AQ137" s="410">
        <f t="shared" si="119"/>
        <v>0</v>
      </c>
      <c r="AR137" s="411">
        <f t="shared" si="99"/>
        <v>0</v>
      </c>
      <c r="AS137" s="412">
        <f t="shared" si="120"/>
        <v>59333.2</v>
      </c>
      <c r="AT137" s="410">
        <f t="shared" si="120"/>
        <v>0</v>
      </c>
      <c r="AU137" s="411">
        <f t="shared" si="100"/>
        <v>59333.2</v>
      </c>
      <c r="AV137" s="1262">
        <f t="shared" si="101"/>
        <v>-46389.72</v>
      </c>
      <c r="AW137" s="413"/>
      <c r="AX137" s="1098"/>
      <c r="AY137" s="415"/>
      <c r="AZ137" s="1098"/>
      <c r="BA137" s="415"/>
      <c r="BB137" s="1120"/>
      <c r="BC137" s="417"/>
      <c r="BD137" s="418"/>
      <c r="BE137" s="419"/>
      <c r="BF137" s="418"/>
      <c r="BG137" s="419"/>
      <c r="BH137" s="420"/>
      <c r="BI137" s="421"/>
      <c r="BJ137" s="422"/>
      <c r="BK137" s="407"/>
      <c r="BL137" s="422"/>
      <c r="BM137" s="407"/>
      <c r="BN137" s="423"/>
      <c r="BO137" s="424"/>
      <c r="BP137" s="425"/>
      <c r="BQ137" s="426"/>
      <c r="BR137" s="425"/>
      <c r="BS137" s="426">
        <v>59333.2</v>
      </c>
      <c r="BT137" s="427"/>
    </row>
    <row r="138" spans="1:72" s="430" customFormat="1" ht="25.5" customHeight="1" outlineLevel="2">
      <c r="A138" s="287">
        <v>123</v>
      </c>
      <c r="B138" s="933"/>
      <c r="C138" s="743"/>
      <c r="D138" s="856" t="s">
        <v>277</v>
      </c>
      <c r="E138" s="857"/>
      <c r="F138" s="827" t="s">
        <v>7</v>
      </c>
      <c r="G138" s="431">
        <v>4</v>
      </c>
      <c r="H138" s="474" t="s">
        <v>70</v>
      </c>
      <c r="I138" s="743">
        <v>244</v>
      </c>
      <c r="J138" s="744">
        <v>226</v>
      </c>
      <c r="K138" s="536" t="s">
        <v>284</v>
      </c>
      <c r="L138" s="1030"/>
      <c r="M138" s="434"/>
      <c r="N138" s="434"/>
      <c r="O138" s="1064">
        <f t="shared" si="103"/>
        <v>0</v>
      </c>
      <c r="P138" s="567"/>
      <c r="Q138" s="437"/>
      <c r="R138" s="567"/>
      <c r="S138" s="437"/>
      <c r="T138" s="567"/>
      <c r="U138" s="435"/>
      <c r="V138" s="436"/>
      <c r="W138" s="436"/>
      <c r="X138" s="436"/>
      <c r="Z138" s="437">
        <f t="shared" si="114"/>
        <v>0</v>
      </c>
      <c r="AA138" s="438">
        <f t="shared" si="114"/>
        <v>0</v>
      </c>
      <c r="AB138" s="439">
        <f t="shared" si="94"/>
        <v>0</v>
      </c>
      <c r="AC138" s="437">
        <f t="shared" si="115"/>
        <v>0</v>
      </c>
      <c r="AD138" s="438">
        <f t="shared" si="115"/>
        <v>0</v>
      </c>
      <c r="AE138" s="439">
        <f t="shared" si="95"/>
        <v>0</v>
      </c>
      <c r="AF138" s="437">
        <f t="shared" si="116"/>
        <v>0</v>
      </c>
      <c r="AG138" s="438">
        <f t="shared" si="116"/>
        <v>0</v>
      </c>
      <c r="AH138" s="439">
        <f t="shared" si="96"/>
        <v>0</v>
      </c>
      <c r="AI138" s="437">
        <f t="shared" si="117"/>
        <v>0</v>
      </c>
      <c r="AJ138" s="438">
        <f t="shared" si="117"/>
        <v>0</v>
      </c>
      <c r="AK138" s="439">
        <f t="shared" si="97"/>
        <v>0</v>
      </c>
      <c r="AL138" s="440"/>
      <c r="AM138" s="437">
        <f t="shared" si="118"/>
        <v>0</v>
      </c>
      <c r="AN138" s="441">
        <f t="shared" si="118"/>
        <v>0</v>
      </c>
      <c r="AO138" s="442">
        <f t="shared" si="98"/>
        <v>0</v>
      </c>
      <c r="AP138" s="437">
        <f t="shared" si="119"/>
        <v>0</v>
      </c>
      <c r="AQ138" s="441">
        <f t="shared" si="119"/>
        <v>0</v>
      </c>
      <c r="AR138" s="442">
        <f t="shared" si="99"/>
        <v>0</v>
      </c>
      <c r="AS138" s="443">
        <f t="shared" si="120"/>
        <v>0</v>
      </c>
      <c r="AT138" s="441">
        <f t="shared" si="120"/>
        <v>0</v>
      </c>
      <c r="AU138" s="442">
        <f t="shared" si="100"/>
        <v>0</v>
      </c>
      <c r="AV138" s="440">
        <f t="shared" si="101"/>
        <v>0</v>
      </c>
      <c r="AW138" s="444"/>
      <c r="AX138" s="1111"/>
      <c r="AY138" s="446"/>
      <c r="AZ138" s="1111"/>
      <c r="BA138" s="446"/>
      <c r="BB138" s="1129"/>
      <c r="BC138" s="448"/>
      <c r="BD138" s="449"/>
      <c r="BE138" s="450"/>
      <c r="BF138" s="449"/>
      <c r="BG138" s="450"/>
      <c r="BH138" s="451"/>
      <c r="BI138" s="452"/>
      <c r="BJ138" s="453"/>
      <c r="BK138" s="438"/>
      <c r="BL138" s="453"/>
      <c r="BM138" s="438"/>
      <c r="BN138" s="454"/>
      <c r="BO138" s="455"/>
      <c r="BP138" s="456"/>
      <c r="BQ138" s="457"/>
      <c r="BR138" s="456"/>
      <c r="BS138" s="457"/>
      <c r="BT138" s="458"/>
    </row>
    <row r="139" spans="1:72" s="965" customFormat="1" ht="51" customHeight="1">
      <c r="A139" s="287">
        <v>124</v>
      </c>
      <c r="B139" s="952"/>
      <c r="C139" s="953" t="s">
        <v>377</v>
      </c>
      <c r="D139" s="954"/>
      <c r="E139" s="955" t="s">
        <v>201</v>
      </c>
      <c r="F139" s="956" t="s">
        <v>7</v>
      </c>
      <c r="G139" s="957">
        <v>4</v>
      </c>
      <c r="H139" s="957" t="s">
        <v>266</v>
      </c>
      <c r="I139" s="957">
        <v>244</v>
      </c>
      <c r="J139" s="958">
        <v>346</v>
      </c>
      <c r="K139" s="959" t="s">
        <v>306</v>
      </c>
      <c r="L139" s="1027">
        <f>L140+L154+L173+L184+L192+L203</f>
        <v>455610.98</v>
      </c>
      <c r="M139" s="961"/>
      <c r="N139" s="961">
        <f>N140+N154+N173+N184+N192+N203</f>
        <v>0</v>
      </c>
      <c r="O139" s="1061">
        <f t="shared" si="103"/>
        <v>455610.98</v>
      </c>
      <c r="P139" s="962"/>
      <c r="Q139" s="960">
        <f>Q154</f>
        <v>379130.88</v>
      </c>
      <c r="R139" s="962">
        <f>R154</f>
        <v>0</v>
      </c>
      <c r="S139" s="960">
        <f>S154</f>
        <v>485710.59</v>
      </c>
      <c r="T139" s="962"/>
      <c r="U139" s="963"/>
      <c r="V139" s="964"/>
      <c r="W139" s="964"/>
      <c r="X139" s="964"/>
      <c r="Z139" s="960">
        <f t="shared" si="114"/>
        <v>65488.35</v>
      </c>
      <c r="AA139" s="961">
        <f t="shared" si="114"/>
        <v>0</v>
      </c>
      <c r="AB139" s="966">
        <f t="shared" si="94"/>
        <v>65488.35</v>
      </c>
      <c r="AC139" s="960">
        <f t="shared" si="115"/>
        <v>125166.42</v>
      </c>
      <c r="AD139" s="961">
        <f t="shared" si="115"/>
        <v>0</v>
      </c>
      <c r="AE139" s="966">
        <f t="shared" si="95"/>
        <v>125166.42</v>
      </c>
      <c r="AF139" s="960">
        <f t="shared" si="116"/>
        <v>26772.1</v>
      </c>
      <c r="AG139" s="961">
        <f t="shared" si="116"/>
        <v>0</v>
      </c>
      <c r="AH139" s="966">
        <f t="shared" si="96"/>
        <v>26772.1</v>
      </c>
      <c r="AI139" s="960">
        <f t="shared" si="117"/>
        <v>316853.45</v>
      </c>
      <c r="AJ139" s="961">
        <f t="shared" si="117"/>
        <v>204100.81</v>
      </c>
      <c r="AK139" s="966">
        <f t="shared" si="97"/>
        <v>112752.64</v>
      </c>
      <c r="AL139" s="967"/>
      <c r="AM139" s="960">
        <f t="shared" si="118"/>
        <v>190654.77</v>
      </c>
      <c r="AN139" s="961">
        <f t="shared" si="118"/>
        <v>0</v>
      </c>
      <c r="AO139" s="966">
        <f t="shared" si="98"/>
        <v>190654.77</v>
      </c>
      <c r="AP139" s="960">
        <f t="shared" si="119"/>
        <v>217426.87</v>
      </c>
      <c r="AQ139" s="961">
        <f t="shared" si="119"/>
        <v>0</v>
      </c>
      <c r="AR139" s="966">
        <f t="shared" si="99"/>
        <v>217426.87</v>
      </c>
      <c r="AS139" s="960">
        <f t="shared" si="120"/>
        <v>534280.31999999995</v>
      </c>
      <c r="AT139" s="961">
        <f t="shared" si="120"/>
        <v>204100.81</v>
      </c>
      <c r="AU139" s="966">
        <f t="shared" si="100"/>
        <v>330179.51</v>
      </c>
      <c r="AV139" s="1260">
        <f t="shared" si="101"/>
        <v>-78669.34</v>
      </c>
      <c r="AW139" s="960">
        <f t="shared" ref="AW139:BT139" si="129">SUM(AW154,AW140,AW173,AW184,AW192,AW203)</f>
        <v>0</v>
      </c>
      <c r="AX139" s="1109">
        <f t="shared" si="129"/>
        <v>0</v>
      </c>
      <c r="AY139" s="961">
        <f t="shared" si="129"/>
        <v>16998.990000000002</v>
      </c>
      <c r="AZ139" s="1109">
        <f t="shared" si="129"/>
        <v>0</v>
      </c>
      <c r="BA139" s="961">
        <f t="shared" si="129"/>
        <v>48489.36</v>
      </c>
      <c r="BB139" s="1127">
        <f t="shared" si="129"/>
        <v>0</v>
      </c>
      <c r="BC139" s="960">
        <f t="shared" si="129"/>
        <v>56563.519999999997</v>
      </c>
      <c r="BD139" s="961">
        <f t="shared" si="129"/>
        <v>0</v>
      </c>
      <c r="BE139" s="961">
        <f t="shared" si="129"/>
        <v>50843.5</v>
      </c>
      <c r="BF139" s="961">
        <f t="shared" si="129"/>
        <v>0</v>
      </c>
      <c r="BG139" s="961">
        <f t="shared" si="129"/>
        <v>17759.400000000001</v>
      </c>
      <c r="BH139" s="969">
        <f t="shared" si="129"/>
        <v>0</v>
      </c>
      <c r="BI139" s="960">
        <f t="shared" si="129"/>
        <v>4063</v>
      </c>
      <c r="BJ139" s="961">
        <f t="shared" si="129"/>
        <v>0</v>
      </c>
      <c r="BK139" s="961">
        <f t="shared" si="129"/>
        <v>11709.1</v>
      </c>
      <c r="BL139" s="961">
        <f t="shared" si="129"/>
        <v>0</v>
      </c>
      <c r="BM139" s="961">
        <f t="shared" si="129"/>
        <v>11000</v>
      </c>
      <c r="BN139" s="969">
        <f t="shared" si="129"/>
        <v>0</v>
      </c>
      <c r="BO139" s="960">
        <f t="shared" si="129"/>
        <v>227373.19</v>
      </c>
      <c r="BP139" s="961">
        <f t="shared" si="129"/>
        <v>204100.81</v>
      </c>
      <c r="BQ139" s="961">
        <f t="shared" si="129"/>
        <v>55396.959999999999</v>
      </c>
      <c r="BR139" s="961">
        <f t="shared" si="129"/>
        <v>0</v>
      </c>
      <c r="BS139" s="961">
        <f t="shared" si="129"/>
        <v>34083.300000000003</v>
      </c>
      <c r="BT139" s="966">
        <f t="shared" si="129"/>
        <v>0</v>
      </c>
    </row>
    <row r="140" spans="1:72" s="459" customFormat="1" ht="97.5" outlineLevel="1">
      <c r="A140" s="287">
        <v>125</v>
      </c>
      <c r="B140" s="933"/>
      <c r="C140" s="850" t="s">
        <v>378</v>
      </c>
      <c r="D140" s="854" t="s">
        <v>273</v>
      </c>
      <c r="E140" s="855"/>
      <c r="F140" s="923" t="s">
        <v>7</v>
      </c>
      <c r="G140" s="462">
        <v>4</v>
      </c>
      <c r="H140" s="741" t="s">
        <v>70</v>
      </c>
      <c r="I140" s="741">
        <v>244</v>
      </c>
      <c r="J140" s="742">
        <v>346</v>
      </c>
      <c r="K140" s="535" t="s">
        <v>492</v>
      </c>
      <c r="L140" s="1028">
        <f>SUM(L141:L153)</f>
        <v>64879.15</v>
      </c>
      <c r="M140" s="352"/>
      <c r="N140" s="352">
        <f>SUM(N141:N153)</f>
        <v>0</v>
      </c>
      <c r="O140" s="1062">
        <f t="shared" si="103"/>
        <v>64879.15</v>
      </c>
      <c r="P140" s="924"/>
      <c r="Q140" s="464"/>
      <c r="R140" s="924"/>
      <c r="S140" s="464"/>
      <c r="T140" s="924"/>
      <c r="U140" s="925"/>
      <c r="V140" s="926"/>
      <c r="W140" s="926"/>
      <c r="X140" s="1067" t="s">
        <v>645</v>
      </c>
      <c r="Y140" s="927"/>
      <c r="Z140" s="928">
        <f t="shared" si="114"/>
        <v>64879.15</v>
      </c>
      <c r="AA140" s="929">
        <f t="shared" si="114"/>
        <v>0</v>
      </c>
      <c r="AB140" s="930">
        <f t="shared" si="94"/>
        <v>64879.15</v>
      </c>
      <c r="AC140" s="928">
        <f t="shared" si="115"/>
        <v>0</v>
      </c>
      <c r="AD140" s="929">
        <f t="shared" si="115"/>
        <v>0</v>
      </c>
      <c r="AE140" s="930">
        <f t="shared" si="95"/>
        <v>0</v>
      </c>
      <c r="AF140" s="928">
        <f t="shared" si="116"/>
        <v>0</v>
      </c>
      <c r="AG140" s="929">
        <f t="shared" si="116"/>
        <v>0</v>
      </c>
      <c r="AH140" s="930">
        <f t="shared" si="96"/>
        <v>0</v>
      </c>
      <c r="AI140" s="928">
        <f t="shared" si="117"/>
        <v>0</v>
      </c>
      <c r="AJ140" s="929">
        <f t="shared" si="117"/>
        <v>0</v>
      </c>
      <c r="AK140" s="930">
        <f t="shared" si="97"/>
        <v>0</v>
      </c>
      <c r="AL140" s="931"/>
      <c r="AM140" s="464">
        <f t="shared" si="118"/>
        <v>64879.15</v>
      </c>
      <c r="AN140" s="352">
        <f t="shared" si="118"/>
        <v>0</v>
      </c>
      <c r="AO140" s="465">
        <f t="shared" si="98"/>
        <v>64879.15</v>
      </c>
      <c r="AP140" s="464">
        <f t="shared" si="119"/>
        <v>64879.15</v>
      </c>
      <c r="AQ140" s="352">
        <f t="shared" si="119"/>
        <v>0</v>
      </c>
      <c r="AR140" s="465">
        <f t="shared" si="99"/>
        <v>64879.15</v>
      </c>
      <c r="AS140" s="464">
        <f t="shared" si="120"/>
        <v>64879.15</v>
      </c>
      <c r="AT140" s="352">
        <f t="shared" si="120"/>
        <v>0</v>
      </c>
      <c r="AU140" s="465">
        <f t="shared" si="100"/>
        <v>64879.15</v>
      </c>
      <c r="AV140" s="1261">
        <f t="shared" si="101"/>
        <v>0</v>
      </c>
      <c r="AW140" s="464">
        <f t="shared" ref="AW140:BT140" si="130">SUM(AW141:AW153)</f>
        <v>0</v>
      </c>
      <c r="AX140" s="1110">
        <f t="shared" si="130"/>
        <v>0</v>
      </c>
      <c r="AY140" s="352">
        <f t="shared" si="130"/>
        <v>16998.990000000002</v>
      </c>
      <c r="AZ140" s="352"/>
      <c r="BA140" s="352">
        <f t="shared" si="130"/>
        <v>47880.160000000003</v>
      </c>
      <c r="BB140" s="1128"/>
      <c r="BC140" s="464">
        <f t="shared" si="130"/>
        <v>0</v>
      </c>
      <c r="BD140" s="352">
        <f t="shared" si="130"/>
        <v>0</v>
      </c>
      <c r="BE140" s="352">
        <f t="shared" si="130"/>
        <v>0</v>
      </c>
      <c r="BF140" s="352">
        <f t="shared" si="130"/>
        <v>0</v>
      </c>
      <c r="BG140" s="352">
        <f t="shared" si="130"/>
        <v>0</v>
      </c>
      <c r="BH140" s="353">
        <f t="shared" si="130"/>
        <v>0</v>
      </c>
      <c r="BI140" s="464">
        <f t="shared" si="130"/>
        <v>0</v>
      </c>
      <c r="BJ140" s="352">
        <f t="shared" si="130"/>
        <v>0</v>
      </c>
      <c r="BK140" s="352">
        <f t="shared" si="130"/>
        <v>0</v>
      </c>
      <c r="BL140" s="352">
        <f t="shared" si="130"/>
        <v>0</v>
      </c>
      <c r="BM140" s="352">
        <f t="shared" si="130"/>
        <v>0</v>
      </c>
      <c r="BN140" s="353">
        <f t="shared" si="130"/>
        <v>0</v>
      </c>
      <c r="BO140" s="464">
        <f t="shared" si="130"/>
        <v>0</v>
      </c>
      <c r="BP140" s="352">
        <f t="shared" si="130"/>
        <v>0</v>
      </c>
      <c r="BQ140" s="352">
        <f t="shared" si="130"/>
        <v>0</v>
      </c>
      <c r="BR140" s="352">
        <f t="shared" si="130"/>
        <v>0</v>
      </c>
      <c r="BS140" s="352">
        <f t="shared" si="130"/>
        <v>0</v>
      </c>
      <c r="BT140" s="465">
        <f t="shared" si="130"/>
        <v>0</v>
      </c>
    </row>
    <row r="141" spans="1:72" s="313" customFormat="1" ht="25.5" customHeight="1" outlineLevel="2">
      <c r="A141" s="287">
        <v>126</v>
      </c>
      <c r="B141" s="933"/>
      <c r="C141" s="859"/>
      <c r="D141" s="841" t="s">
        <v>273</v>
      </c>
      <c r="E141" s="860"/>
      <c r="F141" s="821" t="s">
        <v>7</v>
      </c>
      <c r="G141" s="314">
        <v>4</v>
      </c>
      <c r="H141" s="739" t="s">
        <v>70</v>
      </c>
      <c r="I141" s="739">
        <v>244</v>
      </c>
      <c r="J141" s="740">
        <v>346</v>
      </c>
      <c r="K141" s="533" t="s">
        <v>643</v>
      </c>
      <c r="L141" s="1025">
        <v>19125.16</v>
      </c>
      <c r="M141" s="318"/>
      <c r="N141" s="318"/>
      <c r="O141" s="1052">
        <f t="shared" si="103"/>
        <v>19125.16</v>
      </c>
      <c r="P141" s="562"/>
      <c r="Q141" s="336"/>
      <c r="R141" s="562"/>
      <c r="S141" s="336"/>
      <c r="T141" s="562"/>
      <c r="U141" s="466"/>
      <c r="V141" s="597" t="s">
        <v>644</v>
      </c>
      <c r="W141" s="597" t="s">
        <v>655</v>
      </c>
      <c r="X141" s="597" t="s">
        <v>773</v>
      </c>
      <c r="Z141" s="336">
        <f t="shared" si="114"/>
        <v>19125.16</v>
      </c>
      <c r="AA141" s="337">
        <f t="shared" si="114"/>
        <v>19125.16</v>
      </c>
      <c r="AB141" s="338">
        <f t="shared" si="94"/>
        <v>0</v>
      </c>
      <c r="AC141" s="336">
        <f t="shared" si="115"/>
        <v>0</v>
      </c>
      <c r="AD141" s="337">
        <f t="shared" si="115"/>
        <v>0</v>
      </c>
      <c r="AE141" s="338">
        <f t="shared" si="95"/>
        <v>0</v>
      </c>
      <c r="AF141" s="336">
        <f t="shared" si="116"/>
        <v>0</v>
      </c>
      <c r="AG141" s="337">
        <f t="shared" si="116"/>
        <v>0</v>
      </c>
      <c r="AH141" s="338">
        <f t="shared" si="96"/>
        <v>0</v>
      </c>
      <c r="AI141" s="336">
        <f t="shared" si="117"/>
        <v>0</v>
      </c>
      <c r="AJ141" s="337">
        <f t="shared" si="117"/>
        <v>0</v>
      </c>
      <c r="AK141" s="338">
        <f t="shared" si="97"/>
        <v>0</v>
      </c>
      <c r="AL141" s="342"/>
      <c r="AM141" s="336">
        <f t="shared" si="118"/>
        <v>19125.16</v>
      </c>
      <c r="AN141" s="339">
        <f t="shared" si="118"/>
        <v>19125.16</v>
      </c>
      <c r="AO141" s="340">
        <f t="shared" si="98"/>
        <v>0</v>
      </c>
      <c r="AP141" s="336">
        <f t="shared" si="119"/>
        <v>19125.16</v>
      </c>
      <c r="AQ141" s="339">
        <f t="shared" si="119"/>
        <v>19125.16</v>
      </c>
      <c r="AR141" s="340">
        <f t="shared" si="99"/>
        <v>0</v>
      </c>
      <c r="AS141" s="341">
        <f t="shared" si="120"/>
        <v>19125.16</v>
      </c>
      <c r="AT141" s="339">
        <f t="shared" si="120"/>
        <v>19125.16</v>
      </c>
      <c r="AU141" s="340">
        <f t="shared" si="100"/>
        <v>0</v>
      </c>
      <c r="AV141" s="1255">
        <f t="shared" si="101"/>
        <v>0</v>
      </c>
      <c r="AW141" s="343"/>
      <c r="AX141" s="1098"/>
      <c r="AY141" s="345"/>
      <c r="AZ141" s="1098"/>
      <c r="BA141" s="345">
        <v>19125.16</v>
      </c>
      <c r="BB141" s="1120">
        <v>19125.16</v>
      </c>
      <c r="BC141" s="347"/>
      <c r="BD141" s="348"/>
      <c r="BE141" s="349"/>
      <c r="BF141" s="348"/>
      <c r="BG141" s="349"/>
      <c r="BH141" s="350"/>
      <c r="BI141" s="351"/>
      <c r="BJ141" s="352"/>
      <c r="BK141" s="337"/>
      <c r="BL141" s="352"/>
      <c r="BM141" s="337"/>
      <c r="BN141" s="353"/>
      <c r="BO141" s="354"/>
      <c r="BP141" s="355"/>
      <c r="BQ141" s="356"/>
      <c r="BR141" s="355"/>
      <c r="BS141" s="356"/>
      <c r="BT141" s="357"/>
    </row>
    <row r="142" spans="1:72" s="313" customFormat="1" ht="25.5" customHeight="1" outlineLevel="2">
      <c r="A142" s="287">
        <v>127</v>
      </c>
      <c r="B142" s="933"/>
      <c r="C142" s="743"/>
      <c r="D142" s="856" t="s">
        <v>273</v>
      </c>
      <c r="E142" s="857"/>
      <c r="F142" s="821" t="s">
        <v>7</v>
      </c>
      <c r="G142" s="314">
        <v>4</v>
      </c>
      <c r="H142" s="739" t="s">
        <v>70</v>
      </c>
      <c r="I142" s="739">
        <v>244</v>
      </c>
      <c r="J142" s="740">
        <v>346</v>
      </c>
      <c r="K142" s="533" t="s">
        <v>486</v>
      </c>
      <c r="L142" s="1025">
        <v>275</v>
      </c>
      <c r="M142" s="318"/>
      <c r="N142" s="318"/>
      <c r="O142" s="1052">
        <f>L142+N142</f>
        <v>275</v>
      </c>
      <c r="P142" s="562"/>
      <c r="Q142" s="336"/>
      <c r="R142" s="562"/>
      <c r="S142" s="336"/>
      <c r="T142" s="562"/>
      <c r="U142" s="466"/>
      <c r="V142" s="597" t="s">
        <v>483</v>
      </c>
      <c r="W142" s="597" t="s">
        <v>484</v>
      </c>
      <c r="X142" s="320" t="s">
        <v>557</v>
      </c>
      <c r="Z142" s="336">
        <f>AW142+AY142+BA142</f>
        <v>275</v>
      </c>
      <c r="AA142" s="337">
        <f>AX142+AZ142+BB142</f>
        <v>275</v>
      </c>
      <c r="AB142" s="338">
        <f>Z142-AA142</f>
        <v>0</v>
      </c>
      <c r="AC142" s="336">
        <f>BC142+BE142+BG142</f>
        <v>0</v>
      </c>
      <c r="AD142" s="337">
        <f>BD142+BF142+BH142</f>
        <v>0</v>
      </c>
      <c r="AE142" s="338">
        <f>AC142-AD142</f>
        <v>0</v>
      </c>
      <c r="AF142" s="336">
        <f>BI142+BK142+BM142</f>
        <v>0</v>
      </c>
      <c r="AG142" s="337">
        <f>BJ142+BL142+BN142</f>
        <v>0</v>
      </c>
      <c r="AH142" s="338">
        <f>AF142-AG142</f>
        <v>0</v>
      </c>
      <c r="AI142" s="336">
        <f>BO142+BQ142+BS142</f>
        <v>0</v>
      </c>
      <c r="AJ142" s="337">
        <f>BP142+BR142+BT142</f>
        <v>0</v>
      </c>
      <c r="AK142" s="338">
        <f>AI142-AJ142</f>
        <v>0</v>
      </c>
      <c r="AL142" s="342"/>
      <c r="AM142" s="336">
        <f>Z142+AC142</f>
        <v>275</v>
      </c>
      <c r="AN142" s="339">
        <f>AA142+AD142</f>
        <v>275</v>
      </c>
      <c r="AO142" s="340">
        <f>AM142-AN142</f>
        <v>0</v>
      </c>
      <c r="AP142" s="336">
        <f>Z142+AC142+AF142</f>
        <v>275</v>
      </c>
      <c r="AQ142" s="339">
        <f>AA142+AD142+AG142</f>
        <v>275</v>
      </c>
      <c r="AR142" s="340">
        <f>AP142-AQ142</f>
        <v>0</v>
      </c>
      <c r="AS142" s="341">
        <f>Z142+AC142+AF142+AI142</f>
        <v>275</v>
      </c>
      <c r="AT142" s="339">
        <f>AA142+AD142+AG142+AJ142</f>
        <v>275</v>
      </c>
      <c r="AU142" s="340">
        <f>AS142-AT142</f>
        <v>0</v>
      </c>
      <c r="AV142" s="1255">
        <f>L142-AS142</f>
        <v>0</v>
      </c>
      <c r="AW142" s="343"/>
      <c r="AX142" s="1098"/>
      <c r="AY142" s="345">
        <v>275</v>
      </c>
      <c r="AZ142" s="1098">
        <v>275</v>
      </c>
      <c r="BA142" s="345"/>
      <c r="BB142" s="1120"/>
      <c r="BC142" s="347"/>
      <c r="BD142" s="348"/>
      <c r="BE142" s="349"/>
      <c r="BF142" s="348"/>
      <c r="BG142" s="349"/>
      <c r="BH142" s="350"/>
      <c r="BI142" s="351"/>
      <c r="BJ142" s="352"/>
      <c r="BK142" s="337"/>
      <c r="BL142" s="352"/>
      <c r="BM142" s="337"/>
      <c r="BN142" s="353"/>
      <c r="BO142" s="354"/>
      <c r="BP142" s="355"/>
      <c r="BQ142" s="356"/>
      <c r="BR142" s="355"/>
      <c r="BS142" s="356"/>
      <c r="BT142" s="357"/>
    </row>
    <row r="143" spans="1:72" s="313" customFormat="1" ht="25.5" customHeight="1" outlineLevel="2">
      <c r="A143" s="287">
        <v>128</v>
      </c>
      <c r="B143" s="933"/>
      <c r="C143" s="859"/>
      <c r="D143" s="841" t="s">
        <v>273</v>
      </c>
      <c r="E143" s="860"/>
      <c r="F143" s="821" t="s">
        <v>7</v>
      </c>
      <c r="G143" s="314">
        <v>4</v>
      </c>
      <c r="H143" s="739" t="s">
        <v>70</v>
      </c>
      <c r="I143" s="739">
        <v>244</v>
      </c>
      <c r="J143" s="740">
        <v>346</v>
      </c>
      <c r="K143" s="533" t="s">
        <v>487</v>
      </c>
      <c r="L143" s="1025">
        <v>2874</v>
      </c>
      <c r="M143" s="318"/>
      <c r="N143" s="318"/>
      <c r="O143" s="1052">
        <f t="shared" ref="O143:O149" si="131">L143+N143</f>
        <v>2874</v>
      </c>
      <c r="P143" s="562"/>
      <c r="Q143" s="336"/>
      <c r="R143" s="562"/>
      <c r="S143" s="336"/>
      <c r="T143" s="562"/>
      <c r="U143" s="466"/>
      <c r="V143" s="597" t="s">
        <v>483</v>
      </c>
      <c r="W143" s="597" t="s">
        <v>485</v>
      </c>
      <c r="X143" s="320" t="s">
        <v>557</v>
      </c>
      <c r="Z143" s="336">
        <f t="shared" ref="Z143:AA149" si="132">AW143+AY143+BA143</f>
        <v>2874</v>
      </c>
      <c r="AA143" s="337">
        <f t="shared" si="132"/>
        <v>2874</v>
      </c>
      <c r="AB143" s="338">
        <f t="shared" ref="AB143:AB149" si="133">Z143-AA143</f>
        <v>0</v>
      </c>
      <c r="AC143" s="336">
        <f t="shared" ref="AC143:AD149" si="134">BC143+BE143+BG143</f>
        <v>0</v>
      </c>
      <c r="AD143" s="337">
        <f t="shared" si="134"/>
        <v>0</v>
      </c>
      <c r="AE143" s="338">
        <f t="shared" ref="AE143:AE149" si="135">AC143-AD143</f>
        <v>0</v>
      </c>
      <c r="AF143" s="336">
        <f t="shared" ref="AF143:AG149" si="136">BI143+BK143+BM143</f>
        <v>0</v>
      </c>
      <c r="AG143" s="337">
        <f t="shared" si="136"/>
        <v>0</v>
      </c>
      <c r="AH143" s="338">
        <f t="shared" ref="AH143:AH149" si="137">AF143-AG143</f>
        <v>0</v>
      </c>
      <c r="AI143" s="336">
        <f t="shared" ref="AI143:AJ149" si="138">BO143+BQ143+BS143</f>
        <v>0</v>
      </c>
      <c r="AJ143" s="337">
        <f t="shared" si="138"/>
        <v>0</v>
      </c>
      <c r="AK143" s="338">
        <f t="shared" ref="AK143:AK149" si="139">AI143-AJ143</f>
        <v>0</v>
      </c>
      <c r="AL143" s="342"/>
      <c r="AM143" s="336">
        <f t="shared" ref="AM143:AN149" si="140">Z143+AC143</f>
        <v>2874</v>
      </c>
      <c r="AN143" s="339">
        <f t="shared" si="140"/>
        <v>2874</v>
      </c>
      <c r="AO143" s="340">
        <f t="shared" ref="AO143:AO149" si="141">AM143-AN143</f>
        <v>0</v>
      </c>
      <c r="AP143" s="336">
        <f t="shared" ref="AP143:AQ149" si="142">Z143+AC143+AF143</f>
        <v>2874</v>
      </c>
      <c r="AQ143" s="339">
        <f t="shared" si="142"/>
        <v>2874</v>
      </c>
      <c r="AR143" s="340">
        <f t="shared" ref="AR143:AR149" si="143">AP143-AQ143</f>
        <v>0</v>
      </c>
      <c r="AS143" s="341">
        <f t="shared" ref="AS143:AT149" si="144">Z143+AC143+AF143+AI143</f>
        <v>2874</v>
      </c>
      <c r="AT143" s="339">
        <f t="shared" si="144"/>
        <v>2874</v>
      </c>
      <c r="AU143" s="340">
        <f t="shared" ref="AU143:AU149" si="145">AS143-AT143</f>
        <v>0</v>
      </c>
      <c r="AV143" s="1255">
        <f t="shared" ref="AV143:AV149" si="146">L143-AS143</f>
        <v>0</v>
      </c>
      <c r="AW143" s="343"/>
      <c r="AX143" s="1098"/>
      <c r="AY143" s="345">
        <v>2874</v>
      </c>
      <c r="AZ143" s="1098">
        <v>2874</v>
      </c>
      <c r="BA143" s="345"/>
      <c r="BB143" s="1120"/>
      <c r="BC143" s="347"/>
      <c r="BD143" s="348"/>
      <c r="BE143" s="349"/>
      <c r="BF143" s="348"/>
      <c r="BG143" s="349"/>
      <c r="BH143" s="350"/>
      <c r="BI143" s="351"/>
      <c r="BJ143" s="352"/>
      <c r="BK143" s="337"/>
      <c r="BL143" s="352"/>
      <c r="BM143" s="337"/>
      <c r="BN143" s="353"/>
      <c r="BO143" s="354"/>
      <c r="BP143" s="355"/>
      <c r="BQ143" s="356"/>
      <c r="BR143" s="355"/>
      <c r="BS143" s="356"/>
      <c r="BT143" s="357"/>
    </row>
    <row r="144" spans="1:72" s="313" customFormat="1" ht="51" outlineLevel="2">
      <c r="A144" s="287">
        <v>129</v>
      </c>
      <c r="B144" s="933"/>
      <c r="C144" s="840"/>
      <c r="D144" s="841" t="s">
        <v>273</v>
      </c>
      <c r="E144" s="839"/>
      <c r="F144" s="821" t="s">
        <v>7</v>
      </c>
      <c r="G144" s="314">
        <v>4</v>
      </c>
      <c r="H144" s="739" t="s">
        <v>70</v>
      </c>
      <c r="I144" s="739">
        <v>244</v>
      </c>
      <c r="J144" s="740">
        <v>346</v>
      </c>
      <c r="K144" s="533" t="s">
        <v>497</v>
      </c>
      <c r="L144" s="1025">
        <v>3475</v>
      </c>
      <c r="M144" s="318"/>
      <c r="N144" s="318"/>
      <c r="O144" s="1052">
        <f t="shared" si="131"/>
        <v>3475</v>
      </c>
      <c r="P144" s="562"/>
      <c r="Q144" s="336"/>
      <c r="R144" s="562"/>
      <c r="S144" s="336"/>
      <c r="T144" s="562"/>
      <c r="U144" s="466"/>
      <c r="V144" s="597" t="s">
        <v>495</v>
      </c>
      <c r="W144" s="597" t="s">
        <v>496</v>
      </c>
      <c r="X144" s="320" t="s">
        <v>557</v>
      </c>
      <c r="Z144" s="336">
        <f t="shared" si="132"/>
        <v>3475</v>
      </c>
      <c r="AA144" s="337">
        <f t="shared" si="132"/>
        <v>3475</v>
      </c>
      <c r="AB144" s="338">
        <f t="shared" si="133"/>
        <v>0</v>
      </c>
      <c r="AC144" s="336">
        <f t="shared" si="134"/>
        <v>0</v>
      </c>
      <c r="AD144" s="337">
        <f t="shared" si="134"/>
        <v>0</v>
      </c>
      <c r="AE144" s="338">
        <f t="shared" si="135"/>
        <v>0</v>
      </c>
      <c r="AF144" s="336">
        <f t="shared" si="136"/>
        <v>0</v>
      </c>
      <c r="AG144" s="337">
        <f t="shared" si="136"/>
        <v>0</v>
      </c>
      <c r="AH144" s="338">
        <f t="shared" si="137"/>
        <v>0</v>
      </c>
      <c r="AI144" s="336">
        <f t="shared" si="138"/>
        <v>0</v>
      </c>
      <c r="AJ144" s="337">
        <f t="shared" si="138"/>
        <v>0</v>
      </c>
      <c r="AK144" s="338">
        <f t="shared" si="139"/>
        <v>0</v>
      </c>
      <c r="AL144" s="342"/>
      <c r="AM144" s="336">
        <f t="shared" si="140"/>
        <v>3475</v>
      </c>
      <c r="AN144" s="339">
        <f t="shared" si="140"/>
        <v>3475</v>
      </c>
      <c r="AO144" s="340">
        <f t="shared" si="141"/>
        <v>0</v>
      </c>
      <c r="AP144" s="336">
        <f t="shared" si="142"/>
        <v>3475</v>
      </c>
      <c r="AQ144" s="339">
        <f t="shared" si="142"/>
        <v>3475</v>
      </c>
      <c r="AR144" s="340">
        <f t="shared" si="143"/>
        <v>0</v>
      </c>
      <c r="AS144" s="341">
        <f t="shared" si="144"/>
        <v>3475</v>
      </c>
      <c r="AT144" s="339">
        <f t="shared" si="144"/>
        <v>3475</v>
      </c>
      <c r="AU144" s="340">
        <f t="shared" si="145"/>
        <v>0</v>
      </c>
      <c r="AV144" s="1255">
        <f t="shared" si="146"/>
        <v>0</v>
      </c>
      <c r="AW144" s="343"/>
      <c r="AX144" s="1098"/>
      <c r="AY144" s="345">
        <v>3475</v>
      </c>
      <c r="AZ144" s="1098">
        <v>0</v>
      </c>
      <c r="BA144" s="345"/>
      <c r="BB144" s="1120">
        <v>3475</v>
      </c>
      <c r="BC144" s="347"/>
      <c r="BD144" s="348"/>
      <c r="BE144" s="349"/>
      <c r="BF144" s="348"/>
      <c r="BG144" s="349"/>
      <c r="BH144" s="350"/>
      <c r="BI144" s="351"/>
      <c r="BJ144" s="352"/>
      <c r="BK144" s="337"/>
      <c r="BL144" s="352"/>
      <c r="BM144" s="337"/>
      <c r="BN144" s="353"/>
      <c r="BO144" s="354"/>
      <c r="BP144" s="355"/>
      <c r="BQ144" s="356"/>
      <c r="BR144" s="355"/>
      <c r="BS144" s="356"/>
      <c r="BT144" s="357"/>
    </row>
    <row r="145" spans="1:72" s="313" customFormat="1" ht="89.25" outlineLevel="2">
      <c r="A145" s="287">
        <v>130</v>
      </c>
      <c r="B145" s="933"/>
      <c r="C145" s="840"/>
      <c r="D145" s="841" t="s">
        <v>273</v>
      </c>
      <c r="E145" s="839"/>
      <c r="F145" s="821" t="s">
        <v>7</v>
      </c>
      <c r="G145" s="314">
        <v>4</v>
      </c>
      <c r="H145" s="739" t="s">
        <v>70</v>
      </c>
      <c r="I145" s="739">
        <v>244</v>
      </c>
      <c r="J145" s="740">
        <v>346</v>
      </c>
      <c r="K145" s="533" t="s">
        <v>618</v>
      </c>
      <c r="L145" s="1025">
        <f>5425+40</f>
        <v>5465</v>
      </c>
      <c r="M145" s="318"/>
      <c r="N145" s="318"/>
      <c r="O145" s="1052">
        <f t="shared" si="131"/>
        <v>5465</v>
      </c>
      <c r="P145" s="562"/>
      <c r="Q145" s="336"/>
      <c r="R145" s="562"/>
      <c r="S145" s="336"/>
      <c r="T145" s="562"/>
      <c r="U145" s="466"/>
      <c r="V145" s="597" t="s">
        <v>555</v>
      </c>
      <c r="W145" s="597" t="s">
        <v>556</v>
      </c>
      <c r="X145" s="320" t="s">
        <v>557</v>
      </c>
      <c r="Z145" s="336">
        <f t="shared" si="132"/>
        <v>5465</v>
      </c>
      <c r="AA145" s="337">
        <f t="shared" si="132"/>
        <v>5465</v>
      </c>
      <c r="AB145" s="338">
        <f t="shared" si="133"/>
        <v>0</v>
      </c>
      <c r="AC145" s="336">
        <f t="shared" si="134"/>
        <v>0</v>
      </c>
      <c r="AD145" s="337">
        <f t="shared" si="134"/>
        <v>0</v>
      </c>
      <c r="AE145" s="338">
        <f t="shared" si="135"/>
        <v>0</v>
      </c>
      <c r="AF145" s="336">
        <f t="shared" si="136"/>
        <v>0</v>
      </c>
      <c r="AG145" s="337">
        <f t="shared" si="136"/>
        <v>0</v>
      </c>
      <c r="AH145" s="338">
        <f t="shared" si="137"/>
        <v>0</v>
      </c>
      <c r="AI145" s="336">
        <f t="shared" si="138"/>
        <v>0</v>
      </c>
      <c r="AJ145" s="337">
        <f t="shared" si="138"/>
        <v>0</v>
      </c>
      <c r="AK145" s="338">
        <f t="shared" si="139"/>
        <v>0</v>
      </c>
      <c r="AL145" s="342"/>
      <c r="AM145" s="336">
        <f t="shared" si="140"/>
        <v>5465</v>
      </c>
      <c r="AN145" s="339">
        <f t="shared" si="140"/>
        <v>5465</v>
      </c>
      <c r="AO145" s="340">
        <f t="shared" si="141"/>
        <v>0</v>
      </c>
      <c r="AP145" s="336">
        <f t="shared" si="142"/>
        <v>5465</v>
      </c>
      <c r="AQ145" s="339">
        <f t="shared" si="142"/>
        <v>5465</v>
      </c>
      <c r="AR145" s="340">
        <f t="shared" si="143"/>
        <v>0</v>
      </c>
      <c r="AS145" s="341">
        <f t="shared" si="144"/>
        <v>5465</v>
      </c>
      <c r="AT145" s="339">
        <f t="shared" si="144"/>
        <v>5465</v>
      </c>
      <c r="AU145" s="340">
        <f t="shared" si="145"/>
        <v>0</v>
      </c>
      <c r="AV145" s="1255">
        <f t="shared" si="146"/>
        <v>0</v>
      </c>
      <c r="AW145" s="343"/>
      <c r="AX145" s="1098"/>
      <c r="AY145" s="345">
        <v>5465</v>
      </c>
      <c r="AZ145" s="1098">
        <v>0</v>
      </c>
      <c r="BA145" s="345"/>
      <c r="BB145" s="1120">
        <v>5465</v>
      </c>
      <c r="BC145" s="347"/>
      <c r="BD145" s="348"/>
      <c r="BE145" s="349"/>
      <c r="BF145" s="348"/>
      <c r="BG145" s="349"/>
      <c r="BH145" s="350"/>
      <c r="BI145" s="351"/>
      <c r="BJ145" s="352"/>
      <c r="BK145" s="337"/>
      <c r="BL145" s="352"/>
      <c r="BM145" s="337"/>
      <c r="BN145" s="353"/>
      <c r="BO145" s="354"/>
      <c r="BP145" s="355"/>
      <c r="BQ145" s="356"/>
      <c r="BR145" s="355"/>
      <c r="BS145" s="356"/>
      <c r="BT145" s="357"/>
    </row>
    <row r="146" spans="1:72" s="313" customFormat="1" ht="76.5" outlineLevel="2">
      <c r="A146" s="287">
        <v>131</v>
      </c>
      <c r="B146" s="933"/>
      <c r="C146" s="840"/>
      <c r="D146" s="841" t="s">
        <v>273</v>
      </c>
      <c r="E146" s="839"/>
      <c r="F146" s="821" t="s">
        <v>7</v>
      </c>
      <c r="G146" s="314">
        <v>4</v>
      </c>
      <c r="H146" s="739" t="s">
        <v>70</v>
      </c>
      <c r="I146" s="739">
        <v>244</v>
      </c>
      <c r="J146" s="740">
        <v>346</v>
      </c>
      <c r="K146" s="533" t="s">
        <v>560</v>
      </c>
      <c r="L146" s="1025">
        <v>4713.99</v>
      </c>
      <c r="M146" s="318"/>
      <c r="N146" s="318"/>
      <c r="O146" s="1052">
        <f t="shared" si="131"/>
        <v>4713.99</v>
      </c>
      <c r="P146" s="562"/>
      <c r="Q146" s="336"/>
      <c r="R146" s="562"/>
      <c r="S146" s="336"/>
      <c r="T146" s="562"/>
      <c r="U146" s="466"/>
      <c r="V146" s="597" t="s">
        <v>558</v>
      </c>
      <c r="W146" s="597" t="s">
        <v>559</v>
      </c>
      <c r="X146" s="388" t="s">
        <v>561</v>
      </c>
      <c r="Z146" s="336">
        <f t="shared" si="132"/>
        <v>4713.99</v>
      </c>
      <c r="AA146" s="337">
        <f t="shared" si="132"/>
        <v>4713.99</v>
      </c>
      <c r="AB146" s="338">
        <f t="shared" si="133"/>
        <v>0</v>
      </c>
      <c r="AC146" s="336">
        <f t="shared" si="134"/>
        <v>0</v>
      </c>
      <c r="AD146" s="337">
        <f t="shared" si="134"/>
        <v>0</v>
      </c>
      <c r="AE146" s="338">
        <f t="shared" si="135"/>
        <v>0</v>
      </c>
      <c r="AF146" s="336">
        <f t="shared" si="136"/>
        <v>0</v>
      </c>
      <c r="AG146" s="337">
        <f t="shared" si="136"/>
        <v>0</v>
      </c>
      <c r="AH146" s="338">
        <f t="shared" si="137"/>
        <v>0</v>
      </c>
      <c r="AI146" s="336">
        <f t="shared" si="138"/>
        <v>0</v>
      </c>
      <c r="AJ146" s="337">
        <f t="shared" si="138"/>
        <v>0</v>
      </c>
      <c r="AK146" s="338">
        <f t="shared" si="139"/>
        <v>0</v>
      </c>
      <c r="AL146" s="342"/>
      <c r="AM146" s="336">
        <f t="shared" si="140"/>
        <v>4713.99</v>
      </c>
      <c r="AN146" s="339">
        <f t="shared" si="140"/>
        <v>4713.99</v>
      </c>
      <c r="AO146" s="340">
        <f t="shared" si="141"/>
        <v>0</v>
      </c>
      <c r="AP146" s="336">
        <f t="shared" si="142"/>
        <v>4713.99</v>
      </c>
      <c r="AQ146" s="339">
        <f t="shared" si="142"/>
        <v>4713.99</v>
      </c>
      <c r="AR146" s="340">
        <f t="shared" si="143"/>
        <v>0</v>
      </c>
      <c r="AS146" s="341">
        <f t="shared" si="144"/>
        <v>4713.99</v>
      </c>
      <c r="AT146" s="339">
        <f t="shared" si="144"/>
        <v>4713.99</v>
      </c>
      <c r="AU146" s="340">
        <f t="shared" si="145"/>
        <v>0</v>
      </c>
      <c r="AV146" s="1255">
        <f t="shared" si="146"/>
        <v>0</v>
      </c>
      <c r="AW146" s="343"/>
      <c r="AX146" s="1098"/>
      <c r="AY146" s="345">
        <v>4713.99</v>
      </c>
      <c r="AZ146" s="1098">
        <v>0</v>
      </c>
      <c r="BA146" s="345"/>
      <c r="BB146" s="1120">
        <v>4713.99</v>
      </c>
      <c r="BC146" s="347"/>
      <c r="BD146" s="348"/>
      <c r="BE146" s="349"/>
      <c r="BF146" s="348"/>
      <c r="BG146" s="349"/>
      <c r="BH146" s="350"/>
      <c r="BI146" s="351"/>
      <c r="BJ146" s="352"/>
      <c r="BK146" s="337"/>
      <c r="BL146" s="352"/>
      <c r="BM146" s="337"/>
      <c r="BN146" s="353"/>
      <c r="BO146" s="354"/>
      <c r="BP146" s="355"/>
      <c r="BQ146" s="356"/>
      <c r="BR146" s="355"/>
      <c r="BS146" s="356"/>
      <c r="BT146" s="357"/>
    </row>
    <row r="147" spans="1:72" s="313" customFormat="1" ht="25.5" outlineLevel="2">
      <c r="A147" s="287">
        <v>132</v>
      </c>
      <c r="B147" s="933"/>
      <c r="C147" s="840"/>
      <c r="D147" s="841" t="s">
        <v>273</v>
      </c>
      <c r="E147" s="839"/>
      <c r="F147" s="821" t="s">
        <v>7</v>
      </c>
      <c r="G147" s="314">
        <v>4</v>
      </c>
      <c r="H147" s="739" t="s">
        <v>70</v>
      </c>
      <c r="I147" s="739">
        <v>244</v>
      </c>
      <c r="J147" s="740">
        <v>346</v>
      </c>
      <c r="K147" s="533" t="s">
        <v>562</v>
      </c>
      <c r="L147" s="1025">
        <v>196</v>
      </c>
      <c r="M147" s="318"/>
      <c r="N147" s="318"/>
      <c r="O147" s="1052">
        <f t="shared" si="131"/>
        <v>196</v>
      </c>
      <c r="P147" s="562"/>
      <c r="Q147" s="336"/>
      <c r="R147" s="562"/>
      <c r="S147" s="336"/>
      <c r="T147" s="562"/>
      <c r="U147" s="466"/>
      <c r="V147" s="597" t="s">
        <v>483</v>
      </c>
      <c r="W147" s="597" t="s">
        <v>563</v>
      </c>
      <c r="X147" s="320" t="s">
        <v>557</v>
      </c>
      <c r="Z147" s="336">
        <f t="shared" si="132"/>
        <v>196</v>
      </c>
      <c r="AA147" s="337">
        <f t="shared" si="132"/>
        <v>196</v>
      </c>
      <c r="AB147" s="338">
        <f t="shared" si="133"/>
        <v>0</v>
      </c>
      <c r="AC147" s="336">
        <f t="shared" si="134"/>
        <v>0</v>
      </c>
      <c r="AD147" s="337">
        <f t="shared" si="134"/>
        <v>0</v>
      </c>
      <c r="AE147" s="338">
        <f t="shared" si="135"/>
        <v>0</v>
      </c>
      <c r="AF147" s="336">
        <f t="shared" si="136"/>
        <v>0</v>
      </c>
      <c r="AG147" s="337">
        <f t="shared" si="136"/>
        <v>0</v>
      </c>
      <c r="AH147" s="338">
        <f t="shared" si="137"/>
        <v>0</v>
      </c>
      <c r="AI147" s="336">
        <f t="shared" si="138"/>
        <v>0</v>
      </c>
      <c r="AJ147" s="337">
        <f t="shared" si="138"/>
        <v>0</v>
      </c>
      <c r="AK147" s="338">
        <f t="shared" si="139"/>
        <v>0</v>
      </c>
      <c r="AL147" s="342"/>
      <c r="AM147" s="336">
        <f t="shared" si="140"/>
        <v>196</v>
      </c>
      <c r="AN147" s="339">
        <f t="shared" si="140"/>
        <v>196</v>
      </c>
      <c r="AO147" s="340">
        <f t="shared" si="141"/>
        <v>0</v>
      </c>
      <c r="AP147" s="336">
        <f t="shared" si="142"/>
        <v>196</v>
      </c>
      <c r="AQ147" s="339">
        <f t="shared" si="142"/>
        <v>196</v>
      </c>
      <c r="AR147" s="340">
        <f t="shared" si="143"/>
        <v>0</v>
      </c>
      <c r="AS147" s="341">
        <f t="shared" si="144"/>
        <v>196</v>
      </c>
      <c r="AT147" s="339">
        <f t="shared" si="144"/>
        <v>196</v>
      </c>
      <c r="AU147" s="340">
        <f t="shared" si="145"/>
        <v>0</v>
      </c>
      <c r="AV147" s="1255">
        <f t="shared" si="146"/>
        <v>0</v>
      </c>
      <c r="AW147" s="343"/>
      <c r="AX147" s="1098"/>
      <c r="AY147" s="345">
        <v>196</v>
      </c>
      <c r="AZ147" s="1098">
        <v>0</v>
      </c>
      <c r="BA147" s="345"/>
      <c r="BB147" s="1120">
        <v>196</v>
      </c>
      <c r="BC147" s="347"/>
      <c r="BD147" s="348"/>
      <c r="BE147" s="349"/>
      <c r="BF147" s="348"/>
      <c r="BG147" s="349"/>
      <c r="BH147" s="350"/>
      <c r="BI147" s="351"/>
      <c r="BJ147" s="352"/>
      <c r="BK147" s="337"/>
      <c r="BL147" s="352"/>
      <c r="BM147" s="337"/>
      <c r="BN147" s="353"/>
      <c r="BO147" s="354"/>
      <c r="BP147" s="355"/>
      <c r="BQ147" s="356"/>
      <c r="BR147" s="355"/>
      <c r="BS147" s="356"/>
      <c r="BT147" s="357"/>
    </row>
    <row r="148" spans="1:72" s="313" customFormat="1" ht="25.5" outlineLevel="2">
      <c r="A148" s="287">
        <v>133</v>
      </c>
      <c r="B148" s="933"/>
      <c r="C148" s="840"/>
      <c r="D148" s="841" t="s">
        <v>273</v>
      </c>
      <c r="E148" s="839"/>
      <c r="F148" s="821" t="s">
        <v>7</v>
      </c>
      <c r="G148" s="314">
        <v>4</v>
      </c>
      <c r="H148" s="739" t="s">
        <v>70</v>
      </c>
      <c r="I148" s="739">
        <v>244</v>
      </c>
      <c r="J148" s="740">
        <v>346</v>
      </c>
      <c r="K148" s="533" t="s">
        <v>564</v>
      </c>
      <c r="L148" s="1025">
        <v>598</v>
      </c>
      <c r="M148" s="318"/>
      <c r="N148" s="318"/>
      <c r="O148" s="1052">
        <f t="shared" si="131"/>
        <v>598</v>
      </c>
      <c r="P148" s="562"/>
      <c r="Q148" s="336"/>
      <c r="R148" s="562"/>
      <c r="S148" s="336"/>
      <c r="T148" s="562"/>
      <c r="U148" s="466"/>
      <c r="V148" s="597" t="s">
        <v>483</v>
      </c>
      <c r="W148" s="597" t="s">
        <v>566</v>
      </c>
      <c r="X148" s="320" t="s">
        <v>557</v>
      </c>
      <c r="Z148" s="336">
        <f t="shared" si="132"/>
        <v>598</v>
      </c>
      <c r="AA148" s="337">
        <f t="shared" si="132"/>
        <v>598</v>
      </c>
      <c r="AB148" s="338">
        <f t="shared" si="133"/>
        <v>0</v>
      </c>
      <c r="AC148" s="336">
        <f t="shared" si="134"/>
        <v>0</v>
      </c>
      <c r="AD148" s="337">
        <f t="shared" si="134"/>
        <v>0</v>
      </c>
      <c r="AE148" s="338">
        <f t="shared" si="135"/>
        <v>0</v>
      </c>
      <c r="AF148" s="336">
        <f t="shared" si="136"/>
        <v>0</v>
      </c>
      <c r="AG148" s="337">
        <f t="shared" si="136"/>
        <v>0</v>
      </c>
      <c r="AH148" s="338">
        <f t="shared" si="137"/>
        <v>0</v>
      </c>
      <c r="AI148" s="336">
        <f t="shared" si="138"/>
        <v>0</v>
      </c>
      <c r="AJ148" s="337">
        <f t="shared" si="138"/>
        <v>0</v>
      </c>
      <c r="AK148" s="338">
        <f t="shared" si="139"/>
        <v>0</v>
      </c>
      <c r="AL148" s="342"/>
      <c r="AM148" s="336">
        <f t="shared" si="140"/>
        <v>598</v>
      </c>
      <c r="AN148" s="339">
        <f t="shared" si="140"/>
        <v>598</v>
      </c>
      <c r="AO148" s="340">
        <f t="shared" si="141"/>
        <v>0</v>
      </c>
      <c r="AP148" s="336">
        <f t="shared" si="142"/>
        <v>598</v>
      </c>
      <c r="AQ148" s="339">
        <f t="shared" si="142"/>
        <v>598</v>
      </c>
      <c r="AR148" s="340">
        <f t="shared" si="143"/>
        <v>0</v>
      </c>
      <c r="AS148" s="341">
        <f t="shared" si="144"/>
        <v>598</v>
      </c>
      <c r="AT148" s="339">
        <f t="shared" si="144"/>
        <v>598</v>
      </c>
      <c r="AU148" s="340">
        <f t="shared" si="145"/>
        <v>0</v>
      </c>
      <c r="AV148" s="1255">
        <f t="shared" si="146"/>
        <v>0</v>
      </c>
      <c r="AW148" s="343"/>
      <c r="AX148" s="1098"/>
      <c r="AY148" s="345"/>
      <c r="AZ148" s="1098"/>
      <c r="BA148" s="345">
        <v>598</v>
      </c>
      <c r="BB148" s="1120">
        <v>598</v>
      </c>
      <c r="BC148" s="347"/>
      <c r="BD148" s="348"/>
      <c r="BE148" s="349"/>
      <c r="BF148" s="348"/>
      <c r="BG148" s="349"/>
      <c r="BH148" s="350"/>
      <c r="BI148" s="351"/>
      <c r="BJ148" s="352"/>
      <c r="BK148" s="337"/>
      <c r="BL148" s="352"/>
      <c r="BM148" s="337"/>
      <c r="BN148" s="353"/>
      <c r="BO148" s="354"/>
      <c r="BP148" s="355"/>
      <c r="BQ148" s="356"/>
      <c r="BR148" s="355"/>
      <c r="BS148" s="356"/>
      <c r="BT148" s="357"/>
    </row>
    <row r="149" spans="1:72" s="313" customFormat="1" ht="51" outlineLevel="2">
      <c r="A149" s="287">
        <v>134</v>
      </c>
      <c r="B149" s="933"/>
      <c r="C149" s="840"/>
      <c r="D149" s="841" t="s">
        <v>273</v>
      </c>
      <c r="E149" s="839"/>
      <c r="F149" s="821" t="s">
        <v>7</v>
      </c>
      <c r="G149" s="314">
        <v>4</v>
      </c>
      <c r="H149" s="739" t="s">
        <v>70</v>
      </c>
      <c r="I149" s="739">
        <v>244</v>
      </c>
      <c r="J149" s="740">
        <v>346</v>
      </c>
      <c r="K149" s="533" t="s">
        <v>569</v>
      </c>
      <c r="L149" s="1025">
        <v>3995</v>
      </c>
      <c r="M149" s="318"/>
      <c r="N149" s="318"/>
      <c r="O149" s="1052">
        <f t="shared" si="131"/>
        <v>3995</v>
      </c>
      <c r="P149" s="562"/>
      <c r="Q149" s="336"/>
      <c r="R149" s="562"/>
      <c r="S149" s="336"/>
      <c r="T149" s="562"/>
      <c r="U149" s="466"/>
      <c r="V149" s="597" t="s">
        <v>570</v>
      </c>
      <c r="W149" s="597" t="s">
        <v>571</v>
      </c>
      <c r="X149" s="388" t="s">
        <v>572</v>
      </c>
      <c r="Z149" s="336">
        <f t="shared" si="132"/>
        <v>3995</v>
      </c>
      <c r="AA149" s="337">
        <f t="shared" si="132"/>
        <v>3995</v>
      </c>
      <c r="AB149" s="338">
        <f t="shared" si="133"/>
        <v>0</v>
      </c>
      <c r="AC149" s="336">
        <f t="shared" si="134"/>
        <v>0</v>
      </c>
      <c r="AD149" s="337">
        <f t="shared" si="134"/>
        <v>0</v>
      </c>
      <c r="AE149" s="338">
        <f t="shared" si="135"/>
        <v>0</v>
      </c>
      <c r="AF149" s="336">
        <f t="shared" si="136"/>
        <v>0</v>
      </c>
      <c r="AG149" s="337">
        <f t="shared" si="136"/>
        <v>0</v>
      </c>
      <c r="AH149" s="338">
        <f t="shared" si="137"/>
        <v>0</v>
      </c>
      <c r="AI149" s="336">
        <f t="shared" si="138"/>
        <v>0</v>
      </c>
      <c r="AJ149" s="337">
        <f t="shared" si="138"/>
        <v>0</v>
      </c>
      <c r="AK149" s="338">
        <f t="shared" si="139"/>
        <v>0</v>
      </c>
      <c r="AL149" s="342"/>
      <c r="AM149" s="336">
        <f t="shared" si="140"/>
        <v>3995</v>
      </c>
      <c r="AN149" s="339">
        <f t="shared" si="140"/>
        <v>3995</v>
      </c>
      <c r="AO149" s="340">
        <f t="shared" si="141"/>
        <v>0</v>
      </c>
      <c r="AP149" s="336">
        <f t="shared" si="142"/>
        <v>3995</v>
      </c>
      <c r="AQ149" s="339">
        <f t="shared" si="142"/>
        <v>3995</v>
      </c>
      <c r="AR149" s="340">
        <f t="shared" si="143"/>
        <v>0</v>
      </c>
      <c r="AS149" s="341">
        <f t="shared" si="144"/>
        <v>3995</v>
      </c>
      <c r="AT149" s="339">
        <f t="shared" si="144"/>
        <v>3995</v>
      </c>
      <c r="AU149" s="340">
        <f t="shared" si="145"/>
        <v>0</v>
      </c>
      <c r="AV149" s="1255">
        <f t="shared" si="146"/>
        <v>0</v>
      </c>
      <c r="AW149" s="343"/>
      <c r="AX149" s="1098"/>
      <c r="AY149" s="345"/>
      <c r="AZ149" s="1098"/>
      <c r="BA149" s="345">
        <v>3995</v>
      </c>
      <c r="BB149" s="1120">
        <v>3995</v>
      </c>
      <c r="BC149" s="347"/>
      <c r="BD149" s="348"/>
      <c r="BE149" s="349"/>
      <c r="BF149" s="348"/>
      <c r="BG149" s="349"/>
      <c r="BH149" s="350"/>
      <c r="BI149" s="351"/>
      <c r="BJ149" s="352"/>
      <c r="BK149" s="337"/>
      <c r="BL149" s="352"/>
      <c r="BM149" s="337"/>
      <c r="BN149" s="353"/>
      <c r="BO149" s="354"/>
      <c r="BP149" s="355"/>
      <c r="BQ149" s="356"/>
      <c r="BR149" s="355"/>
      <c r="BS149" s="356"/>
      <c r="BT149" s="357"/>
    </row>
    <row r="150" spans="1:72" s="313" customFormat="1" ht="63.75" outlineLevel="2">
      <c r="A150" s="287">
        <v>135</v>
      </c>
      <c r="B150" s="933"/>
      <c r="C150" s="840"/>
      <c r="D150" s="841" t="s">
        <v>273</v>
      </c>
      <c r="E150" s="839"/>
      <c r="F150" s="821" t="s">
        <v>7</v>
      </c>
      <c r="G150" s="314">
        <v>4</v>
      </c>
      <c r="H150" s="739" t="s">
        <v>70</v>
      </c>
      <c r="I150" s="739">
        <v>244</v>
      </c>
      <c r="J150" s="740">
        <v>346</v>
      </c>
      <c r="K150" s="533" t="s">
        <v>583</v>
      </c>
      <c r="L150" s="1025">
        <v>3977</v>
      </c>
      <c r="M150" s="318"/>
      <c r="N150" s="318"/>
      <c r="O150" s="1052">
        <f t="shared" ref="O150:O189" si="147">L150+N150</f>
        <v>3977</v>
      </c>
      <c r="P150" s="562"/>
      <c r="Q150" s="336"/>
      <c r="R150" s="562"/>
      <c r="S150" s="336"/>
      <c r="T150" s="562"/>
      <c r="U150" s="466"/>
      <c r="V150" s="597" t="s">
        <v>582</v>
      </c>
      <c r="W150" s="597" t="s">
        <v>581</v>
      </c>
      <c r="X150" s="320" t="s">
        <v>557</v>
      </c>
      <c r="Z150" s="336">
        <f t="shared" ref="Z150:Z189" si="148">AW150+AY150+BA150</f>
        <v>3977</v>
      </c>
      <c r="AA150" s="337">
        <f t="shared" ref="AA150:AA189" si="149">AX150+AZ150+BB150</f>
        <v>3977</v>
      </c>
      <c r="AB150" s="338">
        <f t="shared" ref="AB150:AB189" si="150">Z150-AA150</f>
        <v>0</v>
      </c>
      <c r="AC150" s="336">
        <f t="shared" ref="AC150:AC189" si="151">BC150+BE150+BG150</f>
        <v>0</v>
      </c>
      <c r="AD150" s="337">
        <f t="shared" ref="AD150:AD189" si="152">BD150+BF150+BH150</f>
        <v>0</v>
      </c>
      <c r="AE150" s="338">
        <f t="shared" ref="AE150:AE189" si="153">AC150-AD150</f>
        <v>0</v>
      </c>
      <c r="AF150" s="336">
        <f t="shared" ref="AF150:AF189" si="154">BI150+BK150+BM150</f>
        <v>0</v>
      </c>
      <c r="AG150" s="337">
        <f t="shared" ref="AG150:AG189" si="155">BJ150+BL150+BN150</f>
        <v>0</v>
      </c>
      <c r="AH150" s="338">
        <f t="shared" ref="AH150:AH189" si="156">AF150-AG150</f>
        <v>0</v>
      </c>
      <c r="AI150" s="336">
        <f t="shared" ref="AI150:AI189" si="157">BO150+BQ150+BS150</f>
        <v>0</v>
      </c>
      <c r="AJ150" s="337">
        <f t="shared" ref="AJ150:AJ189" si="158">BP150+BR150+BT150</f>
        <v>0</v>
      </c>
      <c r="AK150" s="338">
        <f t="shared" ref="AK150:AK189" si="159">AI150-AJ150</f>
        <v>0</v>
      </c>
      <c r="AL150" s="342"/>
      <c r="AM150" s="336">
        <f t="shared" ref="AM150:AM189" si="160">Z150+AC150</f>
        <v>3977</v>
      </c>
      <c r="AN150" s="339">
        <f t="shared" ref="AN150:AN189" si="161">AA150+AD150</f>
        <v>3977</v>
      </c>
      <c r="AO150" s="340">
        <f t="shared" ref="AO150:AO189" si="162">AM150-AN150</f>
        <v>0</v>
      </c>
      <c r="AP150" s="336">
        <f t="shared" ref="AP150:AP189" si="163">Z150+AC150+AF150</f>
        <v>3977</v>
      </c>
      <c r="AQ150" s="339">
        <f t="shared" ref="AQ150:AQ189" si="164">AA150+AD150+AG150</f>
        <v>3977</v>
      </c>
      <c r="AR150" s="340">
        <f t="shared" ref="AR150:AR189" si="165">AP150-AQ150</f>
        <v>0</v>
      </c>
      <c r="AS150" s="341">
        <f t="shared" ref="AS150:AS189" si="166">Z150+AC150+AF150+AI150</f>
        <v>3977</v>
      </c>
      <c r="AT150" s="339">
        <f t="shared" ref="AT150:AT189" si="167">AA150+AD150+AG150+AJ150</f>
        <v>3977</v>
      </c>
      <c r="AU150" s="340">
        <f t="shared" ref="AU150:AU189" si="168">AS150-AT150</f>
        <v>0</v>
      </c>
      <c r="AV150" s="1255">
        <f t="shared" ref="AV150:AV189" si="169">L150-AS150</f>
        <v>0</v>
      </c>
      <c r="AW150" s="343"/>
      <c r="AX150" s="1098"/>
      <c r="AY150" s="345"/>
      <c r="AZ150" s="1098"/>
      <c r="BA150" s="345">
        <v>3977</v>
      </c>
      <c r="BB150" s="1120">
        <v>3977</v>
      </c>
      <c r="BC150" s="347"/>
      <c r="BD150" s="348"/>
      <c r="BE150" s="349"/>
      <c r="BF150" s="348"/>
      <c r="BG150" s="349"/>
      <c r="BH150" s="350"/>
      <c r="BI150" s="351"/>
      <c r="BJ150" s="352"/>
      <c r="BK150" s="337"/>
      <c r="BL150" s="352"/>
      <c r="BM150" s="337"/>
      <c r="BN150" s="353"/>
      <c r="BO150" s="354"/>
      <c r="BP150" s="355"/>
      <c r="BQ150" s="356"/>
      <c r="BR150" s="355"/>
      <c r="BS150" s="356"/>
      <c r="BT150" s="357"/>
    </row>
    <row r="151" spans="1:72" s="313" customFormat="1" ht="25.5" customHeight="1" outlineLevel="2">
      <c r="A151" s="287">
        <v>136</v>
      </c>
      <c r="B151" s="933"/>
      <c r="C151" s="840"/>
      <c r="D151" s="841" t="s">
        <v>273</v>
      </c>
      <c r="E151" s="839"/>
      <c r="F151" s="821" t="s">
        <v>7</v>
      </c>
      <c r="G151" s="314">
        <v>4</v>
      </c>
      <c r="H151" s="739" t="s">
        <v>70</v>
      </c>
      <c r="I151" s="739">
        <v>244</v>
      </c>
      <c r="J151" s="740">
        <v>346</v>
      </c>
      <c r="K151" s="533" t="s">
        <v>779</v>
      </c>
      <c r="L151" s="1025">
        <v>1174</v>
      </c>
      <c r="M151" s="318"/>
      <c r="N151" s="318"/>
      <c r="O151" s="1052">
        <f t="shared" si="147"/>
        <v>1174</v>
      </c>
      <c r="P151" s="562"/>
      <c r="Q151" s="336"/>
      <c r="R151" s="562"/>
      <c r="S151" s="336"/>
      <c r="T151" s="562"/>
      <c r="U151" s="466"/>
      <c r="V151" s="597" t="s">
        <v>483</v>
      </c>
      <c r="W151" s="597" t="s">
        <v>617</v>
      </c>
      <c r="X151" s="320" t="s">
        <v>557</v>
      </c>
      <c r="Z151" s="336">
        <f t="shared" si="148"/>
        <v>1174</v>
      </c>
      <c r="AA151" s="337">
        <f t="shared" si="149"/>
        <v>1174</v>
      </c>
      <c r="AB151" s="338">
        <f t="shared" si="150"/>
        <v>0</v>
      </c>
      <c r="AC151" s="336">
        <f t="shared" si="151"/>
        <v>0</v>
      </c>
      <c r="AD151" s="337">
        <f t="shared" si="152"/>
        <v>0</v>
      </c>
      <c r="AE151" s="338">
        <f t="shared" si="153"/>
        <v>0</v>
      </c>
      <c r="AF151" s="336">
        <f t="shared" si="154"/>
        <v>0</v>
      </c>
      <c r="AG151" s="337">
        <f t="shared" si="155"/>
        <v>0</v>
      </c>
      <c r="AH151" s="338">
        <f t="shared" si="156"/>
        <v>0</v>
      </c>
      <c r="AI151" s="336">
        <f t="shared" si="157"/>
        <v>0</v>
      </c>
      <c r="AJ151" s="337">
        <f t="shared" si="158"/>
        <v>0</v>
      </c>
      <c r="AK151" s="338">
        <f t="shared" si="159"/>
        <v>0</v>
      </c>
      <c r="AL151" s="342"/>
      <c r="AM151" s="336">
        <f t="shared" si="160"/>
        <v>1174</v>
      </c>
      <c r="AN151" s="339">
        <f t="shared" si="161"/>
        <v>1174</v>
      </c>
      <c r="AO151" s="340">
        <f t="shared" si="162"/>
        <v>0</v>
      </c>
      <c r="AP151" s="336">
        <f t="shared" si="163"/>
        <v>1174</v>
      </c>
      <c r="AQ151" s="339">
        <f t="shared" si="164"/>
        <v>1174</v>
      </c>
      <c r="AR151" s="340">
        <f t="shared" si="165"/>
        <v>0</v>
      </c>
      <c r="AS151" s="341">
        <f t="shared" si="166"/>
        <v>1174</v>
      </c>
      <c r="AT151" s="339">
        <f t="shared" si="167"/>
        <v>1174</v>
      </c>
      <c r="AU151" s="340">
        <f t="shared" si="168"/>
        <v>0</v>
      </c>
      <c r="AV151" s="1255">
        <f t="shared" si="169"/>
        <v>0</v>
      </c>
      <c r="AW151" s="343"/>
      <c r="AX151" s="1098"/>
      <c r="AY151" s="345"/>
      <c r="AZ151" s="1098"/>
      <c r="BA151" s="345">
        <v>1174</v>
      </c>
      <c r="BB151" s="1120">
        <v>1174</v>
      </c>
      <c r="BC151" s="347"/>
      <c r="BD151" s="348"/>
      <c r="BE151" s="349"/>
      <c r="BF151" s="348"/>
      <c r="BG151" s="349"/>
      <c r="BH151" s="350"/>
      <c r="BI151" s="351"/>
      <c r="BJ151" s="352"/>
      <c r="BK151" s="337"/>
      <c r="BL151" s="352"/>
      <c r="BM151" s="337"/>
      <c r="BN151" s="353"/>
      <c r="BO151" s="354"/>
      <c r="BP151" s="355"/>
      <c r="BQ151" s="356"/>
      <c r="BR151" s="355"/>
      <c r="BS151" s="356"/>
      <c r="BT151" s="357"/>
    </row>
    <row r="152" spans="1:72" s="313" customFormat="1" ht="25.5" outlineLevel="2">
      <c r="A152" s="287">
        <v>137</v>
      </c>
      <c r="B152" s="933"/>
      <c r="C152" s="840"/>
      <c r="D152" s="841" t="s">
        <v>273</v>
      </c>
      <c r="E152" s="839"/>
      <c r="F152" s="821" t="s">
        <v>7</v>
      </c>
      <c r="G152" s="314">
        <v>4</v>
      </c>
      <c r="H152" s="739" t="s">
        <v>70</v>
      </c>
      <c r="I152" s="739">
        <v>244</v>
      </c>
      <c r="J152" s="740">
        <v>346</v>
      </c>
      <c r="K152" s="533" t="s">
        <v>615</v>
      </c>
      <c r="L152" s="1025">
        <v>19011</v>
      </c>
      <c r="M152" s="318"/>
      <c r="N152" s="318"/>
      <c r="O152" s="1052">
        <f t="shared" si="147"/>
        <v>19011</v>
      </c>
      <c r="P152" s="562"/>
      <c r="Q152" s="336"/>
      <c r="R152" s="562"/>
      <c r="S152" s="336"/>
      <c r="T152" s="562"/>
      <c r="U152" s="466"/>
      <c r="V152" s="597" t="s">
        <v>616</v>
      </c>
      <c r="W152" s="597" t="s">
        <v>656</v>
      </c>
      <c r="X152" s="597" t="s">
        <v>657</v>
      </c>
      <c r="Z152" s="336">
        <f t="shared" si="148"/>
        <v>19011</v>
      </c>
      <c r="AA152" s="337">
        <f t="shared" si="149"/>
        <v>19011</v>
      </c>
      <c r="AB152" s="338">
        <f t="shared" si="150"/>
        <v>0</v>
      </c>
      <c r="AC152" s="336">
        <f t="shared" si="151"/>
        <v>0</v>
      </c>
      <c r="AD152" s="337">
        <f t="shared" si="152"/>
        <v>0</v>
      </c>
      <c r="AE152" s="338">
        <f t="shared" si="153"/>
        <v>0</v>
      </c>
      <c r="AF152" s="336">
        <f t="shared" si="154"/>
        <v>0</v>
      </c>
      <c r="AG152" s="337">
        <f t="shared" si="155"/>
        <v>0</v>
      </c>
      <c r="AH152" s="338">
        <f t="shared" si="156"/>
        <v>0</v>
      </c>
      <c r="AI152" s="336">
        <f t="shared" si="157"/>
        <v>0</v>
      </c>
      <c r="AJ152" s="337">
        <f t="shared" si="158"/>
        <v>0</v>
      </c>
      <c r="AK152" s="338">
        <f t="shared" si="159"/>
        <v>0</v>
      </c>
      <c r="AL152" s="342"/>
      <c r="AM152" s="336">
        <f t="shared" si="160"/>
        <v>19011</v>
      </c>
      <c r="AN152" s="339">
        <f t="shared" si="161"/>
        <v>19011</v>
      </c>
      <c r="AO152" s="340">
        <f t="shared" si="162"/>
        <v>0</v>
      </c>
      <c r="AP152" s="336">
        <f t="shared" si="163"/>
        <v>19011</v>
      </c>
      <c r="AQ152" s="339">
        <f t="shared" si="164"/>
        <v>19011</v>
      </c>
      <c r="AR152" s="340">
        <f t="shared" si="165"/>
        <v>0</v>
      </c>
      <c r="AS152" s="341">
        <f t="shared" si="166"/>
        <v>19011</v>
      </c>
      <c r="AT152" s="339">
        <f t="shared" si="167"/>
        <v>19011</v>
      </c>
      <c r="AU152" s="340">
        <f t="shared" si="168"/>
        <v>0</v>
      </c>
      <c r="AV152" s="1255">
        <f t="shared" si="169"/>
        <v>0</v>
      </c>
      <c r="AW152" s="343"/>
      <c r="AX152" s="1098"/>
      <c r="AY152" s="345"/>
      <c r="AZ152" s="1098"/>
      <c r="BA152" s="345">
        <v>19011</v>
      </c>
      <c r="BB152" s="1120">
        <v>19011</v>
      </c>
      <c r="BC152" s="347"/>
      <c r="BD152" s="348"/>
      <c r="BE152" s="349"/>
      <c r="BF152" s="348"/>
      <c r="BG152" s="349"/>
      <c r="BH152" s="350"/>
      <c r="BI152" s="351"/>
      <c r="BJ152" s="352"/>
      <c r="BK152" s="337"/>
      <c r="BL152" s="352"/>
      <c r="BM152" s="337"/>
      <c r="BN152" s="353"/>
      <c r="BO152" s="354"/>
      <c r="BP152" s="355"/>
      <c r="BQ152" s="356"/>
      <c r="BR152" s="355"/>
      <c r="BS152" s="356"/>
      <c r="BT152" s="357"/>
    </row>
    <row r="153" spans="1:72" s="430" customFormat="1" ht="25.5" customHeight="1" outlineLevel="2">
      <c r="A153" s="287">
        <v>138</v>
      </c>
      <c r="B153" s="933"/>
      <c r="C153" s="743"/>
      <c r="D153" s="856" t="s">
        <v>273</v>
      </c>
      <c r="E153" s="857"/>
      <c r="F153" s="827" t="s">
        <v>7</v>
      </c>
      <c r="G153" s="431">
        <v>4</v>
      </c>
      <c r="H153" s="474" t="s">
        <v>70</v>
      </c>
      <c r="I153" s="743">
        <v>244</v>
      </c>
      <c r="J153" s="744">
        <v>346</v>
      </c>
      <c r="K153" s="536" t="s">
        <v>284</v>
      </c>
      <c r="L153" s="1030"/>
      <c r="M153" s="434"/>
      <c r="N153" s="434"/>
      <c r="O153" s="1064">
        <f t="shared" si="147"/>
        <v>0</v>
      </c>
      <c r="P153" s="563"/>
      <c r="Q153" s="437"/>
      <c r="R153" s="563"/>
      <c r="S153" s="437"/>
      <c r="T153" s="563"/>
      <c r="U153" s="467"/>
      <c r="V153" s="436"/>
      <c r="W153" s="436"/>
      <c r="X153" s="436"/>
      <c r="Z153" s="437">
        <f t="shared" si="148"/>
        <v>0</v>
      </c>
      <c r="AA153" s="438">
        <f t="shared" si="149"/>
        <v>0</v>
      </c>
      <c r="AB153" s="439">
        <f t="shared" si="150"/>
        <v>0</v>
      </c>
      <c r="AC153" s="437">
        <f t="shared" si="151"/>
        <v>0</v>
      </c>
      <c r="AD153" s="438">
        <f t="shared" si="152"/>
        <v>0</v>
      </c>
      <c r="AE153" s="439">
        <f t="shared" si="153"/>
        <v>0</v>
      </c>
      <c r="AF153" s="437">
        <f t="shared" si="154"/>
        <v>0</v>
      </c>
      <c r="AG153" s="438">
        <f t="shared" si="155"/>
        <v>0</v>
      </c>
      <c r="AH153" s="439">
        <f t="shared" si="156"/>
        <v>0</v>
      </c>
      <c r="AI153" s="437">
        <f t="shared" si="157"/>
        <v>0</v>
      </c>
      <c r="AJ153" s="438">
        <f t="shared" si="158"/>
        <v>0</v>
      </c>
      <c r="AK153" s="439">
        <f t="shared" si="159"/>
        <v>0</v>
      </c>
      <c r="AL153" s="440"/>
      <c r="AM153" s="437">
        <f t="shared" si="160"/>
        <v>0</v>
      </c>
      <c r="AN153" s="441">
        <f t="shared" si="161"/>
        <v>0</v>
      </c>
      <c r="AO153" s="442">
        <f t="shared" si="162"/>
        <v>0</v>
      </c>
      <c r="AP153" s="437">
        <f t="shared" si="163"/>
        <v>0</v>
      </c>
      <c r="AQ153" s="441">
        <f t="shared" si="164"/>
        <v>0</v>
      </c>
      <c r="AR153" s="442">
        <f t="shared" si="165"/>
        <v>0</v>
      </c>
      <c r="AS153" s="443">
        <f t="shared" si="166"/>
        <v>0</v>
      </c>
      <c r="AT153" s="441">
        <f t="shared" si="167"/>
        <v>0</v>
      </c>
      <c r="AU153" s="442">
        <f t="shared" si="168"/>
        <v>0</v>
      </c>
      <c r="AV153" s="440">
        <f t="shared" si="169"/>
        <v>0</v>
      </c>
      <c r="AW153" s="444"/>
      <c r="AX153" s="1111"/>
      <c r="AY153" s="446"/>
      <c r="AZ153" s="1111"/>
      <c r="BA153" s="446"/>
      <c r="BB153" s="1129"/>
      <c r="BC153" s="448"/>
      <c r="BD153" s="449"/>
      <c r="BE153" s="450"/>
      <c r="BF153" s="449"/>
      <c r="BG153" s="450"/>
      <c r="BH153" s="451"/>
      <c r="BI153" s="452"/>
      <c r="BJ153" s="453"/>
      <c r="BK153" s="438"/>
      <c r="BL153" s="453"/>
      <c r="BM153" s="438"/>
      <c r="BN153" s="454"/>
      <c r="BO153" s="455"/>
      <c r="BP153" s="456"/>
      <c r="BQ153" s="457"/>
      <c r="BR153" s="456"/>
      <c r="BS153" s="457"/>
      <c r="BT153" s="458"/>
    </row>
    <row r="154" spans="1:72" s="921" customFormat="1" ht="54" customHeight="1" outlineLevel="1">
      <c r="A154" s="287">
        <v>139</v>
      </c>
      <c r="B154" s="933"/>
      <c r="C154" s="850" t="s">
        <v>378</v>
      </c>
      <c r="D154" s="854" t="s">
        <v>807</v>
      </c>
      <c r="E154" s="902"/>
      <c r="F154" s="903" t="s">
        <v>7</v>
      </c>
      <c r="G154" s="904">
        <v>4</v>
      </c>
      <c r="H154" s="905" t="s">
        <v>70</v>
      </c>
      <c r="I154" s="905">
        <v>244</v>
      </c>
      <c r="J154" s="906">
        <v>346</v>
      </c>
      <c r="K154" s="907" t="s">
        <v>687</v>
      </c>
      <c r="L154" s="1033">
        <f>SUM(L155:L172)</f>
        <v>110025.22</v>
      </c>
      <c r="M154" s="909"/>
      <c r="N154" s="909">
        <f>SUM(N155:N172)</f>
        <v>0</v>
      </c>
      <c r="O154" s="1066">
        <f t="shared" si="147"/>
        <v>110025.22</v>
      </c>
      <c r="P154" s="910"/>
      <c r="Q154" s="908">
        <f>Q155</f>
        <v>379130.88</v>
      </c>
      <c r="R154" s="910"/>
      <c r="S154" s="908">
        <f>S155</f>
        <v>485710.59</v>
      </c>
      <c r="T154" s="910"/>
      <c r="U154" s="911"/>
      <c r="V154" s="912"/>
      <c r="W154" s="912"/>
      <c r="X154" s="912"/>
      <c r="Y154" s="913"/>
      <c r="Z154" s="914">
        <f t="shared" si="148"/>
        <v>609.20000000000005</v>
      </c>
      <c r="AA154" s="915">
        <f t="shared" si="149"/>
        <v>0</v>
      </c>
      <c r="AB154" s="916">
        <f t="shared" si="150"/>
        <v>609.20000000000005</v>
      </c>
      <c r="AC154" s="914">
        <f t="shared" si="151"/>
        <v>109416.02</v>
      </c>
      <c r="AD154" s="915">
        <f t="shared" si="152"/>
        <v>0</v>
      </c>
      <c r="AE154" s="916">
        <f t="shared" si="153"/>
        <v>109416.02</v>
      </c>
      <c r="AF154" s="914">
        <f t="shared" si="154"/>
        <v>0</v>
      </c>
      <c r="AG154" s="915">
        <f t="shared" si="155"/>
        <v>0</v>
      </c>
      <c r="AH154" s="916">
        <f t="shared" si="156"/>
        <v>0</v>
      </c>
      <c r="AI154" s="914">
        <f t="shared" si="157"/>
        <v>0</v>
      </c>
      <c r="AJ154" s="915">
        <f t="shared" si="158"/>
        <v>0</v>
      </c>
      <c r="AK154" s="916">
        <f t="shared" si="159"/>
        <v>0</v>
      </c>
      <c r="AL154" s="917"/>
      <c r="AM154" s="908">
        <f t="shared" si="160"/>
        <v>110025.22</v>
      </c>
      <c r="AN154" s="909">
        <f t="shared" si="161"/>
        <v>0</v>
      </c>
      <c r="AO154" s="918">
        <f t="shared" si="162"/>
        <v>110025.22</v>
      </c>
      <c r="AP154" s="908">
        <f t="shared" si="163"/>
        <v>110025.22</v>
      </c>
      <c r="AQ154" s="909">
        <f t="shared" si="164"/>
        <v>0</v>
      </c>
      <c r="AR154" s="918">
        <f t="shared" si="165"/>
        <v>110025.22</v>
      </c>
      <c r="AS154" s="908">
        <f t="shared" si="166"/>
        <v>110025.22</v>
      </c>
      <c r="AT154" s="909">
        <f t="shared" si="167"/>
        <v>0</v>
      </c>
      <c r="AU154" s="918">
        <f t="shared" si="168"/>
        <v>110025.22</v>
      </c>
      <c r="AV154" s="1264">
        <f t="shared" si="169"/>
        <v>0</v>
      </c>
      <c r="AW154" s="908">
        <f t="shared" ref="AW154:BT154" si="170">SUM(AW155:AW172)</f>
        <v>0</v>
      </c>
      <c r="AX154" s="1110">
        <f t="shared" si="170"/>
        <v>0</v>
      </c>
      <c r="AY154" s="909">
        <f t="shared" si="170"/>
        <v>0</v>
      </c>
      <c r="AZ154" s="1110">
        <f t="shared" si="170"/>
        <v>0</v>
      </c>
      <c r="BA154" s="909">
        <f t="shared" si="170"/>
        <v>609.20000000000005</v>
      </c>
      <c r="BB154" s="1128"/>
      <c r="BC154" s="908">
        <f t="shared" si="170"/>
        <v>56563.519999999997</v>
      </c>
      <c r="BD154" s="909"/>
      <c r="BE154" s="909">
        <f t="shared" si="170"/>
        <v>50843.5</v>
      </c>
      <c r="BF154" s="909">
        <f t="shared" si="170"/>
        <v>0</v>
      </c>
      <c r="BG154" s="909">
        <f t="shared" si="170"/>
        <v>2009</v>
      </c>
      <c r="BH154" s="920">
        <f t="shared" si="170"/>
        <v>0</v>
      </c>
      <c r="BI154" s="908">
        <f t="shared" si="170"/>
        <v>0</v>
      </c>
      <c r="BJ154" s="909">
        <f t="shared" si="170"/>
        <v>0</v>
      </c>
      <c r="BK154" s="909">
        <f t="shared" si="170"/>
        <v>0</v>
      </c>
      <c r="BL154" s="909">
        <f t="shared" si="170"/>
        <v>0</v>
      </c>
      <c r="BM154" s="909">
        <f t="shared" si="170"/>
        <v>0</v>
      </c>
      <c r="BN154" s="920">
        <f t="shared" si="170"/>
        <v>0</v>
      </c>
      <c r="BO154" s="908">
        <f t="shared" si="170"/>
        <v>0</v>
      </c>
      <c r="BP154" s="909">
        <f t="shared" si="170"/>
        <v>0</v>
      </c>
      <c r="BQ154" s="909">
        <f t="shared" si="170"/>
        <v>0</v>
      </c>
      <c r="BR154" s="909">
        <f t="shared" si="170"/>
        <v>0</v>
      </c>
      <c r="BS154" s="909">
        <f t="shared" si="170"/>
        <v>0</v>
      </c>
      <c r="BT154" s="918">
        <f t="shared" si="170"/>
        <v>0</v>
      </c>
    </row>
    <row r="155" spans="1:72" s="313" customFormat="1" ht="25.5" customHeight="1" outlineLevel="2">
      <c r="A155" s="287">
        <v>140</v>
      </c>
      <c r="B155" s="933"/>
      <c r="C155" s="840"/>
      <c r="D155" s="854" t="s">
        <v>807</v>
      </c>
      <c r="E155" s="839"/>
      <c r="F155" s="821" t="s">
        <v>7</v>
      </c>
      <c r="G155" s="314">
        <v>4</v>
      </c>
      <c r="H155" s="739" t="s">
        <v>70</v>
      </c>
      <c r="I155" s="739">
        <v>244</v>
      </c>
      <c r="J155" s="740">
        <v>346</v>
      </c>
      <c r="K155" s="1005" t="s">
        <v>747</v>
      </c>
      <c r="L155" s="1031">
        <f>134005.82-23980.6-SUM(L156:L172)</f>
        <v>0</v>
      </c>
      <c r="M155" s="318"/>
      <c r="N155" s="318"/>
      <c r="O155" s="1055">
        <f t="shared" si="147"/>
        <v>0</v>
      </c>
      <c r="P155" s="562"/>
      <c r="Q155" s="336">
        <v>379130.88</v>
      </c>
      <c r="R155" s="562">
        <v>0</v>
      </c>
      <c r="S155" s="336">
        <v>485710.59</v>
      </c>
      <c r="T155" s="562"/>
      <c r="U155" s="466"/>
      <c r="V155" s="320"/>
      <c r="W155" s="320"/>
      <c r="X155" s="320"/>
      <c r="Z155" s="336">
        <f t="shared" si="148"/>
        <v>0</v>
      </c>
      <c r="AA155" s="337">
        <f t="shared" si="149"/>
        <v>0</v>
      </c>
      <c r="AB155" s="338">
        <f t="shared" si="150"/>
        <v>0</v>
      </c>
      <c r="AC155" s="336">
        <f t="shared" si="151"/>
        <v>0</v>
      </c>
      <c r="AD155" s="337">
        <f t="shared" si="152"/>
        <v>0</v>
      </c>
      <c r="AE155" s="338">
        <f t="shared" si="153"/>
        <v>0</v>
      </c>
      <c r="AF155" s="336">
        <f t="shared" si="154"/>
        <v>0</v>
      </c>
      <c r="AG155" s="337">
        <f t="shared" si="155"/>
        <v>0</v>
      </c>
      <c r="AH155" s="338">
        <f t="shared" si="156"/>
        <v>0</v>
      </c>
      <c r="AI155" s="336">
        <f t="shared" si="157"/>
        <v>0</v>
      </c>
      <c r="AJ155" s="337">
        <f t="shared" si="158"/>
        <v>0</v>
      </c>
      <c r="AK155" s="338">
        <f t="shared" si="159"/>
        <v>0</v>
      </c>
      <c r="AL155" s="342"/>
      <c r="AM155" s="336">
        <f t="shared" si="160"/>
        <v>0</v>
      </c>
      <c r="AN155" s="339">
        <f t="shared" si="161"/>
        <v>0</v>
      </c>
      <c r="AO155" s="340">
        <f t="shared" si="162"/>
        <v>0</v>
      </c>
      <c r="AP155" s="336">
        <f t="shared" si="163"/>
        <v>0</v>
      </c>
      <c r="AQ155" s="339">
        <f t="shared" si="164"/>
        <v>0</v>
      </c>
      <c r="AR155" s="340">
        <f t="shared" si="165"/>
        <v>0</v>
      </c>
      <c r="AS155" s="341">
        <f t="shared" si="166"/>
        <v>0</v>
      </c>
      <c r="AT155" s="339">
        <f t="shared" si="167"/>
        <v>0</v>
      </c>
      <c r="AU155" s="340">
        <f t="shared" si="168"/>
        <v>0</v>
      </c>
      <c r="AV155" s="1255">
        <f t="shared" si="169"/>
        <v>0</v>
      </c>
      <c r="AW155" s="343"/>
      <c r="AX155" s="1098"/>
      <c r="AY155" s="345"/>
      <c r="AZ155" s="1098"/>
      <c r="BA155" s="345"/>
      <c r="BB155" s="1120"/>
      <c r="BC155" s="347"/>
      <c r="BD155" s="348"/>
      <c r="BE155" s="349"/>
      <c r="BF155" s="348"/>
      <c r="BG155" s="349"/>
      <c r="BH155" s="350"/>
      <c r="BI155" s="351"/>
      <c r="BJ155" s="352"/>
      <c r="BK155" s="337"/>
      <c r="BL155" s="352"/>
      <c r="BM155" s="337"/>
      <c r="BN155" s="353"/>
      <c r="BO155" s="354"/>
      <c r="BP155" s="355"/>
      <c r="BQ155" s="356"/>
      <c r="BR155" s="355"/>
      <c r="BS155" s="356"/>
      <c r="BT155" s="357"/>
    </row>
    <row r="156" spans="1:72" s="313" customFormat="1" ht="25.5" outlineLevel="2">
      <c r="A156" s="287">
        <v>141</v>
      </c>
      <c r="B156" s="933"/>
      <c r="C156" s="840"/>
      <c r="D156" s="854" t="s">
        <v>807</v>
      </c>
      <c r="E156" s="839"/>
      <c r="F156" s="821" t="s">
        <v>7</v>
      </c>
      <c r="G156" s="314">
        <v>4</v>
      </c>
      <c r="H156" s="739" t="s">
        <v>70</v>
      </c>
      <c r="I156" s="739">
        <v>244</v>
      </c>
      <c r="J156" s="740">
        <v>346</v>
      </c>
      <c r="K156" s="533" t="s">
        <v>726</v>
      </c>
      <c r="L156" s="1025">
        <v>609.20000000000005</v>
      </c>
      <c r="M156" s="318"/>
      <c r="N156" s="318"/>
      <c r="O156" s="1052">
        <f t="shared" si="147"/>
        <v>609.20000000000005</v>
      </c>
      <c r="P156" s="562"/>
      <c r="Q156" s="336"/>
      <c r="R156" s="562"/>
      <c r="S156" s="336"/>
      <c r="T156" s="562"/>
      <c r="U156" s="466"/>
      <c r="V156" s="597" t="s">
        <v>483</v>
      </c>
      <c r="W156" s="597" t="s">
        <v>614</v>
      </c>
      <c r="X156" s="320" t="s">
        <v>557</v>
      </c>
      <c r="Z156" s="336">
        <f t="shared" si="148"/>
        <v>609.20000000000005</v>
      </c>
      <c r="AA156" s="337">
        <f t="shared" si="149"/>
        <v>609.20000000000005</v>
      </c>
      <c r="AB156" s="338">
        <f t="shared" si="150"/>
        <v>0</v>
      </c>
      <c r="AC156" s="336">
        <f t="shared" si="151"/>
        <v>0</v>
      </c>
      <c r="AD156" s="337">
        <f t="shared" si="152"/>
        <v>0</v>
      </c>
      <c r="AE156" s="338">
        <f t="shared" si="153"/>
        <v>0</v>
      </c>
      <c r="AF156" s="336">
        <f t="shared" si="154"/>
        <v>0</v>
      </c>
      <c r="AG156" s="337">
        <f t="shared" si="155"/>
        <v>0</v>
      </c>
      <c r="AH156" s="338">
        <f t="shared" si="156"/>
        <v>0</v>
      </c>
      <c r="AI156" s="336">
        <f t="shared" si="157"/>
        <v>0</v>
      </c>
      <c r="AJ156" s="337">
        <f t="shared" si="158"/>
        <v>0</v>
      </c>
      <c r="AK156" s="338">
        <f t="shared" si="159"/>
        <v>0</v>
      </c>
      <c r="AL156" s="342"/>
      <c r="AM156" s="336">
        <f t="shared" si="160"/>
        <v>609.20000000000005</v>
      </c>
      <c r="AN156" s="339">
        <f t="shared" si="161"/>
        <v>609.20000000000005</v>
      </c>
      <c r="AO156" s="340">
        <f t="shared" si="162"/>
        <v>0</v>
      </c>
      <c r="AP156" s="336">
        <f t="shared" si="163"/>
        <v>609.20000000000005</v>
      </c>
      <c r="AQ156" s="339">
        <f t="shared" si="164"/>
        <v>609.20000000000005</v>
      </c>
      <c r="AR156" s="340">
        <f t="shared" si="165"/>
        <v>0</v>
      </c>
      <c r="AS156" s="341">
        <f t="shared" si="166"/>
        <v>609.20000000000005</v>
      </c>
      <c r="AT156" s="339">
        <f t="shared" si="167"/>
        <v>609.20000000000005</v>
      </c>
      <c r="AU156" s="340">
        <f t="shared" si="168"/>
        <v>0</v>
      </c>
      <c r="AV156" s="1255">
        <f t="shared" si="169"/>
        <v>0</v>
      </c>
      <c r="AW156" s="343"/>
      <c r="AX156" s="1098"/>
      <c r="AY156" s="345"/>
      <c r="AZ156" s="1098"/>
      <c r="BA156" s="345">
        <v>609.20000000000005</v>
      </c>
      <c r="BB156" s="1120">
        <v>609.20000000000005</v>
      </c>
      <c r="BC156" s="347"/>
      <c r="BD156" s="348"/>
      <c r="BE156" s="349"/>
      <c r="BF156" s="348"/>
      <c r="BG156" s="349"/>
      <c r="BH156" s="350"/>
      <c r="BI156" s="351"/>
      <c r="BJ156" s="352"/>
      <c r="BK156" s="337"/>
      <c r="BL156" s="352"/>
      <c r="BM156" s="337"/>
      <c r="BN156" s="353"/>
      <c r="BO156" s="354"/>
      <c r="BP156" s="355"/>
      <c r="BQ156" s="356"/>
      <c r="BR156" s="355"/>
      <c r="BS156" s="356"/>
      <c r="BT156" s="357"/>
    </row>
    <row r="157" spans="1:72" s="313" customFormat="1" ht="25.5" outlineLevel="2">
      <c r="A157" s="287">
        <v>142</v>
      </c>
      <c r="B157" s="933"/>
      <c r="C157" s="840"/>
      <c r="D157" s="854" t="s">
        <v>807</v>
      </c>
      <c r="E157" s="839"/>
      <c r="F157" s="821" t="s">
        <v>7</v>
      </c>
      <c r="G157" s="314">
        <v>4</v>
      </c>
      <c r="H157" s="739" t="s">
        <v>70</v>
      </c>
      <c r="I157" s="739">
        <v>244</v>
      </c>
      <c r="J157" s="740">
        <v>346</v>
      </c>
      <c r="K157" s="533" t="s">
        <v>727</v>
      </c>
      <c r="L157" s="1025">
        <v>1705</v>
      </c>
      <c r="M157" s="318"/>
      <c r="N157" s="318"/>
      <c r="O157" s="1052">
        <f t="shared" si="147"/>
        <v>1705</v>
      </c>
      <c r="P157" s="562"/>
      <c r="Q157" s="336"/>
      <c r="R157" s="562"/>
      <c r="S157" s="336"/>
      <c r="T157" s="562"/>
      <c r="U157" s="466"/>
      <c r="V157" s="597" t="s">
        <v>728</v>
      </c>
      <c r="W157" s="320" t="s">
        <v>481</v>
      </c>
      <c r="X157" s="320" t="s">
        <v>557</v>
      </c>
      <c r="Z157" s="336">
        <f t="shared" si="148"/>
        <v>0</v>
      </c>
      <c r="AA157" s="337">
        <f t="shared" si="149"/>
        <v>0</v>
      </c>
      <c r="AB157" s="338">
        <f t="shared" si="150"/>
        <v>0</v>
      </c>
      <c r="AC157" s="336">
        <f t="shared" si="151"/>
        <v>1705</v>
      </c>
      <c r="AD157" s="337">
        <f t="shared" si="152"/>
        <v>0</v>
      </c>
      <c r="AE157" s="338">
        <f t="shared" si="153"/>
        <v>1705</v>
      </c>
      <c r="AF157" s="336">
        <f t="shared" si="154"/>
        <v>0</v>
      </c>
      <c r="AG157" s="337">
        <f t="shared" si="155"/>
        <v>0</v>
      </c>
      <c r="AH157" s="338">
        <f t="shared" si="156"/>
        <v>0</v>
      </c>
      <c r="AI157" s="336">
        <f t="shared" si="157"/>
        <v>0</v>
      </c>
      <c r="AJ157" s="337">
        <f t="shared" si="158"/>
        <v>0</v>
      </c>
      <c r="AK157" s="338">
        <f t="shared" si="159"/>
        <v>0</v>
      </c>
      <c r="AL157" s="342"/>
      <c r="AM157" s="336">
        <f t="shared" si="160"/>
        <v>1705</v>
      </c>
      <c r="AN157" s="339">
        <f t="shared" si="161"/>
        <v>0</v>
      </c>
      <c r="AO157" s="340">
        <f t="shared" si="162"/>
        <v>1705</v>
      </c>
      <c r="AP157" s="336">
        <f t="shared" si="163"/>
        <v>1705</v>
      </c>
      <c r="AQ157" s="339">
        <f t="shared" si="164"/>
        <v>0</v>
      </c>
      <c r="AR157" s="340">
        <f t="shared" si="165"/>
        <v>1705</v>
      </c>
      <c r="AS157" s="341">
        <f t="shared" si="166"/>
        <v>1705</v>
      </c>
      <c r="AT157" s="339">
        <f t="shared" si="167"/>
        <v>0</v>
      </c>
      <c r="AU157" s="340">
        <f t="shared" si="168"/>
        <v>1705</v>
      </c>
      <c r="AV157" s="1255">
        <f t="shared" si="169"/>
        <v>0</v>
      </c>
      <c r="AW157" s="343"/>
      <c r="AX157" s="1098"/>
      <c r="AY157" s="345"/>
      <c r="AZ157" s="1098"/>
      <c r="BA157" s="345"/>
      <c r="BB157" s="1120"/>
      <c r="BC157" s="1134">
        <v>1705</v>
      </c>
      <c r="BD157" s="348"/>
      <c r="BE157" s="349"/>
      <c r="BF157" s="348"/>
      <c r="BG157" s="349"/>
      <c r="BH157" s="350"/>
      <c r="BI157" s="351"/>
      <c r="BJ157" s="352"/>
      <c r="BK157" s="337"/>
      <c r="BL157" s="352"/>
      <c r="BM157" s="337"/>
      <c r="BN157" s="353"/>
      <c r="BO157" s="354"/>
      <c r="BP157" s="355"/>
      <c r="BQ157" s="356"/>
      <c r="BR157" s="355"/>
      <c r="BS157" s="356"/>
      <c r="BT157" s="357"/>
    </row>
    <row r="158" spans="1:72" s="313" customFormat="1" ht="89.25" outlineLevel="2">
      <c r="A158" s="287">
        <v>143</v>
      </c>
      <c r="B158" s="933"/>
      <c r="C158" s="840"/>
      <c r="D158" s="854" t="s">
        <v>807</v>
      </c>
      <c r="E158" s="839"/>
      <c r="F158" s="821" t="s">
        <v>7</v>
      </c>
      <c r="G158" s="314">
        <v>4</v>
      </c>
      <c r="H158" s="739" t="s">
        <v>70</v>
      </c>
      <c r="I158" s="739">
        <v>244</v>
      </c>
      <c r="J158" s="740">
        <v>346</v>
      </c>
      <c r="K158" s="533" t="s">
        <v>729</v>
      </c>
      <c r="L158" s="1025">
        <v>13942.02</v>
      </c>
      <c r="M158" s="318"/>
      <c r="N158" s="318"/>
      <c r="O158" s="1052">
        <f t="shared" si="147"/>
        <v>13942.02</v>
      </c>
      <c r="P158" s="562"/>
      <c r="Q158" s="336"/>
      <c r="R158" s="562"/>
      <c r="S158" s="336"/>
      <c r="T158" s="562"/>
      <c r="U158" s="466"/>
      <c r="V158" s="597" t="s">
        <v>730</v>
      </c>
      <c r="W158" s="597" t="s">
        <v>736</v>
      </c>
      <c r="X158" s="1094" t="s">
        <v>737</v>
      </c>
      <c r="Z158" s="336">
        <f t="shared" si="148"/>
        <v>0</v>
      </c>
      <c r="AA158" s="337">
        <f t="shared" si="149"/>
        <v>0</v>
      </c>
      <c r="AB158" s="338">
        <f t="shared" si="150"/>
        <v>0</v>
      </c>
      <c r="AC158" s="336">
        <f t="shared" si="151"/>
        <v>13942.02</v>
      </c>
      <c r="AD158" s="337">
        <f t="shared" si="152"/>
        <v>13942.02</v>
      </c>
      <c r="AE158" s="338">
        <f t="shared" si="153"/>
        <v>0</v>
      </c>
      <c r="AF158" s="336">
        <f t="shared" si="154"/>
        <v>0</v>
      </c>
      <c r="AG158" s="337">
        <f t="shared" si="155"/>
        <v>0</v>
      </c>
      <c r="AH158" s="338">
        <f t="shared" si="156"/>
        <v>0</v>
      </c>
      <c r="AI158" s="336">
        <f t="shared" si="157"/>
        <v>0</v>
      </c>
      <c r="AJ158" s="337">
        <f t="shared" si="158"/>
        <v>0</v>
      </c>
      <c r="AK158" s="338">
        <f t="shared" si="159"/>
        <v>0</v>
      </c>
      <c r="AL158" s="342"/>
      <c r="AM158" s="336">
        <f t="shared" si="160"/>
        <v>13942.02</v>
      </c>
      <c r="AN158" s="339">
        <f t="shared" si="161"/>
        <v>13942.02</v>
      </c>
      <c r="AO158" s="340">
        <f t="shared" si="162"/>
        <v>0</v>
      </c>
      <c r="AP158" s="336">
        <f t="shared" si="163"/>
        <v>13942.02</v>
      </c>
      <c r="AQ158" s="339">
        <f t="shared" si="164"/>
        <v>13942.02</v>
      </c>
      <c r="AR158" s="340">
        <f t="shared" si="165"/>
        <v>0</v>
      </c>
      <c r="AS158" s="341">
        <f t="shared" si="166"/>
        <v>13942.02</v>
      </c>
      <c r="AT158" s="339">
        <f t="shared" si="167"/>
        <v>13942.02</v>
      </c>
      <c r="AU158" s="340">
        <f t="shared" si="168"/>
        <v>0</v>
      </c>
      <c r="AV158" s="1255">
        <f t="shared" si="169"/>
        <v>0</v>
      </c>
      <c r="AW158" s="343"/>
      <c r="AX158" s="1098"/>
      <c r="AY158" s="345"/>
      <c r="AZ158" s="1098"/>
      <c r="BA158" s="345"/>
      <c r="BB158" s="1120"/>
      <c r="BC158" s="1134">
        <v>13942.02</v>
      </c>
      <c r="BD158" s="348">
        <v>13942.02</v>
      </c>
      <c r="BE158" s="349"/>
      <c r="BF158" s="348"/>
      <c r="BG158" s="349"/>
      <c r="BH158" s="350"/>
      <c r="BI158" s="351"/>
      <c r="BJ158" s="352"/>
      <c r="BK158" s="337"/>
      <c r="BL158" s="352"/>
      <c r="BM158" s="337"/>
      <c r="BN158" s="353"/>
      <c r="BO158" s="354"/>
      <c r="BP158" s="355"/>
      <c r="BQ158" s="356"/>
      <c r="BR158" s="355"/>
      <c r="BS158" s="356"/>
      <c r="BT158" s="357"/>
    </row>
    <row r="159" spans="1:72" s="313" customFormat="1" ht="38.25" outlineLevel="2">
      <c r="A159" s="287">
        <v>144</v>
      </c>
      <c r="B159" s="933"/>
      <c r="C159" s="840"/>
      <c r="D159" s="854" t="s">
        <v>807</v>
      </c>
      <c r="E159" s="839"/>
      <c r="F159" s="821" t="s">
        <v>7</v>
      </c>
      <c r="G159" s="314">
        <v>4</v>
      </c>
      <c r="H159" s="739" t="s">
        <v>70</v>
      </c>
      <c r="I159" s="739">
        <v>244</v>
      </c>
      <c r="J159" s="740">
        <v>346</v>
      </c>
      <c r="K159" s="533" t="s">
        <v>731</v>
      </c>
      <c r="L159" s="1025">
        <v>20760</v>
      </c>
      <c r="M159" s="318"/>
      <c r="N159" s="318"/>
      <c r="O159" s="1052">
        <f t="shared" si="147"/>
        <v>20760</v>
      </c>
      <c r="P159" s="562"/>
      <c r="Q159" s="336"/>
      <c r="R159" s="562"/>
      <c r="S159" s="336"/>
      <c r="T159" s="562"/>
      <c r="U159" s="466"/>
      <c r="V159" s="597" t="s">
        <v>555</v>
      </c>
      <c r="W159" s="597" t="s">
        <v>734</v>
      </c>
      <c r="X159" s="811" t="s">
        <v>735</v>
      </c>
      <c r="Z159" s="336">
        <f t="shared" si="148"/>
        <v>0</v>
      </c>
      <c r="AA159" s="337">
        <f t="shared" si="149"/>
        <v>0</v>
      </c>
      <c r="AB159" s="338">
        <f t="shared" si="150"/>
        <v>0</v>
      </c>
      <c r="AC159" s="336">
        <f t="shared" si="151"/>
        <v>20760</v>
      </c>
      <c r="AD159" s="337">
        <f t="shared" si="152"/>
        <v>20760</v>
      </c>
      <c r="AE159" s="338">
        <f t="shared" si="153"/>
        <v>0</v>
      </c>
      <c r="AF159" s="336">
        <f t="shared" si="154"/>
        <v>0</v>
      </c>
      <c r="AG159" s="337">
        <f t="shared" si="155"/>
        <v>0</v>
      </c>
      <c r="AH159" s="338">
        <f t="shared" si="156"/>
        <v>0</v>
      </c>
      <c r="AI159" s="336">
        <f t="shared" si="157"/>
        <v>0</v>
      </c>
      <c r="AJ159" s="337">
        <f t="shared" si="158"/>
        <v>0</v>
      </c>
      <c r="AK159" s="338">
        <f t="shared" si="159"/>
        <v>0</v>
      </c>
      <c r="AL159" s="342"/>
      <c r="AM159" s="336">
        <f t="shared" si="160"/>
        <v>20760</v>
      </c>
      <c r="AN159" s="339">
        <f t="shared" si="161"/>
        <v>20760</v>
      </c>
      <c r="AO159" s="340">
        <f t="shared" si="162"/>
        <v>0</v>
      </c>
      <c r="AP159" s="336">
        <f t="shared" si="163"/>
        <v>20760</v>
      </c>
      <c r="AQ159" s="339">
        <f t="shared" si="164"/>
        <v>20760</v>
      </c>
      <c r="AR159" s="340">
        <f t="shared" si="165"/>
        <v>0</v>
      </c>
      <c r="AS159" s="341">
        <f t="shared" si="166"/>
        <v>20760</v>
      </c>
      <c r="AT159" s="339">
        <f t="shared" si="167"/>
        <v>20760</v>
      </c>
      <c r="AU159" s="340">
        <f t="shared" si="168"/>
        <v>0</v>
      </c>
      <c r="AV159" s="1255">
        <f t="shared" si="169"/>
        <v>0</v>
      </c>
      <c r="AW159" s="343"/>
      <c r="AX159" s="1098"/>
      <c r="AY159" s="345"/>
      <c r="AZ159" s="1098"/>
      <c r="BA159" s="345"/>
      <c r="BB159" s="1120"/>
      <c r="BC159" s="1134">
        <v>20760</v>
      </c>
      <c r="BD159" s="348">
        <v>20760</v>
      </c>
      <c r="BE159" s="349"/>
      <c r="BF159" s="348"/>
      <c r="BG159" s="349"/>
      <c r="BH159" s="350"/>
      <c r="BI159" s="351"/>
      <c r="BJ159" s="352"/>
      <c r="BK159" s="337"/>
      <c r="BL159" s="352"/>
      <c r="BM159" s="337"/>
      <c r="BN159" s="353"/>
      <c r="BO159" s="354"/>
      <c r="BP159" s="355"/>
      <c r="BQ159" s="356"/>
      <c r="BR159" s="355"/>
      <c r="BS159" s="356"/>
      <c r="BT159" s="357"/>
    </row>
    <row r="160" spans="1:72" s="313" customFormat="1" ht="38.25" outlineLevel="2">
      <c r="A160" s="287">
        <v>145</v>
      </c>
      <c r="B160" s="933"/>
      <c r="C160" s="840"/>
      <c r="D160" s="854" t="s">
        <v>807</v>
      </c>
      <c r="E160" s="839"/>
      <c r="F160" s="821" t="s">
        <v>7</v>
      </c>
      <c r="G160" s="314">
        <v>4</v>
      </c>
      <c r="H160" s="739" t="s">
        <v>70</v>
      </c>
      <c r="I160" s="739">
        <v>244</v>
      </c>
      <c r="J160" s="740">
        <v>346</v>
      </c>
      <c r="K160" s="533" t="s">
        <v>732</v>
      </c>
      <c r="L160" s="1025">
        <v>2694</v>
      </c>
      <c r="M160" s="318"/>
      <c r="N160" s="318"/>
      <c r="O160" s="1052">
        <f t="shared" si="147"/>
        <v>2694</v>
      </c>
      <c r="P160" s="562"/>
      <c r="Q160" s="336"/>
      <c r="R160" s="562"/>
      <c r="S160" s="336"/>
      <c r="T160" s="562"/>
      <c r="U160" s="466"/>
      <c r="V160" s="597" t="s">
        <v>706</v>
      </c>
      <c r="W160" s="597" t="s">
        <v>733</v>
      </c>
      <c r="X160" s="811" t="s">
        <v>557</v>
      </c>
      <c r="Z160" s="336">
        <f t="shared" si="148"/>
        <v>0</v>
      </c>
      <c r="AA160" s="337">
        <f t="shared" si="149"/>
        <v>0</v>
      </c>
      <c r="AB160" s="338">
        <f t="shared" si="150"/>
        <v>0</v>
      </c>
      <c r="AC160" s="336">
        <f t="shared" si="151"/>
        <v>2694</v>
      </c>
      <c r="AD160" s="337">
        <f t="shared" si="152"/>
        <v>2694</v>
      </c>
      <c r="AE160" s="338">
        <f t="shared" si="153"/>
        <v>0</v>
      </c>
      <c r="AF160" s="336">
        <f t="shared" si="154"/>
        <v>0</v>
      </c>
      <c r="AG160" s="337">
        <f t="shared" si="155"/>
        <v>0</v>
      </c>
      <c r="AH160" s="338">
        <f t="shared" si="156"/>
        <v>0</v>
      </c>
      <c r="AI160" s="336">
        <f t="shared" si="157"/>
        <v>0</v>
      </c>
      <c r="AJ160" s="337">
        <f t="shared" si="158"/>
        <v>0</v>
      </c>
      <c r="AK160" s="338">
        <f t="shared" si="159"/>
        <v>0</v>
      </c>
      <c r="AL160" s="342"/>
      <c r="AM160" s="336">
        <f t="shared" si="160"/>
        <v>2694</v>
      </c>
      <c r="AN160" s="339">
        <f t="shared" si="161"/>
        <v>2694</v>
      </c>
      <c r="AO160" s="340">
        <f t="shared" si="162"/>
        <v>0</v>
      </c>
      <c r="AP160" s="336">
        <f t="shared" si="163"/>
        <v>2694</v>
      </c>
      <c r="AQ160" s="339">
        <f t="shared" si="164"/>
        <v>2694</v>
      </c>
      <c r="AR160" s="340">
        <f t="shared" si="165"/>
        <v>0</v>
      </c>
      <c r="AS160" s="341">
        <f t="shared" si="166"/>
        <v>2694</v>
      </c>
      <c r="AT160" s="339">
        <f t="shared" si="167"/>
        <v>2694</v>
      </c>
      <c r="AU160" s="340">
        <f t="shared" si="168"/>
        <v>0</v>
      </c>
      <c r="AV160" s="1255">
        <f t="shared" si="169"/>
        <v>0</v>
      </c>
      <c r="AW160" s="343"/>
      <c r="AX160" s="1098"/>
      <c r="AY160" s="345"/>
      <c r="AZ160" s="1098"/>
      <c r="BA160" s="345"/>
      <c r="BB160" s="1120"/>
      <c r="BC160" s="1134">
        <v>2694</v>
      </c>
      <c r="BD160" s="348">
        <v>2694</v>
      </c>
      <c r="BE160" s="349"/>
      <c r="BF160" s="348"/>
      <c r="BG160" s="349"/>
      <c r="BH160" s="350"/>
      <c r="BI160" s="351"/>
      <c r="BJ160" s="352"/>
      <c r="BK160" s="337"/>
      <c r="BL160" s="352"/>
      <c r="BM160" s="337"/>
      <c r="BN160" s="353"/>
      <c r="BO160" s="354"/>
      <c r="BP160" s="355"/>
      <c r="BQ160" s="356"/>
      <c r="BR160" s="355"/>
      <c r="BS160" s="356"/>
      <c r="BT160" s="357"/>
    </row>
    <row r="161" spans="1:72" s="313" customFormat="1" ht="51" outlineLevel="2">
      <c r="A161" s="287">
        <v>146</v>
      </c>
      <c r="B161" s="933"/>
      <c r="C161" s="840"/>
      <c r="D161" s="854" t="s">
        <v>807</v>
      </c>
      <c r="E161" s="839"/>
      <c r="F161" s="821" t="s">
        <v>7</v>
      </c>
      <c r="G161" s="314">
        <v>4</v>
      </c>
      <c r="H161" s="739" t="s">
        <v>70</v>
      </c>
      <c r="I161" s="739">
        <v>244</v>
      </c>
      <c r="J161" s="740">
        <v>346</v>
      </c>
      <c r="K161" s="533" t="s">
        <v>743</v>
      </c>
      <c r="L161" s="1025">
        <v>8389</v>
      </c>
      <c r="M161" s="318"/>
      <c r="N161" s="318"/>
      <c r="O161" s="1052">
        <f t="shared" si="147"/>
        <v>8389</v>
      </c>
      <c r="P161" s="562"/>
      <c r="Q161" s="336"/>
      <c r="R161" s="562"/>
      <c r="S161" s="336"/>
      <c r="T161" s="562"/>
      <c r="U161" s="466"/>
      <c r="V161" s="597" t="s">
        <v>495</v>
      </c>
      <c r="W161" s="320" t="s">
        <v>481</v>
      </c>
      <c r="X161" s="1094" t="s">
        <v>744</v>
      </c>
      <c r="Z161" s="336">
        <f t="shared" si="148"/>
        <v>0</v>
      </c>
      <c r="AA161" s="337">
        <f t="shared" si="149"/>
        <v>0</v>
      </c>
      <c r="AB161" s="338">
        <f t="shared" si="150"/>
        <v>0</v>
      </c>
      <c r="AC161" s="336">
        <f t="shared" si="151"/>
        <v>8389</v>
      </c>
      <c r="AD161" s="337">
        <f t="shared" si="152"/>
        <v>0</v>
      </c>
      <c r="AE161" s="338">
        <f t="shared" si="153"/>
        <v>8389</v>
      </c>
      <c r="AF161" s="336">
        <f t="shared" si="154"/>
        <v>0</v>
      </c>
      <c r="AG161" s="337">
        <f t="shared" si="155"/>
        <v>0</v>
      </c>
      <c r="AH161" s="338">
        <f t="shared" si="156"/>
        <v>0</v>
      </c>
      <c r="AI161" s="336">
        <f t="shared" si="157"/>
        <v>0</v>
      </c>
      <c r="AJ161" s="337">
        <f t="shared" si="158"/>
        <v>0</v>
      </c>
      <c r="AK161" s="338">
        <f t="shared" si="159"/>
        <v>0</v>
      </c>
      <c r="AL161" s="342"/>
      <c r="AM161" s="336">
        <f t="shared" si="160"/>
        <v>8389</v>
      </c>
      <c r="AN161" s="339">
        <f t="shared" si="161"/>
        <v>0</v>
      </c>
      <c r="AO161" s="340">
        <f t="shared" si="162"/>
        <v>8389</v>
      </c>
      <c r="AP161" s="336">
        <f t="shared" si="163"/>
        <v>8389</v>
      </c>
      <c r="AQ161" s="339">
        <f t="shared" si="164"/>
        <v>0</v>
      </c>
      <c r="AR161" s="340">
        <f t="shared" si="165"/>
        <v>8389</v>
      </c>
      <c r="AS161" s="341">
        <f t="shared" si="166"/>
        <v>8389</v>
      </c>
      <c r="AT161" s="339">
        <f t="shared" si="167"/>
        <v>0</v>
      </c>
      <c r="AU161" s="340">
        <f t="shared" si="168"/>
        <v>8389</v>
      </c>
      <c r="AV161" s="1255">
        <f t="shared" si="169"/>
        <v>0</v>
      </c>
      <c r="AW161" s="343"/>
      <c r="AX161" s="1098"/>
      <c r="AY161" s="345"/>
      <c r="AZ161" s="1098"/>
      <c r="BA161" s="345"/>
      <c r="BB161" s="1120"/>
      <c r="BC161" s="1134">
        <v>8389</v>
      </c>
      <c r="BD161" s="348"/>
      <c r="BE161" s="349"/>
      <c r="BF161" s="348"/>
      <c r="BG161" s="349"/>
      <c r="BH161" s="350"/>
      <c r="BI161" s="351"/>
      <c r="BJ161" s="352"/>
      <c r="BK161" s="337"/>
      <c r="BL161" s="352"/>
      <c r="BM161" s="337"/>
      <c r="BN161" s="353"/>
      <c r="BO161" s="354"/>
      <c r="BP161" s="355"/>
      <c r="BQ161" s="356"/>
      <c r="BR161" s="355"/>
      <c r="BS161" s="356"/>
      <c r="BT161" s="357"/>
    </row>
    <row r="162" spans="1:72" s="313" customFormat="1" ht="25.5" outlineLevel="2">
      <c r="A162" s="287">
        <v>147</v>
      </c>
      <c r="B162" s="933"/>
      <c r="C162" s="840"/>
      <c r="D162" s="854" t="s">
        <v>807</v>
      </c>
      <c r="E162" s="839"/>
      <c r="F162" s="821" t="s">
        <v>7</v>
      </c>
      <c r="G162" s="314">
        <v>4</v>
      </c>
      <c r="H162" s="739" t="s">
        <v>70</v>
      </c>
      <c r="I162" s="739">
        <v>244</v>
      </c>
      <c r="J162" s="740">
        <v>346</v>
      </c>
      <c r="K162" s="533" t="s">
        <v>745</v>
      </c>
      <c r="L162" s="1025">
        <v>8483.5</v>
      </c>
      <c r="M162" s="318"/>
      <c r="N162" s="318"/>
      <c r="O162" s="1052">
        <f t="shared" si="147"/>
        <v>8483.5</v>
      </c>
      <c r="P162" s="562"/>
      <c r="Q162" s="336"/>
      <c r="R162" s="562"/>
      <c r="S162" s="336"/>
      <c r="T162" s="562"/>
      <c r="U162" s="466"/>
      <c r="V162" s="597" t="s">
        <v>582</v>
      </c>
      <c r="W162" s="811" t="s">
        <v>481</v>
      </c>
      <c r="X162" s="320" t="s">
        <v>746</v>
      </c>
      <c r="Z162" s="336">
        <f t="shared" si="148"/>
        <v>0</v>
      </c>
      <c r="AA162" s="337">
        <f t="shared" si="149"/>
        <v>0</v>
      </c>
      <c r="AB162" s="338">
        <f t="shared" si="150"/>
        <v>0</v>
      </c>
      <c r="AC162" s="336">
        <f t="shared" si="151"/>
        <v>8483.5</v>
      </c>
      <c r="AD162" s="337">
        <f t="shared" si="152"/>
        <v>8483.5</v>
      </c>
      <c r="AE162" s="338">
        <f t="shared" si="153"/>
        <v>0</v>
      </c>
      <c r="AF162" s="336">
        <f t="shared" si="154"/>
        <v>0</v>
      </c>
      <c r="AG162" s="337">
        <f t="shared" si="155"/>
        <v>0</v>
      </c>
      <c r="AH162" s="338">
        <f t="shared" si="156"/>
        <v>0</v>
      </c>
      <c r="AI162" s="336">
        <f t="shared" si="157"/>
        <v>0</v>
      </c>
      <c r="AJ162" s="337">
        <f t="shared" si="158"/>
        <v>0</v>
      </c>
      <c r="AK162" s="338">
        <f t="shared" si="159"/>
        <v>0</v>
      </c>
      <c r="AL162" s="342"/>
      <c r="AM162" s="336">
        <f t="shared" si="160"/>
        <v>8483.5</v>
      </c>
      <c r="AN162" s="339">
        <f t="shared" si="161"/>
        <v>8483.5</v>
      </c>
      <c r="AO162" s="340">
        <f t="shared" si="162"/>
        <v>0</v>
      </c>
      <c r="AP162" s="336">
        <f t="shared" si="163"/>
        <v>8483.5</v>
      </c>
      <c r="AQ162" s="339">
        <f t="shared" si="164"/>
        <v>8483.5</v>
      </c>
      <c r="AR162" s="340">
        <f t="shared" si="165"/>
        <v>0</v>
      </c>
      <c r="AS162" s="341">
        <f t="shared" si="166"/>
        <v>8483.5</v>
      </c>
      <c r="AT162" s="339">
        <f t="shared" si="167"/>
        <v>8483.5</v>
      </c>
      <c r="AU162" s="340">
        <f t="shared" si="168"/>
        <v>0</v>
      </c>
      <c r="AV162" s="1255">
        <f t="shared" si="169"/>
        <v>0</v>
      </c>
      <c r="AW162" s="343"/>
      <c r="AX162" s="1098"/>
      <c r="AY162" s="345"/>
      <c r="AZ162" s="1098"/>
      <c r="BA162" s="345"/>
      <c r="BB162" s="1120"/>
      <c r="BC162" s="1134">
        <v>8483.5</v>
      </c>
      <c r="BD162" s="348">
        <v>8483.5</v>
      </c>
      <c r="BE162" s="349"/>
      <c r="BF162" s="348"/>
      <c r="BG162" s="349"/>
      <c r="BH162" s="350"/>
      <c r="BI162" s="351"/>
      <c r="BJ162" s="352"/>
      <c r="BK162" s="337"/>
      <c r="BL162" s="352"/>
      <c r="BM162" s="337"/>
      <c r="BN162" s="353"/>
      <c r="BO162" s="354"/>
      <c r="BP162" s="355"/>
      <c r="BQ162" s="356"/>
      <c r="BR162" s="355"/>
      <c r="BS162" s="356"/>
      <c r="BT162" s="357"/>
    </row>
    <row r="163" spans="1:72" s="313" customFormat="1" ht="38.25" outlineLevel="2">
      <c r="A163" s="287">
        <v>148</v>
      </c>
      <c r="B163" s="933"/>
      <c r="C163" s="840"/>
      <c r="D163" s="854" t="s">
        <v>807</v>
      </c>
      <c r="E163" s="839"/>
      <c r="F163" s="821" t="s">
        <v>7</v>
      </c>
      <c r="G163" s="314">
        <v>4</v>
      </c>
      <c r="H163" s="739" t="s">
        <v>70</v>
      </c>
      <c r="I163" s="739">
        <v>244</v>
      </c>
      <c r="J163" s="740">
        <v>346</v>
      </c>
      <c r="K163" s="533" t="s">
        <v>761</v>
      </c>
      <c r="L163" s="1025">
        <v>590</v>
      </c>
      <c r="M163" s="318"/>
      <c r="N163" s="318"/>
      <c r="O163" s="1052">
        <f t="shared" si="147"/>
        <v>590</v>
      </c>
      <c r="P163" s="562"/>
      <c r="Q163" s="336"/>
      <c r="R163" s="562"/>
      <c r="S163" s="336"/>
      <c r="T163" s="562"/>
      <c r="U163" s="466"/>
      <c r="V163" s="597" t="s">
        <v>706</v>
      </c>
      <c r="W163" s="597" t="s">
        <v>762</v>
      </c>
      <c r="X163" s="811" t="s">
        <v>557</v>
      </c>
      <c r="Z163" s="336">
        <f t="shared" si="148"/>
        <v>0</v>
      </c>
      <c r="AA163" s="337">
        <f t="shared" si="149"/>
        <v>0</v>
      </c>
      <c r="AB163" s="338">
        <f t="shared" si="150"/>
        <v>0</v>
      </c>
      <c r="AC163" s="336">
        <f t="shared" si="151"/>
        <v>590</v>
      </c>
      <c r="AD163" s="337">
        <f t="shared" si="152"/>
        <v>590</v>
      </c>
      <c r="AE163" s="338">
        <f t="shared" si="153"/>
        <v>0</v>
      </c>
      <c r="AF163" s="336">
        <f t="shared" si="154"/>
        <v>0</v>
      </c>
      <c r="AG163" s="337">
        <f t="shared" si="155"/>
        <v>0</v>
      </c>
      <c r="AH163" s="338">
        <f t="shared" si="156"/>
        <v>0</v>
      </c>
      <c r="AI163" s="336">
        <f t="shared" si="157"/>
        <v>0</v>
      </c>
      <c r="AJ163" s="337">
        <f t="shared" si="158"/>
        <v>0</v>
      </c>
      <c r="AK163" s="338">
        <f t="shared" si="159"/>
        <v>0</v>
      </c>
      <c r="AL163" s="342"/>
      <c r="AM163" s="336">
        <f t="shared" si="160"/>
        <v>590</v>
      </c>
      <c r="AN163" s="339">
        <f t="shared" si="161"/>
        <v>590</v>
      </c>
      <c r="AO163" s="340">
        <f t="shared" si="162"/>
        <v>0</v>
      </c>
      <c r="AP163" s="336">
        <f t="shared" si="163"/>
        <v>590</v>
      </c>
      <c r="AQ163" s="339">
        <f t="shared" si="164"/>
        <v>590</v>
      </c>
      <c r="AR163" s="340">
        <f t="shared" si="165"/>
        <v>0</v>
      </c>
      <c r="AS163" s="341">
        <f t="shared" si="166"/>
        <v>590</v>
      </c>
      <c r="AT163" s="339">
        <f t="shared" si="167"/>
        <v>590</v>
      </c>
      <c r="AU163" s="340">
        <f t="shared" si="168"/>
        <v>0</v>
      </c>
      <c r="AV163" s="1255">
        <f t="shared" si="169"/>
        <v>0</v>
      </c>
      <c r="AW163" s="343"/>
      <c r="AX163" s="1098"/>
      <c r="AY163" s="345"/>
      <c r="AZ163" s="1098"/>
      <c r="BA163" s="345"/>
      <c r="BB163" s="1120"/>
      <c r="BC163" s="1134">
        <v>590</v>
      </c>
      <c r="BD163" s="348">
        <v>590</v>
      </c>
      <c r="BE163" s="349"/>
      <c r="BF163" s="348"/>
      <c r="BG163" s="349"/>
      <c r="BH163" s="350"/>
      <c r="BI163" s="351"/>
      <c r="BJ163" s="352"/>
      <c r="BK163" s="337"/>
      <c r="BL163" s="352"/>
      <c r="BM163" s="337"/>
      <c r="BN163" s="353"/>
      <c r="BO163" s="354"/>
      <c r="BP163" s="355"/>
      <c r="BQ163" s="356"/>
      <c r="BR163" s="355"/>
      <c r="BS163" s="356"/>
      <c r="BT163" s="357"/>
    </row>
    <row r="164" spans="1:72" s="313" customFormat="1" ht="25.5" outlineLevel="2">
      <c r="A164" s="287">
        <v>149</v>
      </c>
      <c r="B164" s="933"/>
      <c r="C164" s="840"/>
      <c r="D164" s="854" t="s">
        <v>807</v>
      </c>
      <c r="E164" s="839"/>
      <c r="F164" s="821" t="s">
        <v>7</v>
      </c>
      <c r="G164" s="314">
        <v>4</v>
      </c>
      <c r="H164" s="739" t="s">
        <v>70</v>
      </c>
      <c r="I164" s="739">
        <v>244</v>
      </c>
      <c r="J164" s="740">
        <v>346</v>
      </c>
      <c r="K164" s="533" t="s">
        <v>778</v>
      </c>
      <c r="L164" s="1025">
        <v>32572</v>
      </c>
      <c r="M164" s="318"/>
      <c r="N164" s="318"/>
      <c r="O164" s="1052">
        <f t="shared" si="147"/>
        <v>32572</v>
      </c>
      <c r="P164" s="562"/>
      <c r="Q164" s="336"/>
      <c r="R164" s="562"/>
      <c r="S164" s="336"/>
      <c r="T164" s="562"/>
      <c r="U164" s="466"/>
      <c r="V164" s="597" t="s">
        <v>616</v>
      </c>
      <c r="W164" s="597" t="s">
        <v>803</v>
      </c>
      <c r="X164" s="597" t="s">
        <v>804</v>
      </c>
      <c r="Z164" s="336">
        <f t="shared" si="148"/>
        <v>0</v>
      </c>
      <c r="AA164" s="337">
        <f t="shared" si="149"/>
        <v>0</v>
      </c>
      <c r="AB164" s="338">
        <f t="shared" si="150"/>
        <v>0</v>
      </c>
      <c r="AC164" s="336">
        <f t="shared" si="151"/>
        <v>32572</v>
      </c>
      <c r="AD164" s="337">
        <f t="shared" si="152"/>
        <v>0</v>
      </c>
      <c r="AE164" s="338">
        <f t="shared" si="153"/>
        <v>32572</v>
      </c>
      <c r="AF164" s="336">
        <f t="shared" si="154"/>
        <v>0</v>
      </c>
      <c r="AG164" s="337">
        <f t="shared" si="155"/>
        <v>0</v>
      </c>
      <c r="AH164" s="338">
        <f t="shared" si="156"/>
        <v>0</v>
      </c>
      <c r="AI164" s="336">
        <f t="shared" si="157"/>
        <v>0</v>
      </c>
      <c r="AJ164" s="337">
        <f t="shared" si="158"/>
        <v>0</v>
      </c>
      <c r="AK164" s="338">
        <f t="shared" si="159"/>
        <v>0</v>
      </c>
      <c r="AL164" s="342"/>
      <c r="AM164" s="336">
        <f t="shared" si="160"/>
        <v>32572</v>
      </c>
      <c r="AN164" s="339">
        <f t="shared" si="161"/>
        <v>0</v>
      </c>
      <c r="AO164" s="340">
        <f t="shared" si="162"/>
        <v>32572</v>
      </c>
      <c r="AP164" s="336">
        <f t="shared" si="163"/>
        <v>32572</v>
      </c>
      <c r="AQ164" s="339">
        <f t="shared" si="164"/>
        <v>0</v>
      </c>
      <c r="AR164" s="340">
        <f t="shared" si="165"/>
        <v>32572</v>
      </c>
      <c r="AS164" s="341">
        <f t="shared" si="166"/>
        <v>32572</v>
      </c>
      <c r="AT164" s="339">
        <f t="shared" si="167"/>
        <v>0</v>
      </c>
      <c r="AU164" s="340">
        <f t="shared" si="168"/>
        <v>32572</v>
      </c>
      <c r="AV164" s="1255">
        <f t="shared" si="169"/>
        <v>0</v>
      </c>
      <c r="AW164" s="343"/>
      <c r="AX164" s="1098"/>
      <c r="AY164" s="345"/>
      <c r="AZ164" s="1098"/>
      <c r="BA164" s="345"/>
      <c r="BB164" s="1120"/>
      <c r="BC164" s="1134"/>
      <c r="BD164" s="348"/>
      <c r="BE164" s="1135">
        <v>32572</v>
      </c>
      <c r="BF164" s="348"/>
      <c r="BG164" s="349"/>
      <c r="BH164" s="350"/>
      <c r="BI164" s="351"/>
      <c r="BJ164" s="352"/>
      <c r="BK164" s="337"/>
      <c r="BL164" s="352"/>
      <c r="BM164" s="337"/>
      <c r="BN164" s="353"/>
      <c r="BO164" s="354"/>
      <c r="BP164" s="355"/>
      <c r="BQ164" s="356"/>
      <c r="BR164" s="355"/>
      <c r="BS164" s="356"/>
      <c r="BT164" s="357"/>
    </row>
    <row r="165" spans="1:72" s="313" customFormat="1" ht="38.25" outlineLevel="2">
      <c r="A165" s="287">
        <v>150</v>
      </c>
      <c r="B165" s="933"/>
      <c r="C165" s="840"/>
      <c r="D165" s="854" t="s">
        <v>807</v>
      </c>
      <c r="E165" s="839"/>
      <c r="F165" s="821" t="s">
        <v>7</v>
      </c>
      <c r="G165" s="314">
        <v>4</v>
      </c>
      <c r="H165" s="739" t="s">
        <v>70</v>
      </c>
      <c r="I165" s="739">
        <v>244</v>
      </c>
      <c r="J165" s="740">
        <v>346</v>
      </c>
      <c r="K165" s="533" t="s">
        <v>1039</v>
      </c>
      <c r="L165" s="1025">
        <v>1203</v>
      </c>
      <c r="M165" s="318"/>
      <c r="N165" s="318"/>
      <c r="O165" s="1052">
        <f t="shared" si="147"/>
        <v>1203</v>
      </c>
      <c r="P165" s="562"/>
      <c r="Q165" s="336"/>
      <c r="R165" s="562"/>
      <c r="S165" s="336"/>
      <c r="T165" s="562"/>
      <c r="U165" s="466"/>
      <c r="V165" s="597" t="s">
        <v>495</v>
      </c>
      <c r="W165" s="597" t="s">
        <v>1041</v>
      </c>
      <c r="X165" s="320"/>
      <c r="Z165" s="336">
        <f t="shared" si="148"/>
        <v>0</v>
      </c>
      <c r="AA165" s="337">
        <f t="shared" si="149"/>
        <v>0</v>
      </c>
      <c r="AB165" s="338">
        <f t="shared" si="150"/>
        <v>0</v>
      </c>
      <c r="AC165" s="336">
        <f t="shared" si="151"/>
        <v>1203</v>
      </c>
      <c r="AD165" s="337">
        <f t="shared" si="152"/>
        <v>0</v>
      </c>
      <c r="AE165" s="338">
        <f t="shared" si="153"/>
        <v>1203</v>
      </c>
      <c r="AF165" s="336">
        <f t="shared" si="154"/>
        <v>0</v>
      </c>
      <c r="AG165" s="337">
        <f t="shared" si="155"/>
        <v>0</v>
      </c>
      <c r="AH165" s="338">
        <f t="shared" si="156"/>
        <v>0</v>
      </c>
      <c r="AI165" s="336">
        <f t="shared" si="157"/>
        <v>0</v>
      </c>
      <c r="AJ165" s="337">
        <f t="shared" si="158"/>
        <v>0</v>
      </c>
      <c r="AK165" s="338">
        <f t="shared" si="159"/>
        <v>0</v>
      </c>
      <c r="AL165" s="342"/>
      <c r="AM165" s="336">
        <f t="shared" si="160"/>
        <v>1203</v>
      </c>
      <c r="AN165" s="339">
        <f t="shared" si="161"/>
        <v>0</v>
      </c>
      <c r="AO165" s="340">
        <f t="shared" si="162"/>
        <v>1203</v>
      </c>
      <c r="AP165" s="336">
        <f t="shared" si="163"/>
        <v>1203</v>
      </c>
      <c r="AQ165" s="339">
        <f t="shared" si="164"/>
        <v>0</v>
      </c>
      <c r="AR165" s="340">
        <f t="shared" si="165"/>
        <v>1203</v>
      </c>
      <c r="AS165" s="341">
        <f t="shared" si="166"/>
        <v>1203</v>
      </c>
      <c r="AT165" s="339">
        <f t="shared" si="167"/>
        <v>0</v>
      </c>
      <c r="AU165" s="340">
        <f t="shared" si="168"/>
        <v>1203</v>
      </c>
      <c r="AV165" s="1255">
        <f t="shared" si="169"/>
        <v>0</v>
      </c>
      <c r="AW165" s="343"/>
      <c r="AX165" s="1098"/>
      <c r="AY165" s="345"/>
      <c r="AZ165" s="1098"/>
      <c r="BA165" s="345"/>
      <c r="BB165" s="1120"/>
      <c r="BC165" s="1134"/>
      <c r="BD165" s="348"/>
      <c r="BE165" s="1135">
        <v>1203</v>
      </c>
      <c r="BF165" s="348"/>
      <c r="BG165" s="349"/>
      <c r="BH165" s="350"/>
      <c r="BI165" s="351"/>
      <c r="BJ165" s="352"/>
      <c r="BK165" s="337"/>
      <c r="BL165" s="352"/>
      <c r="BM165" s="337"/>
      <c r="BN165" s="353"/>
      <c r="BO165" s="354"/>
      <c r="BP165" s="355"/>
      <c r="BQ165" s="356"/>
      <c r="BR165" s="355"/>
      <c r="BS165" s="356"/>
      <c r="BT165" s="357"/>
    </row>
    <row r="166" spans="1:72" s="313" customFormat="1" ht="25.5" outlineLevel="2">
      <c r="A166" s="287">
        <v>151</v>
      </c>
      <c r="B166" s="933"/>
      <c r="C166" s="840"/>
      <c r="D166" s="854" t="s">
        <v>807</v>
      </c>
      <c r="E166" s="839"/>
      <c r="F166" s="821" t="s">
        <v>7</v>
      </c>
      <c r="G166" s="314">
        <v>4</v>
      </c>
      <c r="H166" s="739" t="s">
        <v>70</v>
      </c>
      <c r="I166" s="739">
        <v>244</v>
      </c>
      <c r="J166" s="740">
        <v>346</v>
      </c>
      <c r="K166" s="533" t="s">
        <v>1040</v>
      </c>
      <c r="L166" s="1025">
        <v>2475.5</v>
      </c>
      <c r="M166" s="318"/>
      <c r="N166" s="318"/>
      <c r="O166" s="1052">
        <f t="shared" si="147"/>
        <v>2475.5</v>
      </c>
      <c r="P166" s="562"/>
      <c r="Q166" s="336"/>
      <c r="R166" s="562"/>
      <c r="S166" s="336"/>
      <c r="T166" s="562"/>
      <c r="U166" s="466"/>
      <c r="V166" s="597" t="s">
        <v>1043</v>
      </c>
      <c r="W166" s="597" t="s">
        <v>1042</v>
      </c>
      <c r="X166" s="320"/>
      <c r="Z166" s="336">
        <f t="shared" si="148"/>
        <v>0</v>
      </c>
      <c r="AA166" s="337">
        <f t="shared" si="149"/>
        <v>0</v>
      </c>
      <c r="AB166" s="338">
        <f t="shared" si="150"/>
        <v>0</v>
      </c>
      <c r="AC166" s="336">
        <f t="shared" si="151"/>
        <v>2475.5</v>
      </c>
      <c r="AD166" s="337">
        <f t="shared" si="152"/>
        <v>0</v>
      </c>
      <c r="AE166" s="338">
        <f t="shared" si="153"/>
        <v>2475.5</v>
      </c>
      <c r="AF166" s="336">
        <f t="shared" si="154"/>
        <v>0</v>
      </c>
      <c r="AG166" s="337">
        <f t="shared" si="155"/>
        <v>0</v>
      </c>
      <c r="AH166" s="338">
        <f t="shared" si="156"/>
        <v>0</v>
      </c>
      <c r="AI166" s="336">
        <f t="shared" si="157"/>
        <v>0</v>
      </c>
      <c r="AJ166" s="337">
        <f t="shared" si="158"/>
        <v>0</v>
      </c>
      <c r="AK166" s="338">
        <f t="shared" si="159"/>
        <v>0</v>
      </c>
      <c r="AL166" s="342"/>
      <c r="AM166" s="336">
        <f t="shared" si="160"/>
        <v>2475.5</v>
      </c>
      <c r="AN166" s="339">
        <f t="shared" si="161"/>
        <v>0</v>
      </c>
      <c r="AO166" s="340">
        <f t="shared" si="162"/>
        <v>2475.5</v>
      </c>
      <c r="AP166" s="336">
        <f t="shared" si="163"/>
        <v>2475.5</v>
      </c>
      <c r="AQ166" s="339">
        <f t="shared" si="164"/>
        <v>0</v>
      </c>
      <c r="AR166" s="340">
        <f t="shared" si="165"/>
        <v>2475.5</v>
      </c>
      <c r="AS166" s="341">
        <f t="shared" si="166"/>
        <v>2475.5</v>
      </c>
      <c r="AT166" s="339">
        <f t="shared" si="167"/>
        <v>0</v>
      </c>
      <c r="AU166" s="340">
        <f t="shared" si="168"/>
        <v>2475.5</v>
      </c>
      <c r="AV166" s="1255">
        <f t="shared" si="169"/>
        <v>0</v>
      </c>
      <c r="AW166" s="343"/>
      <c r="AX166" s="1098"/>
      <c r="AY166" s="345"/>
      <c r="AZ166" s="1098"/>
      <c r="BA166" s="345"/>
      <c r="BB166" s="1120"/>
      <c r="BC166" s="1134"/>
      <c r="BD166" s="348"/>
      <c r="BE166" s="1135">
        <v>2475.5</v>
      </c>
      <c r="BF166" s="348"/>
      <c r="BG166" s="349"/>
      <c r="BH166" s="350"/>
      <c r="BI166" s="351"/>
      <c r="BJ166" s="352"/>
      <c r="BK166" s="337"/>
      <c r="BL166" s="352"/>
      <c r="BM166" s="337"/>
      <c r="BN166" s="353"/>
      <c r="BO166" s="354"/>
      <c r="BP166" s="355"/>
      <c r="BQ166" s="356"/>
      <c r="BR166" s="355"/>
      <c r="BS166" s="356"/>
      <c r="BT166" s="357"/>
    </row>
    <row r="167" spans="1:72" s="313" customFormat="1" ht="25.5" outlineLevel="2">
      <c r="A167" s="287">
        <v>152</v>
      </c>
      <c r="B167" s="933"/>
      <c r="C167" s="840"/>
      <c r="D167" s="854" t="s">
        <v>807</v>
      </c>
      <c r="E167" s="839"/>
      <c r="F167" s="821" t="s">
        <v>7</v>
      </c>
      <c r="G167" s="314">
        <v>4</v>
      </c>
      <c r="H167" s="739" t="s">
        <v>70</v>
      </c>
      <c r="I167" s="739">
        <v>244</v>
      </c>
      <c r="J167" s="740">
        <v>346</v>
      </c>
      <c r="K167" s="533" t="s">
        <v>643</v>
      </c>
      <c r="L167" s="1025">
        <v>7865</v>
      </c>
      <c r="M167" s="318"/>
      <c r="N167" s="318"/>
      <c r="O167" s="1052">
        <f t="shared" si="147"/>
        <v>7865</v>
      </c>
      <c r="P167" s="562"/>
      <c r="Q167" s="336"/>
      <c r="R167" s="562"/>
      <c r="S167" s="336"/>
      <c r="T167" s="562"/>
      <c r="U167" s="466"/>
      <c r="V167" s="597" t="s">
        <v>644</v>
      </c>
      <c r="W167" s="597" t="s">
        <v>805</v>
      </c>
      <c r="X167" s="597" t="s">
        <v>806</v>
      </c>
      <c r="Z167" s="336">
        <f t="shared" si="148"/>
        <v>0</v>
      </c>
      <c r="AA167" s="337">
        <f t="shared" si="149"/>
        <v>0</v>
      </c>
      <c r="AB167" s="338">
        <f t="shared" si="150"/>
        <v>0</v>
      </c>
      <c r="AC167" s="336">
        <f t="shared" si="151"/>
        <v>7865</v>
      </c>
      <c r="AD167" s="337">
        <f t="shared" si="152"/>
        <v>0</v>
      </c>
      <c r="AE167" s="338">
        <f t="shared" si="153"/>
        <v>7865</v>
      </c>
      <c r="AF167" s="336">
        <f t="shared" si="154"/>
        <v>0</v>
      </c>
      <c r="AG167" s="337">
        <f t="shared" si="155"/>
        <v>0</v>
      </c>
      <c r="AH167" s="338">
        <f t="shared" si="156"/>
        <v>0</v>
      </c>
      <c r="AI167" s="336">
        <f t="shared" si="157"/>
        <v>0</v>
      </c>
      <c r="AJ167" s="337">
        <f t="shared" si="158"/>
        <v>0</v>
      </c>
      <c r="AK167" s="338">
        <f t="shared" si="159"/>
        <v>0</v>
      </c>
      <c r="AL167" s="342"/>
      <c r="AM167" s="336">
        <f t="shared" si="160"/>
        <v>7865</v>
      </c>
      <c r="AN167" s="339">
        <f t="shared" si="161"/>
        <v>0</v>
      </c>
      <c r="AO167" s="340">
        <f t="shared" si="162"/>
        <v>7865</v>
      </c>
      <c r="AP167" s="336">
        <f t="shared" si="163"/>
        <v>7865</v>
      </c>
      <c r="AQ167" s="339">
        <f t="shared" si="164"/>
        <v>0</v>
      </c>
      <c r="AR167" s="340">
        <f t="shared" si="165"/>
        <v>7865</v>
      </c>
      <c r="AS167" s="341">
        <f t="shared" si="166"/>
        <v>7865</v>
      </c>
      <c r="AT167" s="339">
        <f t="shared" si="167"/>
        <v>0</v>
      </c>
      <c r="AU167" s="340">
        <f t="shared" si="168"/>
        <v>7865</v>
      </c>
      <c r="AV167" s="1255">
        <f t="shared" si="169"/>
        <v>0</v>
      </c>
      <c r="AW167" s="343"/>
      <c r="AX167" s="1098"/>
      <c r="AY167" s="345"/>
      <c r="AZ167" s="1098"/>
      <c r="BA167" s="345"/>
      <c r="BB167" s="1120"/>
      <c r="BC167" s="1134"/>
      <c r="BD167" s="348"/>
      <c r="BE167" s="1135">
        <v>7865</v>
      </c>
      <c r="BF167" s="348"/>
      <c r="BG167" s="349"/>
      <c r="BH167" s="350"/>
      <c r="BI167" s="351"/>
      <c r="BJ167" s="352"/>
      <c r="BK167" s="337"/>
      <c r="BL167" s="352"/>
      <c r="BM167" s="337"/>
      <c r="BN167" s="353"/>
      <c r="BO167" s="354"/>
      <c r="BP167" s="355"/>
      <c r="BQ167" s="356"/>
      <c r="BR167" s="355"/>
      <c r="BS167" s="356"/>
      <c r="BT167" s="357"/>
    </row>
    <row r="168" spans="1:72" s="313" customFormat="1" ht="51">
      <c r="A168" s="287">
        <v>153</v>
      </c>
      <c r="B168" s="933"/>
      <c r="C168" s="840"/>
      <c r="D168" s="854" t="s">
        <v>807</v>
      </c>
      <c r="E168" s="839"/>
      <c r="F168" s="821" t="s">
        <v>7</v>
      </c>
      <c r="G168" s="314">
        <v>4</v>
      </c>
      <c r="H168" s="739" t="s">
        <v>70</v>
      </c>
      <c r="I168" s="739">
        <v>244</v>
      </c>
      <c r="J168" s="740">
        <v>346</v>
      </c>
      <c r="K168" s="533" t="s">
        <v>811</v>
      </c>
      <c r="L168" s="1025">
        <v>3830</v>
      </c>
      <c r="M168" s="318"/>
      <c r="N168" s="318"/>
      <c r="O168" s="1052">
        <f t="shared" si="147"/>
        <v>3830</v>
      </c>
      <c r="P168" s="570"/>
      <c r="Q168" s="336"/>
      <c r="R168" s="559"/>
      <c r="S168" s="336"/>
      <c r="T168" s="329"/>
      <c r="U168" s="335"/>
      <c r="V168" s="597" t="s">
        <v>570</v>
      </c>
      <c r="W168" s="597" t="s">
        <v>812</v>
      </c>
      <c r="X168" s="320"/>
      <c r="Z168" s="336">
        <f t="shared" si="148"/>
        <v>0</v>
      </c>
      <c r="AA168" s="337">
        <f t="shared" si="149"/>
        <v>0</v>
      </c>
      <c r="AB168" s="338">
        <f t="shared" si="150"/>
        <v>0</v>
      </c>
      <c r="AC168" s="336">
        <f t="shared" si="151"/>
        <v>3830</v>
      </c>
      <c r="AD168" s="337">
        <f t="shared" si="152"/>
        <v>0</v>
      </c>
      <c r="AE168" s="338">
        <f t="shared" si="153"/>
        <v>3830</v>
      </c>
      <c r="AF168" s="336">
        <f t="shared" si="154"/>
        <v>0</v>
      </c>
      <c r="AG168" s="337">
        <f t="shared" si="155"/>
        <v>0</v>
      </c>
      <c r="AH168" s="338">
        <f t="shared" si="156"/>
        <v>0</v>
      </c>
      <c r="AI168" s="336">
        <f t="shared" si="157"/>
        <v>0</v>
      </c>
      <c r="AJ168" s="337">
        <f t="shared" si="158"/>
        <v>0</v>
      </c>
      <c r="AK168" s="338">
        <f t="shared" si="159"/>
        <v>0</v>
      </c>
      <c r="AL168" s="342"/>
      <c r="AM168" s="336">
        <f t="shared" si="160"/>
        <v>3830</v>
      </c>
      <c r="AN168" s="339">
        <f t="shared" si="161"/>
        <v>0</v>
      </c>
      <c r="AO168" s="340">
        <f t="shared" si="162"/>
        <v>3830</v>
      </c>
      <c r="AP168" s="336">
        <f t="shared" si="163"/>
        <v>3830</v>
      </c>
      <c r="AQ168" s="339">
        <f t="shared" si="164"/>
        <v>0</v>
      </c>
      <c r="AR168" s="340">
        <f t="shared" si="165"/>
        <v>3830</v>
      </c>
      <c r="AS168" s="341">
        <f t="shared" si="166"/>
        <v>3830</v>
      </c>
      <c r="AT168" s="339">
        <f t="shared" si="167"/>
        <v>0</v>
      </c>
      <c r="AU168" s="340">
        <f t="shared" si="168"/>
        <v>3830</v>
      </c>
      <c r="AV168" s="1265">
        <f t="shared" si="169"/>
        <v>0</v>
      </c>
      <c r="AW168" s="343"/>
      <c r="AX168" s="1098"/>
      <c r="AY168" s="345"/>
      <c r="AZ168" s="1098"/>
      <c r="BA168" s="345"/>
      <c r="BB168" s="1120"/>
      <c r="BC168" s="347"/>
      <c r="BD168" s="348"/>
      <c r="BE168" s="1135">
        <v>3830</v>
      </c>
      <c r="BF168" s="348"/>
      <c r="BG168" s="349"/>
      <c r="BH168" s="350"/>
      <c r="BI168" s="351"/>
      <c r="BJ168" s="352"/>
      <c r="BK168" s="337"/>
      <c r="BL168" s="352"/>
      <c r="BM168" s="337"/>
      <c r="BN168" s="353"/>
      <c r="BO168" s="354"/>
      <c r="BP168" s="355"/>
      <c r="BQ168" s="356"/>
      <c r="BR168" s="355"/>
      <c r="BS168" s="356"/>
      <c r="BT168" s="357"/>
    </row>
    <row r="169" spans="1:72" s="313" customFormat="1" ht="25.5" outlineLevel="2">
      <c r="A169" s="287">
        <v>154</v>
      </c>
      <c r="B169" s="933"/>
      <c r="C169" s="840"/>
      <c r="D169" s="854" t="s">
        <v>807</v>
      </c>
      <c r="E169" s="839"/>
      <c r="F169" s="821" t="s">
        <v>7</v>
      </c>
      <c r="G169" s="314">
        <v>4</v>
      </c>
      <c r="H169" s="739" t="s">
        <v>70</v>
      </c>
      <c r="I169" s="739">
        <v>244</v>
      </c>
      <c r="J169" s="740">
        <v>346</v>
      </c>
      <c r="K169" s="533" t="s">
        <v>823</v>
      </c>
      <c r="L169" s="1025">
        <v>2100</v>
      </c>
      <c r="M169" s="318"/>
      <c r="N169" s="318"/>
      <c r="O169" s="1052">
        <f t="shared" si="147"/>
        <v>2100</v>
      </c>
      <c r="P169" s="562"/>
      <c r="Q169" s="336"/>
      <c r="R169" s="562"/>
      <c r="S169" s="336"/>
      <c r="T169" s="562"/>
      <c r="U169" s="466"/>
      <c r="V169" s="597" t="s">
        <v>483</v>
      </c>
      <c r="W169" s="597" t="s">
        <v>824</v>
      </c>
      <c r="X169" s="320"/>
      <c r="Z169" s="336">
        <f t="shared" si="148"/>
        <v>0</v>
      </c>
      <c r="AA169" s="337">
        <f t="shared" si="149"/>
        <v>0</v>
      </c>
      <c r="AB169" s="338">
        <f t="shared" si="150"/>
        <v>0</v>
      </c>
      <c r="AC169" s="336">
        <f t="shared" si="151"/>
        <v>2100</v>
      </c>
      <c r="AD169" s="337">
        <f t="shared" si="152"/>
        <v>0</v>
      </c>
      <c r="AE169" s="338">
        <f t="shared" si="153"/>
        <v>2100</v>
      </c>
      <c r="AF169" s="336">
        <f t="shared" si="154"/>
        <v>0</v>
      </c>
      <c r="AG169" s="337">
        <f t="shared" si="155"/>
        <v>0</v>
      </c>
      <c r="AH169" s="338">
        <f t="shared" si="156"/>
        <v>0</v>
      </c>
      <c r="AI169" s="336">
        <f t="shared" si="157"/>
        <v>0</v>
      </c>
      <c r="AJ169" s="337">
        <f t="shared" si="158"/>
        <v>0</v>
      </c>
      <c r="AK169" s="338">
        <f t="shared" si="159"/>
        <v>0</v>
      </c>
      <c r="AL169" s="342"/>
      <c r="AM169" s="336">
        <f t="shared" si="160"/>
        <v>2100</v>
      </c>
      <c r="AN169" s="339">
        <f t="shared" si="161"/>
        <v>0</v>
      </c>
      <c r="AO169" s="340">
        <f t="shared" si="162"/>
        <v>2100</v>
      </c>
      <c r="AP169" s="336">
        <f t="shared" si="163"/>
        <v>2100</v>
      </c>
      <c r="AQ169" s="339">
        <f t="shared" si="164"/>
        <v>0</v>
      </c>
      <c r="AR169" s="340">
        <f t="shared" si="165"/>
        <v>2100</v>
      </c>
      <c r="AS169" s="341">
        <f t="shared" si="166"/>
        <v>2100</v>
      </c>
      <c r="AT169" s="339">
        <f t="shared" si="167"/>
        <v>0</v>
      </c>
      <c r="AU169" s="340">
        <f t="shared" si="168"/>
        <v>2100</v>
      </c>
      <c r="AV169" s="1255">
        <f t="shared" si="169"/>
        <v>0</v>
      </c>
      <c r="AW169" s="343"/>
      <c r="AX169" s="1098"/>
      <c r="AY169" s="345"/>
      <c r="AZ169" s="1098"/>
      <c r="BA169" s="345"/>
      <c r="BB169" s="1120"/>
      <c r="BC169" s="347"/>
      <c r="BD169" s="348"/>
      <c r="BE169" s="1135">
        <v>2100</v>
      </c>
      <c r="BF169" s="348"/>
      <c r="BG169" s="349"/>
      <c r="BH169" s="350"/>
      <c r="BI169" s="351"/>
      <c r="BJ169" s="352"/>
      <c r="BK169" s="337"/>
      <c r="BL169" s="352"/>
      <c r="BM169" s="337"/>
      <c r="BN169" s="353"/>
      <c r="BO169" s="354"/>
      <c r="BP169" s="355"/>
      <c r="BQ169" s="356"/>
      <c r="BR169" s="355"/>
      <c r="BS169" s="356"/>
      <c r="BT169" s="357"/>
    </row>
    <row r="170" spans="1:72" s="313" customFormat="1" ht="63.75" outlineLevel="2">
      <c r="A170" s="287">
        <v>155</v>
      </c>
      <c r="B170" s="933"/>
      <c r="C170" s="840"/>
      <c r="D170" s="854" t="s">
        <v>807</v>
      </c>
      <c r="E170" s="839"/>
      <c r="F170" s="821" t="s">
        <v>7</v>
      </c>
      <c r="G170" s="314">
        <v>4</v>
      </c>
      <c r="H170" s="739" t="s">
        <v>70</v>
      </c>
      <c r="I170" s="739">
        <v>244</v>
      </c>
      <c r="J170" s="740">
        <v>346</v>
      </c>
      <c r="K170" s="533" t="s">
        <v>825</v>
      </c>
      <c r="L170" s="1025">
        <v>798</v>
      </c>
      <c r="M170" s="318"/>
      <c r="N170" s="318"/>
      <c r="O170" s="1052">
        <f t="shared" si="147"/>
        <v>798</v>
      </c>
      <c r="P170" s="562"/>
      <c r="Q170" s="336"/>
      <c r="R170" s="562"/>
      <c r="S170" s="336"/>
      <c r="T170" s="562"/>
      <c r="U170" s="466"/>
      <c r="V170" s="597" t="s">
        <v>502</v>
      </c>
      <c r="W170" s="597" t="s">
        <v>826</v>
      </c>
      <c r="X170" s="320"/>
      <c r="Z170" s="336">
        <f t="shared" si="148"/>
        <v>0</v>
      </c>
      <c r="AA170" s="337">
        <f t="shared" si="149"/>
        <v>0</v>
      </c>
      <c r="AB170" s="338">
        <f t="shared" si="150"/>
        <v>0</v>
      </c>
      <c r="AC170" s="336">
        <f t="shared" si="151"/>
        <v>798</v>
      </c>
      <c r="AD170" s="337">
        <f t="shared" si="152"/>
        <v>0</v>
      </c>
      <c r="AE170" s="338">
        <f t="shared" si="153"/>
        <v>798</v>
      </c>
      <c r="AF170" s="336">
        <f t="shared" si="154"/>
        <v>0</v>
      </c>
      <c r="AG170" s="337">
        <f t="shared" si="155"/>
        <v>0</v>
      </c>
      <c r="AH170" s="338">
        <f t="shared" si="156"/>
        <v>0</v>
      </c>
      <c r="AI170" s="336">
        <f t="shared" si="157"/>
        <v>0</v>
      </c>
      <c r="AJ170" s="337">
        <f t="shared" si="158"/>
        <v>0</v>
      </c>
      <c r="AK170" s="338">
        <f t="shared" si="159"/>
        <v>0</v>
      </c>
      <c r="AL170" s="342"/>
      <c r="AM170" s="336">
        <f t="shared" si="160"/>
        <v>798</v>
      </c>
      <c r="AN170" s="339">
        <f t="shared" si="161"/>
        <v>0</v>
      </c>
      <c r="AO170" s="340">
        <f t="shared" si="162"/>
        <v>798</v>
      </c>
      <c r="AP170" s="336">
        <f t="shared" si="163"/>
        <v>798</v>
      </c>
      <c r="AQ170" s="339">
        <f t="shared" si="164"/>
        <v>0</v>
      </c>
      <c r="AR170" s="340">
        <f t="shared" si="165"/>
        <v>798</v>
      </c>
      <c r="AS170" s="341">
        <f t="shared" si="166"/>
        <v>798</v>
      </c>
      <c r="AT170" s="339">
        <f t="shared" si="167"/>
        <v>0</v>
      </c>
      <c r="AU170" s="340">
        <f t="shared" si="168"/>
        <v>798</v>
      </c>
      <c r="AV170" s="1255">
        <f t="shared" si="169"/>
        <v>0</v>
      </c>
      <c r="AW170" s="343"/>
      <c r="AX170" s="1098"/>
      <c r="AY170" s="345"/>
      <c r="AZ170" s="1098"/>
      <c r="BA170" s="345"/>
      <c r="BB170" s="1120"/>
      <c r="BC170" s="347"/>
      <c r="BD170" s="348"/>
      <c r="BE170" s="1135">
        <v>798</v>
      </c>
      <c r="BF170" s="348"/>
      <c r="BG170" s="349"/>
      <c r="BH170" s="350"/>
      <c r="BI170" s="351"/>
      <c r="BJ170" s="352"/>
      <c r="BK170" s="337"/>
      <c r="BL170" s="352"/>
      <c r="BM170" s="337"/>
      <c r="BN170" s="353"/>
      <c r="BO170" s="354"/>
      <c r="BP170" s="355"/>
      <c r="BQ170" s="356"/>
      <c r="BR170" s="355"/>
      <c r="BS170" s="356"/>
      <c r="BT170" s="357"/>
    </row>
    <row r="171" spans="1:72" s="313" customFormat="1" ht="38.25" outlineLevel="2">
      <c r="A171" s="287">
        <v>156</v>
      </c>
      <c r="B171" s="933"/>
      <c r="C171" s="840"/>
      <c r="D171" s="854" t="s">
        <v>807</v>
      </c>
      <c r="E171" s="839"/>
      <c r="F171" s="821" t="s">
        <v>7</v>
      </c>
      <c r="G171" s="314">
        <v>4</v>
      </c>
      <c r="H171" s="739" t="s">
        <v>70</v>
      </c>
      <c r="I171" s="739">
        <v>244</v>
      </c>
      <c r="J171" s="740">
        <v>346</v>
      </c>
      <c r="K171" s="533" t="s">
        <v>880</v>
      </c>
      <c r="L171" s="1025">
        <v>2009</v>
      </c>
      <c r="M171" s="318"/>
      <c r="N171" s="318"/>
      <c r="O171" s="1052">
        <f t="shared" si="147"/>
        <v>2009</v>
      </c>
      <c r="P171" s="562"/>
      <c r="Q171" s="336"/>
      <c r="R171" s="562"/>
      <c r="S171" s="336"/>
      <c r="T171" s="562"/>
      <c r="U171" s="466"/>
      <c r="V171" s="597" t="s">
        <v>495</v>
      </c>
      <c r="W171" s="597" t="s">
        <v>885</v>
      </c>
      <c r="X171" s="320"/>
      <c r="Z171" s="336">
        <f t="shared" si="148"/>
        <v>0</v>
      </c>
      <c r="AA171" s="337">
        <f t="shared" si="149"/>
        <v>0</v>
      </c>
      <c r="AB171" s="338">
        <f t="shared" si="150"/>
        <v>0</v>
      </c>
      <c r="AC171" s="336">
        <f t="shared" si="151"/>
        <v>2009</v>
      </c>
      <c r="AD171" s="337">
        <f t="shared" si="152"/>
        <v>0</v>
      </c>
      <c r="AE171" s="338">
        <f t="shared" si="153"/>
        <v>2009</v>
      </c>
      <c r="AF171" s="336">
        <f t="shared" si="154"/>
        <v>0</v>
      </c>
      <c r="AG171" s="337">
        <f t="shared" si="155"/>
        <v>0</v>
      </c>
      <c r="AH171" s="338">
        <f t="shared" si="156"/>
        <v>0</v>
      </c>
      <c r="AI171" s="336">
        <f t="shared" si="157"/>
        <v>0</v>
      </c>
      <c r="AJ171" s="337">
        <f t="shared" si="158"/>
        <v>0</v>
      </c>
      <c r="AK171" s="338">
        <f t="shared" si="159"/>
        <v>0</v>
      </c>
      <c r="AL171" s="342"/>
      <c r="AM171" s="336">
        <f t="shared" si="160"/>
        <v>2009</v>
      </c>
      <c r="AN171" s="339">
        <f t="shared" si="161"/>
        <v>0</v>
      </c>
      <c r="AO171" s="340">
        <f t="shared" si="162"/>
        <v>2009</v>
      </c>
      <c r="AP171" s="336">
        <f t="shared" si="163"/>
        <v>2009</v>
      </c>
      <c r="AQ171" s="339">
        <f t="shared" si="164"/>
        <v>0</v>
      </c>
      <c r="AR171" s="340">
        <f t="shared" si="165"/>
        <v>2009</v>
      </c>
      <c r="AS171" s="341">
        <f t="shared" si="166"/>
        <v>2009</v>
      </c>
      <c r="AT171" s="339">
        <f t="shared" si="167"/>
        <v>0</v>
      </c>
      <c r="AU171" s="340">
        <f t="shared" si="168"/>
        <v>2009</v>
      </c>
      <c r="AV171" s="1255">
        <f t="shared" si="169"/>
        <v>0</v>
      </c>
      <c r="AW171" s="343"/>
      <c r="AX171" s="1098"/>
      <c r="AY171" s="345"/>
      <c r="AZ171" s="1098"/>
      <c r="BA171" s="345"/>
      <c r="BB171" s="1120"/>
      <c r="BC171" s="347"/>
      <c r="BD171" s="348"/>
      <c r="BE171" s="1135"/>
      <c r="BF171" s="348"/>
      <c r="BG171" s="1135">
        <v>2009</v>
      </c>
      <c r="BH171" s="350"/>
      <c r="BI171" s="351"/>
      <c r="BJ171" s="352"/>
      <c r="BK171" s="337"/>
      <c r="BL171" s="352"/>
      <c r="BM171" s="337"/>
      <c r="BN171" s="353"/>
      <c r="BO171" s="354"/>
      <c r="BP171" s="355"/>
      <c r="BQ171" s="356"/>
      <c r="BR171" s="355"/>
      <c r="BS171" s="356"/>
      <c r="BT171" s="357"/>
    </row>
    <row r="172" spans="1:72" s="430" customFormat="1" ht="25.5" customHeight="1" outlineLevel="2">
      <c r="A172" s="287">
        <v>157</v>
      </c>
      <c r="B172" s="933"/>
      <c r="C172" s="743"/>
      <c r="D172" s="856" t="s">
        <v>807</v>
      </c>
      <c r="E172" s="857"/>
      <c r="F172" s="827" t="s">
        <v>7</v>
      </c>
      <c r="G172" s="431">
        <v>4</v>
      </c>
      <c r="H172" s="474" t="s">
        <v>70</v>
      </c>
      <c r="I172" s="743">
        <v>244</v>
      </c>
      <c r="J172" s="744">
        <v>346</v>
      </c>
      <c r="K172" s="536" t="s">
        <v>284</v>
      </c>
      <c r="L172" s="1030">
        <v>0</v>
      </c>
      <c r="M172" s="434"/>
      <c r="N172" s="434"/>
      <c r="O172" s="1064">
        <f t="shared" si="147"/>
        <v>0</v>
      </c>
      <c r="P172" s="563"/>
      <c r="Q172" s="437"/>
      <c r="R172" s="563"/>
      <c r="S172" s="437"/>
      <c r="T172" s="563"/>
      <c r="U172" s="467"/>
      <c r="V172" s="436"/>
      <c r="W172" s="436"/>
      <c r="X172" s="436"/>
      <c r="Z172" s="437">
        <f t="shared" si="148"/>
        <v>0</v>
      </c>
      <c r="AA172" s="438">
        <f t="shared" si="149"/>
        <v>0</v>
      </c>
      <c r="AB172" s="439">
        <f t="shared" si="150"/>
        <v>0</v>
      </c>
      <c r="AC172" s="437">
        <f t="shared" si="151"/>
        <v>0</v>
      </c>
      <c r="AD172" s="438">
        <f t="shared" si="152"/>
        <v>0</v>
      </c>
      <c r="AE172" s="439">
        <f t="shared" si="153"/>
        <v>0</v>
      </c>
      <c r="AF172" s="437">
        <f t="shared" si="154"/>
        <v>0</v>
      </c>
      <c r="AG172" s="438">
        <f t="shared" si="155"/>
        <v>0</v>
      </c>
      <c r="AH172" s="439">
        <f t="shared" si="156"/>
        <v>0</v>
      </c>
      <c r="AI172" s="437">
        <f t="shared" si="157"/>
        <v>0</v>
      </c>
      <c r="AJ172" s="438">
        <f t="shared" si="158"/>
        <v>0</v>
      </c>
      <c r="AK172" s="439">
        <f t="shared" si="159"/>
        <v>0</v>
      </c>
      <c r="AL172" s="440"/>
      <c r="AM172" s="437">
        <f t="shared" si="160"/>
        <v>0</v>
      </c>
      <c r="AN172" s="441">
        <f t="shared" si="161"/>
        <v>0</v>
      </c>
      <c r="AO172" s="442">
        <f t="shared" si="162"/>
        <v>0</v>
      </c>
      <c r="AP172" s="437">
        <f t="shared" si="163"/>
        <v>0</v>
      </c>
      <c r="AQ172" s="441">
        <f t="shared" si="164"/>
        <v>0</v>
      </c>
      <c r="AR172" s="442">
        <f t="shared" si="165"/>
        <v>0</v>
      </c>
      <c r="AS172" s="443">
        <f t="shared" si="166"/>
        <v>0</v>
      </c>
      <c r="AT172" s="441">
        <f t="shared" si="167"/>
        <v>0</v>
      </c>
      <c r="AU172" s="442">
        <f t="shared" si="168"/>
        <v>0</v>
      </c>
      <c r="AV172" s="440">
        <f t="shared" si="169"/>
        <v>0</v>
      </c>
      <c r="AW172" s="444"/>
      <c r="AX172" s="1111"/>
      <c r="AY172" s="446"/>
      <c r="AZ172" s="1111"/>
      <c r="BA172" s="446"/>
      <c r="BB172" s="1129"/>
      <c r="BC172" s="448"/>
      <c r="BD172" s="449"/>
      <c r="BE172" s="450"/>
      <c r="BF172" s="449"/>
      <c r="BG172" s="450"/>
      <c r="BH172" s="451"/>
      <c r="BI172" s="452"/>
      <c r="BJ172" s="453"/>
      <c r="BK172" s="438"/>
      <c r="BL172" s="453"/>
      <c r="BM172" s="438"/>
      <c r="BN172" s="454"/>
      <c r="BO172" s="455"/>
      <c r="BP172" s="456"/>
      <c r="BQ172" s="457"/>
      <c r="BR172" s="456"/>
      <c r="BS172" s="457"/>
      <c r="BT172" s="458"/>
    </row>
    <row r="173" spans="1:72" s="459" customFormat="1" ht="66.75" customHeight="1" outlineLevel="1">
      <c r="A173" s="287">
        <v>158</v>
      </c>
      <c r="B173" s="933"/>
      <c r="C173" s="850" t="s">
        <v>378</v>
      </c>
      <c r="D173" s="854" t="s">
        <v>272</v>
      </c>
      <c r="E173" s="855"/>
      <c r="F173" s="826" t="s">
        <v>7</v>
      </c>
      <c r="G173" s="462">
        <v>4</v>
      </c>
      <c r="H173" s="741" t="s">
        <v>70</v>
      </c>
      <c r="I173" s="741">
        <v>244</v>
      </c>
      <c r="J173" s="742">
        <v>346</v>
      </c>
      <c r="K173" s="535" t="s">
        <v>278</v>
      </c>
      <c r="L173" s="1028">
        <f>SUM(L174:L183)</f>
        <v>42522.5</v>
      </c>
      <c r="M173" s="352"/>
      <c r="N173" s="352">
        <f>SUM(N174:N183)</f>
        <v>0</v>
      </c>
      <c r="O173" s="1062">
        <f t="shared" si="147"/>
        <v>42522.5</v>
      </c>
      <c r="P173" s="561"/>
      <c r="Q173" s="464"/>
      <c r="R173" s="561"/>
      <c r="S173" s="464"/>
      <c r="T173" s="561"/>
      <c r="U173" s="393"/>
      <c r="V173" s="394"/>
      <c r="W173" s="394"/>
      <c r="X173" s="394"/>
      <c r="Y173" s="392"/>
      <c r="Z173" s="395">
        <f t="shared" si="148"/>
        <v>0</v>
      </c>
      <c r="AA173" s="396">
        <f t="shared" si="149"/>
        <v>0</v>
      </c>
      <c r="AB173" s="397">
        <f t="shared" si="150"/>
        <v>0</v>
      </c>
      <c r="AC173" s="395">
        <f t="shared" si="151"/>
        <v>15750.4</v>
      </c>
      <c r="AD173" s="396">
        <f t="shared" si="152"/>
        <v>0</v>
      </c>
      <c r="AE173" s="397">
        <f t="shared" si="153"/>
        <v>15750.4</v>
      </c>
      <c r="AF173" s="395">
        <f t="shared" si="154"/>
        <v>26772.1</v>
      </c>
      <c r="AG173" s="396">
        <f t="shared" si="155"/>
        <v>0</v>
      </c>
      <c r="AH173" s="397">
        <f t="shared" si="156"/>
        <v>26772.1</v>
      </c>
      <c r="AI173" s="395">
        <f t="shared" si="157"/>
        <v>0</v>
      </c>
      <c r="AJ173" s="396">
        <f t="shared" si="158"/>
        <v>0</v>
      </c>
      <c r="AK173" s="397">
        <f t="shared" si="159"/>
        <v>0</v>
      </c>
      <c r="AL173" s="398"/>
      <c r="AM173" s="464">
        <f t="shared" si="160"/>
        <v>15750.4</v>
      </c>
      <c r="AN173" s="352">
        <f t="shared" si="161"/>
        <v>0</v>
      </c>
      <c r="AO173" s="465">
        <f t="shared" si="162"/>
        <v>15750.4</v>
      </c>
      <c r="AP173" s="464">
        <f t="shared" si="163"/>
        <v>42522.5</v>
      </c>
      <c r="AQ173" s="352">
        <f t="shared" si="164"/>
        <v>0</v>
      </c>
      <c r="AR173" s="465">
        <f t="shared" si="165"/>
        <v>42522.5</v>
      </c>
      <c r="AS173" s="464">
        <f t="shared" si="166"/>
        <v>42522.5</v>
      </c>
      <c r="AT173" s="352">
        <f t="shared" si="167"/>
        <v>0</v>
      </c>
      <c r="AU173" s="465">
        <f t="shared" si="168"/>
        <v>42522.5</v>
      </c>
      <c r="AV173" s="1261">
        <f t="shared" si="169"/>
        <v>0</v>
      </c>
      <c r="AW173" s="464">
        <f t="shared" ref="AW173:BT173" si="171">SUM(AW174:AW183)</f>
        <v>0</v>
      </c>
      <c r="AX173" s="1110">
        <f t="shared" si="171"/>
        <v>0</v>
      </c>
      <c r="AY173" s="352">
        <f t="shared" si="171"/>
        <v>0</v>
      </c>
      <c r="AZ173" s="1110">
        <f t="shared" si="171"/>
        <v>0</v>
      </c>
      <c r="BA173" s="352">
        <f t="shared" si="171"/>
        <v>0</v>
      </c>
      <c r="BB173" s="1128">
        <f t="shared" si="171"/>
        <v>0</v>
      </c>
      <c r="BC173" s="464">
        <f t="shared" si="171"/>
        <v>0</v>
      </c>
      <c r="BD173" s="352">
        <f t="shared" si="171"/>
        <v>0</v>
      </c>
      <c r="BE173" s="352">
        <f t="shared" si="171"/>
        <v>0</v>
      </c>
      <c r="BF173" s="352">
        <f t="shared" si="171"/>
        <v>0</v>
      </c>
      <c r="BG173" s="352">
        <f t="shared" si="171"/>
        <v>15750.4</v>
      </c>
      <c r="BH173" s="353">
        <f t="shared" si="171"/>
        <v>0</v>
      </c>
      <c r="BI173" s="464">
        <f t="shared" si="171"/>
        <v>4063</v>
      </c>
      <c r="BJ173" s="352">
        <f t="shared" si="171"/>
        <v>0</v>
      </c>
      <c r="BK173" s="352">
        <f t="shared" si="171"/>
        <v>11709.1</v>
      </c>
      <c r="BL173" s="352">
        <f t="shared" si="171"/>
        <v>0</v>
      </c>
      <c r="BM173" s="352">
        <f t="shared" si="171"/>
        <v>11000</v>
      </c>
      <c r="BN173" s="353">
        <f t="shared" si="171"/>
        <v>0</v>
      </c>
      <c r="BO173" s="464">
        <f t="shared" si="171"/>
        <v>0</v>
      </c>
      <c r="BP173" s="352">
        <f t="shared" si="171"/>
        <v>0</v>
      </c>
      <c r="BQ173" s="352">
        <f t="shared" si="171"/>
        <v>0</v>
      </c>
      <c r="BR173" s="352">
        <f t="shared" si="171"/>
        <v>0</v>
      </c>
      <c r="BS173" s="352">
        <f t="shared" si="171"/>
        <v>0</v>
      </c>
      <c r="BT173" s="465">
        <f t="shared" si="171"/>
        <v>0</v>
      </c>
    </row>
    <row r="174" spans="1:72" s="313" customFormat="1" ht="25.5" customHeight="1" outlineLevel="2">
      <c r="A174" s="287">
        <v>159</v>
      </c>
      <c r="B174" s="933"/>
      <c r="C174" s="840"/>
      <c r="D174" s="841" t="s">
        <v>272</v>
      </c>
      <c r="E174" s="839"/>
      <c r="F174" s="821" t="s">
        <v>7</v>
      </c>
      <c r="G174" s="314">
        <v>4</v>
      </c>
      <c r="H174" s="739" t="s">
        <v>70</v>
      </c>
      <c r="I174" s="739">
        <v>244</v>
      </c>
      <c r="J174" s="740">
        <v>346</v>
      </c>
      <c r="K174" s="1005" t="s">
        <v>833</v>
      </c>
      <c r="L174" s="1031">
        <f>27459.5+4063+6000+5000-SUM(L175:L183)</f>
        <v>0</v>
      </c>
      <c r="M174" s="318"/>
      <c r="N174" s="318"/>
      <c r="O174" s="1055">
        <f t="shared" si="147"/>
        <v>0</v>
      </c>
      <c r="P174" s="562"/>
      <c r="Q174" s="336"/>
      <c r="R174" s="562"/>
      <c r="S174" s="336"/>
      <c r="T174" s="562"/>
      <c r="U174" s="466"/>
      <c r="V174" s="320"/>
      <c r="W174" s="320"/>
      <c r="X174" s="320"/>
      <c r="Z174" s="336">
        <f t="shared" si="148"/>
        <v>0</v>
      </c>
      <c r="AA174" s="337">
        <f t="shared" si="149"/>
        <v>0</v>
      </c>
      <c r="AB174" s="338">
        <f t="shared" si="150"/>
        <v>0</v>
      </c>
      <c r="AC174" s="336">
        <f t="shared" si="151"/>
        <v>0</v>
      </c>
      <c r="AD174" s="337">
        <f t="shared" si="152"/>
        <v>0</v>
      </c>
      <c r="AE174" s="338">
        <f t="shared" si="153"/>
        <v>0</v>
      </c>
      <c r="AF174" s="336">
        <f t="shared" si="154"/>
        <v>0</v>
      </c>
      <c r="AG174" s="337">
        <f t="shared" si="155"/>
        <v>0</v>
      </c>
      <c r="AH174" s="338">
        <f t="shared" si="156"/>
        <v>0</v>
      </c>
      <c r="AI174" s="336">
        <f t="shared" si="157"/>
        <v>0</v>
      </c>
      <c r="AJ174" s="337">
        <f t="shared" si="158"/>
        <v>0</v>
      </c>
      <c r="AK174" s="338">
        <f t="shared" si="159"/>
        <v>0</v>
      </c>
      <c r="AL174" s="342"/>
      <c r="AM174" s="336">
        <f t="shared" si="160"/>
        <v>0</v>
      </c>
      <c r="AN174" s="339">
        <f t="shared" si="161"/>
        <v>0</v>
      </c>
      <c r="AO174" s="340">
        <f t="shared" si="162"/>
        <v>0</v>
      </c>
      <c r="AP174" s="336">
        <f t="shared" si="163"/>
        <v>0</v>
      </c>
      <c r="AQ174" s="339">
        <f t="shared" si="164"/>
        <v>0</v>
      </c>
      <c r="AR174" s="340">
        <f t="shared" si="165"/>
        <v>0</v>
      </c>
      <c r="AS174" s="341">
        <f t="shared" si="166"/>
        <v>0</v>
      </c>
      <c r="AT174" s="339">
        <f t="shared" si="167"/>
        <v>0</v>
      </c>
      <c r="AU174" s="340">
        <f t="shared" si="168"/>
        <v>0</v>
      </c>
      <c r="AV174" s="1255">
        <f t="shared" si="169"/>
        <v>0</v>
      </c>
      <c r="AW174" s="343"/>
      <c r="AX174" s="1098"/>
      <c r="AY174" s="345"/>
      <c r="AZ174" s="1098"/>
      <c r="BA174" s="345"/>
      <c r="BB174" s="1120"/>
      <c r="BC174" s="347"/>
      <c r="BD174" s="348"/>
      <c r="BE174" s="349"/>
      <c r="BF174" s="348"/>
      <c r="BG174" s="349"/>
      <c r="BH174" s="350"/>
      <c r="BI174" s="351"/>
      <c r="BJ174" s="352"/>
      <c r="BK174" s="337"/>
      <c r="BL174" s="352"/>
      <c r="BM174" s="337"/>
      <c r="BN174" s="353"/>
      <c r="BO174" s="354"/>
      <c r="BP174" s="355"/>
      <c r="BQ174" s="356"/>
      <c r="BR174" s="355"/>
      <c r="BS174" s="356"/>
      <c r="BT174" s="357"/>
    </row>
    <row r="175" spans="1:72" s="313" customFormat="1" ht="25.5" customHeight="1" outlineLevel="2">
      <c r="A175" s="287">
        <v>160</v>
      </c>
      <c r="B175" s="933"/>
      <c r="C175" s="840"/>
      <c r="D175" s="841" t="s">
        <v>272</v>
      </c>
      <c r="E175" s="839"/>
      <c r="F175" s="821" t="s">
        <v>7</v>
      </c>
      <c r="G175" s="314">
        <v>4</v>
      </c>
      <c r="H175" s="739" t="s">
        <v>70</v>
      </c>
      <c r="I175" s="739">
        <v>244</v>
      </c>
      <c r="J175" s="740">
        <v>346</v>
      </c>
      <c r="K175" s="533" t="s">
        <v>834</v>
      </c>
      <c r="L175" s="1025">
        <v>9320</v>
      </c>
      <c r="M175" s="318"/>
      <c r="N175" s="318"/>
      <c r="O175" s="1052">
        <f t="shared" si="147"/>
        <v>9320</v>
      </c>
      <c r="P175" s="562"/>
      <c r="Q175" s="336"/>
      <c r="R175" s="562"/>
      <c r="S175" s="336"/>
      <c r="T175" s="562"/>
      <c r="U175" s="466"/>
      <c r="V175" s="597" t="s">
        <v>555</v>
      </c>
      <c r="W175" s="597" t="s">
        <v>854</v>
      </c>
      <c r="X175" s="597" t="s">
        <v>855</v>
      </c>
      <c r="Z175" s="336">
        <f t="shared" si="148"/>
        <v>0</v>
      </c>
      <c r="AA175" s="337">
        <f t="shared" si="149"/>
        <v>0</v>
      </c>
      <c r="AB175" s="338">
        <f t="shared" si="150"/>
        <v>0</v>
      </c>
      <c r="AC175" s="336">
        <f t="shared" si="151"/>
        <v>9320</v>
      </c>
      <c r="AD175" s="337">
        <f t="shared" si="152"/>
        <v>0</v>
      </c>
      <c r="AE175" s="338">
        <f t="shared" si="153"/>
        <v>9320</v>
      </c>
      <c r="AF175" s="336">
        <f t="shared" si="154"/>
        <v>0</v>
      </c>
      <c r="AG175" s="337">
        <f t="shared" si="155"/>
        <v>0</v>
      </c>
      <c r="AH175" s="338">
        <f t="shared" si="156"/>
        <v>0</v>
      </c>
      <c r="AI175" s="336">
        <f t="shared" si="157"/>
        <v>0</v>
      </c>
      <c r="AJ175" s="337">
        <f t="shared" si="158"/>
        <v>0</v>
      </c>
      <c r="AK175" s="338">
        <f t="shared" si="159"/>
        <v>0</v>
      </c>
      <c r="AL175" s="342"/>
      <c r="AM175" s="336">
        <f t="shared" si="160"/>
        <v>9320</v>
      </c>
      <c r="AN175" s="339">
        <f t="shared" si="161"/>
        <v>0</v>
      </c>
      <c r="AO175" s="340">
        <f t="shared" si="162"/>
        <v>9320</v>
      </c>
      <c r="AP175" s="336">
        <f t="shared" si="163"/>
        <v>9320</v>
      </c>
      <c r="AQ175" s="339">
        <f t="shared" si="164"/>
        <v>0</v>
      </c>
      <c r="AR175" s="340">
        <f t="shared" si="165"/>
        <v>9320</v>
      </c>
      <c r="AS175" s="341">
        <f t="shared" si="166"/>
        <v>9320</v>
      </c>
      <c r="AT175" s="339">
        <f t="shared" si="167"/>
        <v>0</v>
      </c>
      <c r="AU175" s="340">
        <f t="shared" si="168"/>
        <v>9320</v>
      </c>
      <c r="AV175" s="1255">
        <f t="shared" si="169"/>
        <v>0</v>
      </c>
      <c r="AW175" s="343"/>
      <c r="AX175" s="1098"/>
      <c r="AY175" s="345"/>
      <c r="AZ175" s="1098"/>
      <c r="BA175" s="345"/>
      <c r="BB175" s="1120"/>
      <c r="BC175" s="347"/>
      <c r="BD175" s="348"/>
      <c r="BE175" s="349"/>
      <c r="BF175" s="348"/>
      <c r="BG175" s="1135">
        <v>9320</v>
      </c>
      <c r="BH175" s="350"/>
      <c r="BI175" s="351"/>
      <c r="BJ175" s="352"/>
      <c r="BK175" s="337"/>
      <c r="BL175" s="352"/>
      <c r="BM175" s="337"/>
      <c r="BN175" s="353"/>
      <c r="BO175" s="354"/>
      <c r="BP175" s="355"/>
      <c r="BQ175" s="356"/>
      <c r="BR175" s="355"/>
      <c r="BS175" s="356"/>
      <c r="BT175" s="357"/>
    </row>
    <row r="176" spans="1:72" s="313" customFormat="1" ht="25.5" customHeight="1" outlineLevel="2">
      <c r="A176" s="287">
        <v>161</v>
      </c>
      <c r="B176" s="933"/>
      <c r="C176" s="840"/>
      <c r="D176" s="841" t="s">
        <v>272</v>
      </c>
      <c r="E176" s="839"/>
      <c r="F176" s="821" t="s">
        <v>7</v>
      </c>
      <c r="G176" s="314">
        <v>4</v>
      </c>
      <c r="H176" s="739" t="s">
        <v>70</v>
      </c>
      <c r="I176" s="739">
        <v>244</v>
      </c>
      <c r="J176" s="740">
        <v>346</v>
      </c>
      <c r="K176" s="533" t="s">
        <v>823</v>
      </c>
      <c r="L176" s="1025">
        <v>2254</v>
      </c>
      <c r="M176" s="318"/>
      <c r="N176" s="318"/>
      <c r="O176" s="1052">
        <f t="shared" si="147"/>
        <v>2254</v>
      </c>
      <c r="P176" s="562"/>
      <c r="Q176" s="336"/>
      <c r="R176" s="562"/>
      <c r="S176" s="336"/>
      <c r="T176" s="562"/>
      <c r="U176" s="466"/>
      <c r="V176" s="597" t="s">
        <v>984</v>
      </c>
      <c r="W176" s="597" t="s">
        <v>869</v>
      </c>
      <c r="X176" s="320"/>
      <c r="Z176" s="336">
        <f t="shared" si="148"/>
        <v>0</v>
      </c>
      <c r="AA176" s="337">
        <f t="shared" si="149"/>
        <v>0</v>
      </c>
      <c r="AB176" s="338">
        <f t="shared" si="150"/>
        <v>0</v>
      </c>
      <c r="AC176" s="336">
        <f t="shared" si="151"/>
        <v>2254</v>
      </c>
      <c r="AD176" s="337">
        <f t="shared" si="152"/>
        <v>0</v>
      </c>
      <c r="AE176" s="338">
        <f t="shared" si="153"/>
        <v>2254</v>
      </c>
      <c r="AF176" s="336">
        <f t="shared" si="154"/>
        <v>0</v>
      </c>
      <c r="AG176" s="337">
        <f t="shared" si="155"/>
        <v>0</v>
      </c>
      <c r="AH176" s="338">
        <f t="shared" si="156"/>
        <v>0</v>
      </c>
      <c r="AI176" s="336">
        <f t="shared" si="157"/>
        <v>0</v>
      </c>
      <c r="AJ176" s="337">
        <f t="shared" si="158"/>
        <v>0</v>
      </c>
      <c r="AK176" s="338">
        <f t="shared" si="159"/>
        <v>0</v>
      </c>
      <c r="AL176" s="342"/>
      <c r="AM176" s="336">
        <f t="shared" si="160"/>
        <v>2254</v>
      </c>
      <c r="AN176" s="339">
        <f t="shared" si="161"/>
        <v>0</v>
      </c>
      <c r="AO176" s="340">
        <f t="shared" si="162"/>
        <v>2254</v>
      </c>
      <c r="AP176" s="336">
        <f t="shared" si="163"/>
        <v>2254</v>
      </c>
      <c r="AQ176" s="339">
        <f t="shared" si="164"/>
        <v>0</v>
      </c>
      <c r="AR176" s="340">
        <f t="shared" si="165"/>
        <v>2254</v>
      </c>
      <c r="AS176" s="341">
        <f t="shared" si="166"/>
        <v>2254</v>
      </c>
      <c r="AT176" s="339">
        <f t="shared" si="167"/>
        <v>0</v>
      </c>
      <c r="AU176" s="340">
        <f t="shared" si="168"/>
        <v>2254</v>
      </c>
      <c r="AV176" s="1255">
        <f t="shared" si="169"/>
        <v>0</v>
      </c>
      <c r="AW176" s="343"/>
      <c r="AX176" s="1098"/>
      <c r="AY176" s="345"/>
      <c r="AZ176" s="1098"/>
      <c r="BA176" s="345"/>
      <c r="BB176" s="1120"/>
      <c r="BC176" s="347"/>
      <c r="BD176" s="348"/>
      <c r="BE176" s="349"/>
      <c r="BF176" s="348"/>
      <c r="BG176" s="1135">
        <v>2254</v>
      </c>
      <c r="BH176" s="350"/>
      <c r="BI176" s="351"/>
      <c r="BJ176" s="352"/>
      <c r="BK176" s="337"/>
      <c r="BL176" s="352"/>
      <c r="BM176" s="337"/>
      <c r="BN176" s="353"/>
      <c r="BO176" s="354"/>
      <c r="BP176" s="355"/>
      <c r="BQ176" s="356"/>
      <c r="BR176" s="355"/>
      <c r="BS176" s="356"/>
      <c r="BT176" s="357"/>
    </row>
    <row r="177" spans="1:72" s="313" customFormat="1" ht="25.5" customHeight="1" outlineLevel="2">
      <c r="A177" s="287">
        <v>162</v>
      </c>
      <c r="B177" s="933"/>
      <c r="C177" s="840"/>
      <c r="D177" s="841" t="s">
        <v>272</v>
      </c>
      <c r="E177" s="839"/>
      <c r="F177" s="821" t="s">
        <v>7</v>
      </c>
      <c r="G177" s="314">
        <v>4</v>
      </c>
      <c r="H177" s="739" t="s">
        <v>70</v>
      </c>
      <c r="I177" s="739">
        <v>244</v>
      </c>
      <c r="J177" s="740">
        <v>346</v>
      </c>
      <c r="K177" s="533" t="s">
        <v>881</v>
      </c>
      <c r="L177" s="1025">
        <v>1865.4</v>
      </c>
      <c r="M177" s="318"/>
      <c r="N177" s="318"/>
      <c r="O177" s="1052">
        <f t="shared" si="147"/>
        <v>1865.4</v>
      </c>
      <c r="P177" s="562"/>
      <c r="Q177" s="336"/>
      <c r="R177" s="562"/>
      <c r="S177" s="336"/>
      <c r="T177" s="562"/>
      <c r="U177" s="466"/>
      <c r="V177" s="597" t="s">
        <v>730</v>
      </c>
      <c r="W177" s="597" t="s">
        <v>882</v>
      </c>
      <c r="X177" s="320"/>
      <c r="Z177" s="336">
        <f t="shared" si="148"/>
        <v>0</v>
      </c>
      <c r="AA177" s="337">
        <f t="shared" si="149"/>
        <v>0</v>
      </c>
      <c r="AB177" s="338">
        <f t="shared" si="150"/>
        <v>0</v>
      </c>
      <c r="AC177" s="336">
        <f t="shared" si="151"/>
        <v>1865.4</v>
      </c>
      <c r="AD177" s="337">
        <f t="shared" si="152"/>
        <v>0</v>
      </c>
      <c r="AE177" s="338">
        <f t="shared" si="153"/>
        <v>1865.4</v>
      </c>
      <c r="AF177" s="336">
        <f t="shared" si="154"/>
        <v>0</v>
      </c>
      <c r="AG177" s="337">
        <f t="shared" si="155"/>
        <v>0</v>
      </c>
      <c r="AH177" s="338">
        <f t="shared" si="156"/>
        <v>0</v>
      </c>
      <c r="AI177" s="336">
        <f t="shared" si="157"/>
        <v>0</v>
      </c>
      <c r="AJ177" s="337">
        <f t="shared" si="158"/>
        <v>0</v>
      </c>
      <c r="AK177" s="338">
        <f t="shared" si="159"/>
        <v>0</v>
      </c>
      <c r="AL177" s="342"/>
      <c r="AM177" s="336">
        <f t="shared" si="160"/>
        <v>1865.4</v>
      </c>
      <c r="AN177" s="339">
        <f t="shared" si="161"/>
        <v>0</v>
      </c>
      <c r="AO177" s="340">
        <f t="shared" si="162"/>
        <v>1865.4</v>
      </c>
      <c r="AP177" s="336">
        <f t="shared" si="163"/>
        <v>1865.4</v>
      </c>
      <c r="AQ177" s="339">
        <f t="shared" si="164"/>
        <v>0</v>
      </c>
      <c r="AR177" s="340">
        <f t="shared" si="165"/>
        <v>1865.4</v>
      </c>
      <c r="AS177" s="341">
        <f t="shared" si="166"/>
        <v>1865.4</v>
      </c>
      <c r="AT177" s="339">
        <f t="shared" si="167"/>
        <v>0</v>
      </c>
      <c r="AU177" s="340">
        <f t="shared" si="168"/>
        <v>1865.4</v>
      </c>
      <c r="AV177" s="1255">
        <f t="shared" si="169"/>
        <v>0</v>
      </c>
      <c r="AW177" s="343"/>
      <c r="AX177" s="1098"/>
      <c r="AY177" s="345"/>
      <c r="AZ177" s="1098"/>
      <c r="BA177" s="345"/>
      <c r="BB177" s="1120"/>
      <c r="BC177" s="347"/>
      <c r="BD177" s="348"/>
      <c r="BE177" s="349"/>
      <c r="BF177" s="348"/>
      <c r="BG177" s="1135">
        <v>1865.4</v>
      </c>
      <c r="BH177" s="350"/>
      <c r="BI177" s="351"/>
      <c r="BJ177" s="352"/>
      <c r="BK177" s="337"/>
      <c r="BL177" s="352"/>
      <c r="BM177" s="337"/>
      <c r="BN177" s="353"/>
      <c r="BO177" s="354"/>
      <c r="BP177" s="355"/>
      <c r="BQ177" s="356"/>
      <c r="BR177" s="355"/>
      <c r="BS177" s="356"/>
      <c r="BT177" s="357"/>
    </row>
    <row r="178" spans="1:72" s="313" customFormat="1" ht="38.25" outlineLevel="2">
      <c r="A178" s="287">
        <v>163</v>
      </c>
      <c r="B178" s="933"/>
      <c r="C178" s="840"/>
      <c r="D178" s="841" t="s">
        <v>272</v>
      </c>
      <c r="E178" s="839"/>
      <c r="F178" s="821" t="s">
        <v>7</v>
      </c>
      <c r="G178" s="314">
        <v>4</v>
      </c>
      <c r="H178" s="739" t="s">
        <v>70</v>
      </c>
      <c r="I178" s="739">
        <v>244</v>
      </c>
      <c r="J178" s="740">
        <v>346</v>
      </c>
      <c r="K178" s="533" t="s">
        <v>883</v>
      </c>
      <c r="L178" s="1025">
        <v>2311</v>
      </c>
      <c r="M178" s="318"/>
      <c r="N178" s="318"/>
      <c r="O178" s="1052">
        <f t="shared" si="147"/>
        <v>2311</v>
      </c>
      <c r="P178" s="562"/>
      <c r="Q178" s="336"/>
      <c r="R178" s="562"/>
      <c r="S178" s="336"/>
      <c r="T178" s="562"/>
      <c r="U178" s="466"/>
      <c r="V178" s="597" t="s">
        <v>495</v>
      </c>
      <c r="W178" s="597" t="s">
        <v>884</v>
      </c>
      <c r="X178" s="320"/>
      <c r="Z178" s="336">
        <f t="shared" si="148"/>
        <v>0</v>
      </c>
      <c r="AA178" s="337">
        <f t="shared" si="149"/>
        <v>0</v>
      </c>
      <c r="AB178" s="338">
        <f t="shared" si="150"/>
        <v>0</v>
      </c>
      <c r="AC178" s="336">
        <f t="shared" si="151"/>
        <v>2311</v>
      </c>
      <c r="AD178" s="337">
        <f t="shared" si="152"/>
        <v>0</v>
      </c>
      <c r="AE178" s="338">
        <f t="shared" si="153"/>
        <v>2311</v>
      </c>
      <c r="AF178" s="336">
        <f t="shared" si="154"/>
        <v>0</v>
      </c>
      <c r="AG178" s="337">
        <f t="shared" si="155"/>
        <v>0</v>
      </c>
      <c r="AH178" s="338">
        <f t="shared" si="156"/>
        <v>0</v>
      </c>
      <c r="AI178" s="336">
        <f t="shared" si="157"/>
        <v>0</v>
      </c>
      <c r="AJ178" s="337">
        <f t="shared" si="158"/>
        <v>0</v>
      </c>
      <c r="AK178" s="338">
        <f t="shared" si="159"/>
        <v>0</v>
      </c>
      <c r="AL178" s="342"/>
      <c r="AM178" s="336">
        <f t="shared" si="160"/>
        <v>2311</v>
      </c>
      <c r="AN178" s="339">
        <f t="shared" si="161"/>
        <v>0</v>
      </c>
      <c r="AO178" s="340">
        <f t="shared" si="162"/>
        <v>2311</v>
      </c>
      <c r="AP178" s="336">
        <f t="shared" si="163"/>
        <v>2311</v>
      </c>
      <c r="AQ178" s="339">
        <f t="shared" si="164"/>
        <v>0</v>
      </c>
      <c r="AR178" s="340">
        <f t="shared" si="165"/>
        <v>2311</v>
      </c>
      <c r="AS178" s="341">
        <f t="shared" si="166"/>
        <v>2311</v>
      </c>
      <c r="AT178" s="339">
        <f t="shared" si="167"/>
        <v>0</v>
      </c>
      <c r="AU178" s="340">
        <f t="shared" si="168"/>
        <v>2311</v>
      </c>
      <c r="AV178" s="1255">
        <f t="shared" si="169"/>
        <v>0</v>
      </c>
      <c r="AW178" s="343"/>
      <c r="AX178" s="1098"/>
      <c r="AY178" s="345"/>
      <c r="AZ178" s="1098"/>
      <c r="BA178" s="345"/>
      <c r="BB178" s="1120"/>
      <c r="BC178" s="347"/>
      <c r="BD178" s="348"/>
      <c r="BE178" s="349"/>
      <c r="BF178" s="348"/>
      <c r="BG178" s="1135">
        <v>2311</v>
      </c>
      <c r="BH178" s="350"/>
      <c r="BI178" s="351"/>
      <c r="BJ178" s="352"/>
      <c r="BK178" s="337"/>
      <c r="BL178" s="352"/>
      <c r="BM178" s="337"/>
      <c r="BN178" s="353"/>
      <c r="BO178" s="354"/>
      <c r="BP178" s="355"/>
      <c r="BQ178" s="356"/>
      <c r="BR178" s="355"/>
      <c r="BS178" s="356"/>
      <c r="BT178" s="357"/>
    </row>
    <row r="179" spans="1:72" s="313" customFormat="1" ht="51" outlineLevel="2">
      <c r="A179" s="287">
        <v>164</v>
      </c>
      <c r="B179" s="933"/>
      <c r="C179" s="840"/>
      <c r="D179" s="841" t="s">
        <v>272</v>
      </c>
      <c r="E179" s="839"/>
      <c r="F179" s="821" t="s">
        <v>7</v>
      </c>
      <c r="G179" s="314">
        <v>4</v>
      </c>
      <c r="H179" s="739" t="s">
        <v>70</v>
      </c>
      <c r="I179" s="739">
        <v>244</v>
      </c>
      <c r="J179" s="740">
        <v>346</v>
      </c>
      <c r="K179" s="533" t="s">
        <v>888</v>
      </c>
      <c r="L179" s="1025">
        <v>4063</v>
      </c>
      <c r="M179" s="318"/>
      <c r="N179" s="318"/>
      <c r="O179" s="1052">
        <f t="shared" si="147"/>
        <v>4063</v>
      </c>
      <c r="P179" s="562"/>
      <c r="Q179" s="336"/>
      <c r="R179" s="562"/>
      <c r="S179" s="336"/>
      <c r="T179" s="562"/>
      <c r="U179" s="466"/>
      <c r="V179" s="597" t="s">
        <v>886</v>
      </c>
      <c r="W179" s="597" t="s">
        <v>887</v>
      </c>
      <c r="X179" s="320"/>
      <c r="Z179" s="336">
        <f t="shared" si="148"/>
        <v>0</v>
      </c>
      <c r="AA179" s="337">
        <f t="shared" si="149"/>
        <v>0</v>
      </c>
      <c r="AB179" s="338">
        <f t="shared" si="150"/>
        <v>0</v>
      </c>
      <c r="AC179" s="336">
        <f t="shared" si="151"/>
        <v>0</v>
      </c>
      <c r="AD179" s="337">
        <f t="shared" si="152"/>
        <v>0</v>
      </c>
      <c r="AE179" s="338">
        <f t="shared" si="153"/>
        <v>0</v>
      </c>
      <c r="AF179" s="336">
        <f t="shared" si="154"/>
        <v>4063</v>
      </c>
      <c r="AG179" s="337">
        <f t="shared" si="155"/>
        <v>0</v>
      </c>
      <c r="AH179" s="338">
        <f t="shared" si="156"/>
        <v>4063</v>
      </c>
      <c r="AI179" s="336">
        <f t="shared" si="157"/>
        <v>0</v>
      </c>
      <c r="AJ179" s="337">
        <f t="shared" si="158"/>
        <v>0</v>
      </c>
      <c r="AK179" s="338">
        <f t="shared" si="159"/>
        <v>0</v>
      </c>
      <c r="AL179" s="342"/>
      <c r="AM179" s="336">
        <f t="shared" si="160"/>
        <v>0</v>
      </c>
      <c r="AN179" s="339">
        <f t="shared" si="161"/>
        <v>0</v>
      </c>
      <c r="AO179" s="340">
        <f t="shared" si="162"/>
        <v>0</v>
      </c>
      <c r="AP179" s="336">
        <f t="shared" si="163"/>
        <v>4063</v>
      </c>
      <c r="AQ179" s="339">
        <f t="shared" si="164"/>
        <v>0</v>
      </c>
      <c r="AR179" s="340">
        <f t="shared" si="165"/>
        <v>4063</v>
      </c>
      <c r="AS179" s="341">
        <f t="shared" si="166"/>
        <v>4063</v>
      </c>
      <c r="AT179" s="339">
        <f t="shared" si="167"/>
        <v>0</v>
      </c>
      <c r="AU179" s="340">
        <f t="shared" si="168"/>
        <v>4063</v>
      </c>
      <c r="AV179" s="1255">
        <f t="shared" si="169"/>
        <v>0</v>
      </c>
      <c r="AW179" s="343"/>
      <c r="AX179" s="1098"/>
      <c r="AY179" s="345"/>
      <c r="AZ179" s="1098"/>
      <c r="BA179" s="345"/>
      <c r="BB179" s="1120"/>
      <c r="BC179" s="347"/>
      <c r="BD179" s="348"/>
      <c r="BE179" s="349"/>
      <c r="BF179" s="348"/>
      <c r="BG179" s="1135"/>
      <c r="BH179" s="350"/>
      <c r="BI179" s="1136">
        <v>4063</v>
      </c>
      <c r="BJ179" s="352"/>
      <c r="BK179" s="337"/>
      <c r="BL179" s="352"/>
      <c r="BM179" s="337"/>
      <c r="BN179" s="353"/>
      <c r="BO179" s="354"/>
      <c r="BP179" s="355"/>
      <c r="BQ179" s="356"/>
      <c r="BR179" s="355"/>
      <c r="BS179" s="356"/>
      <c r="BT179" s="357"/>
    </row>
    <row r="180" spans="1:72" s="313" customFormat="1" ht="25.5" outlineLevel="2">
      <c r="A180" s="287">
        <v>165</v>
      </c>
      <c r="C180" s="840"/>
      <c r="D180" s="841" t="s">
        <v>272</v>
      </c>
      <c r="E180" s="839"/>
      <c r="F180" s="821" t="s">
        <v>7</v>
      </c>
      <c r="G180" s="314">
        <v>4</v>
      </c>
      <c r="H180" s="739" t="s">
        <v>70</v>
      </c>
      <c r="I180" s="739">
        <v>244</v>
      </c>
      <c r="J180" s="740">
        <v>346</v>
      </c>
      <c r="K180" s="533" t="s">
        <v>895</v>
      </c>
      <c r="L180" s="1025">
        <v>11709.1</v>
      </c>
      <c r="M180" s="318"/>
      <c r="N180" s="318"/>
      <c r="O180" s="1052">
        <f t="shared" si="147"/>
        <v>11709.1</v>
      </c>
      <c r="P180" s="562"/>
      <c r="Q180" s="336"/>
      <c r="R180" s="562"/>
      <c r="S180" s="336"/>
      <c r="T180" s="562"/>
      <c r="U180" s="466"/>
      <c r="V180" s="597" t="s">
        <v>616</v>
      </c>
      <c r="W180" s="597" t="s">
        <v>900</v>
      </c>
      <c r="X180" s="597" t="s">
        <v>901</v>
      </c>
      <c r="Z180" s="336">
        <f t="shared" si="148"/>
        <v>0</v>
      </c>
      <c r="AA180" s="337">
        <f t="shared" si="149"/>
        <v>0</v>
      </c>
      <c r="AB180" s="338">
        <f t="shared" si="150"/>
        <v>0</v>
      </c>
      <c r="AC180" s="336">
        <f t="shared" si="151"/>
        <v>0</v>
      </c>
      <c r="AD180" s="337">
        <f t="shared" si="152"/>
        <v>0</v>
      </c>
      <c r="AE180" s="338">
        <f t="shared" si="153"/>
        <v>0</v>
      </c>
      <c r="AF180" s="336">
        <f t="shared" si="154"/>
        <v>11709.1</v>
      </c>
      <c r="AG180" s="337">
        <f t="shared" si="155"/>
        <v>0</v>
      </c>
      <c r="AH180" s="338">
        <f t="shared" si="156"/>
        <v>11709.1</v>
      </c>
      <c r="AI180" s="336">
        <f t="shared" si="157"/>
        <v>0</v>
      </c>
      <c r="AJ180" s="337">
        <f t="shared" si="158"/>
        <v>0</v>
      </c>
      <c r="AK180" s="338">
        <f t="shared" si="159"/>
        <v>0</v>
      </c>
      <c r="AL180" s="342"/>
      <c r="AM180" s="336">
        <f t="shared" si="160"/>
        <v>0</v>
      </c>
      <c r="AN180" s="339">
        <f t="shared" si="161"/>
        <v>0</v>
      </c>
      <c r="AO180" s="340">
        <f t="shared" si="162"/>
        <v>0</v>
      </c>
      <c r="AP180" s="336">
        <f t="shared" si="163"/>
        <v>11709.1</v>
      </c>
      <c r="AQ180" s="339">
        <f t="shared" si="164"/>
        <v>0</v>
      </c>
      <c r="AR180" s="340">
        <f t="shared" si="165"/>
        <v>11709.1</v>
      </c>
      <c r="AS180" s="341">
        <f t="shared" si="166"/>
        <v>11709.1</v>
      </c>
      <c r="AT180" s="339">
        <f t="shared" si="167"/>
        <v>0</v>
      </c>
      <c r="AU180" s="340">
        <f t="shared" si="168"/>
        <v>11709.1</v>
      </c>
      <c r="AV180" s="1255">
        <f t="shared" si="169"/>
        <v>0</v>
      </c>
      <c r="AW180" s="343"/>
      <c r="AX180" s="1098"/>
      <c r="AY180" s="345"/>
      <c r="AZ180" s="1098"/>
      <c r="BA180" s="345"/>
      <c r="BB180" s="1120"/>
      <c r="BC180" s="347"/>
      <c r="BD180" s="348"/>
      <c r="BE180" s="349"/>
      <c r="BF180" s="348"/>
      <c r="BG180" s="1135"/>
      <c r="BH180" s="350"/>
      <c r="BI180" s="1136"/>
      <c r="BJ180" s="352"/>
      <c r="BK180" s="1137">
        <v>11709.1</v>
      </c>
      <c r="BL180" s="352"/>
      <c r="BM180" s="337"/>
      <c r="BN180" s="353"/>
      <c r="BO180" s="354"/>
      <c r="BP180" s="355"/>
      <c r="BQ180" s="356"/>
      <c r="BR180" s="355"/>
      <c r="BS180" s="356"/>
      <c r="BT180" s="357"/>
    </row>
    <row r="181" spans="1:72" s="313" customFormat="1" ht="25.5" outlineLevel="2">
      <c r="A181" s="287">
        <v>166</v>
      </c>
      <c r="B181" s="933"/>
      <c r="C181" s="840"/>
      <c r="D181" s="841" t="s">
        <v>272</v>
      </c>
      <c r="E181" s="839"/>
      <c r="F181" s="821" t="s">
        <v>7</v>
      </c>
      <c r="G181" s="314">
        <v>4</v>
      </c>
      <c r="H181" s="739" t="s">
        <v>70</v>
      </c>
      <c r="I181" s="739">
        <v>244</v>
      </c>
      <c r="J181" s="740">
        <v>346</v>
      </c>
      <c r="K181" s="533" t="s">
        <v>967</v>
      </c>
      <c r="L181" s="1025">
        <v>6000</v>
      </c>
      <c r="M181" s="318"/>
      <c r="N181" s="318"/>
      <c r="O181" s="1052">
        <f t="shared" si="147"/>
        <v>6000</v>
      </c>
      <c r="P181" s="562"/>
      <c r="Q181" s="336"/>
      <c r="R181" s="562"/>
      <c r="S181" s="336"/>
      <c r="T181" s="562"/>
      <c r="U181" s="466"/>
      <c r="V181" s="597" t="s">
        <v>598</v>
      </c>
      <c r="W181" s="597" t="s">
        <v>985</v>
      </c>
      <c r="X181" s="597" t="s">
        <v>986</v>
      </c>
      <c r="Z181" s="336">
        <f t="shared" si="148"/>
        <v>0</v>
      </c>
      <c r="AA181" s="337">
        <f t="shared" si="149"/>
        <v>0</v>
      </c>
      <c r="AB181" s="338">
        <f t="shared" si="150"/>
        <v>0</v>
      </c>
      <c r="AC181" s="336">
        <f t="shared" si="151"/>
        <v>0</v>
      </c>
      <c r="AD181" s="337">
        <f t="shared" si="152"/>
        <v>0</v>
      </c>
      <c r="AE181" s="338">
        <f t="shared" si="153"/>
        <v>0</v>
      </c>
      <c r="AF181" s="336">
        <f t="shared" si="154"/>
        <v>6000</v>
      </c>
      <c r="AG181" s="337">
        <f t="shared" si="155"/>
        <v>0</v>
      </c>
      <c r="AH181" s="338">
        <f t="shared" si="156"/>
        <v>6000</v>
      </c>
      <c r="AI181" s="336">
        <f t="shared" si="157"/>
        <v>0</v>
      </c>
      <c r="AJ181" s="337">
        <f t="shared" si="158"/>
        <v>0</v>
      </c>
      <c r="AK181" s="338">
        <f t="shared" si="159"/>
        <v>0</v>
      </c>
      <c r="AL181" s="342"/>
      <c r="AM181" s="336">
        <f t="shared" si="160"/>
        <v>0</v>
      </c>
      <c r="AN181" s="339">
        <f t="shared" si="161"/>
        <v>0</v>
      </c>
      <c r="AO181" s="340">
        <f t="shared" si="162"/>
        <v>0</v>
      </c>
      <c r="AP181" s="336">
        <f t="shared" si="163"/>
        <v>6000</v>
      </c>
      <c r="AQ181" s="339">
        <f t="shared" si="164"/>
        <v>0</v>
      </c>
      <c r="AR181" s="340">
        <f t="shared" si="165"/>
        <v>6000</v>
      </c>
      <c r="AS181" s="341">
        <f t="shared" si="166"/>
        <v>6000</v>
      </c>
      <c r="AT181" s="339">
        <f t="shared" si="167"/>
        <v>0</v>
      </c>
      <c r="AU181" s="340">
        <f t="shared" si="168"/>
        <v>6000</v>
      </c>
      <c r="AV181" s="1255">
        <f t="shared" si="169"/>
        <v>0</v>
      </c>
      <c r="AW181" s="343"/>
      <c r="AX181" s="1098"/>
      <c r="AY181" s="345"/>
      <c r="AZ181" s="1098"/>
      <c r="BA181" s="345"/>
      <c r="BB181" s="1120"/>
      <c r="BC181" s="347"/>
      <c r="BD181" s="348"/>
      <c r="BE181" s="349"/>
      <c r="BF181" s="348"/>
      <c r="BG181" s="1135"/>
      <c r="BH181" s="350"/>
      <c r="BI181" s="1136"/>
      <c r="BJ181" s="352"/>
      <c r="BK181" s="1137"/>
      <c r="BL181" s="352"/>
      <c r="BM181" s="1137">
        <v>6000</v>
      </c>
      <c r="BN181" s="353"/>
      <c r="BO181" s="354"/>
      <c r="BP181" s="355"/>
      <c r="BQ181" s="356"/>
      <c r="BR181" s="355"/>
      <c r="BS181" s="356"/>
      <c r="BT181" s="357"/>
    </row>
    <row r="182" spans="1:72" s="313" customFormat="1" ht="25.5" outlineLevel="2">
      <c r="A182" s="287">
        <v>167</v>
      </c>
      <c r="B182" s="933"/>
      <c r="C182" s="840"/>
      <c r="D182" s="841" t="s">
        <v>272</v>
      </c>
      <c r="E182" s="839"/>
      <c r="F182" s="821" t="s">
        <v>7</v>
      </c>
      <c r="G182" s="314">
        <v>4</v>
      </c>
      <c r="H182" s="739" t="s">
        <v>70</v>
      </c>
      <c r="I182" s="739">
        <v>244</v>
      </c>
      <c r="J182" s="740">
        <v>346</v>
      </c>
      <c r="K182" s="533" t="s">
        <v>895</v>
      </c>
      <c r="L182" s="1025">
        <v>5000</v>
      </c>
      <c r="M182" s="318"/>
      <c r="N182" s="318"/>
      <c r="O182" s="1052">
        <f t="shared" si="147"/>
        <v>5000</v>
      </c>
      <c r="P182" s="562"/>
      <c r="Q182" s="336"/>
      <c r="R182" s="562"/>
      <c r="S182" s="336"/>
      <c r="T182" s="562"/>
      <c r="U182" s="466"/>
      <c r="V182" s="597" t="s">
        <v>1022</v>
      </c>
      <c r="W182" s="597" t="s">
        <v>1023</v>
      </c>
      <c r="X182" s="597" t="s">
        <v>1024</v>
      </c>
      <c r="Z182" s="336">
        <f t="shared" si="148"/>
        <v>0</v>
      </c>
      <c r="AA182" s="337">
        <f t="shared" si="149"/>
        <v>0</v>
      </c>
      <c r="AB182" s="338">
        <f t="shared" si="150"/>
        <v>0</v>
      </c>
      <c r="AC182" s="336">
        <f t="shared" si="151"/>
        <v>0</v>
      </c>
      <c r="AD182" s="337">
        <f t="shared" si="152"/>
        <v>0</v>
      </c>
      <c r="AE182" s="338">
        <f t="shared" si="153"/>
        <v>0</v>
      </c>
      <c r="AF182" s="336">
        <f t="shared" si="154"/>
        <v>5000</v>
      </c>
      <c r="AG182" s="337">
        <f t="shared" si="155"/>
        <v>0</v>
      </c>
      <c r="AH182" s="338">
        <f t="shared" si="156"/>
        <v>5000</v>
      </c>
      <c r="AI182" s="336">
        <f t="shared" si="157"/>
        <v>0</v>
      </c>
      <c r="AJ182" s="337">
        <f t="shared" si="158"/>
        <v>0</v>
      </c>
      <c r="AK182" s="338">
        <f t="shared" si="159"/>
        <v>0</v>
      </c>
      <c r="AL182" s="342"/>
      <c r="AM182" s="336">
        <f t="shared" si="160"/>
        <v>0</v>
      </c>
      <c r="AN182" s="339">
        <f t="shared" si="161"/>
        <v>0</v>
      </c>
      <c r="AO182" s="340">
        <f t="shared" si="162"/>
        <v>0</v>
      </c>
      <c r="AP182" s="336">
        <f t="shared" si="163"/>
        <v>5000</v>
      </c>
      <c r="AQ182" s="339">
        <f t="shared" si="164"/>
        <v>0</v>
      </c>
      <c r="AR182" s="340">
        <f t="shared" si="165"/>
        <v>5000</v>
      </c>
      <c r="AS182" s="341">
        <f t="shared" si="166"/>
        <v>5000</v>
      </c>
      <c r="AT182" s="339">
        <f t="shared" si="167"/>
        <v>0</v>
      </c>
      <c r="AU182" s="340">
        <f t="shared" si="168"/>
        <v>5000</v>
      </c>
      <c r="AV182" s="1255">
        <f t="shared" si="169"/>
        <v>0</v>
      </c>
      <c r="AW182" s="343"/>
      <c r="AX182" s="1098"/>
      <c r="AY182" s="345"/>
      <c r="AZ182" s="1098"/>
      <c r="BA182" s="345"/>
      <c r="BB182" s="1120"/>
      <c r="BC182" s="347"/>
      <c r="BD182" s="348"/>
      <c r="BE182" s="349"/>
      <c r="BF182" s="348"/>
      <c r="BG182" s="1135"/>
      <c r="BH182" s="350"/>
      <c r="BI182" s="351"/>
      <c r="BJ182" s="352"/>
      <c r="BK182" s="337"/>
      <c r="BL182" s="352"/>
      <c r="BM182" s="1137">
        <v>5000</v>
      </c>
      <c r="BN182" s="353"/>
      <c r="BO182" s="354"/>
      <c r="BP182" s="355"/>
      <c r="BQ182" s="356"/>
      <c r="BR182" s="355"/>
      <c r="BS182" s="356"/>
      <c r="BT182" s="357"/>
    </row>
    <row r="183" spans="1:72" s="430" customFormat="1" ht="25.5" customHeight="1" outlineLevel="2">
      <c r="A183" s="287">
        <v>168</v>
      </c>
      <c r="B183" s="933"/>
      <c r="C183" s="743"/>
      <c r="D183" s="856" t="s">
        <v>272</v>
      </c>
      <c r="E183" s="857"/>
      <c r="F183" s="827" t="s">
        <v>7</v>
      </c>
      <c r="G183" s="431">
        <v>4</v>
      </c>
      <c r="H183" s="474" t="s">
        <v>70</v>
      </c>
      <c r="I183" s="743">
        <v>244</v>
      </c>
      <c r="J183" s="744">
        <v>346</v>
      </c>
      <c r="K183" s="536" t="s">
        <v>284</v>
      </c>
      <c r="L183" s="1030">
        <v>0</v>
      </c>
      <c r="M183" s="434"/>
      <c r="N183" s="434"/>
      <c r="O183" s="1064">
        <f t="shared" si="147"/>
        <v>0</v>
      </c>
      <c r="P183" s="563"/>
      <c r="Q183" s="437"/>
      <c r="R183" s="563"/>
      <c r="S183" s="437"/>
      <c r="T183" s="563"/>
      <c r="U183" s="467"/>
      <c r="V183" s="436"/>
      <c r="W183" s="436"/>
      <c r="X183" s="436"/>
      <c r="Z183" s="437">
        <f t="shared" si="148"/>
        <v>0</v>
      </c>
      <c r="AA183" s="438">
        <f t="shared" si="149"/>
        <v>0</v>
      </c>
      <c r="AB183" s="439">
        <f t="shared" si="150"/>
        <v>0</v>
      </c>
      <c r="AC183" s="437">
        <f t="shared" si="151"/>
        <v>0</v>
      </c>
      <c r="AD183" s="438">
        <f t="shared" si="152"/>
        <v>0</v>
      </c>
      <c r="AE183" s="439">
        <f t="shared" si="153"/>
        <v>0</v>
      </c>
      <c r="AF183" s="437">
        <f t="shared" si="154"/>
        <v>0</v>
      </c>
      <c r="AG183" s="438">
        <f t="shared" si="155"/>
        <v>0</v>
      </c>
      <c r="AH183" s="439">
        <f t="shared" si="156"/>
        <v>0</v>
      </c>
      <c r="AI183" s="437">
        <f t="shared" si="157"/>
        <v>0</v>
      </c>
      <c r="AJ183" s="438">
        <f t="shared" si="158"/>
        <v>0</v>
      </c>
      <c r="AK183" s="439">
        <f t="shared" si="159"/>
        <v>0</v>
      </c>
      <c r="AL183" s="440"/>
      <c r="AM183" s="437">
        <f t="shared" si="160"/>
        <v>0</v>
      </c>
      <c r="AN183" s="441">
        <f t="shared" si="161"/>
        <v>0</v>
      </c>
      <c r="AO183" s="442">
        <f t="shared" si="162"/>
        <v>0</v>
      </c>
      <c r="AP183" s="437">
        <f t="shared" si="163"/>
        <v>0</v>
      </c>
      <c r="AQ183" s="441">
        <f t="shared" si="164"/>
        <v>0</v>
      </c>
      <c r="AR183" s="442">
        <f t="shared" si="165"/>
        <v>0</v>
      </c>
      <c r="AS183" s="443">
        <f t="shared" si="166"/>
        <v>0</v>
      </c>
      <c r="AT183" s="441">
        <f t="shared" si="167"/>
        <v>0</v>
      </c>
      <c r="AU183" s="442">
        <f t="shared" si="168"/>
        <v>0</v>
      </c>
      <c r="AV183" s="440">
        <f t="shared" si="169"/>
        <v>0</v>
      </c>
      <c r="AW183" s="444"/>
      <c r="AX183" s="1111"/>
      <c r="AY183" s="446"/>
      <c r="AZ183" s="1111"/>
      <c r="BA183" s="446"/>
      <c r="BB183" s="1129"/>
      <c r="BC183" s="448"/>
      <c r="BD183" s="449"/>
      <c r="BE183" s="450"/>
      <c r="BF183" s="449"/>
      <c r="BG183" s="450"/>
      <c r="BH183" s="451"/>
      <c r="BI183" s="452"/>
      <c r="BJ183" s="453"/>
      <c r="BK183" s="438"/>
      <c r="BL183" s="453"/>
      <c r="BM183" s="438"/>
      <c r="BN183" s="454"/>
      <c r="BO183" s="455"/>
      <c r="BP183" s="456"/>
      <c r="BQ183" s="457"/>
      <c r="BR183" s="456"/>
      <c r="BS183" s="457"/>
      <c r="BT183" s="458"/>
    </row>
    <row r="184" spans="1:72" s="468" customFormat="1" ht="66.75" customHeight="1" outlineLevel="1">
      <c r="A184" s="287">
        <v>169</v>
      </c>
      <c r="B184" s="933"/>
      <c r="C184" s="850" t="s">
        <v>378</v>
      </c>
      <c r="D184" s="854" t="s">
        <v>876</v>
      </c>
      <c r="E184" s="858"/>
      <c r="F184" s="828" t="s">
        <v>7</v>
      </c>
      <c r="G184" s="469">
        <v>4</v>
      </c>
      <c r="H184" s="745" t="s">
        <v>70</v>
      </c>
      <c r="I184" s="745">
        <v>244</v>
      </c>
      <c r="J184" s="746">
        <v>346</v>
      </c>
      <c r="K184" s="537" t="s">
        <v>1103</v>
      </c>
      <c r="L184" s="1032">
        <f>SUM(L185:L191)</f>
        <v>40774.18</v>
      </c>
      <c r="M184" s="422"/>
      <c r="N184" s="352">
        <f>SUM(N185:N191)</f>
        <v>0</v>
      </c>
      <c r="O184" s="1065">
        <f t="shared" si="147"/>
        <v>40774.18</v>
      </c>
      <c r="P184" s="564"/>
      <c r="Q184" s="472"/>
      <c r="R184" s="564"/>
      <c r="S184" s="472"/>
      <c r="T184" s="564"/>
      <c r="U184" s="393"/>
      <c r="V184" s="394"/>
      <c r="W184" s="394"/>
      <c r="X184" s="394"/>
      <c r="Y184" s="392"/>
      <c r="Z184" s="395">
        <f t="shared" si="148"/>
        <v>0</v>
      </c>
      <c r="AA184" s="396">
        <f t="shared" si="149"/>
        <v>0</v>
      </c>
      <c r="AB184" s="397">
        <f t="shared" si="150"/>
        <v>0</v>
      </c>
      <c r="AC184" s="395">
        <f t="shared" si="151"/>
        <v>0</v>
      </c>
      <c r="AD184" s="396">
        <f t="shared" si="152"/>
        <v>0</v>
      </c>
      <c r="AE184" s="397">
        <f t="shared" si="153"/>
        <v>0</v>
      </c>
      <c r="AF184" s="395">
        <f t="shared" si="154"/>
        <v>0</v>
      </c>
      <c r="AG184" s="396">
        <f t="shared" si="155"/>
        <v>0</v>
      </c>
      <c r="AH184" s="397">
        <f t="shared" si="156"/>
        <v>0</v>
      </c>
      <c r="AI184" s="395">
        <f t="shared" si="157"/>
        <v>64046.559999999998</v>
      </c>
      <c r="AJ184" s="396">
        <f t="shared" si="158"/>
        <v>40774.18</v>
      </c>
      <c r="AK184" s="397">
        <f t="shared" si="159"/>
        <v>23272.38</v>
      </c>
      <c r="AL184" s="398"/>
      <c r="AM184" s="472">
        <f t="shared" si="160"/>
        <v>0</v>
      </c>
      <c r="AN184" s="422">
        <f t="shared" si="161"/>
        <v>0</v>
      </c>
      <c r="AO184" s="473">
        <f t="shared" si="162"/>
        <v>0</v>
      </c>
      <c r="AP184" s="472">
        <f t="shared" si="163"/>
        <v>0</v>
      </c>
      <c r="AQ184" s="422">
        <f t="shared" si="164"/>
        <v>0</v>
      </c>
      <c r="AR184" s="473">
        <f t="shared" si="165"/>
        <v>0</v>
      </c>
      <c r="AS184" s="472">
        <f t="shared" si="166"/>
        <v>64046.559999999998</v>
      </c>
      <c r="AT184" s="422">
        <f t="shared" si="167"/>
        <v>40774.18</v>
      </c>
      <c r="AU184" s="473">
        <f t="shared" si="168"/>
        <v>23272.38</v>
      </c>
      <c r="AV184" s="1263">
        <f t="shared" si="169"/>
        <v>-23272.38</v>
      </c>
      <c r="AW184" s="472">
        <f t="shared" ref="AW184:BT184" si="172">SUM(AW185:AW191)</f>
        <v>0</v>
      </c>
      <c r="AX184" s="1110">
        <f t="shared" si="172"/>
        <v>0</v>
      </c>
      <c r="AY184" s="422">
        <f t="shared" si="172"/>
        <v>0</v>
      </c>
      <c r="AZ184" s="1110">
        <f t="shared" si="172"/>
        <v>0</v>
      </c>
      <c r="BA184" s="422">
        <f t="shared" si="172"/>
        <v>0</v>
      </c>
      <c r="BB184" s="1128">
        <f t="shared" si="172"/>
        <v>0</v>
      </c>
      <c r="BC184" s="472">
        <f t="shared" si="172"/>
        <v>0</v>
      </c>
      <c r="BD184" s="422">
        <f t="shared" si="172"/>
        <v>0</v>
      </c>
      <c r="BE184" s="422">
        <f t="shared" si="172"/>
        <v>0</v>
      </c>
      <c r="BF184" s="422">
        <f t="shared" si="172"/>
        <v>0</v>
      </c>
      <c r="BG184" s="422">
        <f t="shared" si="172"/>
        <v>0</v>
      </c>
      <c r="BH184" s="423">
        <f t="shared" si="172"/>
        <v>0</v>
      </c>
      <c r="BI184" s="472">
        <f t="shared" si="172"/>
        <v>0</v>
      </c>
      <c r="BJ184" s="422">
        <f t="shared" si="172"/>
        <v>0</v>
      </c>
      <c r="BK184" s="422">
        <f t="shared" si="172"/>
        <v>0</v>
      </c>
      <c r="BL184" s="422">
        <f t="shared" si="172"/>
        <v>0</v>
      </c>
      <c r="BM184" s="422">
        <f t="shared" si="172"/>
        <v>0</v>
      </c>
      <c r="BN184" s="423">
        <f t="shared" si="172"/>
        <v>0</v>
      </c>
      <c r="BO184" s="472">
        <f t="shared" si="172"/>
        <v>64046.559999999998</v>
      </c>
      <c r="BP184" s="422">
        <f t="shared" si="172"/>
        <v>40774.18</v>
      </c>
      <c r="BQ184" s="422">
        <f t="shared" si="172"/>
        <v>0</v>
      </c>
      <c r="BR184" s="422">
        <f t="shared" si="172"/>
        <v>0</v>
      </c>
      <c r="BS184" s="422">
        <f t="shared" si="172"/>
        <v>0</v>
      </c>
      <c r="BT184" s="473">
        <f t="shared" si="172"/>
        <v>0</v>
      </c>
    </row>
    <row r="185" spans="1:72" s="399" customFormat="1" ht="25.5" customHeight="1" outlineLevel="2">
      <c r="A185" s="287">
        <v>170</v>
      </c>
      <c r="B185" s="933"/>
      <c r="C185" s="859"/>
      <c r="D185" s="854" t="s">
        <v>876</v>
      </c>
      <c r="E185" s="860"/>
      <c r="F185" s="829" t="s">
        <v>7</v>
      </c>
      <c r="G185" s="400">
        <v>4</v>
      </c>
      <c r="H185" s="747" t="s">
        <v>70</v>
      </c>
      <c r="I185" s="747">
        <v>244</v>
      </c>
      <c r="J185" s="748">
        <v>346</v>
      </c>
      <c r="K185" s="1005" t="s">
        <v>833</v>
      </c>
      <c r="L185" s="1031">
        <f>40774.18-SUM(L186:L191)</f>
        <v>0</v>
      </c>
      <c r="M185" s="403"/>
      <c r="N185" s="403"/>
      <c r="O185" s="1063">
        <f t="shared" si="147"/>
        <v>0</v>
      </c>
      <c r="P185" s="565"/>
      <c r="Q185" s="406"/>
      <c r="R185" s="565"/>
      <c r="S185" s="406"/>
      <c r="T185" s="565"/>
      <c r="U185" s="428"/>
      <c r="V185" s="405"/>
      <c r="W185" s="405"/>
      <c r="X185" s="405"/>
      <c r="Z185" s="406">
        <f t="shared" si="148"/>
        <v>0</v>
      </c>
      <c r="AA185" s="407">
        <f t="shared" si="149"/>
        <v>0</v>
      </c>
      <c r="AB185" s="408">
        <f t="shared" si="150"/>
        <v>0</v>
      </c>
      <c r="AC185" s="406">
        <f t="shared" si="151"/>
        <v>0</v>
      </c>
      <c r="AD185" s="407">
        <f t="shared" si="152"/>
        <v>0</v>
      </c>
      <c r="AE185" s="408">
        <f t="shared" si="153"/>
        <v>0</v>
      </c>
      <c r="AF185" s="406">
        <f t="shared" si="154"/>
        <v>0</v>
      </c>
      <c r="AG185" s="407">
        <f t="shared" si="155"/>
        <v>0</v>
      </c>
      <c r="AH185" s="408">
        <f t="shared" si="156"/>
        <v>0</v>
      </c>
      <c r="AI185" s="406">
        <f t="shared" si="157"/>
        <v>23272.38</v>
      </c>
      <c r="AJ185" s="407">
        <f t="shared" si="158"/>
        <v>0</v>
      </c>
      <c r="AK185" s="408">
        <f t="shared" si="159"/>
        <v>23272.38</v>
      </c>
      <c r="AL185" s="409"/>
      <c r="AM185" s="406">
        <f t="shared" si="160"/>
        <v>0</v>
      </c>
      <c r="AN185" s="410">
        <f t="shared" si="161"/>
        <v>0</v>
      </c>
      <c r="AO185" s="411">
        <f t="shared" si="162"/>
        <v>0</v>
      </c>
      <c r="AP185" s="406">
        <f t="shared" si="163"/>
        <v>0</v>
      </c>
      <c r="AQ185" s="410">
        <f t="shared" si="164"/>
        <v>0</v>
      </c>
      <c r="AR185" s="411">
        <f t="shared" si="165"/>
        <v>0</v>
      </c>
      <c r="AS185" s="412">
        <f t="shared" si="166"/>
        <v>23272.38</v>
      </c>
      <c r="AT185" s="410">
        <f t="shared" si="167"/>
        <v>0</v>
      </c>
      <c r="AU185" s="411">
        <f t="shared" si="168"/>
        <v>23272.38</v>
      </c>
      <c r="AV185" s="1262">
        <f t="shared" si="169"/>
        <v>-23272.38</v>
      </c>
      <c r="AW185" s="413"/>
      <c r="AX185" s="1098"/>
      <c r="AY185" s="415"/>
      <c r="AZ185" s="1098"/>
      <c r="BA185" s="415"/>
      <c r="BB185" s="1120"/>
      <c r="BC185" s="417"/>
      <c r="BD185" s="418"/>
      <c r="BE185" s="419"/>
      <c r="BF185" s="418"/>
      <c r="BG185" s="419"/>
      <c r="BH185" s="420"/>
      <c r="BI185" s="421"/>
      <c r="BJ185" s="422"/>
      <c r="BK185" s="407"/>
      <c r="BL185" s="422"/>
      <c r="BM185" s="407"/>
      <c r="BN185" s="423"/>
      <c r="BO185" s="354">
        <v>23272.38</v>
      </c>
      <c r="BP185" s="355"/>
      <c r="BQ185" s="356"/>
      <c r="BR185" s="425"/>
      <c r="BS185" s="426"/>
      <c r="BT185" s="427"/>
    </row>
    <row r="186" spans="1:72" s="399" customFormat="1" ht="38.25" outlineLevel="2">
      <c r="A186" s="287">
        <v>171</v>
      </c>
      <c r="B186" s="933"/>
      <c r="C186" s="859"/>
      <c r="D186" s="854" t="s">
        <v>876</v>
      </c>
      <c r="E186" s="860"/>
      <c r="F186" s="829" t="s">
        <v>7</v>
      </c>
      <c r="G186" s="400">
        <v>4</v>
      </c>
      <c r="H186" s="747" t="s">
        <v>70</v>
      </c>
      <c r="I186" s="747">
        <v>244</v>
      </c>
      <c r="J186" s="748">
        <v>346</v>
      </c>
      <c r="K186" s="533" t="s">
        <v>1032</v>
      </c>
      <c r="L186" s="1025">
        <v>5716</v>
      </c>
      <c r="M186" s="403"/>
      <c r="N186" s="403"/>
      <c r="O186" s="1063">
        <f t="shared" si="147"/>
        <v>5716</v>
      </c>
      <c r="P186" s="565"/>
      <c r="Q186" s="406"/>
      <c r="R186" s="565"/>
      <c r="S186" s="406"/>
      <c r="T186" s="565"/>
      <c r="U186" s="428"/>
      <c r="V186" s="597" t="s">
        <v>1031</v>
      </c>
      <c r="W186" s="597" t="s">
        <v>1030</v>
      </c>
      <c r="X186" s="405"/>
      <c r="Z186" s="406">
        <f t="shared" si="148"/>
        <v>0</v>
      </c>
      <c r="AA186" s="407">
        <f t="shared" si="149"/>
        <v>0</v>
      </c>
      <c r="AB186" s="408">
        <f t="shared" si="150"/>
        <v>0</v>
      </c>
      <c r="AC186" s="406">
        <f t="shared" si="151"/>
        <v>0</v>
      </c>
      <c r="AD186" s="407">
        <f t="shared" si="152"/>
        <v>0</v>
      </c>
      <c r="AE186" s="408">
        <f t="shared" si="153"/>
        <v>0</v>
      </c>
      <c r="AF186" s="406">
        <f t="shared" si="154"/>
        <v>0</v>
      </c>
      <c r="AG186" s="407">
        <f t="shared" si="155"/>
        <v>0</v>
      </c>
      <c r="AH186" s="408">
        <f t="shared" si="156"/>
        <v>0</v>
      </c>
      <c r="AI186" s="406">
        <f t="shared" si="157"/>
        <v>5716</v>
      </c>
      <c r="AJ186" s="407">
        <f t="shared" si="158"/>
        <v>5716</v>
      </c>
      <c r="AK186" s="408">
        <f t="shared" si="159"/>
        <v>0</v>
      </c>
      <c r="AL186" s="409"/>
      <c r="AM186" s="406">
        <f t="shared" si="160"/>
        <v>0</v>
      </c>
      <c r="AN186" s="410">
        <f t="shared" si="161"/>
        <v>0</v>
      </c>
      <c r="AO186" s="411">
        <f t="shared" si="162"/>
        <v>0</v>
      </c>
      <c r="AP186" s="406">
        <f t="shared" si="163"/>
        <v>0</v>
      </c>
      <c r="AQ186" s="410">
        <f t="shared" si="164"/>
        <v>0</v>
      </c>
      <c r="AR186" s="411">
        <f t="shared" si="165"/>
        <v>0</v>
      </c>
      <c r="AS186" s="412">
        <f t="shared" si="166"/>
        <v>5716</v>
      </c>
      <c r="AT186" s="410">
        <f t="shared" si="167"/>
        <v>5716</v>
      </c>
      <c r="AU186" s="411">
        <f t="shared" si="168"/>
        <v>0</v>
      </c>
      <c r="AV186" s="1262">
        <f t="shared" si="169"/>
        <v>0</v>
      </c>
      <c r="AW186" s="413"/>
      <c r="AX186" s="1098"/>
      <c r="AY186" s="415"/>
      <c r="AZ186" s="1098"/>
      <c r="BA186" s="415"/>
      <c r="BB186" s="1120"/>
      <c r="BC186" s="417"/>
      <c r="BD186" s="418"/>
      <c r="BE186" s="419"/>
      <c r="BF186" s="418"/>
      <c r="BG186" s="419"/>
      <c r="BH186" s="420"/>
      <c r="BI186" s="421"/>
      <c r="BJ186" s="422"/>
      <c r="BK186" s="407"/>
      <c r="BL186" s="422"/>
      <c r="BM186" s="407"/>
      <c r="BN186" s="423"/>
      <c r="BO186" s="424">
        <v>5716</v>
      </c>
      <c r="BP186" s="355">
        <v>5716</v>
      </c>
      <c r="BQ186" s="426"/>
      <c r="BR186" s="425"/>
      <c r="BS186" s="426"/>
      <c r="BT186" s="427"/>
    </row>
    <row r="187" spans="1:72" s="399" customFormat="1" ht="38.25" outlineLevel="2">
      <c r="A187" s="287">
        <v>172</v>
      </c>
      <c r="B187" s="933"/>
      <c r="C187" s="859"/>
      <c r="D187" s="854" t="s">
        <v>876</v>
      </c>
      <c r="E187" s="860"/>
      <c r="F187" s="829" t="s">
        <v>7</v>
      </c>
      <c r="G187" s="400">
        <v>4</v>
      </c>
      <c r="H187" s="747" t="s">
        <v>70</v>
      </c>
      <c r="I187" s="747">
        <v>244</v>
      </c>
      <c r="J187" s="748">
        <v>346</v>
      </c>
      <c r="K187" s="533" t="s">
        <v>1072</v>
      </c>
      <c r="L187" s="1025">
        <v>2808</v>
      </c>
      <c r="M187" s="403"/>
      <c r="N187" s="403"/>
      <c r="O187" s="1063">
        <f t="shared" si="147"/>
        <v>2808</v>
      </c>
      <c r="P187" s="565"/>
      <c r="Q187" s="406"/>
      <c r="R187" s="565"/>
      <c r="S187" s="406"/>
      <c r="T187" s="565"/>
      <c r="U187" s="428"/>
      <c r="V187" s="597" t="s">
        <v>1073</v>
      </c>
      <c r="W187" s="597" t="s">
        <v>1074</v>
      </c>
      <c r="X187" s="405"/>
      <c r="Z187" s="406">
        <f t="shared" si="148"/>
        <v>0</v>
      </c>
      <c r="AA187" s="407">
        <f t="shared" si="149"/>
        <v>0</v>
      </c>
      <c r="AB187" s="408">
        <f t="shared" si="150"/>
        <v>0</v>
      </c>
      <c r="AC187" s="406">
        <f t="shared" si="151"/>
        <v>0</v>
      </c>
      <c r="AD187" s="407">
        <f t="shared" si="152"/>
        <v>0</v>
      </c>
      <c r="AE187" s="408">
        <f t="shared" si="153"/>
        <v>0</v>
      </c>
      <c r="AF187" s="406">
        <f t="shared" si="154"/>
        <v>0</v>
      </c>
      <c r="AG187" s="407">
        <f t="shared" si="155"/>
        <v>0</v>
      </c>
      <c r="AH187" s="408">
        <f t="shared" si="156"/>
        <v>0</v>
      </c>
      <c r="AI187" s="406">
        <f t="shared" si="157"/>
        <v>2808</v>
      </c>
      <c r="AJ187" s="407">
        <f t="shared" si="158"/>
        <v>2808</v>
      </c>
      <c r="AK187" s="408">
        <f t="shared" si="159"/>
        <v>0</v>
      </c>
      <c r="AL187" s="409"/>
      <c r="AM187" s="406">
        <f t="shared" si="160"/>
        <v>0</v>
      </c>
      <c r="AN187" s="410">
        <f t="shared" si="161"/>
        <v>0</v>
      </c>
      <c r="AO187" s="411">
        <f t="shared" si="162"/>
        <v>0</v>
      </c>
      <c r="AP187" s="406">
        <f t="shared" si="163"/>
        <v>0</v>
      </c>
      <c r="AQ187" s="410">
        <f t="shared" si="164"/>
        <v>0</v>
      </c>
      <c r="AR187" s="411">
        <f t="shared" si="165"/>
        <v>0</v>
      </c>
      <c r="AS187" s="412">
        <f t="shared" si="166"/>
        <v>2808</v>
      </c>
      <c r="AT187" s="410">
        <f t="shared" si="167"/>
        <v>2808</v>
      </c>
      <c r="AU187" s="411">
        <f t="shared" si="168"/>
        <v>0</v>
      </c>
      <c r="AV187" s="1262">
        <f t="shared" si="169"/>
        <v>0</v>
      </c>
      <c r="AW187" s="413"/>
      <c r="AX187" s="1098"/>
      <c r="AY187" s="415"/>
      <c r="AZ187" s="1098"/>
      <c r="BA187" s="415"/>
      <c r="BB187" s="1120"/>
      <c r="BC187" s="417"/>
      <c r="BD187" s="418"/>
      <c r="BE187" s="419"/>
      <c r="BF187" s="418"/>
      <c r="BG187" s="419"/>
      <c r="BH187" s="420"/>
      <c r="BI187" s="421"/>
      <c r="BJ187" s="422"/>
      <c r="BK187" s="407"/>
      <c r="BL187" s="422"/>
      <c r="BM187" s="407"/>
      <c r="BN187" s="423"/>
      <c r="BO187" s="424">
        <v>2808</v>
      </c>
      <c r="BP187" s="355">
        <v>2808</v>
      </c>
      <c r="BQ187" s="426"/>
      <c r="BR187" s="425"/>
      <c r="BS187" s="426"/>
      <c r="BT187" s="427"/>
    </row>
    <row r="188" spans="1:72" s="399" customFormat="1" ht="38.25" outlineLevel="2">
      <c r="A188" s="287">
        <v>173</v>
      </c>
      <c r="B188" s="933"/>
      <c r="C188" s="859"/>
      <c r="D188" s="854" t="s">
        <v>876</v>
      </c>
      <c r="E188" s="860"/>
      <c r="F188" s="829" t="s">
        <v>7</v>
      </c>
      <c r="G188" s="400">
        <v>4</v>
      </c>
      <c r="H188" s="747" t="s">
        <v>70</v>
      </c>
      <c r="I188" s="747">
        <v>244</v>
      </c>
      <c r="J188" s="748">
        <v>346</v>
      </c>
      <c r="K188" s="533" t="s">
        <v>1075</v>
      </c>
      <c r="L188" s="1025">
        <v>8977.7999999999993</v>
      </c>
      <c r="M188" s="403"/>
      <c r="N188" s="403"/>
      <c r="O188" s="1063">
        <f t="shared" si="147"/>
        <v>8977.7999999999993</v>
      </c>
      <c r="P188" s="565"/>
      <c r="Q188" s="406"/>
      <c r="R188" s="565"/>
      <c r="S188" s="406"/>
      <c r="T188" s="565"/>
      <c r="U188" s="428"/>
      <c r="V188" s="597" t="s">
        <v>1073</v>
      </c>
      <c r="W188" s="597" t="s">
        <v>1074</v>
      </c>
      <c r="X188" s="405"/>
      <c r="Z188" s="406">
        <f t="shared" si="148"/>
        <v>0</v>
      </c>
      <c r="AA188" s="407">
        <f t="shared" si="149"/>
        <v>0</v>
      </c>
      <c r="AB188" s="408">
        <f t="shared" si="150"/>
        <v>0</v>
      </c>
      <c r="AC188" s="406">
        <f t="shared" si="151"/>
        <v>0</v>
      </c>
      <c r="AD188" s="407">
        <f t="shared" si="152"/>
        <v>0</v>
      </c>
      <c r="AE188" s="408">
        <f t="shared" si="153"/>
        <v>0</v>
      </c>
      <c r="AF188" s="406">
        <f t="shared" si="154"/>
        <v>0</v>
      </c>
      <c r="AG188" s="407">
        <f t="shared" si="155"/>
        <v>0</v>
      </c>
      <c r="AH188" s="408">
        <f t="shared" si="156"/>
        <v>0</v>
      </c>
      <c r="AI188" s="406">
        <f t="shared" si="157"/>
        <v>8977.7999999999993</v>
      </c>
      <c r="AJ188" s="407">
        <f t="shared" si="158"/>
        <v>8977.7999999999993</v>
      </c>
      <c r="AK188" s="408">
        <f t="shared" si="159"/>
        <v>0</v>
      </c>
      <c r="AL188" s="409"/>
      <c r="AM188" s="406">
        <f t="shared" si="160"/>
        <v>0</v>
      </c>
      <c r="AN188" s="410">
        <f t="shared" si="161"/>
        <v>0</v>
      </c>
      <c r="AO188" s="411">
        <f t="shared" si="162"/>
        <v>0</v>
      </c>
      <c r="AP188" s="406">
        <f t="shared" si="163"/>
        <v>0</v>
      </c>
      <c r="AQ188" s="410">
        <f t="shared" si="164"/>
        <v>0</v>
      </c>
      <c r="AR188" s="411">
        <f t="shared" si="165"/>
        <v>0</v>
      </c>
      <c r="AS188" s="412">
        <f t="shared" si="166"/>
        <v>8977.7999999999993</v>
      </c>
      <c r="AT188" s="410">
        <f t="shared" si="167"/>
        <v>8977.7999999999993</v>
      </c>
      <c r="AU188" s="411">
        <f t="shared" si="168"/>
        <v>0</v>
      </c>
      <c r="AV188" s="1262">
        <f t="shared" si="169"/>
        <v>0</v>
      </c>
      <c r="AW188" s="413"/>
      <c r="AX188" s="1098"/>
      <c r="AY188" s="415"/>
      <c r="AZ188" s="1098"/>
      <c r="BA188" s="415"/>
      <c r="BB188" s="1120"/>
      <c r="BC188" s="417"/>
      <c r="BD188" s="418"/>
      <c r="BE188" s="419"/>
      <c r="BF188" s="418"/>
      <c r="BG188" s="419"/>
      <c r="BH188" s="420"/>
      <c r="BI188" s="421"/>
      <c r="BJ188" s="422"/>
      <c r="BK188" s="407"/>
      <c r="BL188" s="422"/>
      <c r="BM188" s="407"/>
      <c r="BN188" s="423"/>
      <c r="BO188" s="424">
        <v>8977.7999999999993</v>
      </c>
      <c r="BP188" s="355">
        <v>8977.7999999999993</v>
      </c>
      <c r="BQ188" s="426"/>
      <c r="BR188" s="425"/>
      <c r="BS188" s="426"/>
      <c r="BT188" s="427"/>
    </row>
    <row r="189" spans="1:72" s="399" customFormat="1" ht="63.75" outlineLevel="2">
      <c r="A189" s="287">
        <v>174</v>
      </c>
      <c r="B189" s="933"/>
      <c r="C189" s="859"/>
      <c r="D189" s="854" t="s">
        <v>876</v>
      </c>
      <c r="E189" s="860"/>
      <c r="F189" s="829" t="s">
        <v>7</v>
      </c>
      <c r="G189" s="400">
        <v>4</v>
      </c>
      <c r="H189" s="747" t="s">
        <v>70</v>
      </c>
      <c r="I189" s="747">
        <v>244</v>
      </c>
      <c r="J189" s="748">
        <v>346</v>
      </c>
      <c r="K189" s="533" t="s">
        <v>1108</v>
      </c>
      <c r="L189" s="1025">
        <v>16202.38</v>
      </c>
      <c r="M189" s="403"/>
      <c r="N189" s="403"/>
      <c r="O189" s="1063">
        <f t="shared" si="147"/>
        <v>16202.38</v>
      </c>
      <c r="P189" s="565"/>
      <c r="Q189" s="406"/>
      <c r="R189" s="565"/>
      <c r="S189" s="406"/>
      <c r="T189" s="565"/>
      <c r="U189" s="428"/>
      <c r="V189" s="597" t="s">
        <v>582</v>
      </c>
      <c r="W189" s="597" t="s">
        <v>1158</v>
      </c>
      <c r="X189" s="1312" t="s">
        <v>1159</v>
      </c>
      <c r="Z189" s="406">
        <f t="shared" si="148"/>
        <v>0</v>
      </c>
      <c r="AA189" s="407">
        <f t="shared" si="149"/>
        <v>0</v>
      </c>
      <c r="AB189" s="408">
        <f t="shared" si="150"/>
        <v>0</v>
      </c>
      <c r="AC189" s="406">
        <f t="shared" si="151"/>
        <v>0</v>
      </c>
      <c r="AD189" s="407">
        <f t="shared" si="152"/>
        <v>0</v>
      </c>
      <c r="AE189" s="408">
        <f t="shared" si="153"/>
        <v>0</v>
      </c>
      <c r="AF189" s="406">
        <f t="shared" si="154"/>
        <v>0</v>
      </c>
      <c r="AG189" s="407">
        <f t="shared" si="155"/>
        <v>0</v>
      </c>
      <c r="AH189" s="408">
        <f t="shared" si="156"/>
        <v>0</v>
      </c>
      <c r="AI189" s="406">
        <f t="shared" si="157"/>
        <v>16202.38</v>
      </c>
      <c r="AJ189" s="407">
        <f t="shared" si="158"/>
        <v>16202.38</v>
      </c>
      <c r="AK189" s="408">
        <f t="shared" si="159"/>
        <v>0</v>
      </c>
      <c r="AL189" s="409"/>
      <c r="AM189" s="406">
        <f t="shared" si="160"/>
        <v>0</v>
      </c>
      <c r="AN189" s="410">
        <f t="shared" si="161"/>
        <v>0</v>
      </c>
      <c r="AO189" s="411">
        <f t="shared" si="162"/>
        <v>0</v>
      </c>
      <c r="AP189" s="406">
        <f t="shared" si="163"/>
        <v>0</v>
      </c>
      <c r="AQ189" s="410">
        <f t="shared" si="164"/>
        <v>0</v>
      </c>
      <c r="AR189" s="411">
        <f t="shared" si="165"/>
        <v>0</v>
      </c>
      <c r="AS189" s="412">
        <f t="shared" si="166"/>
        <v>16202.38</v>
      </c>
      <c r="AT189" s="410">
        <f t="shared" si="167"/>
        <v>16202.38</v>
      </c>
      <c r="AU189" s="411">
        <f t="shared" si="168"/>
        <v>0</v>
      </c>
      <c r="AV189" s="1262">
        <f t="shared" si="169"/>
        <v>0</v>
      </c>
      <c r="AW189" s="413"/>
      <c r="AX189" s="1098"/>
      <c r="AY189" s="415"/>
      <c r="AZ189" s="1098"/>
      <c r="BA189" s="415"/>
      <c r="BB189" s="1120"/>
      <c r="BC189" s="417"/>
      <c r="BD189" s="418"/>
      <c r="BE189" s="419"/>
      <c r="BF189" s="418"/>
      <c r="BG189" s="419"/>
      <c r="BH189" s="420"/>
      <c r="BI189" s="421"/>
      <c r="BJ189" s="422"/>
      <c r="BK189" s="407"/>
      <c r="BL189" s="422"/>
      <c r="BM189" s="407"/>
      <c r="BN189" s="423"/>
      <c r="BO189" s="424">
        <v>16202.38</v>
      </c>
      <c r="BP189" s="355">
        <v>16202.38</v>
      </c>
      <c r="BQ189" s="426"/>
      <c r="BR189" s="425"/>
      <c r="BS189" s="426"/>
      <c r="BT189" s="427"/>
    </row>
    <row r="190" spans="1:72" s="399" customFormat="1" ht="38.25" outlineLevel="2">
      <c r="A190" s="287">
        <v>175</v>
      </c>
      <c r="B190" s="933"/>
      <c r="C190" s="859"/>
      <c r="D190" s="854" t="s">
        <v>876</v>
      </c>
      <c r="E190" s="860"/>
      <c r="F190" s="829" t="s">
        <v>7</v>
      </c>
      <c r="G190" s="400">
        <v>4</v>
      </c>
      <c r="H190" s="747" t="s">
        <v>70</v>
      </c>
      <c r="I190" s="747">
        <v>244</v>
      </c>
      <c r="J190" s="748">
        <v>346</v>
      </c>
      <c r="K190" s="533" t="s">
        <v>1107</v>
      </c>
      <c r="L190" s="1025">
        <v>7070</v>
      </c>
      <c r="M190" s="403"/>
      <c r="N190" s="403"/>
      <c r="O190" s="1063">
        <f t="shared" si="103"/>
        <v>7070</v>
      </c>
      <c r="P190" s="565"/>
      <c r="Q190" s="406"/>
      <c r="R190" s="565"/>
      <c r="S190" s="406"/>
      <c r="T190" s="565"/>
      <c r="U190" s="428"/>
      <c r="V190" s="597" t="s">
        <v>1022</v>
      </c>
      <c r="W190" s="597" t="s">
        <v>1111</v>
      </c>
      <c r="X190" s="405"/>
      <c r="Z190" s="406">
        <f t="shared" ref="Z190:AA220" si="173">AW190+AY190+BA190</f>
        <v>0</v>
      </c>
      <c r="AA190" s="407">
        <f t="shared" si="173"/>
        <v>0</v>
      </c>
      <c r="AB190" s="408">
        <f t="shared" si="94"/>
        <v>0</v>
      </c>
      <c r="AC190" s="406">
        <f t="shared" ref="AC190:AD220" si="174">BC190+BE190+BG190</f>
        <v>0</v>
      </c>
      <c r="AD190" s="407">
        <f t="shared" si="174"/>
        <v>0</v>
      </c>
      <c r="AE190" s="408">
        <f t="shared" si="95"/>
        <v>0</v>
      </c>
      <c r="AF190" s="406">
        <f t="shared" ref="AF190:AG220" si="175">BI190+BK190+BM190</f>
        <v>0</v>
      </c>
      <c r="AG190" s="407">
        <f t="shared" si="175"/>
        <v>0</v>
      </c>
      <c r="AH190" s="408">
        <f t="shared" si="96"/>
        <v>0</v>
      </c>
      <c r="AI190" s="406">
        <f t="shared" ref="AI190:AJ220" si="176">BO190+BQ190+BS190</f>
        <v>7070</v>
      </c>
      <c r="AJ190" s="407">
        <f t="shared" si="176"/>
        <v>7070</v>
      </c>
      <c r="AK190" s="408">
        <f t="shared" si="97"/>
        <v>0</v>
      </c>
      <c r="AL190" s="409"/>
      <c r="AM190" s="406">
        <f t="shared" ref="AM190:AN220" si="177">Z190+AC190</f>
        <v>0</v>
      </c>
      <c r="AN190" s="410">
        <f t="shared" si="177"/>
        <v>0</v>
      </c>
      <c r="AO190" s="411">
        <f t="shared" si="98"/>
        <v>0</v>
      </c>
      <c r="AP190" s="406">
        <f t="shared" ref="AP190:AQ220" si="178">Z190+AC190+AF190</f>
        <v>0</v>
      </c>
      <c r="AQ190" s="410">
        <f t="shared" si="178"/>
        <v>0</v>
      </c>
      <c r="AR190" s="411">
        <f t="shared" si="99"/>
        <v>0</v>
      </c>
      <c r="AS190" s="412">
        <f t="shared" ref="AS190:AT204" si="179">Z190+AC190+AF190+AI190</f>
        <v>7070</v>
      </c>
      <c r="AT190" s="410">
        <f t="shared" si="179"/>
        <v>7070</v>
      </c>
      <c r="AU190" s="411">
        <f t="shared" si="100"/>
        <v>0</v>
      </c>
      <c r="AV190" s="1262">
        <f t="shared" si="101"/>
        <v>0</v>
      </c>
      <c r="AW190" s="413"/>
      <c r="AX190" s="1098"/>
      <c r="AY190" s="415"/>
      <c r="AZ190" s="1098"/>
      <c r="BA190" s="415"/>
      <c r="BB190" s="1120"/>
      <c r="BC190" s="417"/>
      <c r="BD190" s="418"/>
      <c r="BE190" s="419"/>
      <c r="BF190" s="418"/>
      <c r="BG190" s="419"/>
      <c r="BH190" s="420"/>
      <c r="BI190" s="421"/>
      <c r="BJ190" s="422"/>
      <c r="BK190" s="407"/>
      <c r="BL190" s="422"/>
      <c r="BM190" s="407"/>
      <c r="BN190" s="423"/>
      <c r="BO190" s="424">
        <v>7070</v>
      </c>
      <c r="BP190" s="355">
        <v>7070</v>
      </c>
      <c r="BQ190" s="426"/>
      <c r="BR190" s="425"/>
      <c r="BS190" s="426"/>
      <c r="BT190" s="427"/>
    </row>
    <row r="191" spans="1:72" s="430" customFormat="1" ht="25.5" customHeight="1" outlineLevel="2">
      <c r="A191" s="287">
        <v>176</v>
      </c>
      <c r="B191" s="933"/>
      <c r="C191" s="743"/>
      <c r="D191" s="854" t="s">
        <v>876</v>
      </c>
      <c r="E191" s="857"/>
      <c r="F191" s="827" t="s">
        <v>7</v>
      </c>
      <c r="G191" s="431">
        <v>4</v>
      </c>
      <c r="H191" s="474" t="s">
        <v>70</v>
      </c>
      <c r="I191" s="743">
        <v>244</v>
      </c>
      <c r="J191" s="744">
        <v>346</v>
      </c>
      <c r="K191" s="536" t="s">
        <v>284</v>
      </c>
      <c r="L191" s="1030"/>
      <c r="M191" s="434"/>
      <c r="N191" s="434"/>
      <c r="O191" s="1064">
        <f t="shared" si="103"/>
        <v>0</v>
      </c>
      <c r="P191" s="563"/>
      <c r="Q191" s="437"/>
      <c r="R191" s="563"/>
      <c r="S191" s="437"/>
      <c r="T191" s="563"/>
      <c r="U191" s="467"/>
      <c r="V191" s="436"/>
      <c r="W191" s="436"/>
      <c r="X191" s="436"/>
      <c r="Z191" s="437">
        <f t="shared" si="173"/>
        <v>0</v>
      </c>
      <c r="AA191" s="438">
        <f t="shared" si="173"/>
        <v>0</v>
      </c>
      <c r="AB191" s="439">
        <f t="shared" si="94"/>
        <v>0</v>
      </c>
      <c r="AC191" s="437">
        <f t="shared" si="174"/>
        <v>0</v>
      </c>
      <c r="AD191" s="438">
        <f t="shared" si="174"/>
        <v>0</v>
      </c>
      <c r="AE191" s="439">
        <f t="shared" si="95"/>
        <v>0</v>
      </c>
      <c r="AF191" s="437">
        <f t="shared" si="175"/>
        <v>0</v>
      </c>
      <c r="AG191" s="438">
        <f t="shared" si="175"/>
        <v>0</v>
      </c>
      <c r="AH191" s="439">
        <f t="shared" si="96"/>
        <v>0</v>
      </c>
      <c r="AI191" s="437">
        <f t="shared" si="176"/>
        <v>0</v>
      </c>
      <c r="AJ191" s="438">
        <f t="shared" si="176"/>
        <v>0</v>
      </c>
      <c r="AK191" s="439">
        <f t="shared" si="97"/>
        <v>0</v>
      </c>
      <c r="AL191" s="440"/>
      <c r="AM191" s="437">
        <f t="shared" si="177"/>
        <v>0</v>
      </c>
      <c r="AN191" s="441">
        <f t="shared" si="177"/>
        <v>0</v>
      </c>
      <c r="AO191" s="442">
        <f t="shared" si="98"/>
        <v>0</v>
      </c>
      <c r="AP191" s="437">
        <f t="shared" si="178"/>
        <v>0</v>
      </c>
      <c r="AQ191" s="441">
        <f t="shared" si="178"/>
        <v>0</v>
      </c>
      <c r="AR191" s="442">
        <f t="shared" si="99"/>
        <v>0</v>
      </c>
      <c r="AS191" s="443">
        <f t="shared" si="179"/>
        <v>0</v>
      </c>
      <c r="AT191" s="441">
        <f t="shared" si="179"/>
        <v>0</v>
      </c>
      <c r="AU191" s="442">
        <f t="shared" si="100"/>
        <v>0</v>
      </c>
      <c r="AV191" s="440">
        <f t="shared" si="101"/>
        <v>0</v>
      </c>
      <c r="AW191" s="444"/>
      <c r="AX191" s="1111"/>
      <c r="AY191" s="446"/>
      <c r="AZ191" s="1111"/>
      <c r="BA191" s="446"/>
      <c r="BB191" s="1129"/>
      <c r="BC191" s="448"/>
      <c r="BD191" s="449"/>
      <c r="BE191" s="450"/>
      <c r="BF191" s="449"/>
      <c r="BG191" s="450"/>
      <c r="BH191" s="451"/>
      <c r="BI191" s="452"/>
      <c r="BJ191" s="453"/>
      <c r="BK191" s="438"/>
      <c r="BL191" s="453"/>
      <c r="BM191" s="438"/>
      <c r="BN191" s="454"/>
      <c r="BO191" s="455"/>
      <c r="BP191" s="456"/>
      <c r="BQ191" s="457"/>
      <c r="BR191" s="456"/>
      <c r="BS191" s="457"/>
      <c r="BT191" s="458"/>
    </row>
    <row r="192" spans="1:72" s="459" customFormat="1" ht="66.75" customHeight="1" outlineLevel="1">
      <c r="A192" s="287">
        <v>177</v>
      </c>
      <c r="B192" s="933"/>
      <c r="C192" s="850" t="s">
        <v>378</v>
      </c>
      <c r="D192" s="854" t="s">
        <v>274</v>
      </c>
      <c r="E192" s="855"/>
      <c r="F192" s="826" t="s">
        <v>7</v>
      </c>
      <c r="G192" s="462">
        <v>4</v>
      </c>
      <c r="H192" s="741" t="s">
        <v>70</v>
      </c>
      <c r="I192" s="741">
        <v>244</v>
      </c>
      <c r="J192" s="742">
        <v>346</v>
      </c>
      <c r="K192" s="535" t="s">
        <v>283</v>
      </c>
      <c r="L192" s="1028">
        <f>SUM(L193:L202)</f>
        <v>163326.63</v>
      </c>
      <c r="M192" s="352"/>
      <c r="N192" s="352">
        <f>SUM(N193:N202)</f>
        <v>0</v>
      </c>
      <c r="O192" s="1062">
        <f t="shared" si="103"/>
        <v>163326.63</v>
      </c>
      <c r="P192" s="561"/>
      <c r="Q192" s="464"/>
      <c r="R192" s="561"/>
      <c r="S192" s="464"/>
      <c r="T192" s="561"/>
      <c r="U192" s="393"/>
      <c r="V192" s="394"/>
      <c r="W192" s="394"/>
      <c r="X192" s="394"/>
      <c r="Y192" s="392"/>
      <c r="Z192" s="395">
        <f t="shared" si="173"/>
        <v>0</v>
      </c>
      <c r="AA192" s="396">
        <f t="shared" si="173"/>
        <v>0</v>
      </c>
      <c r="AB192" s="397">
        <f t="shared" si="94"/>
        <v>0</v>
      </c>
      <c r="AC192" s="395">
        <f t="shared" si="174"/>
        <v>0</v>
      </c>
      <c r="AD192" s="396">
        <f t="shared" si="174"/>
        <v>0</v>
      </c>
      <c r="AE192" s="397">
        <f t="shared" si="95"/>
        <v>0</v>
      </c>
      <c r="AF192" s="395">
        <f t="shared" si="175"/>
        <v>0</v>
      </c>
      <c r="AG192" s="396">
        <f t="shared" si="175"/>
        <v>0</v>
      </c>
      <c r="AH192" s="397">
        <f t="shared" si="96"/>
        <v>0</v>
      </c>
      <c r="AI192" s="395">
        <f t="shared" si="176"/>
        <v>218723.59</v>
      </c>
      <c r="AJ192" s="396">
        <f t="shared" si="176"/>
        <v>163326.63</v>
      </c>
      <c r="AK192" s="397">
        <f t="shared" si="97"/>
        <v>55396.959999999999</v>
      </c>
      <c r="AL192" s="398"/>
      <c r="AM192" s="464">
        <f t="shared" si="177"/>
        <v>0</v>
      </c>
      <c r="AN192" s="352">
        <f t="shared" si="177"/>
        <v>0</v>
      </c>
      <c r="AO192" s="465">
        <f t="shared" si="98"/>
        <v>0</v>
      </c>
      <c r="AP192" s="464">
        <f t="shared" si="178"/>
        <v>0</v>
      </c>
      <c r="AQ192" s="352">
        <f t="shared" si="178"/>
        <v>0</v>
      </c>
      <c r="AR192" s="465">
        <f t="shared" si="99"/>
        <v>0</v>
      </c>
      <c r="AS192" s="464">
        <f t="shared" si="179"/>
        <v>218723.59</v>
      </c>
      <c r="AT192" s="352">
        <f t="shared" si="179"/>
        <v>163326.63</v>
      </c>
      <c r="AU192" s="465">
        <f t="shared" si="100"/>
        <v>55396.959999999999</v>
      </c>
      <c r="AV192" s="1261">
        <f t="shared" si="101"/>
        <v>-55396.959999999999</v>
      </c>
      <c r="AW192" s="464">
        <f t="shared" ref="AW192:BT192" si="180">SUM(AW193:AW202)</f>
        <v>0</v>
      </c>
      <c r="AX192" s="1110">
        <f t="shared" si="180"/>
        <v>0</v>
      </c>
      <c r="AY192" s="352">
        <f t="shared" si="180"/>
        <v>0</v>
      </c>
      <c r="AZ192" s="1110">
        <f t="shared" si="180"/>
        <v>0</v>
      </c>
      <c r="BA192" s="352">
        <f t="shared" si="180"/>
        <v>0</v>
      </c>
      <c r="BB192" s="1128">
        <f t="shared" si="180"/>
        <v>0</v>
      </c>
      <c r="BC192" s="464">
        <f t="shared" si="180"/>
        <v>0</v>
      </c>
      <c r="BD192" s="352">
        <f t="shared" si="180"/>
        <v>0</v>
      </c>
      <c r="BE192" s="352">
        <f t="shared" si="180"/>
        <v>0</v>
      </c>
      <c r="BF192" s="352">
        <f t="shared" si="180"/>
        <v>0</v>
      </c>
      <c r="BG192" s="352">
        <f t="shared" si="180"/>
        <v>0</v>
      </c>
      <c r="BH192" s="353">
        <f t="shared" si="180"/>
        <v>0</v>
      </c>
      <c r="BI192" s="464">
        <f t="shared" si="180"/>
        <v>0</v>
      </c>
      <c r="BJ192" s="352">
        <f t="shared" si="180"/>
        <v>0</v>
      </c>
      <c r="BK192" s="352">
        <f t="shared" si="180"/>
        <v>0</v>
      </c>
      <c r="BL192" s="352">
        <f t="shared" si="180"/>
        <v>0</v>
      </c>
      <c r="BM192" s="352">
        <f t="shared" si="180"/>
        <v>0</v>
      </c>
      <c r="BN192" s="353">
        <f t="shared" si="180"/>
        <v>0</v>
      </c>
      <c r="BO192" s="464">
        <f t="shared" si="180"/>
        <v>163326.63</v>
      </c>
      <c r="BP192" s="352">
        <f t="shared" si="180"/>
        <v>163326.63</v>
      </c>
      <c r="BQ192" s="352">
        <f t="shared" si="180"/>
        <v>55396.959999999999</v>
      </c>
      <c r="BR192" s="352">
        <f t="shared" si="180"/>
        <v>0</v>
      </c>
      <c r="BS192" s="352">
        <f t="shared" si="180"/>
        <v>0</v>
      </c>
      <c r="BT192" s="465">
        <f t="shared" si="180"/>
        <v>0</v>
      </c>
    </row>
    <row r="193" spans="1:72" s="313" customFormat="1" ht="25.5" customHeight="1" outlineLevel="2">
      <c r="A193" s="287">
        <v>178</v>
      </c>
      <c r="B193" s="933"/>
      <c r="C193" s="840"/>
      <c r="D193" s="841" t="s">
        <v>274</v>
      </c>
      <c r="E193" s="839"/>
      <c r="F193" s="821" t="s">
        <v>7</v>
      </c>
      <c r="G193" s="314">
        <v>4</v>
      </c>
      <c r="H193" s="739" t="s">
        <v>70</v>
      </c>
      <c r="I193" s="739">
        <v>244</v>
      </c>
      <c r="J193" s="740">
        <v>346</v>
      </c>
      <c r="K193" s="1005" t="s">
        <v>833</v>
      </c>
      <c r="L193" s="1031"/>
      <c r="M193" s="318"/>
      <c r="N193" s="318"/>
      <c r="O193" s="1052">
        <f t="shared" si="103"/>
        <v>0</v>
      </c>
      <c r="P193" s="562"/>
      <c r="Q193" s="336"/>
      <c r="R193" s="562"/>
      <c r="S193" s="336"/>
      <c r="T193" s="562"/>
      <c r="U193" s="466"/>
      <c r="V193" s="320"/>
      <c r="W193" s="320"/>
      <c r="X193" s="320"/>
      <c r="Z193" s="336">
        <f t="shared" si="173"/>
        <v>0</v>
      </c>
      <c r="AA193" s="337">
        <f t="shared" si="173"/>
        <v>0</v>
      </c>
      <c r="AB193" s="338">
        <f t="shared" si="94"/>
        <v>0</v>
      </c>
      <c r="AC193" s="336">
        <f t="shared" si="174"/>
        <v>0</v>
      </c>
      <c r="AD193" s="337">
        <f t="shared" si="174"/>
        <v>0</v>
      </c>
      <c r="AE193" s="338">
        <f t="shared" si="95"/>
        <v>0</v>
      </c>
      <c r="AF193" s="336">
        <f t="shared" si="175"/>
        <v>0</v>
      </c>
      <c r="AG193" s="337">
        <f t="shared" si="175"/>
        <v>0</v>
      </c>
      <c r="AH193" s="338">
        <f t="shared" si="96"/>
        <v>0</v>
      </c>
      <c r="AI193" s="336">
        <f t="shared" si="176"/>
        <v>55396.959999999999</v>
      </c>
      <c r="AJ193" s="337">
        <f t="shared" si="176"/>
        <v>0</v>
      </c>
      <c r="AK193" s="338">
        <f t="shared" si="97"/>
        <v>55396.959999999999</v>
      </c>
      <c r="AL193" s="342"/>
      <c r="AM193" s="336">
        <f t="shared" si="177"/>
        <v>0</v>
      </c>
      <c r="AN193" s="339">
        <f t="shared" si="177"/>
        <v>0</v>
      </c>
      <c r="AO193" s="340">
        <f t="shared" si="98"/>
        <v>0</v>
      </c>
      <c r="AP193" s="336">
        <f t="shared" si="178"/>
        <v>0</v>
      </c>
      <c r="AQ193" s="339">
        <f t="shared" si="178"/>
        <v>0</v>
      </c>
      <c r="AR193" s="340">
        <f t="shared" si="99"/>
        <v>0</v>
      </c>
      <c r="AS193" s="341">
        <f t="shared" si="179"/>
        <v>55396.959999999999</v>
      </c>
      <c r="AT193" s="339">
        <f t="shared" si="179"/>
        <v>0</v>
      </c>
      <c r="AU193" s="340">
        <f t="shared" si="100"/>
        <v>55396.959999999999</v>
      </c>
      <c r="AV193" s="1255">
        <f t="shared" si="101"/>
        <v>-55396.959999999999</v>
      </c>
      <c r="AW193" s="343"/>
      <c r="AX193" s="1098"/>
      <c r="AY193" s="345"/>
      <c r="AZ193" s="1098"/>
      <c r="BA193" s="345"/>
      <c r="BB193" s="1120"/>
      <c r="BC193" s="347"/>
      <c r="BD193" s="348"/>
      <c r="BE193" s="349"/>
      <c r="BF193" s="348"/>
      <c r="BG193" s="349"/>
      <c r="BH193" s="350"/>
      <c r="BI193" s="351"/>
      <c r="BJ193" s="352"/>
      <c r="BK193" s="337"/>
      <c r="BL193" s="352"/>
      <c r="BM193" s="337"/>
      <c r="BN193" s="353"/>
      <c r="BO193" s="354"/>
      <c r="BP193" s="355"/>
      <c r="BQ193" s="356">
        <f>58096.96-2700</f>
        <v>55396.959999999999</v>
      </c>
      <c r="BR193" s="355"/>
      <c r="BS193" s="356"/>
      <c r="BT193" s="357"/>
    </row>
    <row r="194" spans="1:72" s="313" customFormat="1" ht="38.25" outlineLevel="2">
      <c r="A194" s="287">
        <v>179</v>
      </c>
      <c r="B194" s="933"/>
      <c r="C194" s="840"/>
      <c r="D194" s="841" t="s">
        <v>274</v>
      </c>
      <c r="E194" s="839"/>
      <c r="F194" s="821" t="s">
        <v>7</v>
      </c>
      <c r="G194" s="314">
        <v>4</v>
      </c>
      <c r="H194" s="739" t="s">
        <v>70</v>
      </c>
      <c r="I194" s="739">
        <v>244</v>
      </c>
      <c r="J194" s="740">
        <v>346</v>
      </c>
      <c r="K194" s="533" t="s">
        <v>1065</v>
      </c>
      <c r="L194" s="1025">
        <v>2700</v>
      </c>
      <c r="M194" s="318"/>
      <c r="N194" s="318"/>
      <c r="O194" s="1052">
        <f t="shared" si="103"/>
        <v>2700</v>
      </c>
      <c r="P194" s="562"/>
      <c r="Q194" s="336"/>
      <c r="R194" s="562"/>
      <c r="S194" s="336"/>
      <c r="T194" s="562"/>
      <c r="U194" s="466"/>
      <c r="V194" s="597" t="s">
        <v>706</v>
      </c>
      <c r="W194" s="597" t="s">
        <v>1066</v>
      </c>
      <c r="X194" s="320"/>
      <c r="Z194" s="336">
        <f t="shared" si="173"/>
        <v>0</v>
      </c>
      <c r="AA194" s="337">
        <f t="shared" si="173"/>
        <v>0</v>
      </c>
      <c r="AB194" s="338">
        <f t="shared" si="94"/>
        <v>0</v>
      </c>
      <c r="AC194" s="336">
        <f t="shared" si="174"/>
        <v>0</v>
      </c>
      <c r="AD194" s="337">
        <f t="shared" si="174"/>
        <v>0</v>
      </c>
      <c r="AE194" s="338">
        <f t="shared" si="95"/>
        <v>0</v>
      </c>
      <c r="AF194" s="336">
        <f t="shared" si="175"/>
        <v>0</v>
      </c>
      <c r="AG194" s="337">
        <f t="shared" si="175"/>
        <v>0</v>
      </c>
      <c r="AH194" s="338">
        <f t="shared" si="96"/>
        <v>0</v>
      </c>
      <c r="AI194" s="336">
        <f t="shared" si="176"/>
        <v>2700</v>
      </c>
      <c r="AJ194" s="337">
        <f t="shared" si="176"/>
        <v>2700</v>
      </c>
      <c r="AK194" s="338">
        <f t="shared" si="97"/>
        <v>0</v>
      </c>
      <c r="AL194" s="342"/>
      <c r="AM194" s="336">
        <f t="shared" si="177"/>
        <v>0</v>
      </c>
      <c r="AN194" s="339">
        <f t="shared" si="177"/>
        <v>0</v>
      </c>
      <c r="AO194" s="340">
        <f t="shared" si="98"/>
        <v>0</v>
      </c>
      <c r="AP194" s="336">
        <f t="shared" si="178"/>
        <v>0</v>
      </c>
      <c r="AQ194" s="339">
        <f t="shared" si="178"/>
        <v>0</v>
      </c>
      <c r="AR194" s="340">
        <f t="shared" si="99"/>
        <v>0</v>
      </c>
      <c r="AS194" s="341">
        <f t="shared" si="179"/>
        <v>2700</v>
      </c>
      <c r="AT194" s="339">
        <f t="shared" si="179"/>
        <v>2700</v>
      </c>
      <c r="AU194" s="340">
        <f t="shared" si="100"/>
        <v>0</v>
      </c>
      <c r="AV194" s="1255">
        <f t="shared" si="101"/>
        <v>0</v>
      </c>
      <c r="AW194" s="343"/>
      <c r="AX194" s="1098"/>
      <c r="AY194" s="345"/>
      <c r="AZ194" s="1098"/>
      <c r="BA194" s="345"/>
      <c r="BB194" s="1120"/>
      <c r="BC194" s="347"/>
      <c r="BD194" s="348"/>
      <c r="BE194" s="349"/>
      <c r="BF194" s="348"/>
      <c r="BG194" s="349"/>
      <c r="BH194" s="350"/>
      <c r="BI194" s="351"/>
      <c r="BJ194" s="352"/>
      <c r="BK194" s="337"/>
      <c r="BL194" s="352"/>
      <c r="BM194" s="337"/>
      <c r="BN194" s="353"/>
      <c r="BO194" s="1138">
        <v>2700</v>
      </c>
      <c r="BP194" s="355">
        <v>2700</v>
      </c>
      <c r="BQ194" s="356"/>
      <c r="BR194" s="355"/>
      <c r="BS194" s="356"/>
      <c r="BT194" s="357"/>
    </row>
    <row r="195" spans="1:72" s="313" customFormat="1" ht="38.25" outlineLevel="2">
      <c r="A195" s="287">
        <v>180</v>
      </c>
      <c r="B195" s="933"/>
      <c r="C195" s="840"/>
      <c r="D195" s="841" t="s">
        <v>274</v>
      </c>
      <c r="E195" s="839"/>
      <c r="F195" s="821" t="s">
        <v>7</v>
      </c>
      <c r="G195" s="314">
        <v>4</v>
      </c>
      <c r="H195" s="739" t="s">
        <v>70</v>
      </c>
      <c r="I195" s="739">
        <v>244</v>
      </c>
      <c r="J195" s="740">
        <v>346</v>
      </c>
      <c r="K195" s="533" t="s">
        <v>1097</v>
      </c>
      <c r="L195" s="1025">
        <v>620</v>
      </c>
      <c r="M195" s="318"/>
      <c r="N195" s="318"/>
      <c r="O195" s="1052">
        <f t="shared" si="103"/>
        <v>620</v>
      </c>
      <c r="P195" s="562"/>
      <c r="Q195" s="336"/>
      <c r="R195" s="562"/>
      <c r="S195" s="336"/>
      <c r="T195" s="562"/>
      <c r="U195" s="466"/>
      <c r="V195" s="597" t="s">
        <v>1095</v>
      </c>
      <c r="W195" s="597" t="s">
        <v>1096</v>
      </c>
      <c r="X195" s="405"/>
      <c r="Z195" s="336">
        <f t="shared" si="173"/>
        <v>0</v>
      </c>
      <c r="AA195" s="337">
        <f t="shared" si="173"/>
        <v>0</v>
      </c>
      <c r="AB195" s="338">
        <f t="shared" si="94"/>
        <v>0</v>
      </c>
      <c r="AC195" s="336">
        <f t="shared" si="174"/>
        <v>0</v>
      </c>
      <c r="AD195" s="337">
        <f t="shared" si="174"/>
        <v>0</v>
      </c>
      <c r="AE195" s="338">
        <f t="shared" si="95"/>
        <v>0</v>
      </c>
      <c r="AF195" s="336">
        <f t="shared" si="175"/>
        <v>0</v>
      </c>
      <c r="AG195" s="337">
        <f t="shared" si="175"/>
        <v>0</v>
      </c>
      <c r="AH195" s="338">
        <f t="shared" si="96"/>
        <v>0</v>
      </c>
      <c r="AI195" s="336">
        <f t="shared" si="176"/>
        <v>620</v>
      </c>
      <c r="AJ195" s="337">
        <f t="shared" si="176"/>
        <v>620</v>
      </c>
      <c r="AK195" s="338">
        <f t="shared" si="97"/>
        <v>0</v>
      </c>
      <c r="AL195" s="342"/>
      <c r="AM195" s="336">
        <f t="shared" si="177"/>
        <v>0</v>
      </c>
      <c r="AN195" s="339">
        <f t="shared" si="177"/>
        <v>0</v>
      </c>
      <c r="AO195" s="340">
        <f t="shared" si="98"/>
        <v>0</v>
      </c>
      <c r="AP195" s="336">
        <f t="shared" si="178"/>
        <v>0</v>
      </c>
      <c r="AQ195" s="339">
        <f t="shared" si="178"/>
        <v>0</v>
      </c>
      <c r="AR195" s="340">
        <f t="shared" si="99"/>
        <v>0</v>
      </c>
      <c r="AS195" s="341">
        <f t="shared" si="179"/>
        <v>620</v>
      </c>
      <c r="AT195" s="339">
        <f t="shared" si="179"/>
        <v>620</v>
      </c>
      <c r="AU195" s="340">
        <f t="shared" si="100"/>
        <v>0</v>
      </c>
      <c r="AV195" s="1255">
        <f t="shared" si="101"/>
        <v>0</v>
      </c>
      <c r="AW195" s="343"/>
      <c r="AX195" s="1098"/>
      <c r="AY195" s="345"/>
      <c r="AZ195" s="1098"/>
      <c r="BA195" s="345"/>
      <c r="BB195" s="1120"/>
      <c r="BC195" s="347"/>
      <c r="BD195" s="348"/>
      <c r="BE195" s="349"/>
      <c r="BF195" s="348"/>
      <c r="BG195" s="349"/>
      <c r="BH195" s="350"/>
      <c r="BI195" s="351"/>
      <c r="BJ195" s="352"/>
      <c r="BK195" s="337"/>
      <c r="BL195" s="352"/>
      <c r="BM195" s="337"/>
      <c r="BN195" s="353"/>
      <c r="BO195" s="1138">
        <v>620</v>
      </c>
      <c r="BP195" s="355">
        <v>620</v>
      </c>
      <c r="BQ195" s="356"/>
      <c r="BR195" s="355"/>
      <c r="BS195" s="356"/>
      <c r="BT195" s="357"/>
    </row>
    <row r="196" spans="1:72" s="313" customFormat="1" ht="43.5" customHeight="1" outlineLevel="2">
      <c r="A196" s="287">
        <v>181</v>
      </c>
      <c r="B196" s="933"/>
      <c r="C196" s="840"/>
      <c r="D196" s="841" t="s">
        <v>274</v>
      </c>
      <c r="E196" s="839"/>
      <c r="F196" s="821" t="s">
        <v>7</v>
      </c>
      <c r="G196" s="314">
        <v>4</v>
      </c>
      <c r="H196" s="739" t="s">
        <v>70</v>
      </c>
      <c r="I196" s="739">
        <v>244</v>
      </c>
      <c r="J196" s="740">
        <v>346</v>
      </c>
      <c r="K196" s="533" t="s">
        <v>1098</v>
      </c>
      <c r="L196" s="1025">
        <v>7599</v>
      </c>
      <c r="M196" s="318"/>
      <c r="N196" s="318"/>
      <c r="O196" s="1052">
        <f t="shared" si="103"/>
        <v>7599</v>
      </c>
      <c r="P196" s="562"/>
      <c r="Q196" s="336"/>
      <c r="R196" s="562"/>
      <c r="S196" s="336"/>
      <c r="T196" s="562"/>
      <c r="U196" s="466"/>
      <c r="V196" s="597" t="s">
        <v>495</v>
      </c>
      <c r="W196" s="811" t="s">
        <v>481</v>
      </c>
      <c r="X196" s="405"/>
      <c r="Z196" s="336">
        <f t="shared" si="173"/>
        <v>0</v>
      </c>
      <c r="AA196" s="337">
        <f t="shared" si="173"/>
        <v>0</v>
      </c>
      <c r="AB196" s="338">
        <f t="shared" si="94"/>
        <v>0</v>
      </c>
      <c r="AC196" s="336">
        <f t="shared" si="174"/>
        <v>0</v>
      </c>
      <c r="AD196" s="337">
        <f t="shared" si="174"/>
        <v>0</v>
      </c>
      <c r="AE196" s="338">
        <f t="shared" si="95"/>
        <v>0</v>
      </c>
      <c r="AF196" s="336">
        <f t="shared" si="175"/>
        <v>0</v>
      </c>
      <c r="AG196" s="337">
        <f t="shared" si="175"/>
        <v>0</v>
      </c>
      <c r="AH196" s="338">
        <f t="shared" si="96"/>
        <v>0</v>
      </c>
      <c r="AI196" s="336">
        <f t="shared" si="176"/>
        <v>7599</v>
      </c>
      <c r="AJ196" s="337">
        <f t="shared" si="176"/>
        <v>7599</v>
      </c>
      <c r="AK196" s="338">
        <f t="shared" si="97"/>
        <v>0</v>
      </c>
      <c r="AL196" s="342"/>
      <c r="AM196" s="336">
        <f t="shared" si="177"/>
        <v>0</v>
      </c>
      <c r="AN196" s="339">
        <f t="shared" si="177"/>
        <v>0</v>
      </c>
      <c r="AO196" s="340">
        <f t="shared" si="98"/>
        <v>0</v>
      </c>
      <c r="AP196" s="336">
        <f t="shared" si="178"/>
        <v>0</v>
      </c>
      <c r="AQ196" s="339">
        <f t="shared" si="178"/>
        <v>0</v>
      </c>
      <c r="AR196" s="340">
        <f t="shared" si="99"/>
        <v>0</v>
      </c>
      <c r="AS196" s="341">
        <f t="shared" si="179"/>
        <v>7599</v>
      </c>
      <c r="AT196" s="339">
        <f t="shared" si="179"/>
        <v>7599</v>
      </c>
      <c r="AU196" s="340">
        <f t="shared" si="100"/>
        <v>0</v>
      </c>
      <c r="AV196" s="1255">
        <f t="shared" si="101"/>
        <v>0</v>
      </c>
      <c r="AW196" s="343"/>
      <c r="AX196" s="1098"/>
      <c r="AY196" s="345"/>
      <c r="AZ196" s="1098"/>
      <c r="BA196" s="345"/>
      <c r="BB196" s="1120"/>
      <c r="BC196" s="347"/>
      <c r="BD196" s="348"/>
      <c r="BE196" s="349"/>
      <c r="BF196" s="348"/>
      <c r="BG196" s="349"/>
      <c r="BH196" s="350"/>
      <c r="BI196" s="351"/>
      <c r="BJ196" s="352"/>
      <c r="BK196" s="337"/>
      <c r="BL196" s="352"/>
      <c r="BM196" s="337"/>
      <c r="BN196" s="353"/>
      <c r="BO196" s="1138">
        <v>7599</v>
      </c>
      <c r="BP196" s="355">
        <v>7599</v>
      </c>
      <c r="BQ196" s="356"/>
      <c r="BR196" s="355"/>
      <c r="BS196" s="356"/>
      <c r="BT196" s="357"/>
    </row>
    <row r="197" spans="1:72" s="313" customFormat="1" ht="38.25" outlineLevel="2">
      <c r="A197" s="287">
        <v>182</v>
      </c>
      <c r="B197" s="933"/>
      <c r="C197" s="840"/>
      <c r="D197" s="841" t="s">
        <v>274</v>
      </c>
      <c r="E197" s="839"/>
      <c r="F197" s="821" t="s">
        <v>7</v>
      </c>
      <c r="G197" s="314">
        <v>4</v>
      </c>
      <c r="H197" s="739" t="s">
        <v>70</v>
      </c>
      <c r="I197" s="739">
        <v>244</v>
      </c>
      <c r="J197" s="740">
        <v>346</v>
      </c>
      <c r="K197" s="533" t="s">
        <v>1099</v>
      </c>
      <c r="L197" s="1025">
        <v>3429.93</v>
      </c>
      <c r="M197" s="318"/>
      <c r="N197" s="318"/>
      <c r="O197" s="1052">
        <f t="shared" si="103"/>
        <v>3429.93</v>
      </c>
      <c r="P197" s="562"/>
      <c r="Q197" s="336"/>
      <c r="R197" s="562"/>
      <c r="S197" s="336"/>
      <c r="T197" s="562"/>
      <c r="U197" s="466"/>
      <c r="V197" s="597" t="s">
        <v>730</v>
      </c>
      <c r="W197" s="811" t="s">
        <v>481</v>
      </c>
      <c r="X197" s="405"/>
      <c r="Z197" s="336">
        <f t="shared" si="173"/>
        <v>0</v>
      </c>
      <c r="AA197" s="337">
        <f t="shared" si="173"/>
        <v>0</v>
      </c>
      <c r="AB197" s="338">
        <f t="shared" si="94"/>
        <v>0</v>
      </c>
      <c r="AC197" s="336">
        <f t="shared" si="174"/>
        <v>0</v>
      </c>
      <c r="AD197" s="337">
        <f t="shared" si="174"/>
        <v>0</v>
      </c>
      <c r="AE197" s="338">
        <f t="shared" si="95"/>
        <v>0</v>
      </c>
      <c r="AF197" s="336">
        <f t="shared" si="175"/>
        <v>0</v>
      </c>
      <c r="AG197" s="337">
        <f t="shared" si="175"/>
        <v>0</v>
      </c>
      <c r="AH197" s="338">
        <f t="shared" si="96"/>
        <v>0</v>
      </c>
      <c r="AI197" s="336">
        <f t="shared" si="176"/>
        <v>3429.93</v>
      </c>
      <c r="AJ197" s="337">
        <f t="shared" si="176"/>
        <v>3429.93</v>
      </c>
      <c r="AK197" s="338">
        <f t="shared" si="97"/>
        <v>0</v>
      </c>
      <c r="AL197" s="342"/>
      <c r="AM197" s="336">
        <f t="shared" si="177"/>
        <v>0</v>
      </c>
      <c r="AN197" s="339">
        <f t="shared" si="177"/>
        <v>0</v>
      </c>
      <c r="AO197" s="340">
        <f t="shared" si="98"/>
        <v>0</v>
      </c>
      <c r="AP197" s="336">
        <f t="shared" si="178"/>
        <v>0</v>
      </c>
      <c r="AQ197" s="339">
        <f t="shared" si="178"/>
        <v>0</v>
      </c>
      <c r="AR197" s="340">
        <f t="shared" si="99"/>
        <v>0</v>
      </c>
      <c r="AS197" s="341">
        <f t="shared" si="179"/>
        <v>3429.93</v>
      </c>
      <c r="AT197" s="339">
        <f t="shared" si="179"/>
        <v>3429.93</v>
      </c>
      <c r="AU197" s="340">
        <f t="shared" si="100"/>
        <v>0</v>
      </c>
      <c r="AV197" s="1255">
        <f t="shared" si="101"/>
        <v>0</v>
      </c>
      <c r="AW197" s="343"/>
      <c r="AX197" s="1098"/>
      <c r="AY197" s="345"/>
      <c r="AZ197" s="1098"/>
      <c r="BA197" s="345"/>
      <c r="BB197" s="1120"/>
      <c r="BC197" s="347"/>
      <c r="BD197" s="348"/>
      <c r="BE197" s="349"/>
      <c r="BF197" s="348"/>
      <c r="BG197" s="349"/>
      <c r="BH197" s="350"/>
      <c r="BI197" s="351"/>
      <c r="BJ197" s="352"/>
      <c r="BK197" s="337"/>
      <c r="BL197" s="352"/>
      <c r="BM197" s="337"/>
      <c r="BN197" s="353"/>
      <c r="BO197" s="1138">
        <v>3429.93</v>
      </c>
      <c r="BP197" s="355">
        <v>3429.93</v>
      </c>
      <c r="BQ197" s="356"/>
      <c r="BR197" s="355"/>
      <c r="BS197" s="356"/>
      <c r="BT197" s="357"/>
    </row>
    <row r="198" spans="1:72" s="313" customFormat="1" ht="51" outlineLevel="2">
      <c r="A198" s="287">
        <v>183</v>
      </c>
      <c r="B198" s="933"/>
      <c r="C198" s="840"/>
      <c r="D198" s="841" t="s">
        <v>274</v>
      </c>
      <c r="E198" s="839"/>
      <c r="F198" s="821" t="s">
        <v>7</v>
      </c>
      <c r="G198" s="314">
        <v>4</v>
      </c>
      <c r="H198" s="739" t="s">
        <v>70</v>
      </c>
      <c r="I198" s="739">
        <v>244</v>
      </c>
      <c r="J198" s="740">
        <v>346</v>
      </c>
      <c r="K198" s="533" t="s">
        <v>1100</v>
      </c>
      <c r="L198" s="1025">
        <v>30251.200000000001</v>
      </c>
      <c r="M198" s="318"/>
      <c r="N198" s="318"/>
      <c r="O198" s="1052">
        <f t="shared" si="103"/>
        <v>30251.200000000001</v>
      </c>
      <c r="P198" s="562"/>
      <c r="Q198" s="336"/>
      <c r="R198" s="562"/>
      <c r="S198" s="336"/>
      <c r="T198" s="562"/>
      <c r="U198" s="466"/>
      <c r="V198" s="597" t="s">
        <v>555</v>
      </c>
      <c r="W198" s="811" t="s">
        <v>481</v>
      </c>
      <c r="X198" s="405"/>
      <c r="Z198" s="336">
        <f t="shared" si="173"/>
        <v>0</v>
      </c>
      <c r="AA198" s="337">
        <f t="shared" si="173"/>
        <v>0</v>
      </c>
      <c r="AB198" s="338">
        <f t="shared" si="94"/>
        <v>0</v>
      </c>
      <c r="AC198" s="336">
        <f t="shared" si="174"/>
        <v>0</v>
      </c>
      <c r="AD198" s="337">
        <f t="shared" si="174"/>
        <v>0</v>
      </c>
      <c r="AE198" s="338">
        <f t="shared" si="95"/>
        <v>0</v>
      </c>
      <c r="AF198" s="336">
        <f t="shared" si="175"/>
        <v>0</v>
      </c>
      <c r="AG198" s="337">
        <f t="shared" si="175"/>
        <v>0</v>
      </c>
      <c r="AH198" s="338">
        <f t="shared" si="96"/>
        <v>0</v>
      </c>
      <c r="AI198" s="336">
        <f t="shared" si="176"/>
        <v>30251.200000000001</v>
      </c>
      <c r="AJ198" s="337">
        <f t="shared" si="176"/>
        <v>30251.200000000001</v>
      </c>
      <c r="AK198" s="338">
        <f t="shared" si="97"/>
        <v>0</v>
      </c>
      <c r="AL198" s="342"/>
      <c r="AM198" s="336">
        <f t="shared" si="177"/>
        <v>0</v>
      </c>
      <c r="AN198" s="339">
        <f t="shared" si="177"/>
        <v>0</v>
      </c>
      <c r="AO198" s="340">
        <f t="shared" si="98"/>
        <v>0</v>
      </c>
      <c r="AP198" s="336">
        <f t="shared" si="178"/>
        <v>0</v>
      </c>
      <c r="AQ198" s="339">
        <f t="shared" si="178"/>
        <v>0</v>
      </c>
      <c r="AR198" s="340">
        <f t="shared" si="99"/>
        <v>0</v>
      </c>
      <c r="AS198" s="341">
        <f t="shared" si="179"/>
        <v>30251.200000000001</v>
      </c>
      <c r="AT198" s="339">
        <f t="shared" si="179"/>
        <v>30251.200000000001</v>
      </c>
      <c r="AU198" s="340">
        <f t="shared" si="100"/>
        <v>0</v>
      </c>
      <c r="AV198" s="1255">
        <f t="shared" si="101"/>
        <v>0</v>
      </c>
      <c r="AW198" s="343"/>
      <c r="AX198" s="1098"/>
      <c r="AY198" s="345"/>
      <c r="AZ198" s="1098"/>
      <c r="BA198" s="345"/>
      <c r="BB198" s="1120"/>
      <c r="BC198" s="347"/>
      <c r="BD198" s="348"/>
      <c r="BE198" s="349"/>
      <c r="BF198" s="348"/>
      <c r="BG198" s="349"/>
      <c r="BH198" s="350"/>
      <c r="BI198" s="351"/>
      <c r="BJ198" s="352"/>
      <c r="BK198" s="337"/>
      <c r="BL198" s="352"/>
      <c r="BM198" s="337"/>
      <c r="BN198" s="353"/>
      <c r="BO198" s="1138">
        <v>30251.200000000001</v>
      </c>
      <c r="BP198" s="355">
        <v>30251.200000000001</v>
      </c>
      <c r="BQ198" s="356"/>
      <c r="BR198" s="355"/>
      <c r="BS198" s="356"/>
      <c r="BT198" s="357"/>
    </row>
    <row r="199" spans="1:72" s="313" customFormat="1" ht="25.5" outlineLevel="2">
      <c r="A199" s="287">
        <v>184</v>
      </c>
      <c r="B199" s="933"/>
      <c r="C199" s="840"/>
      <c r="D199" s="841" t="s">
        <v>274</v>
      </c>
      <c r="E199" s="839"/>
      <c r="F199" s="821" t="s">
        <v>7</v>
      </c>
      <c r="G199" s="314">
        <v>4</v>
      </c>
      <c r="H199" s="739" t="s">
        <v>70</v>
      </c>
      <c r="I199" s="739">
        <v>244</v>
      </c>
      <c r="J199" s="740">
        <v>346</v>
      </c>
      <c r="K199" s="533" t="s">
        <v>1114</v>
      </c>
      <c r="L199" s="1025">
        <v>11655</v>
      </c>
      <c r="M199" s="318"/>
      <c r="N199" s="318"/>
      <c r="O199" s="1052">
        <f t="shared" si="103"/>
        <v>11655</v>
      </c>
      <c r="P199" s="562"/>
      <c r="Q199" s="336"/>
      <c r="R199" s="562"/>
      <c r="S199" s="336"/>
      <c r="T199" s="562"/>
      <c r="U199" s="466"/>
      <c r="V199" s="597" t="s">
        <v>1115</v>
      </c>
      <c r="W199" s="811" t="s">
        <v>481</v>
      </c>
      <c r="X199" s="405"/>
      <c r="Z199" s="336">
        <f t="shared" si="173"/>
        <v>0</v>
      </c>
      <c r="AA199" s="337">
        <f t="shared" si="173"/>
        <v>0</v>
      </c>
      <c r="AB199" s="338">
        <f t="shared" si="94"/>
        <v>0</v>
      </c>
      <c r="AC199" s="336">
        <f t="shared" si="174"/>
        <v>0</v>
      </c>
      <c r="AD199" s="337">
        <f t="shared" si="174"/>
        <v>0</v>
      </c>
      <c r="AE199" s="338">
        <f t="shared" si="95"/>
        <v>0</v>
      </c>
      <c r="AF199" s="336">
        <f t="shared" si="175"/>
        <v>0</v>
      </c>
      <c r="AG199" s="337">
        <f t="shared" si="175"/>
        <v>0</v>
      </c>
      <c r="AH199" s="338">
        <f t="shared" si="96"/>
        <v>0</v>
      </c>
      <c r="AI199" s="336">
        <f t="shared" si="176"/>
        <v>11655</v>
      </c>
      <c r="AJ199" s="337">
        <f t="shared" si="176"/>
        <v>11655</v>
      </c>
      <c r="AK199" s="338">
        <f t="shared" si="97"/>
        <v>0</v>
      </c>
      <c r="AL199" s="342"/>
      <c r="AM199" s="336">
        <f t="shared" si="177"/>
        <v>0</v>
      </c>
      <c r="AN199" s="339">
        <f t="shared" si="177"/>
        <v>0</v>
      </c>
      <c r="AO199" s="340">
        <f t="shared" si="98"/>
        <v>0</v>
      </c>
      <c r="AP199" s="336">
        <f t="shared" si="178"/>
        <v>0</v>
      </c>
      <c r="AQ199" s="339">
        <f t="shared" si="178"/>
        <v>0</v>
      </c>
      <c r="AR199" s="340">
        <f t="shared" si="99"/>
        <v>0</v>
      </c>
      <c r="AS199" s="341">
        <f t="shared" si="179"/>
        <v>11655</v>
      </c>
      <c r="AT199" s="339">
        <f t="shared" si="179"/>
        <v>11655</v>
      </c>
      <c r="AU199" s="340">
        <f t="shared" si="100"/>
        <v>0</v>
      </c>
      <c r="AV199" s="1255">
        <f t="shared" si="101"/>
        <v>0</v>
      </c>
      <c r="AW199" s="343"/>
      <c r="AX199" s="1098"/>
      <c r="AY199" s="345"/>
      <c r="AZ199" s="1098"/>
      <c r="BA199" s="345"/>
      <c r="BB199" s="1120"/>
      <c r="BC199" s="347"/>
      <c r="BD199" s="348"/>
      <c r="BE199" s="349"/>
      <c r="BF199" s="348"/>
      <c r="BG199" s="349"/>
      <c r="BH199" s="350"/>
      <c r="BI199" s="351"/>
      <c r="BJ199" s="352"/>
      <c r="BK199" s="337"/>
      <c r="BL199" s="352"/>
      <c r="BM199" s="337"/>
      <c r="BN199" s="353"/>
      <c r="BO199" s="1138">
        <v>11655</v>
      </c>
      <c r="BP199" s="355">
        <v>11655</v>
      </c>
      <c r="BQ199" s="356"/>
      <c r="BR199" s="355"/>
      <c r="BS199" s="356"/>
      <c r="BT199" s="357"/>
    </row>
    <row r="200" spans="1:72" s="313" customFormat="1" ht="38.25" outlineLevel="2">
      <c r="A200" s="287">
        <v>185</v>
      </c>
      <c r="B200" s="933" t="s">
        <v>1124</v>
      </c>
      <c r="C200" s="840"/>
      <c r="D200" s="841" t="s">
        <v>274</v>
      </c>
      <c r="E200" s="839"/>
      <c r="F200" s="821" t="s">
        <v>7</v>
      </c>
      <c r="G200" s="314">
        <v>4</v>
      </c>
      <c r="H200" s="739" t="s">
        <v>70</v>
      </c>
      <c r="I200" s="739">
        <v>244</v>
      </c>
      <c r="J200" s="740">
        <v>346</v>
      </c>
      <c r="K200" s="533" t="s">
        <v>1120</v>
      </c>
      <c r="L200" s="1025">
        <v>71871.5</v>
      </c>
      <c r="M200" s="318"/>
      <c r="N200" s="318"/>
      <c r="O200" s="1052">
        <f t="shared" ref="O200" si="181">L200+N200</f>
        <v>71871.5</v>
      </c>
      <c r="P200" s="562"/>
      <c r="Q200" s="336"/>
      <c r="R200" s="562"/>
      <c r="S200" s="336"/>
      <c r="T200" s="562"/>
      <c r="U200" s="466"/>
      <c r="V200" s="597" t="s">
        <v>1022</v>
      </c>
      <c r="W200" s="811" t="s">
        <v>1186</v>
      </c>
      <c r="X200" s="405" t="s">
        <v>1184</v>
      </c>
      <c r="Z200" s="336">
        <f t="shared" ref="Z200" si="182">AW200+AY200+BA200</f>
        <v>0</v>
      </c>
      <c r="AA200" s="337">
        <f t="shared" ref="AA200" si="183">AX200+AZ200+BB200</f>
        <v>0</v>
      </c>
      <c r="AB200" s="338">
        <f t="shared" ref="AB200" si="184">Z200-AA200</f>
        <v>0</v>
      </c>
      <c r="AC200" s="336">
        <f t="shared" ref="AC200" si="185">BC200+BE200+BG200</f>
        <v>0</v>
      </c>
      <c r="AD200" s="337">
        <f t="shared" ref="AD200" si="186">BD200+BF200+BH200</f>
        <v>0</v>
      </c>
      <c r="AE200" s="338">
        <f t="shared" ref="AE200" si="187">AC200-AD200</f>
        <v>0</v>
      </c>
      <c r="AF200" s="336">
        <f t="shared" ref="AF200" si="188">BI200+BK200+BM200</f>
        <v>0</v>
      </c>
      <c r="AG200" s="337">
        <f t="shared" ref="AG200" si="189">BJ200+BL200+BN200</f>
        <v>0</v>
      </c>
      <c r="AH200" s="338">
        <f t="shared" ref="AH200" si="190">AF200-AG200</f>
        <v>0</v>
      </c>
      <c r="AI200" s="336">
        <f t="shared" ref="AI200" si="191">BO200+BQ200+BS200</f>
        <v>71871.5</v>
      </c>
      <c r="AJ200" s="337">
        <f t="shared" ref="AJ200" si="192">BP200+BR200+BT200</f>
        <v>71871.5</v>
      </c>
      <c r="AK200" s="338">
        <f t="shared" ref="AK200" si="193">AI200-AJ200</f>
        <v>0</v>
      </c>
      <c r="AL200" s="342"/>
      <c r="AM200" s="336">
        <f t="shared" ref="AM200" si="194">Z200+AC200</f>
        <v>0</v>
      </c>
      <c r="AN200" s="339">
        <f t="shared" ref="AN200" si="195">AA200+AD200</f>
        <v>0</v>
      </c>
      <c r="AO200" s="340">
        <f t="shared" ref="AO200" si="196">AM200-AN200</f>
        <v>0</v>
      </c>
      <c r="AP200" s="336">
        <f t="shared" ref="AP200" si="197">Z200+AC200+AF200</f>
        <v>0</v>
      </c>
      <c r="AQ200" s="339">
        <f t="shared" ref="AQ200" si="198">AA200+AD200+AG200</f>
        <v>0</v>
      </c>
      <c r="AR200" s="340">
        <f t="shared" ref="AR200" si="199">AP200-AQ200</f>
        <v>0</v>
      </c>
      <c r="AS200" s="341">
        <f t="shared" ref="AS200" si="200">Z200+AC200+AF200+AI200</f>
        <v>71871.5</v>
      </c>
      <c r="AT200" s="339">
        <f t="shared" ref="AT200" si="201">AA200+AD200+AG200+AJ200</f>
        <v>71871.5</v>
      </c>
      <c r="AU200" s="340">
        <f t="shared" ref="AU200" si="202">AS200-AT200</f>
        <v>0</v>
      </c>
      <c r="AV200" s="1255">
        <f t="shared" ref="AV200" si="203">L200-AS200</f>
        <v>0</v>
      </c>
      <c r="AW200" s="343"/>
      <c r="AX200" s="1098"/>
      <c r="AY200" s="345"/>
      <c r="AZ200" s="1098"/>
      <c r="BA200" s="345"/>
      <c r="BB200" s="1120"/>
      <c r="BC200" s="347"/>
      <c r="BD200" s="348"/>
      <c r="BE200" s="349"/>
      <c r="BF200" s="348"/>
      <c r="BG200" s="349"/>
      <c r="BH200" s="350"/>
      <c r="BI200" s="351"/>
      <c r="BJ200" s="352"/>
      <c r="BK200" s="337"/>
      <c r="BL200" s="352"/>
      <c r="BM200" s="337"/>
      <c r="BN200" s="353"/>
      <c r="BO200" s="1138">
        <v>71871.5</v>
      </c>
      <c r="BP200" s="355">
        <v>71871.5</v>
      </c>
      <c r="BQ200" s="356"/>
      <c r="BR200" s="355"/>
      <c r="BS200" s="356"/>
      <c r="BT200" s="357"/>
    </row>
    <row r="201" spans="1:72" s="313" customFormat="1" ht="25.5" outlineLevel="2">
      <c r="A201" s="287">
        <v>186</v>
      </c>
      <c r="B201" s="933" t="s">
        <v>1125</v>
      </c>
      <c r="C201" s="840"/>
      <c r="D201" s="841" t="s">
        <v>274</v>
      </c>
      <c r="E201" s="839"/>
      <c r="F201" s="821" t="s">
        <v>7</v>
      </c>
      <c r="G201" s="314">
        <v>4</v>
      </c>
      <c r="H201" s="739" t="s">
        <v>70</v>
      </c>
      <c r="I201" s="739">
        <v>244</v>
      </c>
      <c r="J201" s="740">
        <v>346</v>
      </c>
      <c r="K201" s="533" t="s">
        <v>1163</v>
      </c>
      <c r="L201" s="1025">
        <v>35200</v>
      </c>
      <c r="M201" s="318"/>
      <c r="N201" s="318"/>
      <c r="O201" s="1052">
        <f t="shared" ref="O201" si="204">L201+N201</f>
        <v>35200</v>
      </c>
      <c r="P201" s="562"/>
      <c r="Q201" s="336"/>
      <c r="R201" s="562"/>
      <c r="S201" s="336"/>
      <c r="T201" s="562"/>
      <c r="U201" s="466"/>
      <c r="V201" s="610" t="s">
        <v>616</v>
      </c>
      <c r="W201" s="811" t="s">
        <v>481</v>
      </c>
      <c r="X201" s="405"/>
      <c r="Z201" s="336">
        <f t="shared" ref="Z201" si="205">AW201+AY201+BA201</f>
        <v>0</v>
      </c>
      <c r="AA201" s="337">
        <f t="shared" ref="AA201" si="206">AX201+AZ201+BB201</f>
        <v>0</v>
      </c>
      <c r="AB201" s="338">
        <f t="shared" ref="AB201" si="207">Z201-AA201</f>
        <v>0</v>
      </c>
      <c r="AC201" s="336">
        <f t="shared" ref="AC201" si="208">BC201+BE201+BG201</f>
        <v>0</v>
      </c>
      <c r="AD201" s="337">
        <f t="shared" ref="AD201" si="209">BD201+BF201+BH201</f>
        <v>0</v>
      </c>
      <c r="AE201" s="338">
        <f t="shared" ref="AE201" si="210">AC201-AD201</f>
        <v>0</v>
      </c>
      <c r="AF201" s="336">
        <f t="shared" ref="AF201" si="211">BI201+BK201+BM201</f>
        <v>0</v>
      </c>
      <c r="AG201" s="337">
        <f t="shared" ref="AG201" si="212">BJ201+BL201+BN201</f>
        <v>0</v>
      </c>
      <c r="AH201" s="338">
        <f t="shared" ref="AH201" si="213">AF201-AG201</f>
        <v>0</v>
      </c>
      <c r="AI201" s="336">
        <f t="shared" ref="AI201" si="214">BO201+BQ201+BS201</f>
        <v>35200</v>
      </c>
      <c r="AJ201" s="337">
        <f t="shared" ref="AJ201" si="215">BP201+BR201+BT201</f>
        <v>35200</v>
      </c>
      <c r="AK201" s="338">
        <f t="shared" ref="AK201" si="216">AI201-AJ201</f>
        <v>0</v>
      </c>
      <c r="AL201" s="342"/>
      <c r="AM201" s="336">
        <f t="shared" ref="AM201" si="217">Z201+AC201</f>
        <v>0</v>
      </c>
      <c r="AN201" s="339">
        <f t="shared" ref="AN201" si="218">AA201+AD201</f>
        <v>0</v>
      </c>
      <c r="AO201" s="340">
        <f t="shared" ref="AO201" si="219">AM201-AN201</f>
        <v>0</v>
      </c>
      <c r="AP201" s="336">
        <f t="shared" ref="AP201" si="220">Z201+AC201+AF201</f>
        <v>0</v>
      </c>
      <c r="AQ201" s="339">
        <f t="shared" ref="AQ201" si="221">AA201+AD201+AG201</f>
        <v>0</v>
      </c>
      <c r="AR201" s="340">
        <f t="shared" ref="AR201" si="222">AP201-AQ201</f>
        <v>0</v>
      </c>
      <c r="AS201" s="341">
        <f t="shared" ref="AS201" si="223">Z201+AC201+AF201+AI201</f>
        <v>35200</v>
      </c>
      <c r="AT201" s="339">
        <f t="shared" ref="AT201" si="224">AA201+AD201+AG201+AJ201</f>
        <v>35200</v>
      </c>
      <c r="AU201" s="340">
        <f t="shared" ref="AU201" si="225">AS201-AT201</f>
        <v>0</v>
      </c>
      <c r="AV201" s="1255">
        <f t="shared" ref="AV201" si="226">L201-AS201</f>
        <v>0</v>
      </c>
      <c r="AW201" s="343"/>
      <c r="AX201" s="1098"/>
      <c r="AY201" s="345"/>
      <c r="AZ201" s="1098"/>
      <c r="BA201" s="345"/>
      <c r="BB201" s="1120"/>
      <c r="BC201" s="347"/>
      <c r="BD201" s="348"/>
      <c r="BE201" s="349"/>
      <c r="BF201" s="348"/>
      <c r="BG201" s="349"/>
      <c r="BH201" s="350"/>
      <c r="BI201" s="351"/>
      <c r="BJ201" s="352"/>
      <c r="BK201" s="337"/>
      <c r="BL201" s="352"/>
      <c r="BM201" s="337"/>
      <c r="BN201" s="353"/>
      <c r="BO201" s="639">
        <v>35200</v>
      </c>
      <c r="BP201" s="640">
        <v>35200</v>
      </c>
      <c r="BQ201" s="356"/>
      <c r="BR201" s="355"/>
      <c r="BS201" s="356"/>
      <c r="BT201" s="357"/>
    </row>
    <row r="202" spans="1:72" s="430" customFormat="1" ht="25.5" customHeight="1" outlineLevel="2">
      <c r="A202" s="287">
        <v>187</v>
      </c>
      <c r="B202" s="933"/>
      <c r="C202" s="743"/>
      <c r="D202" s="856" t="s">
        <v>274</v>
      </c>
      <c r="E202" s="857"/>
      <c r="F202" s="827" t="s">
        <v>7</v>
      </c>
      <c r="G202" s="431">
        <v>4</v>
      </c>
      <c r="H202" s="474" t="s">
        <v>70</v>
      </c>
      <c r="I202" s="743">
        <v>244</v>
      </c>
      <c r="J202" s="744">
        <v>346</v>
      </c>
      <c r="K202" s="536" t="s">
        <v>284</v>
      </c>
      <c r="L202" s="1030"/>
      <c r="M202" s="434"/>
      <c r="N202" s="434"/>
      <c r="O202" s="1064">
        <f t="shared" si="103"/>
        <v>0</v>
      </c>
      <c r="P202" s="563"/>
      <c r="Q202" s="437"/>
      <c r="R202" s="563"/>
      <c r="S202" s="437"/>
      <c r="T202" s="563"/>
      <c r="U202" s="467"/>
      <c r="V202" s="436"/>
      <c r="W202" s="436"/>
      <c r="X202" s="436"/>
      <c r="Z202" s="437">
        <f t="shared" si="173"/>
        <v>0</v>
      </c>
      <c r="AA202" s="438">
        <f t="shared" si="173"/>
        <v>0</v>
      </c>
      <c r="AB202" s="439">
        <f t="shared" si="94"/>
        <v>0</v>
      </c>
      <c r="AC202" s="437">
        <f t="shared" si="174"/>
        <v>0</v>
      </c>
      <c r="AD202" s="438">
        <f t="shared" si="174"/>
        <v>0</v>
      </c>
      <c r="AE202" s="439">
        <f t="shared" si="95"/>
        <v>0</v>
      </c>
      <c r="AF202" s="437">
        <f t="shared" si="175"/>
        <v>0</v>
      </c>
      <c r="AG202" s="438">
        <f t="shared" si="175"/>
        <v>0</v>
      </c>
      <c r="AH202" s="439">
        <f t="shared" si="96"/>
        <v>0</v>
      </c>
      <c r="AI202" s="437">
        <f t="shared" si="176"/>
        <v>0</v>
      </c>
      <c r="AJ202" s="438">
        <f t="shared" si="176"/>
        <v>0</v>
      </c>
      <c r="AK202" s="439">
        <f t="shared" si="97"/>
        <v>0</v>
      </c>
      <c r="AL202" s="440"/>
      <c r="AM202" s="437">
        <f t="shared" si="177"/>
        <v>0</v>
      </c>
      <c r="AN202" s="441">
        <f t="shared" si="177"/>
        <v>0</v>
      </c>
      <c r="AO202" s="442">
        <f t="shared" si="98"/>
        <v>0</v>
      </c>
      <c r="AP202" s="437">
        <f t="shared" si="178"/>
        <v>0</v>
      </c>
      <c r="AQ202" s="441">
        <f t="shared" si="178"/>
        <v>0</v>
      </c>
      <c r="AR202" s="442">
        <f t="shared" si="99"/>
        <v>0</v>
      </c>
      <c r="AS202" s="443">
        <f t="shared" si="179"/>
        <v>0</v>
      </c>
      <c r="AT202" s="441">
        <f t="shared" si="179"/>
        <v>0</v>
      </c>
      <c r="AU202" s="442">
        <f t="shared" si="100"/>
        <v>0</v>
      </c>
      <c r="AV202" s="440">
        <f t="shared" si="101"/>
        <v>0</v>
      </c>
      <c r="AW202" s="444"/>
      <c r="AX202" s="1111"/>
      <c r="AY202" s="446"/>
      <c r="AZ202" s="1111"/>
      <c r="BA202" s="446"/>
      <c r="BB202" s="1129"/>
      <c r="BC202" s="448"/>
      <c r="BD202" s="449"/>
      <c r="BE202" s="450"/>
      <c r="BF202" s="449"/>
      <c r="BG202" s="450"/>
      <c r="BH202" s="451"/>
      <c r="BI202" s="452"/>
      <c r="BJ202" s="453"/>
      <c r="BK202" s="438"/>
      <c r="BL202" s="453"/>
      <c r="BM202" s="438"/>
      <c r="BN202" s="454"/>
      <c r="BO202" s="455"/>
      <c r="BP202" s="456"/>
      <c r="BQ202" s="457"/>
      <c r="BR202" s="456"/>
      <c r="BS202" s="457"/>
      <c r="BT202" s="458"/>
    </row>
    <row r="203" spans="1:72" s="468" customFormat="1" ht="72.75" customHeight="1" outlineLevel="1">
      <c r="A203" s="287">
        <v>188</v>
      </c>
      <c r="B203" s="933"/>
      <c r="C203" s="850" t="s">
        <v>378</v>
      </c>
      <c r="D203" s="854" t="s">
        <v>277</v>
      </c>
      <c r="E203" s="858"/>
      <c r="F203" s="828" t="s">
        <v>7</v>
      </c>
      <c r="G203" s="469">
        <v>4</v>
      </c>
      <c r="H203" s="745" t="s">
        <v>70</v>
      </c>
      <c r="I203" s="745">
        <v>244</v>
      </c>
      <c r="J203" s="746">
        <v>346</v>
      </c>
      <c r="K203" s="537" t="s">
        <v>282</v>
      </c>
      <c r="L203" s="1032">
        <f>SUM(L204:L205)</f>
        <v>34083.300000000003</v>
      </c>
      <c r="M203" s="422"/>
      <c r="N203" s="352">
        <f>SUM(N204:N205)</f>
        <v>0</v>
      </c>
      <c r="O203" s="1065">
        <f t="shared" si="103"/>
        <v>34083.300000000003</v>
      </c>
      <c r="P203" s="564"/>
      <c r="Q203" s="472"/>
      <c r="R203" s="564"/>
      <c r="S203" s="472"/>
      <c r="T203" s="564"/>
      <c r="U203" s="393"/>
      <c r="V203" s="394"/>
      <c r="W203" s="394"/>
      <c r="X203" s="394"/>
      <c r="Y203" s="392"/>
      <c r="Z203" s="395">
        <f t="shared" si="173"/>
        <v>0</v>
      </c>
      <c r="AA203" s="396">
        <f t="shared" si="173"/>
        <v>0</v>
      </c>
      <c r="AB203" s="397">
        <f t="shared" si="94"/>
        <v>0</v>
      </c>
      <c r="AC203" s="395">
        <f t="shared" si="174"/>
        <v>0</v>
      </c>
      <c r="AD203" s="396">
        <f t="shared" si="174"/>
        <v>0</v>
      </c>
      <c r="AE203" s="397">
        <f t="shared" si="95"/>
        <v>0</v>
      </c>
      <c r="AF203" s="395">
        <f t="shared" si="175"/>
        <v>0</v>
      </c>
      <c r="AG203" s="396">
        <f t="shared" si="175"/>
        <v>0</v>
      </c>
      <c r="AH203" s="397">
        <f t="shared" si="96"/>
        <v>0</v>
      </c>
      <c r="AI203" s="395">
        <f t="shared" si="176"/>
        <v>34083.300000000003</v>
      </c>
      <c r="AJ203" s="396">
        <f t="shared" si="176"/>
        <v>0</v>
      </c>
      <c r="AK203" s="397">
        <f t="shared" si="97"/>
        <v>34083.300000000003</v>
      </c>
      <c r="AL203" s="398"/>
      <c r="AM203" s="472">
        <f t="shared" si="177"/>
        <v>0</v>
      </c>
      <c r="AN203" s="422">
        <f t="shared" si="177"/>
        <v>0</v>
      </c>
      <c r="AO203" s="473">
        <f t="shared" si="98"/>
        <v>0</v>
      </c>
      <c r="AP203" s="472">
        <f t="shared" si="178"/>
        <v>0</v>
      </c>
      <c r="AQ203" s="422">
        <f t="shared" si="178"/>
        <v>0</v>
      </c>
      <c r="AR203" s="473">
        <f t="shared" si="99"/>
        <v>0</v>
      </c>
      <c r="AS203" s="472">
        <f t="shared" si="179"/>
        <v>34083.300000000003</v>
      </c>
      <c r="AT203" s="422">
        <f t="shared" si="179"/>
        <v>0</v>
      </c>
      <c r="AU203" s="473">
        <f t="shared" si="100"/>
        <v>34083.300000000003</v>
      </c>
      <c r="AV203" s="1263">
        <f t="shared" si="101"/>
        <v>0</v>
      </c>
      <c r="AW203" s="472">
        <f t="shared" ref="AW203:BT203" si="227">SUM(AW204:AW205)</f>
        <v>0</v>
      </c>
      <c r="AX203" s="1110">
        <f t="shared" si="227"/>
        <v>0</v>
      </c>
      <c r="AY203" s="422">
        <f t="shared" si="227"/>
        <v>0</v>
      </c>
      <c r="AZ203" s="1110">
        <f t="shared" si="227"/>
        <v>0</v>
      </c>
      <c r="BA203" s="422">
        <f t="shared" si="227"/>
        <v>0</v>
      </c>
      <c r="BB203" s="1128">
        <f t="shared" si="227"/>
        <v>0</v>
      </c>
      <c r="BC203" s="472">
        <f t="shared" si="227"/>
        <v>0</v>
      </c>
      <c r="BD203" s="422">
        <f t="shared" si="227"/>
        <v>0</v>
      </c>
      <c r="BE203" s="422">
        <f t="shared" si="227"/>
        <v>0</v>
      </c>
      <c r="BF203" s="422">
        <f t="shared" si="227"/>
        <v>0</v>
      </c>
      <c r="BG203" s="422">
        <f t="shared" si="227"/>
        <v>0</v>
      </c>
      <c r="BH203" s="423">
        <f t="shared" si="227"/>
        <v>0</v>
      </c>
      <c r="BI203" s="472">
        <f t="shared" si="227"/>
        <v>0</v>
      </c>
      <c r="BJ203" s="422">
        <f t="shared" si="227"/>
        <v>0</v>
      </c>
      <c r="BK203" s="422">
        <f t="shared" si="227"/>
        <v>0</v>
      </c>
      <c r="BL203" s="422">
        <f t="shared" si="227"/>
        <v>0</v>
      </c>
      <c r="BM203" s="422">
        <f t="shared" si="227"/>
        <v>0</v>
      </c>
      <c r="BN203" s="423">
        <f t="shared" si="227"/>
        <v>0</v>
      </c>
      <c r="BO203" s="472">
        <f t="shared" si="227"/>
        <v>0</v>
      </c>
      <c r="BP203" s="422">
        <f t="shared" si="227"/>
        <v>0</v>
      </c>
      <c r="BQ203" s="422">
        <f t="shared" si="227"/>
        <v>0</v>
      </c>
      <c r="BR203" s="422">
        <f t="shared" si="227"/>
        <v>0</v>
      </c>
      <c r="BS203" s="422">
        <f t="shared" si="227"/>
        <v>34083.300000000003</v>
      </c>
      <c r="BT203" s="473">
        <f t="shared" si="227"/>
        <v>0</v>
      </c>
    </row>
    <row r="204" spans="1:72" s="399" customFormat="1" ht="25.5" customHeight="1" outlineLevel="2">
      <c r="A204" s="287">
        <v>189</v>
      </c>
      <c r="B204" s="933"/>
      <c r="C204" s="859"/>
      <c r="D204" s="841" t="s">
        <v>277</v>
      </c>
      <c r="E204" s="860"/>
      <c r="F204" s="829" t="s">
        <v>7</v>
      </c>
      <c r="G204" s="400">
        <v>4</v>
      </c>
      <c r="H204" s="747" t="s">
        <v>70</v>
      </c>
      <c r="I204" s="747">
        <v>244</v>
      </c>
      <c r="J204" s="748">
        <v>346</v>
      </c>
      <c r="K204" s="538" t="s">
        <v>301</v>
      </c>
      <c r="L204" s="1031">
        <v>34083.300000000003</v>
      </c>
      <c r="M204" s="403"/>
      <c r="N204" s="403"/>
      <c r="O204" s="1063">
        <f t="shared" si="103"/>
        <v>34083.300000000003</v>
      </c>
      <c r="P204" s="566"/>
      <c r="Q204" s="406"/>
      <c r="R204" s="566"/>
      <c r="S204" s="406"/>
      <c r="T204" s="566"/>
      <c r="U204" s="404"/>
      <c r="V204" s="405"/>
      <c r="W204" s="405"/>
      <c r="X204" s="405"/>
      <c r="Z204" s="406">
        <f t="shared" si="173"/>
        <v>0</v>
      </c>
      <c r="AA204" s="407">
        <f t="shared" si="173"/>
        <v>0</v>
      </c>
      <c r="AB204" s="408">
        <f t="shared" si="94"/>
        <v>0</v>
      </c>
      <c r="AC204" s="406">
        <f t="shared" si="174"/>
        <v>0</v>
      </c>
      <c r="AD204" s="407">
        <f t="shared" si="174"/>
        <v>0</v>
      </c>
      <c r="AE204" s="408">
        <f t="shared" si="95"/>
        <v>0</v>
      </c>
      <c r="AF204" s="406">
        <f t="shared" si="175"/>
        <v>0</v>
      </c>
      <c r="AG204" s="407">
        <f t="shared" si="175"/>
        <v>0</v>
      </c>
      <c r="AH204" s="408">
        <f t="shared" si="96"/>
        <v>0</v>
      </c>
      <c r="AI204" s="406">
        <f t="shared" si="176"/>
        <v>34083.300000000003</v>
      </c>
      <c r="AJ204" s="407">
        <f t="shared" si="176"/>
        <v>0</v>
      </c>
      <c r="AK204" s="408">
        <f t="shared" si="97"/>
        <v>34083.300000000003</v>
      </c>
      <c r="AL204" s="409"/>
      <c r="AM204" s="406">
        <f t="shared" si="177"/>
        <v>0</v>
      </c>
      <c r="AN204" s="410">
        <f t="shared" si="177"/>
        <v>0</v>
      </c>
      <c r="AO204" s="411">
        <f t="shared" si="98"/>
        <v>0</v>
      </c>
      <c r="AP204" s="406">
        <f t="shared" si="178"/>
        <v>0</v>
      </c>
      <c r="AQ204" s="410">
        <f t="shared" si="178"/>
        <v>0</v>
      </c>
      <c r="AR204" s="411">
        <f t="shared" si="99"/>
        <v>0</v>
      </c>
      <c r="AS204" s="412">
        <f t="shared" si="179"/>
        <v>34083.300000000003</v>
      </c>
      <c r="AT204" s="410">
        <f t="shared" si="179"/>
        <v>0</v>
      </c>
      <c r="AU204" s="411">
        <f t="shared" si="100"/>
        <v>34083.300000000003</v>
      </c>
      <c r="AV204" s="1262">
        <f t="shared" si="101"/>
        <v>0</v>
      </c>
      <c r="AW204" s="413"/>
      <c r="AX204" s="1098"/>
      <c r="AY204" s="415"/>
      <c r="AZ204" s="1098"/>
      <c r="BA204" s="415"/>
      <c r="BB204" s="1120"/>
      <c r="BC204" s="417"/>
      <c r="BD204" s="418"/>
      <c r="BE204" s="419"/>
      <c r="BF204" s="418"/>
      <c r="BG204" s="419"/>
      <c r="BH204" s="420"/>
      <c r="BI204" s="421"/>
      <c r="BJ204" s="422"/>
      <c r="BK204" s="407"/>
      <c r="BL204" s="422"/>
      <c r="BM204" s="407"/>
      <c r="BN204" s="423"/>
      <c r="BO204" s="424"/>
      <c r="BP204" s="425"/>
      <c r="BQ204" s="426"/>
      <c r="BR204" s="425"/>
      <c r="BS204" s="426">
        <v>34083.300000000003</v>
      </c>
      <c r="BT204" s="427"/>
    </row>
    <row r="205" spans="1:72" s="430" customFormat="1" ht="25.5" customHeight="1" outlineLevel="2">
      <c r="A205" s="287">
        <v>190</v>
      </c>
      <c r="B205" s="933"/>
      <c r="C205" s="743"/>
      <c r="D205" s="856" t="s">
        <v>277</v>
      </c>
      <c r="E205" s="857"/>
      <c r="F205" s="827" t="s">
        <v>7</v>
      </c>
      <c r="G205" s="431">
        <v>4</v>
      </c>
      <c r="H205" s="474" t="s">
        <v>70</v>
      </c>
      <c r="I205" s="743">
        <v>244</v>
      </c>
      <c r="J205" s="744">
        <v>346</v>
      </c>
      <c r="K205" s="536" t="s">
        <v>284</v>
      </c>
      <c r="L205" s="1030"/>
      <c r="M205" s="434"/>
      <c r="N205" s="434"/>
      <c r="O205" s="1064">
        <f t="shared" si="103"/>
        <v>0</v>
      </c>
      <c r="P205" s="567"/>
      <c r="Q205" s="437"/>
      <c r="R205" s="567"/>
      <c r="S205" s="437"/>
      <c r="T205" s="567"/>
      <c r="U205" s="435"/>
      <c r="V205" s="436"/>
      <c r="W205" s="436"/>
      <c r="X205" s="436"/>
      <c r="Z205" s="437">
        <f t="shared" si="173"/>
        <v>0</v>
      </c>
      <c r="AA205" s="438">
        <f t="shared" si="173"/>
        <v>0</v>
      </c>
      <c r="AB205" s="439">
        <f t="shared" si="94"/>
        <v>0</v>
      </c>
      <c r="AC205" s="437">
        <f t="shared" si="174"/>
        <v>0</v>
      </c>
      <c r="AD205" s="438">
        <f t="shared" si="174"/>
        <v>0</v>
      </c>
      <c r="AE205" s="439">
        <f t="shared" si="95"/>
        <v>0</v>
      </c>
      <c r="AF205" s="437">
        <f t="shared" si="175"/>
        <v>0</v>
      </c>
      <c r="AG205" s="438">
        <f t="shared" si="175"/>
        <v>0</v>
      </c>
      <c r="AH205" s="439">
        <f t="shared" si="96"/>
        <v>0</v>
      </c>
      <c r="AI205" s="437">
        <f t="shared" si="176"/>
        <v>0</v>
      </c>
      <c r="AJ205" s="438">
        <f t="shared" si="176"/>
        <v>0</v>
      </c>
      <c r="AK205" s="439">
        <f t="shared" si="97"/>
        <v>0</v>
      </c>
      <c r="AL205" s="440"/>
      <c r="AM205" s="437">
        <f t="shared" si="177"/>
        <v>0</v>
      </c>
      <c r="AN205" s="441">
        <f t="shared" si="177"/>
        <v>0</v>
      </c>
      <c r="AO205" s="442">
        <f t="shared" si="98"/>
        <v>0</v>
      </c>
      <c r="AP205" s="437">
        <f t="shared" si="178"/>
        <v>0</v>
      </c>
      <c r="AQ205" s="441">
        <f t="shared" si="178"/>
        <v>0</v>
      </c>
      <c r="AR205" s="442">
        <f t="shared" si="99"/>
        <v>0</v>
      </c>
      <c r="AS205" s="443">
        <f t="shared" ref="AS205:AT220" si="228">Z205+AC205+AF205+AI205</f>
        <v>0</v>
      </c>
      <c r="AT205" s="441">
        <f t="shared" si="228"/>
        <v>0</v>
      </c>
      <c r="AU205" s="442">
        <f t="shared" si="100"/>
        <v>0</v>
      </c>
      <c r="AV205" s="440">
        <f t="shared" si="101"/>
        <v>0</v>
      </c>
      <c r="AW205" s="444"/>
      <c r="AX205" s="1111"/>
      <c r="AY205" s="446"/>
      <c r="AZ205" s="1111"/>
      <c r="BA205" s="446"/>
      <c r="BB205" s="1129"/>
      <c r="BC205" s="448"/>
      <c r="BD205" s="449"/>
      <c r="BE205" s="450"/>
      <c r="BF205" s="449"/>
      <c r="BG205" s="450"/>
      <c r="BH205" s="451"/>
      <c r="BI205" s="452"/>
      <c r="BJ205" s="453"/>
      <c r="BK205" s="438"/>
      <c r="BL205" s="453"/>
      <c r="BM205" s="438"/>
      <c r="BN205" s="454"/>
      <c r="BO205" s="455"/>
      <c r="BP205" s="456"/>
      <c r="BQ205" s="457"/>
      <c r="BR205" s="456"/>
      <c r="BS205" s="457"/>
      <c r="BT205" s="458"/>
    </row>
    <row r="206" spans="1:72" s="358" customFormat="1" ht="31.5" customHeight="1">
      <c r="A206" s="287">
        <v>191</v>
      </c>
      <c r="B206" s="933"/>
      <c r="C206" s="850" t="s">
        <v>377</v>
      </c>
      <c r="D206" s="838"/>
      <c r="E206" s="836" t="s">
        <v>201</v>
      </c>
      <c r="F206" s="820" t="s">
        <v>7</v>
      </c>
      <c r="G206" s="360">
        <v>4</v>
      </c>
      <c r="H206" s="360" t="s">
        <v>71</v>
      </c>
      <c r="I206" s="360">
        <v>244</v>
      </c>
      <c r="J206" s="361">
        <v>346</v>
      </c>
      <c r="K206" s="532" t="s">
        <v>16</v>
      </c>
      <c r="L206" s="1023">
        <f>SUM(L207:L210)</f>
        <v>65398.55</v>
      </c>
      <c r="M206" s="363"/>
      <c r="N206" s="1023">
        <f>SUM(N207:N210)</f>
        <v>81289.710000000006</v>
      </c>
      <c r="O206" s="1051">
        <f t="shared" si="103"/>
        <v>146688.26</v>
      </c>
      <c r="P206" s="557"/>
      <c r="Q206" s="367">
        <f>Q210</f>
        <v>0</v>
      </c>
      <c r="R206" s="557">
        <f t="shared" ref="R206:S206" si="229">R210</f>
        <v>0</v>
      </c>
      <c r="S206" s="367">
        <f t="shared" si="229"/>
        <v>0</v>
      </c>
      <c r="T206" s="557"/>
      <c r="U206" s="365"/>
      <c r="V206" s="366"/>
      <c r="W206" s="366"/>
      <c r="X206" s="366"/>
      <c r="Z206" s="367">
        <f t="shared" si="173"/>
        <v>64330</v>
      </c>
      <c r="AA206" s="363">
        <f t="shared" si="173"/>
        <v>64330</v>
      </c>
      <c r="AB206" s="280">
        <f t="shared" si="94"/>
        <v>0</v>
      </c>
      <c r="AC206" s="367">
        <f t="shared" si="174"/>
        <v>25925</v>
      </c>
      <c r="AD206" s="363">
        <f t="shared" si="174"/>
        <v>25925</v>
      </c>
      <c r="AE206" s="280">
        <f t="shared" si="95"/>
        <v>0</v>
      </c>
      <c r="AF206" s="367">
        <f t="shared" si="175"/>
        <v>39491.519999999997</v>
      </c>
      <c r="AG206" s="363">
        <f t="shared" si="175"/>
        <v>39491.519999999997</v>
      </c>
      <c r="AH206" s="280">
        <f t="shared" si="96"/>
        <v>0</v>
      </c>
      <c r="AI206" s="367">
        <f t="shared" si="176"/>
        <v>16290</v>
      </c>
      <c r="AJ206" s="363">
        <f t="shared" si="176"/>
        <v>0</v>
      </c>
      <c r="AK206" s="280">
        <f t="shared" si="97"/>
        <v>16290</v>
      </c>
      <c r="AL206" s="368"/>
      <c r="AM206" s="367">
        <f t="shared" si="177"/>
        <v>90255</v>
      </c>
      <c r="AN206" s="363">
        <f t="shared" si="177"/>
        <v>90255</v>
      </c>
      <c r="AO206" s="280">
        <f t="shared" si="98"/>
        <v>0</v>
      </c>
      <c r="AP206" s="367">
        <f t="shared" si="178"/>
        <v>129746.52</v>
      </c>
      <c r="AQ206" s="363">
        <f t="shared" si="178"/>
        <v>129746.52</v>
      </c>
      <c r="AR206" s="280">
        <f t="shared" si="99"/>
        <v>0</v>
      </c>
      <c r="AS206" s="367">
        <f t="shared" si="228"/>
        <v>146036.51999999999</v>
      </c>
      <c r="AT206" s="363">
        <f t="shared" si="228"/>
        <v>129746.52</v>
      </c>
      <c r="AU206" s="280">
        <f t="shared" si="100"/>
        <v>16290</v>
      </c>
      <c r="AV206" s="1253">
        <f t="shared" si="101"/>
        <v>-80637.97</v>
      </c>
      <c r="AW206" s="367">
        <f t="shared" ref="AW206:BS206" si="230">SUM(AW207:AW210)</f>
        <v>1050</v>
      </c>
      <c r="AX206" s="1097">
        <f t="shared" si="230"/>
        <v>0</v>
      </c>
      <c r="AY206" s="363">
        <f t="shared" si="230"/>
        <v>63280</v>
      </c>
      <c r="AZ206" s="1097">
        <f t="shared" si="230"/>
        <v>64330</v>
      </c>
      <c r="BA206" s="363">
        <f t="shared" si="230"/>
        <v>0</v>
      </c>
      <c r="BB206" s="1119">
        <f t="shared" si="230"/>
        <v>0</v>
      </c>
      <c r="BC206" s="367">
        <f t="shared" si="230"/>
        <v>25925</v>
      </c>
      <c r="BD206" s="363">
        <f t="shared" si="230"/>
        <v>25925</v>
      </c>
      <c r="BE206" s="363">
        <f t="shared" si="230"/>
        <v>0</v>
      </c>
      <c r="BF206" s="363">
        <f t="shared" si="230"/>
        <v>0</v>
      </c>
      <c r="BG206" s="363">
        <f t="shared" si="230"/>
        <v>0</v>
      </c>
      <c r="BH206" s="369">
        <f t="shared" si="230"/>
        <v>0</v>
      </c>
      <c r="BI206" s="367">
        <f t="shared" si="230"/>
        <v>39491.519999999997</v>
      </c>
      <c r="BJ206" s="363">
        <f t="shared" si="230"/>
        <v>39491.519999999997</v>
      </c>
      <c r="BK206" s="363">
        <f t="shared" si="230"/>
        <v>0</v>
      </c>
      <c r="BL206" s="363">
        <f t="shared" si="230"/>
        <v>0</v>
      </c>
      <c r="BM206" s="363">
        <f t="shared" si="230"/>
        <v>0</v>
      </c>
      <c r="BN206" s="369">
        <f t="shared" si="230"/>
        <v>0</v>
      </c>
      <c r="BO206" s="367">
        <f t="shared" si="230"/>
        <v>16290</v>
      </c>
      <c r="BP206" s="363">
        <f t="shared" si="230"/>
        <v>0</v>
      </c>
      <c r="BQ206" s="363">
        <f t="shared" si="230"/>
        <v>0</v>
      </c>
      <c r="BR206" s="363">
        <f t="shared" si="230"/>
        <v>0</v>
      </c>
      <c r="BS206" s="363">
        <f t="shared" si="230"/>
        <v>0</v>
      </c>
      <c r="BT206" s="280">
        <f t="shared" ref="BT206" si="231">SUM(BT210:BT210)</f>
        <v>0</v>
      </c>
    </row>
    <row r="207" spans="1:72" s="313" customFormat="1" ht="123.75" customHeight="1" outlineLevel="1">
      <c r="A207" s="287">
        <v>192</v>
      </c>
      <c r="B207" s="1176"/>
      <c r="C207" s="840"/>
      <c r="D207" s="841"/>
      <c r="E207" s="839"/>
      <c r="F207" s="821" t="s">
        <v>7</v>
      </c>
      <c r="G207" s="314">
        <v>4</v>
      </c>
      <c r="H207" s="739" t="s">
        <v>71</v>
      </c>
      <c r="I207" s="739">
        <v>244</v>
      </c>
      <c r="J207" s="740">
        <v>346</v>
      </c>
      <c r="K207" s="533" t="s">
        <v>312</v>
      </c>
      <c r="L207" s="1025">
        <f>65398.55-1050</f>
        <v>64348.55</v>
      </c>
      <c r="M207" s="318"/>
      <c r="N207" s="1069">
        <v>0</v>
      </c>
      <c r="O207" s="1052">
        <f t="shared" si="103"/>
        <v>64348.55</v>
      </c>
      <c r="P207" s="559"/>
      <c r="Q207" s="341">
        <v>0</v>
      </c>
      <c r="R207" s="559"/>
      <c r="S207" s="341">
        <v>0</v>
      </c>
      <c r="T207" s="559"/>
      <c r="U207" s="335"/>
      <c r="V207" s="1227" t="s">
        <v>456</v>
      </c>
      <c r="W207" s="811" t="s">
        <v>874</v>
      </c>
      <c r="X207" s="1227" t="s">
        <v>860</v>
      </c>
      <c r="Z207" s="336">
        <f t="shared" si="173"/>
        <v>31640</v>
      </c>
      <c r="AA207" s="337">
        <f t="shared" si="173"/>
        <v>31640</v>
      </c>
      <c r="AB207" s="338">
        <f t="shared" si="94"/>
        <v>0</v>
      </c>
      <c r="AC207" s="336">
        <f t="shared" si="174"/>
        <v>12962.5</v>
      </c>
      <c r="AD207" s="337">
        <f t="shared" si="174"/>
        <v>12962.5</v>
      </c>
      <c r="AE207" s="338">
        <f t="shared" si="95"/>
        <v>0</v>
      </c>
      <c r="AF207" s="336">
        <f t="shared" si="175"/>
        <v>19745.759999999998</v>
      </c>
      <c r="AG207" s="337">
        <f t="shared" si="175"/>
        <v>19745.759999999998</v>
      </c>
      <c r="AH207" s="338">
        <f t="shared" si="96"/>
        <v>0</v>
      </c>
      <c r="AI207" s="336">
        <f t="shared" si="176"/>
        <v>0</v>
      </c>
      <c r="AJ207" s="337">
        <f t="shared" si="176"/>
        <v>0</v>
      </c>
      <c r="AK207" s="338">
        <f t="shared" si="97"/>
        <v>0</v>
      </c>
      <c r="AL207" s="342"/>
      <c r="AM207" s="336">
        <f t="shared" si="177"/>
        <v>44602.5</v>
      </c>
      <c r="AN207" s="339">
        <f t="shared" si="177"/>
        <v>44602.5</v>
      </c>
      <c r="AO207" s="340">
        <f t="shared" si="98"/>
        <v>0</v>
      </c>
      <c r="AP207" s="336">
        <f t="shared" si="178"/>
        <v>64348.26</v>
      </c>
      <c r="AQ207" s="339">
        <f t="shared" si="178"/>
        <v>64348.26</v>
      </c>
      <c r="AR207" s="340">
        <f t="shared" si="99"/>
        <v>0</v>
      </c>
      <c r="AS207" s="341">
        <f t="shared" si="228"/>
        <v>64348.26</v>
      </c>
      <c r="AT207" s="339">
        <f t="shared" si="228"/>
        <v>64348.26</v>
      </c>
      <c r="AU207" s="340">
        <f t="shared" si="100"/>
        <v>0</v>
      </c>
      <c r="AV207" s="1258">
        <f t="shared" si="101"/>
        <v>0.28999999999999998</v>
      </c>
      <c r="AW207" s="343"/>
      <c r="AX207" s="1098"/>
      <c r="AY207" s="1217">
        <v>31640</v>
      </c>
      <c r="AZ207" s="1218">
        <v>31640</v>
      </c>
      <c r="BA207" s="345"/>
      <c r="BB207" s="1120"/>
      <c r="BC207" s="1220">
        <f>12962.5</f>
        <v>12962.5</v>
      </c>
      <c r="BD207" s="1221">
        <v>12962.5</v>
      </c>
      <c r="BE207" s="419"/>
      <c r="BF207" s="348"/>
      <c r="BG207" s="1135"/>
      <c r="BH207" s="350"/>
      <c r="BI207" s="1224">
        <v>19745.759999999998</v>
      </c>
      <c r="BJ207" s="1225">
        <v>19745.759999999998</v>
      </c>
      <c r="BK207" s="337"/>
      <c r="BL207" s="352"/>
      <c r="BM207" s="337"/>
      <c r="BN207" s="353"/>
      <c r="BO207" s="354"/>
      <c r="BP207" s="355"/>
      <c r="BQ207" s="356"/>
      <c r="BR207" s="355"/>
      <c r="BS207" s="356"/>
      <c r="BT207" s="357"/>
    </row>
    <row r="208" spans="1:72" s="1402" customFormat="1" ht="25.5" outlineLevel="1">
      <c r="A208" s="1385">
        <v>192</v>
      </c>
      <c r="B208" s="1386"/>
      <c r="C208" s="1387"/>
      <c r="D208" s="1388"/>
      <c r="E208" s="1389"/>
      <c r="F208" s="1390" t="s">
        <v>7</v>
      </c>
      <c r="G208" s="1391">
        <v>4</v>
      </c>
      <c r="H208" s="1392" t="s">
        <v>71</v>
      </c>
      <c r="I208" s="1392">
        <v>244</v>
      </c>
      <c r="J208" s="1393">
        <v>346</v>
      </c>
      <c r="K208" s="1394" t="s">
        <v>1193</v>
      </c>
      <c r="L208" s="1395">
        <v>0</v>
      </c>
      <c r="M208" s="1396"/>
      <c r="N208" s="1397">
        <v>64999.71</v>
      </c>
      <c r="O208" s="1398">
        <f t="shared" ref="O208" si="232">L208+N208</f>
        <v>64999.71</v>
      </c>
      <c r="P208" s="1399"/>
      <c r="Q208" s="1400">
        <v>0</v>
      </c>
      <c r="R208" s="1399"/>
      <c r="S208" s="1400">
        <v>0</v>
      </c>
      <c r="T208" s="1399"/>
      <c r="U208" s="1401"/>
      <c r="V208" s="1376"/>
      <c r="W208" s="1376"/>
      <c r="X208" s="1376"/>
      <c r="Z208" s="1403">
        <f t="shared" ref="Z208" si="233">AW208+AY208+BA208</f>
        <v>31640</v>
      </c>
      <c r="AA208" s="1404">
        <f t="shared" ref="AA208" si="234">AX208+AZ208+BB208</f>
        <v>31640</v>
      </c>
      <c r="AB208" s="1405">
        <f t="shared" ref="AB208" si="235">Z208-AA208</f>
        <v>0</v>
      </c>
      <c r="AC208" s="1403">
        <f t="shared" ref="AC208" si="236">BC208+BE208+BG208</f>
        <v>12962.5</v>
      </c>
      <c r="AD208" s="1404">
        <f t="shared" ref="AD208" si="237">BD208+BF208+BH208</f>
        <v>12962.5</v>
      </c>
      <c r="AE208" s="1405">
        <f t="shared" ref="AE208" si="238">AC208-AD208</f>
        <v>0</v>
      </c>
      <c r="AF208" s="1403">
        <f t="shared" ref="AF208" si="239">BI208+BK208+BM208</f>
        <v>19745.759999999998</v>
      </c>
      <c r="AG208" s="1404">
        <f t="shared" ref="AG208" si="240">BJ208+BL208+BN208</f>
        <v>19745.759999999998</v>
      </c>
      <c r="AH208" s="1405">
        <f t="shared" ref="AH208" si="241">AF208-AG208</f>
        <v>0</v>
      </c>
      <c r="AI208" s="1403">
        <f t="shared" ref="AI208" si="242">BO208+BQ208+BS208</f>
        <v>0</v>
      </c>
      <c r="AJ208" s="1404">
        <f t="shared" ref="AJ208" si="243">BP208+BR208+BT208</f>
        <v>0</v>
      </c>
      <c r="AK208" s="1405">
        <f t="shared" ref="AK208" si="244">AI208-AJ208</f>
        <v>0</v>
      </c>
      <c r="AL208" s="1406"/>
      <c r="AM208" s="1403">
        <f t="shared" ref="AM208" si="245">Z208+AC208</f>
        <v>44602.5</v>
      </c>
      <c r="AN208" s="1404">
        <f t="shared" ref="AN208" si="246">AA208+AD208</f>
        <v>44602.5</v>
      </c>
      <c r="AO208" s="1405">
        <f t="shared" ref="AO208" si="247">AM208-AN208</f>
        <v>0</v>
      </c>
      <c r="AP208" s="1403">
        <f t="shared" ref="AP208" si="248">Z208+AC208+AF208</f>
        <v>64348.26</v>
      </c>
      <c r="AQ208" s="1404">
        <f t="shared" ref="AQ208" si="249">AA208+AD208+AG208</f>
        <v>64348.26</v>
      </c>
      <c r="AR208" s="1405">
        <f t="shared" ref="AR208" si="250">AP208-AQ208</f>
        <v>0</v>
      </c>
      <c r="AS208" s="1400">
        <f t="shared" ref="AS208" si="251">Z208+AC208+AF208+AI208</f>
        <v>64348.26</v>
      </c>
      <c r="AT208" s="1404">
        <f t="shared" ref="AT208" si="252">AA208+AD208+AG208+AJ208</f>
        <v>64348.26</v>
      </c>
      <c r="AU208" s="1405">
        <f t="shared" ref="AU208" si="253">AS208-AT208</f>
        <v>0</v>
      </c>
      <c r="AV208" s="1407">
        <f t="shared" ref="AV208" si="254">L208-AS208</f>
        <v>-64348.26</v>
      </c>
      <c r="AW208" s="1403"/>
      <c r="AX208" s="1408"/>
      <c r="AY208" s="1409">
        <v>31640</v>
      </c>
      <c r="AZ208" s="1409">
        <v>31640</v>
      </c>
      <c r="BA208" s="1404"/>
      <c r="BB208" s="1410"/>
      <c r="BC208" s="1411">
        <f>12962.5</f>
        <v>12962.5</v>
      </c>
      <c r="BD208" s="1409">
        <v>12962.5</v>
      </c>
      <c r="BE208" s="1412"/>
      <c r="BF208" s="1404"/>
      <c r="BG208" s="1378"/>
      <c r="BH208" s="1413"/>
      <c r="BI208" s="1411">
        <v>19745.759999999998</v>
      </c>
      <c r="BJ208" s="1409">
        <v>19745.759999999998</v>
      </c>
      <c r="BK208" s="1404"/>
      <c r="BL208" s="1404"/>
      <c r="BM208" s="1404"/>
      <c r="BN208" s="1413"/>
      <c r="BO208" s="1403"/>
      <c r="BP208" s="1404"/>
      <c r="BQ208" s="1404"/>
      <c r="BR208" s="1404"/>
      <c r="BS208" s="1404"/>
      <c r="BT208" s="1405"/>
    </row>
    <row r="209" spans="1:72" s="1402" customFormat="1" ht="38.25" outlineLevel="1">
      <c r="A209" s="1385"/>
      <c r="B209" s="1386"/>
      <c r="C209" s="1387"/>
      <c r="D209" s="1388"/>
      <c r="E209" s="1389"/>
      <c r="F209" s="1390" t="s">
        <v>7</v>
      </c>
      <c r="G209" s="1391">
        <v>4</v>
      </c>
      <c r="H209" s="1392" t="s">
        <v>71</v>
      </c>
      <c r="I209" s="1392">
        <v>244</v>
      </c>
      <c r="J209" s="1393">
        <v>346</v>
      </c>
      <c r="K209" s="1394" t="s">
        <v>1192</v>
      </c>
      <c r="L209" s="1395"/>
      <c r="M209" s="1396"/>
      <c r="N209" s="1397">
        <v>16290</v>
      </c>
      <c r="O209" s="1398">
        <f t="shared" si="103"/>
        <v>16290</v>
      </c>
      <c r="P209" s="1399"/>
      <c r="Q209" s="1400">
        <v>0</v>
      </c>
      <c r="R209" s="1399"/>
      <c r="S209" s="1400">
        <v>0</v>
      </c>
      <c r="T209" s="1399"/>
      <c r="U209" s="1401"/>
      <c r="V209" s="1376"/>
      <c r="W209" s="1376"/>
      <c r="X209" s="1376"/>
      <c r="Z209" s="1403"/>
      <c r="AA209" s="1404"/>
      <c r="AB209" s="1405"/>
      <c r="AC209" s="1403"/>
      <c r="AD209" s="1404"/>
      <c r="AE209" s="1405"/>
      <c r="AF209" s="1403"/>
      <c r="AG209" s="1404"/>
      <c r="AH209" s="1405"/>
      <c r="AI209" s="1403"/>
      <c r="AJ209" s="1404"/>
      <c r="AK209" s="1405"/>
      <c r="AL209" s="1406"/>
      <c r="AM209" s="1403"/>
      <c r="AN209" s="1404"/>
      <c r="AO209" s="1405"/>
      <c r="AP209" s="1403"/>
      <c r="AQ209" s="1404"/>
      <c r="AR209" s="1405"/>
      <c r="AS209" s="1400">
        <f t="shared" si="228"/>
        <v>0</v>
      </c>
      <c r="AT209" s="1404"/>
      <c r="AU209" s="1405"/>
      <c r="AV209" s="1407">
        <f t="shared" si="101"/>
        <v>0</v>
      </c>
      <c r="AW209" s="1403"/>
      <c r="AX209" s="1408"/>
      <c r="AY209" s="1409"/>
      <c r="AZ209" s="1409"/>
      <c r="BA209" s="1404"/>
      <c r="BB209" s="1410"/>
      <c r="BC209" s="1411"/>
      <c r="BD209" s="1409"/>
      <c r="BE209" s="1412"/>
      <c r="BF209" s="1404"/>
      <c r="BG209" s="1378"/>
      <c r="BH209" s="1413"/>
      <c r="BI209" s="1411"/>
      <c r="BJ209" s="1409"/>
      <c r="BK209" s="1404"/>
      <c r="BL209" s="1404"/>
      <c r="BM209" s="1404"/>
      <c r="BN209" s="1413"/>
      <c r="BO209" s="1403">
        <v>16290</v>
      </c>
      <c r="BP209" s="1404"/>
      <c r="BQ209" s="1404"/>
      <c r="BR209" s="1404"/>
      <c r="BS209" s="1404"/>
      <c r="BT209" s="1405"/>
    </row>
    <row r="210" spans="1:72" s="313" customFormat="1" ht="25.5" outlineLevel="1">
      <c r="A210" s="287">
        <v>193</v>
      </c>
      <c r="B210" s="1148"/>
      <c r="C210" s="840"/>
      <c r="D210" s="841"/>
      <c r="E210" s="839"/>
      <c r="F210" s="821" t="s">
        <v>7</v>
      </c>
      <c r="G210" s="314">
        <v>4</v>
      </c>
      <c r="H210" s="739" t="s">
        <v>71</v>
      </c>
      <c r="I210" s="739">
        <v>244</v>
      </c>
      <c r="J210" s="740">
        <v>346</v>
      </c>
      <c r="K210" s="533" t="s">
        <v>667</v>
      </c>
      <c r="L210" s="1025">
        <v>1050</v>
      </c>
      <c r="M210" s="318"/>
      <c r="N210" s="1069"/>
      <c r="O210" s="1052">
        <f t="shared" si="103"/>
        <v>1050</v>
      </c>
      <c r="P210" s="559"/>
      <c r="Q210" s="341">
        <v>0</v>
      </c>
      <c r="R210" s="559"/>
      <c r="S210" s="341">
        <v>0</v>
      </c>
      <c r="T210" s="559"/>
      <c r="U210" s="335"/>
      <c r="V210" s="597" t="s">
        <v>665</v>
      </c>
      <c r="W210" s="597" t="s">
        <v>666</v>
      </c>
      <c r="X210" s="597"/>
      <c r="Z210" s="336">
        <f t="shared" si="173"/>
        <v>1050</v>
      </c>
      <c r="AA210" s="337">
        <f t="shared" si="173"/>
        <v>1050</v>
      </c>
      <c r="AB210" s="338">
        <f t="shared" si="94"/>
        <v>0</v>
      </c>
      <c r="AC210" s="336">
        <f t="shared" si="174"/>
        <v>0</v>
      </c>
      <c r="AD210" s="337">
        <f t="shared" si="174"/>
        <v>0</v>
      </c>
      <c r="AE210" s="338">
        <f t="shared" si="95"/>
        <v>0</v>
      </c>
      <c r="AF210" s="336">
        <f t="shared" si="175"/>
        <v>0</v>
      </c>
      <c r="AG210" s="337">
        <f t="shared" si="175"/>
        <v>0</v>
      </c>
      <c r="AH210" s="338">
        <f t="shared" si="96"/>
        <v>0</v>
      </c>
      <c r="AI210" s="336">
        <f t="shared" si="176"/>
        <v>0</v>
      </c>
      <c r="AJ210" s="337">
        <f t="shared" si="176"/>
        <v>0</v>
      </c>
      <c r="AK210" s="338">
        <f t="shared" si="97"/>
        <v>0</v>
      </c>
      <c r="AL210" s="342"/>
      <c r="AM210" s="336">
        <f t="shared" si="177"/>
        <v>1050</v>
      </c>
      <c r="AN210" s="339">
        <f t="shared" si="177"/>
        <v>1050</v>
      </c>
      <c r="AO210" s="340">
        <f t="shared" si="98"/>
        <v>0</v>
      </c>
      <c r="AP210" s="336">
        <f t="shared" si="178"/>
        <v>1050</v>
      </c>
      <c r="AQ210" s="339">
        <f t="shared" si="178"/>
        <v>1050</v>
      </c>
      <c r="AR210" s="340">
        <f t="shared" si="99"/>
        <v>0</v>
      </c>
      <c r="AS210" s="341">
        <f>Z210+AC210+AF210+AI210</f>
        <v>1050</v>
      </c>
      <c r="AT210" s="339">
        <f t="shared" si="228"/>
        <v>1050</v>
      </c>
      <c r="AU210" s="340">
        <f t="shared" si="100"/>
        <v>0</v>
      </c>
      <c r="AV210" s="1255">
        <f t="shared" si="101"/>
        <v>0</v>
      </c>
      <c r="AW210" s="343">
        <v>1050</v>
      </c>
      <c r="AX210" s="1098">
        <v>0</v>
      </c>
      <c r="AY210" s="345"/>
      <c r="AZ210" s="1098">
        <v>1050</v>
      </c>
      <c r="BA210" s="345"/>
      <c r="BB210" s="1120"/>
      <c r="BC210" s="347"/>
      <c r="BD210" s="348"/>
      <c r="BE210" s="349"/>
      <c r="BF210" s="348"/>
      <c r="BG210" s="349"/>
      <c r="BH210" s="350"/>
      <c r="BI210" s="351"/>
      <c r="BJ210" s="352"/>
      <c r="BK210" s="337"/>
      <c r="BL210" s="352"/>
      <c r="BM210" s="337"/>
      <c r="BN210" s="353"/>
      <c r="BO210" s="354"/>
      <c r="BP210" s="355"/>
      <c r="BQ210" s="356"/>
      <c r="BR210" s="355"/>
      <c r="BS210" s="356"/>
      <c r="BT210" s="357"/>
    </row>
    <row r="211" spans="1:72" s="358" customFormat="1" ht="31.5">
      <c r="A211" s="287">
        <v>194</v>
      </c>
      <c r="B211" s="933"/>
      <c r="C211" s="837"/>
      <c r="D211" s="838"/>
      <c r="E211" s="836" t="s">
        <v>201</v>
      </c>
      <c r="F211" s="820" t="s">
        <v>7</v>
      </c>
      <c r="G211" s="360">
        <v>4</v>
      </c>
      <c r="H211" s="360" t="s">
        <v>71</v>
      </c>
      <c r="I211" s="360">
        <v>244</v>
      </c>
      <c r="J211" s="489">
        <v>345</v>
      </c>
      <c r="K211" s="532" t="s">
        <v>311</v>
      </c>
      <c r="L211" s="1023">
        <v>12502</v>
      </c>
      <c r="M211" s="363"/>
      <c r="N211" s="363"/>
      <c r="O211" s="1051">
        <f t="shared" si="103"/>
        <v>12502</v>
      </c>
      <c r="P211" s="557"/>
      <c r="Q211" s="367">
        <v>0</v>
      </c>
      <c r="R211" s="557"/>
      <c r="S211" s="367">
        <v>0</v>
      </c>
      <c r="T211" s="557"/>
      <c r="U211" s="365"/>
      <c r="V211" s="320"/>
      <c r="W211" s="320"/>
      <c r="X211" s="320"/>
      <c r="Z211" s="367">
        <f t="shared" si="173"/>
        <v>0</v>
      </c>
      <c r="AA211" s="363">
        <f t="shared" si="173"/>
        <v>0</v>
      </c>
      <c r="AB211" s="280">
        <f t="shared" si="94"/>
        <v>0</v>
      </c>
      <c r="AC211" s="367">
        <f t="shared" si="174"/>
        <v>0</v>
      </c>
      <c r="AD211" s="363">
        <f t="shared" si="174"/>
        <v>0</v>
      </c>
      <c r="AE211" s="280">
        <f t="shared" si="95"/>
        <v>0</v>
      </c>
      <c r="AF211" s="367">
        <f t="shared" si="175"/>
        <v>0</v>
      </c>
      <c r="AG211" s="363">
        <f t="shared" si="175"/>
        <v>0</v>
      </c>
      <c r="AH211" s="280">
        <f t="shared" si="96"/>
        <v>0</v>
      </c>
      <c r="AI211" s="367">
        <f t="shared" si="176"/>
        <v>12502</v>
      </c>
      <c r="AJ211" s="363">
        <f t="shared" si="176"/>
        <v>0</v>
      </c>
      <c r="AK211" s="280">
        <f t="shared" si="97"/>
        <v>12502</v>
      </c>
      <c r="AL211" s="368"/>
      <c r="AM211" s="367">
        <f t="shared" si="177"/>
        <v>0</v>
      </c>
      <c r="AN211" s="363">
        <f t="shared" si="177"/>
        <v>0</v>
      </c>
      <c r="AO211" s="280">
        <f t="shared" si="98"/>
        <v>0</v>
      </c>
      <c r="AP211" s="367">
        <f t="shared" si="178"/>
        <v>0</v>
      </c>
      <c r="AQ211" s="363">
        <f t="shared" si="178"/>
        <v>0</v>
      </c>
      <c r="AR211" s="280">
        <f t="shared" si="99"/>
        <v>0</v>
      </c>
      <c r="AS211" s="367">
        <f t="shared" si="228"/>
        <v>12502</v>
      </c>
      <c r="AT211" s="363">
        <f t="shared" si="228"/>
        <v>0</v>
      </c>
      <c r="AU211" s="280">
        <f t="shared" si="100"/>
        <v>12502</v>
      </c>
      <c r="AV211" s="1253">
        <f t="shared" si="101"/>
        <v>0</v>
      </c>
      <c r="AW211" s="367"/>
      <c r="AX211" s="1097"/>
      <c r="AY211" s="363"/>
      <c r="AZ211" s="1097"/>
      <c r="BA211" s="363"/>
      <c r="BB211" s="1119"/>
      <c r="BC211" s="367"/>
      <c r="BD211" s="363"/>
      <c r="BE211" s="363"/>
      <c r="BF211" s="363"/>
      <c r="BG211" s="363"/>
      <c r="BH211" s="369"/>
      <c r="BI211" s="367"/>
      <c r="BJ211" s="363"/>
      <c r="BK211" s="363"/>
      <c r="BL211" s="363"/>
      <c r="BM211" s="363"/>
      <c r="BN211" s="369"/>
      <c r="BO211" s="367"/>
      <c r="BP211" s="363"/>
      <c r="BQ211" s="363">
        <v>12502</v>
      </c>
      <c r="BR211" s="363"/>
      <c r="BS211" s="363"/>
      <c r="BT211" s="280"/>
    </row>
    <row r="212" spans="1:72" s="358" customFormat="1" ht="31.5">
      <c r="A212" s="287">
        <v>195</v>
      </c>
      <c r="B212" s="933"/>
      <c r="C212" s="837"/>
      <c r="D212" s="853" t="s">
        <v>216</v>
      </c>
      <c r="E212" s="836" t="s">
        <v>201</v>
      </c>
      <c r="F212" s="820" t="s">
        <v>7</v>
      </c>
      <c r="G212" s="360">
        <v>4</v>
      </c>
      <c r="H212" s="360" t="s">
        <v>71</v>
      </c>
      <c r="I212" s="360">
        <v>851</v>
      </c>
      <c r="J212" s="361">
        <v>291</v>
      </c>
      <c r="K212" s="532" t="s">
        <v>28</v>
      </c>
      <c r="L212" s="1023">
        <f>119325-19888</f>
        <v>99437</v>
      </c>
      <c r="M212" s="363"/>
      <c r="N212" s="363"/>
      <c r="O212" s="1051">
        <f t="shared" ref="O212:O220" si="255">L212+N212</f>
        <v>99437</v>
      </c>
      <c r="P212" s="557"/>
      <c r="Q212" s="367">
        <v>0</v>
      </c>
      <c r="R212" s="557"/>
      <c r="S212" s="367">
        <v>0</v>
      </c>
      <c r="T212" s="557"/>
      <c r="U212" s="365"/>
      <c r="V212" s="366"/>
      <c r="W212" s="366"/>
      <c r="X212" s="366"/>
      <c r="Z212" s="367">
        <f t="shared" si="173"/>
        <v>99437</v>
      </c>
      <c r="AA212" s="363">
        <f t="shared" si="173"/>
        <v>99437</v>
      </c>
      <c r="AB212" s="280">
        <f t="shared" si="94"/>
        <v>0</v>
      </c>
      <c r="AC212" s="367">
        <f t="shared" si="174"/>
        <v>0</v>
      </c>
      <c r="AD212" s="363">
        <f t="shared" si="174"/>
        <v>0</v>
      </c>
      <c r="AE212" s="280">
        <f t="shared" si="95"/>
        <v>0</v>
      </c>
      <c r="AF212" s="367">
        <f t="shared" si="175"/>
        <v>0</v>
      </c>
      <c r="AG212" s="363">
        <f t="shared" si="175"/>
        <v>0</v>
      </c>
      <c r="AH212" s="280">
        <f t="shared" si="96"/>
        <v>0</v>
      </c>
      <c r="AI212" s="367">
        <f t="shared" si="176"/>
        <v>0</v>
      </c>
      <c r="AJ212" s="363">
        <f t="shared" si="176"/>
        <v>0</v>
      </c>
      <c r="AK212" s="280">
        <f t="shared" si="97"/>
        <v>0</v>
      </c>
      <c r="AL212" s="368"/>
      <c r="AM212" s="367">
        <f t="shared" si="177"/>
        <v>99437</v>
      </c>
      <c r="AN212" s="363">
        <f t="shared" si="177"/>
        <v>99437</v>
      </c>
      <c r="AO212" s="280">
        <f t="shared" si="98"/>
        <v>0</v>
      </c>
      <c r="AP212" s="367">
        <f t="shared" si="178"/>
        <v>99437</v>
      </c>
      <c r="AQ212" s="363">
        <f t="shared" si="178"/>
        <v>99437</v>
      </c>
      <c r="AR212" s="280">
        <f t="shared" si="99"/>
        <v>0</v>
      </c>
      <c r="AS212" s="367">
        <f t="shared" si="228"/>
        <v>99437</v>
      </c>
      <c r="AT212" s="363">
        <f t="shared" si="228"/>
        <v>99437</v>
      </c>
      <c r="AU212" s="280">
        <f t="shared" si="100"/>
        <v>0</v>
      </c>
      <c r="AV212" s="1253">
        <f t="shared" si="101"/>
        <v>0</v>
      </c>
      <c r="AW212" s="367"/>
      <c r="AX212" s="1097"/>
      <c r="AY212" s="363"/>
      <c r="AZ212" s="1097"/>
      <c r="BA212" s="363">
        <v>99437</v>
      </c>
      <c r="BB212" s="1119">
        <v>99437</v>
      </c>
      <c r="BC212" s="367"/>
      <c r="BD212" s="363"/>
      <c r="BE212" s="363"/>
      <c r="BF212" s="363"/>
      <c r="BG212" s="363"/>
      <c r="BH212" s="369"/>
      <c r="BI212" s="367"/>
      <c r="BJ212" s="363"/>
      <c r="BK212" s="363"/>
      <c r="BL212" s="363"/>
      <c r="BM212" s="363"/>
      <c r="BN212" s="369"/>
      <c r="BO212" s="367"/>
      <c r="BP212" s="363"/>
      <c r="BQ212" s="363"/>
      <c r="BR212" s="363"/>
      <c r="BS212" s="363"/>
      <c r="BT212" s="280"/>
    </row>
    <row r="213" spans="1:72" s="358" customFormat="1" ht="47.25">
      <c r="A213" s="287">
        <v>196</v>
      </c>
      <c r="B213" s="933"/>
      <c r="C213" s="837"/>
      <c r="D213" s="853"/>
      <c r="E213" s="836" t="s">
        <v>201</v>
      </c>
      <c r="F213" s="820" t="s">
        <v>7</v>
      </c>
      <c r="G213" s="360">
        <v>4</v>
      </c>
      <c r="H213" s="360" t="s">
        <v>71</v>
      </c>
      <c r="I213" s="360">
        <v>852</v>
      </c>
      <c r="J213" s="361">
        <v>291</v>
      </c>
      <c r="K213" s="532" t="s">
        <v>1011</v>
      </c>
      <c r="L213" s="1023">
        <v>800</v>
      </c>
      <c r="M213" s="363"/>
      <c r="N213" s="363"/>
      <c r="O213" s="1051">
        <f t="shared" si="255"/>
        <v>800</v>
      </c>
      <c r="P213" s="557"/>
      <c r="Q213" s="367">
        <v>0</v>
      </c>
      <c r="R213" s="557"/>
      <c r="S213" s="367">
        <v>0</v>
      </c>
      <c r="T213" s="557"/>
      <c r="U213" s="365"/>
      <c r="V213" s="320"/>
      <c r="W213" s="320"/>
      <c r="X213" s="320"/>
      <c r="Z213" s="367">
        <f t="shared" si="173"/>
        <v>0</v>
      </c>
      <c r="AA213" s="363">
        <f t="shared" si="173"/>
        <v>0</v>
      </c>
      <c r="AB213" s="280">
        <f t="shared" si="94"/>
        <v>0</v>
      </c>
      <c r="AC213" s="367">
        <f t="shared" si="174"/>
        <v>0</v>
      </c>
      <c r="AD213" s="363">
        <f t="shared" si="174"/>
        <v>0</v>
      </c>
      <c r="AE213" s="280">
        <f t="shared" si="95"/>
        <v>0</v>
      </c>
      <c r="AF213" s="367">
        <f t="shared" si="175"/>
        <v>0</v>
      </c>
      <c r="AG213" s="363">
        <f t="shared" si="175"/>
        <v>0</v>
      </c>
      <c r="AH213" s="280">
        <f t="shared" si="96"/>
        <v>0</v>
      </c>
      <c r="AI213" s="367">
        <f t="shared" si="176"/>
        <v>800</v>
      </c>
      <c r="AJ213" s="363">
        <f t="shared" si="176"/>
        <v>0</v>
      </c>
      <c r="AK213" s="280">
        <f t="shared" si="97"/>
        <v>800</v>
      </c>
      <c r="AL213" s="368"/>
      <c r="AM213" s="367">
        <f t="shared" si="177"/>
        <v>0</v>
      </c>
      <c r="AN213" s="363">
        <f t="shared" si="177"/>
        <v>0</v>
      </c>
      <c r="AO213" s="280">
        <f t="shared" si="98"/>
        <v>0</v>
      </c>
      <c r="AP213" s="367">
        <f t="shared" si="178"/>
        <v>0</v>
      </c>
      <c r="AQ213" s="363">
        <f t="shared" si="178"/>
        <v>0</v>
      </c>
      <c r="AR213" s="280">
        <f t="shared" si="99"/>
        <v>0</v>
      </c>
      <c r="AS213" s="367">
        <f t="shared" si="228"/>
        <v>800</v>
      </c>
      <c r="AT213" s="363">
        <f t="shared" si="228"/>
        <v>0</v>
      </c>
      <c r="AU213" s="280">
        <f t="shared" si="100"/>
        <v>800</v>
      </c>
      <c r="AV213" s="1253">
        <f t="shared" si="101"/>
        <v>0</v>
      </c>
      <c r="AW213" s="367"/>
      <c r="AX213" s="1097"/>
      <c r="AY213" s="363"/>
      <c r="AZ213" s="1097"/>
      <c r="BA213" s="363"/>
      <c r="BB213" s="1119"/>
      <c r="BC213" s="367"/>
      <c r="BD213" s="363"/>
      <c r="BE213" s="363"/>
      <c r="BF213" s="363"/>
      <c r="BG213" s="363"/>
      <c r="BH213" s="369"/>
      <c r="BI213" s="367"/>
      <c r="BJ213" s="363"/>
      <c r="BK213" s="363"/>
      <c r="BL213" s="363"/>
      <c r="BM213" s="363"/>
      <c r="BN213" s="369"/>
      <c r="BO213" s="1278">
        <v>800</v>
      </c>
      <c r="BP213" s="363"/>
      <c r="BQ213" s="363"/>
      <c r="BR213" s="363"/>
      <c r="BS213" s="363"/>
      <c r="BT213" s="280"/>
    </row>
    <row r="214" spans="1:72" s="358" customFormat="1" ht="31.5">
      <c r="A214" s="287">
        <v>197</v>
      </c>
      <c r="B214" s="933"/>
      <c r="C214" s="837"/>
      <c r="D214" s="838"/>
      <c r="E214" s="836" t="s">
        <v>201</v>
      </c>
      <c r="F214" s="820" t="s">
        <v>7</v>
      </c>
      <c r="G214" s="360">
        <v>4</v>
      </c>
      <c r="H214" s="360" t="s">
        <v>71</v>
      </c>
      <c r="I214" s="360">
        <v>853</v>
      </c>
      <c r="J214" s="361">
        <v>297</v>
      </c>
      <c r="K214" s="532" t="s">
        <v>38</v>
      </c>
      <c r="L214" s="1042">
        <v>47779.58</v>
      </c>
      <c r="M214" s="363"/>
      <c r="N214" s="363"/>
      <c r="O214" s="1051">
        <f t="shared" si="255"/>
        <v>47779.58</v>
      </c>
      <c r="P214" s="557">
        <f>62938.83-L214-L327</f>
        <v>7733.24</v>
      </c>
      <c r="Q214" s="585">
        <v>26356.95</v>
      </c>
      <c r="R214" s="585"/>
      <c r="S214" s="585">
        <v>26256.63</v>
      </c>
      <c r="T214" s="557"/>
      <c r="U214" s="365"/>
      <c r="V214" s="366"/>
      <c r="W214" s="366"/>
      <c r="X214" s="366"/>
      <c r="Z214" s="367">
        <f t="shared" si="173"/>
        <v>0</v>
      </c>
      <c r="AA214" s="363">
        <f t="shared" si="173"/>
        <v>0</v>
      </c>
      <c r="AB214" s="280">
        <f t="shared" si="94"/>
        <v>0</v>
      </c>
      <c r="AC214" s="367">
        <f t="shared" si="174"/>
        <v>0</v>
      </c>
      <c r="AD214" s="363">
        <f t="shared" si="174"/>
        <v>0</v>
      </c>
      <c r="AE214" s="280">
        <f t="shared" si="95"/>
        <v>0</v>
      </c>
      <c r="AF214" s="367">
        <f t="shared" si="175"/>
        <v>0</v>
      </c>
      <c r="AG214" s="363">
        <f t="shared" si="175"/>
        <v>0</v>
      </c>
      <c r="AH214" s="280">
        <f t="shared" si="96"/>
        <v>0</v>
      </c>
      <c r="AI214" s="367">
        <f t="shared" si="176"/>
        <v>47779.58</v>
      </c>
      <c r="AJ214" s="363">
        <f t="shared" si="176"/>
        <v>0</v>
      </c>
      <c r="AK214" s="280">
        <f t="shared" si="97"/>
        <v>47779.58</v>
      </c>
      <c r="AL214" s="368"/>
      <c r="AM214" s="367">
        <f t="shared" si="177"/>
        <v>0</v>
      </c>
      <c r="AN214" s="363">
        <f t="shared" si="177"/>
        <v>0</v>
      </c>
      <c r="AO214" s="280">
        <f t="shared" si="98"/>
        <v>0</v>
      </c>
      <c r="AP214" s="367">
        <f t="shared" si="178"/>
        <v>0</v>
      </c>
      <c r="AQ214" s="363">
        <f t="shared" si="178"/>
        <v>0</v>
      </c>
      <c r="AR214" s="280">
        <f t="shared" si="99"/>
        <v>0</v>
      </c>
      <c r="AS214" s="367">
        <f t="shared" si="228"/>
        <v>47779.58</v>
      </c>
      <c r="AT214" s="363">
        <f t="shared" si="228"/>
        <v>0</v>
      </c>
      <c r="AU214" s="280">
        <f t="shared" si="100"/>
        <v>47779.58</v>
      </c>
      <c r="AV214" s="1253">
        <f t="shared" si="101"/>
        <v>0</v>
      </c>
      <c r="AW214" s="367"/>
      <c r="AX214" s="1097"/>
      <c r="AY214" s="363"/>
      <c r="AZ214" s="1097"/>
      <c r="BA214" s="363"/>
      <c r="BB214" s="1119"/>
      <c r="BC214" s="367"/>
      <c r="BD214" s="363"/>
      <c r="BE214" s="363"/>
      <c r="BF214" s="363"/>
      <c r="BG214" s="363"/>
      <c r="BH214" s="369"/>
      <c r="BI214" s="367"/>
      <c r="BJ214" s="363"/>
      <c r="BK214" s="363"/>
      <c r="BL214" s="363"/>
      <c r="BM214" s="363"/>
      <c r="BN214" s="369"/>
      <c r="BO214" s="367"/>
      <c r="BP214" s="363"/>
      <c r="BQ214" s="363"/>
      <c r="BR214" s="363"/>
      <c r="BS214" s="363">
        <v>47779.58</v>
      </c>
      <c r="BT214" s="280"/>
    </row>
    <row r="215" spans="1:72" s="358" customFormat="1" ht="63">
      <c r="A215" s="287">
        <v>198</v>
      </c>
      <c r="B215" s="933"/>
      <c r="C215" s="837" t="s">
        <v>377</v>
      </c>
      <c r="D215" s="838"/>
      <c r="E215" s="836" t="s">
        <v>201</v>
      </c>
      <c r="F215" s="830" t="s">
        <v>30</v>
      </c>
      <c r="G215" s="360">
        <v>4</v>
      </c>
      <c r="H215" s="506" t="s">
        <v>47</v>
      </c>
      <c r="I215" s="360">
        <v>244</v>
      </c>
      <c r="J215" s="361">
        <v>310</v>
      </c>
      <c r="K215" s="362" t="s">
        <v>790</v>
      </c>
      <c r="L215" s="1023">
        <f>L216</f>
        <v>340900</v>
      </c>
      <c r="M215" s="363"/>
      <c r="N215" s="363">
        <f>N216</f>
        <v>0</v>
      </c>
      <c r="O215" s="1051">
        <f t="shared" si="255"/>
        <v>340900</v>
      </c>
      <c r="P215" s="557"/>
      <c r="Q215" s="367">
        <v>0</v>
      </c>
      <c r="R215" s="557"/>
      <c r="S215" s="367">
        <v>0</v>
      </c>
      <c r="T215" s="557"/>
      <c r="U215" s="365"/>
      <c r="V215" s="366"/>
      <c r="W215" s="366"/>
      <c r="X215" s="366"/>
      <c r="Z215" s="367">
        <f t="shared" si="173"/>
        <v>0</v>
      </c>
      <c r="AA215" s="363">
        <f t="shared" si="173"/>
        <v>0</v>
      </c>
      <c r="AB215" s="280">
        <f t="shared" si="94"/>
        <v>0</v>
      </c>
      <c r="AC215" s="367">
        <f t="shared" si="174"/>
        <v>306800</v>
      </c>
      <c r="AD215" s="363">
        <f t="shared" si="174"/>
        <v>0</v>
      </c>
      <c r="AE215" s="280">
        <f t="shared" si="95"/>
        <v>306800</v>
      </c>
      <c r="AF215" s="367">
        <f t="shared" si="175"/>
        <v>0</v>
      </c>
      <c r="AG215" s="363">
        <f t="shared" si="175"/>
        <v>0</v>
      </c>
      <c r="AH215" s="280">
        <f t="shared" si="96"/>
        <v>0</v>
      </c>
      <c r="AI215" s="367">
        <f t="shared" si="176"/>
        <v>0</v>
      </c>
      <c r="AJ215" s="363">
        <f t="shared" si="176"/>
        <v>0</v>
      </c>
      <c r="AK215" s="280">
        <f t="shared" si="97"/>
        <v>0</v>
      </c>
      <c r="AL215" s="368"/>
      <c r="AM215" s="367">
        <f t="shared" si="177"/>
        <v>306800</v>
      </c>
      <c r="AN215" s="363">
        <f t="shared" si="177"/>
        <v>0</v>
      </c>
      <c r="AO215" s="280">
        <f t="shared" si="98"/>
        <v>306800</v>
      </c>
      <c r="AP215" s="367">
        <f t="shared" si="178"/>
        <v>306800</v>
      </c>
      <c r="AQ215" s="363">
        <f t="shared" si="178"/>
        <v>0</v>
      </c>
      <c r="AR215" s="280">
        <f t="shared" si="99"/>
        <v>306800</v>
      </c>
      <c r="AS215" s="367">
        <f t="shared" si="228"/>
        <v>306800</v>
      </c>
      <c r="AT215" s="363">
        <f t="shared" si="228"/>
        <v>0</v>
      </c>
      <c r="AU215" s="280">
        <f t="shared" si="100"/>
        <v>306800</v>
      </c>
      <c r="AV215" s="1253">
        <f t="shared" si="101"/>
        <v>34100</v>
      </c>
      <c r="AW215" s="367">
        <f t="shared" ref="AW215:BT215" si="256">SUM(AW216:AW216)</f>
        <v>0</v>
      </c>
      <c r="AX215" s="1097">
        <f t="shared" si="256"/>
        <v>0</v>
      </c>
      <c r="AY215" s="363">
        <f t="shared" si="256"/>
        <v>0</v>
      </c>
      <c r="AZ215" s="1097">
        <f t="shared" si="256"/>
        <v>0</v>
      </c>
      <c r="BA215" s="363">
        <f t="shared" si="256"/>
        <v>0</v>
      </c>
      <c r="BB215" s="1119">
        <f t="shared" si="256"/>
        <v>0</v>
      </c>
      <c r="BC215" s="367">
        <f t="shared" si="256"/>
        <v>0</v>
      </c>
      <c r="BD215" s="363">
        <f t="shared" si="256"/>
        <v>0</v>
      </c>
      <c r="BE215" s="363">
        <f t="shared" si="256"/>
        <v>0</v>
      </c>
      <c r="BF215" s="363">
        <f t="shared" si="256"/>
        <v>0</v>
      </c>
      <c r="BG215" s="363">
        <f t="shared" si="256"/>
        <v>306800</v>
      </c>
      <c r="BH215" s="369">
        <f t="shared" si="256"/>
        <v>0</v>
      </c>
      <c r="BI215" s="367">
        <f t="shared" si="256"/>
        <v>0</v>
      </c>
      <c r="BJ215" s="363">
        <f t="shared" si="256"/>
        <v>0</v>
      </c>
      <c r="BK215" s="363">
        <f t="shared" si="256"/>
        <v>0</v>
      </c>
      <c r="BL215" s="363">
        <f t="shared" si="256"/>
        <v>0</v>
      </c>
      <c r="BM215" s="363">
        <f t="shared" si="256"/>
        <v>0</v>
      </c>
      <c r="BN215" s="369">
        <f t="shared" si="256"/>
        <v>0</v>
      </c>
      <c r="BO215" s="367">
        <f t="shared" si="256"/>
        <v>0</v>
      </c>
      <c r="BP215" s="363">
        <f t="shared" si="256"/>
        <v>0</v>
      </c>
      <c r="BQ215" s="363">
        <f t="shared" si="256"/>
        <v>0</v>
      </c>
      <c r="BR215" s="363">
        <f t="shared" si="256"/>
        <v>0</v>
      </c>
      <c r="BS215" s="363">
        <f t="shared" si="256"/>
        <v>0</v>
      </c>
      <c r="BT215" s="280">
        <f t="shared" si="256"/>
        <v>0</v>
      </c>
    </row>
    <row r="216" spans="1:72" s="313" customFormat="1" ht="76.5" outlineLevel="1">
      <c r="A216" s="287">
        <v>199</v>
      </c>
      <c r="B216" s="940"/>
      <c r="C216" s="840"/>
      <c r="D216" s="841"/>
      <c r="E216" s="839"/>
      <c r="F216" s="821" t="s">
        <v>30</v>
      </c>
      <c r="G216" s="314">
        <v>4</v>
      </c>
      <c r="H216" s="739" t="s">
        <v>47</v>
      </c>
      <c r="I216" s="739">
        <v>244</v>
      </c>
      <c r="J216" s="740">
        <v>310</v>
      </c>
      <c r="K216" s="317" t="s">
        <v>303</v>
      </c>
      <c r="L216" s="1029">
        <v>340900</v>
      </c>
      <c r="M216" s="403"/>
      <c r="N216" s="403"/>
      <c r="O216" s="1063">
        <f t="shared" si="255"/>
        <v>340900</v>
      </c>
      <c r="P216" s="566"/>
      <c r="Q216" s="406">
        <v>0</v>
      </c>
      <c r="R216" s="566"/>
      <c r="S216" s="406">
        <v>0</v>
      </c>
      <c r="T216" s="566"/>
      <c r="U216" s="335"/>
      <c r="V216" s="597" t="s">
        <v>879</v>
      </c>
      <c r="W216" s="597" t="s">
        <v>890</v>
      </c>
      <c r="X216" s="597" t="s">
        <v>889</v>
      </c>
      <c r="Z216" s="336">
        <f t="shared" si="173"/>
        <v>0</v>
      </c>
      <c r="AA216" s="337">
        <f t="shared" si="173"/>
        <v>0</v>
      </c>
      <c r="AB216" s="338">
        <f t="shared" si="94"/>
        <v>0</v>
      </c>
      <c r="AC216" s="336">
        <f t="shared" si="174"/>
        <v>306800</v>
      </c>
      <c r="AD216" s="337">
        <f t="shared" si="174"/>
        <v>0</v>
      </c>
      <c r="AE216" s="338">
        <f t="shared" si="95"/>
        <v>306800</v>
      </c>
      <c r="AF216" s="336">
        <f t="shared" si="175"/>
        <v>0</v>
      </c>
      <c r="AG216" s="337">
        <f t="shared" si="175"/>
        <v>0</v>
      </c>
      <c r="AH216" s="338">
        <f t="shared" si="96"/>
        <v>0</v>
      </c>
      <c r="AI216" s="336">
        <f t="shared" si="176"/>
        <v>0</v>
      </c>
      <c r="AJ216" s="337">
        <f t="shared" si="176"/>
        <v>0</v>
      </c>
      <c r="AK216" s="338">
        <f t="shared" si="97"/>
        <v>0</v>
      </c>
      <c r="AL216" s="342"/>
      <c r="AM216" s="336">
        <f t="shared" si="177"/>
        <v>306800</v>
      </c>
      <c r="AN216" s="339">
        <f t="shared" si="177"/>
        <v>0</v>
      </c>
      <c r="AO216" s="340">
        <f t="shared" si="98"/>
        <v>306800</v>
      </c>
      <c r="AP216" s="336">
        <f t="shared" si="178"/>
        <v>306800</v>
      </c>
      <c r="AQ216" s="339">
        <f t="shared" si="178"/>
        <v>0</v>
      </c>
      <c r="AR216" s="340">
        <f t="shared" si="99"/>
        <v>306800</v>
      </c>
      <c r="AS216" s="341">
        <f t="shared" si="228"/>
        <v>306800</v>
      </c>
      <c r="AT216" s="339">
        <f t="shared" si="228"/>
        <v>0</v>
      </c>
      <c r="AU216" s="340">
        <f t="shared" si="100"/>
        <v>306800</v>
      </c>
      <c r="AV216" s="1255">
        <f t="shared" si="101"/>
        <v>34100</v>
      </c>
      <c r="AW216" s="343"/>
      <c r="AX216" s="1098"/>
      <c r="AY216" s="345"/>
      <c r="AZ216" s="1098"/>
      <c r="BA216" s="345"/>
      <c r="BB216" s="1120"/>
      <c r="BC216" s="347"/>
      <c r="BD216" s="348"/>
      <c r="BE216" s="349"/>
      <c r="BF216" s="348"/>
      <c r="BG216" s="349">
        <v>306800</v>
      </c>
      <c r="BH216" s="350"/>
      <c r="BI216" s="351"/>
      <c r="BJ216" s="352"/>
      <c r="BK216" s="337"/>
      <c r="BL216" s="352"/>
      <c r="BM216" s="337"/>
      <c r="BN216" s="353"/>
      <c r="BO216" s="354"/>
      <c r="BP216" s="355"/>
      <c r="BQ216" s="356"/>
      <c r="BR216" s="355"/>
      <c r="BS216" s="356"/>
      <c r="BT216" s="357"/>
    </row>
    <row r="217" spans="1:72" s="358" customFormat="1" ht="63">
      <c r="A217" s="287">
        <v>200</v>
      </c>
      <c r="B217" s="933"/>
      <c r="C217" s="837" t="s">
        <v>377</v>
      </c>
      <c r="D217" s="838"/>
      <c r="E217" s="836" t="s">
        <v>201</v>
      </c>
      <c r="F217" s="830" t="s">
        <v>31</v>
      </c>
      <c r="G217" s="360">
        <v>4</v>
      </c>
      <c r="H217" s="506" t="s">
        <v>47</v>
      </c>
      <c r="I217" s="360">
        <v>244</v>
      </c>
      <c r="J217" s="361">
        <v>310</v>
      </c>
      <c r="K217" s="362" t="s">
        <v>790</v>
      </c>
      <c r="L217" s="1023">
        <f>L218</f>
        <v>795441.5</v>
      </c>
      <c r="M217" s="363"/>
      <c r="N217" s="363">
        <f>N218</f>
        <v>0</v>
      </c>
      <c r="O217" s="1051">
        <f t="shared" si="255"/>
        <v>795441.5</v>
      </c>
      <c r="P217" s="557"/>
      <c r="Q217" s="367">
        <v>0</v>
      </c>
      <c r="R217" s="557"/>
      <c r="S217" s="367">
        <v>0</v>
      </c>
      <c r="T217" s="557"/>
      <c r="U217" s="365"/>
      <c r="V217" s="366"/>
      <c r="W217" s="366"/>
      <c r="X217" s="366"/>
      <c r="Z217" s="367">
        <f t="shared" si="173"/>
        <v>0</v>
      </c>
      <c r="AA217" s="363">
        <f t="shared" si="173"/>
        <v>0</v>
      </c>
      <c r="AB217" s="280">
        <f t="shared" si="94"/>
        <v>0</v>
      </c>
      <c r="AC217" s="367">
        <f t="shared" si="174"/>
        <v>715900</v>
      </c>
      <c r="AD217" s="363">
        <f t="shared" si="174"/>
        <v>0</v>
      </c>
      <c r="AE217" s="280">
        <f t="shared" si="95"/>
        <v>715900</v>
      </c>
      <c r="AF217" s="367">
        <f t="shared" si="175"/>
        <v>0</v>
      </c>
      <c r="AG217" s="363">
        <f t="shared" si="175"/>
        <v>0</v>
      </c>
      <c r="AH217" s="280">
        <f t="shared" si="96"/>
        <v>0</v>
      </c>
      <c r="AI217" s="367">
        <f t="shared" si="176"/>
        <v>0</v>
      </c>
      <c r="AJ217" s="363">
        <f t="shared" si="176"/>
        <v>0</v>
      </c>
      <c r="AK217" s="280">
        <f t="shared" si="97"/>
        <v>0</v>
      </c>
      <c r="AL217" s="368"/>
      <c r="AM217" s="367">
        <f t="shared" si="177"/>
        <v>715900</v>
      </c>
      <c r="AN217" s="363">
        <f t="shared" si="177"/>
        <v>0</v>
      </c>
      <c r="AO217" s="280">
        <f t="shared" si="98"/>
        <v>715900</v>
      </c>
      <c r="AP217" s="367">
        <f t="shared" si="178"/>
        <v>715900</v>
      </c>
      <c r="AQ217" s="363">
        <f t="shared" si="178"/>
        <v>0</v>
      </c>
      <c r="AR217" s="280">
        <f t="shared" si="99"/>
        <v>715900</v>
      </c>
      <c r="AS217" s="367">
        <f t="shared" si="228"/>
        <v>715900</v>
      </c>
      <c r="AT217" s="363">
        <f t="shared" si="228"/>
        <v>0</v>
      </c>
      <c r="AU217" s="280">
        <f t="shared" si="100"/>
        <v>715900</v>
      </c>
      <c r="AV217" s="1253">
        <f t="shared" si="101"/>
        <v>79541.5</v>
      </c>
      <c r="AW217" s="367">
        <f t="shared" ref="AW217:BT217" si="257">SUM(AW218:AW218)</f>
        <v>0</v>
      </c>
      <c r="AX217" s="1097">
        <f t="shared" si="257"/>
        <v>0</v>
      </c>
      <c r="AY217" s="363">
        <f t="shared" si="257"/>
        <v>0</v>
      </c>
      <c r="AZ217" s="1097">
        <f t="shared" si="257"/>
        <v>0</v>
      </c>
      <c r="BA217" s="363">
        <f t="shared" si="257"/>
        <v>0</v>
      </c>
      <c r="BB217" s="1119">
        <f t="shared" si="257"/>
        <v>0</v>
      </c>
      <c r="BC217" s="367">
        <f t="shared" si="257"/>
        <v>0</v>
      </c>
      <c r="BD217" s="363">
        <f t="shared" si="257"/>
        <v>0</v>
      </c>
      <c r="BE217" s="363">
        <f t="shared" si="257"/>
        <v>0</v>
      </c>
      <c r="BF217" s="363">
        <f t="shared" si="257"/>
        <v>0</v>
      </c>
      <c r="BG217" s="363">
        <f t="shared" si="257"/>
        <v>715900</v>
      </c>
      <c r="BH217" s="369">
        <f t="shared" si="257"/>
        <v>0</v>
      </c>
      <c r="BI217" s="367">
        <f t="shared" si="257"/>
        <v>0</v>
      </c>
      <c r="BJ217" s="363">
        <f t="shared" si="257"/>
        <v>0</v>
      </c>
      <c r="BK217" s="363">
        <f t="shared" si="257"/>
        <v>0</v>
      </c>
      <c r="BL217" s="363">
        <f t="shared" si="257"/>
        <v>0</v>
      </c>
      <c r="BM217" s="363">
        <f t="shared" si="257"/>
        <v>0</v>
      </c>
      <c r="BN217" s="369">
        <f t="shared" si="257"/>
        <v>0</v>
      </c>
      <c r="BO217" s="367">
        <f t="shared" si="257"/>
        <v>0</v>
      </c>
      <c r="BP217" s="363">
        <f t="shared" si="257"/>
        <v>0</v>
      </c>
      <c r="BQ217" s="363">
        <f t="shared" si="257"/>
        <v>0</v>
      </c>
      <c r="BR217" s="363">
        <f t="shared" si="257"/>
        <v>0</v>
      </c>
      <c r="BS217" s="363">
        <f t="shared" si="257"/>
        <v>0</v>
      </c>
      <c r="BT217" s="280">
        <f t="shared" si="257"/>
        <v>0</v>
      </c>
    </row>
    <row r="218" spans="1:72" s="313" customFormat="1" ht="76.5" outlineLevel="1">
      <c r="A218" s="287">
        <v>201</v>
      </c>
      <c r="B218" s="1299" t="s">
        <v>1130</v>
      </c>
      <c r="C218" s="840"/>
      <c r="D218" s="841"/>
      <c r="E218" s="839"/>
      <c r="F218" s="821" t="s">
        <v>31</v>
      </c>
      <c r="G218" s="314">
        <v>4</v>
      </c>
      <c r="H218" s="739" t="s">
        <v>47</v>
      </c>
      <c r="I218" s="739">
        <v>244</v>
      </c>
      <c r="J218" s="740">
        <v>310</v>
      </c>
      <c r="K218" s="317" t="s">
        <v>303</v>
      </c>
      <c r="L218" s="1029">
        <v>795441.5</v>
      </c>
      <c r="M218" s="403"/>
      <c r="N218" s="403"/>
      <c r="O218" s="1063">
        <f t="shared" si="255"/>
        <v>795441.5</v>
      </c>
      <c r="P218" s="566"/>
      <c r="Q218" s="406">
        <v>0</v>
      </c>
      <c r="R218" s="566"/>
      <c r="S218" s="406">
        <v>0</v>
      </c>
      <c r="T218" s="566"/>
      <c r="U218" s="335"/>
      <c r="V218" s="597" t="s">
        <v>879</v>
      </c>
      <c r="W218" s="597" t="s">
        <v>890</v>
      </c>
      <c r="X218" s="597" t="s">
        <v>889</v>
      </c>
      <c r="Z218" s="336">
        <f t="shared" si="173"/>
        <v>0</v>
      </c>
      <c r="AA218" s="337">
        <f t="shared" si="173"/>
        <v>0</v>
      </c>
      <c r="AB218" s="338">
        <f t="shared" si="94"/>
        <v>0</v>
      </c>
      <c r="AC218" s="336">
        <f t="shared" si="174"/>
        <v>715900</v>
      </c>
      <c r="AD218" s="337">
        <f t="shared" si="174"/>
        <v>0</v>
      </c>
      <c r="AE218" s="338">
        <f t="shared" si="95"/>
        <v>715900</v>
      </c>
      <c r="AF218" s="336">
        <f t="shared" si="175"/>
        <v>0</v>
      </c>
      <c r="AG218" s="337">
        <f t="shared" si="175"/>
        <v>0</v>
      </c>
      <c r="AH218" s="338">
        <f t="shared" si="96"/>
        <v>0</v>
      </c>
      <c r="AI218" s="336">
        <f t="shared" si="176"/>
        <v>0</v>
      </c>
      <c r="AJ218" s="337">
        <f t="shared" si="176"/>
        <v>0</v>
      </c>
      <c r="AK218" s="338">
        <f t="shared" si="97"/>
        <v>0</v>
      </c>
      <c r="AL218" s="342"/>
      <c r="AM218" s="336">
        <f t="shared" si="177"/>
        <v>715900</v>
      </c>
      <c r="AN218" s="339">
        <f t="shared" si="177"/>
        <v>0</v>
      </c>
      <c r="AO218" s="340">
        <f t="shared" si="98"/>
        <v>715900</v>
      </c>
      <c r="AP218" s="336">
        <f t="shared" si="178"/>
        <v>715900</v>
      </c>
      <c r="AQ218" s="339">
        <f t="shared" si="178"/>
        <v>0</v>
      </c>
      <c r="AR218" s="340">
        <f t="shared" si="99"/>
        <v>715900</v>
      </c>
      <c r="AS218" s="341">
        <f t="shared" si="228"/>
        <v>715900</v>
      </c>
      <c r="AT218" s="339">
        <f t="shared" si="228"/>
        <v>0</v>
      </c>
      <c r="AU218" s="340">
        <f t="shared" si="100"/>
        <v>715900</v>
      </c>
      <c r="AV218" s="1255">
        <f t="shared" si="101"/>
        <v>79541.5</v>
      </c>
      <c r="AW218" s="343"/>
      <c r="AX218" s="1098"/>
      <c r="AY218" s="345"/>
      <c r="AZ218" s="1098"/>
      <c r="BA218" s="345"/>
      <c r="BB218" s="1120"/>
      <c r="BC218" s="347"/>
      <c r="BD218" s="348"/>
      <c r="BE218" s="349"/>
      <c r="BF218" s="348"/>
      <c r="BG218" s="349">
        <v>715900</v>
      </c>
      <c r="BH218" s="350"/>
      <c r="BI218" s="351"/>
      <c r="BJ218" s="352"/>
      <c r="BK218" s="337"/>
      <c r="BL218" s="352"/>
      <c r="BM218" s="337"/>
      <c r="BN218" s="353"/>
      <c r="BO218" s="354"/>
      <c r="BP218" s="355"/>
      <c r="BQ218" s="356"/>
      <c r="BR218" s="355"/>
      <c r="BS218" s="356"/>
      <c r="BT218" s="357"/>
    </row>
    <row r="219" spans="1:72" s="358" customFormat="1" ht="63">
      <c r="A219" s="287">
        <v>202</v>
      </c>
      <c r="B219" s="933"/>
      <c r="C219" s="837" t="s">
        <v>377</v>
      </c>
      <c r="D219" s="838"/>
      <c r="E219" s="836" t="s">
        <v>201</v>
      </c>
      <c r="F219" s="830" t="s">
        <v>7</v>
      </c>
      <c r="G219" s="360">
        <v>4</v>
      </c>
      <c r="H219" s="506" t="s">
        <v>47</v>
      </c>
      <c r="I219" s="360">
        <v>244</v>
      </c>
      <c r="J219" s="361">
        <v>310</v>
      </c>
      <c r="K219" s="362" t="s">
        <v>790</v>
      </c>
      <c r="L219" s="1023">
        <f>L220</f>
        <v>59807.45</v>
      </c>
      <c r="M219" s="363"/>
      <c r="N219" s="363">
        <f>N220</f>
        <v>0</v>
      </c>
      <c r="O219" s="1051">
        <f t="shared" si="255"/>
        <v>59807.45</v>
      </c>
      <c r="P219" s="557"/>
      <c r="Q219" s="367">
        <v>0</v>
      </c>
      <c r="R219" s="557"/>
      <c r="S219" s="367">
        <v>0</v>
      </c>
      <c r="T219" s="557"/>
      <c r="U219" s="365"/>
      <c r="V219" s="366"/>
      <c r="W219" s="366"/>
      <c r="X219" s="366"/>
      <c r="Z219" s="367">
        <f t="shared" si="173"/>
        <v>0</v>
      </c>
      <c r="AA219" s="363">
        <f t="shared" si="173"/>
        <v>0</v>
      </c>
      <c r="AB219" s="280">
        <f t="shared" si="94"/>
        <v>0</v>
      </c>
      <c r="AC219" s="367">
        <f t="shared" si="174"/>
        <v>53826.32</v>
      </c>
      <c r="AD219" s="363">
        <f t="shared" si="174"/>
        <v>0</v>
      </c>
      <c r="AE219" s="280">
        <f t="shared" si="95"/>
        <v>53826.32</v>
      </c>
      <c r="AF219" s="367">
        <f t="shared" si="175"/>
        <v>0</v>
      </c>
      <c r="AG219" s="363">
        <f t="shared" si="175"/>
        <v>0</v>
      </c>
      <c r="AH219" s="280">
        <f t="shared" si="96"/>
        <v>0</v>
      </c>
      <c r="AI219" s="367">
        <f t="shared" si="176"/>
        <v>0</v>
      </c>
      <c r="AJ219" s="363">
        <f t="shared" si="176"/>
        <v>0</v>
      </c>
      <c r="AK219" s="280">
        <f t="shared" si="97"/>
        <v>0</v>
      </c>
      <c r="AL219" s="368"/>
      <c r="AM219" s="367">
        <f t="shared" si="177"/>
        <v>53826.32</v>
      </c>
      <c r="AN219" s="363">
        <f t="shared" si="177"/>
        <v>0</v>
      </c>
      <c r="AO219" s="280">
        <f t="shared" si="98"/>
        <v>53826.32</v>
      </c>
      <c r="AP219" s="367">
        <f t="shared" si="178"/>
        <v>53826.32</v>
      </c>
      <c r="AQ219" s="363">
        <f t="shared" si="178"/>
        <v>0</v>
      </c>
      <c r="AR219" s="280">
        <f t="shared" si="99"/>
        <v>53826.32</v>
      </c>
      <c r="AS219" s="367">
        <f t="shared" si="228"/>
        <v>53826.32</v>
      </c>
      <c r="AT219" s="363">
        <f t="shared" si="228"/>
        <v>0</v>
      </c>
      <c r="AU219" s="280">
        <f t="shared" si="100"/>
        <v>53826.32</v>
      </c>
      <c r="AV219" s="1253">
        <f t="shared" si="101"/>
        <v>5981.13</v>
      </c>
      <c r="AW219" s="367">
        <f t="shared" ref="AW219:BT219" si="258">SUM(AW220:AW220)</f>
        <v>0</v>
      </c>
      <c r="AX219" s="1097">
        <f t="shared" si="258"/>
        <v>0</v>
      </c>
      <c r="AY219" s="363">
        <f t="shared" si="258"/>
        <v>0</v>
      </c>
      <c r="AZ219" s="1097">
        <f t="shared" si="258"/>
        <v>0</v>
      </c>
      <c r="BA219" s="363">
        <f t="shared" si="258"/>
        <v>0</v>
      </c>
      <c r="BB219" s="1119">
        <f t="shared" si="258"/>
        <v>0</v>
      </c>
      <c r="BC219" s="367">
        <f t="shared" si="258"/>
        <v>0</v>
      </c>
      <c r="BD219" s="363">
        <f t="shared" si="258"/>
        <v>0</v>
      </c>
      <c r="BE219" s="363">
        <f t="shared" si="258"/>
        <v>0</v>
      </c>
      <c r="BF219" s="363">
        <f t="shared" si="258"/>
        <v>0</v>
      </c>
      <c r="BG219" s="363">
        <f t="shared" si="258"/>
        <v>53826.32</v>
      </c>
      <c r="BH219" s="369">
        <f t="shared" si="258"/>
        <v>0</v>
      </c>
      <c r="BI219" s="367">
        <f t="shared" si="258"/>
        <v>0</v>
      </c>
      <c r="BJ219" s="363">
        <f t="shared" si="258"/>
        <v>0</v>
      </c>
      <c r="BK219" s="363">
        <f t="shared" si="258"/>
        <v>0</v>
      </c>
      <c r="BL219" s="363">
        <f t="shared" si="258"/>
        <v>0</v>
      </c>
      <c r="BM219" s="363">
        <f t="shared" si="258"/>
        <v>0</v>
      </c>
      <c r="BN219" s="369">
        <f t="shared" si="258"/>
        <v>0</v>
      </c>
      <c r="BO219" s="367">
        <f t="shared" si="258"/>
        <v>0</v>
      </c>
      <c r="BP219" s="363">
        <f t="shared" si="258"/>
        <v>0</v>
      </c>
      <c r="BQ219" s="363">
        <f t="shared" si="258"/>
        <v>0</v>
      </c>
      <c r="BR219" s="363">
        <f t="shared" si="258"/>
        <v>0</v>
      </c>
      <c r="BS219" s="363">
        <f t="shared" si="258"/>
        <v>0</v>
      </c>
      <c r="BT219" s="280">
        <f t="shared" si="258"/>
        <v>0</v>
      </c>
    </row>
    <row r="220" spans="1:72" s="313" customFormat="1" ht="76.5" outlineLevel="1">
      <c r="A220" s="287">
        <v>203</v>
      </c>
      <c r="B220" s="1299" t="s">
        <v>1131</v>
      </c>
      <c r="C220" s="840"/>
      <c r="D220" s="841"/>
      <c r="E220" s="839"/>
      <c r="F220" s="821" t="s">
        <v>7</v>
      </c>
      <c r="G220" s="314">
        <v>4</v>
      </c>
      <c r="H220" s="739" t="s">
        <v>47</v>
      </c>
      <c r="I220" s="739">
        <v>244</v>
      </c>
      <c r="J220" s="740">
        <v>310</v>
      </c>
      <c r="K220" s="317" t="s">
        <v>303</v>
      </c>
      <c r="L220" s="1029">
        <v>59807.45</v>
      </c>
      <c r="M220" s="403"/>
      <c r="N220" s="403"/>
      <c r="O220" s="1063">
        <f t="shared" si="255"/>
        <v>59807.45</v>
      </c>
      <c r="P220" s="566"/>
      <c r="Q220" s="406">
        <v>0</v>
      </c>
      <c r="R220" s="566"/>
      <c r="S220" s="406">
        <v>0</v>
      </c>
      <c r="T220" s="566"/>
      <c r="U220" s="335"/>
      <c r="V220" s="597" t="s">
        <v>879</v>
      </c>
      <c r="W220" s="597" t="s">
        <v>890</v>
      </c>
      <c r="X220" s="597" t="s">
        <v>889</v>
      </c>
      <c r="Z220" s="336">
        <f t="shared" si="173"/>
        <v>0</v>
      </c>
      <c r="AA220" s="337">
        <f t="shared" si="173"/>
        <v>0</v>
      </c>
      <c r="AB220" s="338">
        <f t="shared" si="94"/>
        <v>0</v>
      </c>
      <c r="AC220" s="336">
        <f t="shared" si="174"/>
        <v>53826.32</v>
      </c>
      <c r="AD220" s="337">
        <f t="shared" si="174"/>
        <v>0</v>
      </c>
      <c r="AE220" s="338">
        <f t="shared" si="95"/>
        <v>53826.32</v>
      </c>
      <c r="AF220" s="336">
        <f t="shared" si="175"/>
        <v>0</v>
      </c>
      <c r="AG220" s="337">
        <f t="shared" si="175"/>
        <v>0</v>
      </c>
      <c r="AH220" s="338">
        <f t="shared" si="96"/>
        <v>0</v>
      </c>
      <c r="AI220" s="336">
        <f t="shared" si="176"/>
        <v>0</v>
      </c>
      <c r="AJ220" s="337">
        <f t="shared" si="176"/>
        <v>0</v>
      </c>
      <c r="AK220" s="338">
        <f t="shared" si="97"/>
        <v>0</v>
      </c>
      <c r="AL220" s="342"/>
      <c r="AM220" s="336">
        <f t="shared" si="177"/>
        <v>53826.32</v>
      </c>
      <c r="AN220" s="339">
        <f t="shared" si="177"/>
        <v>0</v>
      </c>
      <c r="AO220" s="340">
        <f t="shared" si="98"/>
        <v>53826.32</v>
      </c>
      <c r="AP220" s="336">
        <f t="shared" si="178"/>
        <v>53826.32</v>
      </c>
      <c r="AQ220" s="339">
        <f t="shared" si="178"/>
        <v>0</v>
      </c>
      <c r="AR220" s="340">
        <f t="shared" si="99"/>
        <v>53826.32</v>
      </c>
      <c r="AS220" s="341">
        <f t="shared" si="228"/>
        <v>53826.32</v>
      </c>
      <c r="AT220" s="339">
        <f t="shared" si="228"/>
        <v>0</v>
      </c>
      <c r="AU220" s="340">
        <f t="shared" si="100"/>
        <v>53826.32</v>
      </c>
      <c r="AV220" s="1255">
        <f t="shared" si="101"/>
        <v>5981.13</v>
      </c>
      <c r="AW220" s="343"/>
      <c r="AX220" s="1098"/>
      <c r="AY220" s="345"/>
      <c r="AZ220" s="1098"/>
      <c r="BA220" s="345"/>
      <c r="BB220" s="1120"/>
      <c r="BC220" s="347"/>
      <c r="BD220" s="348"/>
      <c r="BE220" s="349"/>
      <c r="BF220" s="348"/>
      <c r="BG220" s="349">
        <v>53826.32</v>
      </c>
      <c r="BH220" s="350"/>
      <c r="BI220" s="351"/>
      <c r="BJ220" s="352"/>
      <c r="BK220" s="337"/>
      <c r="BL220" s="352"/>
      <c r="BM220" s="337"/>
      <c r="BN220" s="353"/>
      <c r="BO220" s="354"/>
      <c r="BP220" s="355"/>
      <c r="BQ220" s="356"/>
      <c r="BR220" s="355"/>
      <c r="BS220" s="356"/>
      <c r="BT220" s="357"/>
    </row>
    <row r="221" spans="1:72" s="86" customFormat="1" ht="15.75" customHeight="1" thickBot="1">
      <c r="A221" s="287">
        <v>204</v>
      </c>
      <c r="B221" s="933"/>
      <c r="C221" s="861"/>
      <c r="D221" s="862"/>
      <c r="E221" s="287" t="s">
        <v>201</v>
      </c>
      <c r="F221" s="521" t="s">
        <v>17</v>
      </c>
      <c r="G221" s="521"/>
      <c r="H221" s="521"/>
      <c r="I221" s="521"/>
      <c r="J221" s="521"/>
      <c r="K221" s="1296" t="s">
        <v>17</v>
      </c>
      <c r="L221" s="1034">
        <f>SUM(L12,L13,L14,L15,L16,L17,L23,L27,L28,L29,L34,L35,L36,L39,L40,L46,L49,L52,L54,L58,L63,L68,L71,L73,L88,L139,L206,L211,L212,L213,L214,L215,L217,L219)</f>
        <v>61100227.68</v>
      </c>
      <c r="M221" s="1034">
        <f t="shared" ref="M221:U221" si="259">SUM(M12,M13,M14,M15,M16,M17,M23,M27,M28,M29,M34,M35,M36,M39,M40,M46,M49,M52,M54,M58,M63,M68,M71,M73,M88,M139,M206,M211,M212,M213,M214,M215,M217,M219)</f>
        <v>0</v>
      </c>
      <c r="N221" s="1034">
        <f>SUM(N12,N13,N14,N15,N16,N17,N23,N27,N28,N29,N34,N35,N36,N39,N40,N46,N49,N52,N54,N58,N63,N68,N71,N73,N88,N139,N206,N211,N212,N213,N214,N215,N217,N219)</f>
        <v>12674382.310000001</v>
      </c>
      <c r="O221" s="1034">
        <f t="shared" si="259"/>
        <v>73774609.989999995</v>
      </c>
      <c r="P221" s="1034">
        <f t="shared" si="259"/>
        <v>8693874.8000000007</v>
      </c>
      <c r="Q221" s="1034">
        <f t="shared" si="259"/>
        <v>42206072.039999999</v>
      </c>
      <c r="R221" s="1034">
        <f t="shared" si="259"/>
        <v>0</v>
      </c>
      <c r="S221" s="1034">
        <f t="shared" si="259"/>
        <v>41798874.439999998</v>
      </c>
      <c r="T221" s="1034">
        <f t="shared" si="259"/>
        <v>0</v>
      </c>
      <c r="U221" s="1034">
        <f t="shared" si="259"/>
        <v>0</v>
      </c>
      <c r="V221" s="305"/>
      <c r="W221" s="305"/>
      <c r="X221" s="305"/>
      <c r="Z221" s="264">
        <f t="shared" ref="Z221:AK221" si="260">SUM(Z12,Z13,Z14,Z15,Z16,Z17,Z23,Z27,Z29,Z34,Z35,Z36,Z39,Z40,Z46,Z49,Z52,Z54,Z58,Z63,Z68,Z71,Z73,Z88,Z139,Z206,Z211,Z212,Z214,Z215,Z217,Z219)</f>
        <v>13607982.83</v>
      </c>
      <c r="AA221" s="13">
        <f t="shared" si="260"/>
        <v>12542194.960000001</v>
      </c>
      <c r="AB221" s="258">
        <f t="shared" si="260"/>
        <v>1065787.8700000001</v>
      </c>
      <c r="AC221" s="264">
        <f t="shared" si="260"/>
        <v>22624647.07</v>
      </c>
      <c r="AD221" s="13">
        <f t="shared" si="260"/>
        <v>12485004.09</v>
      </c>
      <c r="AE221" s="258">
        <f t="shared" si="260"/>
        <v>10139642.98</v>
      </c>
      <c r="AF221" s="264">
        <f t="shared" si="260"/>
        <v>13631161.32</v>
      </c>
      <c r="AG221" s="13">
        <f t="shared" si="260"/>
        <v>373497.47</v>
      </c>
      <c r="AH221" s="258">
        <f t="shared" si="260"/>
        <v>13257663.85</v>
      </c>
      <c r="AI221" s="264">
        <f t="shared" si="260"/>
        <v>13249494.25</v>
      </c>
      <c r="AJ221" s="13">
        <f t="shared" si="260"/>
        <v>559854.88</v>
      </c>
      <c r="AK221" s="258">
        <f t="shared" si="260"/>
        <v>12689639.369999999</v>
      </c>
      <c r="AL221" s="278">
        <f t="shared" ref="AL221:BS221" si="261">SUM(AL12,AL13,AL14,AL15,AL16,AL17,AL23,AL27,AL28,AL29,AL34,AL35,AL36,AL39,AL40,AL46,AL49,AL52,AL54,AL58,AL63,AL68,AL71,AL73,AL88,AL139,AL206,AL211,AL212,AL213,AL214,AL215,AL217,AL219)</f>
        <v>0</v>
      </c>
      <c r="AM221" s="264">
        <f t="shared" si="261"/>
        <v>36232629.899999999</v>
      </c>
      <c r="AN221" s="13">
        <f t="shared" si="261"/>
        <v>25027199.050000001</v>
      </c>
      <c r="AO221" s="258">
        <f t="shared" si="261"/>
        <v>11205430.85</v>
      </c>
      <c r="AP221" s="264">
        <f t="shared" si="261"/>
        <v>49892208.530000001</v>
      </c>
      <c r="AQ221" s="13">
        <f t="shared" si="261"/>
        <v>25429113.829999998</v>
      </c>
      <c r="AR221" s="258">
        <f t="shared" si="261"/>
        <v>24463094.699999999</v>
      </c>
      <c r="AS221" s="549">
        <f t="shared" si="261"/>
        <v>63175322.149999999</v>
      </c>
      <c r="AT221" s="549">
        <f t="shared" si="261"/>
        <v>25988968.710000001</v>
      </c>
      <c r="AU221" s="258">
        <f t="shared" si="261"/>
        <v>37186353.439999998</v>
      </c>
      <c r="AV221" s="1266">
        <f t="shared" si="261"/>
        <v>-2075094.47</v>
      </c>
      <c r="AW221" s="278">
        <f t="shared" si="261"/>
        <v>1401290.21</v>
      </c>
      <c r="AX221" s="1113">
        <f t="shared" si="261"/>
        <v>960868.91</v>
      </c>
      <c r="AY221" s="278">
        <f t="shared" si="261"/>
        <v>4321792.79</v>
      </c>
      <c r="AZ221" s="1113">
        <f t="shared" si="261"/>
        <v>5228175.0599999996</v>
      </c>
      <c r="BA221" s="278">
        <f t="shared" si="261"/>
        <v>7884899.8300000001</v>
      </c>
      <c r="BB221" s="1113">
        <f t="shared" si="261"/>
        <v>6353150.9900000002</v>
      </c>
      <c r="BC221" s="278">
        <f t="shared" si="261"/>
        <v>4893034.0599999996</v>
      </c>
      <c r="BD221" s="278">
        <f t="shared" si="261"/>
        <v>7407961.2800000003</v>
      </c>
      <c r="BE221" s="278">
        <f t="shared" si="261"/>
        <v>4497954.96</v>
      </c>
      <c r="BF221" s="278">
        <f t="shared" si="261"/>
        <v>4912751.87</v>
      </c>
      <c r="BG221" s="278">
        <f t="shared" si="261"/>
        <v>13233658.050000001</v>
      </c>
      <c r="BH221" s="278">
        <f t="shared" si="261"/>
        <v>164290.94</v>
      </c>
      <c r="BI221" s="278">
        <f t="shared" si="261"/>
        <v>7510780.6799999997</v>
      </c>
      <c r="BJ221" s="278">
        <f t="shared" si="261"/>
        <v>223694.75</v>
      </c>
      <c r="BK221" s="278">
        <f t="shared" si="261"/>
        <v>3045705.08</v>
      </c>
      <c r="BL221" s="278">
        <f t="shared" si="261"/>
        <v>86603.25</v>
      </c>
      <c r="BM221" s="278">
        <f t="shared" si="261"/>
        <v>3103092.87</v>
      </c>
      <c r="BN221" s="278">
        <f t="shared" si="261"/>
        <v>91616.78</v>
      </c>
      <c r="BO221" s="278">
        <f t="shared" si="261"/>
        <v>4288110.03</v>
      </c>
      <c r="BP221" s="278">
        <f t="shared" si="261"/>
        <v>380136.08</v>
      </c>
      <c r="BQ221" s="278">
        <f t="shared" si="261"/>
        <v>3678491.5</v>
      </c>
      <c r="BR221" s="278">
        <f t="shared" si="261"/>
        <v>179718.8</v>
      </c>
      <c r="BS221" s="278">
        <f t="shared" si="261"/>
        <v>5316512.09</v>
      </c>
      <c r="BT221" s="278">
        <f t="shared" ref="BT221" si="262">SUM(BT12,BT13,BT14,BT15,BT16,BT17,BT23,BT27,BT29,BT34,BT35,BT36,BT39,BT40,BT46,BT49,BT52,BT54,BT58,BT63,BT68,BT71,BT73,BT88,BT139,BT206,BT211,BT212,BT213,BT214,BT215,BT217,BT219)</f>
        <v>0</v>
      </c>
    </row>
    <row r="222" spans="1:72" s="32" customFormat="1" ht="15.75" customHeight="1">
      <c r="A222" s="287">
        <v>205</v>
      </c>
      <c r="B222" s="943"/>
      <c r="C222" s="55"/>
      <c r="D222" s="944"/>
      <c r="E222" s="942"/>
      <c r="F222" s="209"/>
      <c r="G222" s="209"/>
      <c r="H222" s="209"/>
      <c r="I222" s="209"/>
      <c r="J222" s="209"/>
      <c r="K222" s="209" t="s">
        <v>204</v>
      </c>
      <c r="L222" s="1035">
        <v>61100183.990000002</v>
      </c>
      <c r="M222" s="917"/>
      <c r="N222" s="917"/>
      <c r="O222" s="998">
        <v>61100183.990000002</v>
      </c>
      <c r="P222" s="945"/>
      <c r="Q222" s="996">
        <v>42206072.039999999</v>
      </c>
      <c r="R222" s="945"/>
      <c r="S222" s="996">
        <v>41798874.439999998</v>
      </c>
      <c r="T222" s="945"/>
      <c r="U222" s="946"/>
      <c r="V222" s="14"/>
      <c r="W222" s="14"/>
      <c r="X222" s="14"/>
      <c r="Z222" s="947">
        <f>AW222+AY222+BA222</f>
        <v>12910420.439999999</v>
      </c>
      <c r="AA222" s="917">
        <f>AX222+AZ222+BB222</f>
        <v>0</v>
      </c>
      <c r="AB222" s="948">
        <f t="shared" si="94"/>
        <v>12910420.439999999</v>
      </c>
      <c r="AC222" s="947">
        <f>BC222+BE222+BG222</f>
        <v>22170227.27</v>
      </c>
      <c r="AD222" s="917">
        <f>BD222+BF222+BH222</f>
        <v>0</v>
      </c>
      <c r="AE222" s="948">
        <f t="shared" si="95"/>
        <v>22170227.27</v>
      </c>
      <c r="AF222" s="947">
        <f>BI222+BK222+BM222</f>
        <v>9451200.7699999996</v>
      </c>
      <c r="AG222" s="917">
        <f>BJ222+BL222+BN222</f>
        <v>0</v>
      </c>
      <c r="AH222" s="948">
        <f t="shared" si="96"/>
        <v>9451200.7699999996</v>
      </c>
      <c r="AI222" s="947">
        <f>BO222+BQ222+BS222</f>
        <v>6043144.4100000001</v>
      </c>
      <c r="AJ222" s="917">
        <f>BP222+BR222+BT222</f>
        <v>0</v>
      </c>
      <c r="AK222" s="948">
        <f t="shared" si="97"/>
        <v>6043144.4100000001</v>
      </c>
      <c r="AL222" s="917"/>
      <c r="AM222" s="947">
        <f>Z222+AC222</f>
        <v>35080647.710000001</v>
      </c>
      <c r="AN222" s="917">
        <f>AA222+AD222</f>
        <v>0</v>
      </c>
      <c r="AO222" s="948">
        <f t="shared" si="98"/>
        <v>35080647.710000001</v>
      </c>
      <c r="AP222" s="947">
        <f>Z222+AC222+AF222</f>
        <v>44531848.479999997</v>
      </c>
      <c r="AQ222" s="917">
        <f>AA222+AD222+AG222</f>
        <v>0</v>
      </c>
      <c r="AR222" s="948">
        <f t="shared" si="99"/>
        <v>44531848.479999997</v>
      </c>
      <c r="AS222" s="947">
        <f>Z222+AC222+AF222+AI222</f>
        <v>50574992.890000001</v>
      </c>
      <c r="AT222" s="917">
        <f t="shared" ref="AT222:AU222" si="263">AA222+AD222+AG222+AJ222</f>
        <v>0</v>
      </c>
      <c r="AU222" s="948">
        <f t="shared" si="263"/>
        <v>50574992.890000001</v>
      </c>
      <c r="AV222" s="1266"/>
      <c r="AW222" s="277">
        <v>1498437</v>
      </c>
      <c r="AX222" s="1114"/>
      <c r="AY222" s="277">
        <v>4852718.38</v>
      </c>
      <c r="AZ222" s="1114"/>
      <c r="BA222" s="277">
        <v>6559265.0599999996</v>
      </c>
      <c r="BB222" s="1114"/>
      <c r="BC222" s="277">
        <v>5725270.2599999998</v>
      </c>
      <c r="BD222" s="277"/>
      <c r="BE222" s="277">
        <v>4459231.41</v>
      </c>
      <c r="BF222" s="277"/>
      <c r="BG222" s="277">
        <v>11985725.6</v>
      </c>
      <c r="BH222" s="277"/>
      <c r="BI222" s="277">
        <v>4519128.5199999996</v>
      </c>
      <c r="BJ222" s="277"/>
      <c r="BK222" s="277">
        <v>2646468.16</v>
      </c>
      <c r="BL222" s="277"/>
      <c r="BM222" s="277">
        <v>2285604.09</v>
      </c>
      <c r="BN222" s="277"/>
      <c r="BO222" s="277">
        <v>1514774.59</v>
      </c>
      <c r="BP222" s="277"/>
      <c r="BQ222" s="277">
        <v>1923859.03</v>
      </c>
      <c r="BR222" s="277"/>
      <c r="BS222" s="277">
        <v>2604510.79</v>
      </c>
      <c r="BT222" s="917"/>
    </row>
    <row r="223" spans="1:72" s="31" customFormat="1" ht="15.75" customHeight="1" thickBot="1">
      <c r="A223" s="287">
        <v>206</v>
      </c>
      <c r="B223" s="933"/>
      <c r="C223" s="845"/>
      <c r="D223" s="849"/>
      <c r="E223" s="287"/>
      <c r="F223" s="209"/>
      <c r="G223" s="209"/>
      <c r="H223" s="209"/>
      <c r="I223" s="209"/>
      <c r="J223" s="209"/>
      <c r="K223" s="209" t="s">
        <v>368</v>
      </c>
      <c r="L223" s="1036">
        <f>L222-L221</f>
        <v>-43.69</v>
      </c>
      <c r="M223" s="211"/>
      <c r="N223" s="211"/>
      <c r="O223" s="970">
        <f>O222-O221</f>
        <v>-12674426</v>
      </c>
      <c r="P223" s="330"/>
      <c r="Q223" s="277">
        <f>Q222-Q221</f>
        <v>0</v>
      </c>
      <c r="R223" s="330"/>
      <c r="S223" s="277">
        <f>S222-S221</f>
        <v>0</v>
      </c>
      <c r="T223" s="330"/>
      <c r="U223" s="334"/>
      <c r="V223" s="611" t="s">
        <v>385</v>
      </c>
      <c r="W223" s="7"/>
      <c r="X223" s="613">
        <f>Z223+AC223+AF223+AI223</f>
        <v>50522159.640000001</v>
      </c>
      <c r="Z223" s="612">
        <v>13660420.439999999</v>
      </c>
      <c r="AA223" s="264"/>
      <c r="AB223" s="264"/>
      <c r="AC223" s="612">
        <v>22920227.27</v>
      </c>
      <c r="AD223" s="264"/>
      <c r="AE223" s="264"/>
      <c r="AF223" s="612">
        <v>7951200.7699999996</v>
      </c>
      <c r="AG223" s="264"/>
      <c r="AH223" s="264"/>
      <c r="AI223" s="612">
        <v>5990311.1600000001</v>
      </c>
      <c r="AJ223" s="264"/>
      <c r="AK223" s="264"/>
      <c r="AL223" s="211"/>
      <c r="AM223" s="265"/>
      <c r="AN223" s="211"/>
      <c r="AO223" s="259"/>
      <c r="AP223" s="265"/>
      <c r="AQ223" s="211"/>
      <c r="AR223" s="259"/>
      <c r="AS223" s="265"/>
      <c r="AT223" s="211"/>
      <c r="AU223" s="259"/>
      <c r="AV223" s="1266"/>
      <c r="AW223" s="951">
        <f>AW222-AW221</f>
        <v>97146.79</v>
      </c>
      <c r="AX223" s="1115">
        <f t="shared" ref="AX223:BS223" si="264">AX222-AX221</f>
        <v>-960868.91</v>
      </c>
      <c r="AY223" s="951">
        <f t="shared" si="264"/>
        <v>530925.59</v>
      </c>
      <c r="AZ223" s="1115">
        <f t="shared" si="264"/>
        <v>-5228175.0599999996</v>
      </c>
      <c r="BA223" s="951">
        <f t="shared" si="264"/>
        <v>-1325634.77</v>
      </c>
      <c r="BB223" s="1115">
        <f t="shared" si="264"/>
        <v>-6353150.9900000002</v>
      </c>
      <c r="BC223" s="951">
        <f t="shared" si="264"/>
        <v>832236.2</v>
      </c>
      <c r="BD223" s="951">
        <f t="shared" si="264"/>
        <v>-7407961.2800000003</v>
      </c>
      <c r="BE223" s="951">
        <f t="shared" si="264"/>
        <v>-38723.550000000003</v>
      </c>
      <c r="BF223" s="951">
        <f t="shared" si="264"/>
        <v>-4912751.87</v>
      </c>
      <c r="BG223" s="951">
        <f t="shared" si="264"/>
        <v>-1247932.45</v>
      </c>
      <c r="BH223" s="951">
        <f t="shared" si="264"/>
        <v>-164290.94</v>
      </c>
      <c r="BI223" s="951">
        <f t="shared" si="264"/>
        <v>-2991652.16</v>
      </c>
      <c r="BJ223" s="951">
        <f t="shared" si="264"/>
        <v>-223694.75</v>
      </c>
      <c r="BK223" s="951">
        <f t="shared" si="264"/>
        <v>-399236.92</v>
      </c>
      <c r="BL223" s="951">
        <f t="shared" si="264"/>
        <v>-86603.25</v>
      </c>
      <c r="BM223" s="951">
        <f t="shared" si="264"/>
        <v>-817488.78</v>
      </c>
      <c r="BN223" s="951">
        <f t="shared" si="264"/>
        <v>-91616.78</v>
      </c>
      <c r="BO223" s="951">
        <f t="shared" si="264"/>
        <v>-2773335.44</v>
      </c>
      <c r="BP223" s="951">
        <f t="shared" si="264"/>
        <v>-380136.08</v>
      </c>
      <c r="BQ223" s="951">
        <f t="shared" si="264"/>
        <v>-1754632.47</v>
      </c>
      <c r="BR223" s="951">
        <f t="shared" si="264"/>
        <v>-179718.8</v>
      </c>
      <c r="BS223" s="951">
        <f t="shared" si="264"/>
        <v>-2712001.3</v>
      </c>
      <c r="BT223" s="211"/>
    </row>
    <row r="224" spans="1:72" s="31" customFormat="1" ht="15.75" customHeight="1">
      <c r="A224" s="287">
        <v>207</v>
      </c>
      <c r="B224" s="933"/>
      <c r="C224" s="845"/>
      <c r="D224" s="849"/>
      <c r="E224" s="287" t="s">
        <v>201</v>
      </c>
      <c r="F224" s="209"/>
      <c r="G224" s="209"/>
      <c r="H224" s="209"/>
      <c r="I224" s="209"/>
      <c r="J224" s="209"/>
      <c r="K224" s="209"/>
      <c r="L224" s="1036"/>
      <c r="M224" s="211"/>
      <c r="N224" s="211"/>
      <c r="O224" s="211"/>
      <c r="P224" s="330"/>
      <c r="Q224" s="211"/>
      <c r="R224" s="330"/>
      <c r="S224" s="211"/>
      <c r="T224" s="330"/>
      <c r="U224" s="334"/>
      <c r="V224" s="611"/>
      <c r="W224" s="7"/>
      <c r="X224" s="613"/>
      <c r="Z224" s="730"/>
      <c r="AA224" s="278"/>
      <c r="AB224" s="278"/>
      <c r="AC224" s="730"/>
      <c r="AD224" s="278"/>
      <c r="AE224" s="278"/>
      <c r="AF224" s="730"/>
      <c r="AG224" s="278"/>
      <c r="AH224" s="278"/>
      <c r="AI224" s="730"/>
      <c r="AJ224" s="278"/>
      <c r="AK224" s="278"/>
      <c r="AL224" s="211"/>
      <c r="AM224" s="265"/>
      <c r="AN224" s="211"/>
      <c r="AO224" s="259"/>
      <c r="AP224" s="265"/>
      <c r="AQ224" s="211"/>
      <c r="AR224" s="259"/>
      <c r="AS224" s="265"/>
      <c r="AT224" s="211"/>
      <c r="AU224" s="259"/>
      <c r="AV224" s="1266"/>
      <c r="AW224" s="211"/>
      <c r="AX224" s="1116"/>
      <c r="AY224" s="211"/>
      <c r="AZ224" s="1116"/>
      <c r="BA224" s="211"/>
      <c r="BB224" s="1116"/>
      <c r="BC224" s="211"/>
      <c r="BD224" s="211"/>
      <c r="BE224" s="211"/>
      <c r="BF224" s="211"/>
      <c r="BG224" s="211"/>
      <c r="BH224" s="211"/>
      <c r="BI224" s="211"/>
      <c r="BJ224" s="211"/>
      <c r="BK224" s="211"/>
      <c r="BL224" s="211"/>
      <c r="BM224" s="211"/>
      <c r="BN224" s="211"/>
      <c r="BO224" s="211"/>
      <c r="BP224" s="211"/>
      <c r="BQ224" s="211"/>
      <c r="BR224" s="211"/>
      <c r="BS224" s="211"/>
      <c r="BT224" s="211"/>
    </row>
    <row r="225" spans="1:72" s="31" customFormat="1" ht="23.25" customHeight="1" thickBot="1">
      <c r="A225" s="287">
        <v>208</v>
      </c>
      <c r="B225" s="933"/>
      <c r="C225" s="845"/>
      <c r="D225" s="849"/>
      <c r="E225" s="287" t="s">
        <v>201</v>
      </c>
      <c r="F225" s="372" t="s">
        <v>218</v>
      </c>
      <c r="G225" s="309"/>
      <c r="H225" s="309"/>
      <c r="I225" s="309"/>
      <c r="J225" s="309"/>
      <c r="K225" s="309"/>
      <c r="L225" s="1037"/>
      <c r="M225" s="216"/>
      <c r="N225" s="216"/>
      <c r="O225" s="216"/>
      <c r="P225" s="331"/>
      <c r="Q225" s="216"/>
      <c r="R225" s="331"/>
      <c r="S225" s="216"/>
      <c r="T225" s="331"/>
      <c r="U225" s="334"/>
      <c r="V225" s="614"/>
      <c r="W225" s="7"/>
      <c r="X225" s="7">
        <f>Z225+AC225+AF225+AI225</f>
        <v>-12591125.83</v>
      </c>
      <c r="Y225" s="215"/>
      <c r="Z225" s="267">
        <f>Z223-Z221</f>
        <v>52437.61</v>
      </c>
      <c r="AA225" s="216"/>
      <c r="AB225" s="260"/>
      <c r="AC225" s="267">
        <f>AC223-AC221</f>
        <v>295580.2</v>
      </c>
      <c r="AD225" s="216"/>
      <c r="AE225" s="260"/>
      <c r="AF225" s="267">
        <f>AF223-AF221</f>
        <v>-5679960.5499999998</v>
      </c>
      <c r="AG225" s="216"/>
      <c r="AH225" s="260"/>
      <c r="AI225" s="267">
        <f>AI223-AI221</f>
        <v>-7259183.0899999999</v>
      </c>
      <c r="AJ225" s="216"/>
      <c r="AK225" s="260"/>
      <c r="AL225" s="216"/>
      <c r="AM225" s="266"/>
      <c r="AN225" s="216"/>
      <c r="AO225" s="260"/>
      <c r="AP225" s="266"/>
      <c r="AQ225" s="216"/>
      <c r="AR225" s="260"/>
      <c r="AS225" s="266">
        <v>0</v>
      </c>
      <c r="AT225" s="216"/>
      <c r="AU225" s="260"/>
      <c r="AV225" s="1267">
        <f t="shared" si="101"/>
        <v>0</v>
      </c>
      <c r="AW225" s="216"/>
      <c r="AX225" s="1117"/>
      <c r="AY225" s="216"/>
      <c r="AZ225" s="1117"/>
      <c r="BA225" s="216"/>
      <c r="BB225" s="1117"/>
      <c r="BC225" s="216"/>
      <c r="BD225" s="216"/>
      <c r="BE225" s="216"/>
      <c r="BF225" s="216"/>
      <c r="BG225" s="216"/>
      <c r="BH225" s="216"/>
      <c r="BI225" s="216"/>
      <c r="BJ225" s="216"/>
      <c r="BK225" s="216"/>
      <c r="BL225" s="216"/>
      <c r="BM225" s="216"/>
      <c r="BN225" s="216"/>
      <c r="BO225" s="216"/>
      <c r="BP225" s="216"/>
      <c r="BQ225" s="216"/>
      <c r="BR225" s="216"/>
      <c r="BS225" s="216"/>
      <c r="BT225" s="216"/>
    </row>
    <row r="226" spans="1:72" s="358" customFormat="1" ht="31.5" customHeight="1">
      <c r="A226" s="287">
        <v>209</v>
      </c>
      <c r="B226" s="933"/>
      <c r="C226" s="850" t="s">
        <v>377</v>
      </c>
      <c r="D226" s="838"/>
      <c r="E226" s="836" t="s">
        <v>201</v>
      </c>
      <c r="F226" s="820" t="s">
        <v>415</v>
      </c>
      <c r="G226" s="360">
        <v>5</v>
      </c>
      <c r="H226" s="360" t="s">
        <v>72</v>
      </c>
      <c r="I226" s="360">
        <v>244</v>
      </c>
      <c r="J226" s="361">
        <v>226</v>
      </c>
      <c r="K226" s="532" t="s">
        <v>15</v>
      </c>
      <c r="L226" s="1038">
        <v>52833.25</v>
      </c>
      <c r="M226" s="552"/>
      <c r="N226" s="552"/>
      <c r="O226" s="1056">
        <f t="shared" ref="O226:O229" si="265">L226+N226</f>
        <v>52833.25</v>
      </c>
      <c r="P226" s="569"/>
      <c r="Q226" s="551">
        <v>0</v>
      </c>
      <c r="R226" s="573"/>
      <c r="S226" s="553">
        <v>0</v>
      </c>
      <c r="T226" s="573"/>
      <c r="U226" s="365"/>
      <c r="V226" s="366"/>
      <c r="W226" s="366"/>
      <c r="X226" s="366"/>
      <c r="Z226" s="367">
        <f t="shared" ref="Z226:AA249" si="266">AW226+AY226+BA226</f>
        <v>0</v>
      </c>
      <c r="AA226" s="363">
        <f t="shared" si="266"/>
        <v>0</v>
      </c>
      <c r="AB226" s="280">
        <f t="shared" ref="AB226:AB249" si="267">Z226-AA226</f>
        <v>0</v>
      </c>
      <c r="AC226" s="367">
        <f t="shared" ref="AC226:AD249" si="268">BC226+BE226+BG226</f>
        <v>40526.31</v>
      </c>
      <c r="AD226" s="363">
        <f t="shared" si="268"/>
        <v>0</v>
      </c>
      <c r="AE226" s="280">
        <f t="shared" ref="AE226:AE249" si="269">AC226-AD226</f>
        <v>40526.31</v>
      </c>
      <c r="AF226" s="367">
        <f t="shared" ref="AF226:AG249" si="270">BI226+BK226+BM226</f>
        <v>0</v>
      </c>
      <c r="AG226" s="363">
        <f t="shared" si="270"/>
        <v>0</v>
      </c>
      <c r="AH226" s="280">
        <f t="shared" ref="AH226:AH249" si="271">AF226-AG226</f>
        <v>0</v>
      </c>
      <c r="AI226" s="367">
        <f t="shared" ref="AI226:AJ249" si="272">BO226+BQ226+BS226</f>
        <v>0</v>
      </c>
      <c r="AJ226" s="363">
        <f t="shared" si="272"/>
        <v>0</v>
      </c>
      <c r="AK226" s="280">
        <f t="shared" ref="AK226:AK249" si="273">AI226-AJ226</f>
        <v>0</v>
      </c>
      <c r="AL226" s="368"/>
      <c r="AM226" s="367">
        <f t="shared" ref="AM226:AN249" si="274">Z226+AC226</f>
        <v>40526.31</v>
      </c>
      <c r="AN226" s="363">
        <f t="shared" si="274"/>
        <v>0</v>
      </c>
      <c r="AO226" s="280">
        <f t="shared" ref="AO226:AO249" si="275">AM226-AN226</f>
        <v>40526.31</v>
      </c>
      <c r="AP226" s="367">
        <f t="shared" ref="AP226:AQ249" si="276">Z226+AC226+AF226</f>
        <v>40526.31</v>
      </c>
      <c r="AQ226" s="363">
        <f t="shared" si="276"/>
        <v>0</v>
      </c>
      <c r="AR226" s="280">
        <f t="shared" ref="AR226:AR249" si="277">AP226-AQ226</f>
        <v>40526.31</v>
      </c>
      <c r="AS226" s="367">
        <f t="shared" ref="AS226:AT249" si="278">Z226+AC226+AF226+AI226</f>
        <v>40526.31</v>
      </c>
      <c r="AT226" s="363">
        <f t="shared" si="278"/>
        <v>0</v>
      </c>
      <c r="AU226" s="280">
        <f t="shared" ref="AU226:AU249" si="279">AS226-AT226</f>
        <v>40526.31</v>
      </c>
      <c r="AV226" s="1253">
        <f t="shared" si="101"/>
        <v>12306.94</v>
      </c>
      <c r="AW226" s="367">
        <f t="shared" ref="AW226:BT226" si="280">SUM(AW227:AW227)</f>
        <v>0</v>
      </c>
      <c r="AX226" s="1097">
        <f t="shared" si="280"/>
        <v>0</v>
      </c>
      <c r="AY226" s="363">
        <f t="shared" si="280"/>
        <v>0</v>
      </c>
      <c r="AZ226" s="1097">
        <f t="shared" si="280"/>
        <v>0</v>
      </c>
      <c r="BA226" s="363">
        <f t="shared" si="280"/>
        <v>0</v>
      </c>
      <c r="BB226" s="1119">
        <f t="shared" si="280"/>
        <v>0</v>
      </c>
      <c r="BC226" s="367">
        <f t="shared" si="280"/>
        <v>0</v>
      </c>
      <c r="BD226" s="363">
        <f t="shared" si="280"/>
        <v>0</v>
      </c>
      <c r="BE226" s="363">
        <f t="shared" si="280"/>
        <v>0</v>
      </c>
      <c r="BF226" s="363">
        <f t="shared" si="280"/>
        <v>0</v>
      </c>
      <c r="BG226" s="363">
        <f t="shared" si="280"/>
        <v>40526.31</v>
      </c>
      <c r="BH226" s="369">
        <f t="shared" si="280"/>
        <v>0</v>
      </c>
      <c r="BI226" s="367">
        <f t="shared" si="280"/>
        <v>0</v>
      </c>
      <c r="BJ226" s="363">
        <f t="shared" si="280"/>
        <v>0</v>
      </c>
      <c r="BK226" s="363">
        <f t="shared" si="280"/>
        <v>0</v>
      </c>
      <c r="BL226" s="363">
        <f t="shared" si="280"/>
        <v>0</v>
      </c>
      <c r="BM226" s="363">
        <f t="shared" si="280"/>
        <v>0</v>
      </c>
      <c r="BN226" s="369">
        <f t="shared" si="280"/>
        <v>0</v>
      </c>
      <c r="BO226" s="367">
        <f t="shared" si="280"/>
        <v>0</v>
      </c>
      <c r="BP226" s="363">
        <f t="shared" si="280"/>
        <v>0</v>
      </c>
      <c r="BQ226" s="363">
        <f t="shared" si="280"/>
        <v>0</v>
      </c>
      <c r="BR226" s="363">
        <f t="shared" si="280"/>
        <v>0</v>
      </c>
      <c r="BS226" s="363">
        <f t="shared" si="280"/>
        <v>0</v>
      </c>
      <c r="BT226" s="280">
        <f t="shared" si="280"/>
        <v>0</v>
      </c>
    </row>
    <row r="227" spans="1:72" s="313" customFormat="1" ht="158.25" customHeight="1" outlineLevel="1" thickBot="1">
      <c r="A227" s="287">
        <v>210</v>
      </c>
      <c r="B227" s="933"/>
      <c r="C227" s="840"/>
      <c r="D227" s="841"/>
      <c r="E227" s="839"/>
      <c r="F227" s="821" t="s">
        <v>415</v>
      </c>
      <c r="G227" s="314">
        <v>5</v>
      </c>
      <c r="H227" s="739" t="s">
        <v>72</v>
      </c>
      <c r="I227" s="739">
        <v>244</v>
      </c>
      <c r="J227" s="740">
        <v>226</v>
      </c>
      <c r="K227" s="533" t="s">
        <v>367</v>
      </c>
      <c r="L227" s="1025">
        <v>52833.25</v>
      </c>
      <c r="M227" s="318"/>
      <c r="N227" s="318"/>
      <c r="O227" s="1052">
        <f t="shared" si="265"/>
        <v>52833.25</v>
      </c>
      <c r="P227" s="570"/>
      <c r="Q227" s="336">
        <v>0</v>
      </c>
      <c r="R227" s="559"/>
      <c r="S227" s="541">
        <v>0</v>
      </c>
      <c r="T227" s="559"/>
      <c r="U227" s="335"/>
      <c r="V227" s="597" t="s">
        <v>670</v>
      </c>
      <c r="W227" s="597" t="s">
        <v>839</v>
      </c>
      <c r="X227" s="597" t="s">
        <v>669</v>
      </c>
      <c r="Z227" s="336">
        <f>AW227+AY227+BA227</f>
        <v>0</v>
      </c>
      <c r="AA227" s="337">
        <f>AX227+AZ227+BB227</f>
        <v>0</v>
      </c>
      <c r="AB227" s="338">
        <f>Z227-AA227</f>
        <v>0</v>
      </c>
      <c r="AC227" s="336">
        <f>BC227+BE227+BG227</f>
        <v>40526.31</v>
      </c>
      <c r="AD227" s="337">
        <f>BD227+BF227+BH227</f>
        <v>0</v>
      </c>
      <c r="AE227" s="338">
        <f>AC227-AD227</f>
        <v>40526.31</v>
      </c>
      <c r="AF227" s="336">
        <f>BI227+BK227+BM227</f>
        <v>0</v>
      </c>
      <c r="AG227" s="337">
        <f>BJ227+BL227+BN227</f>
        <v>0</v>
      </c>
      <c r="AH227" s="338">
        <f>AF227-AG227</f>
        <v>0</v>
      </c>
      <c r="AI227" s="336">
        <f>BO227+BQ227+BS227</f>
        <v>0</v>
      </c>
      <c r="AJ227" s="337">
        <f>BP227+BR227+BT227</f>
        <v>0</v>
      </c>
      <c r="AK227" s="338">
        <f>AI227-AJ227</f>
        <v>0</v>
      </c>
      <c r="AL227" s="342"/>
      <c r="AM227" s="336">
        <f>Z227+AC227</f>
        <v>40526.31</v>
      </c>
      <c r="AN227" s="339">
        <f>AA227+AD227</f>
        <v>0</v>
      </c>
      <c r="AO227" s="340">
        <f>AM227-AN227</f>
        <v>40526.31</v>
      </c>
      <c r="AP227" s="336">
        <f>Z227+AC227+AF227</f>
        <v>40526.31</v>
      </c>
      <c r="AQ227" s="339">
        <f>AA227+AD227+AG227</f>
        <v>0</v>
      </c>
      <c r="AR227" s="340">
        <f>AP227-AQ227</f>
        <v>40526.31</v>
      </c>
      <c r="AS227" s="341">
        <f>Z227+AC227+AF227+AI227</f>
        <v>40526.31</v>
      </c>
      <c r="AT227" s="339">
        <f>AA227+AD227+AG227+AJ227</f>
        <v>0</v>
      </c>
      <c r="AU227" s="340">
        <f>AS227-AT227</f>
        <v>40526.31</v>
      </c>
      <c r="AV227" s="1255">
        <f t="shared" si="101"/>
        <v>12306.94</v>
      </c>
      <c r="AW227" s="343"/>
      <c r="AX227" s="1098"/>
      <c r="AY227" s="345"/>
      <c r="AZ227" s="1098"/>
      <c r="BA227" s="345"/>
      <c r="BB227" s="1120"/>
      <c r="BC227" s="347"/>
      <c r="BD227" s="348"/>
      <c r="BE227" s="349"/>
      <c r="BF227" s="348"/>
      <c r="BG227" s="1135">
        <v>40526.31</v>
      </c>
      <c r="BH227" s="350"/>
      <c r="BI227" s="351"/>
      <c r="BJ227" s="352"/>
      <c r="BK227" s="337"/>
      <c r="BL227" s="352"/>
      <c r="BM227" s="337"/>
      <c r="BN227" s="353"/>
      <c r="BO227" s="354"/>
      <c r="BP227" s="355"/>
      <c r="BQ227" s="356"/>
      <c r="BR227" s="355"/>
      <c r="BS227" s="356"/>
      <c r="BT227" s="357"/>
    </row>
    <row r="228" spans="1:72" s="512" customFormat="1" ht="57.75" customHeight="1" thickBot="1">
      <c r="A228" s="287">
        <v>211</v>
      </c>
      <c r="B228" s="1208"/>
      <c r="C228" s="863" t="s">
        <v>377</v>
      </c>
      <c r="D228" s="864"/>
      <c r="E228" s="865" t="s">
        <v>201</v>
      </c>
      <c r="F228" s="831" t="s">
        <v>877</v>
      </c>
      <c r="G228" s="514">
        <v>5</v>
      </c>
      <c r="H228" s="514" t="s">
        <v>136</v>
      </c>
      <c r="I228" s="1209">
        <v>244</v>
      </c>
      <c r="J228" s="1281" t="s">
        <v>947</v>
      </c>
      <c r="K228" s="1282" t="s">
        <v>987</v>
      </c>
      <c r="L228" s="1041">
        <f>L229+L232+L236+L241</f>
        <v>700000</v>
      </c>
      <c r="M228" s="1210"/>
      <c r="N228" s="1210">
        <f>N229+N232+N236+N241</f>
        <v>0</v>
      </c>
      <c r="O228" s="1211">
        <f t="shared" si="265"/>
        <v>700000</v>
      </c>
      <c r="P228" s="1212"/>
      <c r="Q228" s="1213">
        <f>Q229+Q232+Q236+Q241</f>
        <v>0</v>
      </c>
      <c r="R228" s="574"/>
      <c r="S228" s="1214">
        <f>S229+S232+S236+S241</f>
        <v>0</v>
      </c>
      <c r="T228" s="574"/>
      <c r="U228" s="516"/>
      <c r="V228" s="517"/>
      <c r="W228" s="517"/>
      <c r="X228" s="517"/>
      <c r="Z228" s="518">
        <f t="shared" ref="Z228:AA243" si="281">AW228+AY228+BA228</f>
        <v>0</v>
      </c>
      <c r="AA228" s="251">
        <f t="shared" si="281"/>
        <v>0</v>
      </c>
      <c r="AB228" s="519">
        <f t="shared" ref="AB228:AB242" si="282">Z228-AA228</f>
        <v>0</v>
      </c>
      <c r="AC228" s="518">
        <f t="shared" ref="AC228:AD243" si="283">BC228+BE228+BG228</f>
        <v>0</v>
      </c>
      <c r="AD228" s="251">
        <f t="shared" si="283"/>
        <v>0</v>
      </c>
      <c r="AE228" s="519">
        <f t="shared" ref="AE228:AE242" si="284">AC228-AD228</f>
        <v>0</v>
      </c>
      <c r="AF228" s="518">
        <f t="shared" ref="AF228:AG243" si="285">BI228+BK228+BM228</f>
        <v>640000</v>
      </c>
      <c r="AG228" s="251">
        <f t="shared" si="285"/>
        <v>0</v>
      </c>
      <c r="AH228" s="519">
        <f t="shared" ref="AH228:AH242" si="286">AF228-AG228</f>
        <v>640000</v>
      </c>
      <c r="AI228" s="518">
        <f t="shared" ref="AI228:AJ243" si="287">BO228+BQ228+BS228</f>
        <v>0</v>
      </c>
      <c r="AJ228" s="251">
        <f t="shared" si="287"/>
        <v>0</v>
      </c>
      <c r="AK228" s="519">
        <f t="shared" ref="AK228:AK242" si="288">AI228-AJ228</f>
        <v>0</v>
      </c>
      <c r="AL228" s="520"/>
      <c r="AM228" s="518">
        <f t="shared" ref="AM228:AN229" si="289">Z228+AC228</f>
        <v>0</v>
      </c>
      <c r="AN228" s="251">
        <f t="shared" si="289"/>
        <v>0</v>
      </c>
      <c r="AO228" s="519">
        <f t="shared" ref="AO228:AO229" si="290">AM228-AN228</f>
        <v>0</v>
      </c>
      <c r="AP228" s="518">
        <f t="shared" ref="AP228:AQ229" si="291">Z228+AC228+AF228</f>
        <v>640000</v>
      </c>
      <c r="AQ228" s="251">
        <f t="shared" si="291"/>
        <v>0</v>
      </c>
      <c r="AR228" s="519">
        <f t="shared" ref="AR228:AR229" si="292">AP228-AQ228</f>
        <v>640000</v>
      </c>
      <c r="AS228" s="518">
        <f t="shared" ref="AS228:AT243" si="293">Z228+AC228+AF228+AI228</f>
        <v>640000</v>
      </c>
      <c r="AT228" s="251">
        <f t="shared" si="293"/>
        <v>0</v>
      </c>
      <c r="AU228" s="519">
        <f t="shared" ref="AU228:AU243" si="294">AS228-AT228</f>
        <v>640000</v>
      </c>
      <c r="AV228" s="1268">
        <f t="shared" ref="AV228:AV229" si="295">L228-AS228</f>
        <v>60000</v>
      </c>
      <c r="AW228" s="518">
        <f t="shared" ref="AW228:BT228" si="296">AW229+AW232+AW236+AW241</f>
        <v>0</v>
      </c>
      <c r="AX228" s="1215">
        <f t="shared" si="296"/>
        <v>0</v>
      </c>
      <c r="AY228" s="251">
        <f t="shared" si="296"/>
        <v>0</v>
      </c>
      <c r="AZ228" s="1215">
        <f t="shared" si="296"/>
        <v>0</v>
      </c>
      <c r="BA228" s="251">
        <f t="shared" si="296"/>
        <v>0</v>
      </c>
      <c r="BB228" s="1216">
        <f t="shared" si="296"/>
        <v>0</v>
      </c>
      <c r="BC228" s="518">
        <f t="shared" si="296"/>
        <v>0</v>
      </c>
      <c r="BD228" s="251">
        <f t="shared" si="296"/>
        <v>0</v>
      </c>
      <c r="BE228" s="251">
        <f t="shared" si="296"/>
        <v>0</v>
      </c>
      <c r="BF228" s="251">
        <f t="shared" si="296"/>
        <v>0</v>
      </c>
      <c r="BG228" s="251">
        <f t="shared" si="296"/>
        <v>0</v>
      </c>
      <c r="BH228" s="301">
        <f t="shared" si="296"/>
        <v>0</v>
      </c>
      <c r="BI228" s="518">
        <f t="shared" si="296"/>
        <v>0</v>
      </c>
      <c r="BJ228" s="251">
        <f t="shared" si="296"/>
        <v>0</v>
      </c>
      <c r="BK228" s="251">
        <f t="shared" si="296"/>
        <v>0</v>
      </c>
      <c r="BL228" s="251">
        <f t="shared" si="296"/>
        <v>0</v>
      </c>
      <c r="BM228" s="251">
        <f t="shared" si="296"/>
        <v>640000</v>
      </c>
      <c r="BN228" s="301">
        <f t="shared" si="296"/>
        <v>0</v>
      </c>
      <c r="BO228" s="518">
        <f t="shared" si="296"/>
        <v>0</v>
      </c>
      <c r="BP228" s="251">
        <f t="shared" si="296"/>
        <v>0</v>
      </c>
      <c r="BQ228" s="251">
        <f t="shared" si="296"/>
        <v>0</v>
      </c>
      <c r="BR228" s="251">
        <f t="shared" si="296"/>
        <v>0</v>
      </c>
      <c r="BS228" s="251">
        <f t="shared" si="296"/>
        <v>0</v>
      </c>
      <c r="BT228" s="519">
        <f t="shared" si="296"/>
        <v>0</v>
      </c>
    </row>
    <row r="229" spans="1:72" s="358" customFormat="1" ht="51">
      <c r="A229" s="287">
        <v>212</v>
      </c>
      <c r="B229" s="933"/>
      <c r="C229" s="850" t="s">
        <v>378</v>
      </c>
      <c r="D229" s="838"/>
      <c r="E229" s="836" t="s">
        <v>201</v>
      </c>
      <c r="F229" s="1193" t="s">
        <v>877</v>
      </c>
      <c r="G229" s="360">
        <v>5</v>
      </c>
      <c r="H229" s="360" t="s">
        <v>136</v>
      </c>
      <c r="I229" s="374">
        <v>244</v>
      </c>
      <c r="J229" s="361">
        <v>226</v>
      </c>
      <c r="K229" s="1206" t="s">
        <v>988</v>
      </c>
      <c r="L229" s="1289">
        <f>SUM(L230:L231)</f>
        <v>264510.61</v>
      </c>
      <c r="M229" s="552"/>
      <c r="N229" s="552">
        <f>SUM(N230:N231)</f>
        <v>0</v>
      </c>
      <c r="O229" s="1056">
        <f t="shared" si="265"/>
        <v>264510.61</v>
      </c>
      <c r="P229" s="569"/>
      <c r="Q229" s="551">
        <f>SUM(Q230:Q231)</f>
        <v>0</v>
      </c>
      <c r="R229" s="573"/>
      <c r="S229" s="553">
        <f>SUM(S230:S231)</f>
        <v>0</v>
      </c>
      <c r="T229" s="573"/>
      <c r="U229" s="365"/>
      <c r="V229" s="366"/>
      <c r="W229" s="366"/>
      <c r="X229" s="366"/>
      <c r="Z229" s="367">
        <f t="shared" si="281"/>
        <v>0</v>
      </c>
      <c r="AA229" s="363">
        <f t="shared" si="281"/>
        <v>0</v>
      </c>
      <c r="AB229" s="280">
        <f t="shared" si="282"/>
        <v>0</v>
      </c>
      <c r="AC229" s="367">
        <f t="shared" si="283"/>
        <v>0</v>
      </c>
      <c r="AD229" s="363">
        <f t="shared" si="283"/>
        <v>0</v>
      </c>
      <c r="AE229" s="280">
        <f t="shared" si="284"/>
        <v>0</v>
      </c>
      <c r="AF229" s="367">
        <f t="shared" si="285"/>
        <v>264510.61</v>
      </c>
      <c r="AG229" s="363">
        <f t="shared" si="285"/>
        <v>0</v>
      </c>
      <c r="AH229" s="280">
        <f t="shared" si="286"/>
        <v>264510.61</v>
      </c>
      <c r="AI229" s="367">
        <f t="shared" si="287"/>
        <v>0</v>
      </c>
      <c r="AJ229" s="363">
        <f t="shared" si="287"/>
        <v>0</v>
      </c>
      <c r="AK229" s="280">
        <f t="shared" si="288"/>
        <v>0</v>
      </c>
      <c r="AL229" s="368"/>
      <c r="AM229" s="367">
        <f t="shared" si="289"/>
        <v>0</v>
      </c>
      <c r="AN229" s="363">
        <f t="shared" si="289"/>
        <v>0</v>
      </c>
      <c r="AO229" s="280">
        <f t="shared" si="290"/>
        <v>0</v>
      </c>
      <c r="AP229" s="367">
        <f t="shared" si="291"/>
        <v>264510.61</v>
      </c>
      <c r="AQ229" s="363">
        <f t="shared" si="291"/>
        <v>0</v>
      </c>
      <c r="AR229" s="280">
        <f t="shared" si="292"/>
        <v>264510.61</v>
      </c>
      <c r="AS229" s="367">
        <f t="shared" si="293"/>
        <v>264510.61</v>
      </c>
      <c r="AT229" s="363">
        <f t="shared" si="293"/>
        <v>0</v>
      </c>
      <c r="AU229" s="280">
        <f t="shared" si="294"/>
        <v>264510.61</v>
      </c>
      <c r="AV229" s="1253">
        <f t="shared" si="295"/>
        <v>0</v>
      </c>
      <c r="AW229" s="367">
        <f t="shared" ref="AW229:BT229" si="297">SUM(AW230:AW231)</f>
        <v>0</v>
      </c>
      <c r="AX229" s="1097">
        <f t="shared" si="297"/>
        <v>0</v>
      </c>
      <c r="AY229" s="363">
        <f t="shared" si="297"/>
        <v>0</v>
      </c>
      <c r="AZ229" s="1097">
        <f t="shared" si="297"/>
        <v>0</v>
      </c>
      <c r="BA229" s="363">
        <f t="shared" si="297"/>
        <v>0</v>
      </c>
      <c r="BB229" s="1119">
        <f t="shared" si="297"/>
        <v>0</v>
      </c>
      <c r="BC229" s="367">
        <f t="shared" si="297"/>
        <v>0</v>
      </c>
      <c r="BD229" s="363">
        <f t="shared" si="297"/>
        <v>0</v>
      </c>
      <c r="BE229" s="363">
        <f t="shared" si="297"/>
        <v>0</v>
      </c>
      <c r="BF229" s="363">
        <f t="shared" si="297"/>
        <v>0</v>
      </c>
      <c r="BG229" s="363">
        <f t="shared" si="297"/>
        <v>0</v>
      </c>
      <c r="BH229" s="369">
        <f t="shared" si="297"/>
        <v>0</v>
      </c>
      <c r="BI229" s="367">
        <f t="shared" si="297"/>
        <v>0</v>
      </c>
      <c r="BJ229" s="363">
        <f t="shared" si="297"/>
        <v>0</v>
      </c>
      <c r="BK229" s="363">
        <f t="shared" si="297"/>
        <v>0</v>
      </c>
      <c r="BL229" s="363">
        <f t="shared" si="297"/>
        <v>0</v>
      </c>
      <c r="BM229" s="363">
        <f t="shared" si="297"/>
        <v>264510.61</v>
      </c>
      <c r="BN229" s="369">
        <f t="shared" si="297"/>
        <v>0</v>
      </c>
      <c r="BO229" s="367">
        <f t="shared" si="297"/>
        <v>0</v>
      </c>
      <c r="BP229" s="363">
        <f t="shared" si="297"/>
        <v>0</v>
      </c>
      <c r="BQ229" s="363">
        <f t="shared" si="297"/>
        <v>0</v>
      </c>
      <c r="BR229" s="363">
        <f t="shared" si="297"/>
        <v>0</v>
      </c>
      <c r="BS229" s="363">
        <f t="shared" si="297"/>
        <v>0</v>
      </c>
      <c r="BT229" s="280">
        <f t="shared" si="297"/>
        <v>0</v>
      </c>
    </row>
    <row r="230" spans="1:72" s="313" customFormat="1" ht="63.75" outlineLevel="1">
      <c r="A230" s="287">
        <v>213</v>
      </c>
      <c r="B230" s="933"/>
      <c r="C230" s="840"/>
      <c r="D230" s="841"/>
      <c r="E230" s="839"/>
      <c r="F230" s="825" t="s">
        <v>877</v>
      </c>
      <c r="G230" s="314">
        <v>5</v>
      </c>
      <c r="H230" s="739" t="s">
        <v>136</v>
      </c>
      <c r="I230" s="739">
        <v>244</v>
      </c>
      <c r="J230" s="740" t="s">
        <v>902</v>
      </c>
      <c r="K230" s="533" t="s">
        <v>941</v>
      </c>
      <c r="L230" s="1025">
        <v>248018.41</v>
      </c>
      <c r="M230" s="318"/>
      <c r="N230" s="318"/>
      <c r="O230" s="1052">
        <f>L230+N230</f>
        <v>248018.41</v>
      </c>
      <c r="P230" s="570"/>
      <c r="Q230" s="336">
        <v>0</v>
      </c>
      <c r="R230" s="559"/>
      <c r="S230" s="541">
        <v>0</v>
      </c>
      <c r="T230" s="559"/>
      <c r="U230" s="335"/>
      <c r="V230" s="597" t="s">
        <v>494</v>
      </c>
      <c r="W230" s="610" t="s">
        <v>976</v>
      </c>
      <c r="X230" s="597" t="s">
        <v>977</v>
      </c>
      <c r="Z230" s="336">
        <f t="shared" si="281"/>
        <v>0</v>
      </c>
      <c r="AA230" s="337">
        <f t="shared" si="281"/>
        <v>0</v>
      </c>
      <c r="AB230" s="338">
        <f t="shared" si="282"/>
        <v>0</v>
      </c>
      <c r="AC230" s="336">
        <f t="shared" si="283"/>
        <v>0</v>
      </c>
      <c r="AD230" s="337">
        <f t="shared" si="283"/>
        <v>0</v>
      </c>
      <c r="AE230" s="338">
        <f t="shared" si="284"/>
        <v>0</v>
      </c>
      <c r="AF230" s="336">
        <f t="shared" si="285"/>
        <v>248018.41</v>
      </c>
      <c r="AG230" s="337">
        <f t="shared" si="285"/>
        <v>0</v>
      </c>
      <c r="AH230" s="338">
        <f t="shared" si="286"/>
        <v>248018.41</v>
      </c>
      <c r="AI230" s="336">
        <f t="shared" si="287"/>
        <v>0</v>
      </c>
      <c r="AJ230" s="337">
        <f t="shared" si="287"/>
        <v>0</v>
      </c>
      <c r="AK230" s="338">
        <f t="shared" si="288"/>
        <v>0</v>
      </c>
      <c r="AL230" s="342"/>
      <c r="AM230" s="336">
        <f>Z230+AC230</f>
        <v>0</v>
      </c>
      <c r="AN230" s="339">
        <f>AA230+AD230</f>
        <v>0</v>
      </c>
      <c r="AO230" s="340">
        <f>AM230-AN230</f>
        <v>0</v>
      </c>
      <c r="AP230" s="336">
        <f>Z230+AC230+AF230</f>
        <v>248018.41</v>
      </c>
      <c r="AQ230" s="339">
        <f>AA230+AD230+AG230</f>
        <v>0</v>
      </c>
      <c r="AR230" s="340">
        <f>AP230-AQ230</f>
        <v>248018.41</v>
      </c>
      <c r="AS230" s="341">
        <f t="shared" si="293"/>
        <v>248018.41</v>
      </c>
      <c r="AT230" s="339">
        <f t="shared" si="293"/>
        <v>0</v>
      </c>
      <c r="AU230" s="340">
        <f t="shared" si="294"/>
        <v>248018.41</v>
      </c>
      <c r="AV230" s="1255">
        <f>L230-AS230</f>
        <v>0</v>
      </c>
      <c r="AW230" s="343"/>
      <c r="AX230" s="1098"/>
      <c r="AY230" s="345"/>
      <c r="AZ230" s="1098"/>
      <c r="BA230" s="345"/>
      <c r="BB230" s="1120"/>
      <c r="BC230" s="347"/>
      <c r="BD230" s="348"/>
      <c r="BE230" s="349"/>
      <c r="BF230" s="348"/>
      <c r="BG230" s="1135"/>
      <c r="BH230" s="350"/>
      <c r="BI230" s="351"/>
      <c r="BJ230" s="352"/>
      <c r="BK230" s="1137"/>
      <c r="BL230" s="352"/>
      <c r="BM230" s="1137">
        <v>248018.41</v>
      </c>
      <c r="BN230" s="353"/>
      <c r="BO230" s="354"/>
      <c r="BP230" s="355"/>
      <c r="BQ230" s="356"/>
      <c r="BR230" s="355"/>
      <c r="BS230" s="356"/>
      <c r="BT230" s="357"/>
    </row>
    <row r="231" spans="1:72" s="313" customFormat="1" ht="39" outlineLevel="1" thickBot="1">
      <c r="A231" s="287">
        <v>214</v>
      </c>
      <c r="B231" s="933"/>
      <c r="C231" s="840"/>
      <c r="D231" s="841"/>
      <c r="E231" s="839"/>
      <c r="F231" s="825" t="s">
        <v>877</v>
      </c>
      <c r="G231" s="314">
        <v>5</v>
      </c>
      <c r="H231" s="739" t="s">
        <v>136</v>
      </c>
      <c r="I231" s="739">
        <v>244</v>
      </c>
      <c r="J231" s="740" t="s">
        <v>902</v>
      </c>
      <c r="K231" s="533" t="s">
        <v>981</v>
      </c>
      <c r="L231" s="1025">
        <v>16492.2</v>
      </c>
      <c r="M231" s="318"/>
      <c r="N231" s="318"/>
      <c r="O231" s="1052">
        <f>L231+N231</f>
        <v>16492.2</v>
      </c>
      <c r="P231" s="570"/>
      <c r="Q231" s="336">
        <v>0</v>
      </c>
      <c r="R231" s="559"/>
      <c r="S231" s="541">
        <v>0</v>
      </c>
      <c r="T231" s="559"/>
      <c r="U231" s="335"/>
      <c r="V231" s="597" t="s">
        <v>494</v>
      </c>
      <c r="W231" s="610" t="s">
        <v>980</v>
      </c>
      <c r="X231" s="597" t="s">
        <v>977</v>
      </c>
      <c r="Z231" s="336">
        <f t="shared" si="281"/>
        <v>0</v>
      </c>
      <c r="AA231" s="337">
        <f t="shared" si="281"/>
        <v>0</v>
      </c>
      <c r="AB231" s="338">
        <f t="shared" si="282"/>
        <v>0</v>
      </c>
      <c r="AC231" s="336">
        <f t="shared" si="283"/>
        <v>0</v>
      </c>
      <c r="AD231" s="337">
        <f t="shared" si="283"/>
        <v>0</v>
      </c>
      <c r="AE231" s="338">
        <f t="shared" si="284"/>
        <v>0</v>
      </c>
      <c r="AF231" s="336">
        <f t="shared" si="285"/>
        <v>16492.2</v>
      </c>
      <c r="AG231" s="337">
        <f t="shared" si="285"/>
        <v>0</v>
      </c>
      <c r="AH231" s="338">
        <f t="shared" si="286"/>
        <v>16492.2</v>
      </c>
      <c r="AI231" s="336">
        <f t="shared" si="287"/>
        <v>0</v>
      </c>
      <c r="AJ231" s="337">
        <f t="shared" si="287"/>
        <v>0</v>
      </c>
      <c r="AK231" s="338">
        <f t="shared" si="288"/>
        <v>0</v>
      </c>
      <c r="AL231" s="342"/>
      <c r="AM231" s="336">
        <f>Z231+AC231</f>
        <v>0</v>
      </c>
      <c r="AN231" s="339">
        <f>AA231+AD231</f>
        <v>0</v>
      </c>
      <c r="AO231" s="340">
        <f>AM231-AN231</f>
        <v>0</v>
      </c>
      <c r="AP231" s="336">
        <f>Z231+AC231+AF231</f>
        <v>16492.2</v>
      </c>
      <c r="AQ231" s="339">
        <f>AA231+AD231+AG231</f>
        <v>0</v>
      </c>
      <c r="AR231" s="340">
        <f>AP231-AQ231</f>
        <v>16492.2</v>
      </c>
      <c r="AS231" s="341">
        <f t="shared" si="293"/>
        <v>16492.2</v>
      </c>
      <c r="AT231" s="339">
        <f t="shared" si="293"/>
        <v>0</v>
      </c>
      <c r="AU231" s="340">
        <f t="shared" si="294"/>
        <v>16492.2</v>
      </c>
      <c r="AV231" s="1255">
        <f>L231-AS231</f>
        <v>0</v>
      </c>
      <c r="AW231" s="343"/>
      <c r="AX231" s="1098"/>
      <c r="AY231" s="345"/>
      <c r="AZ231" s="1098"/>
      <c r="BA231" s="345"/>
      <c r="BB231" s="1120"/>
      <c r="BC231" s="347"/>
      <c r="BD231" s="348"/>
      <c r="BE231" s="349"/>
      <c r="BF231" s="348"/>
      <c r="BG231" s="1135"/>
      <c r="BH231" s="350"/>
      <c r="BI231" s="351"/>
      <c r="BJ231" s="352"/>
      <c r="BK231" s="1137"/>
      <c r="BL231" s="352"/>
      <c r="BM231" s="1137">
        <v>16492.2</v>
      </c>
      <c r="BN231" s="353"/>
      <c r="BO231" s="354"/>
      <c r="BP231" s="355"/>
      <c r="BQ231" s="356"/>
      <c r="BR231" s="355"/>
      <c r="BS231" s="356"/>
      <c r="BT231" s="357"/>
    </row>
    <row r="232" spans="1:72" s="358" customFormat="1" ht="51">
      <c r="A232" s="287">
        <v>215</v>
      </c>
      <c r="B232" s="933"/>
      <c r="C232" s="850" t="s">
        <v>378</v>
      </c>
      <c r="D232" s="838"/>
      <c r="E232" s="836" t="s">
        <v>201</v>
      </c>
      <c r="F232" s="1193" t="s">
        <v>877</v>
      </c>
      <c r="G232" s="360">
        <v>5</v>
      </c>
      <c r="H232" s="360" t="s">
        <v>136</v>
      </c>
      <c r="I232" s="374">
        <v>244</v>
      </c>
      <c r="J232" s="361">
        <v>346</v>
      </c>
      <c r="K232" s="1206" t="s">
        <v>989</v>
      </c>
      <c r="L232" s="1289">
        <f>SUM(L233:L235)</f>
        <v>182587.93</v>
      </c>
      <c r="M232" s="552"/>
      <c r="N232" s="552">
        <f>SUM(N233:N235)</f>
        <v>0</v>
      </c>
      <c r="O232" s="1056">
        <f t="shared" ref="O232" si="298">L232+N232</f>
        <v>182587.93</v>
      </c>
      <c r="P232" s="569"/>
      <c r="Q232" s="551">
        <f>SUM(Q233:Q235)</f>
        <v>0</v>
      </c>
      <c r="R232" s="573"/>
      <c r="S232" s="553">
        <f>SUM(S233:S235)</f>
        <v>0</v>
      </c>
      <c r="T232" s="573"/>
      <c r="U232" s="365"/>
      <c r="V232" s="366"/>
      <c r="W232" s="366"/>
      <c r="X232" s="366"/>
      <c r="Z232" s="367">
        <f t="shared" si="281"/>
        <v>0</v>
      </c>
      <c r="AA232" s="363">
        <f t="shared" si="281"/>
        <v>0</v>
      </c>
      <c r="AB232" s="280">
        <f t="shared" si="282"/>
        <v>0</v>
      </c>
      <c r="AC232" s="367">
        <f t="shared" si="283"/>
        <v>0</v>
      </c>
      <c r="AD232" s="363">
        <f t="shared" si="283"/>
        <v>0</v>
      </c>
      <c r="AE232" s="280">
        <f t="shared" si="284"/>
        <v>0</v>
      </c>
      <c r="AF232" s="367">
        <f t="shared" si="285"/>
        <v>182587.93</v>
      </c>
      <c r="AG232" s="363">
        <f t="shared" si="285"/>
        <v>0</v>
      </c>
      <c r="AH232" s="280">
        <f t="shared" si="286"/>
        <v>182587.93</v>
      </c>
      <c r="AI232" s="367">
        <f t="shared" si="287"/>
        <v>0</v>
      </c>
      <c r="AJ232" s="363">
        <f t="shared" si="287"/>
        <v>0</v>
      </c>
      <c r="AK232" s="280">
        <f t="shared" si="288"/>
        <v>0</v>
      </c>
      <c r="AL232" s="368"/>
      <c r="AM232" s="367">
        <f t="shared" ref="AM232:AN233" si="299">Z232+AC232</f>
        <v>0</v>
      </c>
      <c r="AN232" s="363">
        <f t="shared" si="299"/>
        <v>0</v>
      </c>
      <c r="AO232" s="280">
        <f t="shared" ref="AO232" si="300">AM232-AN232</f>
        <v>0</v>
      </c>
      <c r="AP232" s="367">
        <f t="shared" ref="AP232:AQ233" si="301">Z232+AC232+AF232</f>
        <v>182587.93</v>
      </c>
      <c r="AQ232" s="363">
        <f t="shared" si="301"/>
        <v>0</v>
      </c>
      <c r="AR232" s="280">
        <f t="shared" ref="AR232" si="302">AP232-AQ232</f>
        <v>182587.93</v>
      </c>
      <c r="AS232" s="367">
        <f t="shared" si="293"/>
        <v>182587.93</v>
      </c>
      <c r="AT232" s="363">
        <f t="shared" si="293"/>
        <v>0</v>
      </c>
      <c r="AU232" s="280">
        <f t="shared" si="294"/>
        <v>182587.93</v>
      </c>
      <c r="AV232" s="1253">
        <f t="shared" ref="AV232" si="303">L232-AS232</f>
        <v>0</v>
      </c>
      <c r="AW232" s="367">
        <f t="shared" ref="AW232:BT232" si="304">SUM(AW233:AW235)</f>
        <v>0</v>
      </c>
      <c r="AX232" s="1097">
        <f t="shared" si="304"/>
        <v>0</v>
      </c>
      <c r="AY232" s="363">
        <f t="shared" si="304"/>
        <v>0</v>
      </c>
      <c r="AZ232" s="1097">
        <f t="shared" si="304"/>
        <v>0</v>
      </c>
      <c r="BA232" s="363">
        <f t="shared" si="304"/>
        <v>0</v>
      </c>
      <c r="BB232" s="1119">
        <f t="shared" si="304"/>
        <v>0</v>
      </c>
      <c r="BC232" s="367">
        <f t="shared" si="304"/>
        <v>0</v>
      </c>
      <c r="BD232" s="363">
        <f t="shared" si="304"/>
        <v>0</v>
      </c>
      <c r="BE232" s="363">
        <f t="shared" si="304"/>
        <v>0</v>
      </c>
      <c r="BF232" s="363">
        <f t="shared" si="304"/>
        <v>0</v>
      </c>
      <c r="BG232" s="363">
        <f t="shared" si="304"/>
        <v>0</v>
      </c>
      <c r="BH232" s="369">
        <f t="shared" si="304"/>
        <v>0</v>
      </c>
      <c r="BI232" s="367">
        <f t="shared" si="304"/>
        <v>0</v>
      </c>
      <c r="BJ232" s="363">
        <f t="shared" si="304"/>
        <v>0</v>
      </c>
      <c r="BK232" s="363">
        <f t="shared" si="304"/>
        <v>0</v>
      </c>
      <c r="BL232" s="363">
        <f t="shared" si="304"/>
        <v>0</v>
      </c>
      <c r="BM232" s="363">
        <f t="shared" si="304"/>
        <v>182587.93</v>
      </c>
      <c r="BN232" s="369">
        <f t="shared" si="304"/>
        <v>0</v>
      </c>
      <c r="BO232" s="367">
        <f t="shared" si="304"/>
        <v>0</v>
      </c>
      <c r="BP232" s="363">
        <f t="shared" si="304"/>
        <v>0</v>
      </c>
      <c r="BQ232" s="363">
        <f t="shared" si="304"/>
        <v>0</v>
      </c>
      <c r="BR232" s="363">
        <f t="shared" si="304"/>
        <v>0</v>
      </c>
      <c r="BS232" s="363">
        <f t="shared" si="304"/>
        <v>0</v>
      </c>
      <c r="BT232" s="280">
        <f t="shared" si="304"/>
        <v>0</v>
      </c>
    </row>
    <row r="233" spans="1:72" s="313" customFormat="1" ht="63.75" outlineLevel="1">
      <c r="A233" s="287">
        <v>216</v>
      </c>
      <c r="B233" s="933"/>
      <c r="C233" s="840"/>
      <c r="D233" s="841"/>
      <c r="E233" s="839"/>
      <c r="F233" s="825" t="s">
        <v>877</v>
      </c>
      <c r="G233" s="314">
        <v>5</v>
      </c>
      <c r="H233" s="739" t="s">
        <v>136</v>
      </c>
      <c r="I233" s="739">
        <v>244</v>
      </c>
      <c r="J233" s="740" t="s">
        <v>903</v>
      </c>
      <c r="K233" s="533" t="s">
        <v>940</v>
      </c>
      <c r="L233" s="1025">
        <v>20087.93</v>
      </c>
      <c r="M233" s="318"/>
      <c r="N233" s="318"/>
      <c r="O233" s="1052">
        <f>L233+N233</f>
        <v>20087.93</v>
      </c>
      <c r="P233" s="570"/>
      <c r="Q233" s="336">
        <v>0</v>
      </c>
      <c r="R233" s="559"/>
      <c r="S233" s="541">
        <v>0</v>
      </c>
      <c r="T233" s="559"/>
      <c r="U233" s="335"/>
      <c r="V233" s="597" t="s">
        <v>982</v>
      </c>
      <c r="W233" s="388" t="s">
        <v>481</v>
      </c>
      <c r="X233" s="597" t="s">
        <v>977</v>
      </c>
      <c r="Z233" s="336">
        <f t="shared" si="281"/>
        <v>0</v>
      </c>
      <c r="AA233" s="337">
        <f t="shared" si="281"/>
        <v>0</v>
      </c>
      <c r="AB233" s="338">
        <f t="shared" si="282"/>
        <v>0</v>
      </c>
      <c r="AC233" s="336">
        <f t="shared" si="283"/>
        <v>0</v>
      </c>
      <c r="AD233" s="337">
        <f t="shared" si="283"/>
        <v>0</v>
      </c>
      <c r="AE233" s="338">
        <f t="shared" si="284"/>
        <v>0</v>
      </c>
      <c r="AF233" s="336">
        <f t="shared" si="285"/>
        <v>20087.93</v>
      </c>
      <c r="AG233" s="337">
        <f t="shared" si="285"/>
        <v>0</v>
      </c>
      <c r="AH233" s="338">
        <f t="shared" si="286"/>
        <v>20087.93</v>
      </c>
      <c r="AI233" s="336">
        <f t="shared" si="287"/>
        <v>0</v>
      </c>
      <c r="AJ233" s="337">
        <f t="shared" si="287"/>
        <v>0</v>
      </c>
      <c r="AK233" s="338">
        <f t="shared" si="288"/>
        <v>0</v>
      </c>
      <c r="AL233" s="342"/>
      <c r="AM233" s="336">
        <f t="shared" si="299"/>
        <v>0</v>
      </c>
      <c r="AN233" s="339">
        <f t="shared" si="299"/>
        <v>0</v>
      </c>
      <c r="AO233" s="340">
        <f>AM233-AN233</f>
        <v>0</v>
      </c>
      <c r="AP233" s="336">
        <f t="shared" si="301"/>
        <v>20087.93</v>
      </c>
      <c r="AQ233" s="339">
        <f t="shared" si="301"/>
        <v>0</v>
      </c>
      <c r="AR233" s="340">
        <f>AP233-AQ233</f>
        <v>20087.93</v>
      </c>
      <c r="AS233" s="341">
        <f t="shared" si="293"/>
        <v>20087.93</v>
      </c>
      <c r="AT233" s="339">
        <f t="shared" si="293"/>
        <v>0</v>
      </c>
      <c r="AU233" s="340">
        <f t="shared" si="294"/>
        <v>20087.93</v>
      </c>
      <c r="AV233" s="1255">
        <f>L233-AS233</f>
        <v>0</v>
      </c>
      <c r="AW233" s="343"/>
      <c r="AX233" s="1098"/>
      <c r="AY233" s="345"/>
      <c r="AZ233" s="1098"/>
      <c r="BA233" s="345"/>
      <c r="BB233" s="1120"/>
      <c r="BC233" s="347"/>
      <c r="BD233" s="348"/>
      <c r="BE233" s="349"/>
      <c r="BF233" s="348"/>
      <c r="BG233" s="1135"/>
      <c r="BH233" s="350"/>
      <c r="BI233" s="351"/>
      <c r="BJ233" s="352"/>
      <c r="BK233" s="1137"/>
      <c r="BL233" s="352"/>
      <c r="BM233" s="1137">
        <v>20087.93</v>
      </c>
      <c r="BN233" s="353"/>
      <c r="BO233" s="354"/>
      <c r="BP233" s="355"/>
      <c r="BQ233" s="356"/>
      <c r="BR233" s="355"/>
      <c r="BS233" s="356"/>
      <c r="BT233" s="357"/>
    </row>
    <row r="234" spans="1:72" s="313" customFormat="1" ht="25.5" outlineLevel="1">
      <c r="A234" s="287">
        <v>217</v>
      </c>
      <c r="B234" s="933"/>
      <c r="C234" s="840"/>
      <c r="D234" s="841"/>
      <c r="E234" s="839"/>
      <c r="F234" s="825" t="s">
        <v>877</v>
      </c>
      <c r="G234" s="314">
        <v>5</v>
      </c>
      <c r="H234" s="739" t="s">
        <v>136</v>
      </c>
      <c r="I234" s="739">
        <v>244</v>
      </c>
      <c r="J234" s="740" t="s">
        <v>903</v>
      </c>
      <c r="K234" s="533" t="s">
        <v>958</v>
      </c>
      <c r="L234" s="1025">
        <v>65000</v>
      </c>
      <c r="M234" s="318"/>
      <c r="N234" s="318"/>
      <c r="O234" s="1052">
        <f>L234+N234</f>
        <v>65000</v>
      </c>
      <c r="P234" s="570"/>
      <c r="Q234" s="336">
        <v>0</v>
      </c>
      <c r="R234" s="559"/>
      <c r="S234" s="541">
        <v>0</v>
      </c>
      <c r="T234" s="559"/>
      <c r="U234" s="335"/>
      <c r="V234" s="597" t="s">
        <v>959</v>
      </c>
      <c r="W234" s="388" t="s">
        <v>960</v>
      </c>
      <c r="X234" s="597" t="s">
        <v>977</v>
      </c>
      <c r="Z234" s="336">
        <f t="shared" si="281"/>
        <v>0</v>
      </c>
      <c r="AA234" s="337">
        <f t="shared" si="281"/>
        <v>0</v>
      </c>
      <c r="AB234" s="338">
        <f t="shared" si="282"/>
        <v>0</v>
      </c>
      <c r="AC234" s="336">
        <f t="shared" si="283"/>
        <v>0</v>
      </c>
      <c r="AD234" s="337">
        <f t="shared" si="283"/>
        <v>0</v>
      </c>
      <c r="AE234" s="338">
        <f t="shared" si="284"/>
        <v>0</v>
      </c>
      <c r="AF234" s="336">
        <f t="shared" si="285"/>
        <v>65000</v>
      </c>
      <c r="AG234" s="337">
        <f t="shared" si="285"/>
        <v>0</v>
      </c>
      <c r="AH234" s="338">
        <f t="shared" si="286"/>
        <v>65000</v>
      </c>
      <c r="AI234" s="336">
        <f t="shared" si="287"/>
        <v>0</v>
      </c>
      <c r="AJ234" s="337">
        <f t="shared" si="287"/>
        <v>0</v>
      </c>
      <c r="AK234" s="338">
        <f t="shared" si="288"/>
        <v>0</v>
      </c>
      <c r="AL234" s="342"/>
      <c r="AM234" s="336">
        <f>Z234+AC234</f>
        <v>0</v>
      </c>
      <c r="AN234" s="339">
        <f>AA234+AD234</f>
        <v>0</v>
      </c>
      <c r="AO234" s="340">
        <f>AM234-AN234</f>
        <v>0</v>
      </c>
      <c r="AP234" s="336">
        <f>Z234+AC234+AF234</f>
        <v>65000</v>
      </c>
      <c r="AQ234" s="339">
        <f>AA234+AD234+AG234</f>
        <v>0</v>
      </c>
      <c r="AR234" s="340">
        <f>AP234-AQ234</f>
        <v>65000</v>
      </c>
      <c r="AS234" s="341">
        <f t="shared" si="293"/>
        <v>65000</v>
      </c>
      <c r="AT234" s="339">
        <f t="shared" si="293"/>
        <v>0</v>
      </c>
      <c r="AU234" s="340">
        <f t="shared" si="294"/>
        <v>65000</v>
      </c>
      <c r="AV234" s="1255">
        <f>L234-AS234</f>
        <v>0</v>
      </c>
      <c r="AW234" s="343"/>
      <c r="AX234" s="1098"/>
      <c r="AY234" s="345"/>
      <c r="AZ234" s="1098"/>
      <c r="BA234" s="345"/>
      <c r="BB234" s="1120"/>
      <c r="BC234" s="347"/>
      <c r="BD234" s="348"/>
      <c r="BE234" s="349"/>
      <c r="BF234" s="348"/>
      <c r="BG234" s="1135"/>
      <c r="BH234" s="350"/>
      <c r="BI234" s="351"/>
      <c r="BJ234" s="352"/>
      <c r="BK234" s="1137"/>
      <c r="BL234" s="352"/>
      <c r="BM234" s="1137">
        <v>65000</v>
      </c>
      <c r="BN234" s="353"/>
      <c r="BO234" s="354"/>
      <c r="BP234" s="355"/>
      <c r="BQ234" s="356"/>
      <c r="BR234" s="355"/>
      <c r="BS234" s="356"/>
      <c r="BT234" s="357"/>
    </row>
    <row r="235" spans="1:72" s="313" customFormat="1" ht="26.25" outlineLevel="1" thickBot="1">
      <c r="A235" s="287">
        <v>218</v>
      </c>
      <c r="B235" s="933"/>
      <c r="C235" s="840"/>
      <c r="D235" s="841"/>
      <c r="E235" s="839"/>
      <c r="F235" s="825" t="s">
        <v>877</v>
      </c>
      <c r="G235" s="314">
        <v>5</v>
      </c>
      <c r="H235" s="739" t="s">
        <v>136</v>
      </c>
      <c r="I235" s="739">
        <v>244</v>
      </c>
      <c r="J235" s="740" t="s">
        <v>903</v>
      </c>
      <c r="K235" s="533" t="s">
        <v>946</v>
      </c>
      <c r="L235" s="1025">
        <v>97500</v>
      </c>
      <c r="M235" s="318"/>
      <c r="N235" s="318"/>
      <c r="O235" s="1052">
        <f>L235+N235</f>
        <v>97500</v>
      </c>
      <c r="P235" s="570"/>
      <c r="Q235" s="336">
        <v>0</v>
      </c>
      <c r="R235" s="559"/>
      <c r="S235" s="541">
        <v>0</v>
      </c>
      <c r="T235" s="559"/>
      <c r="U235" s="335"/>
      <c r="V235" s="597" t="s">
        <v>959</v>
      </c>
      <c r="W235" s="388" t="s">
        <v>961</v>
      </c>
      <c r="X235" s="597" t="s">
        <v>977</v>
      </c>
      <c r="Z235" s="336">
        <f t="shared" si="281"/>
        <v>0</v>
      </c>
      <c r="AA235" s="337">
        <f t="shared" si="281"/>
        <v>0</v>
      </c>
      <c r="AB235" s="338">
        <f t="shared" si="282"/>
        <v>0</v>
      </c>
      <c r="AC235" s="336">
        <f t="shared" si="283"/>
        <v>0</v>
      </c>
      <c r="AD235" s="337">
        <f t="shared" si="283"/>
        <v>0</v>
      </c>
      <c r="AE235" s="338">
        <f t="shared" si="284"/>
        <v>0</v>
      </c>
      <c r="AF235" s="336">
        <f t="shared" si="285"/>
        <v>97500</v>
      </c>
      <c r="AG235" s="337">
        <f t="shared" si="285"/>
        <v>0</v>
      </c>
      <c r="AH235" s="338">
        <f t="shared" si="286"/>
        <v>97500</v>
      </c>
      <c r="AI235" s="336">
        <f t="shared" si="287"/>
        <v>0</v>
      </c>
      <c r="AJ235" s="337">
        <f t="shared" si="287"/>
        <v>0</v>
      </c>
      <c r="AK235" s="338">
        <f t="shared" si="288"/>
        <v>0</v>
      </c>
      <c r="AL235" s="342"/>
      <c r="AM235" s="336">
        <f>Z235+AC235</f>
        <v>0</v>
      </c>
      <c r="AN235" s="339">
        <f>AA235+AD235</f>
        <v>0</v>
      </c>
      <c r="AO235" s="340">
        <f>AM235-AN235</f>
        <v>0</v>
      </c>
      <c r="AP235" s="336">
        <f>Z235+AC235+AF235</f>
        <v>97500</v>
      </c>
      <c r="AQ235" s="339">
        <f>AA235+AD235+AG235</f>
        <v>0</v>
      </c>
      <c r="AR235" s="340">
        <f>AP235-AQ235</f>
        <v>97500</v>
      </c>
      <c r="AS235" s="341">
        <f t="shared" si="293"/>
        <v>97500</v>
      </c>
      <c r="AT235" s="339">
        <f t="shared" si="293"/>
        <v>0</v>
      </c>
      <c r="AU235" s="340">
        <f t="shared" si="294"/>
        <v>97500</v>
      </c>
      <c r="AV235" s="1255">
        <f>L235-AS235</f>
        <v>0</v>
      </c>
      <c r="AW235" s="343"/>
      <c r="AX235" s="1098"/>
      <c r="AY235" s="345"/>
      <c r="AZ235" s="1098"/>
      <c r="BA235" s="345"/>
      <c r="BB235" s="1120"/>
      <c r="BC235" s="347"/>
      <c r="BD235" s="348"/>
      <c r="BE235" s="349"/>
      <c r="BF235" s="348"/>
      <c r="BG235" s="1135"/>
      <c r="BH235" s="350"/>
      <c r="BI235" s="351"/>
      <c r="BJ235" s="352"/>
      <c r="BK235" s="1137"/>
      <c r="BL235" s="352"/>
      <c r="BM235" s="1137">
        <v>97500</v>
      </c>
      <c r="BN235" s="353"/>
      <c r="BO235" s="354"/>
      <c r="BP235" s="355"/>
      <c r="BQ235" s="356"/>
      <c r="BR235" s="355"/>
      <c r="BS235" s="356"/>
      <c r="BT235" s="357"/>
    </row>
    <row r="236" spans="1:72" s="358" customFormat="1" ht="63">
      <c r="A236" s="287">
        <v>219</v>
      </c>
      <c r="B236" s="933"/>
      <c r="C236" s="850" t="s">
        <v>378</v>
      </c>
      <c r="D236" s="838"/>
      <c r="E236" s="836" t="s">
        <v>201</v>
      </c>
      <c r="F236" s="1193" t="s">
        <v>877</v>
      </c>
      <c r="G236" s="360">
        <v>5</v>
      </c>
      <c r="H236" s="360" t="s">
        <v>136</v>
      </c>
      <c r="I236" s="374">
        <v>244</v>
      </c>
      <c r="J236" s="361">
        <v>349</v>
      </c>
      <c r="K236" s="1206" t="s">
        <v>990</v>
      </c>
      <c r="L236" s="1289">
        <f>SUM(L237:L240)</f>
        <v>171156.8</v>
      </c>
      <c r="M236" s="552"/>
      <c r="N236" s="552">
        <f>SUM(N237:N240)</f>
        <v>0</v>
      </c>
      <c r="O236" s="1056">
        <f t="shared" ref="O236" si="305">L236+N236</f>
        <v>171156.8</v>
      </c>
      <c r="P236" s="569"/>
      <c r="Q236" s="551">
        <f>SUM(Q237:Q240)</f>
        <v>0</v>
      </c>
      <c r="R236" s="573"/>
      <c r="S236" s="553">
        <f>SUM(S237:S240)</f>
        <v>0</v>
      </c>
      <c r="T236" s="573"/>
      <c r="U236" s="365"/>
      <c r="V236" s="366"/>
      <c r="W236" s="366"/>
      <c r="X236" s="366"/>
      <c r="Z236" s="367">
        <f t="shared" si="281"/>
        <v>0</v>
      </c>
      <c r="AA236" s="363">
        <f t="shared" si="281"/>
        <v>0</v>
      </c>
      <c r="AB236" s="280">
        <f t="shared" si="282"/>
        <v>0</v>
      </c>
      <c r="AC236" s="367">
        <f t="shared" si="283"/>
        <v>0</v>
      </c>
      <c r="AD236" s="363">
        <f t="shared" si="283"/>
        <v>0</v>
      </c>
      <c r="AE236" s="280">
        <f t="shared" si="284"/>
        <v>0</v>
      </c>
      <c r="AF236" s="367">
        <f t="shared" si="285"/>
        <v>111156.8</v>
      </c>
      <c r="AG236" s="363">
        <f t="shared" si="285"/>
        <v>0</v>
      </c>
      <c r="AH236" s="280">
        <f t="shared" si="286"/>
        <v>111156.8</v>
      </c>
      <c r="AI236" s="367">
        <f t="shared" si="287"/>
        <v>0</v>
      </c>
      <c r="AJ236" s="363">
        <f t="shared" si="287"/>
        <v>0</v>
      </c>
      <c r="AK236" s="280">
        <f t="shared" si="288"/>
        <v>0</v>
      </c>
      <c r="AL236" s="368"/>
      <c r="AM236" s="367">
        <f t="shared" ref="AM236:AN246" si="306">Z236+AC236</f>
        <v>0</v>
      </c>
      <c r="AN236" s="363">
        <f t="shared" si="306"/>
        <v>0</v>
      </c>
      <c r="AO236" s="280">
        <f t="shared" ref="AO236" si="307">AM236-AN236</f>
        <v>0</v>
      </c>
      <c r="AP236" s="367">
        <f t="shared" ref="AP236:AQ246" si="308">Z236+AC236+AF236</f>
        <v>111156.8</v>
      </c>
      <c r="AQ236" s="363">
        <f t="shared" si="308"/>
        <v>0</v>
      </c>
      <c r="AR236" s="280">
        <f t="shared" ref="AR236" si="309">AP236-AQ236</f>
        <v>111156.8</v>
      </c>
      <c r="AS236" s="367">
        <f t="shared" si="293"/>
        <v>111156.8</v>
      </c>
      <c r="AT236" s="363">
        <f t="shared" si="293"/>
        <v>0</v>
      </c>
      <c r="AU236" s="280">
        <f t="shared" si="294"/>
        <v>111156.8</v>
      </c>
      <c r="AV236" s="1253">
        <f t="shared" ref="AV236" si="310">L236-AS236</f>
        <v>60000</v>
      </c>
      <c r="AW236" s="367">
        <f t="shared" ref="AW236:BT236" si="311">SUM(AW237:AW240)</f>
        <v>0</v>
      </c>
      <c r="AX236" s="1097">
        <f t="shared" si="311"/>
        <v>0</v>
      </c>
      <c r="AY236" s="363">
        <f t="shared" si="311"/>
        <v>0</v>
      </c>
      <c r="AZ236" s="1097">
        <f t="shared" si="311"/>
        <v>0</v>
      </c>
      <c r="BA236" s="363">
        <f t="shared" si="311"/>
        <v>0</v>
      </c>
      <c r="BB236" s="1119">
        <f t="shared" si="311"/>
        <v>0</v>
      </c>
      <c r="BC236" s="367">
        <f t="shared" si="311"/>
        <v>0</v>
      </c>
      <c r="BD236" s="363">
        <f t="shared" si="311"/>
        <v>0</v>
      </c>
      <c r="BE236" s="363">
        <f t="shared" si="311"/>
        <v>0</v>
      </c>
      <c r="BF236" s="363">
        <f t="shared" si="311"/>
        <v>0</v>
      </c>
      <c r="BG236" s="363">
        <f t="shared" si="311"/>
        <v>0</v>
      </c>
      <c r="BH236" s="369">
        <f t="shared" si="311"/>
        <v>0</v>
      </c>
      <c r="BI236" s="367">
        <f t="shared" si="311"/>
        <v>0</v>
      </c>
      <c r="BJ236" s="363">
        <f t="shared" si="311"/>
        <v>0</v>
      </c>
      <c r="BK236" s="363">
        <f t="shared" si="311"/>
        <v>0</v>
      </c>
      <c r="BL236" s="363">
        <f t="shared" si="311"/>
        <v>0</v>
      </c>
      <c r="BM236" s="363">
        <f t="shared" si="311"/>
        <v>111156.8</v>
      </c>
      <c r="BN236" s="369">
        <f t="shared" si="311"/>
        <v>0</v>
      </c>
      <c r="BO236" s="367">
        <f t="shared" si="311"/>
        <v>0</v>
      </c>
      <c r="BP236" s="363">
        <f t="shared" si="311"/>
        <v>0</v>
      </c>
      <c r="BQ236" s="363">
        <f t="shared" si="311"/>
        <v>0</v>
      </c>
      <c r="BR236" s="363">
        <f t="shared" si="311"/>
        <v>0</v>
      </c>
      <c r="BS236" s="363">
        <f t="shared" si="311"/>
        <v>0</v>
      </c>
      <c r="BT236" s="363">
        <f t="shared" si="311"/>
        <v>0</v>
      </c>
    </row>
    <row r="237" spans="1:72" s="313" customFormat="1" ht="80.25" customHeight="1" outlineLevel="1">
      <c r="A237" s="287">
        <v>220</v>
      </c>
      <c r="B237" s="933"/>
      <c r="C237" s="840"/>
      <c r="D237" s="841"/>
      <c r="E237" s="839"/>
      <c r="F237" s="825" t="s">
        <v>877</v>
      </c>
      <c r="G237" s="314">
        <v>5</v>
      </c>
      <c r="H237" s="739" t="s">
        <v>136</v>
      </c>
      <c r="I237" s="739">
        <v>244</v>
      </c>
      <c r="J237" s="740" t="s">
        <v>904</v>
      </c>
      <c r="K237" s="533" t="s">
        <v>942</v>
      </c>
      <c r="L237" s="1025">
        <v>48200</v>
      </c>
      <c r="M237" s="318"/>
      <c r="N237" s="318"/>
      <c r="O237" s="1052">
        <f>L237+N237</f>
        <v>48200</v>
      </c>
      <c r="P237" s="570"/>
      <c r="Q237" s="336">
        <v>0</v>
      </c>
      <c r="R237" s="559"/>
      <c r="S237" s="541">
        <v>0</v>
      </c>
      <c r="T237" s="559"/>
      <c r="U237" s="335"/>
      <c r="V237" s="597" t="s">
        <v>943</v>
      </c>
      <c r="W237" s="388" t="s">
        <v>944</v>
      </c>
      <c r="X237" s="811"/>
      <c r="Z237" s="336">
        <f t="shared" si="281"/>
        <v>0</v>
      </c>
      <c r="AA237" s="337">
        <f t="shared" si="281"/>
        <v>0</v>
      </c>
      <c r="AB237" s="338">
        <f t="shared" si="282"/>
        <v>0</v>
      </c>
      <c r="AC237" s="336">
        <f t="shared" si="283"/>
        <v>0</v>
      </c>
      <c r="AD237" s="337">
        <f t="shared" si="283"/>
        <v>0</v>
      </c>
      <c r="AE237" s="338">
        <f t="shared" si="284"/>
        <v>0</v>
      </c>
      <c r="AF237" s="336">
        <f t="shared" si="285"/>
        <v>48200</v>
      </c>
      <c r="AG237" s="337">
        <f t="shared" si="285"/>
        <v>0</v>
      </c>
      <c r="AH237" s="338">
        <f t="shared" si="286"/>
        <v>48200</v>
      </c>
      <c r="AI237" s="336">
        <f t="shared" si="287"/>
        <v>0</v>
      </c>
      <c r="AJ237" s="337">
        <f t="shared" si="287"/>
        <v>0</v>
      </c>
      <c r="AK237" s="338">
        <f t="shared" si="288"/>
        <v>0</v>
      </c>
      <c r="AL237" s="342"/>
      <c r="AM237" s="336">
        <f t="shared" si="306"/>
        <v>0</v>
      </c>
      <c r="AN237" s="339">
        <f t="shared" si="306"/>
        <v>0</v>
      </c>
      <c r="AO237" s="340">
        <f>AM237-AN237</f>
        <v>0</v>
      </c>
      <c r="AP237" s="336">
        <f t="shared" si="308"/>
        <v>48200</v>
      </c>
      <c r="AQ237" s="339">
        <f t="shared" si="308"/>
        <v>0</v>
      </c>
      <c r="AR237" s="340">
        <f>AP237-AQ237</f>
        <v>48200</v>
      </c>
      <c r="AS237" s="341">
        <f t="shared" si="293"/>
        <v>48200</v>
      </c>
      <c r="AT237" s="339">
        <f t="shared" si="293"/>
        <v>0</v>
      </c>
      <c r="AU237" s="340">
        <f t="shared" si="294"/>
        <v>48200</v>
      </c>
      <c r="AV237" s="1255">
        <f>L237-AS237</f>
        <v>0</v>
      </c>
      <c r="AW237" s="343"/>
      <c r="AX237" s="1098"/>
      <c r="AY237" s="345"/>
      <c r="AZ237" s="1098"/>
      <c r="BA237" s="345"/>
      <c r="BB237" s="1120"/>
      <c r="BC237" s="347"/>
      <c r="BD237" s="348"/>
      <c r="BE237" s="349"/>
      <c r="BF237" s="348"/>
      <c r="BG237" s="1135"/>
      <c r="BH237" s="350"/>
      <c r="BI237" s="351"/>
      <c r="BJ237" s="352"/>
      <c r="BK237" s="1137"/>
      <c r="BL237" s="352"/>
      <c r="BM237" s="1137">
        <v>48200</v>
      </c>
      <c r="BN237" s="353"/>
      <c r="BO237" s="354"/>
      <c r="BP237" s="355"/>
      <c r="BQ237" s="356"/>
      <c r="BR237" s="355"/>
      <c r="BS237" s="356"/>
      <c r="BT237" s="357"/>
    </row>
    <row r="238" spans="1:72" s="313" customFormat="1" ht="25.5" outlineLevel="1">
      <c r="A238" s="287">
        <v>221</v>
      </c>
      <c r="B238" s="933"/>
      <c r="C238" s="840"/>
      <c r="D238" s="841"/>
      <c r="E238" s="839"/>
      <c r="F238" s="825" t="s">
        <v>877</v>
      </c>
      <c r="G238" s="314">
        <v>5</v>
      </c>
      <c r="H238" s="739" t="s">
        <v>136</v>
      </c>
      <c r="I238" s="739">
        <v>244</v>
      </c>
      <c r="J238" s="740" t="s">
        <v>904</v>
      </c>
      <c r="K238" s="533" t="s">
        <v>937</v>
      </c>
      <c r="L238" s="1025">
        <v>26949</v>
      </c>
      <c r="M238" s="318"/>
      <c r="N238" s="318"/>
      <c r="O238" s="1052">
        <f>L238+N238</f>
        <v>26949</v>
      </c>
      <c r="P238" s="570"/>
      <c r="Q238" s="336">
        <v>0</v>
      </c>
      <c r="R238" s="559"/>
      <c r="S238" s="541">
        <v>0</v>
      </c>
      <c r="T238" s="559"/>
      <c r="U238" s="335"/>
      <c r="V238" s="597" t="s">
        <v>959</v>
      </c>
      <c r="W238" s="388" t="s">
        <v>964</v>
      </c>
      <c r="X238" s="597" t="s">
        <v>977</v>
      </c>
      <c r="Z238" s="336">
        <f t="shared" si="281"/>
        <v>0</v>
      </c>
      <c r="AA238" s="337">
        <f t="shared" si="281"/>
        <v>0</v>
      </c>
      <c r="AB238" s="338">
        <f t="shared" si="282"/>
        <v>0</v>
      </c>
      <c r="AC238" s="336">
        <f t="shared" si="283"/>
        <v>0</v>
      </c>
      <c r="AD238" s="337">
        <f t="shared" si="283"/>
        <v>0</v>
      </c>
      <c r="AE238" s="338">
        <f t="shared" si="284"/>
        <v>0</v>
      </c>
      <c r="AF238" s="336">
        <f t="shared" si="285"/>
        <v>26949</v>
      </c>
      <c r="AG238" s="337">
        <f t="shared" si="285"/>
        <v>0</v>
      </c>
      <c r="AH238" s="338">
        <f t="shared" si="286"/>
        <v>26949</v>
      </c>
      <c r="AI238" s="336">
        <f t="shared" si="287"/>
        <v>0</v>
      </c>
      <c r="AJ238" s="337">
        <f t="shared" si="287"/>
        <v>0</v>
      </c>
      <c r="AK238" s="338">
        <f t="shared" si="288"/>
        <v>0</v>
      </c>
      <c r="AL238" s="342"/>
      <c r="AM238" s="336">
        <f t="shared" si="306"/>
        <v>0</v>
      </c>
      <c r="AN238" s="339">
        <f t="shared" si="306"/>
        <v>0</v>
      </c>
      <c r="AO238" s="340">
        <f>AM238-AN238</f>
        <v>0</v>
      </c>
      <c r="AP238" s="336">
        <f t="shared" si="308"/>
        <v>26949</v>
      </c>
      <c r="AQ238" s="339">
        <f t="shared" si="308"/>
        <v>0</v>
      </c>
      <c r="AR238" s="340">
        <f>AP238-AQ238</f>
        <v>26949</v>
      </c>
      <c r="AS238" s="341">
        <f t="shared" si="293"/>
        <v>26949</v>
      </c>
      <c r="AT238" s="339">
        <f t="shared" si="293"/>
        <v>0</v>
      </c>
      <c r="AU238" s="340">
        <f t="shared" si="294"/>
        <v>26949</v>
      </c>
      <c r="AV238" s="1255">
        <f>L238-AS238</f>
        <v>0</v>
      </c>
      <c r="AW238" s="343"/>
      <c r="AX238" s="1098"/>
      <c r="AY238" s="345"/>
      <c r="AZ238" s="1098"/>
      <c r="BA238" s="345"/>
      <c r="BB238" s="1120"/>
      <c r="BC238" s="347"/>
      <c r="BD238" s="348"/>
      <c r="BE238" s="349"/>
      <c r="BF238" s="348"/>
      <c r="BG238" s="1135"/>
      <c r="BH238" s="350"/>
      <c r="BI238" s="351"/>
      <c r="BJ238" s="352"/>
      <c r="BK238" s="1137"/>
      <c r="BL238" s="352"/>
      <c r="BM238" s="1137">
        <v>26949</v>
      </c>
      <c r="BN238" s="353"/>
      <c r="BO238" s="354"/>
      <c r="BP238" s="355"/>
      <c r="BQ238" s="356"/>
      <c r="BR238" s="355"/>
      <c r="BS238" s="356"/>
      <c r="BT238" s="357"/>
    </row>
    <row r="239" spans="1:72" s="313" customFormat="1" ht="51" outlineLevel="1">
      <c r="A239" s="287">
        <v>222</v>
      </c>
      <c r="B239" s="933"/>
      <c r="C239" s="840"/>
      <c r="D239" s="841"/>
      <c r="E239" s="839"/>
      <c r="F239" s="825" t="s">
        <v>877</v>
      </c>
      <c r="G239" s="314">
        <v>5</v>
      </c>
      <c r="H239" s="739" t="s">
        <v>136</v>
      </c>
      <c r="I239" s="739">
        <v>244</v>
      </c>
      <c r="J239" s="740" t="s">
        <v>904</v>
      </c>
      <c r="K239" s="533" t="s">
        <v>938</v>
      </c>
      <c r="L239" s="1025">
        <v>36007.800000000003</v>
      </c>
      <c r="M239" s="318"/>
      <c r="N239" s="318"/>
      <c r="O239" s="1052">
        <f>L239+N239</f>
        <v>36007.800000000003</v>
      </c>
      <c r="P239" s="570"/>
      <c r="Q239" s="336">
        <v>0</v>
      </c>
      <c r="R239" s="559"/>
      <c r="S239" s="541">
        <v>0</v>
      </c>
      <c r="T239" s="559"/>
      <c r="U239" s="335"/>
      <c r="V239" s="597" t="s">
        <v>972</v>
      </c>
      <c r="W239" s="388" t="s">
        <v>481</v>
      </c>
      <c r="X239" s="597" t="s">
        <v>977</v>
      </c>
      <c r="Z239" s="336">
        <f t="shared" si="281"/>
        <v>0</v>
      </c>
      <c r="AA239" s="337">
        <f t="shared" si="281"/>
        <v>0</v>
      </c>
      <c r="AB239" s="338">
        <f t="shared" si="282"/>
        <v>0</v>
      </c>
      <c r="AC239" s="336">
        <f t="shared" si="283"/>
        <v>0</v>
      </c>
      <c r="AD239" s="337">
        <f t="shared" si="283"/>
        <v>0</v>
      </c>
      <c r="AE239" s="338">
        <f t="shared" si="284"/>
        <v>0</v>
      </c>
      <c r="AF239" s="336">
        <f t="shared" si="285"/>
        <v>36007.800000000003</v>
      </c>
      <c r="AG239" s="337">
        <f t="shared" si="285"/>
        <v>0</v>
      </c>
      <c r="AH239" s="338">
        <f t="shared" si="286"/>
        <v>36007.800000000003</v>
      </c>
      <c r="AI239" s="336">
        <f t="shared" si="287"/>
        <v>0</v>
      </c>
      <c r="AJ239" s="337">
        <f t="shared" si="287"/>
        <v>0</v>
      </c>
      <c r="AK239" s="338">
        <f t="shared" si="288"/>
        <v>0</v>
      </c>
      <c r="AL239" s="342"/>
      <c r="AM239" s="336">
        <f t="shared" si="306"/>
        <v>0</v>
      </c>
      <c r="AN239" s="339">
        <f t="shared" si="306"/>
        <v>0</v>
      </c>
      <c r="AO239" s="340">
        <f>AM239-AN239</f>
        <v>0</v>
      </c>
      <c r="AP239" s="336">
        <f t="shared" si="308"/>
        <v>36007.800000000003</v>
      </c>
      <c r="AQ239" s="339">
        <f t="shared" si="308"/>
        <v>0</v>
      </c>
      <c r="AR239" s="340">
        <f>AP239-AQ239</f>
        <v>36007.800000000003</v>
      </c>
      <c r="AS239" s="341">
        <f t="shared" si="293"/>
        <v>36007.800000000003</v>
      </c>
      <c r="AT239" s="339">
        <f t="shared" si="293"/>
        <v>0</v>
      </c>
      <c r="AU239" s="340">
        <f t="shared" si="294"/>
        <v>36007.800000000003</v>
      </c>
      <c r="AV239" s="1255">
        <f>L239-AS239</f>
        <v>0</v>
      </c>
      <c r="AW239" s="343"/>
      <c r="AX239" s="1098"/>
      <c r="AY239" s="345"/>
      <c r="AZ239" s="1098"/>
      <c r="BA239" s="345"/>
      <c r="BB239" s="1120"/>
      <c r="BC239" s="347"/>
      <c r="BD239" s="348"/>
      <c r="BE239" s="349"/>
      <c r="BF239" s="348"/>
      <c r="BG239" s="1135"/>
      <c r="BH239" s="350"/>
      <c r="BI239" s="351"/>
      <c r="BJ239" s="352"/>
      <c r="BK239" s="1137"/>
      <c r="BL239" s="352"/>
      <c r="BM239" s="1137">
        <v>36007.800000000003</v>
      </c>
      <c r="BN239" s="353"/>
      <c r="BO239" s="354"/>
      <c r="BP239" s="355"/>
      <c r="BQ239" s="356"/>
      <c r="BR239" s="355"/>
      <c r="BS239" s="356"/>
      <c r="BT239" s="357"/>
    </row>
    <row r="240" spans="1:72" s="313" customFormat="1" ht="26.25" outlineLevel="1" thickBot="1">
      <c r="A240" s="287">
        <v>223</v>
      </c>
      <c r="B240" s="933"/>
      <c r="C240" s="840"/>
      <c r="D240" s="841"/>
      <c r="E240" s="839"/>
      <c r="F240" s="825" t="s">
        <v>877</v>
      </c>
      <c r="G240" s="314">
        <v>5</v>
      </c>
      <c r="H240" s="739" t="s">
        <v>136</v>
      </c>
      <c r="I240" s="739">
        <v>244</v>
      </c>
      <c r="J240" s="740" t="s">
        <v>904</v>
      </c>
      <c r="K240" s="533" t="s">
        <v>939</v>
      </c>
      <c r="L240" s="1025">
        <v>60000</v>
      </c>
      <c r="M240" s="318"/>
      <c r="N240" s="318"/>
      <c r="O240" s="1052">
        <f>L240+N240</f>
        <v>60000</v>
      </c>
      <c r="P240" s="570"/>
      <c r="Q240" s="336">
        <v>0</v>
      </c>
      <c r="R240" s="559"/>
      <c r="S240" s="541">
        <v>0</v>
      </c>
      <c r="T240" s="559"/>
      <c r="U240" s="335"/>
      <c r="V240" s="811"/>
      <c r="W240" s="597"/>
      <c r="X240" s="811"/>
      <c r="Z240" s="336">
        <f t="shared" si="281"/>
        <v>0</v>
      </c>
      <c r="AA240" s="337">
        <f t="shared" si="281"/>
        <v>0</v>
      </c>
      <c r="AB240" s="338">
        <f t="shared" si="282"/>
        <v>0</v>
      </c>
      <c r="AC240" s="336">
        <f t="shared" si="283"/>
        <v>0</v>
      </c>
      <c r="AD240" s="337">
        <f t="shared" si="283"/>
        <v>0</v>
      </c>
      <c r="AE240" s="338">
        <f t="shared" si="284"/>
        <v>0</v>
      </c>
      <c r="AF240" s="336">
        <f t="shared" si="285"/>
        <v>0</v>
      </c>
      <c r="AG240" s="337">
        <f t="shared" si="285"/>
        <v>0</v>
      </c>
      <c r="AH240" s="338">
        <f t="shared" si="286"/>
        <v>0</v>
      </c>
      <c r="AI240" s="336">
        <f t="shared" si="287"/>
        <v>0</v>
      </c>
      <c r="AJ240" s="337">
        <f t="shared" si="287"/>
        <v>0</v>
      </c>
      <c r="AK240" s="338">
        <f t="shared" si="288"/>
        <v>0</v>
      </c>
      <c r="AL240" s="342"/>
      <c r="AM240" s="336">
        <f t="shared" si="306"/>
        <v>0</v>
      </c>
      <c r="AN240" s="339">
        <f t="shared" si="306"/>
        <v>0</v>
      </c>
      <c r="AO240" s="340">
        <f>AM240-AN240</f>
        <v>0</v>
      </c>
      <c r="AP240" s="336">
        <f t="shared" si="308"/>
        <v>0</v>
      </c>
      <c r="AQ240" s="339">
        <f t="shared" si="308"/>
        <v>0</v>
      </c>
      <c r="AR240" s="340">
        <f>AP240-AQ240</f>
        <v>0</v>
      </c>
      <c r="AS240" s="341">
        <f t="shared" si="293"/>
        <v>0</v>
      </c>
      <c r="AT240" s="339">
        <f t="shared" si="293"/>
        <v>0</v>
      </c>
      <c r="AU240" s="340">
        <f t="shared" si="294"/>
        <v>0</v>
      </c>
      <c r="AV240" s="1255">
        <f>L240-AS240</f>
        <v>60000</v>
      </c>
      <c r="AW240" s="343"/>
      <c r="AX240" s="1098"/>
      <c r="AY240" s="345"/>
      <c r="AZ240" s="1098"/>
      <c r="BA240" s="345"/>
      <c r="BB240" s="1120"/>
      <c r="BC240" s="347"/>
      <c r="BD240" s="348"/>
      <c r="BE240" s="349"/>
      <c r="BF240" s="348"/>
      <c r="BG240" s="1135"/>
      <c r="BH240" s="350"/>
      <c r="BI240" s="351"/>
      <c r="BJ240" s="352"/>
      <c r="BK240" s="1137"/>
      <c r="BL240" s="352"/>
      <c r="BM240" s="1137"/>
      <c r="BN240" s="353"/>
      <c r="BO240" s="354"/>
      <c r="BP240" s="355"/>
      <c r="BQ240" s="356"/>
      <c r="BR240" s="355"/>
      <c r="BS240" s="356"/>
      <c r="BT240" s="357"/>
    </row>
    <row r="241" spans="1:72" s="358" customFormat="1" ht="51">
      <c r="A241" s="287">
        <v>224</v>
      </c>
      <c r="B241" s="933"/>
      <c r="C241" s="850" t="s">
        <v>378</v>
      </c>
      <c r="D241" s="838"/>
      <c r="E241" s="836" t="s">
        <v>201</v>
      </c>
      <c r="F241" s="1193" t="s">
        <v>877</v>
      </c>
      <c r="G241" s="360">
        <v>5</v>
      </c>
      <c r="H241" s="360" t="s">
        <v>136</v>
      </c>
      <c r="I241" s="374">
        <v>244</v>
      </c>
      <c r="J241" s="361">
        <v>310</v>
      </c>
      <c r="K241" s="1206" t="s">
        <v>991</v>
      </c>
      <c r="L241" s="1289">
        <f>SUM(L242:L242)</f>
        <v>81744.66</v>
      </c>
      <c r="M241" s="552"/>
      <c r="N241" s="552">
        <f>SUM(N242)</f>
        <v>0</v>
      </c>
      <c r="O241" s="1056">
        <f t="shared" ref="O241:O246" si="312">L241+N241</f>
        <v>81744.66</v>
      </c>
      <c r="P241" s="569"/>
      <c r="Q241" s="551">
        <f>SUM(Q242:Q242)</f>
        <v>0</v>
      </c>
      <c r="R241" s="573"/>
      <c r="S241" s="553">
        <f>SUM(S242:S242)</f>
        <v>0</v>
      </c>
      <c r="T241" s="573"/>
      <c r="U241" s="365"/>
      <c r="V241" s="366"/>
      <c r="W241" s="366"/>
      <c r="X241" s="366"/>
      <c r="Z241" s="367">
        <f t="shared" si="281"/>
        <v>0</v>
      </c>
      <c r="AA241" s="363">
        <f t="shared" si="281"/>
        <v>0</v>
      </c>
      <c r="AB241" s="280">
        <f t="shared" si="282"/>
        <v>0</v>
      </c>
      <c r="AC241" s="367">
        <f t="shared" si="283"/>
        <v>0</v>
      </c>
      <c r="AD241" s="363">
        <f t="shared" si="283"/>
        <v>0</v>
      </c>
      <c r="AE241" s="280">
        <f t="shared" si="284"/>
        <v>0</v>
      </c>
      <c r="AF241" s="367">
        <f t="shared" si="285"/>
        <v>81744.66</v>
      </c>
      <c r="AG241" s="363">
        <f t="shared" si="285"/>
        <v>0</v>
      </c>
      <c r="AH241" s="280">
        <f t="shared" si="286"/>
        <v>81744.66</v>
      </c>
      <c r="AI241" s="367">
        <f t="shared" si="287"/>
        <v>0</v>
      </c>
      <c r="AJ241" s="363">
        <f>BP241+BR241+BT241</f>
        <v>0</v>
      </c>
      <c r="AK241" s="280">
        <f t="shared" si="288"/>
        <v>0</v>
      </c>
      <c r="AL241" s="368"/>
      <c r="AM241" s="367">
        <f t="shared" si="306"/>
        <v>0</v>
      </c>
      <c r="AN241" s="363">
        <f t="shared" si="306"/>
        <v>0</v>
      </c>
      <c r="AO241" s="280">
        <f t="shared" ref="AO241:AO243" si="313">AM241-AN241</f>
        <v>0</v>
      </c>
      <c r="AP241" s="367">
        <f t="shared" si="308"/>
        <v>81744.66</v>
      </c>
      <c r="AQ241" s="363">
        <f t="shared" si="308"/>
        <v>0</v>
      </c>
      <c r="AR241" s="280">
        <f t="shared" ref="AR241:AR243" si="314">AP241-AQ241</f>
        <v>81744.66</v>
      </c>
      <c r="AS241" s="367">
        <f t="shared" si="293"/>
        <v>81744.66</v>
      </c>
      <c r="AT241" s="363">
        <f t="shared" si="293"/>
        <v>0</v>
      </c>
      <c r="AU241" s="280">
        <f t="shared" si="294"/>
        <v>81744.66</v>
      </c>
      <c r="AV241" s="1253">
        <f t="shared" ref="AV241:AV246" si="315">L241-AS241</f>
        <v>0</v>
      </c>
      <c r="AW241" s="367">
        <f t="shared" ref="AW241:BJ241" si="316">SUM(AW242)</f>
        <v>0</v>
      </c>
      <c r="AX241" s="1097">
        <f t="shared" si="316"/>
        <v>0</v>
      </c>
      <c r="AY241" s="363">
        <f t="shared" si="316"/>
        <v>0</v>
      </c>
      <c r="AZ241" s="1097">
        <f t="shared" si="316"/>
        <v>0</v>
      </c>
      <c r="BA241" s="363">
        <f t="shared" si="316"/>
        <v>0</v>
      </c>
      <c r="BB241" s="1119">
        <f t="shared" si="316"/>
        <v>0</v>
      </c>
      <c r="BC241" s="367">
        <f t="shared" si="316"/>
        <v>0</v>
      </c>
      <c r="BD241" s="363">
        <f t="shared" si="316"/>
        <v>0</v>
      </c>
      <c r="BE241" s="363">
        <f t="shared" si="316"/>
        <v>0</v>
      </c>
      <c r="BF241" s="363">
        <f t="shared" si="316"/>
        <v>0</v>
      </c>
      <c r="BG241" s="363">
        <f t="shared" si="316"/>
        <v>0</v>
      </c>
      <c r="BH241" s="369">
        <f t="shared" si="316"/>
        <v>0</v>
      </c>
      <c r="BI241" s="367">
        <f t="shared" si="316"/>
        <v>0</v>
      </c>
      <c r="BJ241" s="363">
        <f t="shared" si="316"/>
        <v>0</v>
      </c>
      <c r="BK241" s="363">
        <f t="shared" ref="BK241:BT241" si="317">SUM(BK242:BK242)</f>
        <v>0</v>
      </c>
      <c r="BL241" s="363">
        <f t="shared" si="317"/>
        <v>0</v>
      </c>
      <c r="BM241" s="363">
        <f t="shared" si="317"/>
        <v>81744.66</v>
      </c>
      <c r="BN241" s="369">
        <f t="shared" si="317"/>
        <v>0</v>
      </c>
      <c r="BO241" s="367">
        <f t="shared" si="317"/>
        <v>0</v>
      </c>
      <c r="BP241" s="363">
        <f t="shared" si="317"/>
        <v>0</v>
      </c>
      <c r="BQ241" s="363">
        <f t="shared" si="317"/>
        <v>0</v>
      </c>
      <c r="BR241" s="363">
        <f t="shared" si="317"/>
        <v>0</v>
      </c>
      <c r="BS241" s="363">
        <f t="shared" si="317"/>
        <v>0</v>
      </c>
      <c r="BT241" s="280">
        <f t="shared" si="317"/>
        <v>0</v>
      </c>
    </row>
    <row r="242" spans="1:72" s="313" customFormat="1" ht="51.75" outlineLevel="1" thickBot="1">
      <c r="A242" s="287">
        <v>225</v>
      </c>
      <c r="B242" s="933"/>
      <c r="C242" s="840"/>
      <c r="D242" s="841"/>
      <c r="E242" s="839"/>
      <c r="F242" s="825" t="s">
        <v>877</v>
      </c>
      <c r="G242" s="314">
        <v>5</v>
      </c>
      <c r="H242" s="739" t="s">
        <v>136</v>
      </c>
      <c r="I242" s="739">
        <v>244</v>
      </c>
      <c r="J242" s="740">
        <v>310</v>
      </c>
      <c r="K242" s="533" t="s">
        <v>962</v>
      </c>
      <c r="L242" s="1025">
        <v>81744.66</v>
      </c>
      <c r="M242" s="318"/>
      <c r="N242" s="318"/>
      <c r="O242" s="1052">
        <f t="shared" si="312"/>
        <v>81744.66</v>
      </c>
      <c r="P242" s="570"/>
      <c r="Q242" s="336">
        <v>0</v>
      </c>
      <c r="R242" s="559"/>
      <c r="S242" s="541">
        <v>0</v>
      </c>
      <c r="T242" s="559"/>
      <c r="U242" s="335"/>
      <c r="V242" s="597" t="s">
        <v>963</v>
      </c>
      <c r="W242" s="597" t="s">
        <v>1101</v>
      </c>
      <c r="X242" s="597" t="s">
        <v>1102</v>
      </c>
      <c r="Z242" s="336">
        <f t="shared" si="281"/>
        <v>0</v>
      </c>
      <c r="AA242" s="337">
        <f t="shared" si="281"/>
        <v>0</v>
      </c>
      <c r="AB242" s="338">
        <f t="shared" si="282"/>
        <v>0</v>
      </c>
      <c r="AC242" s="336">
        <f t="shared" si="283"/>
        <v>0</v>
      </c>
      <c r="AD242" s="337">
        <f t="shared" si="283"/>
        <v>0</v>
      </c>
      <c r="AE242" s="338">
        <f t="shared" si="284"/>
        <v>0</v>
      </c>
      <c r="AF242" s="336">
        <f t="shared" si="285"/>
        <v>81744.66</v>
      </c>
      <c r="AG242" s="337">
        <f t="shared" si="285"/>
        <v>0</v>
      </c>
      <c r="AH242" s="338">
        <f t="shared" si="286"/>
        <v>81744.66</v>
      </c>
      <c r="AI242" s="336">
        <f t="shared" si="287"/>
        <v>0</v>
      </c>
      <c r="AJ242" s="337">
        <f t="shared" si="287"/>
        <v>0</v>
      </c>
      <c r="AK242" s="338">
        <f t="shared" si="288"/>
        <v>0</v>
      </c>
      <c r="AL242" s="342"/>
      <c r="AM242" s="336">
        <f t="shared" si="306"/>
        <v>0</v>
      </c>
      <c r="AN242" s="339">
        <f t="shared" si="306"/>
        <v>0</v>
      </c>
      <c r="AO242" s="340">
        <f t="shared" si="313"/>
        <v>0</v>
      </c>
      <c r="AP242" s="336">
        <f t="shared" si="308"/>
        <v>81744.66</v>
      </c>
      <c r="AQ242" s="339">
        <f t="shared" si="308"/>
        <v>0</v>
      </c>
      <c r="AR242" s="340">
        <f t="shared" si="314"/>
        <v>81744.66</v>
      </c>
      <c r="AS242" s="341">
        <f t="shared" si="293"/>
        <v>81744.66</v>
      </c>
      <c r="AT242" s="339">
        <f t="shared" si="293"/>
        <v>0</v>
      </c>
      <c r="AU242" s="340">
        <f t="shared" si="294"/>
        <v>81744.66</v>
      </c>
      <c r="AV242" s="1255">
        <f t="shared" si="315"/>
        <v>0</v>
      </c>
      <c r="AW242" s="343"/>
      <c r="AX242" s="1098"/>
      <c r="AY242" s="345"/>
      <c r="AZ242" s="1098"/>
      <c r="BA242" s="345"/>
      <c r="BB242" s="1120"/>
      <c r="BC242" s="347"/>
      <c r="BD242" s="348"/>
      <c r="BE242" s="349"/>
      <c r="BF242" s="348"/>
      <c r="BG242" s="1135"/>
      <c r="BH242" s="350"/>
      <c r="BI242" s="351"/>
      <c r="BJ242" s="352"/>
      <c r="BK242" s="1137"/>
      <c r="BL242" s="352"/>
      <c r="BM242" s="1137">
        <v>81744.66</v>
      </c>
      <c r="BN242" s="353"/>
      <c r="BO242" s="354"/>
      <c r="BP242" s="355"/>
      <c r="BQ242" s="356"/>
      <c r="BR242" s="355"/>
      <c r="BS242" s="356"/>
      <c r="BT242" s="357"/>
    </row>
    <row r="243" spans="1:72" s="358" customFormat="1" ht="31.5" customHeight="1">
      <c r="A243" s="287">
        <v>226</v>
      </c>
      <c r="B243" s="933"/>
      <c r="C243" s="850" t="s">
        <v>377</v>
      </c>
      <c r="D243" s="838"/>
      <c r="E243" s="836" t="s">
        <v>201</v>
      </c>
      <c r="F243" s="1193" t="s">
        <v>877</v>
      </c>
      <c r="G243" s="360">
        <v>5</v>
      </c>
      <c r="H243" s="360" t="s">
        <v>136</v>
      </c>
      <c r="I243" s="360">
        <v>244</v>
      </c>
      <c r="J243" s="361">
        <v>310</v>
      </c>
      <c r="K243" s="1206" t="s">
        <v>532</v>
      </c>
      <c r="L243" s="1038">
        <f>SUM(L244:L246)</f>
        <v>1476439</v>
      </c>
      <c r="M243" s="552"/>
      <c r="N243" s="552">
        <f>SUM(N244:N246)</f>
        <v>0</v>
      </c>
      <c r="O243" s="1056">
        <f t="shared" si="312"/>
        <v>1476439</v>
      </c>
      <c r="P243" s="569"/>
      <c r="Q243" s="551">
        <f>SUM(Q244:Q246)</f>
        <v>0</v>
      </c>
      <c r="R243" s="573"/>
      <c r="S243" s="553">
        <f>SUM(S244:S246)</f>
        <v>0</v>
      </c>
      <c r="T243" s="573"/>
      <c r="U243" s="365"/>
      <c r="V243" s="366"/>
      <c r="W243" s="366"/>
      <c r="X243" s="366"/>
      <c r="Z243" s="367">
        <f t="shared" si="281"/>
        <v>0</v>
      </c>
      <c r="AA243" s="363">
        <f t="shared" si="281"/>
        <v>0</v>
      </c>
      <c r="AB243" s="280">
        <f>Z243-AA243</f>
        <v>0</v>
      </c>
      <c r="AC243" s="367">
        <f t="shared" si="283"/>
        <v>0</v>
      </c>
      <c r="AD243" s="363">
        <f t="shared" si="283"/>
        <v>0</v>
      </c>
      <c r="AE243" s="280">
        <f>AC243-AD243</f>
        <v>0</v>
      </c>
      <c r="AF243" s="367">
        <f t="shared" si="285"/>
        <v>1476439</v>
      </c>
      <c r="AG243" s="363">
        <f t="shared" si="285"/>
        <v>0</v>
      </c>
      <c r="AH243" s="280">
        <f>AF243-AG243</f>
        <v>1476439</v>
      </c>
      <c r="AI243" s="367">
        <f t="shared" si="287"/>
        <v>0</v>
      </c>
      <c r="AJ243" s="363">
        <f t="shared" si="287"/>
        <v>0</v>
      </c>
      <c r="AK243" s="280">
        <f>AI243-AJ243</f>
        <v>0</v>
      </c>
      <c r="AL243" s="368"/>
      <c r="AM243" s="367">
        <f t="shared" si="306"/>
        <v>0</v>
      </c>
      <c r="AN243" s="363">
        <f t="shared" si="306"/>
        <v>0</v>
      </c>
      <c r="AO243" s="280">
        <f t="shared" si="313"/>
        <v>0</v>
      </c>
      <c r="AP243" s="367">
        <f t="shared" si="308"/>
        <v>1476439</v>
      </c>
      <c r="AQ243" s="363">
        <f t="shared" si="308"/>
        <v>0</v>
      </c>
      <c r="AR243" s="280">
        <f t="shared" si="314"/>
        <v>1476439</v>
      </c>
      <c r="AS243" s="367">
        <f t="shared" si="293"/>
        <v>1476439</v>
      </c>
      <c r="AT243" s="363">
        <f t="shared" si="293"/>
        <v>0</v>
      </c>
      <c r="AU243" s="280">
        <f t="shared" si="294"/>
        <v>1476439</v>
      </c>
      <c r="AV243" s="1253">
        <f t="shared" si="315"/>
        <v>0</v>
      </c>
      <c r="AW243" s="367">
        <f t="shared" ref="AW243:BS243" si="318">SUM(AW244:AW246)</f>
        <v>0</v>
      </c>
      <c r="AX243" s="1097">
        <f t="shared" si="318"/>
        <v>0</v>
      </c>
      <c r="AY243" s="363">
        <f t="shared" si="318"/>
        <v>0</v>
      </c>
      <c r="AZ243" s="1097">
        <f t="shared" si="318"/>
        <v>0</v>
      </c>
      <c r="BA243" s="363">
        <f t="shared" si="318"/>
        <v>0</v>
      </c>
      <c r="BB243" s="1119">
        <f t="shared" si="318"/>
        <v>0</v>
      </c>
      <c r="BC243" s="367">
        <f t="shared" si="318"/>
        <v>0</v>
      </c>
      <c r="BD243" s="363">
        <f t="shared" si="318"/>
        <v>0</v>
      </c>
      <c r="BE243" s="363">
        <f t="shared" si="318"/>
        <v>0</v>
      </c>
      <c r="BF243" s="363">
        <f t="shared" si="318"/>
        <v>0</v>
      </c>
      <c r="BG243" s="363">
        <f t="shared" si="318"/>
        <v>0</v>
      </c>
      <c r="BH243" s="369">
        <f t="shared" si="318"/>
        <v>0</v>
      </c>
      <c r="BI243" s="367">
        <f t="shared" si="318"/>
        <v>0</v>
      </c>
      <c r="BJ243" s="363">
        <f t="shared" si="318"/>
        <v>0</v>
      </c>
      <c r="BK243" s="363">
        <f t="shared" si="318"/>
        <v>0</v>
      </c>
      <c r="BL243" s="363">
        <f t="shared" si="318"/>
        <v>0</v>
      </c>
      <c r="BM243" s="363">
        <f t="shared" si="318"/>
        <v>1476439</v>
      </c>
      <c r="BN243" s="369">
        <f t="shared" si="318"/>
        <v>0</v>
      </c>
      <c r="BO243" s="367">
        <f t="shared" si="318"/>
        <v>0</v>
      </c>
      <c r="BP243" s="363">
        <f t="shared" si="318"/>
        <v>0</v>
      </c>
      <c r="BQ243" s="363">
        <f t="shared" si="318"/>
        <v>0</v>
      </c>
      <c r="BR243" s="363">
        <f t="shared" si="318"/>
        <v>0</v>
      </c>
      <c r="BS243" s="363">
        <f t="shared" si="318"/>
        <v>0</v>
      </c>
      <c r="BT243" s="280">
        <f>SUM(BT246:BT246)</f>
        <v>0</v>
      </c>
    </row>
    <row r="244" spans="1:72" s="313" customFormat="1" ht="25.5" outlineLevel="1">
      <c r="A244" s="287">
        <v>227</v>
      </c>
      <c r="B244" s="933"/>
      <c r="C244" s="840"/>
      <c r="D244" s="841"/>
      <c r="E244" s="839"/>
      <c r="F244" s="821" t="s">
        <v>877</v>
      </c>
      <c r="G244" s="314">
        <v>5</v>
      </c>
      <c r="H244" s="739" t="s">
        <v>136</v>
      </c>
      <c r="I244" s="739">
        <v>244</v>
      </c>
      <c r="J244" s="740">
        <v>310</v>
      </c>
      <c r="K244" s="533" t="s">
        <v>924</v>
      </c>
      <c r="L244" s="1025">
        <v>1126439</v>
      </c>
      <c r="M244" s="318"/>
      <c r="N244" s="318"/>
      <c r="O244" s="1052">
        <f t="shared" si="312"/>
        <v>1126439</v>
      </c>
      <c r="P244" s="570"/>
      <c r="Q244" s="336">
        <v>0</v>
      </c>
      <c r="R244" s="559"/>
      <c r="S244" s="541">
        <v>0</v>
      </c>
      <c r="T244" s="559"/>
      <c r="U244" s="335"/>
      <c r="V244" s="597" t="s">
        <v>674</v>
      </c>
      <c r="W244" s="597" t="s">
        <v>970</v>
      </c>
      <c r="X244" s="597" t="s">
        <v>971</v>
      </c>
      <c r="Z244" s="336">
        <f t="shared" ref="Z244:AA246" si="319">AW244+AY244+BA244</f>
        <v>0</v>
      </c>
      <c r="AA244" s="337">
        <f t="shared" si="319"/>
        <v>0</v>
      </c>
      <c r="AB244" s="338">
        <f>Z244-AA244</f>
        <v>0</v>
      </c>
      <c r="AC244" s="336">
        <f t="shared" ref="AC244:AD246" si="320">BC244+BE244+BG244</f>
        <v>0</v>
      </c>
      <c r="AD244" s="337">
        <f t="shared" si="320"/>
        <v>0</v>
      </c>
      <c r="AE244" s="338">
        <f>AC244-AD244</f>
        <v>0</v>
      </c>
      <c r="AF244" s="336">
        <f t="shared" ref="AF244:AG246" si="321">BI244+BK244+BM244</f>
        <v>1126439</v>
      </c>
      <c r="AG244" s="337">
        <f t="shared" si="321"/>
        <v>0</v>
      </c>
      <c r="AH244" s="338">
        <f>AF244-AG244</f>
        <v>1126439</v>
      </c>
      <c r="AI244" s="336">
        <f t="shared" ref="AI244:AJ246" si="322">BO244+BQ244+BS244</f>
        <v>0</v>
      </c>
      <c r="AJ244" s="337">
        <f t="shared" si="322"/>
        <v>0</v>
      </c>
      <c r="AK244" s="338">
        <f>AI244-AJ244</f>
        <v>0</v>
      </c>
      <c r="AL244" s="342"/>
      <c r="AM244" s="336">
        <f t="shared" si="306"/>
        <v>0</v>
      </c>
      <c r="AN244" s="339">
        <f t="shared" si="306"/>
        <v>0</v>
      </c>
      <c r="AO244" s="340">
        <f>AM244-AN244</f>
        <v>0</v>
      </c>
      <c r="AP244" s="336">
        <f t="shared" si="308"/>
        <v>1126439</v>
      </c>
      <c r="AQ244" s="339">
        <f t="shared" si="308"/>
        <v>0</v>
      </c>
      <c r="AR244" s="340">
        <f>AP244-AQ244</f>
        <v>1126439</v>
      </c>
      <c r="AS244" s="341">
        <f t="shared" ref="AS244:AT246" si="323">Z244+AC244+AF244+AI244</f>
        <v>1126439</v>
      </c>
      <c r="AT244" s="339">
        <f t="shared" si="323"/>
        <v>0</v>
      </c>
      <c r="AU244" s="340">
        <f>AS244-AT244</f>
        <v>1126439</v>
      </c>
      <c r="AV244" s="1255">
        <f t="shared" si="315"/>
        <v>0</v>
      </c>
      <c r="AW244" s="343"/>
      <c r="AX244" s="1098"/>
      <c r="AY244" s="345"/>
      <c r="AZ244" s="1098"/>
      <c r="BA244" s="345"/>
      <c r="BB244" s="1120"/>
      <c r="BC244" s="347"/>
      <c r="BD244" s="348"/>
      <c r="BE244" s="349"/>
      <c r="BF244" s="348"/>
      <c r="BG244" s="1135"/>
      <c r="BH244" s="350"/>
      <c r="BI244" s="351"/>
      <c r="BJ244" s="352"/>
      <c r="BK244" s="1137"/>
      <c r="BL244" s="352"/>
      <c r="BM244" s="1137">
        <v>1126439</v>
      </c>
      <c r="BN244" s="353"/>
      <c r="BO244" s="354"/>
      <c r="BP244" s="355"/>
      <c r="BQ244" s="356"/>
      <c r="BR244" s="355"/>
      <c r="BS244" s="356"/>
      <c r="BT244" s="357"/>
    </row>
    <row r="245" spans="1:72" s="313" customFormat="1" ht="25.5" outlineLevel="1">
      <c r="A245" s="287">
        <v>228</v>
      </c>
      <c r="B245" s="933"/>
      <c r="C245" s="840"/>
      <c r="D245" s="841"/>
      <c r="E245" s="839"/>
      <c r="F245" s="821" t="s">
        <v>877</v>
      </c>
      <c r="G245" s="314">
        <v>5</v>
      </c>
      <c r="H245" s="739" t="s">
        <v>136</v>
      </c>
      <c r="I245" s="739">
        <v>244</v>
      </c>
      <c r="J245" s="740">
        <v>310</v>
      </c>
      <c r="K245" s="533" t="s">
        <v>922</v>
      </c>
      <c r="L245" s="1025">
        <v>285720</v>
      </c>
      <c r="M245" s="318"/>
      <c r="N245" s="318"/>
      <c r="O245" s="1052">
        <f t="shared" si="312"/>
        <v>285720</v>
      </c>
      <c r="P245" s="570"/>
      <c r="Q245" s="336">
        <v>0</v>
      </c>
      <c r="R245" s="559"/>
      <c r="S245" s="541">
        <v>0</v>
      </c>
      <c r="T245" s="559"/>
      <c r="U245" s="335"/>
      <c r="V245" s="597" t="s">
        <v>928</v>
      </c>
      <c r="W245" s="597" t="s">
        <v>930</v>
      </c>
      <c r="X245" s="597" t="s">
        <v>929</v>
      </c>
      <c r="Z245" s="336">
        <f t="shared" si="319"/>
        <v>0</v>
      </c>
      <c r="AA245" s="337">
        <f t="shared" si="319"/>
        <v>0</v>
      </c>
      <c r="AB245" s="338">
        <f>Z245-AA245</f>
        <v>0</v>
      </c>
      <c r="AC245" s="336">
        <f t="shared" si="320"/>
        <v>0</v>
      </c>
      <c r="AD245" s="337">
        <f t="shared" si="320"/>
        <v>0</v>
      </c>
      <c r="AE245" s="338">
        <f>AC245-AD245</f>
        <v>0</v>
      </c>
      <c r="AF245" s="336">
        <f t="shared" si="321"/>
        <v>285720</v>
      </c>
      <c r="AG245" s="337">
        <f t="shared" si="321"/>
        <v>0</v>
      </c>
      <c r="AH245" s="338">
        <f>AF245-AG245</f>
        <v>285720</v>
      </c>
      <c r="AI245" s="336">
        <f t="shared" si="322"/>
        <v>0</v>
      </c>
      <c r="AJ245" s="337">
        <f t="shared" si="322"/>
        <v>0</v>
      </c>
      <c r="AK245" s="338">
        <f>AI245-AJ245</f>
        <v>0</v>
      </c>
      <c r="AL245" s="342"/>
      <c r="AM245" s="336">
        <f t="shared" si="306"/>
        <v>0</v>
      </c>
      <c r="AN245" s="339">
        <f t="shared" si="306"/>
        <v>0</v>
      </c>
      <c r="AO245" s="340">
        <f>AM245-AN245</f>
        <v>0</v>
      </c>
      <c r="AP245" s="336">
        <f t="shared" si="308"/>
        <v>285720</v>
      </c>
      <c r="AQ245" s="339">
        <f t="shared" si="308"/>
        <v>0</v>
      </c>
      <c r="AR245" s="340">
        <f>AP245-AQ245</f>
        <v>285720</v>
      </c>
      <c r="AS245" s="341">
        <f t="shared" si="323"/>
        <v>285720</v>
      </c>
      <c r="AT245" s="339">
        <f t="shared" si="323"/>
        <v>0</v>
      </c>
      <c r="AU245" s="340">
        <f>AS245-AT245</f>
        <v>285720</v>
      </c>
      <c r="AV245" s="1255">
        <f t="shared" si="315"/>
        <v>0</v>
      </c>
      <c r="AW245" s="343"/>
      <c r="AX245" s="1098"/>
      <c r="AY245" s="345"/>
      <c r="AZ245" s="1098"/>
      <c r="BA245" s="345"/>
      <c r="BB245" s="1120"/>
      <c r="BC245" s="347"/>
      <c r="BD245" s="348"/>
      <c r="BE245" s="349"/>
      <c r="BF245" s="348"/>
      <c r="BG245" s="1135"/>
      <c r="BH245" s="350"/>
      <c r="BI245" s="351"/>
      <c r="BJ245" s="352"/>
      <c r="BK245" s="1137"/>
      <c r="BL245" s="352"/>
      <c r="BM245" s="1137">
        <v>285720</v>
      </c>
      <c r="BN245" s="353"/>
      <c r="BO245" s="354"/>
      <c r="BP245" s="355"/>
      <c r="BQ245" s="356"/>
      <c r="BR245" s="355"/>
      <c r="BS245" s="356"/>
      <c r="BT245" s="357"/>
    </row>
    <row r="246" spans="1:72" s="313" customFormat="1" ht="25.5" outlineLevel="1">
      <c r="A246" s="287">
        <v>229</v>
      </c>
      <c r="B246" s="933"/>
      <c r="C246" s="840"/>
      <c r="D246" s="841"/>
      <c r="E246" s="839"/>
      <c r="F246" s="821" t="s">
        <v>877</v>
      </c>
      <c r="G246" s="314">
        <v>5</v>
      </c>
      <c r="H246" s="739" t="s">
        <v>136</v>
      </c>
      <c r="I246" s="739">
        <v>244</v>
      </c>
      <c r="J246" s="740">
        <v>310</v>
      </c>
      <c r="K246" s="533" t="s">
        <v>923</v>
      </c>
      <c r="L246" s="1025">
        <v>64280</v>
      </c>
      <c r="M246" s="318"/>
      <c r="N246" s="318"/>
      <c r="O246" s="1052">
        <f t="shared" si="312"/>
        <v>64280</v>
      </c>
      <c r="P246" s="570"/>
      <c r="Q246" s="336">
        <v>0</v>
      </c>
      <c r="R246" s="559"/>
      <c r="S246" s="541">
        <v>0</v>
      </c>
      <c r="T246" s="559"/>
      <c r="U246" s="335"/>
      <c r="V246" s="597" t="s">
        <v>925</v>
      </c>
      <c r="W246" s="597" t="s">
        <v>926</v>
      </c>
      <c r="X246" s="1227" t="s">
        <v>927</v>
      </c>
      <c r="Z246" s="336">
        <f t="shared" si="319"/>
        <v>0</v>
      </c>
      <c r="AA246" s="337">
        <f t="shared" si="319"/>
        <v>0</v>
      </c>
      <c r="AB246" s="338">
        <f>Z246-AA246</f>
        <v>0</v>
      </c>
      <c r="AC246" s="336">
        <f t="shared" si="320"/>
        <v>0</v>
      </c>
      <c r="AD246" s="337">
        <f t="shared" si="320"/>
        <v>0</v>
      </c>
      <c r="AE246" s="338">
        <f>AC246-AD246</f>
        <v>0</v>
      </c>
      <c r="AF246" s="336">
        <f t="shared" si="321"/>
        <v>64280</v>
      </c>
      <c r="AG246" s="337">
        <f t="shared" si="321"/>
        <v>0</v>
      </c>
      <c r="AH246" s="338">
        <f>AF246-AG246</f>
        <v>64280</v>
      </c>
      <c r="AI246" s="336">
        <f t="shared" si="322"/>
        <v>0</v>
      </c>
      <c r="AJ246" s="337">
        <f t="shared" si="322"/>
        <v>0</v>
      </c>
      <c r="AK246" s="338">
        <f>AI246-AJ246</f>
        <v>0</v>
      </c>
      <c r="AL246" s="342"/>
      <c r="AM246" s="336">
        <f t="shared" si="306"/>
        <v>0</v>
      </c>
      <c r="AN246" s="339">
        <f t="shared" si="306"/>
        <v>0</v>
      </c>
      <c r="AO246" s="340">
        <f>AM246-AN246</f>
        <v>0</v>
      </c>
      <c r="AP246" s="336">
        <f t="shared" si="308"/>
        <v>64280</v>
      </c>
      <c r="AQ246" s="339">
        <f t="shared" si="308"/>
        <v>0</v>
      </c>
      <c r="AR246" s="340">
        <f>AP246-AQ246</f>
        <v>64280</v>
      </c>
      <c r="AS246" s="341">
        <f t="shared" si="323"/>
        <v>64280</v>
      </c>
      <c r="AT246" s="339">
        <f t="shared" si="323"/>
        <v>0</v>
      </c>
      <c r="AU246" s="340">
        <f>AS246-AT246</f>
        <v>64280</v>
      </c>
      <c r="AV246" s="1255">
        <f t="shared" si="315"/>
        <v>0</v>
      </c>
      <c r="AW246" s="343"/>
      <c r="AX246" s="1098"/>
      <c r="AY246" s="345"/>
      <c r="AZ246" s="1098"/>
      <c r="BA246" s="345"/>
      <c r="BB246" s="1120"/>
      <c r="BC246" s="347"/>
      <c r="BD246" s="348"/>
      <c r="BE246" s="349"/>
      <c r="BF246" s="348"/>
      <c r="BG246" s="1135"/>
      <c r="BH246" s="350"/>
      <c r="BI246" s="351"/>
      <c r="BJ246" s="352"/>
      <c r="BK246" s="1137"/>
      <c r="BL246" s="352"/>
      <c r="BM246" s="1137">
        <v>64280</v>
      </c>
      <c r="BN246" s="353"/>
      <c r="BO246" s="354"/>
      <c r="BP246" s="355"/>
      <c r="BQ246" s="356"/>
      <c r="BR246" s="355"/>
      <c r="BS246" s="356"/>
      <c r="BT246" s="357"/>
    </row>
    <row r="247" spans="1:72" s="31" customFormat="1" ht="15.75">
      <c r="A247" s="287">
        <v>230</v>
      </c>
      <c r="B247" s="933"/>
      <c r="C247" s="845"/>
      <c r="D247" s="849"/>
      <c r="E247" s="287" t="s">
        <v>201</v>
      </c>
      <c r="F247" s="521"/>
      <c r="G247" s="521"/>
      <c r="H247" s="521"/>
      <c r="I247" s="521"/>
      <c r="J247" s="521"/>
      <c r="K247" s="1296" t="s">
        <v>17</v>
      </c>
      <c r="L247" s="1039">
        <f t="shared" ref="L247:BS247" si="324">L226+L243+L228</f>
        <v>2229272.25</v>
      </c>
      <c r="M247" s="13">
        <f t="shared" si="324"/>
        <v>0</v>
      </c>
      <c r="N247" s="13">
        <f t="shared" si="324"/>
        <v>0</v>
      </c>
      <c r="O247" s="13">
        <f t="shared" si="324"/>
        <v>2229272.25</v>
      </c>
      <c r="P247" s="13">
        <f t="shared" si="324"/>
        <v>0</v>
      </c>
      <c r="Q247" s="13">
        <f t="shared" si="324"/>
        <v>0</v>
      </c>
      <c r="R247" s="13">
        <f t="shared" si="324"/>
        <v>0</v>
      </c>
      <c r="S247" s="13">
        <f t="shared" si="324"/>
        <v>0</v>
      </c>
      <c r="T247" s="559">
        <f t="shared" si="324"/>
        <v>0</v>
      </c>
      <c r="U247" s="334">
        <f t="shared" si="324"/>
        <v>0</v>
      </c>
      <c r="V247" s="7">
        <f t="shared" si="324"/>
        <v>0</v>
      </c>
      <c r="W247" s="7">
        <f t="shared" si="324"/>
        <v>0</v>
      </c>
      <c r="X247" s="7">
        <f t="shared" si="324"/>
        <v>0</v>
      </c>
      <c r="Y247" s="31">
        <f t="shared" si="324"/>
        <v>0</v>
      </c>
      <c r="Z247" s="264">
        <f t="shared" si="324"/>
        <v>0</v>
      </c>
      <c r="AA247" s="254">
        <f t="shared" si="324"/>
        <v>0</v>
      </c>
      <c r="AB247" s="270">
        <f t="shared" si="324"/>
        <v>0</v>
      </c>
      <c r="AC247" s="264">
        <f t="shared" si="324"/>
        <v>40526.31</v>
      </c>
      <c r="AD247" s="254">
        <f t="shared" si="324"/>
        <v>0</v>
      </c>
      <c r="AE247" s="270">
        <f t="shared" si="324"/>
        <v>40526.31</v>
      </c>
      <c r="AF247" s="264">
        <f t="shared" si="324"/>
        <v>2116439</v>
      </c>
      <c r="AG247" s="254">
        <f t="shared" si="324"/>
        <v>0</v>
      </c>
      <c r="AH247" s="270">
        <f t="shared" si="324"/>
        <v>2116439</v>
      </c>
      <c r="AI247" s="264">
        <f t="shared" si="324"/>
        <v>0</v>
      </c>
      <c r="AJ247" s="254">
        <f t="shared" si="324"/>
        <v>0</v>
      </c>
      <c r="AK247" s="270">
        <f t="shared" si="324"/>
        <v>0</v>
      </c>
      <c r="AL247" s="278">
        <f t="shared" si="324"/>
        <v>0</v>
      </c>
      <c r="AM247" s="264">
        <f t="shared" si="324"/>
        <v>40526.31</v>
      </c>
      <c r="AN247" s="248">
        <f t="shared" si="324"/>
        <v>0</v>
      </c>
      <c r="AO247" s="281">
        <f t="shared" si="324"/>
        <v>40526.31</v>
      </c>
      <c r="AP247" s="264">
        <f t="shared" si="324"/>
        <v>2156965.31</v>
      </c>
      <c r="AQ247" s="248">
        <f t="shared" si="324"/>
        <v>0</v>
      </c>
      <c r="AR247" s="281">
        <f t="shared" si="324"/>
        <v>2156965.31</v>
      </c>
      <c r="AS247" s="263">
        <f t="shared" si="324"/>
        <v>2156965.31</v>
      </c>
      <c r="AT247" s="248">
        <f t="shared" si="324"/>
        <v>0</v>
      </c>
      <c r="AU247" s="281">
        <f t="shared" si="324"/>
        <v>2156965.31</v>
      </c>
      <c r="AV247" s="1266">
        <f t="shared" si="324"/>
        <v>72306.94</v>
      </c>
      <c r="AW247" s="278">
        <f t="shared" si="324"/>
        <v>0</v>
      </c>
      <c r="AX247" s="1113">
        <f t="shared" si="324"/>
        <v>0</v>
      </c>
      <c r="AY247" s="278">
        <f t="shared" si="324"/>
        <v>0</v>
      </c>
      <c r="AZ247" s="1113">
        <f t="shared" si="324"/>
        <v>0</v>
      </c>
      <c r="BA247" s="278">
        <f t="shared" si="324"/>
        <v>0</v>
      </c>
      <c r="BB247" s="1113">
        <f t="shared" si="324"/>
        <v>0</v>
      </c>
      <c r="BC247" s="278">
        <f t="shared" si="324"/>
        <v>0</v>
      </c>
      <c r="BD247" s="278">
        <f t="shared" si="324"/>
        <v>0</v>
      </c>
      <c r="BE247" s="278">
        <f t="shared" si="324"/>
        <v>0</v>
      </c>
      <c r="BF247" s="278">
        <f t="shared" si="324"/>
        <v>0</v>
      </c>
      <c r="BG247" s="278">
        <f t="shared" si="324"/>
        <v>40526.31</v>
      </c>
      <c r="BH247" s="278">
        <f t="shared" si="324"/>
        <v>0</v>
      </c>
      <c r="BI247" s="278">
        <f t="shared" si="324"/>
        <v>0</v>
      </c>
      <c r="BJ247" s="278">
        <f t="shared" si="324"/>
        <v>0</v>
      </c>
      <c r="BK247" s="278">
        <f t="shared" si="324"/>
        <v>0</v>
      </c>
      <c r="BL247" s="278">
        <f t="shared" si="324"/>
        <v>0</v>
      </c>
      <c r="BM247" s="278">
        <f t="shared" si="324"/>
        <v>2116439</v>
      </c>
      <c r="BN247" s="278">
        <f t="shared" si="324"/>
        <v>0</v>
      </c>
      <c r="BO247" s="278">
        <f t="shared" si="324"/>
        <v>0</v>
      </c>
      <c r="BP247" s="278">
        <f t="shared" si="324"/>
        <v>0</v>
      </c>
      <c r="BQ247" s="278">
        <f t="shared" si="324"/>
        <v>0</v>
      </c>
      <c r="BR247" s="278">
        <f t="shared" si="324"/>
        <v>0</v>
      </c>
      <c r="BS247" s="278">
        <f t="shared" si="324"/>
        <v>0</v>
      </c>
      <c r="BT247" s="278"/>
    </row>
    <row r="248" spans="1:72" s="31" customFormat="1" ht="16.5" customHeight="1" thickBot="1">
      <c r="A248" s="287">
        <v>231</v>
      </c>
      <c r="B248" s="933"/>
      <c r="C248" s="845"/>
      <c r="D248" s="849"/>
      <c r="E248" s="287" t="s">
        <v>201</v>
      </c>
      <c r="F248" s="521"/>
      <c r="G248" s="521"/>
      <c r="H248" s="521"/>
      <c r="I248" s="521"/>
      <c r="J248" s="521"/>
      <c r="K248" s="1296" t="s">
        <v>21</v>
      </c>
      <c r="L248" s="1040">
        <f t="shared" ref="L248:T248" si="325">L221+L247</f>
        <v>63329499.93</v>
      </c>
      <c r="M248" s="546">
        <f t="shared" si="325"/>
        <v>0</v>
      </c>
      <c r="N248" s="546">
        <f t="shared" si="325"/>
        <v>12674382.310000001</v>
      </c>
      <c r="O248" s="546">
        <f t="shared" si="325"/>
        <v>76003882.239999995</v>
      </c>
      <c r="P248" s="572">
        <f t="shared" si="325"/>
        <v>8693874.8000000007</v>
      </c>
      <c r="Q248" s="545">
        <f t="shared" si="325"/>
        <v>42206072.039999999</v>
      </c>
      <c r="R248" s="545">
        <f t="shared" si="325"/>
        <v>0</v>
      </c>
      <c r="S248" s="545">
        <f t="shared" si="325"/>
        <v>41798874.439999998</v>
      </c>
      <c r="T248" s="568">
        <f t="shared" si="325"/>
        <v>0</v>
      </c>
      <c r="U248" s="334"/>
      <c r="V248" s="7"/>
      <c r="W248" s="7"/>
      <c r="X248" s="7"/>
      <c r="Z248" s="263">
        <f t="shared" ref="Z248:AK248" si="326">Z221+Z247</f>
        <v>13607982.83</v>
      </c>
      <c r="AA248" s="253">
        <f t="shared" si="326"/>
        <v>12542194.960000001</v>
      </c>
      <c r="AB248" s="269">
        <f t="shared" si="326"/>
        <v>1065787.8700000001</v>
      </c>
      <c r="AC248" s="263">
        <f t="shared" si="326"/>
        <v>22665173.379999999</v>
      </c>
      <c r="AD248" s="253">
        <f t="shared" si="326"/>
        <v>12485004.09</v>
      </c>
      <c r="AE248" s="269">
        <f t="shared" si="326"/>
        <v>10180169.289999999</v>
      </c>
      <c r="AF248" s="263">
        <f t="shared" si="326"/>
        <v>15747600.32</v>
      </c>
      <c r="AG248" s="253">
        <f t="shared" si="326"/>
        <v>373497.47</v>
      </c>
      <c r="AH248" s="269">
        <f t="shared" si="326"/>
        <v>15374102.85</v>
      </c>
      <c r="AI248" s="263">
        <f t="shared" si="326"/>
        <v>13249494.25</v>
      </c>
      <c r="AJ248" s="253">
        <f t="shared" si="326"/>
        <v>559854.88</v>
      </c>
      <c r="AK248" s="269">
        <f t="shared" si="326"/>
        <v>12689639.369999999</v>
      </c>
      <c r="AL248" s="210"/>
      <c r="AM248" s="263">
        <f t="shared" si="274"/>
        <v>36273156.210000001</v>
      </c>
      <c r="AN248" s="247">
        <f t="shared" si="274"/>
        <v>25027199.050000001</v>
      </c>
      <c r="AO248" s="280">
        <f t="shared" si="275"/>
        <v>11245957.16</v>
      </c>
      <c r="AP248" s="263">
        <f t="shared" si="276"/>
        <v>52020756.530000001</v>
      </c>
      <c r="AQ248" s="247">
        <f t="shared" si="276"/>
        <v>25400696.52</v>
      </c>
      <c r="AR248" s="280">
        <f t="shared" si="277"/>
        <v>26620060.010000002</v>
      </c>
      <c r="AS248" s="263">
        <f>AS221+AS247</f>
        <v>65332287.460000001</v>
      </c>
      <c r="AT248" s="247">
        <f>AT221+AT247</f>
        <v>25988968.710000001</v>
      </c>
      <c r="AU248" s="280">
        <f>AU221+AU247</f>
        <v>39343318.75</v>
      </c>
      <c r="AV248" s="1269">
        <f>AV221+AV247</f>
        <v>-2002787.53</v>
      </c>
      <c r="AW248" s="210"/>
      <c r="AX248" s="1113"/>
      <c r="AY248" s="210"/>
      <c r="AZ248" s="1113"/>
      <c r="BA248" s="210"/>
      <c r="BB248" s="1113"/>
      <c r="BC248" s="210"/>
      <c r="BD248" s="210"/>
      <c r="BE248" s="210"/>
      <c r="BF248" s="210"/>
      <c r="BG248" s="210"/>
      <c r="BH248" s="210"/>
      <c r="BI248" s="210"/>
      <c r="BJ248" s="210"/>
      <c r="BK248" s="210"/>
      <c r="BL248" s="210"/>
      <c r="BM248" s="210"/>
      <c r="BN248" s="210"/>
      <c r="BO248" s="210"/>
      <c r="BP248" s="210"/>
      <c r="BQ248" s="210"/>
      <c r="BR248" s="210"/>
      <c r="BS248" s="210"/>
      <c r="BT248" s="210"/>
    </row>
    <row r="249" spans="1:72" s="31" customFormat="1" ht="16.5" customHeight="1">
      <c r="A249" s="287">
        <v>232</v>
      </c>
      <c r="B249" s="933"/>
      <c r="C249" s="845"/>
      <c r="D249" s="849"/>
      <c r="E249" s="287"/>
      <c r="F249" s="310"/>
      <c r="G249" s="310"/>
      <c r="H249" s="310"/>
      <c r="I249" s="310"/>
      <c r="J249" s="310"/>
      <c r="K249" s="209" t="s">
        <v>204</v>
      </c>
      <c r="L249" s="1035">
        <v>2229272.25</v>
      </c>
      <c r="M249" s="7"/>
      <c r="N249" s="7"/>
      <c r="O249" s="1035">
        <v>2229272.25</v>
      </c>
      <c r="P249" s="7"/>
      <c r="Q249" s="1035">
        <v>0</v>
      </c>
      <c r="R249" s="7"/>
      <c r="S249" s="1035">
        <v>0</v>
      </c>
      <c r="T249" s="7"/>
      <c r="U249" s="334"/>
      <c r="V249" s="7"/>
      <c r="W249" s="7"/>
      <c r="X249" s="7"/>
      <c r="Z249" s="267">
        <f t="shared" si="266"/>
        <v>0</v>
      </c>
      <c r="AA249" s="256">
        <f t="shared" si="266"/>
        <v>0</v>
      </c>
      <c r="AB249" s="272">
        <f t="shared" si="267"/>
        <v>0</v>
      </c>
      <c r="AC249" s="267">
        <f t="shared" si="268"/>
        <v>0</v>
      </c>
      <c r="AD249" s="256">
        <f t="shared" si="268"/>
        <v>0</v>
      </c>
      <c r="AE249" s="272">
        <f t="shared" si="269"/>
        <v>0</v>
      </c>
      <c r="AF249" s="267">
        <f t="shared" si="270"/>
        <v>0</v>
      </c>
      <c r="AG249" s="256">
        <f t="shared" si="270"/>
        <v>0</v>
      </c>
      <c r="AH249" s="272">
        <f t="shared" si="271"/>
        <v>0</v>
      </c>
      <c r="AI249" s="267">
        <f t="shared" si="272"/>
        <v>0</v>
      </c>
      <c r="AJ249" s="256">
        <f t="shared" si="272"/>
        <v>0</v>
      </c>
      <c r="AK249" s="272">
        <f t="shared" si="273"/>
        <v>0</v>
      </c>
      <c r="AL249" s="210"/>
      <c r="AM249" s="267">
        <f t="shared" si="274"/>
        <v>0</v>
      </c>
      <c r="AN249" s="250">
        <f t="shared" si="274"/>
        <v>0</v>
      </c>
      <c r="AO249" s="283">
        <f t="shared" si="275"/>
        <v>0</v>
      </c>
      <c r="AP249" s="267">
        <f t="shared" si="276"/>
        <v>0</v>
      </c>
      <c r="AQ249" s="250">
        <f t="shared" si="276"/>
        <v>0</v>
      </c>
      <c r="AR249" s="283">
        <f t="shared" si="277"/>
        <v>0</v>
      </c>
      <c r="AS249" s="267">
        <f t="shared" si="278"/>
        <v>0</v>
      </c>
      <c r="AT249" s="250">
        <f t="shared" si="278"/>
        <v>0</v>
      </c>
      <c r="AU249" s="283">
        <f t="shared" si="279"/>
        <v>0</v>
      </c>
      <c r="AV249" s="1269"/>
      <c r="AW249" s="210"/>
      <c r="AX249" s="1113"/>
      <c r="AY249" s="210"/>
      <c r="AZ249" s="1113"/>
      <c r="BA249" s="210"/>
      <c r="BB249" s="1113"/>
      <c r="BC249" s="210"/>
      <c r="BD249" s="210"/>
      <c r="BE249" s="210"/>
      <c r="BF249" s="210"/>
      <c r="BG249" s="210"/>
      <c r="BH249" s="210"/>
      <c r="BI249" s="210"/>
      <c r="BJ249" s="210"/>
      <c r="BK249" s="210"/>
      <c r="BL249" s="210"/>
      <c r="BM249" s="210"/>
      <c r="BN249" s="210"/>
      <c r="BO249" s="210"/>
      <c r="BP249" s="210"/>
      <c r="BQ249" s="210"/>
      <c r="BR249" s="210"/>
      <c r="BS249" s="210"/>
      <c r="BT249" s="210"/>
    </row>
    <row r="250" spans="1:72" s="31" customFormat="1" ht="16.5" customHeight="1">
      <c r="A250" s="287">
        <v>233</v>
      </c>
      <c r="B250" s="933"/>
      <c r="C250" s="845"/>
      <c r="D250" s="849"/>
      <c r="E250" s="287"/>
      <c r="F250" s="310"/>
      <c r="G250" s="310"/>
      <c r="H250" s="310"/>
      <c r="I250" s="310"/>
      <c r="J250" s="310"/>
      <c r="K250" s="209" t="s">
        <v>368</v>
      </c>
      <c r="L250" s="1036">
        <f>L249-L247</f>
        <v>0</v>
      </c>
      <c r="M250" s="7"/>
      <c r="N250" s="7"/>
      <c r="O250" s="1036">
        <f t="shared" ref="O250:S250" si="327">O249-O247</f>
        <v>0</v>
      </c>
      <c r="P250" s="7"/>
      <c r="Q250" s="1036">
        <f t="shared" si="327"/>
        <v>0</v>
      </c>
      <c r="R250" s="7"/>
      <c r="S250" s="1036">
        <f t="shared" si="327"/>
        <v>0</v>
      </c>
      <c r="T250" s="7"/>
      <c r="U250" s="334"/>
      <c r="V250" s="7"/>
      <c r="W250" s="7"/>
      <c r="X250" s="7"/>
      <c r="Z250" s="267"/>
      <c r="AA250" s="256"/>
      <c r="AB250" s="272"/>
      <c r="AC250" s="267"/>
      <c r="AD250" s="256"/>
      <c r="AE250" s="272"/>
      <c r="AF250" s="267"/>
      <c r="AG250" s="256"/>
      <c r="AH250" s="272"/>
      <c r="AI250" s="267"/>
      <c r="AJ250" s="256"/>
      <c r="AK250" s="272"/>
      <c r="AL250" s="210"/>
      <c r="AM250" s="267"/>
      <c r="AN250" s="250"/>
      <c r="AO250" s="283"/>
      <c r="AP250" s="267"/>
      <c r="AQ250" s="250"/>
      <c r="AR250" s="283"/>
      <c r="AS250" s="267"/>
      <c r="AT250" s="250"/>
      <c r="AU250" s="283"/>
      <c r="AV250" s="1269"/>
      <c r="AW250" s="210"/>
      <c r="AX250" s="1113"/>
      <c r="AY250" s="210"/>
      <c r="AZ250" s="1113"/>
      <c r="BA250" s="210"/>
      <c r="BB250" s="1113"/>
      <c r="BC250" s="210"/>
      <c r="BD250" s="210"/>
      <c r="BE250" s="210"/>
      <c r="BF250" s="210"/>
      <c r="BG250" s="210"/>
      <c r="BH250" s="210"/>
      <c r="BI250" s="210"/>
      <c r="BJ250" s="210"/>
      <c r="BK250" s="210"/>
      <c r="BL250" s="210"/>
      <c r="BM250" s="210"/>
      <c r="BN250" s="210"/>
      <c r="BO250" s="210"/>
      <c r="BP250" s="210"/>
      <c r="BQ250" s="210"/>
      <c r="BR250" s="210"/>
      <c r="BS250" s="210"/>
      <c r="BT250" s="210"/>
    </row>
    <row r="251" spans="1:72" s="31" customFormat="1" ht="16.5" customHeight="1">
      <c r="A251" s="287">
        <v>234</v>
      </c>
      <c r="B251" s="933"/>
      <c r="C251" s="845"/>
      <c r="D251" s="849"/>
      <c r="E251" s="287" t="s">
        <v>201</v>
      </c>
      <c r="F251" s="310"/>
      <c r="G251" s="310"/>
      <c r="H251" s="310"/>
      <c r="I251" s="310"/>
      <c r="J251" s="310"/>
      <c r="K251" s="209"/>
      <c r="L251" s="1036"/>
      <c r="M251" s="277"/>
      <c r="N251" s="277"/>
      <c r="O251" s="277"/>
      <c r="P251" s="277"/>
      <c r="Q251" s="277"/>
      <c r="R251" s="277"/>
      <c r="S251" s="277"/>
      <c r="T251" s="330"/>
      <c r="U251" s="334"/>
      <c r="V251" s="7"/>
      <c r="W251" s="7"/>
      <c r="X251" s="7"/>
      <c r="Z251" s="267"/>
      <c r="AA251" s="256"/>
      <c r="AB251" s="272"/>
      <c r="AC251" s="267"/>
      <c r="AD251" s="256"/>
      <c r="AE251" s="272"/>
      <c r="AF251" s="267"/>
      <c r="AG251" s="256"/>
      <c r="AH251" s="272"/>
      <c r="AI251" s="267"/>
      <c r="AJ251" s="256"/>
      <c r="AK251" s="272"/>
      <c r="AL251" s="210"/>
      <c r="AM251" s="267"/>
      <c r="AN251" s="250"/>
      <c r="AO251" s="283"/>
      <c r="AP251" s="267"/>
      <c r="AQ251" s="250"/>
      <c r="AR251" s="283"/>
      <c r="AS251" s="267"/>
      <c r="AT251" s="250"/>
      <c r="AU251" s="283"/>
      <c r="AV251" s="1269"/>
      <c r="AW251" s="210"/>
      <c r="AX251" s="1113"/>
      <c r="AY251" s="210"/>
      <c r="AZ251" s="1113"/>
      <c r="BA251" s="210"/>
      <c r="BB251" s="1113"/>
      <c r="BC251" s="210"/>
      <c r="BD251" s="210"/>
      <c r="BE251" s="210"/>
      <c r="BF251" s="210"/>
      <c r="BG251" s="210"/>
      <c r="BH251" s="210"/>
      <c r="BI251" s="210"/>
      <c r="BJ251" s="210"/>
      <c r="BK251" s="210"/>
      <c r="BL251" s="210"/>
      <c r="BM251" s="210"/>
      <c r="BN251" s="210"/>
      <c r="BO251" s="210"/>
      <c r="BP251" s="210"/>
      <c r="BQ251" s="210"/>
      <c r="BR251" s="210"/>
      <c r="BS251" s="210"/>
      <c r="BT251" s="210"/>
    </row>
    <row r="252" spans="1:72" s="31" customFormat="1" ht="21" thickBot="1">
      <c r="A252" s="287">
        <v>235</v>
      </c>
      <c r="B252" s="933"/>
      <c r="C252" s="845"/>
      <c r="D252" s="849"/>
      <c r="E252" s="287" t="s">
        <v>201</v>
      </c>
      <c r="F252" s="371" t="s">
        <v>217</v>
      </c>
      <c r="G252" s="311"/>
      <c r="H252" s="311"/>
      <c r="I252" s="311"/>
      <c r="J252" s="311"/>
      <c r="K252" s="311"/>
      <c r="L252" s="1037"/>
      <c r="M252" s="216"/>
      <c r="N252" s="216"/>
      <c r="O252" s="216"/>
      <c r="P252" s="331"/>
      <c r="Q252" s="216"/>
      <c r="R252" s="331"/>
      <c r="S252" s="216"/>
      <c r="T252" s="331"/>
      <c r="U252" s="334"/>
      <c r="V252" s="7"/>
      <c r="W252" s="7"/>
      <c r="X252" s="7"/>
      <c r="Z252" s="266"/>
      <c r="AA252" s="255"/>
      <c r="AB252" s="271"/>
      <c r="AC252" s="266"/>
      <c r="AD252" s="255"/>
      <c r="AE252" s="271"/>
      <c r="AF252" s="266"/>
      <c r="AG252" s="255"/>
      <c r="AH252" s="271"/>
      <c r="AI252" s="266"/>
      <c r="AJ252" s="255"/>
      <c r="AK252" s="271"/>
      <c r="AL252" s="216"/>
      <c r="AM252" s="266"/>
      <c r="AN252" s="249"/>
      <c r="AO252" s="282"/>
      <c r="AP252" s="266"/>
      <c r="AQ252" s="249"/>
      <c r="AR252" s="282">
        <f t="shared" ref="AR252:AR415" si="328">AP252-AQ252</f>
        <v>0</v>
      </c>
      <c r="AS252" s="266">
        <f t="shared" ref="AS252:AT274" si="329">Z252+AC252+AF252+AI252</f>
        <v>0</v>
      </c>
      <c r="AT252" s="249">
        <f t="shared" si="329"/>
        <v>0</v>
      </c>
      <c r="AU252" s="282">
        <f t="shared" ref="AU252:AU410" si="330">AS252-AT252</f>
        <v>0</v>
      </c>
      <c r="AV252" s="1267">
        <f t="shared" ref="AV252:AV276" si="331">L252-AS252</f>
        <v>0</v>
      </c>
      <c r="AW252" s="216"/>
      <c r="AX252" s="1117"/>
      <c r="AY252" s="216"/>
      <c r="AZ252" s="1117"/>
      <c r="BA252" s="216"/>
      <c r="BB252" s="1117"/>
      <c r="BC252" s="216"/>
      <c r="BD252" s="216"/>
      <c r="BE252" s="216"/>
      <c r="BF252" s="216"/>
      <c r="BG252" s="216"/>
      <c r="BH252" s="216"/>
      <c r="BI252" s="216"/>
      <c r="BJ252" s="216"/>
      <c r="BK252" s="216"/>
      <c r="BL252" s="216"/>
      <c r="BM252" s="216"/>
      <c r="BN252" s="216"/>
      <c r="BO252" s="216"/>
      <c r="BP252" s="216"/>
      <c r="BQ252" s="216"/>
      <c r="BR252" s="216"/>
      <c r="BS252" s="216"/>
      <c r="BT252" s="216"/>
    </row>
    <row r="253" spans="1:72" s="512" customFormat="1" ht="39.75" customHeight="1">
      <c r="A253" s="287">
        <v>236</v>
      </c>
      <c r="B253" s="936" t="s">
        <v>1141</v>
      </c>
      <c r="C253" s="863"/>
      <c r="D253" s="864"/>
      <c r="E253" s="865" t="s">
        <v>201</v>
      </c>
      <c r="F253" s="831" t="s">
        <v>23</v>
      </c>
      <c r="G253" s="514">
        <v>2</v>
      </c>
      <c r="H253" s="514" t="s">
        <v>69</v>
      </c>
      <c r="I253" s="514">
        <v>111</v>
      </c>
      <c r="J253" s="515">
        <v>211</v>
      </c>
      <c r="K253" s="555" t="s">
        <v>8</v>
      </c>
      <c r="L253" s="1041">
        <v>5199649.21</v>
      </c>
      <c r="M253" s="581">
        <f>112442.91+33486.43</f>
        <v>145929.34</v>
      </c>
      <c r="N253" s="581"/>
      <c r="O253" s="1050">
        <f t="shared" ref="O253:O412" si="332">L253+N253</f>
        <v>5199649.21</v>
      </c>
      <c r="P253" s="582"/>
      <c r="Q253" s="580">
        <v>4950667.96</v>
      </c>
      <c r="R253" s="583"/>
      <c r="S253" s="584">
        <v>4950667.96</v>
      </c>
      <c r="T253" s="574"/>
      <c r="U253" s="516"/>
      <c r="V253" s="517"/>
      <c r="W253" s="517"/>
      <c r="X253" s="517"/>
      <c r="Z253" s="518">
        <f t="shared" ref="Z253:AA274" si="333">AW253+AY253+BA253</f>
        <v>4950667.96</v>
      </c>
      <c r="AA253" s="251">
        <f t="shared" si="333"/>
        <v>416404.75</v>
      </c>
      <c r="AB253" s="519">
        <f t="shared" ref="AB253:AB410" si="334">Z253-AA253</f>
        <v>4534263.21</v>
      </c>
      <c r="AC253" s="518">
        <f t="shared" ref="AC253:AD274" si="335">BC253+BE253+BG253</f>
        <v>112442.91</v>
      </c>
      <c r="AD253" s="251">
        <f t="shared" si="335"/>
        <v>0</v>
      </c>
      <c r="AE253" s="519">
        <f t="shared" ref="AE253:AE410" si="336">AC253-AD253</f>
        <v>112442.91</v>
      </c>
      <c r="AF253" s="518">
        <f t="shared" ref="AF253:AG274" si="337">BI253+BK253+BM253</f>
        <v>0</v>
      </c>
      <c r="AG253" s="251">
        <f t="shared" si="337"/>
        <v>0</v>
      </c>
      <c r="AH253" s="519">
        <f t="shared" ref="AH253:AH410" si="338">AF253-AG253</f>
        <v>0</v>
      </c>
      <c r="AI253" s="518">
        <f t="shared" ref="AI253:AJ274" si="339">BO253+BQ253+BS253</f>
        <v>0</v>
      </c>
      <c r="AJ253" s="251">
        <f t="shared" si="339"/>
        <v>0</v>
      </c>
      <c r="AK253" s="519">
        <f t="shared" ref="AK253:AK410" si="340">AI253-AJ253</f>
        <v>0</v>
      </c>
      <c r="AL253" s="520"/>
      <c r="AM253" s="518">
        <f t="shared" ref="AM253:AN274" si="341">Z253+AC253</f>
        <v>5063110.87</v>
      </c>
      <c r="AN253" s="251">
        <f t="shared" si="341"/>
        <v>416404.75</v>
      </c>
      <c r="AO253" s="519">
        <f t="shared" ref="AO253:AO415" si="342">AM253-AN253</f>
        <v>4646706.12</v>
      </c>
      <c r="AP253" s="518">
        <f t="shared" ref="AP253:AQ274" si="343">Z253+AC253+AF253</f>
        <v>5063110.87</v>
      </c>
      <c r="AQ253" s="251">
        <f t="shared" si="343"/>
        <v>416404.75</v>
      </c>
      <c r="AR253" s="519">
        <f t="shared" si="328"/>
        <v>4646706.12</v>
      </c>
      <c r="AS253" s="518">
        <f>Z253+AC253+AF253+AI253</f>
        <v>5063110.87</v>
      </c>
      <c r="AT253" s="251">
        <f t="shared" si="329"/>
        <v>416404.75</v>
      </c>
      <c r="AU253" s="519">
        <f t="shared" si="330"/>
        <v>4646706.12</v>
      </c>
      <c r="AV253" s="1268">
        <f t="shared" si="331"/>
        <v>136538.34</v>
      </c>
      <c r="AW253" s="518">
        <v>4950667.96</v>
      </c>
      <c r="AX253" s="251"/>
      <c r="AY253" s="251"/>
      <c r="AZ253" s="251">
        <v>239761.62</v>
      </c>
      <c r="BA253" s="251"/>
      <c r="BB253" s="301">
        <v>176643.13</v>
      </c>
      <c r="BC253" s="518"/>
      <c r="BD253" s="251"/>
      <c r="BE253" s="251">
        <v>112442.91</v>
      </c>
      <c r="BF253" s="251"/>
      <c r="BG253" s="251"/>
      <c r="BH253" s="301"/>
      <c r="BI253" s="518"/>
      <c r="BJ253" s="251"/>
      <c r="BK253" s="251"/>
      <c r="BL253" s="251"/>
      <c r="BM253" s="251"/>
      <c r="BN253" s="301"/>
      <c r="BO253" s="518"/>
      <c r="BP253" s="251"/>
      <c r="BQ253" s="251"/>
      <c r="BR253" s="251"/>
      <c r="BS253" s="251"/>
      <c r="BT253" s="519"/>
    </row>
    <row r="254" spans="1:72" s="358" customFormat="1" ht="94.5" customHeight="1">
      <c r="A254" s="287">
        <v>237</v>
      </c>
      <c r="B254" s="933"/>
      <c r="C254" s="850" t="s">
        <v>377</v>
      </c>
      <c r="D254" s="838"/>
      <c r="E254" s="836" t="s">
        <v>201</v>
      </c>
      <c r="F254" s="820" t="s">
        <v>23</v>
      </c>
      <c r="G254" s="360">
        <v>2</v>
      </c>
      <c r="H254" s="360" t="s">
        <v>71</v>
      </c>
      <c r="I254" s="360">
        <v>111</v>
      </c>
      <c r="J254" s="361">
        <v>211</v>
      </c>
      <c r="K254" s="532" t="s">
        <v>324</v>
      </c>
      <c r="L254" s="1023">
        <f>L255</f>
        <v>4000</v>
      </c>
      <c r="M254" s="363"/>
      <c r="N254" s="363"/>
      <c r="O254" s="1051">
        <f t="shared" si="332"/>
        <v>4000</v>
      </c>
      <c r="P254" s="571"/>
      <c r="Q254" s="367">
        <f>Q255</f>
        <v>1000</v>
      </c>
      <c r="R254" s="557"/>
      <c r="S254" s="367">
        <f>S255</f>
        <v>0</v>
      </c>
      <c r="T254" s="557"/>
      <c r="U254" s="365"/>
      <c r="V254" s="366"/>
      <c r="W254" s="366"/>
      <c r="X254" s="366"/>
      <c r="Z254" s="367">
        <f t="shared" si="333"/>
        <v>1000</v>
      </c>
      <c r="AA254" s="363">
        <f t="shared" si="333"/>
        <v>0</v>
      </c>
      <c r="AB254" s="280">
        <f t="shared" si="334"/>
        <v>1000</v>
      </c>
      <c r="AC254" s="367">
        <f t="shared" si="335"/>
        <v>1000</v>
      </c>
      <c r="AD254" s="363">
        <f t="shared" si="335"/>
        <v>0</v>
      </c>
      <c r="AE254" s="280">
        <f t="shared" si="336"/>
        <v>1000</v>
      </c>
      <c r="AF254" s="367">
        <f t="shared" si="337"/>
        <v>1000</v>
      </c>
      <c r="AG254" s="363">
        <f t="shared" si="337"/>
        <v>0</v>
      </c>
      <c r="AH254" s="280">
        <f t="shared" si="338"/>
        <v>1000</v>
      </c>
      <c r="AI254" s="367">
        <f t="shared" si="339"/>
        <v>1000</v>
      </c>
      <c r="AJ254" s="363">
        <f t="shared" si="339"/>
        <v>0</v>
      </c>
      <c r="AK254" s="280">
        <f t="shared" si="340"/>
        <v>1000</v>
      </c>
      <c r="AL254" s="368"/>
      <c r="AM254" s="367">
        <f t="shared" si="341"/>
        <v>2000</v>
      </c>
      <c r="AN254" s="363">
        <f t="shared" si="341"/>
        <v>0</v>
      </c>
      <c r="AO254" s="280">
        <f t="shared" si="342"/>
        <v>2000</v>
      </c>
      <c r="AP254" s="367">
        <f t="shared" si="343"/>
        <v>3000</v>
      </c>
      <c r="AQ254" s="363">
        <f t="shared" si="343"/>
        <v>0</v>
      </c>
      <c r="AR254" s="280">
        <f t="shared" si="328"/>
        <v>3000</v>
      </c>
      <c r="AS254" s="367">
        <f>Z254+AC254+AF254+AI254</f>
        <v>4000</v>
      </c>
      <c r="AT254" s="363">
        <f t="shared" si="329"/>
        <v>0</v>
      </c>
      <c r="AU254" s="280">
        <f t="shared" si="330"/>
        <v>4000</v>
      </c>
      <c r="AV254" s="1253">
        <f t="shared" si="331"/>
        <v>0</v>
      </c>
      <c r="AW254" s="367">
        <f>AW255</f>
        <v>1000</v>
      </c>
      <c r="AX254" s="367">
        <f t="shared" ref="AX254:BT256" si="344">AX255</f>
        <v>0</v>
      </c>
      <c r="AY254" s="367">
        <f t="shared" si="344"/>
        <v>0</v>
      </c>
      <c r="AZ254" s="367">
        <f t="shared" si="344"/>
        <v>0</v>
      </c>
      <c r="BA254" s="367">
        <f t="shared" si="344"/>
        <v>0</v>
      </c>
      <c r="BB254" s="367">
        <f t="shared" si="344"/>
        <v>0</v>
      </c>
      <c r="BC254" s="367">
        <f t="shared" si="344"/>
        <v>1000</v>
      </c>
      <c r="BD254" s="367">
        <f t="shared" si="344"/>
        <v>0</v>
      </c>
      <c r="BE254" s="367">
        <f t="shared" si="344"/>
        <v>0</v>
      </c>
      <c r="BF254" s="367">
        <f t="shared" si="344"/>
        <v>0</v>
      </c>
      <c r="BG254" s="367">
        <f t="shared" si="344"/>
        <v>0</v>
      </c>
      <c r="BH254" s="367">
        <f t="shared" si="344"/>
        <v>0</v>
      </c>
      <c r="BI254" s="367">
        <f t="shared" si="344"/>
        <v>1000</v>
      </c>
      <c r="BJ254" s="367">
        <f t="shared" si="344"/>
        <v>0</v>
      </c>
      <c r="BK254" s="367">
        <f t="shared" si="344"/>
        <v>0</v>
      </c>
      <c r="BL254" s="367">
        <f t="shared" si="344"/>
        <v>0</v>
      </c>
      <c r="BM254" s="367">
        <f t="shared" si="344"/>
        <v>0</v>
      </c>
      <c r="BN254" s="367">
        <f t="shared" si="344"/>
        <v>0</v>
      </c>
      <c r="BO254" s="367">
        <f t="shared" si="344"/>
        <v>1000</v>
      </c>
      <c r="BP254" s="367">
        <f t="shared" si="344"/>
        <v>0</v>
      </c>
      <c r="BQ254" s="367">
        <f t="shared" si="344"/>
        <v>0</v>
      </c>
      <c r="BR254" s="367">
        <f t="shared" si="344"/>
        <v>0</v>
      </c>
      <c r="BS254" s="367">
        <f t="shared" si="344"/>
        <v>0</v>
      </c>
      <c r="BT254" s="367">
        <f t="shared" si="344"/>
        <v>0</v>
      </c>
    </row>
    <row r="255" spans="1:72" s="313" customFormat="1" ht="38.25" outlineLevel="1">
      <c r="A255" s="287">
        <v>238</v>
      </c>
      <c r="B255" s="933"/>
      <c r="C255" s="840"/>
      <c r="D255" s="841"/>
      <c r="E255" s="839"/>
      <c r="F255" s="821" t="s">
        <v>23</v>
      </c>
      <c r="G255" s="314">
        <v>2</v>
      </c>
      <c r="H255" s="739" t="s">
        <v>71</v>
      </c>
      <c r="I255" s="739">
        <v>111</v>
      </c>
      <c r="J255" s="740">
        <v>211</v>
      </c>
      <c r="K255" s="533" t="s">
        <v>322</v>
      </c>
      <c r="L255" s="1025">
        <f>1000*4</f>
        <v>4000</v>
      </c>
      <c r="M255" s="318"/>
      <c r="N255" s="318"/>
      <c r="O255" s="1052">
        <f t="shared" si="332"/>
        <v>4000</v>
      </c>
      <c r="P255" s="570"/>
      <c r="Q255" s="341">
        <v>1000</v>
      </c>
      <c r="R255" s="559"/>
      <c r="S255" s="540">
        <v>0</v>
      </c>
      <c r="T255" s="559"/>
      <c r="U255" s="335"/>
      <c r="V255" s="320"/>
      <c r="W255" s="320"/>
      <c r="X255" s="320"/>
      <c r="Z255" s="336">
        <f t="shared" si="333"/>
        <v>1000</v>
      </c>
      <c r="AA255" s="337">
        <f t="shared" si="333"/>
        <v>0</v>
      </c>
      <c r="AB255" s="338">
        <f t="shared" si="334"/>
        <v>1000</v>
      </c>
      <c r="AC255" s="336">
        <f t="shared" si="335"/>
        <v>1000</v>
      </c>
      <c r="AD255" s="337">
        <f t="shared" si="335"/>
        <v>0</v>
      </c>
      <c r="AE255" s="338">
        <f t="shared" si="336"/>
        <v>1000</v>
      </c>
      <c r="AF255" s="336">
        <f t="shared" si="337"/>
        <v>1000</v>
      </c>
      <c r="AG255" s="337">
        <f t="shared" si="337"/>
        <v>0</v>
      </c>
      <c r="AH255" s="338">
        <f t="shared" si="338"/>
        <v>1000</v>
      </c>
      <c r="AI255" s="336">
        <f t="shared" si="339"/>
        <v>1000</v>
      </c>
      <c r="AJ255" s="337">
        <f t="shared" si="339"/>
        <v>0</v>
      </c>
      <c r="AK255" s="338">
        <f t="shared" si="340"/>
        <v>1000</v>
      </c>
      <c r="AL255" s="342"/>
      <c r="AM255" s="336">
        <f t="shared" si="341"/>
        <v>2000</v>
      </c>
      <c r="AN255" s="339">
        <f t="shared" si="341"/>
        <v>0</v>
      </c>
      <c r="AO255" s="340">
        <f t="shared" si="342"/>
        <v>2000</v>
      </c>
      <c r="AP255" s="336">
        <f t="shared" si="343"/>
        <v>3000</v>
      </c>
      <c r="AQ255" s="339">
        <f t="shared" si="343"/>
        <v>0</v>
      </c>
      <c r="AR255" s="340">
        <f t="shared" si="328"/>
        <v>3000</v>
      </c>
      <c r="AS255" s="341">
        <f t="shared" si="329"/>
        <v>4000</v>
      </c>
      <c r="AT255" s="339">
        <f t="shared" si="329"/>
        <v>0</v>
      </c>
      <c r="AU255" s="340">
        <f t="shared" si="330"/>
        <v>4000</v>
      </c>
      <c r="AV255" s="1255">
        <f t="shared" si="331"/>
        <v>0</v>
      </c>
      <c r="AW255" s="343">
        <v>1000</v>
      </c>
      <c r="AX255" s="344"/>
      <c r="AY255" s="345"/>
      <c r="AZ255" s="344"/>
      <c r="BA255" s="345"/>
      <c r="BB255" s="346"/>
      <c r="BC255" s="347">
        <v>1000</v>
      </c>
      <c r="BD255" s="348"/>
      <c r="BE255" s="349"/>
      <c r="BF255" s="348"/>
      <c r="BG255" s="349"/>
      <c r="BH255" s="350"/>
      <c r="BI255" s="351">
        <v>1000</v>
      </c>
      <c r="BJ255" s="352"/>
      <c r="BK255" s="337"/>
      <c r="BL255" s="352"/>
      <c r="BM255" s="337"/>
      <c r="BN255" s="353"/>
      <c r="BO255" s="354">
        <v>1000</v>
      </c>
      <c r="BP255" s="355"/>
      <c r="BQ255" s="356"/>
      <c r="BR255" s="355"/>
      <c r="BS255" s="356"/>
      <c r="BT255" s="357"/>
    </row>
    <row r="256" spans="1:72" s="358" customFormat="1" ht="31.5">
      <c r="A256" s="287">
        <v>239</v>
      </c>
      <c r="B256" s="933"/>
      <c r="C256" s="850" t="s">
        <v>377</v>
      </c>
      <c r="D256" s="838"/>
      <c r="E256" s="836" t="s">
        <v>201</v>
      </c>
      <c r="F256" s="820" t="s">
        <v>23</v>
      </c>
      <c r="G256" s="360">
        <v>2</v>
      </c>
      <c r="H256" s="360" t="s">
        <v>71</v>
      </c>
      <c r="I256" s="360">
        <v>112</v>
      </c>
      <c r="J256" s="361">
        <v>212</v>
      </c>
      <c r="K256" s="532" t="s">
        <v>765</v>
      </c>
      <c r="L256" s="1023">
        <f>L257</f>
        <v>25800</v>
      </c>
      <c r="M256" s="363"/>
      <c r="N256" s="363">
        <f>N257</f>
        <v>0</v>
      </c>
      <c r="O256" s="1051">
        <f t="shared" si="332"/>
        <v>25800</v>
      </c>
      <c r="P256" s="571"/>
      <c r="Q256" s="367">
        <f>Q257</f>
        <v>0</v>
      </c>
      <c r="R256" s="557"/>
      <c r="S256" s="367">
        <f>S257</f>
        <v>0</v>
      </c>
      <c r="T256" s="557"/>
      <c r="U256" s="365"/>
      <c r="V256" s="366"/>
      <c r="W256" s="366"/>
      <c r="X256" s="366"/>
      <c r="Z256" s="367">
        <f t="shared" si="333"/>
        <v>0</v>
      </c>
      <c r="AA256" s="363">
        <f t="shared" si="333"/>
        <v>0</v>
      </c>
      <c r="AB256" s="280">
        <f t="shared" si="334"/>
        <v>0</v>
      </c>
      <c r="AC256" s="367">
        <f t="shared" si="335"/>
        <v>8800</v>
      </c>
      <c r="AD256" s="363">
        <f t="shared" si="335"/>
        <v>8800</v>
      </c>
      <c r="AE256" s="280">
        <f t="shared" si="336"/>
        <v>0</v>
      </c>
      <c r="AF256" s="367">
        <f t="shared" si="337"/>
        <v>5000</v>
      </c>
      <c r="AG256" s="363">
        <f t="shared" si="337"/>
        <v>0</v>
      </c>
      <c r="AH256" s="280">
        <f t="shared" si="338"/>
        <v>5000</v>
      </c>
      <c r="AI256" s="367">
        <f t="shared" si="339"/>
        <v>12000</v>
      </c>
      <c r="AJ256" s="363">
        <f t="shared" si="339"/>
        <v>12000</v>
      </c>
      <c r="AK256" s="280">
        <f t="shared" si="340"/>
        <v>0</v>
      </c>
      <c r="AL256" s="368"/>
      <c r="AM256" s="367">
        <f t="shared" si="341"/>
        <v>8800</v>
      </c>
      <c r="AN256" s="363">
        <f t="shared" si="341"/>
        <v>8800</v>
      </c>
      <c r="AO256" s="280">
        <f t="shared" si="342"/>
        <v>0</v>
      </c>
      <c r="AP256" s="367">
        <f t="shared" si="343"/>
        <v>13800</v>
      </c>
      <c r="AQ256" s="363">
        <f t="shared" si="343"/>
        <v>8800</v>
      </c>
      <c r="AR256" s="280">
        <f t="shared" si="328"/>
        <v>5000</v>
      </c>
      <c r="AS256" s="367">
        <f>Z256+AC256+AF256+AI256</f>
        <v>25800</v>
      </c>
      <c r="AT256" s="363">
        <f t="shared" si="329"/>
        <v>20800</v>
      </c>
      <c r="AU256" s="280">
        <f t="shared" si="330"/>
        <v>5000</v>
      </c>
      <c r="AV256" s="1253">
        <f t="shared" si="331"/>
        <v>0</v>
      </c>
      <c r="AW256" s="367">
        <f>AW257</f>
        <v>0</v>
      </c>
      <c r="AX256" s="367">
        <f t="shared" si="344"/>
        <v>0</v>
      </c>
      <c r="AY256" s="367">
        <f t="shared" si="344"/>
        <v>0</v>
      </c>
      <c r="AZ256" s="367">
        <f t="shared" si="344"/>
        <v>0</v>
      </c>
      <c r="BA256" s="367">
        <f t="shared" si="344"/>
        <v>0</v>
      </c>
      <c r="BB256" s="367">
        <f t="shared" si="344"/>
        <v>0</v>
      </c>
      <c r="BC256" s="367">
        <f t="shared" si="344"/>
        <v>0</v>
      </c>
      <c r="BD256" s="367">
        <f t="shared" si="344"/>
        <v>0</v>
      </c>
      <c r="BE256" s="367">
        <f t="shared" si="344"/>
        <v>8800</v>
      </c>
      <c r="BF256" s="367">
        <f t="shared" si="344"/>
        <v>8800</v>
      </c>
      <c r="BG256" s="367">
        <f t="shared" si="344"/>
        <v>0</v>
      </c>
      <c r="BH256" s="367">
        <f t="shared" si="344"/>
        <v>0</v>
      </c>
      <c r="BI256" s="367">
        <f t="shared" si="344"/>
        <v>0</v>
      </c>
      <c r="BJ256" s="367">
        <f t="shared" si="344"/>
        <v>0</v>
      </c>
      <c r="BK256" s="367">
        <f t="shared" si="344"/>
        <v>0</v>
      </c>
      <c r="BL256" s="367">
        <f t="shared" si="344"/>
        <v>0</v>
      </c>
      <c r="BM256" s="367">
        <f t="shared" si="344"/>
        <v>5000</v>
      </c>
      <c r="BN256" s="367">
        <f t="shared" si="344"/>
        <v>0</v>
      </c>
      <c r="BO256" s="367">
        <f t="shared" si="344"/>
        <v>12000</v>
      </c>
      <c r="BP256" s="367">
        <f t="shared" si="344"/>
        <v>12000</v>
      </c>
      <c r="BQ256" s="367">
        <f t="shared" si="344"/>
        <v>0</v>
      </c>
      <c r="BR256" s="367">
        <f t="shared" si="344"/>
        <v>0</v>
      </c>
      <c r="BS256" s="367">
        <f t="shared" si="344"/>
        <v>0</v>
      </c>
      <c r="BT256" s="367">
        <f t="shared" si="344"/>
        <v>0</v>
      </c>
    </row>
    <row r="257" spans="1:72" s="313" customFormat="1" ht="42.75" customHeight="1" outlineLevel="1">
      <c r="A257" s="287">
        <v>240</v>
      </c>
      <c r="B257" s="936" t="s">
        <v>1141</v>
      </c>
      <c r="C257" s="840"/>
      <c r="D257" s="841"/>
      <c r="E257" s="839"/>
      <c r="F257" s="821" t="s">
        <v>23</v>
      </c>
      <c r="G257" s="314">
        <v>2</v>
      </c>
      <c r="H257" s="739" t="s">
        <v>71</v>
      </c>
      <c r="I257" s="739">
        <v>112</v>
      </c>
      <c r="J257" s="740">
        <v>212</v>
      </c>
      <c r="K257" s="533" t="s">
        <v>766</v>
      </c>
      <c r="L257" s="318">
        <v>25800</v>
      </c>
      <c r="M257" s="318"/>
      <c r="N257" s="318"/>
      <c r="O257" s="1052">
        <f t="shared" si="332"/>
        <v>25800</v>
      </c>
      <c r="P257" s="570"/>
      <c r="Q257" s="341">
        <v>0</v>
      </c>
      <c r="R257" s="559"/>
      <c r="S257" s="540">
        <v>0</v>
      </c>
      <c r="T257" s="559"/>
      <c r="U257" s="335"/>
      <c r="V257" s="320"/>
      <c r="W257" s="320"/>
      <c r="X257" s="320"/>
      <c r="Z257" s="336">
        <f t="shared" si="333"/>
        <v>0</v>
      </c>
      <c r="AA257" s="337">
        <f t="shared" si="333"/>
        <v>0</v>
      </c>
      <c r="AB257" s="338">
        <f t="shared" si="334"/>
        <v>0</v>
      </c>
      <c r="AC257" s="336">
        <f t="shared" si="335"/>
        <v>8800</v>
      </c>
      <c r="AD257" s="337">
        <f t="shared" si="335"/>
        <v>8800</v>
      </c>
      <c r="AE257" s="338">
        <f t="shared" si="336"/>
        <v>0</v>
      </c>
      <c r="AF257" s="336">
        <f t="shared" si="337"/>
        <v>5000</v>
      </c>
      <c r="AG257" s="337">
        <f t="shared" si="337"/>
        <v>0</v>
      </c>
      <c r="AH257" s="338">
        <f t="shared" si="338"/>
        <v>5000</v>
      </c>
      <c r="AI257" s="336">
        <f t="shared" si="339"/>
        <v>12000</v>
      </c>
      <c r="AJ257" s="337">
        <f t="shared" si="339"/>
        <v>12000</v>
      </c>
      <c r="AK257" s="338">
        <f t="shared" si="340"/>
        <v>0</v>
      </c>
      <c r="AL257" s="342"/>
      <c r="AM257" s="336">
        <f t="shared" si="341"/>
        <v>8800</v>
      </c>
      <c r="AN257" s="339">
        <f t="shared" si="341"/>
        <v>8800</v>
      </c>
      <c r="AO257" s="340">
        <f t="shared" si="342"/>
        <v>0</v>
      </c>
      <c r="AP257" s="336">
        <f t="shared" si="343"/>
        <v>13800</v>
      </c>
      <c r="AQ257" s="339">
        <f t="shared" si="343"/>
        <v>8800</v>
      </c>
      <c r="AR257" s="340">
        <f t="shared" si="328"/>
        <v>5000</v>
      </c>
      <c r="AS257" s="341">
        <f t="shared" ref="AS257" si="345">Z257+AC257+AF257+AI257</f>
        <v>25800</v>
      </c>
      <c r="AT257" s="339">
        <f t="shared" si="329"/>
        <v>20800</v>
      </c>
      <c r="AU257" s="340">
        <f t="shared" si="330"/>
        <v>5000</v>
      </c>
      <c r="AV257" s="1255">
        <f t="shared" si="331"/>
        <v>0</v>
      </c>
      <c r="AW257" s="343"/>
      <c r="AX257" s="344"/>
      <c r="AY257" s="345"/>
      <c r="AZ257" s="344"/>
      <c r="BA257" s="345"/>
      <c r="BB257" s="346"/>
      <c r="BC257" s="347"/>
      <c r="BD257" s="348"/>
      <c r="BE257" s="1222">
        <f>7900+300+300+300</f>
        <v>8800</v>
      </c>
      <c r="BF257" s="1221">
        <f>7900+300+300+300</f>
        <v>8800</v>
      </c>
      <c r="BG257" s="349"/>
      <c r="BH257" s="350"/>
      <c r="BI257" s="351"/>
      <c r="BJ257" s="352"/>
      <c r="BK257" s="337"/>
      <c r="BL257" s="352"/>
      <c r="BM257" s="1137">
        <f>1500+3500</f>
        <v>5000</v>
      </c>
      <c r="BN257" s="353"/>
      <c r="BO257" s="354">
        <v>12000</v>
      </c>
      <c r="BP257" s="355">
        <v>12000</v>
      </c>
      <c r="BQ257" s="356"/>
      <c r="BR257" s="355"/>
      <c r="BS257" s="356"/>
      <c r="BT257" s="357"/>
    </row>
    <row r="258" spans="1:72" s="358" customFormat="1" ht="40.5" customHeight="1">
      <c r="A258" s="287">
        <v>241</v>
      </c>
      <c r="B258" s="936" t="s">
        <v>1141</v>
      </c>
      <c r="C258" s="837"/>
      <c r="D258" s="838"/>
      <c r="E258" s="836" t="s">
        <v>201</v>
      </c>
      <c r="F258" s="820" t="s">
        <v>23</v>
      </c>
      <c r="G258" s="360">
        <v>2</v>
      </c>
      <c r="H258" s="360" t="s">
        <v>69</v>
      </c>
      <c r="I258" s="360">
        <v>119</v>
      </c>
      <c r="J258" s="361">
        <v>213</v>
      </c>
      <c r="K258" s="532" t="s">
        <v>10</v>
      </c>
      <c r="L258" s="1042">
        <v>1528115.61</v>
      </c>
      <c r="M258" s="586">
        <f>1542.91+2557.09+41513.57</f>
        <v>45613.57</v>
      </c>
      <c r="N258" s="586"/>
      <c r="O258" s="1053">
        <f t="shared" si="332"/>
        <v>1528115.61</v>
      </c>
      <c r="P258" s="587"/>
      <c r="Q258" s="367">
        <v>1484134.59</v>
      </c>
      <c r="R258" s="557"/>
      <c r="S258" s="367">
        <v>1484134.59</v>
      </c>
      <c r="T258" s="557"/>
      <c r="U258" s="365"/>
      <c r="V258" s="366"/>
      <c r="W258" s="366"/>
      <c r="X258" s="366"/>
      <c r="Z258" s="367">
        <f>AW258+AY258+BA258</f>
        <v>1484134.59</v>
      </c>
      <c r="AA258" s="363">
        <f>AX258+AZ258+BB258</f>
        <v>110883.95</v>
      </c>
      <c r="AB258" s="280">
        <f>Z258-AA258</f>
        <v>1373250.64</v>
      </c>
      <c r="AC258" s="367">
        <f>BC258+BE258+BG258</f>
        <v>0</v>
      </c>
      <c r="AD258" s="363">
        <f>BD258+BF258+BH258</f>
        <v>0</v>
      </c>
      <c r="AE258" s="280">
        <f>AC258-AD258</f>
        <v>0</v>
      </c>
      <c r="AF258" s="367">
        <f>BI258+BK258+BM258</f>
        <v>0</v>
      </c>
      <c r="AG258" s="363">
        <f>BJ258+BL258+BN258</f>
        <v>0</v>
      </c>
      <c r="AH258" s="280">
        <f>AF258-AG258</f>
        <v>0</v>
      </c>
      <c r="AI258" s="367">
        <f>BO258+BQ258+BS258</f>
        <v>4100</v>
      </c>
      <c r="AJ258" s="363">
        <f>BP258+BR258+BT258</f>
        <v>0</v>
      </c>
      <c r="AK258" s="280">
        <f>AI258-AJ258</f>
        <v>4100</v>
      </c>
      <c r="AL258" s="368"/>
      <c r="AM258" s="367">
        <f>Z258+AC258</f>
        <v>1484134.59</v>
      </c>
      <c r="AN258" s="363">
        <f>AA258+AD258</f>
        <v>110883.95</v>
      </c>
      <c r="AO258" s="280">
        <f>AM258-AN258</f>
        <v>1373250.64</v>
      </c>
      <c r="AP258" s="367">
        <f>Z258+AC258+AF258</f>
        <v>1484134.59</v>
      </c>
      <c r="AQ258" s="363">
        <f>AA258+AD258+AG258</f>
        <v>110883.95</v>
      </c>
      <c r="AR258" s="280">
        <f>AP258-AQ258</f>
        <v>1373250.64</v>
      </c>
      <c r="AS258" s="367">
        <f>Z258+AC258+AF258+AI258</f>
        <v>1488234.59</v>
      </c>
      <c r="AT258" s="363">
        <f>AA258+AD258+AG258+AJ258</f>
        <v>110883.95</v>
      </c>
      <c r="AU258" s="280">
        <f>AS258-AT258</f>
        <v>1377350.64</v>
      </c>
      <c r="AV258" s="1253">
        <f t="shared" si="331"/>
        <v>39881.019999999997</v>
      </c>
      <c r="AW258" s="367">
        <v>1484134.59</v>
      </c>
      <c r="AX258" s="363"/>
      <c r="AY258" s="363"/>
      <c r="AZ258" s="363"/>
      <c r="BA258" s="363"/>
      <c r="BB258" s="369">
        <v>110883.95</v>
      </c>
      <c r="BC258" s="367"/>
      <c r="BD258" s="363"/>
      <c r="BE258" s="363"/>
      <c r="BF258" s="363"/>
      <c r="BG258" s="363"/>
      <c r="BH258" s="369"/>
      <c r="BI258" s="367"/>
      <c r="BJ258" s="363"/>
      <c r="BK258" s="363"/>
      <c r="BL258" s="363"/>
      <c r="BM258" s="363"/>
      <c r="BN258" s="369"/>
      <c r="BO258" s="367"/>
      <c r="BP258" s="363"/>
      <c r="BQ258" s="363"/>
      <c r="BR258" s="363"/>
      <c r="BS258" s="363">
        <v>4100</v>
      </c>
      <c r="BT258" s="280"/>
    </row>
    <row r="259" spans="1:72" s="358" customFormat="1" ht="63">
      <c r="A259" s="287">
        <v>242</v>
      </c>
      <c r="B259" s="933"/>
      <c r="C259" s="837"/>
      <c r="D259" s="838"/>
      <c r="E259" s="836" t="s">
        <v>201</v>
      </c>
      <c r="F259" s="820" t="s">
        <v>23</v>
      </c>
      <c r="G259" s="360">
        <v>2</v>
      </c>
      <c r="H259" s="360" t="s">
        <v>71</v>
      </c>
      <c r="I259" s="360">
        <v>111</v>
      </c>
      <c r="J259" s="361">
        <v>266</v>
      </c>
      <c r="K259" s="532" t="s">
        <v>43</v>
      </c>
      <c r="L259" s="1023">
        <v>39600</v>
      </c>
      <c r="M259" s="363"/>
      <c r="N259" s="363"/>
      <c r="O259" s="1051">
        <f t="shared" si="332"/>
        <v>39600</v>
      </c>
      <c r="P259" s="571"/>
      <c r="Q259" s="367">
        <v>39600</v>
      </c>
      <c r="R259" s="557"/>
      <c r="S259" s="367">
        <v>39600</v>
      </c>
      <c r="T259" s="557"/>
      <c r="U259" s="365"/>
      <c r="V259" s="366"/>
      <c r="W259" s="366"/>
      <c r="X259" s="366"/>
      <c r="Z259" s="367">
        <f t="shared" si="333"/>
        <v>39600</v>
      </c>
      <c r="AA259" s="363">
        <f t="shared" si="333"/>
        <v>0</v>
      </c>
      <c r="AB259" s="280">
        <f t="shared" si="334"/>
        <v>39600</v>
      </c>
      <c r="AC259" s="367">
        <f t="shared" si="335"/>
        <v>0</v>
      </c>
      <c r="AD259" s="363">
        <f t="shared" si="335"/>
        <v>0</v>
      </c>
      <c r="AE259" s="280">
        <f t="shared" si="336"/>
        <v>0</v>
      </c>
      <c r="AF259" s="367">
        <f t="shared" si="337"/>
        <v>0</v>
      </c>
      <c r="AG259" s="363">
        <f t="shared" si="337"/>
        <v>0</v>
      </c>
      <c r="AH259" s="280">
        <f t="shared" si="338"/>
        <v>0</v>
      </c>
      <c r="AI259" s="367">
        <f t="shared" si="339"/>
        <v>0</v>
      </c>
      <c r="AJ259" s="363">
        <f t="shared" si="339"/>
        <v>0</v>
      </c>
      <c r="AK259" s="280">
        <f t="shared" si="340"/>
        <v>0</v>
      </c>
      <c r="AL259" s="368"/>
      <c r="AM259" s="367">
        <f t="shared" si="341"/>
        <v>39600</v>
      </c>
      <c r="AN259" s="363">
        <f t="shared" si="341"/>
        <v>0</v>
      </c>
      <c r="AO259" s="280">
        <f t="shared" si="342"/>
        <v>39600</v>
      </c>
      <c r="AP259" s="367">
        <f t="shared" si="343"/>
        <v>39600</v>
      </c>
      <c r="AQ259" s="363">
        <f t="shared" si="343"/>
        <v>0</v>
      </c>
      <c r="AR259" s="280">
        <f t="shared" si="328"/>
        <v>39600</v>
      </c>
      <c r="AS259" s="367">
        <f t="shared" si="329"/>
        <v>39600</v>
      </c>
      <c r="AT259" s="363">
        <f t="shared" si="329"/>
        <v>0</v>
      </c>
      <c r="AU259" s="280">
        <f t="shared" si="330"/>
        <v>39600</v>
      </c>
      <c r="AV259" s="1253">
        <f t="shared" si="331"/>
        <v>0</v>
      </c>
      <c r="AW259" s="367">
        <v>39600</v>
      </c>
      <c r="AX259" s="363"/>
      <c r="AY259" s="363"/>
      <c r="AZ259" s="363"/>
      <c r="BA259" s="363"/>
      <c r="BB259" s="369"/>
      <c r="BC259" s="367"/>
      <c r="BD259" s="363"/>
      <c r="BE259" s="363"/>
      <c r="BF259" s="363"/>
      <c r="BG259" s="363"/>
      <c r="BH259" s="369"/>
      <c r="BI259" s="367"/>
      <c r="BJ259" s="363"/>
      <c r="BK259" s="363"/>
      <c r="BL259" s="363"/>
      <c r="BM259" s="363"/>
      <c r="BN259" s="369"/>
      <c r="BO259" s="367"/>
      <c r="BP259" s="363"/>
      <c r="BQ259" s="363"/>
      <c r="BR259" s="363"/>
      <c r="BS259" s="363"/>
      <c r="BT259" s="280"/>
    </row>
    <row r="260" spans="1:72" s="358" customFormat="1" ht="47.25">
      <c r="A260" s="287">
        <v>243</v>
      </c>
      <c r="B260" s="941"/>
      <c r="C260" s="837"/>
      <c r="D260" s="838"/>
      <c r="E260" s="836" t="s">
        <v>201</v>
      </c>
      <c r="F260" s="820" t="s">
        <v>23</v>
      </c>
      <c r="G260" s="360">
        <v>2</v>
      </c>
      <c r="H260" s="360" t="s">
        <v>71</v>
      </c>
      <c r="I260" s="360">
        <v>112</v>
      </c>
      <c r="J260" s="361">
        <v>266</v>
      </c>
      <c r="K260" s="532" t="s">
        <v>220</v>
      </c>
      <c r="L260" s="1023">
        <f>1020+M260</f>
        <v>1920</v>
      </c>
      <c r="M260" s="586">
        <v>900</v>
      </c>
      <c r="N260" s="363"/>
      <c r="O260" s="1051">
        <f t="shared" si="332"/>
        <v>1920</v>
      </c>
      <c r="P260" s="571"/>
      <c r="Q260" s="367">
        <v>425</v>
      </c>
      <c r="R260" s="557"/>
      <c r="S260" s="367">
        <v>0</v>
      </c>
      <c r="T260" s="557"/>
      <c r="U260" s="365"/>
      <c r="V260" s="366"/>
      <c r="W260" s="366"/>
      <c r="X260" s="366"/>
      <c r="Z260" s="367">
        <f t="shared" si="333"/>
        <v>170</v>
      </c>
      <c r="AA260" s="363">
        <f t="shared" si="333"/>
        <v>150</v>
      </c>
      <c r="AB260" s="280">
        <f t="shared" si="334"/>
        <v>20</v>
      </c>
      <c r="AC260" s="367">
        <f t="shared" si="335"/>
        <v>255</v>
      </c>
      <c r="AD260" s="363">
        <f t="shared" si="335"/>
        <v>0</v>
      </c>
      <c r="AE260" s="280">
        <f t="shared" si="336"/>
        <v>255</v>
      </c>
      <c r="AF260" s="367">
        <f t="shared" si="337"/>
        <v>255</v>
      </c>
      <c r="AG260" s="363">
        <f t="shared" si="337"/>
        <v>0</v>
      </c>
      <c r="AH260" s="280">
        <f t="shared" si="338"/>
        <v>255</v>
      </c>
      <c r="AI260" s="367">
        <f t="shared" si="339"/>
        <v>1240</v>
      </c>
      <c r="AJ260" s="363">
        <f t="shared" si="339"/>
        <v>0</v>
      </c>
      <c r="AK260" s="280">
        <f t="shared" si="340"/>
        <v>1240</v>
      </c>
      <c r="AL260" s="368"/>
      <c r="AM260" s="367">
        <f t="shared" si="341"/>
        <v>425</v>
      </c>
      <c r="AN260" s="363">
        <f t="shared" si="341"/>
        <v>150</v>
      </c>
      <c r="AO260" s="280">
        <f t="shared" si="342"/>
        <v>275</v>
      </c>
      <c r="AP260" s="367">
        <f t="shared" si="343"/>
        <v>680</v>
      </c>
      <c r="AQ260" s="363">
        <f t="shared" si="343"/>
        <v>150</v>
      </c>
      <c r="AR260" s="280">
        <f t="shared" si="328"/>
        <v>530</v>
      </c>
      <c r="AS260" s="367">
        <f t="shared" si="329"/>
        <v>1920</v>
      </c>
      <c r="AT260" s="363">
        <f t="shared" si="329"/>
        <v>150</v>
      </c>
      <c r="AU260" s="280">
        <f t="shared" si="330"/>
        <v>1770</v>
      </c>
      <c r="AV260" s="1253">
        <f t="shared" si="331"/>
        <v>0</v>
      </c>
      <c r="AW260" s="367"/>
      <c r="AX260" s="363"/>
      <c r="AY260" s="363">
        <v>85</v>
      </c>
      <c r="AZ260" s="363">
        <v>75</v>
      </c>
      <c r="BA260" s="363">
        <v>85</v>
      </c>
      <c r="BB260" s="369">
        <v>75</v>
      </c>
      <c r="BC260" s="367">
        <v>85</v>
      </c>
      <c r="BD260" s="363"/>
      <c r="BE260" s="363">
        <v>85</v>
      </c>
      <c r="BF260" s="363"/>
      <c r="BG260" s="363">
        <v>85</v>
      </c>
      <c r="BH260" s="369"/>
      <c r="BI260" s="367">
        <v>85</v>
      </c>
      <c r="BJ260" s="363"/>
      <c r="BK260" s="363">
        <v>85</v>
      </c>
      <c r="BL260" s="363"/>
      <c r="BM260" s="363">
        <v>85</v>
      </c>
      <c r="BN260" s="369"/>
      <c r="BO260" s="367">
        <v>85</v>
      </c>
      <c r="BP260" s="363"/>
      <c r="BQ260" s="363">
        <v>85</v>
      </c>
      <c r="BR260" s="363"/>
      <c r="BS260" s="363">
        <f>85*2+900</f>
        <v>1070</v>
      </c>
      <c r="BT260" s="280"/>
    </row>
    <row r="261" spans="1:72" s="358" customFormat="1" ht="31.5">
      <c r="A261" s="287">
        <v>244</v>
      </c>
      <c r="B261" s="933"/>
      <c r="C261" s="837"/>
      <c r="D261" s="838"/>
      <c r="E261" s="836" t="s">
        <v>201</v>
      </c>
      <c r="F261" s="820" t="s">
        <v>23</v>
      </c>
      <c r="G261" s="360">
        <v>2</v>
      </c>
      <c r="H261" s="360" t="s">
        <v>71</v>
      </c>
      <c r="I261" s="374">
        <v>112</v>
      </c>
      <c r="J261" s="361">
        <v>214</v>
      </c>
      <c r="K261" s="532" t="s">
        <v>35</v>
      </c>
      <c r="L261" s="1023">
        <v>40000</v>
      </c>
      <c r="M261" s="363"/>
      <c r="N261" s="363"/>
      <c r="O261" s="1051">
        <f t="shared" si="332"/>
        <v>40000</v>
      </c>
      <c r="P261" s="571"/>
      <c r="Q261" s="367">
        <v>100000</v>
      </c>
      <c r="R261" s="557"/>
      <c r="S261" s="367">
        <v>40000</v>
      </c>
      <c r="T261" s="557"/>
      <c r="U261" s="365"/>
      <c r="V261" s="366"/>
      <c r="W261" s="366"/>
      <c r="X261" s="366"/>
      <c r="Z261" s="367">
        <f t="shared" si="333"/>
        <v>0</v>
      </c>
      <c r="AA261" s="363">
        <f t="shared" si="333"/>
        <v>0</v>
      </c>
      <c r="AB261" s="280">
        <f t="shared" si="334"/>
        <v>0</v>
      </c>
      <c r="AC261" s="367">
        <f t="shared" si="335"/>
        <v>0</v>
      </c>
      <c r="AD261" s="363">
        <f t="shared" si="335"/>
        <v>0</v>
      </c>
      <c r="AE261" s="280">
        <f t="shared" si="336"/>
        <v>0</v>
      </c>
      <c r="AF261" s="367">
        <f t="shared" si="337"/>
        <v>40000</v>
      </c>
      <c r="AG261" s="363">
        <f t="shared" si="337"/>
        <v>0</v>
      </c>
      <c r="AH261" s="280">
        <f t="shared" si="338"/>
        <v>40000</v>
      </c>
      <c r="AI261" s="367">
        <f t="shared" si="339"/>
        <v>0</v>
      </c>
      <c r="AJ261" s="363">
        <f t="shared" si="339"/>
        <v>0</v>
      </c>
      <c r="AK261" s="280">
        <f t="shared" si="340"/>
        <v>0</v>
      </c>
      <c r="AL261" s="368"/>
      <c r="AM261" s="367">
        <f t="shared" si="341"/>
        <v>0</v>
      </c>
      <c r="AN261" s="363">
        <f t="shared" si="341"/>
        <v>0</v>
      </c>
      <c r="AO261" s="280">
        <f t="shared" si="342"/>
        <v>0</v>
      </c>
      <c r="AP261" s="367">
        <f t="shared" si="343"/>
        <v>40000</v>
      </c>
      <c r="AQ261" s="363">
        <f t="shared" si="343"/>
        <v>0</v>
      </c>
      <c r="AR261" s="280">
        <f t="shared" si="328"/>
        <v>40000</v>
      </c>
      <c r="AS261" s="367">
        <f t="shared" si="329"/>
        <v>40000</v>
      </c>
      <c r="AT261" s="363">
        <f t="shared" si="329"/>
        <v>0</v>
      </c>
      <c r="AU261" s="280">
        <f t="shared" si="330"/>
        <v>40000</v>
      </c>
      <c r="AV261" s="1253">
        <f t="shared" si="331"/>
        <v>0</v>
      </c>
      <c r="AW261" s="367"/>
      <c r="AX261" s="363"/>
      <c r="AY261" s="363"/>
      <c r="AZ261" s="363"/>
      <c r="BA261" s="363"/>
      <c r="BB261" s="369"/>
      <c r="BC261" s="367"/>
      <c r="BD261" s="363"/>
      <c r="BE261" s="363"/>
      <c r="BF261" s="363"/>
      <c r="BG261" s="363"/>
      <c r="BH261" s="369"/>
      <c r="BI261" s="367">
        <v>40000</v>
      </c>
      <c r="BJ261" s="363"/>
      <c r="BK261" s="363"/>
      <c r="BL261" s="363"/>
      <c r="BM261" s="363"/>
      <c r="BN261" s="369"/>
      <c r="BO261" s="367"/>
      <c r="BP261" s="363"/>
      <c r="BQ261" s="363"/>
      <c r="BR261" s="363"/>
      <c r="BS261" s="363"/>
      <c r="BT261" s="280"/>
    </row>
    <row r="262" spans="1:72" s="358" customFormat="1" ht="31.5" customHeight="1">
      <c r="A262" s="287">
        <v>245</v>
      </c>
      <c r="B262" s="933"/>
      <c r="C262" s="850" t="s">
        <v>377</v>
      </c>
      <c r="D262" s="838"/>
      <c r="E262" s="836" t="s">
        <v>201</v>
      </c>
      <c r="F262" s="820" t="s">
        <v>23</v>
      </c>
      <c r="G262" s="360">
        <v>2</v>
      </c>
      <c r="H262" s="360" t="s">
        <v>71</v>
      </c>
      <c r="I262" s="360">
        <v>244</v>
      </c>
      <c r="J262" s="361">
        <v>221</v>
      </c>
      <c r="K262" s="532" t="s">
        <v>11</v>
      </c>
      <c r="L262" s="1023">
        <f>SUM(L263:L266)</f>
        <v>32310.1</v>
      </c>
      <c r="M262" s="363"/>
      <c r="N262" s="363"/>
      <c r="O262" s="1051">
        <f t="shared" si="332"/>
        <v>32310.1</v>
      </c>
      <c r="P262" s="571"/>
      <c r="Q262" s="367">
        <f>SUM(Q263:Q266)</f>
        <v>32310.09</v>
      </c>
      <c r="R262" s="557"/>
      <c r="S262" s="367">
        <f>SUM(S263:S266)</f>
        <v>31052.92</v>
      </c>
      <c r="T262" s="557"/>
      <c r="U262" s="365"/>
      <c r="V262" s="366"/>
      <c r="W262" s="366"/>
      <c r="X262" s="391">
        <v>0.14119999999999999</v>
      </c>
      <c r="Z262" s="367">
        <f t="shared" si="333"/>
        <v>318</v>
      </c>
      <c r="AA262" s="363">
        <f t="shared" si="333"/>
        <v>318</v>
      </c>
      <c r="AB262" s="280">
        <f t="shared" si="334"/>
        <v>0</v>
      </c>
      <c r="AC262" s="367">
        <f t="shared" si="335"/>
        <v>2903.1</v>
      </c>
      <c r="AD262" s="363">
        <f t="shared" si="335"/>
        <v>2903.1</v>
      </c>
      <c r="AE262" s="280">
        <f t="shared" si="336"/>
        <v>0</v>
      </c>
      <c r="AF262" s="367">
        <f t="shared" si="337"/>
        <v>1522</v>
      </c>
      <c r="AG262" s="363">
        <f t="shared" si="337"/>
        <v>1522</v>
      </c>
      <c r="AH262" s="280">
        <f t="shared" si="338"/>
        <v>0</v>
      </c>
      <c r="AI262" s="367">
        <f t="shared" si="339"/>
        <v>15952.38</v>
      </c>
      <c r="AJ262" s="363">
        <f t="shared" si="339"/>
        <v>1552.38</v>
      </c>
      <c r="AK262" s="280">
        <f t="shared" si="340"/>
        <v>14400</v>
      </c>
      <c r="AL262" s="368"/>
      <c r="AM262" s="367">
        <f t="shared" si="341"/>
        <v>3221.1</v>
      </c>
      <c r="AN262" s="363">
        <f t="shared" si="341"/>
        <v>3221.1</v>
      </c>
      <c r="AO262" s="280">
        <f t="shared" si="342"/>
        <v>0</v>
      </c>
      <c r="AP262" s="367">
        <f t="shared" si="343"/>
        <v>4743.1000000000004</v>
      </c>
      <c r="AQ262" s="363">
        <f t="shared" si="343"/>
        <v>4743.1000000000004</v>
      </c>
      <c r="AR262" s="280">
        <f t="shared" si="328"/>
        <v>0</v>
      </c>
      <c r="AS262" s="367">
        <f t="shared" si="329"/>
        <v>20695.48</v>
      </c>
      <c r="AT262" s="363">
        <f t="shared" si="329"/>
        <v>6295.48</v>
      </c>
      <c r="AU262" s="280">
        <f t="shared" si="330"/>
        <v>14400</v>
      </c>
      <c r="AV262" s="1253">
        <f t="shared" si="331"/>
        <v>11614.62</v>
      </c>
      <c r="AW262" s="367">
        <f t="shared" ref="AW262:BT262" si="346">SUM(AW263:AW266)</f>
        <v>0</v>
      </c>
      <c r="AX262" s="363">
        <f t="shared" si="346"/>
        <v>0</v>
      </c>
      <c r="AY262" s="363">
        <f t="shared" si="346"/>
        <v>0</v>
      </c>
      <c r="AZ262" s="363">
        <f t="shared" si="346"/>
        <v>0</v>
      </c>
      <c r="BA262" s="363">
        <f t="shared" si="346"/>
        <v>318</v>
      </c>
      <c r="BB262" s="369">
        <f t="shared" si="346"/>
        <v>318</v>
      </c>
      <c r="BC262" s="367">
        <f t="shared" si="346"/>
        <v>523</v>
      </c>
      <c r="BD262" s="363">
        <f t="shared" si="346"/>
        <v>523</v>
      </c>
      <c r="BE262" s="363">
        <f t="shared" si="346"/>
        <v>729.5</v>
      </c>
      <c r="BF262" s="363">
        <f t="shared" si="346"/>
        <v>729.5</v>
      </c>
      <c r="BG262" s="363">
        <f t="shared" si="346"/>
        <v>1650.6</v>
      </c>
      <c r="BH262" s="369">
        <f t="shared" si="346"/>
        <v>1650.6</v>
      </c>
      <c r="BI262" s="367">
        <f t="shared" si="346"/>
        <v>579.5</v>
      </c>
      <c r="BJ262" s="363">
        <f t="shared" si="346"/>
        <v>579.5</v>
      </c>
      <c r="BK262" s="363">
        <f t="shared" si="346"/>
        <v>398</v>
      </c>
      <c r="BL262" s="363">
        <f t="shared" si="346"/>
        <v>398</v>
      </c>
      <c r="BM262" s="363">
        <f t="shared" si="346"/>
        <v>544.5</v>
      </c>
      <c r="BN262" s="369">
        <f t="shared" si="346"/>
        <v>544.5</v>
      </c>
      <c r="BO262" s="367">
        <f t="shared" si="346"/>
        <v>1552.38</v>
      </c>
      <c r="BP262" s="363">
        <f t="shared" si="346"/>
        <v>1552.38</v>
      </c>
      <c r="BQ262" s="363">
        <f t="shared" si="346"/>
        <v>4800</v>
      </c>
      <c r="BR262" s="363">
        <f t="shared" si="346"/>
        <v>0</v>
      </c>
      <c r="BS262" s="363">
        <f t="shared" si="346"/>
        <v>9600</v>
      </c>
      <c r="BT262" s="280">
        <f t="shared" si="346"/>
        <v>0</v>
      </c>
    </row>
    <row r="263" spans="1:72" s="313" customFormat="1" ht="409.5" outlineLevel="1">
      <c r="A263" s="287">
        <v>246</v>
      </c>
      <c r="B263" s="933"/>
      <c r="C263" s="840"/>
      <c r="D263" s="841"/>
      <c r="E263" s="839"/>
      <c r="F263" s="821" t="s">
        <v>23</v>
      </c>
      <c r="G263" s="314">
        <v>2</v>
      </c>
      <c r="H263" s="739" t="s">
        <v>71</v>
      </c>
      <c r="I263" s="739">
        <v>244</v>
      </c>
      <c r="J263" s="740">
        <v>221</v>
      </c>
      <c r="K263" s="533" t="s">
        <v>236</v>
      </c>
      <c r="L263" s="1025">
        <v>17910.099999999999</v>
      </c>
      <c r="M263" s="318"/>
      <c r="N263" s="318"/>
      <c r="O263" s="1052">
        <f t="shared" si="332"/>
        <v>17910.099999999999</v>
      </c>
      <c r="P263" s="570"/>
      <c r="Q263" s="336">
        <v>17910.09</v>
      </c>
      <c r="R263" s="559"/>
      <c r="S263" s="541">
        <v>16652.919999999998</v>
      </c>
      <c r="T263" s="559"/>
      <c r="U263" s="335"/>
      <c r="V263" s="596" t="s">
        <v>817</v>
      </c>
      <c r="W263" s="597" t="s">
        <v>1112</v>
      </c>
      <c r="X263" s="320"/>
      <c r="Z263" s="336">
        <f t="shared" si="333"/>
        <v>318</v>
      </c>
      <c r="AA263" s="337">
        <f t="shared" si="333"/>
        <v>318</v>
      </c>
      <c r="AB263" s="338">
        <f t="shared" si="334"/>
        <v>0</v>
      </c>
      <c r="AC263" s="336">
        <f t="shared" si="335"/>
        <v>2903.1</v>
      </c>
      <c r="AD263" s="337">
        <f t="shared" si="335"/>
        <v>2903.1</v>
      </c>
      <c r="AE263" s="338">
        <f t="shared" si="336"/>
        <v>0</v>
      </c>
      <c r="AF263" s="336">
        <f t="shared" si="337"/>
        <v>1522</v>
      </c>
      <c r="AG263" s="337">
        <f t="shared" si="337"/>
        <v>1522</v>
      </c>
      <c r="AH263" s="338">
        <f t="shared" si="338"/>
        <v>0</v>
      </c>
      <c r="AI263" s="336">
        <f t="shared" si="339"/>
        <v>1552.38</v>
      </c>
      <c r="AJ263" s="337">
        <f t="shared" si="339"/>
        <v>1552.38</v>
      </c>
      <c r="AK263" s="338">
        <f t="shared" si="340"/>
        <v>0</v>
      </c>
      <c r="AL263" s="342"/>
      <c r="AM263" s="336">
        <f t="shared" si="341"/>
        <v>3221.1</v>
      </c>
      <c r="AN263" s="339">
        <f t="shared" si="341"/>
        <v>3221.1</v>
      </c>
      <c r="AO263" s="340">
        <f t="shared" si="342"/>
        <v>0</v>
      </c>
      <c r="AP263" s="336">
        <f t="shared" si="343"/>
        <v>4743.1000000000004</v>
      </c>
      <c r="AQ263" s="339">
        <f t="shared" si="343"/>
        <v>4743.1000000000004</v>
      </c>
      <c r="AR263" s="340">
        <f t="shared" si="328"/>
        <v>0</v>
      </c>
      <c r="AS263" s="341">
        <f t="shared" si="329"/>
        <v>6295.48</v>
      </c>
      <c r="AT263" s="339">
        <f t="shared" si="329"/>
        <v>6295.48</v>
      </c>
      <c r="AU263" s="340">
        <f t="shared" si="330"/>
        <v>0</v>
      </c>
      <c r="AV263" s="1255">
        <f t="shared" si="331"/>
        <v>11614.62</v>
      </c>
      <c r="AW263" s="1241"/>
      <c r="AX263" s="1218"/>
      <c r="AY263" s="1217"/>
      <c r="AZ263" s="1218"/>
      <c r="BA263" s="1217">
        <v>318</v>
      </c>
      <c r="BB263" s="1219">
        <v>318</v>
      </c>
      <c r="BC263" s="1220">
        <f>261.5+261.5</f>
        <v>523</v>
      </c>
      <c r="BD263" s="1221">
        <v>523</v>
      </c>
      <c r="BE263" s="1222">
        <f>453+276.5</f>
        <v>729.5</v>
      </c>
      <c r="BF263" s="1221">
        <v>729.5</v>
      </c>
      <c r="BG263" s="1222">
        <v>1650.6</v>
      </c>
      <c r="BH263" s="1223">
        <v>1650.6</v>
      </c>
      <c r="BI263" s="1224">
        <v>579.5</v>
      </c>
      <c r="BJ263" s="1225">
        <v>579.5</v>
      </c>
      <c r="BK263" s="1230">
        <v>398</v>
      </c>
      <c r="BL263" s="1225">
        <v>398</v>
      </c>
      <c r="BM263" s="1230">
        <f>544.5</f>
        <v>544.5</v>
      </c>
      <c r="BN263" s="1293">
        <v>544.5</v>
      </c>
      <c r="BO263" s="1138">
        <f>150+299.18+388+181.5+275+258.7</f>
        <v>1552.38</v>
      </c>
      <c r="BP263" s="355">
        <f>1293.68+258.7</f>
        <v>1552.38</v>
      </c>
      <c r="BQ263" s="356"/>
      <c r="BR263" s="355"/>
      <c r="BS263" s="356"/>
      <c r="BT263" s="357"/>
    </row>
    <row r="264" spans="1:72" s="313" customFormat="1" ht="38.25" outlineLevel="1">
      <c r="A264" s="287">
        <v>247</v>
      </c>
      <c r="B264" s="933"/>
      <c r="C264" s="840"/>
      <c r="D264" s="841"/>
      <c r="E264" s="839"/>
      <c r="F264" s="821" t="s">
        <v>23</v>
      </c>
      <c r="G264" s="314">
        <v>2</v>
      </c>
      <c r="H264" s="739" t="s">
        <v>71</v>
      </c>
      <c r="I264" s="739">
        <v>244</v>
      </c>
      <c r="J264" s="740">
        <v>221</v>
      </c>
      <c r="K264" s="533" t="s">
        <v>422</v>
      </c>
      <c r="L264" s="1043">
        <v>0</v>
      </c>
      <c r="M264" s="318"/>
      <c r="N264" s="318"/>
      <c r="O264" s="1052">
        <f t="shared" si="332"/>
        <v>0</v>
      </c>
      <c r="P264" s="570"/>
      <c r="Q264" s="336">
        <v>0</v>
      </c>
      <c r="R264" s="559"/>
      <c r="S264" s="541">
        <v>0</v>
      </c>
      <c r="T264" s="559"/>
      <c r="U264" s="335"/>
      <c r="V264" s="320" t="s">
        <v>231</v>
      </c>
      <c r="W264" s="388" t="s">
        <v>232</v>
      </c>
      <c r="X264" s="388" t="s">
        <v>233</v>
      </c>
      <c r="Z264" s="336">
        <f t="shared" si="333"/>
        <v>0</v>
      </c>
      <c r="AA264" s="337">
        <f t="shared" si="333"/>
        <v>0</v>
      </c>
      <c r="AB264" s="338">
        <f t="shared" si="334"/>
        <v>0</v>
      </c>
      <c r="AC264" s="336">
        <f t="shared" si="335"/>
        <v>0</v>
      </c>
      <c r="AD264" s="337">
        <f t="shared" si="335"/>
        <v>0</v>
      </c>
      <c r="AE264" s="338">
        <f t="shared" si="336"/>
        <v>0</v>
      </c>
      <c r="AF264" s="336">
        <f t="shared" si="337"/>
        <v>0</v>
      </c>
      <c r="AG264" s="337">
        <f t="shared" si="337"/>
        <v>0</v>
      </c>
      <c r="AH264" s="338">
        <f t="shared" si="338"/>
        <v>0</v>
      </c>
      <c r="AI264" s="336">
        <f t="shared" si="339"/>
        <v>0</v>
      </c>
      <c r="AJ264" s="337">
        <f t="shared" si="339"/>
        <v>0</v>
      </c>
      <c r="AK264" s="338">
        <f t="shared" si="340"/>
        <v>0</v>
      </c>
      <c r="AL264" s="342"/>
      <c r="AM264" s="336">
        <f t="shared" si="341"/>
        <v>0</v>
      </c>
      <c r="AN264" s="339">
        <f t="shared" si="341"/>
        <v>0</v>
      </c>
      <c r="AO264" s="340">
        <f t="shared" si="342"/>
        <v>0</v>
      </c>
      <c r="AP264" s="336">
        <f t="shared" si="343"/>
        <v>0</v>
      </c>
      <c r="AQ264" s="339">
        <f t="shared" si="343"/>
        <v>0</v>
      </c>
      <c r="AR264" s="340">
        <f t="shared" si="328"/>
        <v>0</v>
      </c>
      <c r="AS264" s="341">
        <f t="shared" si="329"/>
        <v>0</v>
      </c>
      <c r="AT264" s="339">
        <f t="shared" si="329"/>
        <v>0</v>
      </c>
      <c r="AU264" s="340">
        <f t="shared" si="330"/>
        <v>0</v>
      </c>
      <c r="AV264" s="1255">
        <f t="shared" si="331"/>
        <v>0</v>
      </c>
      <c r="AW264" s="343"/>
      <c r="AX264" s="344"/>
      <c r="AY264" s="345"/>
      <c r="AZ264" s="344"/>
      <c r="BA264" s="345"/>
      <c r="BB264" s="346"/>
      <c r="BC264" s="347"/>
      <c r="BD264" s="348"/>
      <c r="BE264" s="349"/>
      <c r="BF264" s="348"/>
      <c r="BG264" s="349"/>
      <c r="BH264" s="350"/>
      <c r="BI264" s="351"/>
      <c r="BJ264" s="352"/>
      <c r="BK264" s="337"/>
      <c r="BL264" s="352"/>
      <c r="BM264" s="337"/>
      <c r="BN264" s="353"/>
      <c r="BO264" s="354"/>
      <c r="BP264" s="355"/>
      <c r="BQ264" s="356"/>
      <c r="BR264" s="355"/>
      <c r="BS264" s="356"/>
      <c r="BT264" s="357"/>
    </row>
    <row r="265" spans="1:72" s="313" customFormat="1" ht="38.25" outlineLevel="1">
      <c r="A265" s="287">
        <v>248</v>
      </c>
      <c r="B265" s="933"/>
      <c r="C265" s="840"/>
      <c r="D265" s="841"/>
      <c r="E265" s="839"/>
      <c r="F265" s="821" t="s">
        <v>23</v>
      </c>
      <c r="G265" s="314">
        <v>2</v>
      </c>
      <c r="H265" s="739" t="s">
        <v>71</v>
      </c>
      <c r="I265" s="739">
        <v>244</v>
      </c>
      <c r="J265" s="740">
        <v>221</v>
      </c>
      <c r="K265" s="533" t="s">
        <v>421</v>
      </c>
      <c r="L265" s="1043">
        <v>0</v>
      </c>
      <c r="M265" s="318"/>
      <c r="N265" s="318"/>
      <c r="O265" s="1052">
        <f t="shared" si="332"/>
        <v>0</v>
      </c>
      <c r="P265" s="570"/>
      <c r="Q265" s="336">
        <v>0</v>
      </c>
      <c r="R265" s="559"/>
      <c r="S265" s="541">
        <v>0</v>
      </c>
      <c r="T265" s="559"/>
      <c r="U265" s="335"/>
      <c r="V265" s="320" t="s">
        <v>231</v>
      </c>
      <c r="W265" s="388" t="s">
        <v>369</v>
      </c>
      <c r="X265" s="388" t="s">
        <v>233</v>
      </c>
      <c r="Z265" s="336">
        <f t="shared" si="333"/>
        <v>0</v>
      </c>
      <c r="AA265" s="337">
        <f t="shared" si="333"/>
        <v>0</v>
      </c>
      <c r="AB265" s="338">
        <f t="shared" si="334"/>
        <v>0</v>
      </c>
      <c r="AC265" s="336">
        <f t="shared" si="335"/>
        <v>0</v>
      </c>
      <c r="AD265" s="337">
        <f t="shared" si="335"/>
        <v>0</v>
      </c>
      <c r="AE265" s="338">
        <f t="shared" si="336"/>
        <v>0</v>
      </c>
      <c r="AF265" s="336">
        <f t="shared" si="337"/>
        <v>0</v>
      </c>
      <c r="AG265" s="337">
        <f t="shared" si="337"/>
        <v>0</v>
      </c>
      <c r="AH265" s="338">
        <f t="shared" si="338"/>
        <v>0</v>
      </c>
      <c r="AI265" s="336">
        <f t="shared" si="339"/>
        <v>0</v>
      </c>
      <c r="AJ265" s="337">
        <f t="shared" si="339"/>
        <v>0</v>
      </c>
      <c r="AK265" s="338">
        <f t="shared" si="340"/>
        <v>0</v>
      </c>
      <c r="AL265" s="342"/>
      <c r="AM265" s="336">
        <f t="shared" si="341"/>
        <v>0</v>
      </c>
      <c r="AN265" s="339">
        <f t="shared" si="341"/>
        <v>0</v>
      </c>
      <c r="AO265" s="340">
        <f t="shared" si="342"/>
        <v>0</v>
      </c>
      <c r="AP265" s="336">
        <f t="shared" si="343"/>
        <v>0</v>
      </c>
      <c r="AQ265" s="339">
        <f t="shared" si="343"/>
        <v>0</v>
      </c>
      <c r="AR265" s="340">
        <f t="shared" si="328"/>
        <v>0</v>
      </c>
      <c r="AS265" s="341">
        <f t="shared" si="329"/>
        <v>0</v>
      </c>
      <c r="AT265" s="339">
        <f t="shared" si="329"/>
        <v>0</v>
      </c>
      <c r="AU265" s="340">
        <f t="shared" si="330"/>
        <v>0</v>
      </c>
      <c r="AV265" s="1255">
        <f t="shared" si="331"/>
        <v>0</v>
      </c>
      <c r="AW265" s="343"/>
      <c r="AX265" s="344"/>
      <c r="AY265" s="345"/>
      <c r="AZ265" s="344"/>
      <c r="BA265" s="345"/>
      <c r="BB265" s="346"/>
      <c r="BC265" s="347"/>
      <c r="BD265" s="348"/>
      <c r="BE265" s="349"/>
      <c r="BF265" s="348"/>
      <c r="BG265" s="349"/>
      <c r="BH265" s="350"/>
      <c r="BI265" s="351"/>
      <c r="BJ265" s="352"/>
      <c r="BK265" s="337"/>
      <c r="BL265" s="352"/>
      <c r="BM265" s="337"/>
      <c r="BN265" s="353"/>
      <c r="BO265" s="354"/>
      <c r="BP265" s="355"/>
      <c r="BQ265" s="356"/>
      <c r="BR265" s="355"/>
      <c r="BS265" s="356"/>
      <c r="BT265" s="357"/>
    </row>
    <row r="266" spans="1:72" s="313" customFormat="1" ht="25.5" outlineLevel="1">
      <c r="A266" s="287">
        <v>249</v>
      </c>
      <c r="B266" s="933"/>
      <c r="C266" s="840"/>
      <c r="D266" s="841"/>
      <c r="E266" s="839"/>
      <c r="F266" s="821" t="s">
        <v>23</v>
      </c>
      <c r="G266" s="314">
        <v>2</v>
      </c>
      <c r="H266" s="739" t="s">
        <v>71</v>
      </c>
      <c r="I266" s="739">
        <v>244</v>
      </c>
      <c r="J266" s="740">
        <v>221</v>
      </c>
      <c r="K266" s="533" t="s">
        <v>428</v>
      </c>
      <c r="L266" s="1025">
        <v>14400</v>
      </c>
      <c r="M266" s="318"/>
      <c r="N266" s="318"/>
      <c r="O266" s="1052">
        <f t="shared" si="332"/>
        <v>14400</v>
      </c>
      <c r="P266" s="570"/>
      <c r="Q266" s="336">
        <v>14400</v>
      </c>
      <c r="R266" s="559"/>
      <c r="S266" s="541">
        <v>14400</v>
      </c>
      <c r="T266" s="559"/>
      <c r="U266" s="335"/>
      <c r="V266" s="596" t="s">
        <v>234</v>
      </c>
      <c r="W266" s="597" t="s">
        <v>427</v>
      </c>
      <c r="X266" s="597" t="s">
        <v>381</v>
      </c>
      <c r="Z266" s="336">
        <f t="shared" si="333"/>
        <v>0</v>
      </c>
      <c r="AA266" s="337">
        <f t="shared" si="333"/>
        <v>0</v>
      </c>
      <c r="AB266" s="338">
        <f t="shared" si="334"/>
        <v>0</v>
      </c>
      <c r="AC266" s="336">
        <f t="shared" si="335"/>
        <v>0</v>
      </c>
      <c r="AD266" s="337">
        <f t="shared" si="335"/>
        <v>0</v>
      </c>
      <c r="AE266" s="338">
        <f t="shared" si="336"/>
        <v>0</v>
      </c>
      <c r="AF266" s="336">
        <f t="shared" si="337"/>
        <v>0</v>
      </c>
      <c r="AG266" s="337">
        <f t="shared" si="337"/>
        <v>0</v>
      </c>
      <c r="AH266" s="338">
        <f t="shared" si="338"/>
        <v>0</v>
      </c>
      <c r="AI266" s="336">
        <f t="shared" si="339"/>
        <v>14400</v>
      </c>
      <c r="AJ266" s="337">
        <f t="shared" si="339"/>
        <v>0</v>
      </c>
      <c r="AK266" s="338">
        <f t="shared" si="340"/>
        <v>14400</v>
      </c>
      <c r="AL266" s="342"/>
      <c r="AM266" s="336">
        <f t="shared" si="341"/>
        <v>0</v>
      </c>
      <c r="AN266" s="339">
        <f t="shared" si="341"/>
        <v>0</v>
      </c>
      <c r="AO266" s="340">
        <f t="shared" si="342"/>
        <v>0</v>
      </c>
      <c r="AP266" s="336">
        <f t="shared" si="343"/>
        <v>0</v>
      </c>
      <c r="AQ266" s="339">
        <f t="shared" si="343"/>
        <v>0</v>
      </c>
      <c r="AR266" s="340">
        <f t="shared" si="328"/>
        <v>0</v>
      </c>
      <c r="AS266" s="341">
        <f t="shared" si="329"/>
        <v>14400</v>
      </c>
      <c r="AT266" s="339">
        <f t="shared" si="329"/>
        <v>0</v>
      </c>
      <c r="AU266" s="340">
        <f t="shared" si="330"/>
        <v>14400</v>
      </c>
      <c r="AV266" s="1255">
        <f t="shared" si="331"/>
        <v>0</v>
      </c>
      <c r="AW266" s="343"/>
      <c r="AX266" s="344"/>
      <c r="AY266" s="345"/>
      <c r="AZ266" s="344"/>
      <c r="BA266" s="345"/>
      <c r="BB266" s="346"/>
      <c r="BC266" s="347"/>
      <c r="BD266" s="348"/>
      <c r="BE266" s="349"/>
      <c r="BF266" s="348"/>
      <c r="BG266" s="349"/>
      <c r="BH266" s="350"/>
      <c r="BI266" s="351"/>
      <c r="BJ266" s="352"/>
      <c r="BK266" s="337"/>
      <c r="BL266" s="352"/>
      <c r="BM266" s="337"/>
      <c r="BN266" s="353"/>
      <c r="BO266" s="354"/>
      <c r="BP266" s="355"/>
      <c r="BQ266" s="356">
        <v>4800</v>
      </c>
      <c r="BR266" s="355"/>
      <c r="BS266" s="356">
        <f>4800*2</f>
        <v>9600</v>
      </c>
      <c r="BT266" s="357"/>
    </row>
    <row r="267" spans="1:72" s="358" customFormat="1" ht="116.25" customHeight="1">
      <c r="A267" s="287">
        <v>250</v>
      </c>
      <c r="B267" s="941"/>
      <c r="C267" s="850" t="s">
        <v>377</v>
      </c>
      <c r="D267" s="838"/>
      <c r="E267" s="836" t="s">
        <v>201</v>
      </c>
      <c r="F267" s="820" t="s">
        <v>23</v>
      </c>
      <c r="G267" s="360">
        <v>2</v>
      </c>
      <c r="H267" s="360" t="s">
        <v>71</v>
      </c>
      <c r="I267" s="360">
        <v>244</v>
      </c>
      <c r="J267" s="361">
        <v>222</v>
      </c>
      <c r="K267" s="532" t="s">
        <v>12</v>
      </c>
      <c r="L267" s="1023">
        <f>SUM(L268:L269)</f>
        <v>291566.34999999998</v>
      </c>
      <c r="M267" s="1292"/>
      <c r="N267" s="363"/>
      <c r="O267" s="1051">
        <f>L267+N267</f>
        <v>291566.34999999998</v>
      </c>
      <c r="P267" s="571"/>
      <c r="Q267" s="367">
        <f>SUM(Q268:Q269)</f>
        <v>276566.34999999998</v>
      </c>
      <c r="R267" s="557"/>
      <c r="S267" s="367">
        <f>SUM(S268:S269)</f>
        <v>275685.24</v>
      </c>
      <c r="T267" s="557"/>
      <c r="U267" s="365"/>
      <c r="V267" s="366"/>
      <c r="W267" s="366"/>
      <c r="X267" s="366"/>
      <c r="Z267" s="367">
        <f t="shared" si="333"/>
        <v>63600</v>
      </c>
      <c r="AA267" s="363">
        <f t="shared" si="333"/>
        <v>0</v>
      </c>
      <c r="AB267" s="280">
        <f>Z267-AA267</f>
        <v>63600</v>
      </c>
      <c r="AC267" s="367">
        <f t="shared" si="335"/>
        <v>65400</v>
      </c>
      <c r="AD267" s="363">
        <f t="shared" si="335"/>
        <v>0</v>
      </c>
      <c r="AE267" s="280">
        <f>AC267-AD267</f>
        <v>65400</v>
      </c>
      <c r="AF267" s="367">
        <f t="shared" si="337"/>
        <v>3800</v>
      </c>
      <c r="AG267" s="363">
        <f t="shared" si="337"/>
        <v>0</v>
      </c>
      <c r="AH267" s="280">
        <f>AF267-AG267</f>
        <v>3800</v>
      </c>
      <c r="AI267" s="367">
        <f t="shared" si="339"/>
        <v>158766.35</v>
      </c>
      <c r="AJ267" s="363">
        <f t="shared" si="339"/>
        <v>0</v>
      </c>
      <c r="AK267" s="280">
        <f>AI267-AJ267</f>
        <v>158766.35</v>
      </c>
      <c r="AL267" s="368"/>
      <c r="AM267" s="367">
        <f t="shared" si="341"/>
        <v>129000</v>
      </c>
      <c r="AN267" s="363">
        <f t="shared" si="341"/>
        <v>0</v>
      </c>
      <c r="AO267" s="280">
        <f>AM267-AN267</f>
        <v>129000</v>
      </c>
      <c r="AP267" s="367">
        <f t="shared" si="343"/>
        <v>132800</v>
      </c>
      <c r="AQ267" s="363">
        <f t="shared" si="343"/>
        <v>0</v>
      </c>
      <c r="AR267" s="280">
        <f>AP267-AQ267</f>
        <v>132800</v>
      </c>
      <c r="AS267" s="367">
        <f t="shared" si="329"/>
        <v>291566.34999999998</v>
      </c>
      <c r="AT267" s="363">
        <f t="shared" si="329"/>
        <v>0</v>
      </c>
      <c r="AU267" s="280">
        <f>AS267-AT267</f>
        <v>291566.34999999998</v>
      </c>
      <c r="AV267" s="1253">
        <f>L267-AS267</f>
        <v>0</v>
      </c>
      <c r="AW267" s="367">
        <f t="shared" ref="AW267:BT267" si="347">SUM(AW268:AW269)</f>
        <v>0</v>
      </c>
      <c r="AX267" s="363">
        <f t="shared" si="347"/>
        <v>0</v>
      </c>
      <c r="AY267" s="363">
        <f t="shared" si="347"/>
        <v>1800</v>
      </c>
      <c r="AZ267" s="363">
        <f t="shared" si="347"/>
        <v>0</v>
      </c>
      <c r="BA267" s="363">
        <f t="shared" si="347"/>
        <v>61800</v>
      </c>
      <c r="BB267" s="369">
        <f t="shared" si="347"/>
        <v>0</v>
      </c>
      <c r="BC267" s="367">
        <f t="shared" si="347"/>
        <v>1800</v>
      </c>
      <c r="BD267" s="363">
        <f t="shared" si="347"/>
        <v>0</v>
      </c>
      <c r="BE267" s="363">
        <f t="shared" si="347"/>
        <v>61800</v>
      </c>
      <c r="BF267" s="363">
        <f t="shared" si="347"/>
        <v>0</v>
      </c>
      <c r="BG267" s="363">
        <f t="shared" si="347"/>
        <v>1800</v>
      </c>
      <c r="BH267" s="369">
        <f t="shared" si="347"/>
        <v>0</v>
      </c>
      <c r="BI267" s="367">
        <f t="shared" si="347"/>
        <v>1800</v>
      </c>
      <c r="BJ267" s="363">
        <f t="shared" si="347"/>
        <v>0</v>
      </c>
      <c r="BK267" s="363">
        <f t="shared" si="347"/>
        <v>1000</v>
      </c>
      <c r="BL267" s="363">
        <f t="shared" si="347"/>
        <v>0</v>
      </c>
      <c r="BM267" s="363">
        <f t="shared" si="347"/>
        <v>1000</v>
      </c>
      <c r="BN267" s="369">
        <f t="shared" si="347"/>
        <v>0</v>
      </c>
      <c r="BO267" s="367">
        <f t="shared" si="347"/>
        <v>61800</v>
      </c>
      <c r="BP267" s="363">
        <f t="shared" si="347"/>
        <v>0</v>
      </c>
      <c r="BQ267" s="363">
        <f t="shared" si="347"/>
        <v>1800</v>
      </c>
      <c r="BR267" s="363">
        <f t="shared" si="347"/>
        <v>0</v>
      </c>
      <c r="BS267" s="363">
        <f t="shared" si="347"/>
        <v>95166.35</v>
      </c>
      <c r="BT267" s="280">
        <f t="shared" si="347"/>
        <v>0</v>
      </c>
    </row>
    <row r="268" spans="1:72" s="313" customFormat="1" ht="25.5" outlineLevel="1">
      <c r="A268" s="287">
        <v>251</v>
      </c>
      <c r="B268" s="933"/>
      <c r="C268" s="840"/>
      <c r="D268" s="841"/>
      <c r="E268" s="839"/>
      <c r="F268" s="821" t="s">
        <v>23</v>
      </c>
      <c r="G268" s="314">
        <v>2</v>
      </c>
      <c r="H268" s="739" t="s">
        <v>71</v>
      </c>
      <c r="I268" s="739">
        <v>244</v>
      </c>
      <c r="J268" s="740">
        <v>222</v>
      </c>
      <c r="K268" s="533" t="s">
        <v>374</v>
      </c>
      <c r="L268" s="1025">
        <f>22645.08+7500</f>
        <v>30145.08</v>
      </c>
      <c r="M268" s="619"/>
      <c r="N268" s="318"/>
      <c r="O268" s="1052">
        <f>L268+N268</f>
        <v>30145.08</v>
      </c>
      <c r="P268" s="570"/>
      <c r="Q268" s="341">
        <v>22645.08</v>
      </c>
      <c r="R268" s="559"/>
      <c r="S268" s="540">
        <v>21763.97</v>
      </c>
      <c r="T268" s="559"/>
      <c r="U268" s="335"/>
      <c r="V268" s="320" t="s">
        <v>240</v>
      </c>
      <c r="W268" s="388" t="s">
        <v>241</v>
      </c>
      <c r="X268" s="388" t="s">
        <v>242</v>
      </c>
      <c r="Z268" s="336">
        <f t="shared" si="333"/>
        <v>3600</v>
      </c>
      <c r="AA268" s="337">
        <f t="shared" si="333"/>
        <v>0</v>
      </c>
      <c r="AB268" s="338">
        <f>Z268-AA268</f>
        <v>3600</v>
      </c>
      <c r="AC268" s="336">
        <f t="shared" si="335"/>
        <v>5400</v>
      </c>
      <c r="AD268" s="337">
        <f t="shared" si="335"/>
        <v>0</v>
      </c>
      <c r="AE268" s="338">
        <f>AC268-AD268</f>
        <v>5400</v>
      </c>
      <c r="AF268" s="336">
        <f t="shared" si="337"/>
        <v>3800</v>
      </c>
      <c r="AG268" s="337">
        <f t="shared" si="337"/>
        <v>0</v>
      </c>
      <c r="AH268" s="338">
        <f>AF268-AG268</f>
        <v>3800</v>
      </c>
      <c r="AI268" s="336">
        <f t="shared" si="339"/>
        <v>17345.080000000002</v>
      </c>
      <c r="AJ268" s="337">
        <f t="shared" si="339"/>
        <v>0</v>
      </c>
      <c r="AK268" s="338">
        <f>AI268-AJ268</f>
        <v>17345.080000000002</v>
      </c>
      <c r="AL268" s="342"/>
      <c r="AM268" s="336">
        <f t="shared" si="341"/>
        <v>9000</v>
      </c>
      <c r="AN268" s="339">
        <f t="shared" si="341"/>
        <v>0</v>
      </c>
      <c r="AO268" s="340">
        <f>AM268-AN268</f>
        <v>9000</v>
      </c>
      <c r="AP268" s="336">
        <f t="shared" si="343"/>
        <v>12800</v>
      </c>
      <c r="AQ268" s="339">
        <f t="shared" si="343"/>
        <v>0</v>
      </c>
      <c r="AR268" s="340">
        <f>AP268-AQ268</f>
        <v>12800</v>
      </c>
      <c r="AS268" s="341">
        <f t="shared" si="329"/>
        <v>30145.08</v>
      </c>
      <c r="AT268" s="339">
        <f t="shared" si="329"/>
        <v>0</v>
      </c>
      <c r="AU268" s="340">
        <f>AS268-AT268</f>
        <v>30145.08</v>
      </c>
      <c r="AV268" s="1255">
        <f>L268-AS268</f>
        <v>0</v>
      </c>
      <c r="AW268" s="343"/>
      <c r="AX268" s="344"/>
      <c r="AY268" s="345">
        <v>1800</v>
      </c>
      <c r="AZ268" s="344"/>
      <c r="BA268" s="345">
        <v>1800</v>
      </c>
      <c r="BB268" s="346"/>
      <c r="BC268" s="347">
        <v>1800</v>
      </c>
      <c r="BD268" s="348"/>
      <c r="BE268" s="349">
        <v>1800</v>
      </c>
      <c r="BF268" s="348"/>
      <c r="BG268" s="349">
        <v>1800</v>
      </c>
      <c r="BH268" s="350"/>
      <c r="BI268" s="351">
        <v>1800</v>
      </c>
      <c r="BJ268" s="352"/>
      <c r="BK268" s="337">
        <v>1000</v>
      </c>
      <c r="BL268" s="352"/>
      <c r="BM268" s="337">
        <v>1000</v>
      </c>
      <c r="BN268" s="353"/>
      <c r="BO268" s="354">
        <v>1800</v>
      </c>
      <c r="BP268" s="355"/>
      <c r="BQ268" s="356">
        <v>1800</v>
      </c>
      <c r="BR268" s="355"/>
      <c r="BS268" s="356">
        <f>1800*2+2645.08+7500</f>
        <v>13745.08</v>
      </c>
      <c r="BT268" s="357"/>
    </row>
    <row r="269" spans="1:72" s="313" customFormat="1" ht="38.25" outlineLevel="1">
      <c r="A269" s="287">
        <v>252</v>
      </c>
      <c r="B269" s="933"/>
      <c r="C269" s="840"/>
      <c r="D269" s="841"/>
      <c r="E269" s="839"/>
      <c r="F269" s="821" t="s">
        <v>23</v>
      </c>
      <c r="G269" s="314">
        <v>2</v>
      </c>
      <c r="H269" s="739" t="s">
        <v>71</v>
      </c>
      <c r="I269" s="739">
        <v>244</v>
      </c>
      <c r="J269" s="740">
        <v>222</v>
      </c>
      <c r="K269" s="533" t="s">
        <v>375</v>
      </c>
      <c r="L269" s="1025">
        <f>253921.27+7500</f>
        <v>261421.27</v>
      </c>
      <c r="M269" s="619"/>
      <c r="N269" s="318"/>
      <c r="O269" s="1052">
        <f>L269+N269</f>
        <v>261421.27</v>
      </c>
      <c r="P269" s="570"/>
      <c r="Q269" s="341">
        <v>253921.27</v>
      </c>
      <c r="R269" s="559"/>
      <c r="S269" s="540">
        <v>253921.27</v>
      </c>
      <c r="T269" s="559"/>
      <c r="U269" s="335"/>
      <c r="V269" s="811" t="s">
        <v>459</v>
      </c>
      <c r="W269" s="388"/>
      <c r="X269" s="388"/>
      <c r="Z269" s="336">
        <f t="shared" si="333"/>
        <v>60000</v>
      </c>
      <c r="AA269" s="337">
        <f t="shared" si="333"/>
        <v>0</v>
      </c>
      <c r="AB269" s="338">
        <f>Z269-AA269</f>
        <v>60000</v>
      </c>
      <c r="AC269" s="336">
        <f t="shared" si="335"/>
        <v>60000</v>
      </c>
      <c r="AD269" s="337">
        <f t="shared" si="335"/>
        <v>0</v>
      </c>
      <c r="AE269" s="338">
        <f>AC269-AD269</f>
        <v>60000</v>
      </c>
      <c r="AF269" s="336">
        <f t="shared" si="337"/>
        <v>0</v>
      </c>
      <c r="AG269" s="337">
        <f t="shared" si="337"/>
        <v>0</v>
      </c>
      <c r="AH269" s="338">
        <f>AF269-AG269</f>
        <v>0</v>
      </c>
      <c r="AI269" s="336">
        <f t="shared" si="339"/>
        <v>141421.26999999999</v>
      </c>
      <c r="AJ269" s="337">
        <f t="shared" si="339"/>
        <v>0</v>
      </c>
      <c r="AK269" s="338">
        <f>AI269-AJ269</f>
        <v>141421.26999999999</v>
      </c>
      <c r="AL269" s="342"/>
      <c r="AM269" s="336">
        <f t="shared" si="341"/>
        <v>120000</v>
      </c>
      <c r="AN269" s="339">
        <f t="shared" si="341"/>
        <v>0</v>
      </c>
      <c r="AO269" s="340">
        <f>AM269-AN269</f>
        <v>120000</v>
      </c>
      <c r="AP269" s="336">
        <f t="shared" si="343"/>
        <v>120000</v>
      </c>
      <c r="AQ269" s="339">
        <f t="shared" si="343"/>
        <v>0</v>
      </c>
      <c r="AR269" s="340">
        <f>AP269-AQ269</f>
        <v>120000</v>
      </c>
      <c r="AS269" s="341">
        <f t="shared" si="329"/>
        <v>261421.27</v>
      </c>
      <c r="AT269" s="339">
        <f t="shared" si="329"/>
        <v>0</v>
      </c>
      <c r="AU269" s="340">
        <f>AS269-AT269</f>
        <v>261421.27</v>
      </c>
      <c r="AV269" s="1256">
        <f>L269-AS269</f>
        <v>0</v>
      </c>
      <c r="AW269" s="343"/>
      <c r="AX269" s="344"/>
      <c r="AY269" s="345"/>
      <c r="AZ269" s="344"/>
      <c r="BA269" s="345">
        <v>60000</v>
      </c>
      <c r="BB269" s="346"/>
      <c r="BC269" s="347"/>
      <c r="BD269" s="348"/>
      <c r="BE269" s="349">
        <v>60000</v>
      </c>
      <c r="BF269" s="348"/>
      <c r="BG269" s="349"/>
      <c r="BH269" s="350"/>
      <c r="BI269" s="351"/>
      <c r="BJ269" s="352"/>
      <c r="BK269" s="337"/>
      <c r="BL269" s="352"/>
      <c r="BM269" s="337"/>
      <c r="BN269" s="353"/>
      <c r="BO269" s="354">
        <v>60000</v>
      </c>
      <c r="BP269" s="355"/>
      <c r="BQ269" s="356"/>
      <c r="BR269" s="355"/>
      <c r="BS269" s="356">
        <f>73921.27+7500</f>
        <v>81421.27</v>
      </c>
      <c r="BT269" s="357"/>
    </row>
    <row r="270" spans="1:72" s="358" customFormat="1" ht="31.5" customHeight="1">
      <c r="A270" s="287">
        <v>253</v>
      </c>
      <c r="B270" s="933"/>
      <c r="C270" s="850" t="s">
        <v>377</v>
      </c>
      <c r="D270" s="838"/>
      <c r="E270" s="836" t="s">
        <v>201</v>
      </c>
      <c r="F270" s="820" t="s">
        <v>23</v>
      </c>
      <c r="G270" s="360">
        <v>2</v>
      </c>
      <c r="H270" s="360" t="s">
        <v>71</v>
      </c>
      <c r="I270" s="360">
        <v>244</v>
      </c>
      <c r="J270" s="361">
        <v>223</v>
      </c>
      <c r="K270" s="532" t="s">
        <v>13</v>
      </c>
      <c r="L270" s="1023">
        <f>L271+L272</f>
        <v>110481.69</v>
      </c>
      <c r="M270" s="363"/>
      <c r="N270" s="363"/>
      <c r="O270" s="1051">
        <f t="shared" si="332"/>
        <v>110481.69</v>
      </c>
      <c r="P270" s="571"/>
      <c r="Q270" s="367">
        <f>Q271+Q272</f>
        <v>68757.649999999994</v>
      </c>
      <c r="R270" s="557"/>
      <c r="S270" s="367">
        <f>S271+S272</f>
        <v>90086.74</v>
      </c>
      <c r="T270" s="557"/>
      <c r="U270" s="365"/>
      <c r="V270" s="366"/>
      <c r="W270" s="366"/>
      <c r="X270" s="366"/>
      <c r="Z270" s="367">
        <f t="shared" si="333"/>
        <v>0</v>
      </c>
      <c r="AA270" s="363">
        <f t="shared" si="333"/>
        <v>0</v>
      </c>
      <c r="AB270" s="280">
        <f t="shared" si="334"/>
        <v>0</v>
      </c>
      <c r="AC270" s="367">
        <f t="shared" si="335"/>
        <v>0</v>
      </c>
      <c r="AD270" s="363">
        <f t="shared" si="335"/>
        <v>0</v>
      </c>
      <c r="AE270" s="280">
        <f t="shared" si="336"/>
        <v>0</v>
      </c>
      <c r="AF270" s="367">
        <f t="shared" si="337"/>
        <v>0</v>
      </c>
      <c r="AG270" s="363">
        <f t="shared" si="337"/>
        <v>0</v>
      </c>
      <c r="AH270" s="280">
        <f t="shared" si="338"/>
        <v>0</v>
      </c>
      <c r="AI270" s="367">
        <f t="shared" si="339"/>
        <v>191189.05</v>
      </c>
      <c r="AJ270" s="363">
        <f t="shared" si="339"/>
        <v>0</v>
      </c>
      <c r="AK270" s="280">
        <f t="shared" si="340"/>
        <v>191189.05</v>
      </c>
      <c r="AL270" s="368"/>
      <c r="AM270" s="367">
        <f t="shared" si="341"/>
        <v>0</v>
      </c>
      <c r="AN270" s="363">
        <f t="shared" si="341"/>
        <v>0</v>
      </c>
      <c r="AO270" s="280">
        <f t="shared" si="342"/>
        <v>0</v>
      </c>
      <c r="AP270" s="367">
        <f t="shared" si="343"/>
        <v>0</v>
      </c>
      <c r="AQ270" s="363">
        <f t="shared" si="343"/>
        <v>0</v>
      </c>
      <c r="AR270" s="280">
        <f t="shared" si="328"/>
        <v>0</v>
      </c>
      <c r="AS270" s="367">
        <f t="shared" si="329"/>
        <v>191189.05</v>
      </c>
      <c r="AT270" s="363">
        <f t="shared" si="329"/>
        <v>0</v>
      </c>
      <c r="AU270" s="280">
        <f t="shared" si="330"/>
        <v>191189.05</v>
      </c>
      <c r="AV270" s="1253">
        <f t="shared" si="331"/>
        <v>-80707.360000000001</v>
      </c>
      <c r="AW270" s="367">
        <f t="shared" ref="AW270:BT270" si="348">SUM(AW271:AW272)</f>
        <v>0</v>
      </c>
      <c r="AX270" s="363">
        <f t="shared" si="348"/>
        <v>0</v>
      </c>
      <c r="AY270" s="363">
        <f t="shared" si="348"/>
        <v>0</v>
      </c>
      <c r="AZ270" s="363">
        <f t="shared" si="348"/>
        <v>0</v>
      </c>
      <c r="BA270" s="363">
        <f t="shared" si="348"/>
        <v>0</v>
      </c>
      <c r="BB270" s="369">
        <f t="shared" si="348"/>
        <v>0</v>
      </c>
      <c r="BC270" s="367">
        <f t="shared" si="348"/>
        <v>0</v>
      </c>
      <c r="BD270" s="363">
        <f t="shared" si="348"/>
        <v>0</v>
      </c>
      <c r="BE270" s="363">
        <f t="shared" si="348"/>
        <v>0</v>
      </c>
      <c r="BF270" s="363">
        <f t="shared" si="348"/>
        <v>0</v>
      </c>
      <c r="BG270" s="363">
        <f t="shared" si="348"/>
        <v>0</v>
      </c>
      <c r="BH270" s="369">
        <f t="shared" si="348"/>
        <v>0</v>
      </c>
      <c r="BI270" s="367">
        <f t="shared" si="348"/>
        <v>0</v>
      </c>
      <c r="BJ270" s="363">
        <f t="shared" si="348"/>
        <v>0</v>
      </c>
      <c r="BK270" s="363">
        <f t="shared" si="348"/>
        <v>0</v>
      </c>
      <c r="BL270" s="363">
        <f t="shared" si="348"/>
        <v>0</v>
      </c>
      <c r="BM270" s="363">
        <f t="shared" si="348"/>
        <v>0</v>
      </c>
      <c r="BN270" s="369">
        <f t="shared" si="348"/>
        <v>0</v>
      </c>
      <c r="BO270" s="367">
        <f t="shared" si="348"/>
        <v>0</v>
      </c>
      <c r="BP270" s="363">
        <f t="shared" si="348"/>
        <v>0</v>
      </c>
      <c r="BQ270" s="363">
        <f t="shared" si="348"/>
        <v>0</v>
      </c>
      <c r="BR270" s="363">
        <f t="shared" si="348"/>
        <v>0</v>
      </c>
      <c r="BS270" s="363">
        <f t="shared" si="348"/>
        <v>191189.05</v>
      </c>
      <c r="BT270" s="280">
        <f t="shared" si="348"/>
        <v>0</v>
      </c>
    </row>
    <row r="271" spans="1:72" s="313" customFormat="1" ht="25.5" outlineLevel="1">
      <c r="A271" s="287">
        <v>254</v>
      </c>
      <c r="B271" s="933"/>
      <c r="C271" s="840"/>
      <c r="D271" s="841"/>
      <c r="E271" s="839"/>
      <c r="F271" s="821" t="s">
        <v>23</v>
      </c>
      <c r="G271" s="314">
        <v>2</v>
      </c>
      <c r="H271" s="739" t="s">
        <v>71</v>
      </c>
      <c r="I271" s="739">
        <v>244</v>
      </c>
      <c r="J271" s="740">
        <v>223</v>
      </c>
      <c r="K271" s="533" t="s">
        <v>354</v>
      </c>
      <c r="L271" s="1025">
        <v>105957.02</v>
      </c>
      <c r="M271" s="318"/>
      <c r="N271" s="318">
        <v>-10000</v>
      </c>
      <c r="O271" s="1052">
        <f t="shared" si="332"/>
        <v>95957.02</v>
      </c>
      <c r="P271" s="570"/>
      <c r="Q271" s="336">
        <v>64258.51</v>
      </c>
      <c r="R271" s="559"/>
      <c r="S271" s="541">
        <v>85556.64</v>
      </c>
      <c r="T271" s="559"/>
      <c r="U271" s="335"/>
      <c r="V271" s="596" t="s">
        <v>444</v>
      </c>
      <c r="W271" s="597" t="s">
        <v>875</v>
      </c>
      <c r="X271" s="597" t="s">
        <v>381</v>
      </c>
      <c r="Z271" s="336">
        <f t="shared" si="333"/>
        <v>0</v>
      </c>
      <c r="AA271" s="337">
        <f t="shared" si="333"/>
        <v>0</v>
      </c>
      <c r="AB271" s="338">
        <f t="shared" si="334"/>
        <v>0</v>
      </c>
      <c r="AC271" s="336">
        <f t="shared" si="335"/>
        <v>0</v>
      </c>
      <c r="AD271" s="337">
        <f t="shared" si="335"/>
        <v>0</v>
      </c>
      <c r="AE271" s="338">
        <f t="shared" si="336"/>
        <v>0</v>
      </c>
      <c r="AF271" s="336">
        <f t="shared" si="337"/>
        <v>0</v>
      </c>
      <c r="AG271" s="337">
        <f t="shared" si="337"/>
        <v>0</v>
      </c>
      <c r="AH271" s="338">
        <f t="shared" si="338"/>
        <v>0</v>
      </c>
      <c r="AI271" s="336">
        <f t="shared" si="339"/>
        <v>186664.38</v>
      </c>
      <c r="AJ271" s="337">
        <f t="shared" si="339"/>
        <v>0</v>
      </c>
      <c r="AK271" s="338">
        <f t="shared" si="340"/>
        <v>186664.38</v>
      </c>
      <c r="AL271" s="342"/>
      <c r="AM271" s="336">
        <f t="shared" si="341"/>
        <v>0</v>
      </c>
      <c r="AN271" s="339">
        <f t="shared" si="341"/>
        <v>0</v>
      </c>
      <c r="AO271" s="340">
        <f t="shared" si="342"/>
        <v>0</v>
      </c>
      <c r="AP271" s="336">
        <f t="shared" si="343"/>
        <v>0</v>
      </c>
      <c r="AQ271" s="339">
        <f t="shared" si="343"/>
        <v>0</v>
      </c>
      <c r="AR271" s="340">
        <f t="shared" si="328"/>
        <v>0</v>
      </c>
      <c r="AS271" s="341">
        <f t="shared" si="329"/>
        <v>186664.38</v>
      </c>
      <c r="AT271" s="339">
        <f t="shared" si="329"/>
        <v>0</v>
      </c>
      <c r="AU271" s="340">
        <f t="shared" si="330"/>
        <v>186664.38</v>
      </c>
      <c r="AV271" s="1255">
        <f t="shared" si="331"/>
        <v>-80707.360000000001</v>
      </c>
      <c r="AW271" s="343"/>
      <c r="AX271" s="344"/>
      <c r="AY271" s="345"/>
      <c r="AZ271" s="344"/>
      <c r="BA271" s="345"/>
      <c r="BB271" s="346"/>
      <c r="BC271" s="347"/>
      <c r="BD271" s="348"/>
      <c r="BE271" s="349"/>
      <c r="BF271" s="348"/>
      <c r="BG271" s="349"/>
      <c r="BH271" s="350"/>
      <c r="BI271" s="351"/>
      <c r="BJ271" s="352"/>
      <c r="BK271" s="337"/>
      <c r="BL271" s="352"/>
      <c r="BM271" s="337"/>
      <c r="BN271" s="353"/>
      <c r="BO271" s="354"/>
      <c r="BP271" s="355"/>
      <c r="BQ271" s="356"/>
      <c r="BR271" s="355"/>
      <c r="BS271" s="356">
        <v>186664.38</v>
      </c>
      <c r="BT271" s="357"/>
    </row>
    <row r="272" spans="1:72" s="313" customFormat="1" ht="25.5" outlineLevel="1">
      <c r="A272" s="287">
        <v>255</v>
      </c>
      <c r="B272" s="933"/>
      <c r="C272" s="840"/>
      <c r="D272" s="841"/>
      <c r="E272" s="839"/>
      <c r="F272" s="821" t="s">
        <v>23</v>
      </c>
      <c r="G272" s="314">
        <v>2</v>
      </c>
      <c r="H272" s="739" t="s">
        <v>71</v>
      </c>
      <c r="I272" s="739">
        <v>244</v>
      </c>
      <c r="J272" s="740">
        <v>223</v>
      </c>
      <c r="K272" s="533" t="s">
        <v>252</v>
      </c>
      <c r="L272" s="1025">
        <v>4524.67</v>
      </c>
      <c r="M272" s="318"/>
      <c r="N272" s="318"/>
      <c r="O272" s="1052">
        <f t="shared" si="332"/>
        <v>4524.67</v>
      </c>
      <c r="P272" s="570"/>
      <c r="Q272" s="336">
        <v>4499.1400000000003</v>
      </c>
      <c r="R272" s="559"/>
      <c r="S272" s="541">
        <v>4530.1000000000004</v>
      </c>
      <c r="T272" s="559"/>
      <c r="U272" s="335"/>
      <c r="V272" s="596" t="s">
        <v>444</v>
      </c>
      <c r="W272" s="597" t="s">
        <v>875</v>
      </c>
      <c r="X272" s="597" t="s">
        <v>381</v>
      </c>
      <c r="Z272" s="336">
        <f t="shared" si="333"/>
        <v>0</v>
      </c>
      <c r="AA272" s="337">
        <f t="shared" si="333"/>
        <v>0</v>
      </c>
      <c r="AB272" s="338">
        <f t="shared" si="334"/>
        <v>0</v>
      </c>
      <c r="AC272" s="336">
        <f t="shared" si="335"/>
        <v>0</v>
      </c>
      <c r="AD272" s="337">
        <f t="shared" si="335"/>
        <v>0</v>
      </c>
      <c r="AE272" s="338">
        <f t="shared" si="336"/>
        <v>0</v>
      </c>
      <c r="AF272" s="336">
        <f t="shared" si="337"/>
        <v>0</v>
      </c>
      <c r="AG272" s="337">
        <f t="shared" si="337"/>
        <v>0</v>
      </c>
      <c r="AH272" s="338">
        <f t="shared" si="338"/>
        <v>0</v>
      </c>
      <c r="AI272" s="336">
        <f t="shared" si="339"/>
        <v>4524.67</v>
      </c>
      <c r="AJ272" s="337">
        <f t="shared" si="339"/>
        <v>0</v>
      </c>
      <c r="AK272" s="338">
        <f t="shared" si="340"/>
        <v>4524.67</v>
      </c>
      <c r="AL272" s="342"/>
      <c r="AM272" s="336">
        <f t="shared" si="341"/>
        <v>0</v>
      </c>
      <c r="AN272" s="339">
        <f t="shared" si="341"/>
        <v>0</v>
      </c>
      <c r="AO272" s="340">
        <f t="shared" si="342"/>
        <v>0</v>
      </c>
      <c r="AP272" s="336">
        <f t="shared" si="343"/>
        <v>0</v>
      </c>
      <c r="AQ272" s="339">
        <f t="shared" si="343"/>
        <v>0</v>
      </c>
      <c r="AR272" s="340">
        <f t="shared" si="328"/>
        <v>0</v>
      </c>
      <c r="AS272" s="341">
        <f t="shared" si="329"/>
        <v>4524.67</v>
      </c>
      <c r="AT272" s="339">
        <f t="shared" si="329"/>
        <v>0</v>
      </c>
      <c r="AU272" s="340">
        <f t="shared" si="330"/>
        <v>4524.67</v>
      </c>
      <c r="AV272" s="1255">
        <f t="shared" si="331"/>
        <v>0</v>
      </c>
      <c r="AW272" s="343"/>
      <c r="AX272" s="344"/>
      <c r="AY272" s="345"/>
      <c r="AZ272" s="344"/>
      <c r="BA272" s="345"/>
      <c r="BB272" s="346"/>
      <c r="BC272" s="347"/>
      <c r="BD272" s="348"/>
      <c r="BE272" s="349"/>
      <c r="BF272" s="348"/>
      <c r="BG272" s="349"/>
      <c r="BH272" s="350"/>
      <c r="BI272" s="351"/>
      <c r="BJ272" s="352"/>
      <c r="BK272" s="337"/>
      <c r="BL272" s="352"/>
      <c r="BM272" s="337"/>
      <c r="BN272" s="353"/>
      <c r="BO272" s="354"/>
      <c r="BP272" s="355"/>
      <c r="BQ272" s="356"/>
      <c r="BR272" s="355"/>
      <c r="BS272" s="356">
        <v>4524.67</v>
      </c>
      <c r="BT272" s="357"/>
    </row>
    <row r="273" spans="1:72" s="358" customFormat="1" ht="31.5" customHeight="1">
      <c r="A273" s="287">
        <v>256</v>
      </c>
      <c r="B273" s="933"/>
      <c r="C273" s="850" t="s">
        <v>377</v>
      </c>
      <c r="D273" s="838"/>
      <c r="E273" s="836" t="s">
        <v>201</v>
      </c>
      <c r="F273" s="820" t="s">
        <v>23</v>
      </c>
      <c r="G273" s="360">
        <v>2</v>
      </c>
      <c r="H273" s="360" t="s">
        <v>71</v>
      </c>
      <c r="I273" s="360">
        <v>244</v>
      </c>
      <c r="J273" s="361">
        <v>224</v>
      </c>
      <c r="K273" s="532" t="s">
        <v>151</v>
      </c>
      <c r="L273" s="1023">
        <f>L274</f>
        <v>0</v>
      </c>
      <c r="M273" s="363"/>
      <c r="N273" s="363"/>
      <c r="O273" s="1051">
        <f t="shared" si="332"/>
        <v>0</v>
      </c>
      <c r="P273" s="571"/>
      <c r="Q273" s="367">
        <f>Q274</f>
        <v>0</v>
      </c>
      <c r="R273" s="557"/>
      <c r="S273" s="367">
        <f>S274</f>
        <v>0</v>
      </c>
      <c r="T273" s="557"/>
      <c r="U273" s="365"/>
      <c r="V273" s="366"/>
      <c r="W273" s="366"/>
      <c r="X273" s="366"/>
      <c r="Z273" s="367">
        <f t="shared" si="333"/>
        <v>0</v>
      </c>
      <c r="AA273" s="363">
        <f t="shared" si="333"/>
        <v>0</v>
      </c>
      <c r="AB273" s="280">
        <f t="shared" si="334"/>
        <v>0</v>
      </c>
      <c r="AC273" s="367">
        <f t="shared" si="335"/>
        <v>0</v>
      </c>
      <c r="AD273" s="363">
        <f t="shared" si="335"/>
        <v>0</v>
      </c>
      <c r="AE273" s="280">
        <f t="shared" si="336"/>
        <v>0</v>
      </c>
      <c r="AF273" s="367">
        <f t="shared" si="337"/>
        <v>0</v>
      </c>
      <c r="AG273" s="363">
        <f t="shared" si="337"/>
        <v>0</v>
      </c>
      <c r="AH273" s="280">
        <f t="shared" si="338"/>
        <v>0</v>
      </c>
      <c r="AI273" s="367">
        <f t="shared" si="339"/>
        <v>0</v>
      </c>
      <c r="AJ273" s="363">
        <f t="shared" si="339"/>
        <v>0</v>
      </c>
      <c r="AK273" s="280">
        <f t="shared" si="340"/>
        <v>0</v>
      </c>
      <c r="AL273" s="368"/>
      <c r="AM273" s="367">
        <f t="shared" si="341"/>
        <v>0</v>
      </c>
      <c r="AN273" s="363">
        <f t="shared" si="341"/>
        <v>0</v>
      </c>
      <c r="AO273" s="280">
        <f t="shared" si="342"/>
        <v>0</v>
      </c>
      <c r="AP273" s="367">
        <f t="shared" si="343"/>
        <v>0</v>
      </c>
      <c r="AQ273" s="363">
        <f t="shared" si="343"/>
        <v>0</v>
      </c>
      <c r="AR273" s="280">
        <f t="shared" si="328"/>
        <v>0</v>
      </c>
      <c r="AS273" s="367">
        <f t="shared" si="329"/>
        <v>0</v>
      </c>
      <c r="AT273" s="363">
        <f t="shared" si="329"/>
        <v>0</v>
      </c>
      <c r="AU273" s="280">
        <f t="shared" si="330"/>
        <v>0</v>
      </c>
      <c r="AV273" s="1253">
        <f t="shared" si="331"/>
        <v>0</v>
      </c>
      <c r="AW273" s="367">
        <f t="shared" ref="AW273:BT273" si="349">AW274</f>
        <v>0</v>
      </c>
      <c r="AX273" s="363">
        <f t="shared" si="349"/>
        <v>0</v>
      </c>
      <c r="AY273" s="363">
        <f t="shared" si="349"/>
        <v>0</v>
      </c>
      <c r="AZ273" s="363">
        <f t="shared" si="349"/>
        <v>0</v>
      </c>
      <c r="BA273" s="363">
        <f t="shared" si="349"/>
        <v>0</v>
      </c>
      <c r="BB273" s="369">
        <f t="shared" si="349"/>
        <v>0</v>
      </c>
      <c r="BC273" s="367">
        <f t="shared" si="349"/>
        <v>0</v>
      </c>
      <c r="BD273" s="363">
        <f t="shared" si="349"/>
        <v>0</v>
      </c>
      <c r="BE273" s="363">
        <f t="shared" si="349"/>
        <v>0</v>
      </c>
      <c r="BF273" s="363">
        <f t="shared" si="349"/>
        <v>0</v>
      </c>
      <c r="BG273" s="363">
        <f t="shared" si="349"/>
        <v>0</v>
      </c>
      <c r="BH273" s="369">
        <f t="shared" si="349"/>
        <v>0</v>
      </c>
      <c r="BI273" s="367">
        <f t="shared" si="349"/>
        <v>0</v>
      </c>
      <c r="BJ273" s="363">
        <f t="shared" si="349"/>
        <v>0</v>
      </c>
      <c r="BK273" s="363">
        <f t="shared" si="349"/>
        <v>0</v>
      </c>
      <c r="BL273" s="363">
        <f t="shared" si="349"/>
        <v>0</v>
      </c>
      <c r="BM273" s="363">
        <f t="shared" si="349"/>
        <v>0</v>
      </c>
      <c r="BN273" s="369">
        <f t="shared" si="349"/>
        <v>0</v>
      </c>
      <c r="BO273" s="367">
        <f t="shared" si="349"/>
        <v>0</v>
      </c>
      <c r="BP273" s="363">
        <f t="shared" si="349"/>
        <v>0</v>
      </c>
      <c r="BQ273" s="363">
        <f t="shared" si="349"/>
        <v>0</v>
      </c>
      <c r="BR273" s="363">
        <f t="shared" si="349"/>
        <v>0</v>
      </c>
      <c r="BS273" s="363">
        <f t="shared" si="349"/>
        <v>0</v>
      </c>
      <c r="BT273" s="280">
        <f t="shared" si="349"/>
        <v>0</v>
      </c>
    </row>
    <row r="274" spans="1:72" s="313" customFormat="1" ht="38.25" outlineLevel="1">
      <c r="A274" s="287">
        <v>257</v>
      </c>
      <c r="B274" s="933"/>
      <c r="C274" s="840"/>
      <c r="D274" s="841"/>
      <c r="E274" s="839"/>
      <c r="F274" s="821" t="s">
        <v>23</v>
      </c>
      <c r="G274" s="314">
        <v>2</v>
      </c>
      <c r="H274" s="739" t="s">
        <v>71</v>
      </c>
      <c r="I274" s="739">
        <v>244</v>
      </c>
      <c r="J274" s="740">
        <v>224</v>
      </c>
      <c r="K274" s="533" t="s">
        <v>264</v>
      </c>
      <c r="L274" s="1044">
        <v>0</v>
      </c>
      <c r="M274" s="318"/>
      <c r="N274" s="318"/>
      <c r="O274" s="1052">
        <f t="shared" si="332"/>
        <v>0</v>
      </c>
      <c r="P274" s="570"/>
      <c r="Q274" s="336">
        <v>0</v>
      </c>
      <c r="R274" s="559"/>
      <c r="S274" s="541">
        <v>0</v>
      </c>
      <c r="T274" s="559"/>
      <c r="U274" s="335"/>
      <c r="V274" s="320" t="s">
        <v>265</v>
      </c>
      <c r="W274" s="320"/>
      <c r="X274" s="320"/>
      <c r="Z274" s="336">
        <f t="shared" si="333"/>
        <v>0</v>
      </c>
      <c r="AA274" s="337">
        <f t="shared" si="333"/>
        <v>0</v>
      </c>
      <c r="AB274" s="338">
        <f t="shared" si="334"/>
        <v>0</v>
      </c>
      <c r="AC274" s="336">
        <f t="shared" si="335"/>
        <v>0</v>
      </c>
      <c r="AD274" s="337">
        <f t="shared" si="335"/>
        <v>0</v>
      </c>
      <c r="AE274" s="338">
        <f t="shared" si="336"/>
        <v>0</v>
      </c>
      <c r="AF274" s="336">
        <f t="shared" si="337"/>
        <v>0</v>
      </c>
      <c r="AG274" s="337">
        <f t="shared" si="337"/>
        <v>0</v>
      </c>
      <c r="AH274" s="338">
        <f t="shared" si="338"/>
        <v>0</v>
      </c>
      <c r="AI274" s="336">
        <f t="shared" si="339"/>
        <v>0</v>
      </c>
      <c r="AJ274" s="337">
        <f t="shared" si="339"/>
        <v>0</v>
      </c>
      <c r="AK274" s="338">
        <f t="shared" si="340"/>
        <v>0</v>
      </c>
      <c r="AL274" s="342"/>
      <c r="AM274" s="336">
        <f t="shared" si="341"/>
        <v>0</v>
      </c>
      <c r="AN274" s="339">
        <f t="shared" si="341"/>
        <v>0</v>
      </c>
      <c r="AO274" s="340">
        <f t="shared" si="342"/>
        <v>0</v>
      </c>
      <c r="AP274" s="336">
        <f t="shared" si="343"/>
        <v>0</v>
      </c>
      <c r="AQ274" s="339">
        <f t="shared" si="343"/>
        <v>0</v>
      </c>
      <c r="AR274" s="340">
        <f t="shared" si="328"/>
        <v>0</v>
      </c>
      <c r="AS274" s="341">
        <f t="shared" si="329"/>
        <v>0</v>
      </c>
      <c r="AT274" s="339">
        <f t="shared" si="329"/>
        <v>0</v>
      </c>
      <c r="AU274" s="340">
        <f t="shared" si="330"/>
        <v>0</v>
      </c>
      <c r="AV274" s="1255">
        <f t="shared" si="331"/>
        <v>0</v>
      </c>
      <c r="AW274" s="343"/>
      <c r="AX274" s="344"/>
      <c r="AY274" s="345"/>
      <c r="AZ274" s="344"/>
      <c r="BA274" s="345"/>
      <c r="BB274" s="346"/>
      <c r="BC274" s="347"/>
      <c r="BD274" s="348"/>
      <c r="BE274" s="349"/>
      <c r="BF274" s="348"/>
      <c r="BG274" s="349"/>
      <c r="BH274" s="350"/>
      <c r="BI274" s="351"/>
      <c r="BJ274" s="352"/>
      <c r="BK274" s="337"/>
      <c r="BL274" s="352"/>
      <c r="BM274" s="337"/>
      <c r="BN274" s="353"/>
      <c r="BO274" s="354"/>
      <c r="BP274" s="355"/>
      <c r="BQ274" s="356"/>
      <c r="BR274" s="355"/>
      <c r="BS274" s="356"/>
      <c r="BT274" s="357"/>
    </row>
    <row r="275" spans="1:72" s="358" customFormat="1" ht="31.5" customHeight="1">
      <c r="A275" s="287">
        <v>258</v>
      </c>
      <c r="B275" s="941"/>
      <c r="C275" s="850" t="s">
        <v>377</v>
      </c>
      <c r="D275" s="853" t="s">
        <v>207</v>
      </c>
      <c r="E275" s="836" t="s">
        <v>201</v>
      </c>
      <c r="F275" s="820" t="s">
        <v>23</v>
      </c>
      <c r="G275" s="360">
        <v>2</v>
      </c>
      <c r="H275" s="360" t="s">
        <v>71</v>
      </c>
      <c r="I275" s="360">
        <v>244</v>
      </c>
      <c r="J275" s="361">
        <v>225</v>
      </c>
      <c r="K275" s="532" t="s">
        <v>149</v>
      </c>
      <c r="L275" s="1023">
        <f>SUM(L276:L280)</f>
        <v>109000</v>
      </c>
      <c r="M275" s="1292"/>
      <c r="N275" s="363">
        <f>SUM(N276:N280)</f>
        <v>0</v>
      </c>
      <c r="O275" s="1051">
        <f t="shared" si="332"/>
        <v>109000</v>
      </c>
      <c r="P275" s="571"/>
      <c r="Q275" s="367">
        <f>SUM(Q276:Q280)</f>
        <v>0</v>
      </c>
      <c r="R275" s="557">
        <f>SUM(R276:R280)</f>
        <v>0</v>
      </c>
      <c r="S275" s="367">
        <f>SUM(S276:S280)</f>
        <v>0</v>
      </c>
      <c r="T275" s="557"/>
      <c r="U275" s="365"/>
      <c r="V275" s="366"/>
      <c r="W275" s="366"/>
      <c r="X275" s="366">
        <f>1-X58</f>
        <v>0.17</v>
      </c>
      <c r="Z275" s="367">
        <f t="shared" ref="Z275:AA296" si="350">AW275+AY275+BA275</f>
        <v>5550</v>
      </c>
      <c r="AA275" s="363">
        <f t="shared" si="350"/>
        <v>1050</v>
      </c>
      <c r="AB275" s="280">
        <f t="shared" si="334"/>
        <v>4500</v>
      </c>
      <c r="AC275" s="367">
        <f t="shared" ref="AC275:AD296" si="351">BC275+BE275+BG275</f>
        <v>14350</v>
      </c>
      <c r="AD275" s="363">
        <f t="shared" si="351"/>
        <v>2850</v>
      </c>
      <c r="AE275" s="280">
        <f t="shared" si="336"/>
        <v>11500</v>
      </c>
      <c r="AF275" s="367">
        <f t="shared" ref="AF275:AG296" si="352">BI275+BK275+BM275</f>
        <v>16700</v>
      </c>
      <c r="AG275" s="363">
        <f t="shared" si="352"/>
        <v>16700</v>
      </c>
      <c r="AH275" s="280">
        <f t="shared" si="338"/>
        <v>0</v>
      </c>
      <c r="AI275" s="367">
        <f t="shared" ref="AI275:AJ296" si="353">BO275+BQ275+BS275</f>
        <v>41600</v>
      </c>
      <c r="AJ275" s="363">
        <f t="shared" si="353"/>
        <v>8000</v>
      </c>
      <c r="AK275" s="280">
        <f t="shared" si="340"/>
        <v>33600</v>
      </c>
      <c r="AL275" s="368"/>
      <c r="AM275" s="367">
        <f t="shared" ref="AM275:AN296" si="354">Z275+AC275</f>
        <v>19900</v>
      </c>
      <c r="AN275" s="363">
        <f t="shared" si="354"/>
        <v>3900</v>
      </c>
      <c r="AO275" s="280">
        <f t="shared" si="342"/>
        <v>16000</v>
      </c>
      <c r="AP275" s="367">
        <f t="shared" ref="AP275:AQ296" si="355">Z275+AC275+AF275</f>
        <v>36600</v>
      </c>
      <c r="AQ275" s="363">
        <f t="shared" si="355"/>
        <v>20600</v>
      </c>
      <c r="AR275" s="280">
        <f t="shared" si="328"/>
        <v>16000</v>
      </c>
      <c r="AS275" s="367">
        <f t="shared" ref="AS275:AT296" si="356">Z275+AC275+AF275+AI275</f>
        <v>78200</v>
      </c>
      <c r="AT275" s="363">
        <f t="shared" si="356"/>
        <v>28600</v>
      </c>
      <c r="AU275" s="280">
        <f t="shared" si="330"/>
        <v>49600</v>
      </c>
      <c r="AV275" s="1253">
        <f t="shared" si="331"/>
        <v>30800</v>
      </c>
      <c r="AW275" s="367">
        <f t="shared" ref="AW275:BS275" si="357">SUM(AW276:AW280)</f>
        <v>0</v>
      </c>
      <c r="AX275" s="363">
        <f t="shared" si="357"/>
        <v>0</v>
      </c>
      <c r="AY275" s="363">
        <f t="shared" si="357"/>
        <v>700</v>
      </c>
      <c r="AZ275" s="363">
        <f t="shared" si="357"/>
        <v>700</v>
      </c>
      <c r="BA275" s="363">
        <f t="shared" si="357"/>
        <v>4850</v>
      </c>
      <c r="BB275" s="369">
        <f t="shared" si="357"/>
        <v>350</v>
      </c>
      <c r="BC275" s="367">
        <f t="shared" si="357"/>
        <v>12050</v>
      </c>
      <c r="BD275" s="363">
        <f t="shared" si="357"/>
        <v>2550</v>
      </c>
      <c r="BE275" s="363">
        <f t="shared" si="357"/>
        <v>2300</v>
      </c>
      <c r="BF275" s="363">
        <f t="shared" si="357"/>
        <v>300</v>
      </c>
      <c r="BG275" s="363">
        <f t="shared" si="357"/>
        <v>0</v>
      </c>
      <c r="BH275" s="369">
        <f t="shared" si="357"/>
        <v>0</v>
      </c>
      <c r="BI275" s="367">
        <f t="shared" si="357"/>
        <v>2150</v>
      </c>
      <c r="BJ275" s="363">
        <f t="shared" si="357"/>
        <v>2150</v>
      </c>
      <c r="BK275" s="363">
        <f t="shared" si="357"/>
        <v>7200</v>
      </c>
      <c r="BL275" s="363">
        <f t="shared" si="357"/>
        <v>7200</v>
      </c>
      <c r="BM275" s="363">
        <f t="shared" si="357"/>
        <v>7350</v>
      </c>
      <c r="BN275" s="369">
        <f t="shared" si="357"/>
        <v>7350</v>
      </c>
      <c r="BO275" s="367">
        <f t="shared" si="357"/>
        <v>8000</v>
      </c>
      <c r="BP275" s="363">
        <f t="shared" si="357"/>
        <v>8000</v>
      </c>
      <c r="BQ275" s="363">
        <f t="shared" si="357"/>
        <v>5000</v>
      </c>
      <c r="BR275" s="363">
        <f t="shared" si="357"/>
        <v>0</v>
      </c>
      <c r="BS275" s="363">
        <f t="shared" si="357"/>
        <v>28600</v>
      </c>
      <c r="BT275" s="280">
        <f>SUM(BT276:BT282)</f>
        <v>0</v>
      </c>
    </row>
    <row r="276" spans="1:72" s="313" customFormat="1" ht="76.5" outlineLevel="1">
      <c r="A276" s="287">
        <v>259</v>
      </c>
      <c r="B276" s="941"/>
      <c r="C276" s="840"/>
      <c r="D276" s="853" t="s">
        <v>207</v>
      </c>
      <c r="E276" s="839"/>
      <c r="F276" s="821" t="s">
        <v>23</v>
      </c>
      <c r="G276" s="314">
        <v>2</v>
      </c>
      <c r="H276" s="739" t="s">
        <v>71</v>
      </c>
      <c r="I276" s="739">
        <v>244</v>
      </c>
      <c r="J276" s="740">
        <v>225</v>
      </c>
      <c r="K276" s="317" t="s">
        <v>263</v>
      </c>
      <c r="L276" s="1044">
        <f>50000+5000</f>
        <v>55000</v>
      </c>
      <c r="M276" s="619"/>
      <c r="N276" s="1006"/>
      <c r="O276" s="1052">
        <f t="shared" si="332"/>
        <v>55000</v>
      </c>
      <c r="P276" s="570"/>
      <c r="Q276" s="336">
        <v>0</v>
      </c>
      <c r="R276" s="559"/>
      <c r="S276" s="541">
        <v>0</v>
      </c>
      <c r="T276" s="559"/>
      <c r="U276" s="335"/>
      <c r="V276" s="596" t="s">
        <v>599</v>
      </c>
      <c r="W276" s="596" t="s">
        <v>856</v>
      </c>
      <c r="X276" s="596" t="s">
        <v>857</v>
      </c>
      <c r="Z276" s="336">
        <f t="shared" si="350"/>
        <v>0</v>
      </c>
      <c r="AA276" s="337">
        <f t="shared" si="350"/>
        <v>0</v>
      </c>
      <c r="AB276" s="338">
        <f>Z276-AA276</f>
        <v>0</v>
      </c>
      <c r="AC276" s="336">
        <f t="shared" si="351"/>
        <v>0</v>
      </c>
      <c r="AD276" s="337">
        <f t="shared" si="351"/>
        <v>0</v>
      </c>
      <c r="AE276" s="338">
        <f>AC276-AD276</f>
        <v>0</v>
      </c>
      <c r="AF276" s="336">
        <f t="shared" si="352"/>
        <v>14200</v>
      </c>
      <c r="AG276" s="337">
        <f t="shared" si="352"/>
        <v>14200</v>
      </c>
      <c r="AH276" s="338">
        <f>AF276-AG276</f>
        <v>0</v>
      </c>
      <c r="AI276" s="336">
        <f t="shared" si="353"/>
        <v>40800</v>
      </c>
      <c r="AJ276" s="337">
        <f t="shared" si="353"/>
        <v>7200</v>
      </c>
      <c r="AK276" s="338">
        <f>AI276-AJ276</f>
        <v>33600</v>
      </c>
      <c r="AL276" s="342"/>
      <c r="AM276" s="336">
        <f t="shared" si="354"/>
        <v>0</v>
      </c>
      <c r="AN276" s="339">
        <f t="shared" si="354"/>
        <v>0</v>
      </c>
      <c r="AO276" s="340">
        <f>AM276-AN276</f>
        <v>0</v>
      </c>
      <c r="AP276" s="336">
        <f t="shared" si="355"/>
        <v>14200</v>
      </c>
      <c r="AQ276" s="339">
        <f t="shared" si="355"/>
        <v>14200</v>
      </c>
      <c r="AR276" s="340">
        <f>AP276-AQ276</f>
        <v>0</v>
      </c>
      <c r="AS276" s="341">
        <f t="shared" si="356"/>
        <v>55000</v>
      </c>
      <c r="AT276" s="339">
        <f t="shared" si="356"/>
        <v>21400</v>
      </c>
      <c r="AU276" s="340">
        <f>AS276-AT276</f>
        <v>33600</v>
      </c>
      <c r="AV276" s="1258">
        <f t="shared" si="331"/>
        <v>0</v>
      </c>
      <c r="AW276" s="343"/>
      <c r="AX276" s="344"/>
      <c r="AY276" s="345"/>
      <c r="AZ276" s="344"/>
      <c r="BA276" s="345"/>
      <c r="BB276" s="346"/>
      <c r="BC276" s="347"/>
      <c r="BD276" s="348"/>
      <c r="BE276" s="349"/>
      <c r="BF276" s="348"/>
      <c r="BG276" s="349"/>
      <c r="BH276" s="350"/>
      <c r="BI276" s="351"/>
      <c r="BJ276" s="352"/>
      <c r="BK276" s="1230">
        <v>7200</v>
      </c>
      <c r="BL276" s="1225">
        <v>7200</v>
      </c>
      <c r="BM276" s="1230">
        <v>7000</v>
      </c>
      <c r="BN276" s="1293">
        <v>7000</v>
      </c>
      <c r="BO276" s="1138">
        <v>7200</v>
      </c>
      <c r="BP276" s="355">
        <v>7200</v>
      </c>
      <c r="BQ276" s="356">
        <v>5000</v>
      </c>
      <c r="BR276" s="355"/>
      <c r="BS276" s="356">
        <v>28600</v>
      </c>
      <c r="BT276" s="357"/>
    </row>
    <row r="277" spans="1:72" s="313" customFormat="1" ht="51">
      <c r="A277" s="287">
        <v>260</v>
      </c>
      <c r="B277" s="1145"/>
      <c r="C277" s="840"/>
      <c r="D277" s="853" t="s">
        <v>207</v>
      </c>
      <c r="E277" s="839"/>
      <c r="F277" s="821" t="s">
        <v>23</v>
      </c>
      <c r="G277" s="314">
        <v>2</v>
      </c>
      <c r="H277" s="739" t="s">
        <v>71</v>
      </c>
      <c r="I277" s="739">
        <v>244</v>
      </c>
      <c r="J277" s="740">
        <v>225</v>
      </c>
      <c r="K277" s="533" t="s">
        <v>700</v>
      </c>
      <c r="L277" s="1044">
        <v>4200</v>
      </c>
      <c r="M277" s="318"/>
      <c r="N277" s="1006"/>
      <c r="O277" s="1052">
        <f t="shared" si="332"/>
        <v>4200</v>
      </c>
      <c r="P277" s="329"/>
      <c r="Q277" s="319">
        <v>0</v>
      </c>
      <c r="R277" s="329"/>
      <c r="S277" s="319">
        <v>0</v>
      </c>
      <c r="T277" s="329"/>
      <c r="U277" s="335"/>
      <c r="V277" s="596" t="s">
        <v>254</v>
      </c>
      <c r="W277" s="596" t="s">
        <v>701</v>
      </c>
      <c r="X277" s="596" t="s">
        <v>702</v>
      </c>
      <c r="Z277" s="336">
        <f t="shared" si="350"/>
        <v>0</v>
      </c>
      <c r="AA277" s="337">
        <f t="shared" si="350"/>
        <v>0</v>
      </c>
      <c r="AB277" s="338">
        <f>Z277-AA277</f>
        <v>0</v>
      </c>
      <c r="AC277" s="336">
        <f t="shared" si="351"/>
        <v>4200</v>
      </c>
      <c r="AD277" s="337">
        <f t="shared" si="351"/>
        <v>0</v>
      </c>
      <c r="AE277" s="338">
        <f>AC277-AD277</f>
        <v>4200</v>
      </c>
      <c r="AF277" s="336">
        <f t="shared" si="352"/>
        <v>0</v>
      </c>
      <c r="AG277" s="337">
        <f t="shared" si="352"/>
        <v>0</v>
      </c>
      <c r="AH277" s="338">
        <f>AF277-AG277</f>
        <v>0</v>
      </c>
      <c r="AI277" s="336">
        <f t="shared" si="353"/>
        <v>0</v>
      </c>
      <c r="AJ277" s="337">
        <f t="shared" si="353"/>
        <v>0</v>
      </c>
      <c r="AK277" s="338">
        <f>AI277-AJ277</f>
        <v>0</v>
      </c>
      <c r="AL277" s="342"/>
      <c r="AM277" s="336">
        <f t="shared" si="354"/>
        <v>4200</v>
      </c>
      <c r="AN277" s="339">
        <f t="shared" si="354"/>
        <v>0</v>
      </c>
      <c r="AO277" s="340">
        <f>AM277-AN277</f>
        <v>4200</v>
      </c>
      <c r="AP277" s="336">
        <f t="shared" si="355"/>
        <v>4200</v>
      </c>
      <c r="AQ277" s="339">
        <f t="shared" si="355"/>
        <v>0</v>
      </c>
      <c r="AR277" s="340">
        <f>AP277-AQ277</f>
        <v>4200</v>
      </c>
      <c r="AS277" s="341">
        <f t="shared" si="356"/>
        <v>4200</v>
      </c>
      <c r="AT277" s="339">
        <f t="shared" si="356"/>
        <v>0</v>
      </c>
      <c r="AU277" s="340">
        <f>AS277-AT277</f>
        <v>4200</v>
      </c>
      <c r="AV277" s="1255"/>
      <c r="AW277" s="343"/>
      <c r="AX277" s="344"/>
      <c r="AY277" s="345"/>
      <c r="AZ277" s="344"/>
      <c r="BA277" s="345"/>
      <c r="BB277" s="346"/>
      <c r="BC277" s="347">
        <v>4200</v>
      </c>
      <c r="BD277" s="348"/>
      <c r="BE277" s="349"/>
      <c r="BF277" s="348"/>
      <c r="BG277" s="349"/>
      <c r="BH277" s="350"/>
      <c r="BI277" s="351"/>
      <c r="BJ277" s="352"/>
      <c r="BK277" s="337"/>
      <c r="BL277" s="352"/>
      <c r="BM277" s="337"/>
      <c r="BN277" s="353"/>
      <c r="BO277" s="354"/>
      <c r="BP277" s="355"/>
      <c r="BQ277" s="356"/>
      <c r="BR277" s="355"/>
      <c r="BS277" s="356"/>
      <c r="BT277" s="357"/>
    </row>
    <row r="278" spans="1:72" s="313" customFormat="1" ht="102">
      <c r="A278" s="287">
        <v>261</v>
      </c>
      <c r="B278" s="1146"/>
      <c r="C278" s="840"/>
      <c r="D278" s="853" t="s">
        <v>207</v>
      </c>
      <c r="E278" s="839"/>
      <c r="F278" s="821" t="s">
        <v>23</v>
      </c>
      <c r="G278" s="314">
        <v>2</v>
      </c>
      <c r="H278" s="739" t="s">
        <v>71</v>
      </c>
      <c r="I278" s="739">
        <v>244</v>
      </c>
      <c r="J278" s="740">
        <v>225</v>
      </c>
      <c r="K278" s="317" t="s">
        <v>757</v>
      </c>
      <c r="L278" s="1044">
        <v>7800</v>
      </c>
      <c r="M278" s="318"/>
      <c r="N278" s="1006"/>
      <c r="O278" s="1052">
        <f t="shared" si="332"/>
        <v>7800</v>
      </c>
      <c r="P278" s="329"/>
      <c r="Q278" s="319">
        <v>0</v>
      </c>
      <c r="R278" s="329"/>
      <c r="S278" s="319">
        <v>0</v>
      </c>
      <c r="T278" s="329"/>
      <c r="U278" s="335"/>
      <c r="V278" s="596" t="s">
        <v>591</v>
      </c>
      <c r="W278" s="596" t="s">
        <v>693</v>
      </c>
      <c r="X278" s="596" t="s">
        <v>694</v>
      </c>
      <c r="Z278" s="336">
        <f t="shared" si="350"/>
        <v>4500</v>
      </c>
      <c r="AA278" s="337">
        <f t="shared" si="350"/>
        <v>0</v>
      </c>
      <c r="AB278" s="338">
        <f>Z278-AA278</f>
        <v>4500</v>
      </c>
      <c r="AC278" s="336">
        <f t="shared" si="351"/>
        <v>3300</v>
      </c>
      <c r="AD278" s="337">
        <f t="shared" si="351"/>
        <v>0</v>
      </c>
      <c r="AE278" s="338">
        <f>AC278-AD278</f>
        <v>3300</v>
      </c>
      <c r="AF278" s="336">
        <f t="shared" si="352"/>
        <v>0</v>
      </c>
      <c r="AG278" s="337">
        <f t="shared" si="352"/>
        <v>0</v>
      </c>
      <c r="AH278" s="338">
        <f>AF278-AG278</f>
        <v>0</v>
      </c>
      <c r="AI278" s="336">
        <f t="shared" si="353"/>
        <v>0</v>
      </c>
      <c r="AJ278" s="337">
        <f t="shared" si="353"/>
        <v>0</v>
      </c>
      <c r="AK278" s="338">
        <f>AI278-AJ278</f>
        <v>0</v>
      </c>
      <c r="AL278" s="342"/>
      <c r="AM278" s="336">
        <f t="shared" si="354"/>
        <v>7800</v>
      </c>
      <c r="AN278" s="339">
        <f t="shared" si="354"/>
        <v>0</v>
      </c>
      <c r="AO278" s="340">
        <f>AM278-AN278</f>
        <v>7800</v>
      </c>
      <c r="AP278" s="336">
        <f t="shared" si="355"/>
        <v>7800</v>
      </c>
      <c r="AQ278" s="339">
        <f t="shared" si="355"/>
        <v>0</v>
      </c>
      <c r="AR278" s="340">
        <f>AP278-AQ278</f>
        <v>7800</v>
      </c>
      <c r="AS278" s="341">
        <f t="shared" si="356"/>
        <v>7800</v>
      </c>
      <c r="AT278" s="339">
        <f t="shared" si="356"/>
        <v>0</v>
      </c>
      <c r="AU278" s="340">
        <f>AS278-AT278</f>
        <v>7800</v>
      </c>
      <c r="AV278" s="1255"/>
      <c r="AW278" s="343"/>
      <c r="AX278" s="344"/>
      <c r="AY278" s="345"/>
      <c r="AZ278" s="344"/>
      <c r="BA278" s="345">
        <v>4500</v>
      </c>
      <c r="BB278" s="346"/>
      <c r="BC278" s="347">
        <v>3300</v>
      </c>
      <c r="BD278" s="348"/>
      <c r="BE278" s="349"/>
      <c r="BF278" s="348"/>
      <c r="BG278" s="349"/>
      <c r="BH278" s="350"/>
      <c r="BI278" s="351"/>
      <c r="BJ278" s="352"/>
      <c r="BK278" s="337"/>
      <c r="BL278" s="352"/>
      <c r="BM278" s="337"/>
      <c r="BN278" s="353"/>
      <c r="BO278" s="354"/>
      <c r="BP278" s="355"/>
      <c r="BQ278" s="356"/>
      <c r="BR278" s="355"/>
      <c r="BS278" s="356"/>
      <c r="BT278" s="357"/>
    </row>
    <row r="279" spans="1:72" s="313" customFormat="1" ht="38.25">
      <c r="A279" s="287">
        <v>262</v>
      </c>
      <c r="B279" s="1146"/>
      <c r="C279" s="840"/>
      <c r="D279" s="853" t="s">
        <v>207</v>
      </c>
      <c r="E279" s="839"/>
      <c r="F279" s="821" t="s">
        <v>23</v>
      </c>
      <c r="G279" s="314">
        <v>2</v>
      </c>
      <c r="H279" s="739" t="s">
        <v>71</v>
      </c>
      <c r="I279" s="739">
        <v>244</v>
      </c>
      <c r="J279" s="740">
        <v>225</v>
      </c>
      <c r="K279" s="317" t="s">
        <v>696</v>
      </c>
      <c r="L279" s="1044">
        <v>2000</v>
      </c>
      <c r="M279" s="318"/>
      <c r="N279" s="1006"/>
      <c r="O279" s="1052">
        <f t="shared" si="332"/>
        <v>2000</v>
      </c>
      <c r="P279" s="329"/>
      <c r="Q279" s="319">
        <v>0</v>
      </c>
      <c r="R279" s="329"/>
      <c r="S279" s="319">
        <v>0</v>
      </c>
      <c r="T279" s="329"/>
      <c r="U279" s="335"/>
      <c r="V279" s="596" t="s">
        <v>698</v>
      </c>
      <c r="W279" s="596" t="s">
        <v>697</v>
      </c>
      <c r="X279" s="320"/>
      <c r="Z279" s="336">
        <f t="shared" si="350"/>
        <v>0</v>
      </c>
      <c r="AA279" s="337">
        <f t="shared" si="350"/>
        <v>0</v>
      </c>
      <c r="AB279" s="338">
        <f>Z279-AA279</f>
        <v>0</v>
      </c>
      <c r="AC279" s="336">
        <f t="shared" si="351"/>
        <v>2000</v>
      </c>
      <c r="AD279" s="337">
        <f t="shared" si="351"/>
        <v>0</v>
      </c>
      <c r="AE279" s="338">
        <f>AC279-AD279</f>
        <v>2000</v>
      </c>
      <c r="AF279" s="336">
        <f t="shared" si="352"/>
        <v>0</v>
      </c>
      <c r="AG279" s="337">
        <f t="shared" si="352"/>
        <v>0</v>
      </c>
      <c r="AH279" s="338">
        <f>AF279-AG279</f>
        <v>0</v>
      </c>
      <c r="AI279" s="336">
        <f t="shared" si="353"/>
        <v>0</v>
      </c>
      <c r="AJ279" s="337">
        <f t="shared" si="353"/>
        <v>0</v>
      </c>
      <c r="AK279" s="338">
        <f>AI279-AJ279</f>
        <v>0</v>
      </c>
      <c r="AL279" s="342"/>
      <c r="AM279" s="336">
        <f t="shared" si="354"/>
        <v>2000</v>
      </c>
      <c r="AN279" s="339">
        <f t="shared" si="354"/>
        <v>0</v>
      </c>
      <c r="AO279" s="340">
        <f>AM279-AN279</f>
        <v>2000</v>
      </c>
      <c r="AP279" s="336">
        <f t="shared" si="355"/>
        <v>2000</v>
      </c>
      <c r="AQ279" s="339">
        <f t="shared" si="355"/>
        <v>0</v>
      </c>
      <c r="AR279" s="340">
        <f>AP279-AQ279</f>
        <v>2000</v>
      </c>
      <c r="AS279" s="341">
        <f t="shared" si="356"/>
        <v>2000</v>
      </c>
      <c r="AT279" s="339">
        <f t="shared" si="356"/>
        <v>0</v>
      </c>
      <c r="AU279" s="340">
        <f>AS279-AT279</f>
        <v>2000</v>
      </c>
      <c r="AV279" s="1255"/>
      <c r="AW279" s="343"/>
      <c r="AX279" s="344"/>
      <c r="AY279" s="345"/>
      <c r="AZ279" s="344"/>
      <c r="BA279" s="345"/>
      <c r="BB279" s="346"/>
      <c r="BC279" s="347">
        <v>2000</v>
      </c>
      <c r="BD279" s="348"/>
      <c r="BE279" s="349"/>
      <c r="BF279" s="348"/>
      <c r="BG279" s="349"/>
      <c r="BH279" s="350"/>
      <c r="BI279" s="351"/>
      <c r="BJ279" s="352"/>
      <c r="BK279" s="337"/>
      <c r="BL279" s="352"/>
      <c r="BM279" s="337"/>
      <c r="BN279" s="353"/>
      <c r="BO279" s="354"/>
      <c r="BP279" s="355"/>
      <c r="BQ279" s="356"/>
      <c r="BR279" s="355"/>
      <c r="BS279" s="356"/>
      <c r="BT279" s="357"/>
    </row>
    <row r="280" spans="1:72" s="313" customFormat="1" ht="25.5" outlineLevel="1">
      <c r="A280" s="287">
        <v>263</v>
      </c>
      <c r="B280" s="933"/>
      <c r="C280" s="840"/>
      <c r="D280" s="853" t="s">
        <v>207</v>
      </c>
      <c r="E280" s="839"/>
      <c r="F280" s="821" t="s">
        <v>23</v>
      </c>
      <c r="G280" s="314">
        <v>2</v>
      </c>
      <c r="H280" s="739" t="s">
        <v>71</v>
      </c>
      <c r="I280" s="739">
        <v>244</v>
      </c>
      <c r="J280" s="740">
        <v>225</v>
      </c>
      <c r="K280" s="317" t="s">
        <v>388</v>
      </c>
      <c r="L280" s="1044">
        <v>40000</v>
      </c>
      <c r="M280" s="318"/>
      <c r="N280" s="318"/>
      <c r="O280" s="1052">
        <f t="shared" si="332"/>
        <v>40000</v>
      </c>
      <c r="P280" s="570"/>
      <c r="Q280" s="336">
        <v>0</v>
      </c>
      <c r="R280" s="559"/>
      <c r="S280" s="541">
        <v>0</v>
      </c>
      <c r="T280" s="559"/>
      <c r="U280" s="335"/>
      <c r="V280" s="596" t="s">
        <v>390</v>
      </c>
      <c r="W280" s="596" t="s">
        <v>445</v>
      </c>
      <c r="X280" s="596" t="s">
        <v>446</v>
      </c>
      <c r="Z280" s="336">
        <f t="shared" si="350"/>
        <v>1050</v>
      </c>
      <c r="AA280" s="337">
        <f t="shared" si="350"/>
        <v>1050</v>
      </c>
      <c r="AB280" s="338">
        <f>Z280-AA280</f>
        <v>0</v>
      </c>
      <c r="AC280" s="336">
        <f t="shared" si="351"/>
        <v>4850</v>
      </c>
      <c r="AD280" s="337">
        <f t="shared" si="351"/>
        <v>2850</v>
      </c>
      <c r="AE280" s="338">
        <f>AC280-AD280</f>
        <v>2000</v>
      </c>
      <c r="AF280" s="336">
        <f t="shared" si="352"/>
        <v>2500</v>
      </c>
      <c r="AG280" s="337">
        <f t="shared" si="352"/>
        <v>2500</v>
      </c>
      <c r="AH280" s="338">
        <f>AF280-AG280</f>
        <v>0</v>
      </c>
      <c r="AI280" s="336">
        <f t="shared" si="353"/>
        <v>800</v>
      </c>
      <c r="AJ280" s="337">
        <f t="shared" si="353"/>
        <v>800</v>
      </c>
      <c r="AK280" s="338">
        <f>AI280-AJ280</f>
        <v>0</v>
      </c>
      <c r="AL280" s="342"/>
      <c r="AM280" s="336">
        <f t="shared" si="354"/>
        <v>5900</v>
      </c>
      <c r="AN280" s="339">
        <f t="shared" si="354"/>
        <v>3900</v>
      </c>
      <c r="AO280" s="340">
        <f>AM280-AN280</f>
        <v>2000</v>
      </c>
      <c r="AP280" s="336">
        <f t="shared" si="355"/>
        <v>8400</v>
      </c>
      <c r="AQ280" s="339">
        <f t="shared" si="355"/>
        <v>6400</v>
      </c>
      <c r="AR280" s="340">
        <f>AP280-AQ280</f>
        <v>2000</v>
      </c>
      <c r="AS280" s="341">
        <f t="shared" si="356"/>
        <v>9200</v>
      </c>
      <c r="AT280" s="339">
        <f t="shared" si="356"/>
        <v>7200</v>
      </c>
      <c r="AU280" s="340">
        <f>AS280-AT280</f>
        <v>2000</v>
      </c>
      <c r="AV280" s="1255">
        <f t="shared" ref="AV280:AV415" si="358">L280-AS280</f>
        <v>30800</v>
      </c>
      <c r="AW280" s="343"/>
      <c r="AX280" s="344"/>
      <c r="AY280" s="345">
        <v>700</v>
      </c>
      <c r="AZ280" s="344">
        <v>700</v>
      </c>
      <c r="BA280" s="345">
        <v>350</v>
      </c>
      <c r="BB280" s="346">
        <v>350</v>
      </c>
      <c r="BC280" s="347">
        <f>1700+850</f>
        <v>2550</v>
      </c>
      <c r="BD280" s="348">
        <v>2550</v>
      </c>
      <c r="BE280" s="1135">
        <f>850+800+650</f>
        <v>2300</v>
      </c>
      <c r="BF280" s="348">
        <v>300</v>
      </c>
      <c r="BG280" s="1135"/>
      <c r="BH280" s="350"/>
      <c r="BI280" s="351">
        <f>1150+1000</f>
        <v>2150</v>
      </c>
      <c r="BJ280" s="352">
        <f>1150+1000</f>
        <v>2150</v>
      </c>
      <c r="BK280" s="337">
        <v>0</v>
      </c>
      <c r="BL280" s="352"/>
      <c r="BM280" s="1137">
        <v>350</v>
      </c>
      <c r="BN280" s="353">
        <v>350</v>
      </c>
      <c r="BO280" s="354">
        <v>800</v>
      </c>
      <c r="BP280" s="355">
        <v>800</v>
      </c>
      <c r="BQ280" s="356"/>
      <c r="BR280" s="355"/>
      <c r="BS280" s="356"/>
      <c r="BT280" s="357"/>
    </row>
    <row r="281" spans="1:72" s="358" customFormat="1" ht="31.5" customHeight="1">
      <c r="A281" s="287">
        <v>264</v>
      </c>
      <c r="B281" s="933"/>
      <c r="C281" s="850" t="s">
        <v>377</v>
      </c>
      <c r="D281" s="853" t="s">
        <v>207</v>
      </c>
      <c r="E281" s="836" t="s">
        <v>201</v>
      </c>
      <c r="F281" s="820" t="s">
        <v>23</v>
      </c>
      <c r="G281" s="360">
        <v>2</v>
      </c>
      <c r="H281" s="360" t="s">
        <v>71</v>
      </c>
      <c r="I281" s="360">
        <v>244</v>
      </c>
      <c r="J281" s="361">
        <v>225</v>
      </c>
      <c r="K281" s="532" t="s">
        <v>148</v>
      </c>
      <c r="L281" s="1023">
        <f>SUM(L282)</f>
        <v>92466.04</v>
      </c>
      <c r="M281" s="363"/>
      <c r="N281" s="363"/>
      <c r="O281" s="1051">
        <f t="shared" si="332"/>
        <v>92466.04</v>
      </c>
      <c r="P281" s="571"/>
      <c r="Q281" s="367">
        <f t="shared" ref="Q281:S281" si="359">SUM(Q282)</f>
        <v>88868.2</v>
      </c>
      <c r="R281" s="557">
        <f t="shared" si="359"/>
        <v>0</v>
      </c>
      <c r="S281" s="367">
        <f t="shared" si="359"/>
        <v>88868.21</v>
      </c>
      <c r="T281" s="557"/>
      <c r="U281" s="365"/>
      <c r="V281" s="366"/>
      <c r="W281" s="366"/>
      <c r="X281" s="366" t="e">
        <f>1-X64</f>
        <v>#VALUE!</v>
      </c>
      <c r="Z281" s="367">
        <f t="shared" si="350"/>
        <v>0</v>
      </c>
      <c r="AA281" s="363">
        <f t="shared" si="350"/>
        <v>0</v>
      </c>
      <c r="AB281" s="280">
        <f t="shared" ref="AB281" si="360">Z281-AA281</f>
        <v>0</v>
      </c>
      <c r="AC281" s="367">
        <f t="shared" si="351"/>
        <v>0</v>
      </c>
      <c r="AD281" s="363">
        <f t="shared" si="351"/>
        <v>0</v>
      </c>
      <c r="AE281" s="280">
        <f t="shared" ref="AE281" si="361">AC281-AD281</f>
        <v>0</v>
      </c>
      <c r="AF281" s="367">
        <f t="shared" si="352"/>
        <v>0</v>
      </c>
      <c r="AG281" s="363">
        <f t="shared" si="352"/>
        <v>0</v>
      </c>
      <c r="AH281" s="280">
        <f t="shared" ref="AH281" si="362">AF281-AG281</f>
        <v>0</v>
      </c>
      <c r="AI281" s="367">
        <f t="shared" si="353"/>
        <v>92466.04</v>
      </c>
      <c r="AJ281" s="363">
        <f t="shared" si="353"/>
        <v>0</v>
      </c>
      <c r="AK281" s="280">
        <f t="shared" ref="AK281" si="363">AI281-AJ281</f>
        <v>92466.04</v>
      </c>
      <c r="AL281" s="368"/>
      <c r="AM281" s="367">
        <f t="shared" si="354"/>
        <v>0</v>
      </c>
      <c r="AN281" s="363">
        <f t="shared" si="354"/>
        <v>0</v>
      </c>
      <c r="AO281" s="280">
        <f t="shared" ref="AO281" si="364">AM281-AN281</f>
        <v>0</v>
      </c>
      <c r="AP281" s="367">
        <f t="shared" si="355"/>
        <v>0</v>
      </c>
      <c r="AQ281" s="363">
        <f t="shared" si="355"/>
        <v>0</v>
      </c>
      <c r="AR281" s="280">
        <f t="shared" ref="AR281" si="365">AP281-AQ281</f>
        <v>0</v>
      </c>
      <c r="AS281" s="367">
        <f t="shared" si="356"/>
        <v>92466.04</v>
      </c>
      <c r="AT281" s="363">
        <f t="shared" si="356"/>
        <v>0</v>
      </c>
      <c r="AU281" s="280">
        <f t="shared" ref="AU281" si="366">AS281-AT281</f>
        <v>92466.04</v>
      </c>
      <c r="AV281" s="1253">
        <f t="shared" si="358"/>
        <v>0</v>
      </c>
      <c r="AW281" s="367">
        <f t="shared" ref="AW281:BS281" si="367">SUM(AW282)</f>
        <v>0</v>
      </c>
      <c r="AX281" s="363">
        <f t="shared" si="367"/>
        <v>0</v>
      </c>
      <c r="AY281" s="363">
        <f t="shared" si="367"/>
        <v>0</v>
      </c>
      <c r="AZ281" s="363">
        <f t="shared" si="367"/>
        <v>0</v>
      </c>
      <c r="BA281" s="363">
        <f t="shared" si="367"/>
        <v>0</v>
      </c>
      <c r="BB281" s="369">
        <f t="shared" si="367"/>
        <v>0</v>
      </c>
      <c r="BC281" s="367">
        <f t="shared" si="367"/>
        <v>0</v>
      </c>
      <c r="BD281" s="363">
        <f t="shared" si="367"/>
        <v>0</v>
      </c>
      <c r="BE281" s="363">
        <f t="shared" si="367"/>
        <v>0</v>
      </c>
      <c r="BF281" s="363">
        <f t="shared" si="367"/>
        <v>0</v>
      </c>
      <c r="BG281" s="363">
        <f t="shared" si="367"/>
        <v>0</v>
      </c>
      <c r="BH281" s="369">
        <f t="shared" si="367"/>
        <v>0</v>
      </c>
      <c r="BI281" s="367">
        <f t="shared" si="367"/>
        <v>0</v>
      </c>
      <c r="BJ281" s="363">
        <f t="shared" si="367"/>
        <v>0</v>
      </c>
      <c r="BK281" s="363">
        <f t="shared" si="367"/>
        <v>0</v>
      </c>
      <c r="BL281" s="363">
        <f t="shared" si="367"/>
        <v>0</v>
      </c>
      <c r="BM281" s="363">
        <f t="shared" si="367"/>
        <v>0</v>
      </c>
      <c r="BN281" s="369">
        <f t="shared" si="367"/>
        <v>0</v>
      </c>
      <c r="BO281" s="367">
        <f t="shared" si="367"/>
        <v>0</v>
      </c>
      <c r="BP281" s="363">
        <f t="shared" si="367"/>
        <v>0</v>
      </c>
      <c r="BQ281" s="363">
        <f t="shared" si="367"/>
        <v>0</v>
      </c>
      <c r="BR281" s="363">
        <f t="shared" si="367"/>
        <v>0</v>
      </c>
      <c r="BS281" s="363">
        <f t="shared" si="367"/>
        <v>92466.04</v>
      </c>
      <c r="BT281" s="280">
        <f t="shared" ref="BT281" si="368">SUM(BT282:BT287)</f>
        <v>0</v>
      </c>
    </row>
    <row r="282" spans="1:72" s="313" customFormat="1" ht="25.5" outlineLevel="1">
      <c r="A282" s="287">
        <v>265</v>
      </c>
      <c r="B282" s="933"/>
      <c r="C282" s="840"/>
      <c r="D282" s="853" t="s">
        <v>207</v>
      </c>
      <c r="E282" s="839"/>
      <c r="F282" s="821" t="s">
        <v>23</v>
      </c>
      <c r="G282" s="314">
        <v>2</v>
      </c>
      <c r="H282" s="739" t="s">
        <v>71</v>
      </c>
      <c r="I282" s="739">
        <v>244</v>
      </c>
      <c r="J282" s="740">
        <v>225</v>
      </c>
      <c r="K282" s="533" t="s">
        <v>209</v>
      </c>
      <c r="L282" s="1025">
        <v>92466.04</v>
      </c>
      <c r="M282" s="318"/>
      <c r="N282" s="318"/>
      <c r="O282" s="1052">
        <f t="shared" si="332"/>
        <v>92466.04</v>
      </c>
      <c r="P282" s="570"/>
      <c r="Q282" s="336">
        <v>88868.2</v>
      </c>
      <c r="R282" s="559"/>
      <c r="S282" s="541">
        <v>88868.21</v>
      </c>
      <c r="T282" s="559"/>
      <c r="U282" s="335"/>
      <c r="V282" s="320" t="s">
        <v>832</v>
      </c>
      <c r="W282" s="388"/>
      <c r="X282" s="388"/>
      <c r="Z282" s="336">
        <f t="shared" si="350"/>
        <v>0</v>
      </c>
      <c r="AA282" s="337">
        <f t="shared" si="350"/>
        <v>0</v>
      </c>
      <c r="AB282" s="338">
        <f t="shared" si="334"/>
        <v>0</v>
      </c>
      <c r="AC282" s="336">
        <f t="shared" si="351"/>
        <v>0</v>
      </c>
      <c r="AD282" s="337">
        <f t="shared" si="351"/>
        <v>0</v>
      </c>
      <c r="AE282" s="338">
        <f t="shared" si="336"/>
        <v>0</v>
      </c>
      <c r="AF282" s="336">
        <f t="shared" si="352"/>
        <v>0</v>
      </c>
      <c r="AG282" s="337">
        <f t="shared" si="352"/>
        <v>0</v>
      </c>
      <c r="AH282" s="338">
        <f t="shared" si="338"/>
        <v>0</v>
      </c>
      <c r="AI282" s="336">
        <f t="shared" si="353"/>
        <v>92466.04</v>
      </c>
      <c r="AJ282" s="337">
        <f t="shared" si="353"/>
        <v>0</v>
      </c>
      <c r="AK282" s="338">
        <f t="shared" si="340"/>
        <v>92466.04</v>
      </c>
      <c r="AL282" s="342"/>
      <c r="AM282" s="336">
        <f t="shared" si="354"/>
        <v>0</v>
      </c>
      <c r="AN282" s="339">
        <f t="shared" si="354"/>
        <v>0</v>
      </c>
      <c r="AO282" s="340">
        <f t="shared" si="342"/>
        <v>0</v>
      </c>
      <c r="AP282" s="336">
        <f t="shared" si="355"/>
        <v>0</v>
      </c>
      <c r="AQ282" s="339">
        <f t="shared" si="355"/>
        <v>0</v>
      </c>
      <c r="AR282" s="340">
        <f t="shared" si="328"/>
        <v>0</v>
      </c>
      <c r="AS282" s="341">
        <f t="shared" si="356"/>
        <v>92466.04</v>
      </c>
      <c r="AT282" s="339">
        <f t="shared" si="356"/>
        <v>0</v>
      </c>
      <c r="AU282" s="340">
        <f t="shared" si="330"/>
        <v>92466.04</v>
      </c>
      <c r="AV282" s="1255">
        <f t="shared" si="358"/>
        <v>0</v>
      </c>
      <c r="AW282" s="343"/>
      <c r="AX282" s="344"/>
      <c r="AY282" s="345"/>
      <c r="AZ282" s="344"/>
      <c r="BA282" s="345"/>
      <c r="BB282" s="346"/>
      <c r="BC282" s="347"/>
      <c r="BD282" s="348"/>
      <c r="BE282" s="349"/>
      <c r="BF282" s="348"/>
      <c r="BG282" s="349"/>
      <c r="BH282" s="350"/>
      <c r="BI282" s="351"/>
      <c r="BJ282" s="352"/>
      <c r="BK282" s="337"/>
      <c r="BL282" s="352"/>
      <c r="BM282" s="337"/>
      <c r="BN282" s="353"/>
      <c r="BO282" s="354"/>
      <c r="BP282" s="355"/>
      <c r="BQ282" s="356"/>
      <c r="BR282" s="355"/>
      <c r="BS282" s="356">
        <v>92466.04</v>
      </c>
      <c r="BT282" s="357"/>
    </row>
    <row r="283" spans="1:72" s="358" customFormat="1" ht="47.25">
      <c r="A283" s="287">
        <v>266</v>
      </c>
      <c r="B283" s="933"/>
      <c r="C283" s="850" t="s">
        <v>377</v>
      </c>
      <c r="D283" s="838"/>
      <c r="E283" s="836" t="s">
        <v>201</v>
      </c>
      <c r="F283" s="820" t="s">
        <v>23</v>
      </c>
      <c r="G283" s="360">
        <v>2</v>
      </c>
      <c r="H283" s="360" t="s">
        <v>71</v>
      </c>
      <c r="I283" s="360">
        <v>112</v>
      </c>
      <c r="J283" s="361">
        <v>226</v>
      </c>
      <c r="K283" s="532" t="s">
        <v>769</v>
      </c>
      <c r="L283" s="1023">
        <f>L284</f>
        <v>141068</v>
      </c>
      <c r="M283" s="363"/>
      <c r="N283" s="363">
        <f>N284</f>
        <v>0</v>
      </c>
      <c r="O283" s="1051">
        <f t="shared" si="332"/>
        <v>141068</v>
      </c>
      <c r="P283" s="571"/>
      <c r="Q283" s="367">
        <f>Q284</f>
        <v>0</v>
      </c>
      <c r="R283" s="557"/>
      <c r="S283" s="367">
        <f>S284</f>
        <v>0</v>
      </c>
      <c r="T283" s="557"/>
      <c r="U283" s="365"/>
      <c r="V283" s="366"/>
      <c r="W283" s="366"/>
      <c r="X283" s="366"/>
      <c r="Z283" s="367">
        <f t="shared" si="350"/>
        <v>0</v>
      </c>
      <c r="AA283" s="363">
        <f t="shared" si="350"/>
        <v>0</v>
      </c>
      <c r="AB283" s="280">
        <f t="shared" si="334"/>
        <v>0</v>
      </c>
      <c r="AC283" s="367">
        <f t="shared" si="351"/>
        <v>15996</v>
      </c>
      <c r="AD283" s="363">
        <f t="shared" si="351"/>
        <v>15996</v>
      </c>
      <c r="AE283" s="280">
        <f t="shared" si="336"/>
        <v>0</v>
      </c>
      <c r="AF283" s="367">
        <f t="shared" si="352"/>
        <v>19874</v>
      </c>
      <c r="AG283" s="363">
        <f t="shared" si="352"/>
        <v>0</v>
      </c>
      <c r="AH283" s="280">
        <f t="shared" si="338"/>
        <v>19874</v>
      </c>
      <c r="AI283" s="367">
        <f t="shared" si="353"/>
        <v>101376</v>
      </c>
      <c r="AJ283" s="363">
        <f t="shared" si="353"/>
        <v>0</v>
      </c>
      <c r="AK283" s="280">
        <f t="shared" si="340"/>
        <v>101376</v>
      </c>
      <c r="AL283" s="368"/>
      <c r="AM283" s="367">
        <f t="shared" si="354"/>
        <v>15996</v>
      </c>
      <c r="AN283" s="363">
        <f t="shared" si="354"/>
        <v>15996</v>
      </c>
      <c r="AO283" s="280">
        <f t="shared" si="342"/>
        <v>0</v>
      </c>
      <c r="AP283" s="367">
        <f t="shared" si="355"/>
        <v>35870</v>
      </c>
      <c r="AQ283" s="363">
        <f t="shared" si="355"/>
        <v>15996</v>
      </c>
      <c r="AR283" s="280">
        <f t="shared" si="328"/>
        <v>19874</v>
      </c>
      <c r="AS283" s="367">
        <f>Z283+AC283+AF283+AI283</f>
        <v>137246</v>
      </c>
      <c r="AT283" s="363">
        <f t="shared" si="356"/>
        <v>15996</v>
      </c>
      <c r="AU283" s="280">
        <f t="shared" si="330"/>
        <v>121250</v>
      </c>
      <c r="AV283" s="1253">
        <f t="shared" si="358"/>
        <v>3822</v>
      </c>
      <c r="AW283" s="367">
        <f>AW284</f>
        <v>0</v>
      </c>
      <c r="AX283" s="367">
        <f t="shared" ref="AX283:BT283" si="369">AX284</f>
        <v>0</v>
      </c>
      <c r="AY283" s="367">
        <f t="shared" si="369"/>
        <v>0</v>
      </c>
      <c r="AZ283" s="367">
        <f t="shared" si="369"/>
        <v>0</v>
      </c>
      <c r="BA283" s="367">
        <f t="shared" si="369"/>
        <v>0</v>
      </c>
      <c r="BB283" s="367">
        <f t="shared" si="369"/>
        <v>0</v>
      </c>
      <c r="BC283" s="367">
        <f t="shared" si="369"/>
        <v>0</v>
      </c>
      <c r="BD283" s="367">
        <f t="shared" si="369"/>
        <v>0</v>
      </c>
      <c r="BE283" s="367">
        <f t="shared" si="369"/>
        <v>15996</v>
      </c>
      <c r="BF283" s="367">
        <f t="shared" si="369"/>
        <v>15996</v>
      </c>
      <c r="BG283" s="367">
        <f t="shared" si="369"/>
        <v>0</v>
      </c>
      <c r="BH283" s="367">
        <f t="shared" si="369"/>
        <v>0</v>
      </c>
      <c r="BI283" s="367">
        <f t="shared" si="369"/>
        <v>0</v>
      </c>
      <c r="BJ283" s="367">
        <f t="shared" si="369"/>
        <v>0</v>
      </c>
      <c r="BK283" s="367">
        <f t="shared" si="369"/>
        <v>0</v>
      </c>
      <c r="BL283" s="367">
        <f t="shared" si="369"/>
        <v>0</v>
      </c>
      <c r="BM283" s="367">
        <f t="shared" si="369"/>
        <v>19874</v>
      </c>
      <c r="BN283" s="367">
        <f t="shared" si="369"/>
        <v>0</v>
      </c>
      <c r="BO283" s="367">
        <f t="shared" si="369"/>
        <v>101376</v>
      </c>
      <c r="BP283" s="367">
        <f t="shared" si="369"/>
        <v>0</v>
      </c>
      <c r="BQ283" s="367">
        <f t="shared" si="369"/>
        <v>0</v>
      </c>
      <c r="BR283" s="367">
        <f t="shared" si="369"/>
        <v>0</v>
      </c>
      <c r="BS283" s="367">
        <f t="shared" si="369"/>
        <v>0</v>
      </c>
      <c r="BT283" s="367">
        <f t="shared" si="369"/>
        <v>0</v>
      </c>
    </row>
    <row r="284" spans="1:72" s="313" customFormat="1" ht="39" customHeight="1" outlineLevel="1">
      <c r="A284" s="287">
        <v>267</v>
      </c>
      <c r="B284" s="936" t="s">
        <v>1141</v>
      </c>
      <c r="C284" s="840"/>
      <c r="D284" s="841"/>
      <c r="E284" s="839"/>
      <c r="F284" s="821" t="s">
        <v>23</v>
      </c>
      <c r="G284" s="314">
        <v>2</v>
      </c>
      <c r="H284" s="739" t="s">
        <v>71</v>
      </c>
      <c r="I284" s="739">
        <v>112</v>
      </c>
      <c r="J284" s="740">
        <v>226</v>
      </c>
      <c r="K284" s="533" t="s">
        <v>768</v>
      </c>
      <c r="L284" s="1025">
        <v>141068</v>
      </c>
      <c r="M284" s="318"/>
      <c r="N284" s="318"/>
      <c r="O284" s="1052">
        <f t="shared" si="332"/>
        <v>141068</v>
      </c>
      <c r="P284" s="570"/>
      <c r="Q284" s="341">
        <v>0</v>
      </c>
      <c r="R284" s="559"/>
      <c r="S284" s="540">
        <v>0</v>
      </c>
      <c r="T284" s="559"/>
      <c r="U284" s="335"/>
      <c r="V284" s="320"/>
      <c r="W284" s="320"/>
      <c r="X284" s="320"/>
      <c r="Z284" s="336">
        <f t="shared" si="350"/>
        <v>0</v>
      </c>
      <c r="AA284" s="337">
        <f t="shared" si="350"/>
        <v>0</v>
      </c>
      <c r="AB284" s="338">
        <f t="shared" si="334"/>
        <v>0</v>
      </c>
      <c r="AC284" s="336">
        <f t="shared" si="351"/>
        <v>15996</v>
      </c>
      <c r="AD284" s="337">
        <f t="shared" si="351"/>
        <v>15996</v>
      </c>
      <c r="AE284" s="338">
        <f t="shared" si="336"/>
        <v>0</v>
      </c>
      <c r="AF284" s="336">
        <f t="shared" si="352"/>
        <v>19874</v>
      </c>
      <c r="AG284" s="337">
        <f t="shared" si="352"/>
        <v>0</v>
      </c>
      <c r="AH284" s="338">
        <f t="shared" si="338"/>
        <v>19874</v>
      </c>
      <c r="AI284" s="336">
        <f t="shared" si="353"/>
        <v>101376</v>
      </c>
      <c r="AJ284" s="337">
        <f t="shared" si="353"/>
        <v>0</v>
      </c>
      <c r="AK284" s="338">
        <f t="shared" si="340"/>
        <v>101376</v>
      </c>
      <c r="AL284" s="342"/>
      <c r="AM284" s="336">
        <f t="shared" si="354"/>
        <v>15996</v>
      </c>
      <c r="AN284" s="339">
        <f t="shared" si="354"/>
        <v>15996</v>
      </c>
      <c r="AO284" s="340">
        <f t="shared" si="342"/>
        <v>0</v>
      </c>
      <c r="AP284" s="336">
        <f t="shared" si="355"/>
        <v>35870</v>
      </c>
      <c r="AQ284" s="339">
        <f t="shared" si="355"/>
        <v>15996</v>
      </c>
      <c r="AR284" s="340">
        <f t="shared" si="328"/>
        <v>19874</v>
      </c>
      <c r="AS284" s="341">
        <f t="shared" ref="AS284" si="370">Z284+AC284+AF284+AI284</f>
        <v>137246</v>
      </c>
      <c r="AT284" s="339">
        <f t="shared" si="356"/>
        <v>15996</v>
      </c>
      <c r="AU284" s="340">
        <f t="shared" si="330"/>
        <v>121250</v>
      </c>
      <c r="AV284" s="1255">
        <f t="shared" si="358"/>
        <v>3822</v>
      </c>
      <c r="AW284" s="343"/>
      <c r="AX284" s="344"/>
      <c r="AY284" s="345"/>
      <c r="AZ284" s="344"/>
      <c r="BA284" s="345"/>
      <c r="BB284" s="346"/>
      <c r="BC284" s="347"/>
      <c r="BD284" s="348"/>
      <c r="BE284" s="1222">
        <f>17196-300-300-300-300</f>
        <v>15996</v>
      </c>
      <c r="BF284" s="1221">
        <f>17196-300-300-300-300</f>
        <v>15996</v>
      </c>
      <c r="BG284" s="349"/>
      <c r="BH284" s="350"/>
      <c r="BI284" s="351"/>
      <c r="BJ284" s="352"/>
      <c r="BK284" s="337"/>
      <c r="BL284" s="352"/>
      <c r="BM284" s="1137">
        <f>5800+14074</f>
        <v>19874</v>
      </c>
      <c r="BN284" s="353"/>
      <c r="BO284" s="354">
        <v>101376</v>
      </c>
      <c r="BP284" s="355"/>
      <c r="BQ284" s="356"/>
      <c r="BR284" s="355"/>
      <c r="BS284" s="356"/>
      <c r="BT284" s="357"/>
    </row>
    <row r="285" spans="1:72" s="358" customFormat="1" ht="31.5" customHeight="1">
      <c r="A285" s="287">
        <v>268</v>
      </c>
      <c r="B285" s="933"/>
      <c r="C285" s="850" t="s">
        <v>377</v>
      </c>
      <c r="D285" s="853" t="s">
        <v>207</v>
      </c>
      <c r="E285" s="836" t="s">
        <v>201</v>
      </c>
      <c r="F285" s="820" t="s">
        <v>23</v>
      </c>
      <c r="G285" s="360">
        <v>2</v>
      </c>
      <c r="H285" s="360" t="s">
        <v>71</v>
      </c>
      <c r="I285" s="360">
        <v>244</v>
      </c>
      <c r="J285" s="361">
        <v>226</v>
      </c>
      <c r="K285" s="532" t="s">
        <v>150</v>
      </c>
      <c r="L285" s="1023">
        <f>L286</f>
        <v>358197.09</v>
      </c>
      <c r="M285" s="363"/>
      <c r="N285" s="363"/>
      <c r="O285" s="1051">
        <f t="shared" si="332"/>
        <v>358197.09</v>
      </c>
      <c r="P285" s="571"/>
      <c r="Q285" s="367">
        <f>Q286</f>
        <v>450378.96</v>
      </c>
      <c r="R285" s="557"/>
      <c r="S285" s="367">
        <f>S286</f>
        <v>480483.55</v>
      </c>
      <c r="T285" s="557"/>
      <c r="U285" s="365"/>
      <c r="V285" s="366"/>
      <c r="W285" s="366"/>
      <c r="X285" s="391">
        <f>1-X71</f>
        <v>0.5615</v>
      </c>
      <c r="Z285" s="367">
        <f t="shared" si="350"/>
        <v>0</v>
      </c>
      <c r="AA285" s="363">
        <f t="shared" si="350"/>
        <v>0</v>
      </c>
      <c r="AB285" s="280">
        <f t="shared" si="334"/>
        <v>0</v>
      </c>
      <c r="AC285" s="367">
        <f t="shared" si="351"/>
        <v>0</v>
      </c>
      <c r="AD285" s="363">
        <f t="shared" si="351"/>
        <v>0</v>
      </c>
      <c r="AE285" s="280">
        <f t="shared" si="336"/>
        <v>0</v>
      </c>
      <c r="AF285" s="367">
        <f t="shared" si="352"/>
        <v>24600</v>
      </c>
      <c r="AG285" s="363">
        <f t="shared" si="352"/>
        <v>24600</v>
      </c>
      <c r="AH285" s="280">
        <f t="shared" si="338"/>
        <v>0</v>
      </c>
      <c r="AI285" s="367">
        <f t="shared" si="353"/>
        <v>207600</v>
      </c>
      <c r="AJ285" s="363">
        <f t="shared" si="353"/>
        <v>0</v>
      </c>
      <c r="AK285" s="280">
        <f t="shared" si="340"/>
        <v>207600</v>
      </c>
      <c r="AL285" s="368"/>
      <c r="AM285" s="367">
        <f t="shared" si="354"/>
        <v>0</v>
      </c>
      <c r="AN285" s="363">
        <f t="shared" si="354"/>
        <v>0</v>
      </c>
      <c r="AO285" s="280">
        <f t="shared" si="342"/>
        <v>0</v>
      </c>
      <c r="AP285" s="367">
        <f t="shared" si="355"/>
        <v>24600</v>
      </c>
      <c r="AQ285" s="363">
        <f t="shared" si="355"/>
        <v>24600</v>
      </c>
      <c r="AR285" s="280">
        <f t="shared" si="328"/>
        <v>0</v>
      </c>
      <c r="AS285" s="367">
        <f t="shared" si="356"/>
        <v>232200</v>
      </c>
      <c r="AT285" s="363">
        <f t="shared" si="356"/>
        <v>24600</v>
      </c>
      <c r="AU285" s="280">
        <f t="shared" si="330"/>
        <v>207600</v>
      </c>
      <c r="AV285" s="1253">
        <f t="shared" si="358"/>
        <v>125997.09</v>
      </c>
      <c r="AW285" s="367">
        <f>AW286</f>
        <v>0</v>
      </c>
      <c r="AX285" s="363">
        <f t="shared" ref="AX285:BT285" si="371">AX286</f>
        <v>0</v>
      </c>
      <c r="AY285" s="363">
        <f t="shared" si="371"/>
        <v>0</v>
      </c>
      <c r="AZ285" s="363">
        <f t="shared" si="371"/>
        <v>0</v>
      </c>
      <c r="BA285" s="363">
        <f t="shared" si="371"/>
        <v>0</v>
      </c>
      <c r="BB285" s="369">
        <f t="shared" si="371"/>
        <v>0</v>
      </c>
      <c r="BC285" s="367">
        <f t="shared" si="371"/>
        <v>0</v>
      </c>
      <c r="BD285" s="363">
        <f t="shared" si="371"/>
        <v>0</v>
      </c>
      <c r="BE285" s="363">
        <f t="shared" si="371"/>
        <v>0</v>
      </c>
      <c r="BF285" s="363">
        <f t="shared" si="371"/>
        <v>0</v>
      </c>
      <c r="BG285" s="363">
        <f t="shared" si="371"/>
        <v>0</v>
      </c>
      <c r="BH285" s="369">
        <f t="shared" si="371"/>
        <v>0</v>
      </c>
      <c r="BI285" s="367">
        <f t="shared" si="371"/>
        <v>0</v>
      </c>
      <c r="BJ285" s="363">
        <f t="shared" si="371"/>
        <v>0</v>
      </c>
      <c r="BK285" s="363">
        <f t="shared" si="371"/>
        <v>0</v>
      </c>
      <c r="BL285" s="363">
        <f t="shared" si="371"/>
        <v>0</v>
      </c>
      <c r="BM285" s="363">
        <f t="shared" si="371"/>
        <v>24600</v>
      </c>
      <c r="BN285" s="369">
        <f t="shared" si="371"/>
        <v>24600</v>
      </c>
      <c r="BO285" s="367">
        <f t="shared" si="371"/>
        <v>51600</v>
      </c>
      <c r="BP285" s="363">
        <f t="shared" si="371"/>
        <v>0</v>
      </c>
      <c r="BQ285" s="363">
        <f t="shared" si="371"/>
        <v>52800</v>
      </c>
      <c r="BR285" s="363">
        <f t="shared" si="371"/>
        <v>0</v>
      </c>
      <c r="BS285" s="363">
        <f t="shared" si="371"/>
        <v>103200</v>
      </c>
      <c r="BT285" s="280">
        <f t="shared" si="371"/>
        <v>0</v>
      </c>
    </row>
    <row r="286" spans="1:72" s="313" customFormat="1" ht="195.75" customHeight="1" outlineLevel="1">
      <c r="A286" s="287">
        <v>269</v>
      </c>
      <c r="B286" s="933"/>
      <c r="C286" s="840"/>
      <c r="D286" s="853" t="s">
        <v>207</v>
      </c>
      <c r="E286" s="839"/>
      <c r="F286" s="821" t="s">
        <v>23</v>
      </c>
      <c r="G286" s="314">
        <v>2</v>
      </c>
      <c r="H286" s="739" t="s">
        <v>71</v>
      </c>
      <c r="I286" s="739">
        <v>244</v>
      </c>
      <c r="J286" s="740">
        <v>226</v>
      </c>
      <c r="K286" s="533" t="s">
        <v>267</v>
      </c>
      <c r="L286" s="1025">
        <f>427623.5-69426.41</f>
        <v>358197.09</v>
      </c>
      <c r="M286" s="318"/>
      <c r="N286" s="318"/>
      <c r="O286" s="1052">
        <f t="shared" si="332"/>
        <v>358197.09</v>
      </c>
      <c r="P286" s="570"/>
      <c r="Q286" s="336">
        <f>522589.64-72210.68</f>
        <v>450378.96</v>
      </c>
      <c r="R286" s="559"/>
      <c r="S286" s="541">
        <f>563177.71-82694.16</f>
        <v>480483.55</v>
      </c>
      <c r="T286" s="559"/>
      <c r="U286" s="335"/>
      <c r="V286" s="596" t="s">
        <v>268</v>
      </c>
      <c r="W286" s="597" t="s">
        <v>974</v>
      </c>
      <c r="X286" s="597" t="s">
        <v>975</v>
      </c>
      <c r="Z286" s="336">
        <f t="shared" si="350"/>
        <v>0</v>
      </c>
      <c r="AA286" s="337">
        <f t="shared" si="350"/>
        <v>0</v>
      </c>
      <c r="AB286" s="338">
        <f t="shared" si="334"/>
        <v>0</v>
      </c>
      <c r="AC286" s="336">
        <f t="shared" si="351"/>
        <v>0</v>
      </c>
      <c r="AD286" s="337">
        <f t="shared" si="351"/>
        <v>0</v>
      </c>
      <c r="AE286" s="338">
        <f t="shared" si="336"/>
        <v>0</v>
      </c>
      <c r="AF286" s="336">
        <f t="shared" si="352"/>
        <v>24600</v>
      </c>
      <c r="AG286" s="337">
        <f t="shared" si="352"/>
        <v>24600</v>
      </c>
      <c r="AH286" s="338">
        <f t="shared" si="338"/>
        <v>0</v>
      </c>
      <c r="AI286" s="336">
        <f t="shared" si="353"/>
        <v>207600</v>
      </c>
      <c r="AJ286" s="337">
        <f t="shared" si="353"/>
        <v>0</v>
      </c>
      <c r="AK286" s="338">
        <f t="shared" si="340"/>
        <v>207600</v>
      </c>
      <c r="AL286" s="342"/>
      <c r="AM286" s="336">
        <f t="shared" si="354"/>
        <v>0</v>
      </c>
      <c r="AN286" s="339">
        <f t="shared" si="354"/>
        <v>0</v>
      </c>
      <c r="AO286" s="340">
        <f t="shared" si="342"/>
        <v>0</v>
      </c>
      <c r="AP286" s="336">
        <f t="shared" si="355"/>
        <v>24600</v>
      </c>
      <c r="AQ286" s="339">
        <f t="shared" si="355"/>
        <v>24600</v>
      </c>
      <c r="AR286" s="340">
        <f t="shared" si="328"/>
        <v>0</v>
      </c>
      <c r="AS286" s="341">
        <f t="shared" si="356"/>
        <v>232200</v>
      </c>
      <c r="AT286" s="339">
        <f t="shared" si="356"/>
        <v>24600</v>
      </c>
      <c r="AU286" s="340">
        <f t="shared" si="330"/>
        <v>207600</v>
      </c>
      <c r="AV286" s="1255">
        <f t="shared" si="358"/>
        <v>125997.09</v>
      </c>
      <c r="AW286" s="343"/>
      <c r="AX286" s="344"/>
      <c r="AY286" s="345"/>
      <c r="AZ286" s="344"/>
      <c r="BA286" s="345"/>
      <c r="BB286" s="346"/>
      <c r="BC286" s="347"/>
      <c r="BD286" s="348"/>
      <c r="BE286" s="349"/>
      <c r="BF286" s="348"/>
      <c r="BG286" s="349"/>
      <c r="BH286" s="350"/>
      <c r="BI286" s="351"/>
      <c r="BJ286" s="352"/>
      <c r="BK286" s="351"/>
      <c r="BL286" s="352"/>
      <c r="BM286" s="1230">
        <v>24600</v>
      </c>
      <c r="BN286" s="1293">
        <v>24600</v>
      </c>
      <c r="BO286" s="354">
        <f>150*344</f>
        <v>51600</v>
      </c>
      <c r="BP286" s="355"/>
      <c r="BQ286" s="356">
        <f>150*352</f>
        <v>52800</v>
      </c>
      <c r="BR286" s="355"/>
      <c r="BS286" s="356">
        <f>150*332+150*356</f>
        <v>103200</v>
      </c>
      <c r="BT286" s="357"/>
    </row>
    <row r="287" spans="1:72" s="358" customFormat="1" ht="37.5" customHeight="1">
      <c r="A287" s="287">
        <v>270</v>
      </c>
      <c r="B287" s="941"/>
      <c r="C287" s="850" t="s">
        <v>377</v>
      </c>
      <c r="D287" s="838"/>
      <c r="E287" s="836" t="s">
        <v>201</v>
      </c>
      <c r="F287" s="820" t="s">
        <v>23</v>
      </c>
      <c r="G287" s="360">
        <v>2</v>
      </c>
      <c r="H287" s="360" t="s">
        <v>71</v>
      </c>
      <c r="I287" s="360">
        <v>244</v>
      </c>
      <c r="J287" s="361">
        <v>226</v>
      </c>
      <c r="K287" s="532" t="s">
        <v>538</v>
      </c>
      <c r="L287" s="1023">
        <f>SUM(L288:L311)</f>
        <v>1815253.78</v>
      </c>
      <c r="M287" s="1292"/>
      <c r="N287" s="363">
        <f>SUM(N288:N311)</f>
        <v>-588894.12</v>
      </c>
      <c r="O287" s="1051">
        <f t="shared" si="332"/>
        <v>1226359.6599999999</v>
      </c>
      <c r="P287" s="571"/>
      <c r="Q287" s="367">
        <f>SUM(Q288:Q311)</f>
        <v>2662888.88</v>
      </c>
      <c r="R287" s="557"/>
      <c r="S287" s="539">
        <f>SUM(S288:S311)</f>
        <v>2675018.4700000002</v>
      </c>
      <c r="T287" s="557"/>
      <c r="U287" s="365"/>
      <c r="V287" s="366"/>
      <c r="W287" s="366"/>
      <c r="X287" s="366"/>
      <c r="Z287" s="367">
        <f t="shared" si="350"/>
        <v>755371.96</v>
      </c>
      <c r="AA287" s="363">
        <f t="shared" si="350"/>
        <v>91371.96</v>
      </c>
      <c r="AB287" s="280">
        <f t="shared" si="334"/>
        <v>664000</v>
      </c>
      <c r="AC287" s="367">
        <f t="shared" si="351"/>
        <v>683790.11</v>
      </c>
      <c r="AD287" s="363">
        <f t="shared" si="351"/>
        <v>262674.84999999998</v>
      </c>
      <c r="AE287" s="280">
        <f t="shared" si="336"/>
        <v>421115.26</v>
      </c>
      <c r="AF287" s="367">
        <f t="shared" si="352"/>
        <v>205330.56</v>
      </c>
      <c r="AG287" s="363">
        <f t="shared" si="352"/>
        <v>102879.91</v>
      </c>
      <c r="AH287" s="280">
        <f t="shared" si="338"/>
        <v>102450.65</v>
      </c>
      <c r="AI287" s="367">
        <f t="shared" si="353"/>
        <v>756353.6</v>
      </c>
      <c r="AJ287" s="363">
        <f t="shared" si="353"/>
        <v>33700.39</v>
      </c>
      <c r="AK287" s="280">
        <f t="shared" si="340"/>
        <v>722653.21</v>
      </c>
      <c r="AL287" s="368"/>
      <c r="AM287" s="367">
        <f t="shared" si="354"/>
        <v>1439162.07</v>
      </c>
      <c r="AN287" s="363">
        <f t="shared" si="354"/>
        <v>354046.81</v>
      </c>
      <c r="AO287" s="280">
        <f t="shared" si="342"/>
        <v>1085115.26</v>
      </c>
      <c r="AP287" s="367">
        <f t="shared" si="355"/>
        <v>1644492.63</v>
      </c>
      <c r="AQ287" s="363">
        <f t="shared" si="355"/>
        <v>456926.71999999997</v>
      </c>
      <c r="AR287" s="280">
        <f t="shared" si="328"/>
        <v>1187565.9099999999</v>
      </c>
      <c r="AS287" s="367">
        <f t="shared" si="356"/>
        <v>2400846.23</v>
      </c>
      <c r="AT287" s="363">
        <f t="shared" si="356"/>
        <v>490627.11</v>
      </c>
      <c r="AU287" s="280">
        <f t="shared" si="330"/>
        <v>1910219.12</v>
      </c>
      <c r="AV287" s="1253">
        <f t="shared" si="358"/>
        <v>-585592.44999999995</v>
      </c>
      <c r="AW287" s="367">
        <f t="shared" ref="AW287:BT287" si="372">SUM(AW288:AW311)</f>
        <v>0</v>
      </c>
      <c r="AX287" s="363">
        <f t="shared" si="372"/>
        <v>0</v>
      </c>
      <c r="AY287" s="363">
        <f t="shared" si="372"/>
        <v>17709</v>
      </c>
      <c r="AZ287" s="363">
        <f t="shared" si="372"/>
        <v>42609</v>
      </c>
      <c r="BA287" s="363">
        <f t="shared" si="372"/>
        <v>737662.96</v>
      </c>
      <c r="BB287" s="369">
        <f t="shared" si="372"/>
        <v>48762.96</v>
      </c>
      <c r="BC287" s="367">
        <f t="shared" si="372"/>
        <v>124819.1</v>
      </c>
      <c r="BD287" s="363">
        <f t="shared" si="372"/>
        <v>94804.1</v>
      </c>
      <c r="BE287" s="363">
        <f t="shared" si="372"/>
        <v>396138</v>
      </c>
      <c r="BF287" s="363">
        <f t="shared" si="372"/>
        <v>70937.740000000005</v>
      </c>
      <c r="BG287" s="363">
        <f t="shared" si="372"/>
        <v>162833.01</v>
      </c>
      <c r="BH287" s="369">
        <f t="shared" si="372"/>
        <v>96933.01</v>
      </c>
      <c r="BI287" s="367">
        <f t="shared" si="372"/>
        <v>116530.56</v>
      </c>
      <c r="BJ287" s="363">
        <f t="shared" si="372"/>
        <v>102879.91</v>
      </c>
      <c r="BK287" s="363">
        <f t="shared" si="372"/>
        <v>46000</v>
      </c>
      <c r="BL287" s="363">
        <f t="shared" si="372"/>
        <v>0</v>
      </c>
      <c r="BM287" s="363">
        <f t="shared" si="372"/>
        <v>42800</v>
      </c>
      <c r="BN287" s="369">
        <f t="shared" si="372"/>
        <v>0</v>
      </c>
      <c r="BO287" s="367">
        <f t="shared" si="372"/>
        <v>150893.03</v>
      </c>
      <c r="BP287" s="363">
        <f t="shared" si="372"/>
        <v>33700.39</v>
      </c>
      <c r="BQ287" s="363">
        <f t="shared" si="372"/>
        <v>11000</v>
      </c>
      <c r="BR287" s="363">
        <f t="shared" si="372"/>
        <v>0</v>
      </c>
      <c r="BS287" s="363">
        <f t="shared" si="372"/>
        <v>594460.56999999995</v>
      </c>
      <c r="BT287" s="280">
        <f t="shared" si="372"/>
        <v>0</v>
      </c>
    </row>
    <row r="288" spans="1:72" s="615" customFormat="1" ht="38.25" outlineLevel="1">
      <c r="A288" s="287">
        <v>271</v>
      </c>
      <c r="B288" s="933"/>
      <c r="C288" s="866"/>
      <c r="D288" s="841"/>
      <c r="E288" s="867"/>
      <c r="F288" s="832" t="s">
        <v>23</v>
      </c>
      <c r="G288" s="616">
        <v>2</v>
      </c>
      <c r="H288" s="749" t="s">
        <v>71</v>
      </c>
      <c r="I288" s="749">
        <v>244</v>
      </c>
      <c r="J288" s="750">
        <v>226</v>
      </c>
      <c r="K288" s="534" t="s">
        <v>343</v>
      </c>
      <c r="L288" s="1043">
        <v>0</v>
      </c>
      <c r="M288" s="619"/>
      <c r="N288" s="619"/>
      <c r="O288" s="1054">
        <f t="shared" si="332"/>
        <v>0</v>
      </c>
      <c r="P288" s="620"/>
      <c r="Q288" s="509"/>
      <c r="R288" s="560"/>
      <c r="S288" s="542"/>
      <c r="T288" s="560"/>
      <c r="U288" s="621"/>
      <c r="V288" s="388" t="s">
        <v>253</v>
      </c>
      <c r="W288" s="388" t="s">
        <v>330</v>
      </c>
      <c r="X288" s="388" t="s">
        <v>243</v>
      </c>
      <c r="Z288" s="509">
        <f t="shared" si="350"/>
        <v>0</v>
      </c>
      <c r="AA288" s="622">
        <f t="shared" si="350"/>
        <v>0</v>
      </c>
      <c r="AB288" s="623">
        <f t="shared" si="334"/>
        <v>0</v>
      </c>
      <c r="AC288" s="509">
        <f t="shared" si="351"/>
        <v>0</v>
      </c>
      <c r="AD288" s="622">
        <f t="shared" si="351"/>
        <v>0</v>
      </c>
      <c r="AE288" s="623">
        <f t="shared" si="336"/>
        <v>0</v>
      </c>
      <c r="AF288" s="509">
        <f t="shared" si="352"/>
        <v>0</v>
      </c>
      <c r="AG288" s="622">
        <f t="shared" si="352"/>
        <v>0</v>
      </c>
      <c r="AH288" s="623">
        <f t="shared" si="338"/>
        <v>0</v>
      </c>
      <c r="AI288" s="509">
        <f t="shared" si="353"/>
        <v>0</v>
      </c>
      <c r="AJ288" s="622">
        <f t="shared" si="353"/>
        <v>0</v>
      </c>
      <c r="AK288" s="623">
        <f t="shared" si="340"/>
        <v>0</v>
      </c>
      <c r="AL288" s="624"/>
      <c r="AM288" s="509">
        <f t="shared" si="354"/>
        <v>0</v>
      </c>
      <c r="AN288" s="625">
        <f t="shared" si="354"/>
        <v>0</v>
      </c>
      <c r="AO288" s="626">
        <f t="shared" si="342"/>
        <v>0</v>
      </c>
      <c r="AP288" s="509">
        <f t="shared" si="355"/>
        <v>0</v>
      </c>
      <c r="AQ288" s="625">
        <f t="shared" si="355"/>
        <v>0</v>
      </c>
      <c r="AR288" s="626">
        <f t="shared" si="328"/>
        <v>0</v>
      </c>
      <c r="AS288" s="510">
        <f t="shared" si="356"/>
        <v>0</v>
      </c>
      <c r="AT288" s="625">
        <f t="shared" si="356"/>
        <v>0</v>
      </c>
      <c r="AU288" s="626">
        <f t="shared" si="330"/>
        <v>0</v>
      </c>
      <c r="AV288" s="440">
        <f t="shared" si="358"/>
        <v>0</v>
      </c>
      <c r="AW288" s="628"/>
      <c r="AX288" s="629"/>
      <c r="AY288" s="630"/>
      <c r="AZ288" s="629"/>
      <c r="BA288" s="630"/>
      <c r="BB288" s="631"/>
      <c r="BC288" s="632"/>
      <c r="BD288" s="633"/>
      <c r="BE288" s="634"/>
      <c r="BF288" s="633"/>
      <c r="BG288" s="634"/>
      <c r="BH288" s="635"/>
      <c r="BI288" s="636"/>
      <c r="BJ288" s="637"/>
      <c r="BK288" s="622"/>
      <c r="BL288" s="637"/>
      <c r="BM288" s="622"/>
      <c r="BN288" s="638"/>
      <c r="BO288" s="639"/>
      <c r="BP288" s="640"/>
      <c r="BQ288" s="641"/>
      <c r="BR288" s="640"/>
      <c r="BS288" s="641"/>
      <c r="BT288" s="642"/>
    </row>
    <row r="289" spans="1:72" s="615" customFormat="1" ht="25.5" outlineLevel="1">
      <c r="A289" s="287">
        <v>272</v>
      </c>
      <c r="B289" s="933"/>
      <c r="C289" s="866"/>
      <c r="D289" s="841"/>
      <c r="E289" s="867"/>
      <c r="F289" s="832" t="s">
        <v>23</v>
      </c>
      <c r="G289" s="616">
        <v>2</v>
      </c>
      <c r="H289" s="749" t="s">
        <v>71</v>
      </c>
      <c r="I289" s="749">
        <v>244</v>
      </c>
      <c r="J289" s="750">
        <v>226</v>
      </c>
      <c r="K289" s="534" t="s">
        <v>344</v>
      </c>
      <c r="L289" s="1043">
        <v>0</v>
      </c>
      <c r="M289" s="619"/>
      <c r="N289" s="619"/>
      <c r="O289" s="1054">
        <f t="shared" si="332"/>
        <v>0</v>
      </c>
      <c r="P289" s="620"/>
      <c r="Q289" s="509"/>
      <c r="R289" s="560"/>
      <c r="S289" s="542"/>
      <c r="T289" s="560"/>
      <c r="U289" s="621"/>
      <c r="V289" s="388" t="s">
        <v>599</v>
      </c>
      <c r="W289" s="388" t="s">
        <v>333</v>
      </c>
      <c r="X289" s="388" t="s">
        <v>334</v>
      </c>
      <c r="Z289" s="509">
        <f t="shared" si="350"/>
        <v>0</v>
      </c>
      <c r="AA289" s="622">
        <f t="shared" si="350"/>
        <v>0</v>
      </c>
      <c r="AB289" s="623">
        <f t="shared" si="334"/>
        <v>0</v>
      </c>
      <c r="AC289" s="509">
        <f t="shared" si="351"/>
        <v>0</v>
      </c>
      <c r="AD289" s="622">
        <f t="shared" si="351"/>
        <v>0</v>
      </c>
      <c r="AE289" s="623">
        <f t="shared" si="336"/>
        <v>0</v>
      </c>
      <c r="AF289" s="509">
        <f t="shared" si="352"/>
        <v>0</v>
      </c>
      <c r="AG289" s="622">
        <f t="shared" si="352"/>
        <v>0</v>
      </c>
      <c r="AH289" s="623">
        <f t="shared" si="338"/>
        <v>0</v>
      </c>
      <c r="AI289" s="509">
        <f t="shared" si="353"/>
        <v>0</v>
      </c>
      <c r="AJ289" s="622">
        <f t="shared" si="353"/>
        <v>0</v>
      </c>
      <c r="AK289" s="623">
        <f t="shared" si="340"/>
        <v>0</v>
      </c>
      <c r="AL289" s="624"/>
      <c r="AM289" s="509">
        <f t="shared" si="354"/>
        <v>0</v>
      </c>
      <c r="AN289" s="625">
        <f t="shared" si="354"/>
        <v>0</v>
      </c>
      <c r="AO289" s="626">
        <f t="shared" si="342"/>
        <v>0</v>
      </c>
      <c r="AP289" s="509">
        <f t="shared" si="355"/>
        <v>0</v>
      </c>
      <c r="AQ289" s="625">
        <f t="shared" si="355"/>
        <v>0</v>
      </c>
      <c r="AR289" s="626">
        <f t="shared" si="328"/>
        <v>0</v>
      </c>
      <c r="AS289" s="510">
        <f t="shared" si="356"/>
        <v>0</v>
      </c>
      <c r="AT289" s="625">
        <f t="shared" si="356"/>
        <v>0</v>
      </c>
      <c r="AU289" s="626">
        <f t="shared" si="330"/>
        <v>0</v>
      </c>
      <c r="AV289" s="440">
        <f t="shared" si="358"/>
        <v>0</v>
      </c>
      <c r="AW289" s="628"/>
      <c r="AX289" s="629"/>
      <c r="AY289" s="630"/>
      <c r="AZ289" s="629"/>
      <c r="BA289" s="630"/>
      <c r="BB289" s="631"/>
      <c r="BC289" s="632"/>
      <c r="BD289" s="633"/>
      <c r="BE289" s="634"/>
      <c r="BF289" s="633"/>
      <c r="BG289" s="634"/>
      <c r="BH289" s="635"/>
      <c r="BI289" s="636"/>
      <c r="BJ289" s="637"/>
      <c r="BK289" s="622"/>
      <c r="BL289" s="637"/>
      <c r="BM289" s="622"/>
      <c r="BN289" s="638"/>
      <c r="BO289" s="639"/>
      <c r="BP289" s="640"/>
      <c r="BQ289" s="641"/>
      <c r="BR289" s="640"/>
      <c r="BS289" s="641"/>
      <c r="BT289" s="642"/>
    </row>
    <row r="290" spans="1:72" s="313" customFormat="1" ht="132" customHeight="1" outlineLevel="1">
      <c r="A290" s="287">
        <v>273</v>
      </c>
      <c r="B290" s="933"/>
      <c r="C290" s="840"/>
      <c r="D290" s="841"/>
      <c r="E290" s="839"/>
      <c r="F290" s="821" t="s">
        <v>23</v>
      </c>
      <c r="G290" s="314">
        <v>2</v>
      </c>
      <c r="H290" s="739" t="s">
        <v>71</v>
      </c>
      <c r="I290" s="739">
        <v>244</v>
      </c>
      <c r="J290" s="740">
        <v>226</v>
      </c>
      <c r="K290" s="533" t="s">
        <v>627</v>
      </c>
      <c r="L290" s="1025">
        <f>156000</f>
        <v>156000</v>
      </c>
      <c r="M290" s="318"/>
      <c r="N290" s="318"/>
      <c r="O290" s="1052">
        <f t="shared" si="332"/>
        <v>156000</v>
      </c>
      <c r="P290" s="570"/>
      <c r="Q290" s="336">
        <f>28489.72+72210.68</f>
        <v>100700.4</v>
      </c>
      <c r="R290" s="559"/>
      <c r="S290" s="541">
        <f>28489.72+82694.16</f>
        <v>111183.88</v>
      </c>
      <c r="T290" s="559"/>
      <c r="U290" s="335"/>
      <c r="V290" s="597" t="s">
        <v>470</v>
      </c>
      <c r="W290" s="597" t="s">
        <v>871</v>
      </c>
      <c r="X290" s="597" t="s">
        <v>739</v>
      </c>
      <c r="Z290" s="336">
        <f t="shared" si="350"/>
        <v>2409</v>
      </c>
      <c r="AA290" s="337">
        <f t="shared" si="350"/>
        <v>2409</v>
      </c>
      <c r="AB290" s="338">
        <f t="shared" si="334"/>
        <v>0</v>
      </c>
      <c r="AC290" s="336">
        <f t="shared" si="351"/>
        <v>22500</v>
      </c>
      <c r="AD290" s="337">
        <f t="shared" si="351"/>
        <v>0</v>
      </c>
      <c r="AE290" s="338">
        <f t="shared" si="336"/>
        <v>22500</v>
      </c>
      <c r="AF290" s="336">
        <f t="shared" si="352"/>
        <v>0</v>
      </c>
      <c r="AG290" s="337">
        <f t="shared" si="352"/>
        <v>0</v>
      </c>
      <c r="AH290" s="338">
        <f t="shared" si="338"/>
        <v>0</v>
      </c>
      <c r="AI290" s="336">
        <f t="shared" si="353"/>
        <v>131091</v>
      </c>
      <c r="AJ290" s="337">
        <f t="shared" si="353"/>
        <v>0</v>
      </c>
      <c r="AK290" s="338">
        <f t="shared" si="340"/>
        <v>131091</v>
      </c>
      <c r="AL290" s="342"/>
      <c r="AM290" s="336">
        <f t="shared" si="354"/>
        <v>24909</v>
      </c>
      <c r="AN290" s="339">
        <f t="shared" si="354"/>
        <v>2409</v>
      </c>
      <c r="AO290" s="340">
        <f t="shared" si="342"/>
        <v>22500</v>
      </c>
      <c r="AP290" s="336">
        <f t="shared" si="355"/>
        <v>24909</v>
      </c>
      <c r="AQ290" s="339">
        <f t="shared" si="355"/>
        <v>2409</v>
      </c>
      <c r="AR290" s="340">
        <f t="shared" si="328"/>
        <v>22500</v>
      </c>
      <c r="AS290" s="341">
        <f t="shared" si="356"/>
        <v>156000</v>
      </c>
      <c r="AT290" s="339">
        <f t="shared" si="356"/>
        <v>2409</v>
      </c>
      <c r="AU290" s="340">
        <f t="shared" si="330"/>
        <v>153591</v>
      </c>
      <c r="AV290" s="1255">
        <f t="shared" si="358"/>
        <v>0</v>
      </c>
      <c r="AW290" s="343"/>
      <c r="AX290" s="344"/>
      <c r="AY290" s="345">
        <v>2409</v>
      </c>
      <c r="AZ290" s="344">
        <v>2409</v>
      </c>
      <c r="BA290" s="1133"/>
      <c r="BB290" s="346"/>
      <c r="BC290" s="1134">
        <v>15000</v>
      </c>
      <c r="BD290" s="348"/>
      <c r="BE290" s="349"/>
      <c r="BF290" s="348"/>
      <c r="BG290" s="1135">
        <v>7500</v>
      </c>
      <c r="BH290" s="350"/>
      <c r="BI290" s="351"/>
      <c r="BJ290" s="352"/>
      <c r="BK290" s="337"/>
      <c r="BL290" s="352"/>
      <c r="BM290" s="337"/>
      <c r="BN290" s="353"/>
      <c r="BO290" s="354"/>
      <c r="BP290" s="355"/>
      <c r="BQ290" s="356"/>
      <c r="BR290" s="355"/>
      <c r="BS290" s="356">
        <f>156000-2409-15000-7500</f>
        <v>131091</v>
      </c>
      <c r="BT290" s="357"/>
    </row>
    <row r="291" spans="1:72" s="313" customFormat="1" ht="25.5" outlineLevel="1">
      <c r="A291" s="287">
        <v>274</v>
      </c>
      <c r="B291" s="941"/>
      <c r="C291" s="840"/>
      <c r="D291" s="841"/>
      <c r="E291" s="839"/>
      <c r="F291" s="821" t="s">
        <v>23</v>
      </c>
      <c r="G291" s="314">
        <v>2</v>
      </c>
      <c r="H291" s="739" t="s">
        <v>71</v>
      </c>
      <c r="I291" s="739">
        <v>244</v>
      </c>
      <c r="J291" s="740">
        <v>226</v>
      </c>
      <c r="K291" s="533" t="s">
        <v>346</v>
      </c>
      <c r="L291" s="1025">
        <v>12600</v>
      </c>
      <c r="M291" s="318"/>
      <c r="N291" s="318"/>
      <c r="O291" s="1052">
        <f t="shared" si="332"/>
        <v>12600</v>
      </c>
      <c r="P291" s="570"/>
      <c r="Q291" s="336"/>
      <c r="R291" s="559"/>
      <c r="S291" s="541"/>
      <c r="T291" s="559"/>
      <c r="U291" s="335"/>
      <c r="V291" s="596" t="s">
        <v>471</v>
      </c>
      <c r="W291" s="610" t="s">
        <v>472</v>
      </c>
      <c r="X291" s="388" t="s">
        <v>235</v>
      </c>
      <c r="Z291" s="336">
        <f t="shared" si="350"/>
        <v>12600</v>
      </c>
      <c r="AA291" s="337">
        <f t="shared" si="350"/>
        <v>12600</v>
      </c>
      <c r="AB291" s="338">
        <f t="shared" si="334"/>
        <v>0</v>
      </c>
      <c r="AC291" s="336">
        <f t="shared" si="351"/>
        <v>0</v>
      </c>
      <c r="AD291" s="337">
        <f t="shared" si="351"/>
        <v>0</v>
      </c>
      <c r="AE291" s="338">
        <f t="shared" si="336"/>
        <v>0</v>
      </c>
      <c r="AF291" s="336">
        <f t="shared" si="352"/>
        <v>0</v>
      </c>
      <c r="AG291" s="337">
        <f t="shared" si="352"/>
        <v>0</v>
      </c>
      <c r="AH291" s="338">
        <f t="shared" si="338"/>
        <v>0</v>
      </c>
      <c r="AI291" s="336">
        <f t="shared" si="353"/>
        <v>0</v>
      </c>
      <c r="AJ291" s="337">
        <f t="shared" si="353"/>
        <v>0</v>
      </c>
      <c r="AK291" s="338">
        <f t="shared" si="340"/>
        <v>0</v>
      </c>
      <c r="AL291" s="342"/>
      <c r="AM291" s="336">
        <f t="shared" si="354"/>
        <v>12600</v>
      </c>
      <c r="AN291" s="339">
        <f t="shared" si="354"/>
        <v>12600</v>
      </c>
      <c r="AO291" s="340">
        <f t="shared" si="342"/>
        <v>0</v>
      </c>
      <c r="AP291" s="336">
        <f t="shared" si="355"/>
        <v>12600</v>
      </c>
      <c r="AQ291" s="339">
        <f t="shared" si="355"/>
        <v>12600</v>
      </c>
      <c r="AR291" s="340">
        <f t="shared" si="328"/>
        <v>0</v>
      </c>
      <c r="AS291" s="341">
        <f t="shared" si="356"/>
        <v>12600</v>
      </c>
      <c r="AT291" s="339">
        <f t="shared" si="356"/>
        <v>12600</v>
      </c>
      <c r="AU291" s="340">
        <f t="shared" si="330"/>
        <v>0</v>
      </c>
      <c r="AV291" s="1255">
        <f t="shared" si="358"/>
        <v>0</v>
      </c>
      <c r="AW291" s="343"/>
      <c r="AX291" s="344"/>
      <c r="AY291" s="1133">
        <v>12600</v>
      </c>
      <c r="AZ291" s="1152">
        <v>12600</v>
      </c>
      <c r="BA291" s="345"/>
      <c r="BB291" s="346"/>
      <c r="BC291" s="347"/>
      <c r="BD291" s="348"/>
      <c r="BE291" s="349"/>
      <c r="BF291" s="348"/>
      <c r="BG291" s="349"/>
      <c r="BH291" s="350"/>
      <c r="BI291" s="351"/>
      <c r="BJ291" s="352"/>
      <c r="BK291" s="337"/>
      <c r="BL291" s="352"/>
      <c r="BM291" s="337"/>
      <c r="BN291" s="353"/>
      <c r="BO291" s="354"/>
      <c r="BP291" s="355"/>
      <c r="BQ291" s="356"/>
      <c r="BR291" s="355"/>
      <c r="BS291" s="356"/>
      <c r="BT291" s="357"/>
    </row>
    <row r="292" spans="1:72" s="313" customFormat="1" ht="63.75" outlineLevel="1">
      <c r="A292" s="287">
        <v>275</v>
      </c>
      <c r="B292" s="1143"/>
      <c r="C292" s="840"/>
      <c r="D292" s="841"/>
      <c r="E292" s="839"/>
      <c r="F292" s="821" t="s">
        <v>23</v>
      </c>
      <c r="G292" s="314">
        <v>2</v>
      </c>
      <c r="H292" s="739" t="s">
        <v>71</v>
      </c>
      <c r="I292" s="739">
        <v>244</v>
      </c>
      <c r="J292" s="740">
        <v>226</v>
      </c>
      <c r="K292" s="533" t="s">
        <v>719</v>
      </c>
      <c r="L292" s="1025">
        <v>8400</v>
      </c>
      <c r="M292" s="318"/>
      <c r="N292" s="318"/>
      <c r="O292" s="1052">
        <f t="shared" si="332"/>
        <v>8400</v>
      </c>
      <c r="P292" s="570"/>
      <c r="Q292" s="336"/>
      <c r="R292" s="559"/>
      <c r="S292" s="541"/>
      <c r="T292" s="559"/>
      <c r="U292" s="335"/>
      <c r="V292" s="596" t="s">
        <v>471</v>
      </c>
      <c r="W292" s="597" t="s">
        <v>720</v>
      </c>
      <c r="X292" s="597" t="s">
        <v>721</v>
      </c>
      <c r="Z292" s="336">
        <f t="shared" si="350"/>
        <v>0</v>
      </c>
      <c r="AA292" s="337">
        <f t="shared" si="350"/>
        <v>0</v>
      </c>
      <c r="AB292" s="338">
        <f t="shared" si="334"/>
        <v>0</v>
      </c>
      <c r="AC292" s="336">
        <f t="shared" si="351"/>
        <v>8400</v>
      </c>
      <c r="AD292" s="337">
        <f t="shared" si="351"/>
        <v>8400</v>
      </c>
      <c r="AE292" s="338">
        <f t="shared" si="336"/>
        <v>0</v>
      </c>
      <c r="AF292" s="336">
        <f t="shared" si="352"/>
        <v>0</v>
      </c>
      <c r="AG292" s="337">
        <f t="shared" si="352"/>
        <v>0</v>
      </c>
      <c r="AH292" s="338">
        <f t="shared" si="338"/>
        <v>0</v>
      </c>
      <c r="AI292" s="336">
        <f t="shared" si="353"/>
        <v>0</v>
      </c>
      <c r="AJ292" s="337">
        <f t="shared" si="353"/>
        <v>0</v>
      </c>
      <c r="AK292" s="338">
        <f t="shared" si="340"/>
        <v>0</v>
      </c>
      <c r="AL292" s="342"/>
      <c r="AM292" s="336">
        <f t="shared" si="354"/>
        <v>8400</v>
      </c>
      <c r="AN292" s="339">
        <f t="shared" si="354"/>
        <v>8400</v>
      </c>
      <c r="AO292" s="340">
        <f t="shared" si="342"/>
        <v>0</v>
      </c>
      <c r="AP292" s="336">
        <f t="shared" si="355"/>
        <v>8400</v>
      </c>
      <c r="AQ292" s="339">
        <f t="shared" si="355"/>
        <v>8400</v>
      </c>
      <c r="AR292" s="340">
        <f t="shared" si="328"/>
        <v>0</v>
      </c>
      <c r="AS292" s="341">
        <f t="shared" si="356"/>
        <v>8400</v>
      </c>
      <c r="AT292" s="339">
        <f t="shared" si="356"/>
        <v>8400</v>
      </c>
      <c r="AU292" s="340">
        <f t="shared" si="330"/>
        <v>0</v>
      </c>
      <c r="AV292" s="1255">
        <f t="shared" si="358"/>
        <v>0</v>
      </c>
      <c r="AW292" s="343"/>
      <c r="AX292" s="344"/>
      <c r="AY292" s="345"/>
      <c r="AZ292" s="344"/>
      <c r="BA292" s="345"/>
      <c r="BB292" s="346"/>
      <c r="BC292" s="1134">
        <v>8400</v>
      </c>
      <c r="BD292" s="1140">
        <v>8400</v>
      </c>
      <c r="BE292" s="349"/>
      <c r="BF292" s="348"/>
      <c r="BG292" s="349"/>
      <c r="BH292" s="350"/>
      <c r="BI292" s="351"/>
      <c r="BJ292" s="352"/>
      <c r="BK292" s="337"/>
      <c r="BL292" s="352"/>
      <c r="BM292" s="337"/>
      <c r="BN292" s="353"/>
      <c r="BO292" s="354"/>
      <c r="BP292" s="355"/>
      <c r="BQ292" s="356"/>
      <c r="BR292" s="355"/>
      <c r="BS292" s="356"/>
      <c r="BT292" s="357"/>
    </row>
    <row r="293" spans="1:72" s="615" customFormat="1" ht="38.25" outlineLevel="1">
      <c r="A293" s="287">
        <v>276</v>
      </c>
      <c r="B293" s="933"/>
      <c r="C293" s="866"/>
      <c r="D293" s="841"/>
      <c r="E293" s="867"/>
      <c r="F293" s="832" t="s">
        <v>23</v>
      </c>
      <c r="G293" s="616">
        <v>2</v>
      </c>
      <c r="H293" s="749" t="s">
        <v>71</v>
      </c>
      <c r="I293" s="749">
        <v>244</v>
      </c>
      <c r="J293" s="750">
        <v>226</v>
      </c>
      <c r="K293" s="534" t="s">
        <v>371</v>
      </c>
      <c r="L293" s="1043">
        <v>0</v>
      </c>
      <c r="M293" s="619"/>
      <c r="N293" s="619"/>
      <c r="O293" s="1054">
        <f t="shared" si="332"/>
        <v>0</v>
      </c>
      <c r="P293" s="620"/>
      <c r="Q293" s="509"/>
      <c r="R293" s="560"/>
      <c r="S293" s="542"/>
      <c r="T293" s="560"/>
      <c r="U293" s="621"/>
      <c r="V293" s="388"/>
      <c r="W293" s="388"/>
      <c r="X293" s="388"/>
      <c r="Z293" s="509">
        <f t="shared" si="350"/>
        <v>0</v>
      </c>
      <c r="AA293" s="622">
        <f t="shared" si="350"/>
        <v>0</v>
      </c>
      <c r="AB293" s="623">
        <f t="shared" si="334"/>
        <v>0</v>
      </c>
      <c r="AC293" s="509">
        <f t="shared" si="351"/>
        <v>0</v>
      </c>
      <c r="AD293" s="622">
        <f t="shared" si="351"/>
        <v>0</v>
      </c>
      <c r="AE293" s="623">
        <f t="shared" si="336"/>
        <v>0</v>
      </c>
      <c r="AF293" s="509">
        <f t="shared" si="352"/>
        <v>0</v>
      </c>
      <c r="AG293" s="622">
        <f t="shared" si="352"/>
        <v>0</v>
      </c>
      <c r="AH293" s="623">
        <f t="shared" si="338"/>
        <v>0</v>
      </c>
      <c r="AI293" s="509">
        <f t="shared" si="353"/>
        <v>0</v>
      </c>
      <c r="AJ293" s="622">
        <f t="shared" si="353"/>
        <v>0</v>
      </c>
      <c r="AK293" s="623">
        <f t="shared" si="340"/>
        <v>0</v>
      </c>
      <c r="AL293" s="624"/>
      <c r="AM293" s="509">
        <f t="shared" si="354"/>
        <v>0</v>
      </c>
      <c r="AN293" s="625">
        <f t="shared" si="354"/>
        <v>0</v>
      </c>
      <c r="AO293" s="626">
        <f t="shared" si="342"/>
        <v>0</v>
      </c>
      <c r="AP293" s="509">
        <f t="shared" si="355"/>
        <v>0</v>
      </c>
      <c r="AQ293" s="625">
        <f t="shared" si="355"/>
        <v>0</v>
      </c>
      <c r="AR293" s="626">
        <f t="shared" si="328"/>
        <v>0</v>
      </c>
      <c r="AS293" s="510">
        <f t="shared" si="356"/>
        <v>0</v>
      </c>
      <c r="AT293" s="625">
        <f t="shared" si="356"/>
        <v>0</v>
      </c>
      <c r="AU293" s="626">
        <f t="shared" si="330"/>
        <v>0</v>
      </c>
      <c r="AV293" s="440">
        <f t="shared" si="358"/>
        <v>0</v>
      </c>
      <c r="AW293" s="628"/>
      <c r="AX293" s="629"/>
      <c r="AY293" s="630"/>
      <c r="AZ293" s="629"/>
      <c r="BA293" s="630"/>
      <c r="BB293" s="631"/>
      <c r="BC293" s="632"/>
      <c r="BD293" s="633"/>
      <c r="BE293" s="634"/>
      <c r="BF293" s="633"/>
      <c r="BG293" s="634"/>
      <c r="BH293" s="635"/>
      <c r="BI293" s="636"/>
      <c r="BJ293" s="637"/>
      <c r="BK293" s="622"/>
      <c r="BL293" s="637"/>
      <c r="BM293" s="622"/>
      <c r="BN293" s="638"/>
      <c r="BO293" s="639"/>
      <c r="BP293" s="640"/>
      <c r="BQ293" s="641"/>
      <c r="BR293" s="640"/>
      <c r="BS293" s="641"/>
      <c r="BT293" s="642"/>
    </row>
    <row r="294" spans="1:72" s="615" customFormat="1" ht="38.25" outlineLevel="1">
      <c r="A294" s="287">
        <v>277</v>
      </c>
      <c r="B294" s="933"/>
      <c r="C294" s="866"/>
      <c r="D294" s="841"/>
      <c r="E294" s="867"/>
      <c r="F294" s="832" t="s">
        <v>23</v>
      </c>
      <c r="G294" s="616">
        <v>2</v>
      </c>
      <c r="H294" s="749" t="s">
        <v>71</v>
      </c>
      <c r="I294" s="749">
        <v>244</v>
      </c>
      <c r="J294" s="750">
        <v>226</v>
      </c>
      <c r="K294" s="534" t="s">
        <v>396</v>
      </c>
      <c r="L294" s="1043">
        <v>0</v>
      </c>
      <c r="M294" s="619"/>
      <c r="N294" s="619"/>
      <c r="O294" s="1054">
        <f t="shared" si="332"/>
        <v>0</v>
      </c>
      <c r="P294" s="620"/>
      <c r="Q294" s="509"/>
      <c r="R294" s="560"/>
      <c r="S294" s="542"/>
      <c r="T294" s="560"/>
      <c r="U294" s="621"/>
      <c r="V294" s="388" t="s">
        <v>331</v>
      </c>
      <c r="W294" s="388" t="s">
        <v>332</v>
      </c>
      <c r="X294" s="388" t="s">
        <v>243</v>
      </c>
      <c r="Z294" s="509">
        <f t="shared" si="350"/>
        <v>0</v>
      </c>
      <c r="AA294" s="622">
        <f t="shared" si="350"/>
        <v>0</v>
      </c>
      <c r="AB294" s="623">
        <f t="shared" si="334"/>
        <v>0</v>
      </c>
      <c r="AC294" s="509">
        <f t="shared" si="351"/>
        <v>0</v>
      </c>
      <c r="AD294" s="622">
        <f t="shared" si="351"/>
        <v>0</v>
      </c>
      <c r="AE294" s="623">
        <f t="shared" si="336"/>
        <v>0</v>
      </c>
      <c r="AF294" s="509">
        <f t="shared" si="352"/>
        <v>0</v>
      </c>
      <c r="AG294" s="622">
        <f t="shared" si="352"/>
        <v>0</v>
      </c>
      <c r="AH294" s="623">
        <f t="shared" si="338"/>
        <v>0</v>
      </c>
      <c r="AI294" s="509">
        <f t="shared" si="353"/>
        <v>0</v>
      </c>
      <c r="AJ294" s="622">
        <f t="shared" si="353"/>
        <v>0</v>
      </c>
      <c r="AK294" s="623">
        <f t="shared" si="340"/>
        <v>0</v>
      </c>
      <c r="AL294" s="624"/>
      <c r="AM294" s="509">
        <f t="shared" si="354"/>
        <v>0</v>
      </c>
      <c r="AN294" s="625">
        <f t="shared" si="354"/>
        <v>0</v>
      </c>
      <c r="AO294" s="626">
        <f t="shared" si="342"/>
        <v>0</v>
      </c>
      <c r="AP294" s="509">
        <f t="shared" si="355"/>
        <v>0</v>
      </c>
      <c r="AQ294" s="625">
        <f t="shared" si="355"/>
        <v>0</v>
      </c>
      <c r="AR294" s="626">
        <f t="shared" si="328"/>
        <v>0</v>
      </c>
      <c r="AS294" s="510">
        <f t="shared" si="356"/>
        <v>0</v>
      </c>
      <c r="AT294" s="625">
        <f t="shared" si="356"/>
        <v>0</v>
      </c>
      <c r="AU294" s="626">
        <f t="shared" si="330"/>
        <v>0</v>
      </c>
      <c r="AV294" s="440">
        <f t="shared" si="358"/>
        <v>0</v>
      </c>
      <c r="AW294" s="628"/>
      <c r="AX294" s="629"/>
      <c r="AY294" s="630"/>
      <c r="AZ294" s="629"/>
      <c r="BA294" s="630"/>
      <c r="BB294" s="631"/>
      <c r="BC294" s="632"/>
      <c r="BD294" s="633"/>
      <c r="BE294" s="634"/>
      <c r="BF294" s="633"/>
      <c r="BG294" s="634"/>
      <c r="BH294" s="635"/>
      <c r="BI294" s="636"/>
      <c r="BJ294" s="637"/>
      <c r="BK294" s="622"/>
      <c r="BL294" s="637"/>
      <c r="BM294" s="622"/>
      <c r="BN294" s="638"/>
      <c r="BO294" s="639"/>
      <c r="BP294" s="640"/>
      <c r="BQ294" s="641"/>
      <c r="BR294" s="640"/>
      <c r="BS294" s="641"/>
      <c r="BT294" s="642"/>
    </row>
    <row r="295" spans="1:72" s="313" customFormat="1" ht="409.5" outlineLevel="1">
      <c r="A295" s="287">
        <v>278</v>
      </c>
      <c r="B295" s="1147"/>
      <c r="C295" s="840"/>
      <c r="D295" s="841"/>
      <c r="E295" s="839"/>
      <c r="F295" s="821" t="s">
        <v>23</v>
      </c>
      <c r="G295" s="314">
        <v>2</v>
      </c>
      <c r="H295" s="739" t="s">
        <v>71</v>
      </c>
      <c r="I295" s="739">
        <v>244</v>
      </c>
      <c r="J295" s="740">
        <v>226</v>
      </c>
      <c r="K295" s="533" t="s">
        <v>802</v>
      </c>
      <c r="L295" s="1025">
        <f>1303567.18-100000+69426.41-39600-12600-2500-2700-10560-228988.11-8400-99000-19200-25000-24900-36010-5499-21210-1679-4101-38115-1159-201-8170-570-4200-7800-2000-13300-39692-60000+70438.2</f>
        <v>626277.68000000005</v>
      </c>
      <c r="M295" s="318"/>
      <c r="N295" s="318"/>
      <c r="O295" s="1052">
        <f t="shared" si="332"/>
        <v>626277.68000000005</v>
      </c>
      <c r="P295" s="570"/>
      <c r="Q295" s="336">
        <f>1327835.02-39600</f>
        <v>1288235.02</v>
      </c>
      <c r="R295" s="559"/>
      <c r="S295" s="541">
        <f>1329481.13-39600</f>
        <v>1289881.1299999999</v>
      </c>
      <c r="T295" s="559"/>
      <c r="U295" s="335"/>
      <c r="V295" s="596" t="s">
        <v>338</v>
      </c>
      <c r="W295" s="596" t="s">
        <v>1067</v>
      </c>
      <c r="X295" s="596" t="s">
        <v>841</v>
      </c>
      <c r="Z295" s="336">
        <f t="shared" si="350"/>
        <v>46262.96</v>
      </c>
      <c r="AA295" s="337">
        <f t="shared" si="350"/>
        <v>46262.96</v>
      </c>
      <c r="AB295" s="338">
        <f t="shared" si="334"/>
        <v>0</v>
      </c>
      <c r="AC295" s="336">
        <f t="shared" si="351"/>
        <v>254274.85</v>
      </c>
      <c r="AD295" s="337">
        <f t="shared" si="351"/>
        <v>254274.85</v>
      </c>
      <c r="AE295" s="338">
        <f t="shared" si="336"/>
        <v>0</v>
      </c>
      <c r="AF295" s="336">
        <f t="shared" si="352"/>
        <v>102879.91</v>
      </c>
      <c r="AG295" s="337">
        <f t="shared" si="352"/>
        <v>102879.91</v>
      </c>
      <c r="AH295" s="338">
        <f t="shared" si="338"/>
        <v>0</v>
      </c>
      <c r="AI295" s="336">
        <f t="shared" si="353"/>
        <v>152421.76000000001</v>
      </c>
      <c r="AJ295" s="337">
        <f t="shared" si="353"/>
        <v>33700.39</v>
      </c>
      <c r="AK295" s="338">
        <f t="shared" si="340"/>
        <v>118721.37</v>
      </c>
      <c r="AL295" s="342"/>
      <c r="AM295" s="336">
        <f t="shared" si="354"/>
        <v>300537.81</v>
      </c>
      <c r="AN295" s="339">
        <f t="shared" si="354"/>
        <v>300537.81</v>
      </c>
      <c r="AO295" s="340">
        <f t="shared" si="342"/>
        <v>0</v>
      </c>
      <c r="AP295" s="336">
        <f t="shared" si="355"/>
        <v>403417.72</v>
      </c>
      <c r="AQ295" s="339">
        <f t="shared" si="355"/>
        <v>403417.72</v>
      </c>
      <c r="AR295" s="340">
        <f t="shared" si="328"/>
        <v>0</v>
      </c>
      <c r="AS295" s="341">
        <f t="shared" si="356"/>
        <v>555839.48</v>
      </c>
      <c r="AT295" s="339">
        <f t="shared" si="356"/>
        <v>437118.11</v>
      </c>
      <c r="AU295" s="340">
        <f t="shared" si="330"/>
        <v>118721.37</v>
      </c>
      <c r="AV295" s="1255">
        <f t="shared" si="358"/>
        <v>70438.2</v>
      </c>
      <c r="AW295" s="343"/>
      <c r="AX295" s="344"/>
      <c r="AY295" s="345"/>
      <c r="AZ295" s="344"/>
      <c r="BA295" s="1217">
        <v>46262.96</v>
      </c>
      <c r="BB295" s="1219">
        <v>46262.96</v>
      </c>
      <c r="BC295" s="1220">
        <v>86404.1</v>
      </c>
      <c r="BD295" s="1221">
        <v>86404.1</v>
      </c>
      <c r="BE295" s="1222">
        <f>66275.8+4661.94</f>
        <v>70937.740000000005</v>
      </c>
      <c r="BF295" s="1221">
        <v>70937.740000000005</v>
      </c>
      <c r="BG295" s="1222">
        <v>96933.01</v>
      </c>
      <c r="BH295" s="1223">
        <v>96933.01</v>
      </c>
      <c r="BI295" s="1224">
        <v>102879.91</v>
      </c>
      <c r="BJ295" s="1225">
        <v>102879.91</v>
      </c>
      <c r="BK295" s="337"/>
      <c r="BL295" s="352"/>
      <c r="BM295" s="337"/>
      <c r="BN295" s="353"/>
      <c r="BO295" s="1138">
        <v>33700.39</v>
      </c>
      <c r="BP295" s="355">
        <v>33700.39</v>
      </c>
      <c r="BQ295" s="356"/>
      <c r="BR295" s="355"/>
      <c r="BS295" s="356">
        <v>118721.37</v>
      </c>
      <c r="BT295" s="357"/>
    </row>
    <row r="296" spans="1:72" s="313" customFormat="1" ht="38.25" outlineLevel="1">
      <c r="A296" s="287">
        <v>279</v>
      </c>
      <c r="B296" s="1151"/>
      <c r="C296" s="840"/>
      <c r="D296" s="841"/>
      <c r="E296" s="839"/>
      <c r="F296" s="821" t="s">
        <v>23</v>
      </c>
      <c r="G296" s="314">
        <v>2</v>
      </c>
      <c r="H296" s="739" t="s">
        <v>71</v>
      </c>
      <c r="I296" s="739">
        <v>244</v>
      </c>
      <c r="J296" s="740">
        <v>226</v>
      </c>
      <c r="K296" s="533" t="s">
        <v>348</v>
      </c>
      <c r="L296" s="1025">
        <v>0</v>
      </c>
      <c r="M296" s="318"/>
      <c r="N296" s="318"/>
      <c r="O296" s="1052">
        <f t="shared" si="332"/>
        <v>0</v>
      </c>
      <c r="P296" s="570"/>
      <c r="Q296" s="336">
        <v>76788.2</v>
      </c>
      <c r="R296" s="559"/>
      <c r="S296" s="541">
        <v>76788.2</v>
      </c>
      <c r="T296" s="559"/>
      <c r="U296" s="335"/>
      <c r="V296" s="320" t="s">
        <v>338</v>
      </c>
      <c r="W296" s="388"/>
      <c r="X296" s="388"/>
      <c r="Z296" s="336">
        <f t="shared" si="350"/>
        <v>30000</v>
      </c>
      <c r="AA296" s="337">
        <f t="shared" si="350"/>
        <v>0</v>
      </c>
      <c r="AB296" s="338">
        <f t="shared" si="334"/>
        <v>30000</v>
      </c>
      <c r="AC296" s="336">
        <f t="shared" si="351"/>
        <v>20000</v>
      </c>
      <c r="AD296" s="337">
        <f t="shared" si="351"/>
        <v>0</v>
      </c>
      <c r="AE296" s="338">
        <f t="shared" si="336"/>
        <v>20000</v>
      </c>
      <c r="AF296" s="336">
        <f t="shared" si="352"/>
        <v>0</v>
      </c>
      <c r="AG296" s="337">
        <f t="shared" si="352"/>
        <v>0</v>
      </c>
      <c r="AH296" s="338">
        <f t="shared" si="338"/>
        <v>0</v>
      </c>
      <c r="AI296" s="336">
        <f t="shared" si="353"/>
        <v>26788.2</v>
      </c>
      <c r="AJ296" s="337">
        <f t="shared" si="353"/>
        <v>0</v>
      </c>
      <c r="AK296" s="338">
        <f t="shared" si="340"/>
        <v>26788.2</v>
      </c>
      <c r="AL296" s="342"/>
      <c r="AM296" s="336">
        <f t="shared" si="354"/>
        <v>50000</v>
      </c>
      <c r="AN296" s="339">
        <f t="shared" si="354"/>
        <v>0</v>
      </c>
      <c r="AO296" s="340">
        <f t="shared" si="342"/>
        <v>50000</v>
      </c>
      <c r="AP296" s="336">
        <f t="shared" si="355"/>
        <v>50000</v>
      </c>
      <c r="AQ296" s="339">
        <f t="shared" si="355"/>
        <v>0</v>
      </c>
      <c r="AR296" s="340">
        <f t="shared" si="328"/>
        <v>50000</v>
      </c>
      <c r="AS296" s="341">
        <f t="shared" si="356"/>
        <v>76788.2</v>
      </c>
      <c r="AT296" s="339">
        <f t="shared" si="356"/>
        <v>0</v>
      </c>
      <c r="AU296" s="340">
        <f t="shared" si="330"/>
        <v>76788.2</v>
      </c>
      <c r="AV296" s="1255">
        <f t="shared" si="358"/>
        <v>-76788.2</v>
      </c>
      <c r="AW296" s="343"/>
      <c r="AX296" s="344"/>
      <c r="AY296" s="345"/>
      <c r="AZ296" s="344"/>
      <c r="BA296" s="345">
        <v>30000</v>
      </c>
      <c r="BB296" s="346"/>
      <c r="BC296" s="347"/>
      <c r="BD296" s="348"/>
      <c r="BE296" s="349">
        <v>20000</v>
      </c>
      <c r="BF296" s="348"/>
      <c r="BG296" s="349"/>
      <c r="BH296" s="350"/>
      <c r="BI296" s="351"/>
      <c r="BJ296" s="352"/>
      <c r="BK296" s="337"/>
      <c r="BL296" s="352"/>
      <c r="BM296" s="337"/>
      <c r="BN296" s="353"/>
      <c r="BO296" s="354"/>
      <c r="BP296" s="355"/>
      <c r="BQ296" s="356"/>
      <c r="BR296" s="355"/>
      <c r="BS296" s="356">
        <v>26788.2</v>
      </c>
      <c r="BT296" s="357"/>
    </row>
    <row r="297" spans="1:72" s="313" customFormat="1" ht="63.75" outlineLevel="1">
      <c r="A297" s="287">
        <v>280</v>
      </c>
      <c r="B297" s="1147"/>
      <c r="C297" s="840"/>
      <c r="D297" s="841"/>
      <c r="E297" s="839"/>
      <c r="F297" s="821" t="s">
        <v>23</v>
      </c>
      <c r="G297" s="314">
        <v>2</v>
      </c>
      <c r="H297" s="739" t="s">
        <v>71</v>
      </c>
      <c r="I297" s="739">
        <v>244</v>
      </c>
      <c r="J297" s="740">
        <v>226</v>
      </c>
      <c r="K297" s="533" t="s">
        <v>828</v>
      </c>
      <c r="L297" s="1031">
        <v>60000</v>
      </c>
      <c r="M297" s="318"/>
      <c r="N297" s="318"/>
      <c r="O297" s="1055">
        <f t="shared" si="332"/>
        <v>60000</v>
      </c>
      <c r="P297" s="570"/>
      <c r="Q297" s="336">
        <v>0</v>
      </c>
      <c r="R297" s="559"/>
      <c r="S297" s="541">
        <v>0</v>
      </c>
      <c r="T297" s="559"/>
      <c r="U297" s="335"/>
      <c r="V297" s="596" t="s">
        <v>829</v>
      </c>
      <c r="W297" s="596" t="s">
        <v>870</v>
      </c>
      <c r="X297" s="596" t="s">
        <v>831</v>
      </c>
      <c r="Z297" s="336">
        <f t="shared" ref="Z297:AA324" si="373">AW297+AY297+BA297</f>
        <v>0</v>
      </c>
      <c r="AA297" s="337">
        <f t="shared" si="373"/>
        <v>0</v>
      </c>
      <c r="AB297" s="338">
        <f t="shared" si="334"/>
        <v>0</v>
      </c>
      <c r="AC297" s="336">
        <f t="shared" ref="AC297:AD324" si="374">BC297+BE297+BG297</f>
        <v>28200</v>
      </c>
      <c r="AD297" s="337">
        <f t="shared" si="374"/>
        <v>0</v>
      </c>
      <c r="AE297" s="338">
        <f t="shared" si="336"/>
        <v>28200</v>
      </c>
      <c r="AF297" s="336">
        <f t="shared" ref="AF297:AG324" si="375">BI297+BK297+BM297</f>
        <v>31800</v>
      </c>
      <c r="AG297" s="337">
        <f t="shared" si="375"/>
        <v>0</v>
      </c>
      <c r="AH297" s="338">
        <f t="shared" si="338"/>
        <v>31800</v>
      </c>
      <c r="AI297" s="336">
        <f t="shared" ref="AI297:AJ324" si="376">BO297+BQ297+BS297</f>
        <v>0</v>
      </c>
      <c r="AJ297" s="337">
        <f t="shared" si="376"/>
        <v>0</v>
      </c>
      <c r="AK297" s="338">
        <f t="shared" si="340"/>
        <v>0</v>
      </c>
      <c r="AL297" s="342"/>
      <c r="AM297" s="336">
        <f t="shared" ref="AM297:AN324" si="377">Z297+AC297</f>
        <v>28200</v>
      </c>
      <c r="AN297" s="339">
        <f t="shared" si="377"/>
        <v>0</v>
      </c>
      <c r="AO297" s="340">
        <f t="shared" si="342"/>
        <v>28200</v>
      </c>
      <c r="AP297" s="336">
        <f t="shared" ref="AP297:AQ324" si="378">Z297+AC297+AF297</f>
        <v>60000</v>
      </c>
      <c r="AQ297" s="339">
        <f t="shared" si="378"/>
        <v>0</v>
      </c>
      <c r="AR297" s="340">
        <f t="shared" si="328"/>
        <v>60000</v>
      </c>
      <c r="AS297" s="341">
        <f t="shared" ref="AS297:AT324" si="379">Z297+AC297+AF297+AI297</f>
        <v>60000</v>
      </c>
      <c r="AT297" s="339">
        <f t="shared" si="379"/>
        <v>0</v>
      </c>
      <c r="AU297" s="340">
        <f t="shared" si="330"/>
        <v>60000</v>
      </c>
      <c r="AV297" s="1255">
        <f t="shared" si="358"/>
        <v>0</v>
      </c>
      <c r="AW297" s="343"/>
      <c r="AX297" s="344"/>
      <c r="AY297" s="345"/>
      <c r="AZ297" s="344"/>
      <c r="BA297" s="345"/>
      <c r="BB297" s="346"/>
      <c r="BC297" s="347"/>
      <c r="BD297" s="348"/>
      <c r="BE297" s="1135"/>
      <c r="BF297" s="348"/>
      <c r="BG297" s="1135">
        <v>28200</v>
      </c>
      <c r="BH297" s="350"/>
      <c r="BI297" s="351"/>
      <c r="BJ297" s="352"/>
      <c r="BK297" s="337"/>
      <c r="BL297" s="352"/>
      <c r="BM297" s="337">
        <f>60000-28200</f>
        <v>31800</v>
      </c>
      <c r="BN297" s="353"/>
      <c r="BO297" s="354"/>
      <c r="BP297" s="355"/>
      <c r="BQ297" s="356"/>
      <c r="BR297" s="355"/>
      <c r="BS297" s="356"/>
      <c r="BT297" s="357"/>
    </row>
    <row r="298" spans="1:72" s="313" customFormat="1" ht="38.25" outlineLevel="1">
      <c r="A298" s="287">
        <v>281</v>
      </c>
      <c r="B298" s="1148"/>
      <c r="C298" s="840"/>
      <c r="D298" s="841"/>
      <c r="E298" s="839"/>
      <c r="F298" s="821" t="s">
        <v>23</v>
      </c>
      <c r="G298" s="314">
        <v>2</v>
      </c>
      <c r="H298" s="739" t="s">
        <v>71</v>
      </c>
      <c r="I298" s="739">
        <v>244</v>
      </c>
      <c r="J298" s="740">
        <v>226</v>
      </c>
      <c r="K298" s="533" t="s">
        <v>620</v>
      </c>
      <c r="L298" s="1025">
        <v>99000</v>
      </c>
      <c r="M298" s="318"/>
      <c r="N298" s="318"/>
      <c r="O298" s="1052">
        <f t="shared" si="332"/>
        <v>99000</v>
      </c>
      <c r="P298" s="570"/>
      <c r="Q298" s="336">
        <v>0</v>
      </c>
      <c r="R298" s="559"/>
      <c r="S298" s="541">
        <v>0</v>
      </c>
      <c r="T298" s="559"/>
      <c r="U298" s="335"/>
      <c r="V298" s="596" t="s">
        <v>606</v>
      </c>
      <c r="W298" s="596" t="s">
        <v>607</v>
      </c>
      <c r="X298" s="596" t="s">
        <v>608</v>
      </c>
      <c r="Z298" s="336">
        <f t="shared" si="373"/>
        <v>0</v>
      </c>
      <c r="AA298" s="337">
        <f t="shared" si="373"/>
        <v>0</v>
      </c>
      <c r="AB298" s="338">
        <f t="shared" si="334"/>
        <v>0</v>
      </c>
      <c r="AC298" s="336">
        <f t="shared" si="374"/>
        <v>22000</v>
      </c>
      <c r="AD298" s="337">
        <f t="shared" si="374"/>
        <v>0</v>
      </c>
      <c r="AE298" s="338">
        <f t="shared" si="336"/>
        <v>22000</v>
      </c>
      <c r="AF298" s="336">
        <f t="shared" si="375"/>
        <v>33000</v>
      </c>
      <c r="AG298" s="337">
        <f t="shared" si="375"/>
        <v>0</v>
      </c>
      <c r="AH298" s="338">
        <f t="shared" si="338"/>
        <v>33000</v>
      </c>
      <c r="AI298" s="336">
        <f t="shared" si="376"/>
        <v>44000</v>
      </c>
      <c r="AJ298" s="337">
        <f t="shared" si="376"/>
        <v>0</v>
      </c>
      <c r="AK298" s="338">
        <f t="shared" si="340"/>
        <v>44000</v>
      </c>
      <c r="AL298" s="342"/>
      <c r="AM298" s="336">
        <f t="shared" si="377"/>
        <v>22000</v>
      </c>
      <c r="AN298" s="339">
        <f t="shared" si="377"/>
        <v>0</v>
      </c>
      <c r="AO298" s="340">
        <f t="shared" si="342"/>
        <v>22000</v>
      </c>
      <c r="AP298" s="336">
        <f t="shared" si="378"/>
        <v>55000</v>
      </c>
      <c r="AQ298" s="339">
        <f t="shared" si="378"/>
        <v>0</v>
      </c>
      <c r="AR298" s="340">
        <f t="shared" si="328"/>
        <v>55000</v>
      </c>
      <c r="AS298" s="341">
        <f t="shared" si="379"/>
        <v>99000</v>
      </c>
      <c r="AT298" s="339">
        <f t="shared" si="379"/>
        <v>0</v>
      </c>
      <c r="AU298" s="340">
        <f t="shared" si="330"/>
        <v>99000</v>
      </c>
      <c r="AV298" s="1255">
        <f t="shared" si="358"/>
        <v>0</v>
      </c>
      <c r="AW298" s="343"/>
      <c r="AX298" s="344"/>
      <c r="AY298" s="345"/>
      <c r="AZ298" s="344"/>
      <c r="BA298" s="345"/>
      <c r="BB298" s="346"/>
      <c r="BC298" s="347"/>
      <c r="BD298" s="348"/>
      <c r="BE298" s="349">
        <v>11000</v>
      </c>
      <c r="BF298" s="348"/>
      <c r="BG298" s="349">
        <v>11000</v>
      </c>
      <c r="BH298" s="350"/>
      <c r="BI298" s="351">
        <v>11000</v>
      </c>
      <c r="BJ298" s="352"/>
      <c r="BK298" s="337">
        <v>11000</v>
      </c>
      <c r="BL298" s="352"/>
      <c r="BM298" s="337">
        <v>11000</v>
      </c>
      <c r="BN298" s="353"/>
      <c r="BO298" s="354">
        <v>11000</v>
      </c>
      <c r="BP298" s="355"/>
      <c r="BQ298" s="356">
        <v>11000</v>
      </c>
      <c r="BR298" s="355"/>
      <c r="BS298" s="356">
        <f>11000*2</f>
        <v>22000</v>
      </c>
      <c r="BT298" s="357"/>
    </row>
    <row r="299" spans="1:72" s="313" customFormat="1" ht="25.5" outlineLevel="1">
      <c r="A299" s="287">
        <v>282</v>
      </c>
      <c r="B299" s="936"/>
      <c r="C299" s="840"/>
      <c r="D299" s="841"/>
      <c r="E299" s="839"/>
      <c r="F299" s="821" t="s">
        <v>23</v>
      </c>
      <c r="G299" s="314">
        <v>2</v>
      </c>
      <c r="H299" s="739" t="s">
        <v>71</v>
      </c>
      <c r="I299" s="739">
        <v>244</v>
      </c>
      <c r="J299" s="740">
        <v>226</v>
      </c>
      <c r="K299" s="533" t="s">
        <v>349</v>
      </c>
      <c r="L299" s="1025">
        <v>140621.84</v>
      </c>
      <c r="M299" s="318"/>
      <c r="N299" s="318"/>
      <c r="O299" s="1052">
        <f t="shared" si="332"/>
        <v>140621.84</v>
      </c>
      <c r="P299" s="570"/>
      <c r="Q299" s="336">
        <v>622720</v>
      </c>
      <c r="R299" s="559"/>
      <c r="S299" s="541">
        <v>622720</v>
      </c>
      <c r="T299" s="559"/>
      <c r="U299" s="335"/>
      <c r="V299" s="320" t="s">
        <v>355</v>
      </c>
      <c r="W299" s="388"/>
      <c r="X299" s="388"/>
      <c r="Z299" s="336">
        <f t="shared" si="373"/>
        <v>310000</v>
      </c>
      <c r="AA299" s="337">
        <f t="shared" si="373"/>
        <v>0</v>
      </c>
      <c r="AB299" s="338">
        <f t="shared" si="334"/>
        <v>310000</v>
      </c>
      <c r="AC299" s="336">
        <f t="shared" si="374"/>
        <v>155000</v>
      </c>
      <c r="AD299" s="337">
        <f t="shared" si="374"/>
        <v>0</v>
      </c>
      <c r="AE299" s="338">
        <f t="shared" si="336"/>
        <v>155000</v>
      </c>
      <c r="AF299" s="336">
        <f t="shared" si="375"/>
        <v>0</v>
      </c>
      <c r="AG299" s="337">
        <f t="shared" si="375"/>
        <v>0</v>
      </c>
      <c r="AH299" s="338">
        <f t="shared" si="338"/>
        <v>0</v>
      </c>
      <c r="AI299" s="336">
        <f t="shared" si="376"/>
        <v>157720</v>
      </c>
      <c r="AJ299" s="337">
        <f t="shared" si="376"/>
        <v>0</v>
      </c>
      <c r="AK299" s="338">
        <f t="shared" si="340"/>
        <v>157720</v>
      </c>
      <c r="AL299" s="342"/>
      <c r="AM299" s="336">
        <f t="shared" si="377"/>
        <v>465000</v>
      </c>
      <c r="AN299" s="339">
        <f t="shared" si="377"/>
        <v>0</v>
      </c>
      <c r="AO299" s="340">
        <f t="shared" si="342"/>
        <v>465000</v>
      </c>
      <c r="AP299" s="336">
        <f t="shared" si="378"/>
        <v>465000</v>
      </c>
      <c r="AQ299" s="339">
        <f t="shared" si="378"/>
        <v>0</v>
      </c>
      <c r="AR299" s="340">
        <f t="shared" si="328"/>
        <v>465000</v>
      </c>
      <c r="AS299" s="341">
        <f t="shared" si="379"/>
        <v>622720</v>
      </c>
      <c r="AT299" s="339">
        <f t="shared" si="379"/>
        <v>0</v>
      </c>
      <c r="AU299" s="340">
        <f t="shared" si="330"/>
        <v>622720</v>
      </c>
      <c r="AV299" s="1255">
        <f t="shared" si="358"/>
        <v>-482098.16</v>
      </c>
      <c r="AW299" s="343"/>
      <c r="AX299" s="344"/>
      <c r="AY299" s="345"/>
      <c r="AZ299" s="344"/>
      <c r="BA299" s="345">
        <v>310000</v>
      </c>
      <c r="BB299" s="346"/>
      <c r="BC299" s="347"/>
      <c r="BD299" s="348"/>
      <c r="BE299" s="349">
        <v>155000</v>
      </c>
      <c r="BF299" s="348"/>
      <c r="BG299" s="349"/>
      <c r="BH299" s="350"/>
      <c r="BI299" s="351"/>
      <c r="BJ299" s="352"/>
      <c r="BK299" s="337"/>
      <c r="BL299" s="352"/>
      <c r="BM299" s="337"/>
      <c r="BN299" s="353"/>
      <c r="BO299" s="354"/>
      <c r="BP299" s="355"/>
      <c r="BQ299" s="356"/>
      <c r="BR299" s="355"/>
      <c r="BS299" s="356">
        <v>157720</v>
      </c>
      <c r="BT299" s="357"/>
    </row>
    <row r="300" spans="1:72" s="313" customFormat="1" ht="38.25" outlineLevel="1">
      <c r="A300" s="287">
        <v>283</v>
      </c>
      <c r="B300" s="941"/>
      <c r="C300" s="840"/>
      <c r="D300" s="841"/>
      <c r="E300" s="839"/>
      <c r="F300" s="821" t="s">
        <v>23</v>
      </c>
      <c r="G300" s="314">
        <v>2</v>
      </c>
      <c r="H300" s="739" t="s">
        <v>71</v>
      </c>
      <c r="I300" s="739">
        <v>244</v>
      </c>
      <c r="J300" s="740">
        <v>226</v>
      </c>
      <c r="K300" s="533" t="s">
        <v>350</v>
      </c>
      <c r="L300" s="1025">
        <f>138200+35000</f>
        <v>173200</v>
      </c>
      <c r="M300" s="619"/>
      <c r="N300" s="318">
        <v>-170304.12</v>
      </c>
      <c r="O300" s="1052">
        <f t="shared" si="332"/>
        <v>2895.88</v>
      </c>
      <c r="P300" s="570"/>
      <c r="Q300" s="336">
        <v>138200</v>
      </c>
      <c r="R300" s="559"/>
      <c r="S300" s="541">
        <v>138200</v>
      </c>
      <c r="T300" s="559"/>
      <c r="U300" s="335"/>
      <c r="V300" s="320"/>
      <c r="W300" s="388"/>
      <c r="X300" s="388"/>
      <c r="Z300" s="336">
        <f t="shared" si="373"/>
        <v>70000</v>
      </c>
      <c r="AA300" s="337">
        <f t="shared" si="373"/>
        <v>0</v>
      </c>
      <c r="AB300" s="338">
        <f t="shared" si="334"/>
        <v>70000</v>
      </c>
      <c r="AC300" s="336">
        <f t="shared" si="374"/>
        <v>35000</v>
      </c>
      <c r="AD300" s="337">
        <f t="shared" si="374"/>
        <v>0</v>
      </c>
      <c r="AE300" s="338">
        <f t="shared" si="336"/>
        <v>35000</v>
      </c>
      <c r="AF300" s="336">
        <f t="shared" si="375"/>
        <v>35000</v>
      </c>
      <c r="AG300" s="337">
        <f t="shared" si="375"/>
        <v>0</v>
      </c>
      <c r="AH300" s="338">
        <f t="shared" si="338"/>
        <v>35000</v>
      </c>
      <c r="AI300" s="336">
        <f t="shared" si="376"/>
        <v>33200</v>
      </c>
      <c r="AJ300" s="337">
        <f t="shared" si="376"/>
        <v>0</v>
      </c>
      <c r="AK300" s="338">
        <f t="shared" si="340"/>
        <v>33200</v>
      </c>
      <c r="AL300" s="342"/>
      <c r="AM300" s="336">
        <f t="shared" si="377"/>
        <v>105000</v>
      </c>
      <c r="AN300" s="339">
        <f t="shared" si="377"/>
        <v>0</v>
      </c>
      <c r="AO300" s="340">
        <f t="shared" si="342"/>
        <v>105000</v>
      </c>
      <c r="AP300" s="336">
        <f t="shared" si="378"/>
        <v>140000</v>
      </c>
      <c r="AQ300" s="339">
        <f t="shared" si="378"/>
        <v>0</v>
      </c>
      <c r="AR300" s="340">
        <f t="shared" si="328"/>
        <v>140000</v>
      </c>
      <c r="AS300" s="341">
        <f t="shared" si="379"/>
        <v>173200</v>
      </c>
      <c r="AT300" s="339">
        <f t="shared" si="379"/>
        <v>0</v>
      </c>
      <c r="AU300" s="340">
        <f t="shared" si="330"/>
        <v>173200</v>
      </c>
      <c r="AV300" s="1255">
        <f t="shared" si="358"/>
        <v>0</v>
      </c>
      <c r="AW300" s="343"/>
      <c r="AX300" s="344"/>
      <c r="AY300" s="345"/>
      <c r="AZ300" s="344"/>
      <c r="BA300" s="345">
        <v>70000</v>
      </c>
      <c r="BB300" s="346"/>
      <c r="BC300" s="347"/>
      <c r="BD300" s="348"/>
      <c r="BE300" s="349">
        <v>35000</v>
      </c>
      <c r="BF300" s="348"/>
      <c r="BG300" s="349"/>
      <c r="BH300" s="350"/>
      <c r="BI300" s="351"/>
      <c r="BJ300" s="352"/>
      <c r="BK300" s="337">
        <v>35000</v>
      </c>
      <c r="BL300" s="352"/>
      <c r="BM300" s="337"/>
      <c r="BN300" s="353"/>
      <c r="BO300" s="354"/>
      <c r="BP300" s="355"/>
      <c r="BQ300" s="356"/>
      <c r="BR300" s="355"/>
      <c r="BS300" s="356">
        <v>33200</v>
      </c>
      <c r="BT300" s="357"/>
    </row>
    <row r="301" spans="1:72" s="313" customFormat="1" ht="76.5">
      <c r="A301" s="287">
        <v>284</v>
      </c>
      <c r="B301" s="941"/>
      <c r="C301" s="840"/>
      <c r="D301" s="841"/>
      <c r="E301" s="839"/>
      <c r="F301" s="821" t="s">
        <v>23</v>
      </c>
      <c r="G301" s="314">
        <v>2</v>
      </c>
      <c r="H301" s="739" t="s">
        <v>71</v>
      </c>
      <c r="I301" s="739">
        <v>244</v>
      </c>
      <c r="J301" s="740">
        <v>226</v>
      </c>
      <c r="K301" s="533" t="s">
        <v>478</v>
      </c>
      <c r="L301" s="1025">
        <v>2500</v>
      </c>
      <c r="M301" s="318"/>
      <c r="N301" s="318"/>
      <c r="O301" s="1052">
        <f t="shared" si="332"/>
        <v>2500</v>
      </c>
      <c r="P301" s="570"/>
      <c r="Q301" s="336">
        <v>0</v>
      </c>
      <c r="R301" s="329"/>
      <c r="S301" s="319">
        <v>0</v>
      </c>
      <c r="T301" s="329"/>
      <c r="U301" s="335"/>
      <c r="V301" s="596" t="s">
        <v>479</v>
      </c>
      <c r="W301" s="596" t="s">
        <v>508</v>
      </c>
      <c r="X301" s="596" t="s">
        <v>509</v>
      </c>
      <c r="Z301" s="336">
        <f t="shared" si="373"/>
        <v>2500</v>
      </c>
      <c r="AA301" s="337">
        <f t="shared" si="373"/>
        <v>2500</v>
      </c>
      <c r="AB301" s="338">
        <f>Z301-AA301</f>
        <v>0</v>
      </c>
      <c r="AC301" s="336">
        <f t="shared" si="374"/>
        <v>0</v>
      </c>
      <c r="AD301" s="337">
        <f t="shared" si="374"/>
        <v>0</v>
      </c>
      <c r="AE301" s="338">
        <f>AC301-AD301</f>
        <v>0</v>
      </c>
      <c r="AF301" s="336">
        <f t="shared" si="375"/>
        <v>0</v>
      </c>
      <c r="AG301" s="337">
        <f t="shared" si="375"/>
        <v>0</v>
      </c>
      <c r="AH301" s="338">
        <f>AF301-AG301</f>
        <v>0</v>
      </c>
      <c r="AI301" s="336">
        <f t="shared" si="376"/>
        <v>0</v>
      </c>
      <c r="AJ301" s="337">
        <f t="shared" si="376"/>
        <v>0</v>
      </c>
      <c r="AK301" s="338">
        <f>AI301-AJ301</f>
        <v>0</v>
      </c>
      <c r="AL301" s="342"/>
      <c r="AM301" s="336">
        <f t="shared" si="377"/>
        <v>2500</v>
      </c>
      <c r="AN301" s="339">
        <f t="shared" si="377"/>
        <v>2500</v>
      </c>
      <c r="AO301" s="340">
        <f>AM301-AN301</f>
        <v>0</v>
      </c>
      <c r="AP301" s="336">
        <f t="shared" si="378"/>
        <v>2500</v>
      </c>
      <c r="AQ301" s="339">
        <f t="shared" si="378"/>
        <v>2500</v>
      </c>
      <c r="AR301" s="340">
        <f>AP301-AQ301</f>
        <v>0</v>
      </c>
      <c r="AS301" s="341">
        <f t="shared" si="379"/>
        <v>2500</v>
      </c>
      <c r="AT301" s="339">
        <f t="shared" si="379"/>
        <v>2500</v>
      </c>
      <c r="AU301" s="340">
        <f>AS301-AT301</f>
        <v>0</v>
      </c>
      <c r="AV301" s="1255"/>
      <c r="AW301" s="343"/>
      <c r="AX301" s="344"/>
      <c r="AY301" s="345"/>
      <c r="AZ301" s="344"/>
      <c r="BA301" s="345">
        <v>2500</v>
      </c>
      <c r="BB301" s="346">
        <v>2500</v>
      </c>
      <c r="BC301" s="347"/>
      <c r="BD301" s="348"/>
      <c r="BE301" s="349"/>
      <c r="BF301" s="348"/>
      <c r="BG301" s="349"/>
      <c r="BH301" s="350"/>
      <c r="BI301" s="351"/>
      <c r="BJ301" s="352"/>
      <c r="BK301" s="337"/>
      <c r="BL301" s="352"/>
      <c r="BM301" s="337"/>
      <c r="BN301" s="353"/>
      <c r="BO301" s="354"/>
      <c r="BP301" s="355"/>
      <c r="BQ301" s="356"/>
      <c r="BR301" s="355"/>
      <c r="BS301" s="356"/>
      <c r="BT301" s="357"/>
    </row>
    <row r="302" spans="1:72" s="313" customFormat="1" ht="102">
      <c r="A302" s="287">
        <v>285</v>
      </c>
      <c r="B302" s="941"/>
      <c r="C302" s="840"/>
      <c r="D302" s="841"/>
      <c r="E302" s="839"/>
      <c r="F302" s="821" t="s">
        <v>23</v>
      </c>
      <c r="G302" s="314">
        <v>2</v>
      </c>
      <c r="H302" s="739" t="s">
        <v>71</v>
      </c>
      <c r="I302" s="739">
        <v>244</v>
      </c>
      <c r="J302" s="740">
        <v>226</v>
      </c>
      <c r="K302" s="533" t="s">
        <v>480</v>
      </c>
      <c r="L302" s="1025">
        <v>2700</v>
      </c>
      <c r="M302" s="318"/>
      <c r="N302" s="318"/>
      <c r="O302" s="1052">
        <f t="shared" si="332"/>
        <v>2700</v>
      </c>
      <c r="P302" s="570"/>
      <c r="Q302" s="336">
        <v>0</v>
      </c>
      <c r="R302" s="329"/>
      <c r="S302" s="319">
        <v>0</v>
      </c>
      <c r="T302" s="329"/>
      <c r="U302" s="335"/>
      <c r="V302" s="596" t="s">
        <v>479</v>
      </c>
      <c r="W302" s="596" t="s">
        <v>506</v>
      </c>
      <c r="X302" s="596" t="s">
        <v>507</v>
      </c>
      <c r="Z302" s="336">
        <f t="shared" si="373"/>
        <v>2700</v>
      </c>
      <c r="AA302" s="337">
        <f t="shared" si="373"/>
        <v>2700</v>
      </c>
      <c r="AB302" s="338">
        <f>Z302-AA302</f>
        <v>0</v>
      </c>
      <c r="AC302" s="336">
        <f t="shared" si="374"/>
        <v>0</v>
      </c>
      <c r="AD302" s="337">
        <f t="shared" si="374"/>
        <v>0</v>
      </c>
      <c r="AE302" s="338">
        <f>AC302-AD302</f>
        <v>0</v>
      </c>
      <c r="AF302" s="336">
        <f t="shared" si="375"/>
        <v>0</v>
      </c>
      <c r="AG302" s="337">
        <f t="shared" si="375"/>
        <v>0</v>
      </c>
      <c r="AH302" s="338">
        <f>AF302-AG302</f>
        <v>0</v>
      </c>
      <c r="AI302" s="336">
        <f t="shared" si="376"/>
        <v>0</v>
      </c>
      <c r="AJ302" s="337">
        <f t="shared" si="376"/>
        <v>0</v>
      </c>
      <c r="AK302" s="338">
        <f>AI302-AJ302</f>
        <v>0</v>
      </c>
      <c r="AL302" s="342"/>
      <c r="AM302" s="336">
        <f t="shared" si="377"/>
        <v>2700</v>
      </c>
      <c r="AN302" s="339">
        <f t="shared" si="377"/>
        <v>2700</v>
      </c>
      <c r="AO302" s="340">
        <f>AM302-AN302</f>
        <v>0</v>
      </c>
      <c r="AP302" s="336">
        <f t="shared" si="378"/>
        <v>2700</v>
      </c>
      <c r="AQ302" s="339">
        <f t="shared" si="378"/>
        <v>2700</v>
      </c>
      <c r="AR302" s="340">
        <f>AP302-AQ302</f>
        <v>0</v>
      </c>
      <c r="AS302" s="341">
        <f t="shared" si="379"/>
        <v>2700</v>
      </c>
      <c r="AT302" s="339">
        <f t="shared" si="379"/>
        <v>2700</v>
      </c>
      <c r="AU302" s="340">
        <f>AS302-AT302</f>
        <v>0</v>
      </c>
      <c r="AV302" s="1255"/>
      <c r="AW302" s="343"/>
      <c r="AX302" s="344"/>
      <c r="AY302" s="345">
        <v>2700</v>
      </c>
      <c r="AZ302" s="344">
        <v>2700</v>
      </c>
      <c r="BA302" s="345"/>
      <c r="BB302" s="346"/>
      <c r="BC302" s="347"/>
      <c r="BD302" s="348"/>
      <c r="BE302" s="349"/>
      <c r="BF302" s="348"/>
      <c r="BG302" s="349"/>
      <c r="BH302" s="350"/>
      <c r="BI302" s="351"/>
      <c r="BJ302" s="352"/>
      <c r="BK302" s="337"/>
      <c r="BL302" s="352"/>
      <c r="BM302" s="337"/>
      <c r="BN302" s="353"/>
      <c r="BO302" s="354"/>
      <c r="BP302" s="355"/>
      <c r="BQ302" s="356"/>
      <c r="BR302" s="355"/>
      <c r="BS302" s="356"/>
      <c r="BT302" s="357"/>
    </row>
    <row r="303" spans="1:72" s="313" customFormat="1" ht="38.25">
      <c r="A303" s="287">
        <v>286</v>
      </c>
      <c r="B303" s="941"/>
      <c r="C303" s="840"/>
      <c r="D303" s="841"/>
      <c r="E303" s="839"/>
      <c r="F303" s="821" t="s">
        <v>23</v>
      </c>
      <c r="G303" s="314">
        <v>2</v>
      </c>
      <c r="H303" s="739" t="s">
        <v>71</v>
      </c>
      <c r="I303" s="739">
        <v>244</v>
      </c>
      <c r="J303" s="740">
        <v>226</v>
      </c>
      <c r="K303" s="533" t="s">
        <v>548</v>
      </c>
      <c r="L303" s="1025">
        <v>10560</v>
      </c>
      <c r="M303" s="318"/>
      <c r="N303" s="318"/>
      <c r="O303" s="1052">
        <f t="shared" si="332"/>
        <v>10560</v>
      </c>
      <c r="P303" s="570"/>
      <c r="Q303" s="336">
        <v>0</v>
      </c>
      <c r="R303" s="329"/>
      <c r="S303" s="319">
        <v>0</v>
      </c>
      <c r="T303" s="329"/>
      <c r="U303" s="335"/>
      <c r="V303" s="596" t="s">
        <v>490</v>
      </c>
      <c r="W303" s="596" t="s">
        <v>549</v>
      </c>
      <c r="X303" s="596" t="s">
        <v>550</v>
      </c>
      <c r="Z303" s="336">
        <f t="shared" si="373"/>
        <v>0</v>
      </c>
      <c r="AA303" s="337">
        <f t="shared" si="373"/>
        <v>0</v>
      </c>
      <c r="AB303" s="338">
        <f>Z303-AA303</f>
        <v>0</v>
      </c>
      <c r="AC303" s="336">
        <f t="shared" si="374"/>
        <v>10560</v>
      </c>
      <c r="AD303" s="337">
        <f t="shared" si="374"/>
        <v>0</v>
      </c>
      <c r="AE303" s="338">
        <f>AC303-AD303</f>
        <v>10560</v>
      </c>
      <c r="AF303" s="336">
        <f t="shared" si="375"/>
        <v>0</v>
      </c>
      <c r="AG303" s="337">
        <f t="shared" si="375"/>
        <v>0</v>
      </c>
      <c r="AH303" s="338">
        <f>AF303-AG303</f>
        <v>0</v>
      </c>
      <c r="AI303" s="336">
        <f t="shared" si="376"/>
        <v>0</v>
      </c>
      <c r="AJ303" s="337">
        <f t="shared" si="376"/>
        <v>0</v>
      </c>
      <c r="AK303" s="338">
        <f>AI303-AJ303</f>
        <v>0</v>
      </c>
      <c r="AL303" s="342"/>
      <c r="AM303" s="336">
        <f t="shared" si="377"/>
        <v>10560</v>
      </c>
      <c r="AN303" s="339">
        <f t="shared" si="377"/>
        <v>0</v>
      </c>
      <c r="AO303" s="340">
        <f>AM303-AN303</f>
        <v>10560</v>
      </c>
      <c r="AP303" s="336">
        <f t="shared" si="378"/>
        <v>10560</v>
      </c>
      <c r="AQ303" s="339">
        <f t="shared" si="378"/>
        <v>0</v>
      </c>
      <c r="AR303" s="340">
        <f>AP303-AQ303</f>
        <v>10560</v>
      </c>
      <c r="AS303" s="341">
        <f t="shared" si="379"/>
        <v>10560</v>
      </c>
      <c r="AT303" s="339">
        <f t="shared" si="379"/>
        <v>0</v>
      </c>
      <c r="AU303" s="340">
        <f>AS303-AT303</f>
        <v>10560</v>
      </c>
      <c r="AV303" s="1255"/>
      <c r="AW303" s="343"/>
      <c r="AX303" s="344"/>
      <c r="AY303" s="345"/>
      <c r="AZ303" s="344"/>
      <c r="BA303" s="345"/>
      <c r="BB303" s="346"/>
      <c r="BC303" s="347">
        <v>10560</v>
      </c>
      <c r="BD303" s="348"/>
      <c r="BE303" s="349"/>
      <c r="BF303" s="348"/>
      <c r="BG303" s="349"/>
      <c r="BH303" s="350"/>
      <c r="BI303" s="351"/>
      <c r="BJ303" s="352"/>
      <c r="BK303" s="337"/>
      <c r="BL303" s="352"/>
      <c r="BM303" s="337"/>
      <c r="BN303" s="353"/>
      <c r="BO303" s="354"/>
      <c r="BP303" s="355"/>
      <c r="BQ303" s="356"/>
      <c r="BR303" s="355"/>
      <c r="BS303" s="356"/>
      <c r="BT303" s="357"/>
    </row>
    <row r="304" spans="1:72" s="313" customFormat="1" ht="51" outlineLevel="1">
      <c r="A304" s="287">
        <v>287</v>
      </c>
      <c r="B304" s="1148"/>
      <c r="C304" s="840"/>
      <c r="D304" s="841"/>
      <c r="E304" s="839"/>
      <c r="F304" s="821" t="s">
        <v>23</v>
      </c>
      <c r="G304" s="314">
        <v>2</v>
      </c>
      <c r="H304" s="739" t="s">
        <v>71</v>
      </c>
      <c r="I304" s="739">
        <v>244</v>
      </c>
      <c r="J304" s="740">
        <v>226</v>
      </c>
      <c r="K304" s="533" t="s">
        <v>630</v>
      </c>
      <c r="L304" s="1025">
        <v>19200</v>
      </c>
      <c r="M304" s="318"/>
      <c r="N304" s="318"/>
      <c r="O304" s="1052">
        <f t="shared" si="332"/>
        <v>19200</v>
      </c>
      <c r="P304" s="570"/>
      <c r="Q304" s="336">
        <v>0</v>
      </c>
      <c r="R304" s="559"/>
      <c r="S304" s="541">
        <v>0</v>
      </c>
      <c r="T304" s="559"/>
      <c r="U304" s="335"/>
      <c r="V304" s="596" t="s">
        <v>628</v>
      </c>
      <c r="W304" s="596" t="s">
        <v>724</v>
      </c>
      <c r="X304" s="596" t="s">
        <v>725</v>
      </c>
      <c r="Z304" s="336">
        <f t="shared" si="373"/>
        <v>0</v>
      </c>
      <c r="AA304" s="337">
        <f t="shared" si="373"/>
        <v>0</v>
      </c>
      <c r="AB304" s="338">
        <f t="shared" ref="AB304:AB305" si="380">Z304-AA304</f>
        <v>0</v>
      </c>
      <c r="AC304" s="336">
        <f t="shared" si="374"/>
        <v>19200</v>
      </c>
      <c r="AD304" s="337">
        <f t="shared" si="374"/>
        <v>0</v>
      </c>
      <c r="AE304" s="338">
        <f t="shared" ref="AE304:AE305" si="381">AC304-AD304</f>
        <v>19200</v>
      </c>
      <c r="AF304" s="336">
        <f t="shared" si="375"/>
        <v>0</v>
      </c>
      <c r="AG304" s="337">
        <f t="shared" si="375"/>
        <v>0</v>
      </c>
      <c r="AH304" s="338">
        <f t="shared" ref="AH304:AH305" si="382">AF304-AG304</f>
        <v>0</v>
      </c>
      <c r="AI304" s="336">
        <f t="shared" si="376"/>
        <v>0</v>
      </c>
      <c r="AJ304" s="337">
        <f t="shared" si="376"/>
        <v>0</v>
      </c>
      <c r="AK304" s="338">
        <f t="shared" ref="AK304:AK305" si="383">AI304-AJ304</f>
        <v>0</v>
      </c>
      <c r="AL304" s="342"/>
      <c r="AM304" s="336">
        <f t="shared" si="377"/>
        <v>19200</v>
      </c>
      <c r="AN304" s="339">
        <f t="shared" si="377"/>
        <v>0</v>
      </c>
      <c r="AO304" s="340">
        <f t="shared" ref="AO304:AO305" si="384">AM304-AN304</f>
        <v>19200</v>
      </c>
      <c r="AP304" s="336">
        <f t="shared" si="378"/>
        <v>19200</v>
      </c>
      <c r="AQ304" s="339">
        <f t="shared" si="378"/>
        <v>0</v>
      </c>
      <c r="AR304" s="340">
        <f t="shared" ref="AR304:AR305" si="385">AP304-AQ304</f>
        <v>19200</v>
      </c>
      <c r="AS304" s="341">
        <f t="shared" si="379"/>
        <v>19200</v>
      </c>
      <c r="AT304" s="339">
        <f t="shared" si="379"/>
        <v>0</v>
      </c>
      <c r="AU304" s="340">
        <f t="shared" ref="AU304:AU305" si="386">AS304-AT304</f>
        <v>19200</v>
      </c>
      <c r="AV304" s="1255">
        <f t="shared" ref="AV304:AV305" si="387">L304-AS304</f>
        <v>0</v>
      </c>
      <c r="AW304" s="343"/>
      <c r="AX304" s="344"/>
      <c r="AY304" s="345"/>
      <c r="AZ304" s="344"/>
      <c r="BA304" s="345"/>
      <c r="BB304" s="346"/>
      <c r="BC304" s="347"/>
      <c r="BD304" s="348"/>
      <c r="BE304" s="349"/>
      <c r="BF304" s="348"/>
      <c r="BG304" s="1135">
        <v>19200</v>
      </c>
      <c r="BH304" s="350"/>
      <c r="BI304" s="351"/>
      <c r="BJ304" s="352"/>
      <c r="BK304" s="337"/>
      <c r="BL304" s="352"/>
      <c r="BM304" s="337"/>
      <c r="BN304" s="353"/>
      <c r="BO304" s="354"/>
      <c r="BP304" s="355"/>
      <c r="BQ304" s="356"/>
      <c r="BR304" s="355"/>
      <c r="BS304" s="356"/>
      <c r="BT304" s="357"/>
    </row>
    <row r="305" spans="1:72" s="313" customFormat="1" ht="38.25" outlineLevel="1">
      <c r="A305" s="287">
        <v>288</v>
      </c>
      <c r="B305" s="1148"/>
      <c r="C305" s="840"/>
      <c r="D305" s="841"/>
      <c r="E305" s="839"/>
      <c r="F305" s="821" t="s">
        <v>23</v>
      </c>
      <c r="G305" s="314">
        <v>2</v>
      </c>
      <c r="H305" s="739" t="s">
        <v>71</v>
      </c>
      <c r="I305" s="739">
        <v>244</v>
      </c>
      <c r="J305" s="740">
        <v>226</v>
      </c>
      <c r="K305" s="533" t="s">
        <v>631</v>
      </c>
      <c r="L305" s="1025">
        <v>25000</v>
      </c>
      <c r="M305" s="318"/>
      <c r="N305" s="318"/>
      <c r="O305" s="1052">
        <f t="shared" si="332"/>
        <v>25000</v>
      </c>
      <c r="P305" s="570"/>
      <c r="Q305" s="336">
        <v>0</v>
      </c>
      <c r="R305" s="559"/>
      <c r="S305" s="541">
        <v>0</v>
      </c>
      <c r="T305" s="559"/>
      <c r="U305" s="335"/>
      <c r="V305" s="596" t="s">
        <v>637</v>
      </c>
      <c r="W305" s="320" t="s">
        <v>481</v>
      </c>
      <c r="X305" s="320"/>
      <c r="Z305" s="336">
        <f t="shared" si="373"/>
        <v>25000</v>
      </c>
      <c r="AA305" s="337">
        <f t="shared" si="373"/>
        <v>0</v>
      </c>
      <c r="AB305" s="338">
        <f t="shared" si="380"/>
        <v>25000</v>
      </c>
      <c r="AC305" s="336">
        <f t="shared" si="374"/>
        <v>0</v>
      </c>
      <c r="AD305" s="337">
        <f t="shared" si="374"/>
        <v>0</v>
      </c>
      <c r="AE305" s="338">
        <f t="shared" si="381"/>
        <v>0</v>
      </c>
      <c r="AF305" s="336">
        <f t="shared" si="375"/>
        <v>0</v>
      </c>
      <c r="AG305" s="337">
        <f t="shared" si="375"/>
        <v>0</v>
      </c>
      <c r="AH305" s="338">
        <f t="shared" si="382"/>
        <v>0</v>
      </c>
      <c r="AI305" s="336">
        <f t="shared" si="376"/>
        <v>0</v>
      </c>
      <c r="AJ305" s="337">
        <f t="shared" si="376"/>
        <v>0</v>
      </c>
      <c r="AK305" s="338">
        <f t="shared" si="383"/>
        <v>0</v>
      </c>
      <c r="AL305" s="342"/>
      <c r="AM305" s="336">
        <f t="shared" si="377"/>
        <v>25000</v>
      </c>
      <c r="AN305" s="339">
        <f t="shared" si="377"/>
        <v>0</v>
      </c>
      <c r="AO305" s="340">
        <f t="shared" si="384"/>
        <v>25000</v>
      </c>
      <c r="AP305" s="336">
        <f t="shared" si="378"/>
        <v>25000</v>
      </c>
      <c r="AQ305" s="339">
        <f t="shared" si="378"/>
        <v>0</v>
      </c>
      <c r="AR305" s="340">
        <f t="shared" si="385"/>
        <v>25000</v>
      </c>
      <c r="AS305" s="341">
        <f t="shared" si="379"/>
        <v>25000</v>
      </c>
      <c r="AT305" s="339">
        <f t="shared" si="379"/>
        <v>0</v>
      </c>
      <c r="AU305" s="340">
        <f t="shared" si="386"/>
        <v>25000</v>
      </c>
      <c r="AV305" s="1255">
        <f t="shared" si="387"/>
        <v>0</v>
      </c>
      <c r="AW305" s="343"/>
      <c r="AX305" s="344"/>
      <c r="AY305" s="345"/>
      <c r="AZ305" s="344"/>
      <c r="BA305" s="345">
        <v>25000</v>
      </c>
      <c r="BB305" s="346"/>
      <c r="BC305" s="347"/>
      <c r="BD305" s="348"/>
      <c r="BE305" s="349"/>
      <c r="BF305" s="348"/>
      <c r="BG305" s="349"/>
      <c r="BH305" s="350"/>
      <c r="BI305" s="351"/>
      <c r="BJ305" s="352"/>
      <c r="BK305" s="337"/>
      <c r="BL305" s="352"/>
      <c r="BM305" s="337"/>
      <c r="BN305" s="353"/>
      <c r="BO305" s="354"/>
      <c r="BP305" s="355"/>
      <c r="BQ305" s="356"/>
      <c r="BR305" s="355"/>
      <c r="BS305" s="356"/>
      <c r="BT305" s="357"/>
    </row>
    <row r="306" spans="1:72" s="313" customFormat="1" ht="63.75" outlineLevel="1">
      <c r="A306" s="287">
        <v>289</v>
      </c>
      <c r="B306" s="1149"/>
      <c r="C306" s="840"/>
      <c r="D306" s="853" t="s">
        <v>207</v>
      </c>
      <c r="E306" s="839"/>
      <c r="F306" s="821" t="s">
        <v>23</v>
      </c>
      <c r="G306" s="314">
        <v>2</v>
      </c>
      <c r="H306" s="739" t="s">
        <v>71</v>
      </c>
      <c r="I306" s="739">
        <v>244</v>
      </c>
      <c r="J306" s="740">
        <v>226</v>
      </c>
      <c r="K306" s="317" t="s">
        <v>664</v>
      </c>
      <c r="L306" s="1295">
        <v>24900</v>
      </c>
      <c r="M306" s="318"/>
      <c r="N306" s="318"/>
      <c r="O306" s="1294">
        <f>L306+N306</f>
        <v>24900</v>
      </c>
      <c r="P306" s="570"/>
      <c r="Q306" s="336">
        <v>0</v>
      </c>
      <c r="R306" s="559"/>
      <c r="S306" s="541">
        <v>0</v>
      </c>
      <c r="T306" s="559"/>
      <c r="U306" s="335"/>
      <c r="V306" s="1226" t="s">
        <v>599</v>
      </c>
      <c r="W306" s="1226" t="s">
        <v>662</v>
      </c>
      <c r="X306" s="1226" t="s">
        <v>663</v>
      </c>
      <c r="Z306" s="336">
        <f>AW306+AY306+BA306</f>
        <v>24900</v>
      </c>
      <c r="AA306" s="337">
        <f>AX306+AZ306+BB306</f>
        <v>24900</v>
      </c>
      <c r="AB306" s="338">
        <f>Z306-AA306</f>
        <v>0</v>
      </c>
      <c r="AC306" s="336">
        <f>BC306+BE306+BG306</f>
        <v>0</v>
      </c>
      <c r="AD306" s="337">
        <f>BD306+BF306+BH306</f>
        <v>0</v>
      </c>
      <c r="AE306" s="338">
        <f>AC306-AD306</f>
        <v>0</v>
      </c>
      <c r="AF306" s="336">
        <f>BI306+BK306+BM306</f>
        <v>0</v>
      </c>
      <c r="AG306" s="337">
        <f>BJ306+BL306+BN306</f>
        <v>0</v>
      </c>
      <c r="AH306" s="338">
        <f>AF306-AG306</f>
        <v>0</v>
      </c>
      <c r="AI306" s="336">
        <f>BO306+BQ306+BS306</f>
        <v>0</v>
      </c>
      <c r="AJ306" s="337">
        <f>BP306+BR306+BT306</f>
        <v>0</v>
      </c>
      <c r="AK306" s="338">
        <f>AI306-AJ306</f>
        <v>0</v>
      </c>
      <c r="AL306" s="342"/>
      <c r="AM306" s="336">
        <f>Z306+AC306</f>
        <v>24900</v>
      </c>
      <c r="AN306" s="339">
        <f>AA306+AD306</f>
        <v>24900</v>
      </c>
      <c r="AO306" s="340">
        <f>AM306-AN306</f>
        <v>0</v>
      </c>
      <c r="AP306" s="336">
        <f>Z306+AC306+AF306</f>
        <v>24900</v>
      </c>
      <c r="AQ306" s="339">
        <f>AA306+AD306+AG306</f>
        <v>24900</v>
      </c>
      <c r="AR306" s="340">
        <f>AP306-AQ306</f>
        <v>0</v>
      </c>
      <c r="AS306" s="341">
        <f>Z306+AC306+AF306+AI306</f>
        <v>24900</v>
      </c>
      <c r="AT306" s="339">
        <f>AA306+AD306+AG306+AJ306</f>
        <v>24900</v>
      </c>
      <c r="AU306" s="340">
        <f>AS306-AT306</f>
        <v>0</v>
      </c>
      <c r="AV306" s="1255"/>
      <c r="AW306" s="343"/>
      <c r="AX306" s="344"/>
      <c r="AY306" s="345"/>
      <c r="AZ306" s="1218">
        <v>24900</v>
      </c>
      <c r="BA306" s="1217">
        <v>24900</v>
      </c>
      <c r="BB306" s="346"/>
      <c r="BC306" s="347"/>
      <c r="BD306" s="348"/>
      <c r="BE306" s="349"/>
      <c r="BF306" s="348"/>
      <c r="BG306" s="349"/>
      <c r="BH306" s="350"/>
      <c r="BI306" s="351"/>
      <c r="BJ306" s="352"/>
      <c r="BK306" s="337"/>
      <c r="BL306" s="352"/>
      <c r="BM306" s="337"/>
      <c r="BN306" s="353"/>
      <c r="BO306" s="354"/>
      <c r="BP306" s="355"/>
      <c r="BQ306" s="356"/>
      <c r="BR306" s="355"/>
      <c r="BS306" s="356"/>
      <c r="BT306" s="357"/>
    </row>
    <row r="307" spans="1:72" s="313" customFormat="1" ht="51" outlineLevel="1">
      <c r="A307" s="287">
        <v>290</v>
      </c>
      <c r="B307" s="933"/>
      <c r="C307" s="840"/>
      <c r="D307" s="841"/>
      <c r="E307" s="839"/>
      <c r="F307" s="821" t="s">
        <v>23</v>
      </c>
      <c r="G307" s="314">
        <v>2</v>
      </c>
      <c r="H307" s="739" t="s">
        <v>71</v>
      </c>
      <c r="I307" s="739">
        <v>244</v>
      </c>
      <c r="J307" s="740">
        <v>226</v>
      </c>
      <c r="K307" s="533" t="s">
        <v>754</v>
      </c>
      <c r="L307" s="1025">
        <v>17655.259999999998</v>
      </c>
      <c r="M307" s="318"/>
      <c r="N307" s="318"/>
      <c r="O307" s="1052">
        <f t="shared" si="332"/>
        <v>17655.259999999998</v>
      </c>
      <c r="P307" s="570"/>
      <c r="Q307" s="336">
        <v>17655.259999999998</v>
      </c>
      <c r="R307" s="559"/>
      <c r="S307" s="541">
        <v>17655.259999999998</v>
      </c>
      <c r="T307" s="559"/>
      <c r="U307" s="335"/>
      <c r="V307" s="596" t="s">
        <v>172</v>
      </c>
      <c r="W307" s="596" t="s">
        <v>753</v>
      </c>
      <c r="X307" s="388"/>
      <c r="Z307" s="336">
        <f t="shared" si="373"/>
        <v>9000</v>
      </c>
      <c r="AA307" s="337">
        <f t="shared" si="373"/>
        <v>0</v>
      </c>
      <c r="AB307" s="338">
        <f t="shared" si="334"/>
        <v>9000</v>
      </c>
      <c r="AC307" s="336">
        <f t="shared" si="374"/>
        <v>8655.26</v>
      </c>
      <c r="AD307" s="337">
        <f t="shared" si="374"/>
        <v>0</v>
      </c>
      <c r="AE307" s="338">
        <f t="shared" si="336"/>
        <v>8655.26</v>
      </c>
      <c r="AF307" s="336">
        <f t="shared" si="375"/>
        <v>0</v>
      </c>
      <c r="AG307" s="337">
        <f t="shared" si="375"/>
        <v>0</v>
      </c>
      <c r="AH307" s="338">
        <f t="shared" si="338"/>
        <v>0</v>
      </c>
      <c r="AI307" s="336">
        <f t="shared" si="376"/>
        <v>0</v>
      </c>
      <c r="AJ307" s="337">
        <f t="shared" si="376"/>
        <v>0</v>
      </c>
      <c r="AK307" s="338">
        <f t="shared" si="340"/>
        <v>0</v>
      </c>
      <c r="AL307" s="342"/>
      <c r="AM307" s="336">
        <f t="shared" si="377"/>
        <v>17655.259999999998</v>
      </c>
      <c r="AN307" s="339">
        <f t="shared" si="377"/>
        <v>0</v>
      </c>
      <c r="AO307" s="340">
        <f t="shared" si="342"/>
        <v>17655.259999999998</v>
      </c>
      <c r="AP307" s="336">
        <f t="shared" si="378"/>
        <v>17655.259999999998</v>
      </c>
      <c r="AQ307" s="339">
        <f t="shared" si="378"/>
        <v>0</v>
      </c>
      <c r="AR307" s="340">
        <f t="shared" si="328"/>
        <v>17655.259999999998</v>
      </c>
      <c r="AS307" s="341">
        <f t="shared" si="379"/>
        <v>17655.259999999998</v>
      </c>
      <c r="AT307" s="339">
        <f t="shared" si="379"/>
        <v>0</v>
      </c>
      <c r="AU307" s="340">
        <f t="shared" si="330"/>
        <v>17655.259999999998</v>
      </c>
      <c r="AV307" s="1255">
        <f t="shared" si="358"/>
        <v>0</v>
      </c>
      <c r="AW307" s="343"/>
      <c r="AX307" s="344"/>
      <c r="AY307" s="345"/>
      <c r="AZ307" s="344"/>
      <c r="BA307" s="345">
        <v>9000</v>
      </c>
      <c r="BB307" s="346"/>
      <c r="BC307" s="1134">
        <f>4106+349</f>
        <v>4455</v>
      </c>
      <c r="BD307" s="348"/>
      <c r="BE307" s="349">
        <f>4500-299.74</f>
        <v>4200.26</v>
      </c>
      <c r="BF307" s="348"/>
      <c r="BG307" s="349"/>
      <c r="BH307" s="350"/>
      <c r="BI307" s="351"/>
      <c r="BJ307" s="352"/>
      <c r="BK307" s="337"/>
      <c r="BL307" s="352"/>
      <c r="BM307" s="337"/>
      <c r="BN307" s="353"/>
      <c r="BO307" s="354"/>
      <c r="BP307" s="355"/>
      <c r="BQ307" s="356"/>
      <c r="BR307" s="355"/>
      <c r="BS307" s="356"/>
      <c r="BT307" s="357"/>
    </row>
    <row r="308" spans="1:72" s="313" customFormat="1" ht="38.25" outlineLevel="1">
      <c r="A308" s="287">
        <v>291</v>
      </c>
      <c r="B308" s="1151"/>
      <c r="C308" s="840"/>
      <c r="D308" s="841"/>
      <c r="E308" s="839"/>
      <c r="F308" s="821" t="s">
        <v>23</v>
      </c>
      <c r="G308" s="314">
        <v>2</v>
      </c>
      <c r="H308" s="739" t="s">
        <v>71</v>
      </c>
      <c r="I308" s="739">
        <v>244</v>
      </c>
      <c r="J308" s="740">
        <v>226</v>
      </c>
      <c r="K308" s="533" t="s">
        <v>1069</v>
      </c>
      <c r="L308" s="1025">
        <v>6350</v>
      </c>
      <c r="M308" s="318"/>
      <c r="N308" s="318"/>
      <c r="O308" s="1052">
        <f t="shared" si="332"/>
        <v>6350</v>
      </c>
      <c r="P308" s="570"/>
      <c r="Q308" s="336">
        <v>0</v>
      </c>
      <c r="R308" s="559"/>
      <c r="S308" s="541">
        <v>0</v>
      </c>
      <c r="T308" s="559"/>
      <c r="U308" s="335"/>
      <c r="V308" s="596" t="s">
        <v>1071</v>
      </c>
      <c r="W308" s="320" t="s">
        <v>481</v>
      </c>
      <c r="X308" s="388"/>
      <c r="Z308" s="336">
        <f t="shared" si="373"/>
        <v>0</v>
      </c>
      <c r="AA308" s="337">
        <f t="shared" si="373"/>
        <v>0</v>
      </c>
      <c r="AB308" s="338">
        <f t="shared" si="334"/>
        <v>0</v>
      </c>
      <c r="AC308" s="336">
        <f t="shared" si="374"/>
        <v>0</v>
      </c>
      <c r="AD308" s="337">
        <f t="shared" si="374"/>
        <v>0</v>
      </c>
      <c r="AE308" s="338">
        <f t="shared" si="336"/>
        <v>0</v>
      </c>
      <c r="AF308" s="336">
        <f t="shared" si="375"/>
        <v>0</v>
      </c>
      <c r="AG308" s="337">
        <f t="shared" si="375"/>
        <v>0</v>
      </c>
      <c r="AH308" s="338">
        <f t="shared" si="338"/>
        <v>0</v>
      </c>
      <c r="AI308" s="336">
        <f t="shared" si="376"/>
        <v>6350</v>
      </c>
      <c r="AJ308" s="337">
        <f t="shared" si="376"/>
        <v>0</v>
      </c>
      <c r="AK308" s="338">
        <f t="shared" si="340"/>
        <v>6350</v>
      </c>
      <c r="AL308" s="342"/>
      <c r="AM308" s="336">
        <f t="shared" si="377"/>
        <v>0</v>
      </c>
      <c r="AN308" s="339">
        <f t="shared" si="377"/>
        <v>0</v>
      </c>
      <c r="AO308" s="340">
        <f t="shared" si="342"/>
        <v>0</v>
      </c>
      <c r="AP308" s="336">
        <f t="shared" si="378"/>
        <v>0</v>
      </c>
      <c r="AQ308" s="339">
        <f t="shared" si="378"/>
        <v>0</v>
      </c>
      <c r="AR308" s="340">
        <f t="shared" si="328"/>
        <v>0</v>
      </c>
      <c r="AS308" s="341">
        <f t="shared" si="379"/>
        <v>6350</v>
      </c>
      <c r="AT308" s="339">
        <f t="shared" si="379"/>
        <v>0</v>
      </c>
      <c r="AU308" s="340">
        <f t="shared" si="330"/>
        <v>6350</v>
      </c>
      <c r="AV308" s="1255">
        <f t="shared" si="358"/>
        <v>0</v>
      </c>
      <c r="AW308" s="343"/>
      <c r="AX308" s="344"/>
      <c r="AY308" s="345"/>
      <c r="AZ308" s="344"/>
      <c r="BA308" s="345"/>
      <c r="BB308" s="346"/>
      <c r="BC308" s="1134"/>
      <c r="BD308" s="348"/>
      <c r="BE308" s="349"/>
      <c r="BF308" s="348"/>
      <c r="BG308" s="349"/>
      <c r="BH308" s="350"/>
      <c r="BI308" s="351"/>
      <c r="BJ308" s="352"/>
      <c r="BK308" s="337"/>
      <c r="BL308" s="352"/>
      <c r="BM308" s="337"/>
      <c r="BN308" s="353"/>
      <c r="BO308" s="354"/>
      <c r="BP308" s="355"/>
      <c r="BQ308" s="1139"/>
      <c r="BR308" s="355"/>
      <c r="BS308" s="1139">
        <v>6350</v>
      </c>
      <c r="BT308" s="357"/>
    </row>
    <row r="309" spans="1:72" s="313" customFormat="1" ht="38.25" outlineLevel="1">
      <c r="A309" s="287">
        <v>292</v>
      </c>
      <c r="B309" s="933"/>
      <c r="C309" s="840"/>
      <c r="D309" s="841"/>
      <c r="E309" s="839"/>
      <c r="F309" s="821" t="s">
        <v>23</v>
      </c>
      <c r="G309" s="314">
        <v>2</v>
      </c>
      <c r="H309" s="739" t="s">
        <v>71</v>
      </c>
      <c r="I309" s="739">
        <v>244</v>
      </c>
      <c r="J309" s="740">
        <v>226</v>
      </c>
      <c r="K309" s="533" t="s">
        <v>373</v>
      </c>
      <c r="L309" s="1025">
        <v>418590</v>
      </c>
      <c r="M309" s="318"/>
      <c r="N309" s="318">
        <v>-418590</v>
      </c>
      <c r="O309" s="1052">
        <f t="shared" ref="O309:O310" si="388">L309+N309</f>
        <v>0</v>
      </c>
      <c r="P309" s="570"/>
      <c r="Q309" s="336">
        <v>418590</v>
      </c>
      <c r="R309" s="559"/>
      <c r="S309" s="541">
        <v>418590</v>
      </c>
      <c r="T309" s="559"/>
      <c r="U309" s="335"/>
      <c r="V309" s="320"/>
      <c r="W309" s="388"/>
      <c r="X309" s="388"/>
      <c r="Z309" s="336">
        <f t="shared" ref="Z309:Z310" si="389">AW309+AY309+BA309</f>
        <v>220000</v>
      </c>
      <c r="AA309" s="337">
        <f t="shared" ref="AA309:AA310" si="390">AX309+AZ309+BB309</f>
        <v>0</v>
      </c>
      <c r="AB309" s="338">
        <f t="shared" ref="AB309:AB310" si="391">Z309-AA309</f>
        <v>220000</v>
      </c>
      <c r="AC309" s="336">
        <f t="shared" ref="AC309:AC310" si="392">BC309+BE309+BG309</f>
        <v>100000</v>
      </c>
      <c r="AD309" s="337">
        <f t="shared" ref="AD309:AD310" si="393">BD309+BF309+BH309</f>
        <v>0</v>
      </c>
      <c r="AE309" s="338">
        <f t="shared" ref="AE309:AE310" si="394">AC309-AD309</f>
        <v>100000</v>
      </c>
      <c r="AF309" s="336">
        <f t="shared" ref="AF309:AF310" si="395">BI309+BK309+BM309</f>
        <v>2650.65</v>
      </c>
      <c r="AG309" s="337">
        <f t="shared" ref="AG309:AG310" si="396">BJ309+BL309+BN309</f>
        <v>0</v>
      </c>
      <c r="AH309" s="338">
        <f t="shared" ref="AH309:AH310" si="397">AF309-AG309</f>
        <v>2650.65</v>
      </c>
      <c r="AI309" s="336">
        <f t="shared" ref="AI309:AI310" si="398">BO309+BQ309+BS309</f>
        <v>98590</v>
      </c>
      <c r="AJ309" s="337">
        <f t="shared" ref="AJ309:AJ310" si="399">BP309+BR309+BT309</f>
        <v>0</v>
      </c>
      <c r="AK309" s="338">
        <f t="shared" ref="AK309:AK310" si="400">AI309-AJ309</f>
        <v>98590</v>
      </c>
      <c r="AL309" s="342"/>
      <c r="AM309" s="336">
        <f t="shared" ref="AM309:AM310" si="401">Z309+AC309</f>
        <v>320000</v>
      </c>
      <c r="AN309" s="339">
        <f t="shared" ref="AN309:AN310" si="402">AA309+AD309</f>
        <v>0</v>
      </c>
      <c r="AO309" s="340">
        <f t="shared" ref="AO309:AO310" si="403">AM309-AN309</f>
        <v>320000</v>
      </c>
      <c r="AP309" s="336">
        <f t="shared" ref="AP309:AP310" si="404">Z309+AC309+AF309</f>
        <v>322650.65000000002</v>
      </c>
      <c r="AQ309" s="339">
        <f t="shared" ref="AQ309:AQ310" si="405">AA309+AD309+AG309</f>
        <v>0</v>
      </c>
      <c r="AR309" s="340">
        <f t="shared" ref="AR309:AR310" si="406">AP309-AQ309</f>
        <v>322650.65000000002</v>
      </c>
      <c r="AS309" s="341">
        <f t="shared" ref="AS309:AS310" si="407">Z309+AC309+AF309+AI309</f>
        <v>421240.65</v>
      </c>
      <c r="AT309" s="339">
        <f t="shared" ref="AT309:AT310" si="408">AA309+AD309+AG309+AJ309</f>
        <v>0</v>
      </c>
      <c r="AU309" s="340">
        <f t="shared" ref="AU309:AU310" si="409">AS309-AT309</f>
        <v>421240.65</v>
      </c>
      <c r="AV309" s="1255">
        <f t="shared" ref="AV309:AV310" si="410">L309-AS309</f>
        <v>-2650.65</v>
      </c>
      <c r="AW309" s="343"/>
      <c r="AX309" s="344"/>
      <c r="AY309" s="345"/>
      <c r="AZ309" s="344"/>
      <c r="BA309" s="345">
        <v>220000</v>
      </c>
      <c r="BB309" s="346"/>
      <c r="BC309" s="347"/>
      <c r="BD309" s="348"/>
      <c r="BE309" s="349">
        <v>100000</v>
      </c>
      <c r="BF309" s="348"/>
      <c r="BG309" s="349"/>
      <c r="BH309" s="350"/>
      <c r="BI309" s="1136">
        <f>2520+(100.5+22.11+5.13+2.91)</f>
        <v>2650.65</v>
      </c>
      <c r="BJ309" s="352"/>
      <c r="BK309" s="337"/>
      <c r="BL309" s="352"/>
      <c r="BM309" s="337"/>
      <c r="BN309" s="353"/>
      <c r="BO309" s="354"/>
      <c r="BP309" s="355"/>
      <c r="BQ309" s="356"/>
      <c r="BR309" s="355"/>
      <c r="BS309" s="356">
        <v>98590</v>
      </c>
      <c r="BT309" s="357"/>
    </row>
    <row r="310" spans="1:72" s="313" customFormat="1" ht="42" customHeight="1" outlineLevel="1">
      <c r="A310" s="287">
        <v>293</v>
      </c>
      <c r="B310" s="936" t="s">
        <v>1141</v>
      </c>
      <c r="C310" s="840"/>
      <c r="D310" s="841"/>
      <c r="E310" s="839"/>
      <c r="F310" s="821" t="s">
        <v>23</v>
      </c>
      <c r="G310" s="314">
        <v>2</v>
      </c>
      <c r="H310" s="739" t="s">
        <v>71</v>
      </c>
      <c r="I310" s="739">
        <v>244</v>
      </c>
      <c r="J310" s="740">
        <v>226</v>
      </c>
      <c r="K310" s="533" t="s">
        <v>1165</v>
      </c>
      <c r="L310" s="1025">
        <v>11699</v>
      </c>
      <c r="M310" s="318"/>
      <c r="N310" s="318">
        <v>0</v>
      </c>
      <c r="O310" s="1052">
        <f t="shared" si="388"/>
        <v>11699</v>
      </c>
      <c r="P310" s="570"/>
      <c r="Q310" s="336">
        <v>0</v>
      </c>
      <c r="R310" s="559"/>
      <c r="S310" s="541">
        <v>0</v>
      </c>
      <c r="T310" s="559"/>
      <c r="U310" s="335"/>
      <c r="V310" s="320"/>
      <c r="W310" s="388"/>
      <c r="X310" s="388"/>
      <c r="Z310" s="336">
        <f t="shared" si="389"/>
        <v>0</v>
      </c>
      <c r="AA310" s="337">
        <f t="shared" si="390"/>
        <v>0</v>
      </c>
      <c r="AB310" s="338">
        <f t="shared" si="391"/>
        <v>0</v>
      </c>
      <c r="AC310" s="336">
        <f t="shared" si="392"/>
        <v>0</v>
      </c>
      <c r="AD310" s="337">
        <f t="shared" si="393"/>
        <v>0</v>
      </c>
      <c r="AE310" s="338">
        <f t="shared" si="394"/>
        <v>0</v>
      </c>
      <c r="AF310" s="336">
        <f t="shared" si="395"/>
        <v>0</v>
      </c>
      <c r="AG310" s="337">
        <f t="shared" si="396"/>
        <v>0</v>
      </c>
      <c r="AH310" s="338">
        <f t="shared" si="397"/>
        <v>0</v>
      </c>
      <c r="AI310" s="336">
        <f t="shared" si="398"/>
        <v>23398</v>
      </c>
      <c r="AJ310" s="337">
        <f t="shared" si="399"/>
        <v>0</v>
      </c>
      <c r="AK310" s="338">
        <f t="shared" si="400"/>
        <v>23398</v>
      </c>
      <c r="AL310" s="342"/>
      <c r="AM310" s="336">
        <f t="shared" si="401"/>
        <v>0</v>
      </c>
      <c r="AN310" s="339">
        <f t="shared" si="402"/>
        <v>0</v>
      </c>
      <c r="AO310" s="340">
        <f t="shared" si="403"/>
        <v>0</v>
      </c>
      <c r="AP310" s="336">
        <f t="shared" si="404"/>
        <v>0</v>
      </c>
      <c r="AQ310" s="339">
        <f t="shared" si="405"/>
        <v>0</v>
      </c>
      <c r="AR310" s="340">
        <f t="shared" si="406"/>
        <v>0</v>
      </c>
      <c r="AS310" s="341">
        <f t="shared" si="407"/>
        <v>23398</v>
      </c>
      <c r="AT310" s="339">
        <f t="shared" si="408"/>
        <v>0</v>
      </c>
      <c r="AU310" s="340">
        <f t="shared" si="409"/>
        <v>23398</v>
      </c>
      <c r="AV310" s="1255">
        <f t="shared" si="410"/>
        <v>-11699</v>
      </c>
      <c r="AW310" s="343"/>
      <c r="AX310" s="344"/>
      <c r="AY310" s="345"/>
      <c r="AZ310" s="344"/>
      <c r="BA310" s="345"/>
      <c r="BB310" s="346"/>
      <c r="BC310" s="347"/>
      <c r="BD310" s="348"/>
      <c r="BE310" s="349"/>
      <c r="BF310" s="348"/>
      <c r="BG310" s="349"/>
      <c r="BH310" s="350"/>
      <c r="BI310" s="1136"/>
      <c r="BJ310" s="352"/>
      <c r="BK310" s="337"/>
      <c r="BL310" s="352"/>
      <c r="BM310" s="337"/>
      <c r="BN310" s="353"/>
      <c r="BO310" s="1138">
        <v>23398</v>
      </c>
      <c r="BP310" s="355"/>
      <c r="BQ310" s="356"/>
      <c r="BR310" s="355"/>
      <c r="BS310" s="356"/>
      <c r="BT310" s="357"/>
    </row>
    <row r="311" spans="1:72" s="313" customFormat="1" ht="42" customHeight="1" outlineLevel="1">
      <c r="A311" s="287">
        <v>294</v>
      </c>
      <c r="B311" s="936" t="s">
        <v>1141</v>
      </c>
      <c r="C311" s="840"/>
      <c r="D311" s="841"/>
      <c r="E311" s="839"/>
      <c r="F311" s="821" t="s">
        <v>23</v>
      </c>
      <c r="G311" s="314">
        <v>2</v>
      </c>
      <c r="H311" s="739" t="s">
        <v>71</v>
      </c>
      <c r="I311" s="739">
        <v>244</v>
      </c>
      <c r="J311" s="740">
        <v>226</v>
      </c>
      <c r="K311" s="533" t="s">
        <v>1140</v>
      </c>
      <c r="L311" s="1025">
        <v>0</v>
      </c>
      <c r="M311" s="318"/>
      <c r="N311" s="318">
        <v>0</v>
      </c>
      <c r="O311" s="1052">
        <f t="shared" si="332"/>
        <v>0</v>
      </c>
      <c r="P311" s="570"/>
      <c r="Q311" s="336">
        <v>0</v>
      </c>
      <c r="R311" s="559"/>
      <c r="S311" s="541">
        <v>0</v>
      </c>
      <c r="T311" s="559"/>
      <c r="U311" s="335"/>
      <c r="V311" s="320"/>
      <c r="W311" s="388"/>
      <c r="X311" s="388"/>
      <c r="Z311" s="336">
        <f t="shared" si="373"/>
        <v>0</v>
      </c>
      <c r="AA311" s="337">
        <f t="shared" si="373"/>
        <v>0</v>
      </c>
      <c r="AB311" s="338">
        <f t="shared" si="334"/>
        <v>0</v>
      </c>
      <c r="AC311" s="336">
        <f t="shared" si="374"/>
        <v>0</v>
      </c>
      <c r="AD311" s="337">
        <f t="shared" si="374"/>
        <v>0</v>
      </c>
      <c r="AE311" s="338">
        <f t="shared" si="336"/>
        <v>0</v>
      </c>
      <c r="AF311" s="336">
        <f t="shared" si="375"/>
        <v>0</v>
      </c>
      <c r="AG311" s="337">
        <f t="shared" si="375"/>
        <v>0</v>
      </c>
      <c r="AH311" s="338">
        <f t="shared" si="338"/>
        <v>0</v>
      </c>
      <c r="AI311" s="336">
        <f t="shared" si="376"/>
        <v>82794.64</v>
      </c>
      <c r="AJ311" s="337">
        <f t="shared" si="376"/>
        <v>0</v>
      </c>
      <c r="AK311" s="338">
        <f t="shared" si="340"/>
        <v>82794.64</v>
      </c>
      <c r="AL311" s="342"/>
      <c r="AM311" s="336">
        <f t="shared" si="377"/>
        <v>0</v>
      </c>
      <c r="AN311" s="339">
        <f t="shared" si="377"/>
        <v>0</v>
      </c>
      <c r="AO311" s="340">
        <f t="shared" si="342"/>
        <v>0</v>
      </c>
      <c r="AP311" s="336">
        <f t="shared" si="378"/>
        <v>0</v>
      </c>
      <c r="AQ311" s="339">
        <f t="shared" si="378"/>
        <v>0</v>
      </c>
      <c r="AR311" s="340">
        <f t="shared" si="328"/>
        <v>0</v>
      </c>
      <c r="AS311" s="341">
        <f t="shared" si="379"/>
        <v>82794.64</v>
      </c>
      <c r="AT311" s="339">
        <f t="shared" si="379"/>
        <v>0</v>
      </c>
      <c r="AU311" s="340">
        <f t="shared" si="330"/>
        <v>82794.64</v>
      </c>
      <c r="AV311" s="1255">
        <f t="shared" si="358"/>
        <v>-82794.64</v>
      </c>
      <c r="AW311" s="343"/>
      <c r="AX311" s="344"/>
      <c r="AY311" s="345"/>
      <c r="AZ311" s="344"/>
      <c r="BA311" s="345"/>
      <c r="BB311" s="346"/>
      <c r="BC311" s="347"/>
      <c r="BD311" s="348"/>
      <c r="BE311" s="349"/>
      <c r="BF311" s="348"/>
      <c r="BG311" s="349"/>
      <c r="BH311" s="350"/>
      <c r="BI311" s="1136"/>
      <c r="BJ311" s="352"/>
      <c r="BK311" s="337"/>
      <c r="BL311" s="352"/>
      <c r="BM311" s="337"/>
      <c r="BN311" s="353"/>
      <c r="BO311" s="1138">
        <v>82794.64</v>
      </c>
      <c r="BP311" s="355"/>
      <c r="BQ311" s="356"/>
      <c r="BR311" s="355"/>
      <c r="BS311" s="356"/>
      <c r="BT311" s="357"/>
    </row>
    <row r="312" spans="1:72" s="965" customFormat="1" ht="48.75" customHeight="1">
      <c r="A312" s="287">
        <v>295</v>
      </c>
      <c r="B312" s="952"/>
      <c r="C312" s="953" t="s">
        <v>377</v>
      </c>
      <c r="D312" s="954"/>
      <c r="E312" s="955" t="s">
        <v>201</v>
      </c>
      <c r="F312" s="956" t="s">
        <v>23</v>
      </c>
      <c r="G312" s="957">
        <v>2</v>
      </c>
      <c r="H312" s="957" t="s">
        <v>266</v>
      </c>
      <c r="I312" s="957">
        <v>244</v>
      </c>
      <c r="J312" s="958">
        <v>226</v>
      </c>
      <c r="K312" s="959" t="s">
        <v>1005</v>
      </c>
      <c r="L312" s="1027">
        <f>L313</f>
        <v>750000</v>
      </c>
      <c r="M312" s="961"/>
      <c r="N312" s="961">
        <f>N313</f>
        <v>0</v>
      </c>
      <c r="O312" s="1061">
        <f t="shared" si="332"/>
        <v>750000</v>
      </c>
      <c r="P312" s="962"/>
      <c r="Q312" s="960">
        <f>Q240</f>
        <v>0</v>
      </c>
      <c r="R312" s="962"/>
      <c r="S312" s="960">
        <f>S240</f>
        <v>0</v>
      </c>
      <c r="T312" s="962"/>
      <c r="U312" s="963"/>
      <c r="V312" s="964"/>
      <c r="W312" s="964"/>
      <c r="X312" s="964"/>
      <c r="Z312" s="960">
        <f t="shared" si="373"/>
        <v>0</v>
      </c>
      <c r="AA312" s="961">
        <f t="shared" si="373"/>
        <v>0</v>
      </c>
      <c r="AB312" s="966">
        <f t="shared" si="334"/>
        <v>0</v>
      </c>
      <c r="AC312" s="960">
        <f t="shared" si="374"/>
        <v>0</v>
      </c>
      <c r="AD312" s="961">
        <f t="shared" si="374"/>
        <v>0</v>
      </c>
      <c r="AE312" s="966">
        <f t="shared" si="336"/>
        <v>0</v>
      </c>
      <c r="AF312" s="960">
        <f t="shared" si="375"/>
        <v>0</v>
      </c>
      <c r="AG312" s="961">
        <f t="shared" si="375"/>
        <v>0</v>
      </c>
      <c r="AH312" s="966">
        <f t="shared" si="338"/>
        <v>0</v>
      </c>
      <c r="AI312" s="960">
        <f t="shared" si="376"/>
        <v>750000</v>
      </c>
      <c r="AJ312" s="961">
        <f t="shared" si="376"/>
        <v>0</v>
      </c>
      <c r="AK312" s="966">
        <f t="shared" si="340"/>
        <v>750000</v>
      </c>
      <c r="AL312" s="967"/>
      <c r="AM312" s="960">
        <f t="shared" si="377"/>
        <v>0</v>
      </c>
      <c r="AN312" s="961">
        <f t="shared" si="377"/>
        <v>0</v>
      </c>
      <c r="AO312" s="966">
        <f t="shared" si="342"/>
        <v>0</v>
      </c>
      <c r="AP312" s="960">
        <f t="shared" si="378"/>
        <v>0</v>
      </c>
      <c r="AQ312" s="961">
        <f t="shared" si="378"/>
        <v>0</v>
      </c>
      <c r="AR312" s="966">
        <f t="shared" si="328"/>
        <v>0</v>
      </c>
      <c r="AS312" s="960">
        <f t="shared" si="379"/>
        <v>750000</v>
      </c>
      <c r="AT312" s="961">
        <f t="shared" si="379"/>
        <v>0</v>
      </c>
      <c r="AU312" s="966">
        <f t="shared" si="330"/>
        <v>750000</v>
      </c>
      <c r="AV312" s="1260">
        <f t="shared" si="358"/>
        <v>0</v>
      </c>
      <c r="AW312" s="960">
        <f t="shared" ref="AW312:BT312" si="411">AW313</f>
        <v>0</v>
      </c>
      <c r="AX312" s="1109">
        <f t="shared" si="411"/>
        <v>0</v>
      </c>
      <c r="AY312" s="961">
        <f t="shared" si="411"/>
        <v>0</v>
      </c>
      <c r="AZ312" s="1109">
        <f t="shared" si="411"/>
        <v>0</v>
      </c>
      <c r="BA312" s="961">
        <f t="shared" si="411"/>
        <v>0</v>
      </c>
      <c r="BB312" s="1127">
        <f t="shared" si="411"/>
        <v>0</v>
      </c>
      <c r="BC312" s="960">
        <f t="shared" si="411"/>
        <v>0</v>
      </c>
      <c r="BD312" s="961">
        <f t="shared" si="411"/>
        <v>0</v>
      </c>
      <c r="BE312" s="961">
        <f t="shared" si="411"/>
        <v>0</v>
      </c>
      <c r="BF312" s="961">
        <f t="shared" si="411"/>
        <v>0</v>
      </c>
      <c r="BG312" s="961">
        <f t="shared" si="411"/>
        <v>0</v>
      </c>
      <c r="BH312" s="969">
        <f t="shared" si="411"/>
        <v>0</v>
      </c>
      <c r="BI312" s="960">
        <f t="shared" si="411"/>
        <v>0</v>
      </c>
      <c r="BJ312" s="961">
        <f t="shared" si="411"/>
        <v>0</v>
      </c>
      <c r="BK312" s="961">
        <f t="shared" si="411"/>
        <v>0</v>
      </c>
      <c r="BL312" s="961">
        <f t="shared" si="411"/>
        <v>0</v>
      </c>
      <c r="BM312" s="961">
        <f t="shared" si="411"/>
        <v>0</v>
      </c>
      <c r="BN312" s="969">
        <f t="shared" si="411"/>
        <v>0</v>
      </c>
      <c r="BO312" s="960">
        <f t="shared" si="411"/>
        <v>750000</v>
      </c>
      <c r="BP312" s="961">
        <f t="shared" si="411"/>
        <v>0</v>
      </c>
      <c r="BQ312" s="961">
        <f t="shared" si="411"/>
        <v>0</v>
      </c>
      <c r="BR312" s="961">
        <f t="shared" si="411"/>
        <v>0</v>
      </c>
      <c r="BS312" s="961">
        <f t="shared" si="411"/>
        <v>0</v>
      </c>
      <c r="BT312" s="966">
        <f t="shared" si="411"/>
        <v>0</v>
      </c>
    </row>
    <row r="313" spans="1:72" s="468" customFormat="1" ht="66.75" customHeight="1" outlineLevel="1">
      <c r="A313" s="287">
        <v>296</v>
      </c>
      <c r="B313" s="933"/>
      <c r="C313" s="850" t="s">
        <v>378</v>
      </c>
      <c r="D313" s="854" t="s">
        <v>876</v>
      </c>
      <c r="E313" s="858"/>
      <c r="F313" s="828" t="s">
        <v>23</v>
      </c>
      <c r="G313" s="469">
        <v>2</v>
      </c>
      <c r="H313" s="745" t="s">
        <v>70</v>
      </c>
      <c r="I313" s="745">
        <v>244</v>
      </c>
      <c r="J313" s="746">
        <v>226</v>
      </c>
      <c r="K313" s="537" t="s">
        <v>1105</v>
      </c>
      <c r="L313" s="1032">
        <f>SUM(L314:L321)</f>
        <v>750000</v>
      </c>
      <c r="M313" s="422"/>
      <c r="N313" s="422">
        <f>SUM(N314:N321)</f>
        <v>0</v>
      </c>
      <c r="O313" s="1065">
        <f t="shared" si="332"/>
        <v>750000</v>
      </c>
      <c r="P313" s="564">
        <v>741617.76</v>
      </c>
      <c r="Q313" s="472"/>
      <c r="R313" s="564"/>
      <c r="S313" s="472"/>
      <c r="T313" s="564"/>
      <c r="U313" s="393"/>
      <c r="V313" s="394"/>
      <c r="W313" s="394"/>
      <c r="X313" s="394"/>
      <c r="Y313" s="392"/>
      <c r="Z313" s="395">
        <f t="shared" si="373"/>
        <v>0</v>
      </c>
      <c r="AA313" s="396">
        <f t="shared" si="373"/>
        <v>0</v>
      </c>
      <c r="AB313" s="397">
        <f t="shared" si="334"/>
        <v>0</v>
      </c>
      <c r="AC313" s="395">
        <f t="shared" si="374"/>
        <v>0</v>
      </c>
      <c r="AD313" s="396">
        <f t="shared" si="374"/>
        <v>0</v>
      </c>
      <c r="AE313" s="397">
        <f t="shared" si="336"/>
        <v>0</v>
      </c>
      <c r="AF313" s="395">
        <f t="shared" si="375"/>
        <v>0</v>
      </c>
      <c r="AG313" s="396">
        <f t="shared" si="375"/>
        <v>0</v>
      </c>
      <c r="AH313" s="397">
        <f t="shared" si="338"/>
        <v>0</v>
      </c>
      <c r="AI313" s="395">
        <f t="shared" si="376"/>
        <v>750000</v>
      </c>
      <c r="AJ313" s="396">
        <f t="shared" si="376"/>
        <v>0</v>
      </c>
      <c r="AK313" s="397">
        <f t="shared" si="340"/>
        <v>750000</v>
      </c>
      <c r="AL313" s="398"/>
      <c r="AM313" s="472">
        <f t="shared" si="377"/>
        <v>0</v>
      </c>
      <c r="AN313" s="422">
        <f t="shared" si="377"/>
        <v>0</v>
      </c>
      <c r="AO313" s="473">
        <f t="shared" si="342"/>
        <v>0</v>
      </c>
      <c r="AP313" s="472">
        <f t="shared" si="378"/>
        <v>0</v>
      </c>
      <c r="AQ313" s="422">
        <f t="shared" si="378"/>
        <v>0</v>
      </c>
      <c r="AR313" s="473">
        <f t="shared" si="328"/>
        <v>0</v>
      </c>
      <c r="AS313" s="472">
        <f t="shared" si="379"/>
        <v>750000</v>
      </c>
      <c r="AT313" s="422">
        <f t="shared" si="379"/>
        <v>0</v>
      </c>
      <c r="AU313" s="473">
        <f t="shared" si="330"/>
        <v>750000</v>
      </c>
      <c r="AV313" s="1263">
        <f t="shared" si="358"/>
        <v>0</v>
      </c>
      <c r="AW313" s="472">
        <f t="shared" ref="AW313:BT313" si="412">SUM(AW314:AW321)</f>
        <v>0</v>
      </c>
      <c r="AX313" s="1110">
        <f t="shared" si="412"/>
        <v>0</v>
      </c>
      <c r="AY313" s="422">
        <f t="shared" si="412"/>
        <v>0</v>
      </c>
      <c r="AZ313" s="1110">
        <f t="shared" si="412"/>
        <v>0</v>
      </c>
      <c r="BA313" s="422">
        <f t="shared" si="412"/>
        <v>0</v>
      </c>
      <c r="BB313" s="1128">
        <f t="shared" si="412"/>
        <v>0</v>
      </c>
      <c r="BC313" s="472">
        <f t="shared" si="412"/>
        <v>0</v>
      </c>
      <c r="BD313" s="422">
        <f t="shared" si="412"/>
        <v>0</v>
      </c>
      <c r="BE313" s="422">
        <f t="shared" si="412"/>
        <v>0</v>
      </c>
      <c r="BF313" s="422">
        <f t="shared" si="412"/>
        <v>0</v>
      </c>
      <c r="BG313" s="422">
        <f t="shared" si="412"/>
        <v>0</v>
      </c>
      <c r="BH313" s="423">
        <f t="shared" si="412"/>
        <v>0</v>
      </c>
      <c r="BI313" s="472">
        <f t="shared" si="412"/>
        <v>0</v>
      </c>
      <c r="BJ313" s="422">
        <f t="shared" si="412"/>
        <v>0</v>
      </c>
      <c r="BK313" s="422">
        <f t="shared" si="412"/>
        <v>0</v>
      </c>
      <c r="BL313" s="422">
        <f t="shared" si="412"/>
        <v>0</v>
      </c>
      <c r="BM313" s="422">
        <f t="shared" si="412"/>
        <v>0</v>
      </c>
      <c r="BN313" s="423">
        <f t="shared" si="412"/>
        <v>0</v>
      </c>
      <c r="BO313" s="472">
        <f t="shared" si="412"/>
        <v>750000</v>
      </c>
      <c r="BP313" s="422">
        <f t="shared" si="412"/>
        <v>0</v>
      </c>
      <c r="BQ313" s="422">
        <f t="shared" si="412"/>
        <v>0</v>
      </c>
      <c r="BR313" s="422">
        <f t="shared" si="412"/>
        <v>0</v>
      </c>
      <c r="BS313" s="422">
        <f t="shared" si="412"/>
        <v>0</v>
      </c>
      <c r="BT313" s="473">
        <f t="shared" si="412"/>
        <v>0</v>
      </c>
    </row>
    <row r="314" spans="1:72" s="399" customFormat="1" ht="25.5" customHeight="1" outlineLevel="2">
      <c r="A314" s="287">
        <v>297</v>
      </c>
      <c r="B314" s="933"/>
      <c r="C314" s="859"/>
      <c r="D314" s="854" t="s">
        <v>876</v>
      </c>
      <c r="E314" s="860"/>
      <c r="F314" s="829" t="s">
        <v>23</v>
      </c>
      <c r="G314" s="400">
        <v>2</v>
      </c>
      <c r="H314" s="747" t="s">
        <v>70</v>
      </c>
      <c r="I314" s="747">
        <v>244</v>
      </c>
      <c r="J314" s="748">
        <v>226</v>
      </c>
      <c r="K314" s="538" t="s">
        <v>292</v>
      </c>
      <c r="L314" s="1025"/>
      <c r="M314" s="403"/>
      <c r="N314" s="318"/>
      <c r="O314" s="1063">
        <f t="shared" si="332"/>
        <v>0</v>
      </c>
      <c r="P314" s="565">
        <v>0</v>
      </c>
      <c r="Q314" s="406"/>
      <c r="R314" s="565"/>
      <c r="S314" s="406"/>
      <c r="T314" s="565"/>
      <c r="U314" s="428"/>
      <c r="V314" s="405"/>
      <c r="W314" s="405"/>
      <c r="X314" s="405"/>
      <c r="Z314" s="406">
        <f t="shared" si="373"/>
        <v>0</v>
      </c>
      <c r="AA314" s="407">
        <f t="shared" si="373"/>
        <v>0</v>
      </c>
      <c r="AB314" s="408">
        <f t="shared" si="334"/>
        <v>0</v>
      </c>
      <c r="AC314" s="406">
        <f t="shared" si="374"/>
        <v>0</v>
      </c>
      <c r="AD314" s="407">
        <f t="shared" si="374"/>
        <v>0</v>
      </c>
      <c r="AE314" s="408">
        <f t="shared" si="336"/>
        <v>0</v>
      </c>
      <c r="AF314" s="406">
        <f t="shared" si="375"/>
        <v>0</v>
      </c>
      <c r="AG314" s="407">
        <f t="shared" si="375"/>
        <v>0</v>
      </c>
      <c r="AH314" s="408">
        <f t="shared" si="338"/>
        <v>0</v>
      </c>
      <c r="AI314" s="406">
        <f t="shared" si="376"/>
        <v>0</v>
      </c>
      <c r="AJ314" s="407">
        <f t="shared" si="376"/>
        <v>0</v>
      </c>
      <c r="AK314" s="408">
        <f t="shared" si="340"/>
        <v>0</v>
      </c>
      <c r="AL314" s="409"/>
      <c r="AM314" s="406">
        <f t="shared" si="377"/>
        <v>0</v>
      </c>
      <c r="AN314" s="410">
        <f t="shared" si="377"/>
        <v>0</v>
      </c>
      <c r="AO314" s="411">
        <f t="shared" si="342"/>
        <v>0</v>
      </c>
      <c r="AP314" s="406">
        <f t="shared" si="378"/>
        <v>0</v>
      </c>
      <c r="AQ314" s="410">
        <f t="shared" si="378"/>
        <v>0</v>
      </c>
      <c r="AR314" s="411">
        <f t="shared" si="328"/>
        <v>0</v>
      </c>
      <c r="AS314" s="412">
        <f t="shared" si="379"/>
        <v>0</v>
      </c>
      <c r="AT314" s="410">
        <f t="shared" si="379"/>
        <v>0</v>
      </c>
      <c r="AU314" s="411">
        <f t="shared" si="330"/>
        <v>0</v>
      </c>
      <c r="AV314" s="1262">
        <f t="shared" si="358"/>
        <v>0</v>
      </c>
      <c r="AW314" s="413"/>
      <c r="AX314" s="1098"/>
      <c r="AY314" s="415"/>
      <c r="AZ314" s="1098"/>
      <c r="BA314" s="415"/>
      <c r="BB314" s="1120"/>
      <c r="BC314" s="417"/>
      <c r="BD314" s="418"/>
      <c r="BE314" s="419"/>
      <c r="BF314" s="418"/>
      <c r="BG314" s="419"/>
      <c r="BH314" s="420"/>
      <c r="BI314" s="421"/>
      <c r="BJ314" s="422"/>
      <c r="BK314" s="407"/>
      <c r="BL314" s="422"/>
      <c r="BM314" s="407"/>
      <c r="BN314" s="423"/>
      <c r="BO314" s="424"/>
      <c r="BP314" s="425"/>
      <c r="BQ314" s="426"/>
      <c r="BR314" s="425"/>
      <c r="BS314" s="426"/>
      <c r="BT314" s="427"/>
    </row>
    <row r="315" spans="1:72" s="399" customFormat="1" ht="25.5" customHeight="1" outlineLevel="2">
      <c r="A315" s="287">
        <v>298</v>
      </c>
      <c r="B315" s="933"/>
      <c r="C315" s="859"/>
      <c r="D315" s="854" t="s">
        <v>876</v>
      </c>
      <c r="E315" s="860"/>
      <c r="F315" s="829" t="s">
        <v>23</v>
      </c>
      <c r="G315" s="400">
        <v>2</v>
      </c>
      <c r="H315" s="747" t="s">
        <v>70</v>
      </c>
      <c r="I315" s="747">
        <v>244</v>
      </c>
      <c r="J315" s="748">
        <v>226</v>
      </c>
      <c r="K315" s="538" t="s">
        <v>293</v>
      </c>
      <c r="L315" s="1025">
        <v>165393.4</v>
      </c>
      <c r="M315" s="403"/>
      <c r="N315" s="318"/>
      <c r="O315" s="1063">
        <f t="shared" si="332"/>
        <v>165393.4</v>
      </c>
      <c r="P315" s="565">
        <v>165393.4</v>
      </c>
      <c r="Q315" s="406"/>
      <c r="R315" s="565"/>
      <c r="S315" s="406"/>
      <c r="T315" s="565"/>
      <c r="U315" s="428"/>
      <c r="V315" s="405"/>
      <c r="W315" s="405"/>
      <c r="X315" s="405"/>
      <c r="Z315" s="406">
        <f t="shared" si="373"/>
        <v>0</v>
      </c>
      <c r="AA315" s="407">
        <f t="shared" si="373"/>
        <v>0</v>
      </c>
      <c r="AB315" s="408">
        <f t="shared" si="334"/>
        <v>0</v>
      </c>
      <c r="AC315" s="406">
        <f t="shared" si="374"/>
        <v>0</v>
      </c>
      <c r="AD315" s="407">
        <f t="shared" si="374"/>
        <v>0</v>
      </c>
      <c r="AE315" s="408">
        <f t="shared" si="336"/>
        <v>0</v>
      </c>
      <c r="AF315" s="406">
        <f t="shared" si="375"/>
        <v>0</v>
      </c>
      <c r="AG315" s="407">
        <f t="shared" si="375"/>
        <v>0</v>
      </c>
      <c r="AH315" s="408">
        <f t="shared" si="338"/>
        <v>0</v>
      </c>
      <c r="AI315" s="406">
        <f t="shared" si="376"/>
        <v>165393.4</v>
      </c>
      <c r="AJ315" s="407">
        <f t="shared" si="376"/>
        <v>0</v>
      </c>
      <c r="AK315" s="408">
        <f t="shared" si="340"/>
        <v>165393.4</v>
      </c>
      <c r="AL315" s="409"/>
      <c r="AM315" s="406">
        <f t="shared" si="377"/>
        <v>0</v>
      </c>
      <c r="AN315" s="410">
        <f t="shared" si="377"/>
        <v>0</v>
      </c>
      <c r="AO315" s="411">
        <f t="shared" si="342"/>
        <v>0</v>
      </c>
      <c r="AP315" s="406">
        <f t="shared" si="378"/>
        <v>0</v>
      </c>
      <c r="AQ315" s="410">
        <f t="shared" si="378"/>
        <v>0</v>
      </c>
      <c r="AR315" s="411">
        <f t="shared" si="328"/>
        <v>0</v>
      </c>
      <c r="AS315" s="412">
        <f t="shared" si="379"/>
        <v>165393.4</v>
      </c>
      <c r="AT315" s="410">
        <f t="shared" si="379"/>
        <v>0</v>
      </c>
      <c r="AU315" s="411">
        <f t="shared" si="330"/>
        <v>165393.4</v>
      </c>
      <c r="AV315" s="1262">
        <f t="shared" si="358"/>
        <v>0</v>
      </c>
      <c r="AW315" s="413"/>
      <c r="AX315" s="1098"/>
      <c r="AY315" s="415"/>
      <c r="AZ315" s="1098"/>
      <c r="BA315" s="415"/>
      <c r="BB315" s="1120"/>
      <c r="BC315" s="417"/>
      <c r="BD315" s="418"/>
      <c r="BE315" s="419"/>
      <c r="BF315" s="418"/>
      <c r="BG315" s="419"/>
      <c r="BH315" s="420"/>
      <c r="BI315" s="421"/>
      <c r="BJ315" s="422"/>
      <c r="BK315" s="407"/>
      <c r="BL315" s="422"/>
      <c r="BM315" s="407"/>
      <c r="BN315" s="423"/>
      <c r="BO315" s="424">
        <v>165393.4</v>
      </c>
      <c r="BP315" s="425"/>
      <c r="BQ315" s="426"/>
      <c r="BR315" s="425"/>
      <c r="BS315" s="426"/>
      <c r="BT315" s="427"/>
    </row>
    <row r="316" spans="1:72" s="399" customFormat="1" ht="25.5" customHeight="1" outlineLevel="2">
      <c r="A316" s="287">
        <v>299</v>
      </c>
      <c r="B316" s="933"/>
      <c r="C316" s="859"/>
      <c r="D316" s="854" t="s">
        <v>876</v>
      </c>
      <c r="E316" s="860"/>
      <c r="F316" s="829" t="s">
        <v>23</v>
      </c>
      <c r="G316" s="400">
        <v>2</v>
      </c>
      <c r="H316" s="747" t="s">
        <v>70</v>
      </c>
      <c r="I316" s="747">
        <v>244</v>
      </c>
      <c r="J316" s="748">
        <v>226</v>
      </c>
      <c r="K316" s="538" t="s">
        <v>1008</v>
      </c>
      <c r="L316" s="1025">
        <v>246736.08</v>
      </c>
      <c r="M316" s="403"/>
      <c r="N316" s="318"/>
      <c r="O316" s="1063">
        <f t="shared" si="332"/>
        <v>246736.08</v>
      </c>
      <c r="P316" s="565">
        <v>246736.08</v>
      </c>
      <c r="Q316" s="406"/>
      <c r="R316" s="565"/>
      <c r="S316" s="406"/>
      <c r="T316" s="565"/>
      <c r="U316" s="428"/>
      <c r="V316" s="405"/>
      <c r="W316" s="405"/>
      <c r="X316" s="405"/>
      <c r="Z316" s="406">
        <f t="shared" si="373"/>
        <v>0</v>
      </c>
      <c r="AA316" s="407">
        <f t="shared" si="373"/>
        <v>0</v>
      </c>
      <c r="AB316" s="408">
        <f t="shared" si="334"/>
        <v>0</v>
      </c>
      <c r="AC316" s="406">
        <f t="shared" si="374"/>
        <v>0</v>
      </c>
      <c r="AD316" s="407">
        <f t="shared" si="374"/>
        <v>0</v>
      </c>
      <c r="AE316" s="408">
        <f t="shared" si="336"/>
        <v>0</v>
      </c>
      <c r="AF316" s="406">
        <f t="shared" si="375"/>
        <v>0</v>
      </c>
      <c r="AG316" s="407">
        <f t="shared" si="375"/>
        <v>0</v>
      </c>
      <c r="AH316" s="408">
        <f t="shared" si="338"/>
        <v>0</v>
      </c>
      <c r="AI316" s="406">
        <f t="shared" si="376"/>
        <v>246736.08</v>
      </c>
      <c r="AJ316" s="407">
        <f t="shared" si="376"/>
        <v>0</v>
      </c>
      <c r="AK316" s="408">
        <f t="shared" si="340"/>
        <v>246736.08</v>
      </c>
      <c r="AL316" s="409"/>
      <c r="AM316" s="406">
        <f t="shared" si="377"/>
        <v>0</v>
      </c>
      <c r="AN316" s="410">
        <f t="shared" si="377"/>
        <v>0</v>
      </c>
      <c r="AO316" s="411">
        <f t="shared" si="342"/>
        <v>0</v>
      </c>
      <c r="AP316" s="406">
        <f t="shared" si="378"/>
        <v>0</v>
      </c>
      <c r="AQ316" s="410">
        <f t="shared" si="378"/>
        <v>0</v>
      </c>
      <c r="AR316" s="411">
        <f t="shared" si="328"/>
        <v>0</v>
      </c>
      <c r="AS316" s="412">
        <f t="shared" si="379"/>
        <v>246736.08</v>
      </c>
      <c r="AT316" s="410">
        <f t="shared" si="379"/>
        <v>0</v>
      </c>
      <c r="AU316" s="411">
        <f t="shared" si="330"/>
        <v>246736.08</v>
      </c>
      <c r="AV316" s="1262">
        <f t="shared" si="358"/>
        <v>0</v>
      </c>
      <c r="AW316" s="413"/>
      <c r="AX316" s="1098"/>
      <c r="AY316" s="415"/>
      <c r="AZ316" s="1098"/>
      <c r="BA316" s="415"/>
      <c r="BB316" s="1120"/>
      <c r="BC316" s="417"/>
      <c r="BD316" s="418"/>
      <c r="BE316" s="419"/>
      <c r="BF316" s="418"/>
      <c r="BG316" s="419"/>
      <c r="BH316" s="420"/>
      <c r="BI316" s="421"/>
      <c r="BJ316" s="422"/>
      <c r="BK316" s="407"/>
      <c r="BL316" s="422"/>
      <c r="BM316" s="407"/>
      <c r="BN316" s="423"/>
      <c r="BO316" s="424">
        <v>246736.08</v>
      </c>
      <c r="BP316" s="425"/>
      <c r="BQ316" s="426"/>
      <c r="BR316" s="425"/>
      <c r="BS316" s="426"/>
      <c r="BT316" s="427"/>
    </row>
    <row r="317" spans="1:72" s="399" customFormat="1" ht="25.5" customHeight="1" outlineLevel="2">
      <c r="A317" s="287">
        <v>300</v>
      </c>
      <c r="B317" s="933"/>
      <c r="C317" s="859"/>
      <c r="D317" s="854" t="s">
        <v>876</v>
      </c>
      <c r="E317" s="860"/>
      <c r="F317" s="829" t="s">
        <v>23</v>
      </c>
      <c r="G317" s="400">
        <v>2</v>
      </c>
      <c r="H317" s="747" t="s">
        <v>70</v>
      </c>
      <c r="I317" s="747">
        <v>244</v>
      </c>
      <c r="J317" s="748">
        <v>226</v>
      </c>
      <c r="K317" s="538" t="s">
        <v>295</v>
      </c>
      <c r="L317" s="1025">
        <v>299886.7</v>
      </c>
      <c r="M317" s="403"/>
      <c r="N317" s="318"/>
      <c r="O317" s="1063">
        <f t="shared" si="332"/>
        <v>299886.7</v>
      </c>
      <c r="P317" s="565">
        <v>299886.7</v>
      </c>
      <c r="Q317" s="406"/>
      <c r="R317" s="565"/>
      <c r="S317" s="406"/>
      <c r="T317" s="565"/>
      <c r="U317" s="428"/>
      <c r="V317" s="405"/>
      <c r="W317" s="405"/>
      <c r="X317" s="405"/>
      <c r="Z317" s="406">
        <f t="shared" si="373"/>
        <v>0</v>
      </c>
      <c r="AA317" s="407">
        <f t="shared" si="373"/>
        <v>0</v>
      </c>
      <c r="AB317" s="408">
        <f t="shared" si="334"/>
        <v>0</v>
      </c>
      <c r="AC317" s="406">
        <f t="shared" si="374"/>
        <v>0</v>
      </c>
      <c r="AD317" s="407">
        <f t="shared" si="374"/>
        <v>0</v>
      </c>
      <c r="AE317" s="408">
        <f t="shared" si="336"/>
        <v>0</v>
      </c>
      <c r="AF317" s="406">
        <f t="shared" si="375"/>
        <v>0</v>
      </c>
      <c r="AG317" s="407">
        <f t="shared" si="375"/>
        <v>0</v>
      </c>
      <c r="AH317" s="408">
        <f t="shared" si="338"/>
        <v>0</v>
      </c>
      <c r="AI317" s="406">
        <f t="shared" si="376"/>
        <v>299886.7</v>
      </c>
      <c r="AJ317" s="407">
        <f t="shared" si="376"/>
        <v>0</v>
      </c>
      <c r="AK317" s="408">
        <f t="shared" si="340"/>
        <v>299886.7</v>
      </c>
      <c r="AL317" s="409"/>
      <c r="AM317" s="406">
        <f t="shared" si="377"/>
        <v>0</v>
      </c>
      <c r="AN317" s="410">
        <f t="shared" si="377"/>
        <v>0</v>
      </c>
      <c r="AO317" s="411">
        <f t="shared" si="342"/>
        <v>0</v>
      </c>
      <c r="AP317" s="406">
        <f t="shared" si="378"/>
        <v>0</v>
      </c>
      <c r="AQ317" s="410">
        <f t="shared" si="378"/>
        <v>0</v>
      </c>
      <c r="AR317" s="411">
        <f t="shared" si="328"/>
        <v>0</v>
      </c>
      <c r="AS317" s="412">
        <f t="shared" si="379"/>
        <v>299886.7</v>
      </c>
      <c r="AT317" s="410">
        <f t="shared" si="379"/>
        <v>0</v>
      </c>
      <c r="AU317" s="411">
        <f t="shared" si="330"/>
        <v>299886.7</v>
      </c>
      <c r="AV317" s="1262">
        <f t="shared" si="358"/>
        <v>0</v>
      </c>
      <c r="AW317" s="413"/>
      <c r="AX317" s="1098"/>
      <c r="AY317" s="415"/>
      <c r="AZ317" s="1098"/>
      <c r="BA317" s="415"/>
      <c r="BB317" s="1120"/>
      <c r="BC317" s="417"/>
      <c r="BD317" s="418"/>
      <c r="BE317" s="419"/>
      <c r="BF317" s="418"/>
      <c r="BG317" s="419"/>
      <c r="BH317" s="420"/>
      <c r="BI317" s="421"/>
      <c r="BJ317" s="422"/>
      <c r="BK317" s="407"/>
      <c r="BL317" s="422"/>
      <c r="BM317" s="407"/>
      <c r="BN317" s="423"/>
      <c r="BO317" s="424">
        <v>299886.7</v>
      </c>
      <c r="BP317" s="425"/>
      <c r="BQ317" s="426"/>
      <c r="BR317" s="425"/>
      <c r="BS317" s="426"/>
      <c r="BT317" s="427"/>
    </row>
    <row r="318" spans="1:72" s="399" customFormat="1" ht="25.5" customHeight="1" outlineLevel="2">
      <c r="A318" s="287">
        <v>301</v>
      </c>
      <c r="B318" s="933"/>
      <c r="C318" s="859"/>
      <c r="D318" s="854" t="s">
        <v>876</v>
      </c>
      <c r="E318" s="860"/>
      <c r="F318" s="829" t="s">
        <v>23</v>
      </c>
      <c r="G318" s="400">
        <v>2</v>
      </c>
      <c r="H318" s="747" t="s">
        <v>70</v>
      </c>
      <c r="I318" s="747">
        <v>244</v>
      </c>
      <c r="J318" s="748">
        <v>226</v>
      </c>
      <c r="K318" s="538" t="s">
        <v>1006</v>
      </c>
      <c r="L318" s="1025">
        <v>35650.49</v>
      </c>
      <c r="M318" s="403"/>
      <c r="N318" s="318"/>
      <c r="O318" s="1063">
        <f t="shared" si="332"/>
        <v>35650.49</v>
      </c>
      <c r="P318" s="565">
        <v>27268.25</v>
      </c>
      <c r="Q318" s="406"/>
      <c r="R318" s="565"/>
      <c r="S318" s="406"/>
      <c r="T318" s="565"/>
      <c r="U318" s="428"/>
      <c r="V318" s="405"/>
      <c r="W318" s="405"/>
      <c r="X318" s="405"/>
      <c r="Z318" s="406">
        <f t="shared" si="373"/>
        <v>0</v>
      </c>
      <c r="AA318" s="407">
        <f t="shared" si="373"/>
        <v>0</v>
      </c>
      <c r="AB318" s="408">
        <f t="shared" si="334"/>
        <v>0</v>
      </c>
      <c r="AC318" s="406">
        <f t="shared" si="374"/>
        <v>0</v>
      </c>
      <c r="AD318" s="407">
        <f t="shared" si="374"/>
        <v>0</v>
      </c>
      <c r="AE318" s="408">
        <f t="shared" si="336"/>
        <v>0</v>
      </c>
      <c r="AF318" s="406">
        <f t="shared" si="375"/>
        <v>0</v>
      </c>
      <c r="AG318" s="407">
        <f t="shared" si="375"/>
        <v>0</v>
      </c>
      <c r="AH318" s="408">
        <f t="shared" si="338"/>
        <v>0</v>
      </c>
      <c r="AI318" s="406">
        <f t="shared" si="376"/>
        <v>35650.49</v>
      </c>
      <c r="AJ318" s="407">
        <f t="shared" si="376"/>
        <v>0</v>
      </c>
      <c r="AK318" s="408">
        <f t="shared" si="340"/>
        <v>35650.49</v>
      </c>
      <c r="AL318" s="409"/>
      <c r="AM318" s="406">
        <f t="shared" si="377"/>
        <v>0</v>
      </c>
      <c r="AN318" s="410">
        <f t="shared" si="377"/>
        <v>0</v>
      </c>
      <c r="AO318" s="411">
        <f t="shared" si="342"/>
        <v>0</v>
      </c>
      <c r="AP318" s="406">
        <f t="shared" si="378"/>
        <v>0</v>
      </c>
      <c r="AQ318" s="410">
        <f t="shared" si="378"/>
        <v>0</v>
      </c>
      <c r="AR318" s="411">
        <f t="shared" si="328"/>
        <v>0</v>
      </c>
      <c r="AS318" s="412">
        <f t="shared" si="379"/>
        <v>35650.49</v>
      </c>
      <c r="AT318" s="410">
        <f t="shared" si="379"/>
        <v>0</v>
      </c>
      <c r="AU318" s="411">
        <f t="shared" si="330"/>
        <v>35650.49</v>
      </c>
      <c r="AV318" s="1262">
        <f t="shared" si="358"/>
        <v>0</v>
      </c>
      <c r="AW318" s="413"/>
      <c r="AX318" s="1098"/>
      <c r="AY318" s="415"/>
      <c r="AZ318" s="1098"/>
      <c r="BA318" s="415"/>
      <c r="BB318" s="1120"/>
      <c r="BC318" s="417"/>
      <c r="BD318" s="418"/>
      <c r="BE318" s="419"/>
      <c r="BF318" s="418"/>
      <c r="BG318" s="419"/>
      <c r="BH318" s="420"/>
      <c r="BI318" s="421"/>
      <c r="BJ318" s="422"/>
      <c r="BK318" s="407"/>
      <c r="BL318" s="422"/>
      <c r="BM318" s="407"/>
      <c r="BN318" s="423"/>
      <c r="BO318" s="424">
        <v>35650.49</v>
      </c>
      <c r="BP318" s="425"/>
      <c r="BQ318" s="426"/>
      <c r="BR318" s="425"/>
      <c r="BS318" s="426"/>
      <c r="BT318" s="427"/>
    </row>
    <row r="319" spans="1:72" s="399" customFormat="1" ht="25.5" customHeight="1" outlineLevel="2">
      <c r="A319" s="287">
        <v>302</v>
      </c>
      <c r="B319" s="933"/>
      <c r="C319" s="859"/>
      <c r="D319" s="854" t="s">
        <v>876</v>
      </c>
      <c r="E319" s="860"/>
      <c r="F319" s="829" t="s">
        <v>23</v>
      </c>
      <c r="G319" s="400">
        <v>2</v>
      </c>
      <c r="H319" s="747" t="s">
        <v>70</v>
      </c>
      <c r="I319" s="747">
        <v>244</v>
      </c>
      <c r="J319" s="748">
        <v>226</v>
      </c>
      <c r="K319" s="538" t="s">
        <v>288</v>
      </c>
      <c r="L319" s="1025"/>
      <c r="M319" s="403"/>
      <c r="N319" s="318"/>
      <c r="O319" s="1063">
        <f t="shared" si="332"/>
        <v>0</v>
      </c>
      <c r="P319" s="565">
        <v>0</v>
      </c>
      <c r="Q319" s="406"/>
      <c r="R319" s="565"/>
      <c r="S319" s="406"/>
      <c r="T319" s="565"/>
      <c r="U319" s="428"/>
      <c r="V319" s="405"/>
      <c r="W319" s="405"/>
      <c r="X319" s="405"/>
      <c r="Z319" s="406">
        <f t="shared" si="373"/>
        <v>0</v>
      </c>
      <c r="AA319" s="407">
        <f t="shared" si="373"/>
        <v>0</v>
      </c>
      <c r="AB319" s="408">
        <f t="shared" si="334"/>
        <v>0</v>
      </c>
      <c r="AC319" s="406">
        <f t="shared" si="374"/>
        <v>0</v>
      </c>
      <c r="AD319" s="407">
        <f t="shared" si="374"/>
        <v>0</v>
      </c>
      <c r="AE319" s="408">
        <f t="shared" si="336"/>
        <v>0</v>
      </c>
      <c r="AF319" s="406">
        <f t="shared" si="375"/>
        <v>0</v>
      </c>
      <c r="AG319" s="407">
        <f t="shared" si="375"/>
        <v>0</v>
      </c>
      <c r="AH319" s="408">
        <f t="shared" si="338"/>
        <v>0</v>
      </c>
      <c r="AI319" s="406">
        <f t="shared" si="376"/>
        <v>0</v>
      </c>
      <c r="AJ319" s="407">
        <f t="shared" si="376"/>
        <v>0</v>
      </c>
      <c r="AK319" s="408">
        <f t="shared" si="340"/>
        <v>0</v>
      </c>
      <c r="AL319" s="409"/>
      <c r="AM319" s="406">
        <f t="shared" si="377"/>
        <v>0</v>
      </c>
      <c r="AN319" s="410">
        <f t="shared" si="377"/>
        <v>0</v>
      </c>
      <c r="AO319" s="411">
        <f t="shared" si="342"/>
        <v>0</v>
      </c>
      <c r="AP319" s="406">
        <f t="shared" si="378"/>
        <v>0</v>
      </c>
      <c r="AQ319" s="410">
        <f t="shared" si="378"/>
        <v>0</v>
      </c>
      <c r="AR319" s="411">
        <f t="shared" si="328"/>
        <v>0</v>
      </c>
      <c r="AS319" s="412">
        <f t="shared" si="379"/>
        <v>0</v>
      </c>
      <c r="AT319" s="410">
        <f t="shared" si="379"/>
        <v>0</v>
      </c>
      <c r="AU319" s="411">
        <f t="shared" si="330"/>
        <v>0</v>
      </c>
      <c r="AV319" s="1262">
        <f t="shared" si="358"/>
        <v>0</v>
      </c>
      <c r="AW319" s="413"/>
      <c r="AX319" s="1098"/>
      <c r="AY319" s="415"/>
      <c r="AZ319" s="1098"/>
      <c r="BA319" s="415"/>
      <c r="BB319" s="1120"/>
      <c r="BC319" s="417"/>
      <c r="BD319" s="418"/>
      <c r="BE319" s="419"/>
      <c r="BF319" s="418"/>
      <c r="BG319" s="419"/>
      <c r="BH319" s="420"/>
      <c r="BI319" s="421"/>
      <c r="BJ319" s="422"/>
      <c r="BK319" s="407"/>
      <c r="BL319" s="422"/>
      <c r="BM319" s="407"/>
      <c r="BN319" s="423"/>
      <c r="BO319" s="424"/>
      <c r="BP319" s="425"/>
      <c r="BQ319" s="426"/>
      <c r="BR319" s="425"/>
      <c r="BS319" s="426"/>
      <c r="BT319" s="427"/>
    </row>
    <row r="320" spans="1:72" s="399" customFormat="1" ht="25.5" customHeight="1" outlineLevel="2">
      <c r="A320" s="287">
        <v>303</v>
      </c>
      <c r="B320" s="933"/>
      <c r="C320" s="859"/>
      <c r="D320" s="854" t="s">
        <v>876</v>
      </c>
      <c r="E320" s="860"/>
      <c r="F320" s="829" t="s">
        <v>23</v>
      </c>
      <c r="G320" s="400">
        <v>2</v>
      </c>
      <c r="H320" s="747" t="s">
        <v>70</v>
      </c>
      <c r="I320" s="747">
        <v>244</v>
      </c>
      <c r="J320" s="748">
        <v>226</v>
      </c>
      <c r="K320" s="538" t="s">
        <v>297</v>
      </c>
      <c r="L320" s="1025">
        <v>2333.33</v>
      </c>
      <c r="M320" s="403"/>
      <c r="N320" s="318"/>
      <c r="O320" s="1063">
        <f t="shared" si="332"/>
        <v>2333.33</v>
      </c>
      <c r="P320" s="565">
        <v>2333.33</v>
      </c>
      <c r="Q320" s="406"/>
      <c r="R320" s="565"/>
      <c r="S320" s="406"/>
      <c r="T320" s="565"/>
      <c r="U320" s="428"/>
      <c r="V320" s="405"/>
      <c r="W320" s="405"/>
      <c r="X320" s="405"/>
      <c r="Z320" s="406">
        <f t="shared" si="373"/>
        <v>0</v>
      </c>
      <c r="AA320" s="407">
        <f t="shared" si="373"/>
        <v>0</v>
      </c>
      <c r="AB320" s="408">
        <f t="shared" si="334"/>
        <v>0</v>
      </c>
      <c r="AC320" s="406">
        <f t="shared" si="374"/>
        <v>0</v>
      </c>
      <c r="AD320" s="407">
        <f t="shared" si="374"/>
        <v>0</v>
      </c>
      <c r="AE320" s="408">
        <f t="shared" si="336"/>
        <v>0</v>
      </c>
      <c r="AF320" s="406">
        <f t="shared" si="375"/>
        <v>0</v>
      </c>
      <c r="AG320" s="407">
        <f t="shared" si="375"/>
        <v>0</v>
      </c>
      <c r="AH320" s="408">
        <f t="shared" si="338"/>
        <v>0</v>
      </c>
      <c r="AI320" s="406">
        <f t="shared" si="376"/>
        <v>2333.33</v>
      </c>
      <c r="AJ320" s="407">
        <f t="shared" si="376"/>
        <v>0</v>
      </c>
      <c r="AK320" s="408">
        <f t="shared" si="340"/>
        <v>2333.33</v>
      </c>
      <c r="AL320" s="409"/>
      <c r="AM320" s="406">
        <f t="shared" si="377"/>
        <v>0</v>
      </c>
      <c r="AN320" s="410">
        <f t="shared" si="377"/>
        <v>0</v>
      </c>
      <c r="AO320" s="411">
        <f t="shared" si="342"/>
        <v>0</v>
      </c>
      <c r="AP320" s="406">
        <f t="shared" si="378"/>
        <v>0</v>
      </c>
      <c r="AQ320" s="410">
        <f t="shared" si="378"/>
        <v>0</v>
      </c>
      <c r="AR320" s="411">
        <f t="shared" si="328"/>
        <v>0</v>
      </c>
      <c r="AS320" s="412">
        <f t="shared" si="379"/>
        <v>2333.33</v>
      </c>
      <c r="AT320" s="410">
        <f t="shared" si="379"/>
        <v>0</v>
      </c>
      <c r="AU320" s="411">
        <f t="shared" si="330"/>
        <v>2333.33</v>
      </c>
      <c r="AV320" s="1262">
        <f t="shared" si="358"/>
        <v>0</v>
      </c>
      <c r="AW320" s="413"/>
      <c r="AX320" s="1098"/>
      <c r="AY320" s="415"/>
      <c r="AZ320" s="1098"/>
      <c r="BA320" s="415"/>
      <c r="BB320" s="1120"/>
      <c r="BC320" s="417"/>
      <c r="BD320" s="418"/>
      <c r="BE320" s="419"/>
      <c r="BF320" s="418"/>
      <c r="BG320" s="419"/>
      <c r="BH320" s="420"/>
      <c r="BI320" s="421"/>
      <c r="BJ320" s="422"/>
      <c r="BK320" s="407"/>
      <c r="BL320" s="422"/>
      <c r="BM320" s="407"/>
      <c r="BN320" s="423"/>
      <c r="BO320" s="424">
        <v>2333.33</v>
      </c>
      <c r="BP320" s="425"/>
      <c r="BQ320" s="426"/>
      <c r="BR320" s="425"/>
      <c r="BS320" s="426"/>
      <c r="BT320" s="427"/>
    </row>
    <row r="321" spans="1:72" s="430" customFormat="1" ht="25.5" customHeight="1" outlineLevel="2">
      <c r="A321" s="287">
        <v>304</v>
      </c>
      <c r="B321" s="933"/>
      <c r="C321" s="743"/>
      <c r="D321" s="854" t="s">
        <v>876</v>
      </c>
      <c r="E321" s="857"/>
      <c r="F321" s="827" t="s">
        <v>23</v>
      </c>
      <c r="G321" s="431">
        <v>2</v>
      </c>
      <c r="H321" s="474" t="s">
        <v>70</v>
      </c>
      <c r="I321" s="743">
        <v>244</v>
      </c>
      <c r="J321" s="744">
        <v>226</v>
      </c>
      <c r="K321" s="536" t="s">
        <v>284</v>
      </c>
      <c r="L321" s="1030">
        <v>0</v>
      </c>
      <c r="M321" s="434"/>
      <c r="N321" s="434">
        <v>0</v>
      </c>
      <c r="O321" s="1064">
        <f t="shared" si="332"/>
        <v>0</v>
      </c>
      <c r="P321" s="563"/>
      <c r="Q321" s="437"/>
      <c r="R321" s="563"/>
      <c r="S321" s="437"/>
      <c r="T321" s="563"/>
      <c r="U321" s="467"/>
      <c r="V321" s="436"/>
      <c r="W321" s="436"/>
      <c r="X321" s="436"/>
      <c r="Z321" s="437">
        <f t="shared" si="373"/>
        <v>0</v>
      </c>
      <c r="AA321" s="438">
        <f t="shared" si="373"/>
        <v>0</v>
      </c>
      <c r="AB321" s="439">
        <f t="shared" si="334"/>
        <v>0</v>
      </c>
      <c r="AC321" s="437">
        <f t="shared" si="374"/>
        <v>0</v>
      </c>
      <c r="AD321" s="438">
        <f t="shared" si="374"/>
        <v>0</v>
      </c>
      <c r="AE321" s="439">
        <f t="shared" si="336"/>
        <v>0</v>
      </c>
      <c r="AF321" s="437">
        <f t="shared" si="375"/>
        <v>0</v>
      </c>
      <c r="AG321" s="438">
        <f t="shared" si="375"/>
        <v>0</v>
      </c>
      <c r="AH321" s="439">
        <f t="shared" si="338"/>
        <v>0</v>
      </c>
      <c r="AI321" s="437">
        <f t="shared" si="376"/>
        <v>0</v>
      </c>
      <c r="AJ321" s="438">
        <f t="shared" si="376"/>
        <v>0</v>
      </c>
      <c r="AK321" s="439">
        <f t="shared" si="340"/>
        <v>0</v>
      </c>
      <c r="AL321" s="440"/>
      <c r="AM321" s="437">
        <f t="shared" si="377"/>
        <v>0</v>
      </c>
      <c r="AN321" s="441">
        <f t="shared" si="377"/>
        <v>0</v>
      </c>
      <c r="AO321" s="442">
        <f t="shared" si="342"/>
        <v>0</v>
      </c>
      <c r="AP321" s="437">
        <f t="shared" si="378"/>
        <v>0</v>
      </c>
      <c r="AQ321" s="441">
        <f t="shared" si="378"/>
        <v>0</v>
      </c>
      <c r="AR321" s="442">
        <f t="shared" si="328"/>
        <v>0</v>
      </c>
      <c r="AS321" s="443">
        <f t="shared" si="379"/>
        <v>0</v>
      </c>
      <c r="AT321" s="441">
        <f t="shared" si="379"/>
        <v>0</v>
      </c>
      <c r="AU321" s="442">
        <f t="shared" si="330"/>
        <v>0</v>
      </c>
      <c r="AV321" s="440">
        <f t="shared" si="358"/>
        <v>0</v>
      </c>
      <c r="AW321" s="444"/>
      <c r="AX321" s="1111"/>
      <c r="AY321" s="446"/>
      <c r="AZ321" s="1111"/>
      <c r="BA321" s="446"/>
      <c r="BB321" s="1129"/>
      <c r="BC321" s="448"/>
      <c r="BD321" s="449"/>
      <c r="BE321" s="450"/>
      <c r="BF321" s="449"/>
      <c r="BG321" s="450"/>
      <c r="BH321" s="451"/>
      <c r="BI321" s="452"/>
      <c r="BJ321" s="453"/>
      <c r="BK321" s="438"/>
      <c r="BL321" s="453"/>
      <c r="BM321" s="438"/>
      <c r="BN321" s="454"/>
      <c r="BO321" s="455"/>
      <c r="BP321" s="456"/>
      <c r="BQ321" s="457"/>
      <c r="BR321" s="456"/>
      <c r="BS321" s="457"/>
      <c r="BT321" s="458"/>
    </row>
    <row r="322" spans="1:72" s="358" customFormat="1" ht="31.5">
      <c r="A322" s="287">
        <v>305</v>
      </c>
      <c r="B322" s="941"/>
      <c r="C322" s="837"/>
      <c r="D322" s="853" t="s">
        <v>216</v>
      </c>
      <c r="E322" s="836" t="s">
        <v>201</v>
      </c>
      <c r="F322" s="820" t="s">
        <v>23</v>
      </c>
      <c r="G322" s="360">
        <v>2</v>
      </c>
      <c r="H322" s="360" t="s">
        <v>71</v>
      </c>
      <c r="I322" s="360">
        <v>851</v>
      </c>
      <c r="J322" s="361">
        <v>291</v>
      </c>
      <c r="K322" s="532" t="s">
        <v>28</v>
      </c>
      <c r="L322" s="1023">
        <v>4828.1099999999997</v>
      </c>
      <c r="M322" s="363"/>
      <c r="N322" s="363"/>
      <c r="O322" s="1051">
        <f t="shared" si="332"/>
        <v>4828.1099999999997</v>
      </c>
      <c r="P322" s="557"/>
      <c r="Q322" s="367">
        <v>0</v>
      </c>
      <c r="R322" s="557"/>
      <c r="S322" s="367">
        <v>0</v>
      </c>
      <c r="T322" s="557"/>
      <c r="U322" s="365"/>
      <c r="V322" s="366"/>
      <c r="W322" s="366"/>
      <c r="X322" s="366"/>
      <c r="Z322" s="367">
        <f t="shared" si="373"/>
        <v>99437</v>
      </c>
      <c r="AA322" s="363">
        <f t="shared" si="373"/>
        <v>0</v>
      </c>
      <c r="AB322" s="280">
        <f t="shared" si="334"/>
        <v>99437</v>
      </c>
      <c r="AC322" s="367">
        <f t="shared" si="374"/>
        <v>0</v>
      </c>
      <c r="AD322" s="363">
        <f t="shared" si="374"/>
        <v>0</v>
      </c>
      <c r="AE322" s="280">
        <f t="shared" si="336"/>
        <v>0</v>
      </c>
      <c r="AF322" s="367">
        <f t="shared" si="375"/>
        <v>0</v>
      </c>
      <c r="AG322" s="363">
        <f t="shared" si="375"/>
        <v>0</v>
      </c>
      <c r="AH322" s="280">
        <f t="shared" si="338"/>
        <v>0</v>
      </c>
      <c r="AI322" s="367">
        <f t="shared" si="376"/>
        <v>0</v>
      </c>
      <c r="AJ322" s="363">
        <f t="shared" si="376"/>
        <v>0</v>
      </c>
      <c r="AK322" s="280">
        <f t="shared" si="340"/>
        <v>0</v>
      </c>
      <c r="AL322" s="368"/>
      <c r="AM322" s="367">
        <f t="shared" si="377"/>
        <v>99437</v>
      </c>
      <c r="AN322" s="363">
        <f t="shared" si="377"/>
        <v>0</v>
      </c>
      <c r="AO322" s="280">
        <f t="shared" si="342"/>
        <v>99437</v>
      </c>
      <c r="AP322" s="367">
        <f t="shared" si="378"/>
        <v>99437</v>
      </c>
      <c r="AQ322" s="363">
        <f t="shared" si="378"/>
        <v>0</v>
      </c>
      <c r="AR322" s="280">
        <f t="shared" si="328"/>
        <v>99437</v>
      </c>
      <c r="AS322" s="367">
        <f t="shared" si="379"/>
        <v>99437</v>
      </c>
      <c r="AT322" s="363">
        <f t="shared" si="379"/>
        <v>0</v>
      </c>
      <c r="AU322" s="280">
        <f t="shared" si="330"/>
        <v>99437</v>
      </c>
      <c r="AV322" s="1253">
        <f t="shared" si="358"/>
        <v>-94608.89</v>
      </c>
      <c r="AW322" s="367">
        <v>99437</v>
      </c>
      <c r="AX322" s="363"/>
      <c r="AY322" s="363"/>
      <c r="AZ322" s="363"/>
      <c r="BA322" s="363"/>
      <c r="BB322" s="369"/>
      <c r="BC322" s="367"/>
      <c r="BD322" s="363"/>
      <c r="BE322" s="363"/>
      <c r="BF322" s="363"/>
      <c r="BG322" s="363"/>
      <c r="BH322" s="369"/>
      <c r="BI322" s="367"/>
      <c r="BJ322" s="363"/>
      <c r="BK322" s="363"/>
      <c r="BL322" s="363"/>
      <c r="BM322" s="363"/>
      <c r="BN322" s="369"/>
      <c r="BO322" s="367"/>
      <c r="BP322" s="363"/>
      <c r="BQ322" s="363"/>
      <c r="BR322" s="363"/>
      <c r="BS322" s="363"/>
      <c r="BT322" s="280"/>
    </row>
    <row r="323" spans="1:72" s="358" customFormat="1" ht="31.5">
      <c r="A323" s="287">
        <v>306</v>
      </c>
      <c r="B323" s="1150"/>
      <c r="C323" s="850" t="s">
        <v>377</v>
      </c>
      <c r="D323" s="838"/>
      <c r="E323" s="836" t="s">
        <v>201</v>
      </c>
      <c r="F323" s="820" t="s">
        <v>23</v>
      </c>
      <c r="G323" s="360">
        <v>2</v>
      </c>
      <c r="H323" s="360" t="s">
        <v>71</v>
      </c>
      <c r="I323" s="360">
        <v>853</v>
      </c>
      <c r="J323" s="361">
        <v>295</v>
      </c>
      <c r="K323" s="532" t="s">
        <v>795</v>
      </c>
      <c r="L323" s="1023">
        <f>SUM(L324:L326)</f>
        <v>1202604.48</v>
      </c>
      <c r="M323" s="363"/>
      <c r="N323" s="363">
        <f>SUM(N324:N326)</f>
        <v>588894.12</v>
      </c>
      <c r="O323" s="1051">
        <f t="shared" si="332"/>
        <v>1791498.6</v>
      </c>
      <c r="P323" s="571"/>
      <c r="Q323" s="367">
        <f>SUM(Q324:Q326)</f>
        <v>0</v>
      </c>
      <c r="R323" s="557"/>
      <c r="S323" s="367">
        <f>SUM(S324:S326)</f>
        <v>0</v>
      </c>
      <c r="T323" s="557"/>
      <c r="U323" s="365"/>
      <c r="V323" s="366"/>
      <c r="W323" s="366"/>
      <c r="X323" s="366"/>
      <c r="Z323" s="367">
        <f t="shared" si="373"/>
        <v>0</v>
      </c>
      <c r="AA323" s="363">
        <f t="shared" si="373"/>
        <v>0</v>
      </c>
      <c r="AB323" s="280">
        <f t="shared" si="334"/>
        <v>0</v>
      </c>
      <c r="AC323" s="367">
        <f t="shared" si="374"/>
        <v>15000</v>
      </c>
      <c r="AD323" s="363">
        <f t="shared" si="374"/>
        <v>0</v>
      </c>
      <c r="AE323" s="280">
        <f t="shared" si="336"/>
        <v>15000</v>
      </c>
      <c r="AF323" s="367">
        <f t="shared" si="375"/>
        <v>15000</v>
      </c>
      <c r="AG323" s="363">
        <f t="shared" si="375"/>
        <v>0</v>
      </c>
      <c r="AH323" s="280">
        <f t="shared" si="338"/>
        <v>15000</v>
      </c>
      <c r="AI323" s="367">
        <f t="shared" si="376"/>
        <v>560500.68000000005</v>
      </c>
      <c r="AJ323" s="363">
        <f t="shared" si="376"/>
        <v>0</v>
      </c>
      <c r="AK323" s="280">
        <f t="shared" si="340"/>
        <v>560500.68000000005</v>
      </c>
      <c r="AL323" s="368"/>
      <c r="AM323" s="367">
        <f t="shared" si="377"/>
        <v>15000</v>
      </c>
      <c r="AN323" s="363">
        <f t="shared" si="377"/>
        <v>0</v>
      </c>
      <c r="AO323" s="280">
        <f t="shared" si="342"/>
        <v>15000</v>
      </c>
      <c r="AP323" s="367">
        <f t="shared" si="378"/>
        <v>30000</v>
      </c>
      <c r="AQ323" s="363">
        <f t="shared" si="378"/>
        <v>0</v>
      </c>
      <c r="AR323" s="280">
        <f t="shared" si="328"/>
        <v>30000</v>
      </c>
      <c r="AS323" s="367">
        <f t="shared" si="379"/>
        <v>590500.68000000005</v>
      </c>
      <c r="AT323" s="363">
        <f t="shared" si="379"/>
        <v>0</v>
      </c>
      <c r="AU323" s="280">
        <f t="shared" si="330"/>
        <v>590500.68000000005</v>
      </c>
      <c r="AV323" s="1253">
        <f t="shared" si="358"/>
        <v>612103.80000000005</v>
      </c>
      <c r="AW323" s="367">
        <f t="shared" ref="AW323:BT323" si="413">SUM(AW324:AW326)</f>
        <v>0</v>
      </c>
      <c r="AX323" s="363">
        <f t="shared" si="413"/>
        <v>0</v>
      </c>
      <c r="AY323" s="363">
        <f t="shared" si="413"/>
        <v>0</v>
      </c>
      <c r="AZ323" s="363">
        <f t="shared" si="413"/>
        <v>0</v>
      </c>
      <c r="BA323" s="363">
        <f t="shared" si="413"/>
        <v>0</v>
      </c>
      <c r="BB323" s="369">
        <f t="shared" si="413"/>
        <v>0</v>
      </c>
      <c r="BC323" s="367">
        <f t="shared" si="413"/>
        <v>0</v>
      </c>
      <c r="BD323" s="363">
        <f t="shared" si="413"/>
        <v>0</v>
      </c>
      <c r="BE323" s="363">
        <f t="shared" si="413"/>
        <v>10000</v>
      </c>
      <c r="BF323" s="363">
        <f t="shared" si="413"/>
        <v>0</v>
      </c>
      <c r="BG323" s="363">
        <f t="shared" si="413"/>
        <v>5000</v>
      </c>
      <c r="BH323" s="369">
        <f t="shared" si="413"/>
        <v>0</v>
      </c>
      <c r="BI323" s="367">
        <f t="shared" si="413"/>
        <v>0</v>
      </c>
      <c r="BJ323" s="363">
        <f t="shared" si="413"/>
        <v>0</v>
      </c>
      <c r="BK323" s="363">
        <f t="shared" si="413"/>
        <v>0</v>
      </c>
      <c r="BL323" s="363">
        <f t="shared" si="413"/>
        <v>0</v>
      </c>
      <c r="BM323" s="363">
        <f t="shared" si="413"/>
        <v>15000</v>
      </c>
      <c r="BN323" s="369">
        <f t="shared" si="413"/>
        <v>0</v>
      </c>
      <c r="BO323" s="367">
        <f t="shared" si="413"/>
        <v>110000</v>
      </c>
      <c r="BP323" s="363">
        <f t="shared" si="413"/>
        <v>0</v>
      </c>
      <c r="BQ323" s="363">
        <f t="shared" si="413"/>
        <v>200000</v>
      </c>
      <c r="BR323" s="363">
        <f t="shared" si="413"/>
        <v>0</v>
      </c>
      <c r="BS323" s="363">
        <f t="shared" si="413"/>
        <v>250500.68</v>
      </c>
      <c r="BT323" s="280">
        <f t="shared" si="413"/>
        <v>0</v>
      </c>
    </row>
    <row r="324" spans="1:72" s="313" customFormat="1" ht="51" outlineLevel="2">
      <c r="A324" s="287">
        <v>307</v>
      </c>
      <c r="B324" s="941"/>
      <c r="C324" s="840"/>
      <c r="D324" s="841"/>
      <c r="E324" s="839"/>
      <c r="F324" s="821" t="s">
        <v>23</v>
      </c>
      <c r="G324" s="314">
        <v>2</v>
      </c>
      <c r="H324" s="739" t="s">
        <v>71</v>
      </c>
      <c r="I324" s="739">
        <v>853</v>
      </c>
      <c r="J324" s="740">
        <v>295</v>
      </c>
      <c r="K324" s="533" t="s">
        <v>796</v>
      </c>
      <c r="L324" s="1013">
        <v>1173456.68</v>
      </c>
      <c r="M324" s="318"/>
      <c r="N324" s="318">
        <v>588894.12</v>
      </c>
      <c r="O324" s="1052">
        <f t="shared" si="332"/>
        <v>1762350.8</v>
      </c>
      <c r="P324" s="570"/>
      <c r="Q324" s="336">
        <v>0</v>
      </c>
      <c r="R324" s="559"/>
      <c r="S324" s="541">
        <v>0</v>
      </c>
      <c r="T324" s="559"/>
      <c r="U324" s="335"/>
      <c r="V324" s="596" t="s">
        <v>797</v>
      </c>
      <c r="W324" s="320"/>
      <c r="X324" s="320"/>
      <c r="Z324" s="336">
        <f t="shared" si="373"/>
        <v>0</v>
      </c>
      <c r="AA324" s="337">
        <f t="shared" si="373"/>
        <v>0</v>
      </c>
      <c r="AB324" s="338">
        <f t="shared" si="334"/>
        <v>0</v>
      </c>
      <c r="AC324" s="336">
        <f t="shared" si="374"/>
        <v>15000</v>
      </c>
      <c r="AD324" s="337">
        <f t="shared" si="374"/>
        <v>0</v>
      </c>
      <c r="AE324" s="338">
        <f t="shared" si="336"/>
        <v>15000</v>
      </c>
      <c r="AF324" s="336">
        <f t="shared" si="375"/>
        <v>15000</v>
      </c>
      <c r="AG324" s="337">
        <f t="shared" si="375"/>
        <v>0</v>
      </c>
      <c r="AH324" s="338">
        <f t="shared" si="338"/>
        <v>15000</v>
      </c>
      <c r="AI324" s="336">
        <f t="shared" si="376"/>
        <v>560500.68000000005</v>
      </c>
      <c r="AJ324" s="337">
        <f t="shared" si="376"/>
        <v>0</v>
      </c>
      <c r="AK324" s="338">
        <f t="shared" si="340"/>
        <v>560500.68000000005</v>
      </c>
      <c r="AL324" s="342"/>
      <c r="AM324" s="336">
        <f t="shared" si="377"/>
        <v>15000</v>
      </c>
      <c r="AN324" s="339">
        <f t="shared" si="377"/>
        <v>0</v>
      </c>
      <c r="AO324" s="340">
        <f t="shared" si="342"/>
        <v>15000</v>
      </c>
      <c r="AP324" s="336">
        <f t="shared" si="378"/>
        <v>30000</v>
      </c>
      <c r="AQ324" s="339">
        <f t="shared" si="378"/>
        <v>0</v>
      </c>
      <c r="AR324" s="340">
        <f t="shared" si="328"/>
        <v>30000</v>
      </c>
      <c r="AS324" s="341">
        <f t="shared" si="379"/>
        <v>590500.68000000005</v>
      </c>
      <c r="AT324" s="339">
        <f t="shared" si="379"/>
        <v>0</v>
      </c>
      <c r="AU324" s="340">
        <f t="shared" si="330"/>
        <v>590500.68000000005</v>
      </c>
      <c r="AV324" s="1255">
        <f t="shared" si="358"/>
        <v>582956</v>
      </c>
      <c r="AW324" s="343"/>
      <c r="AX324" s="344"/>
      <c r="AY324" s="345"/>
      <c r="AZ324" s="344"/>
      <c r="BA324" s="345"/>
      <c r="BB324" s="346"/>
      <c r="BC324" s="1134"/>
      <c r="BD324" s="348"/>
      <c r="BE324" s="349">
        <v>10000</v>
      </c>
      <c r="BF324" s="348"/>
      <c r="BG324" s="349">
        <v>5000</v>
      </c>
      <c r="BH324" s="350"/>
      <c r="BI324" s="351"/>
      <c r="BJ324" s="352"/>
      <c r="BK324" s="351"/>
      <c r="BL324" s="352"/>
      <c r="BM324" s="1137">
        <f>5000+10000</f>
        <v>15000</v>
      </c>
      <c r="BN324" s="920"/>
      <c r="BO324" s="1138">
        <f>10000+100000</f>
        <v>110000</v>
      </c>
      <c r="BP324" s="1142"/>
      <c r="BQ324" s="1139">
        <f>100000+100000</f>
        <v>200000</v>
      </c>
      <c r="BR324" s="1142"/>
      <c r="BS324" s="1139">
        <f>100000+100000+50500.68</f>
        <v>250500.68</v>
      </c>
      <c r="BT324" s="357"/>
    </row>
    <row r="325" spans="1:72" s="313" customFormat="1" ht="25.5" outlineLevel="2">
      <c r="A325" s="287">
        <v>308</v>
      </c>
      <c r="B325" s="941"/>
      <c r="C325" s="840"/>
      <c r="D325" s="841"/>
      <c r="E325" s="839"/>
      <c r="F325" s="821" t="s">
        <v>23</v>
      </c>
      <c r="G325" s="314">
        <v>2</v>
      </c>
      <c r="H325" s="739" t="s">
        <v>71</v>
      </c>
      <c r="I325" s="739">
        <v>853</v>
      </c>
      <c r="J325" s="740">
        <v>295</v>
      </c>
      <c r="K325" s="533" t="s">
        <v>1014</v>
      </c>
      <c r="L325" s="1013">
        <v>29147.8</v>
      </c>
      <c r="M325" s="318"/>
      <c r="N325" s="318"/>
      <c r="O325" s="1052">
        <f t="shared" si="332"/>
        <v>29147.8</v>
      </c>
      <c r="P325" s="570"/>
      <c r="Q325" s="336">
        <v>0</v>
      </c>
      <c r="R325" s="559"/>
      <c r="S325" s="541">
        <v>0</v>
      </c>
      <c r="T325" s="559"/>
      <c r="U325" s="335"/>
      <c r="V325" s="596"/>
      <c r="W325" s="320"/>
      <c r="X325" s="320"/>
      <c r="Z325" s="336">
        <f t="shared" ref="Z325:AA325" si="414">AW325+AY325+BA325</f>
        <v>0</v>
      </c>
      <c r="AA325" s="337">
        <f t="shared" si="414"/>
        <v>0</v>
      </c>
      <c r="AB325" s="338">
        <f t="shared" si="334"/>
        <v>0</v>
      </c>
      <c r="AC325" s="336">
        <f t="shared" ref="AC325:AD325" si="415">BC325+BE325+BG325</f>
        <v>0</v>
      </c>
      <c r="AD325" s="337">
        <f t="shared" si="415"/>
        <v>0</v>
      </c>
      <c r="AE325" s="338">
        <f t="shared" si="336"/>
        <v>0</v>
      </c>
      <c r="AF325" s="336">
        <f t="shared" ref="AF325:AG325" si="416">BI325+BK325+BM325</f>
        <v>0</v>
      </c>
      <c r="AG325" s="337">
        <f t="shared" si="416"/>
        <v>0</v>
      </c>
      <c r="AH325" s="338">
        <f t="shared" si="338"/>
        <v>0</v>
      </c>
      <c r="AI325" s="336">
        <f t="shared" ref="AI325:AJ325" si="417">BO325+BQ325+BS325</f>
        <v>0</v>
      </c>
      <c r="AJ325" s="337">
        <f t="shared" si="417"/>
        <v>0</v>
      </c>
      <c r="AK325" s="338">
        <f t="shared" si="340"/>
        <v>0</v>
      </c>
      <c r="AL325" s="342"/>
      <c r="AM325" s="336">
        <f t="shared" ref="AM325:AN325" si="418">Z325+AC325</f>
        <v>0</v>
      </c>
      <c r="AN325" s="339">
        <f t="shared" si="418"/>
        <v>0</v>
      </c>
      <c r="AO325" s="340">
        <f t="shared" si="342"/>
        <v>0</v>
      </c>
      <c r="AP325" s="336">
        <f t="shared" ref="AP325:AQ325" si="419">Z325+AC325+AF325</f>
        <v>0</v>
      </c>
      <c r="AQ325" s="339">
        <f t="shared" si="419"/>
        <v>0</v>
      </c>
      <c r="AR325" s="340">
        <f t="shared" si="328"/>
        <v>0</v>
      </c>
      <c r="AS325" s="341">
        <f t="shared" ref="AS325:AT325" si="420">Z325+AC325+AF325+AI325</f>
        <v>0</v>
      </c>
      <c r="AT325" s="339">
        <f t="shared" si="420"/>
        <v>0</v>
      </c>
      <c r="AU325" s="340">
        <f t="shared" si="330"/>
        <v>0</v>
      </c>
      <c r="AV325" s="1255">
        <f t="shared" si="358"/>
        <v>29147.8</v>
      </c>
      <c r="AW325" s="343"/>
      <c r="AX325" s="344"/>
      <c r="AY325" s="345"/>
      <c r="AZ325" s="344"/>
      <c r="BA325" s="345"/>
      <c r="BB325" s="346"/>
      <c r="BC325" s="1134"/>
      <c r="BD325" s="348"/>
      <c r="BE325" s="349"/>
      <c r="BF325" s="348"/>
      <c r="BG325" s="349"/>
      <c r="BH325" s="350"/>
      <c r="BI325" s="351"/>
      <c r="BJ325" s="352"/>
      <c r="BK325" s="351"/>
      <c r="BL325" s="352"/>
      <c r="BM325" s="1137"/>
      <c r="BN325" s="920"/>
      <c r="BO325" s="1138"/>
      <c r="BP325" s="1142"/>
      <c r="BQ325" s="1139"/>
      <c r="BR325" s="1142"/>
      <c r="BS325" s="1139"/>
      <c r="BT325" s="357"/>
    </row>
    <row r="326" spans="1:72" s="615" customFormat="1" ht="25.5" outlineLevel="1">
      <c r="A326" s="287">
        <v>309</v>
      </c>
      <c r="B326" s="941"/>
      <c r="C326" s="866"/>
      <c r="D326" s="867"/>
      <c r="E326" s="867"/>
      <c r="F326" s="832" t="s">
        <v>23</v>
      </c>
      <c r="G326" s="616">
        <v>2</v>
      </c>
      <c r="H326" s="749" t="s">
        <v>71</v>
      </c>
      <c r="I326" s="749">
        <v>853</v>
      </c>
      <c r="J326" s="750">
        <v>295</v>
      </c>
      <c r="K326" s="932" t="s">
        <v>214</v>
      </c>
      <c r="L326" s="1043">
        <v>0</v>
      </c>
      <c r="M326" s="619"/>
      <c r="N326" s="619"/>
      <c r="O326" s="1054">
        <f t="shared" si="332"/>
        <v>0</v>
      </c>
      <c r="P326" s="620"/>
      <c r="Q326" s="509">
        <v>0</v>
      </c>
      <c r="R326" s="560"/>
      <c r="S326" s="542">
        <v>0</v>
      </c>
      <c r="T326" s="560"/>
      <c r="U326" s="621"/>
      <c r="V326" s="320"/>
      <c r="W326" s="320"/>
      <c r="X326" s="320"/>
      <c r="Z326" s="509">
        <f>AW326+AY326+BA326</f>
        <v>0</v>
      </c>
      <c r="AA326" s="622">
        <f>AX326+AZ326+BB326</f>
        <v>0</v>
      </c>
      <c r="AB326" s="623">
        <f>Z326-AA326</f>
        <v>0</v>
      </c>
      <c r="AC326" s="509">
        <f>BC326+BE326+BG326</f>
        <v>0</v>
      </c>
      <c r="AD326" s="622">
        <f>BD326+BF326+BH326</f>
        <v>0</v>
      </c>
      <c r="AE326" s="623">
        <f>AC326-AD326</f>
        <v>0</v>
      </c>
      <c r="AF326" s="509">
        <f>BI326+BK326+BM326</f>
        <v>0</v>
      </c>
      <c r="AG326" s="622">
        <f>BJ326+BL326+BN326</f>
        <v>0</v>
      </c>
      <c r="AH326" s="623">
        <f>AF326-AG326</f>
        <v>0</v>
      </c>
      <c r="AI326" s="509">
        <f>BO326+BQ326+BS326</f>
        <v>0</v>
      </c>
      <c r="AJ326" s="622">
        <f>BP326+BR326+BT326</f>
        <v>0</v>
      </c>
      <c r="AK326" s="623">
        <f>AI326-AJ326</f>
        <v>0</v>
      </c>
      <c r="AL326" s="624"/>
      <c r="AM326" s="509">
        <f>Z326+AC326</f>
        <v>0</v>
      </c>
      <c r="AN326" s="625">
        <f>AA326+AD326</f>
        <v>0</v>
      </c>
      <c r="AO326" s="626">
        <f>AM326-AN326</f>
        <v>0</v>
      </c>
      <c r="AP326" s="509">
        <f>Z326+AC326+AF326</f>
        <v>0</v>
      </c>
      <c r="AQ326" s="625">
        <f>AA326+AD326+AG326</f>
        <v>0</v>
      </c>
      <c r="AR326" s="626">
        <f>AP326-AQ326</f>
        <v>0</v>
      </c>
      <c r="AS326" s="510">
        <f>Z326+AC326+AF326+AI326</f>
        <v>0</v>
      </c>
      <c r="AT326" s="625">
        <f>AA326+AD326+AG326+AJ326</f>
        <v>0</v>
      </c>
      <c r="AU326" s="626">
        <f>AS326-AT326</f>
        <v>0</v>
      </c>
      <c r="AV326" s="440">
        <f t="shared" si="358"/>
        <v>0</v>
      </c>
      <c r="AW326" s="628"/>
      <c r="AX326" s="629"/>
      <c r="AY326" s="630"/>
      <c r="AZ326" s="629"/>
      <c r="BA326" s="630"/>
      <c r="BB326" s="631"/>
      <c r="BC326" s="632"/>
      <c r="BD326" s="633"/>
      <c r="BE326" s="634"/>
      <c r="BF326" s="633"/>
      <c r="BG326" s="634"/>
      <c r="BH326" s="635"/>
      <c r="BI326" s="636"/>
      <c r="BJ326" s="637"/>
      <c r="BK326" s="622"/>
      <c r="BL326" s="637"/>
      <c r="BM326" s="622"/>
      <c r="BN326" s="638"/>
      <c r="BO326" s="639"/>
      <c r="BP326" s="640"/>
      <c r="BQ326" s="641"/>
      <c r="BR326" s="640"/>
      <c r="BS326" s="641"/>
      <c r="BT326" s="642"/>
    </row>
    <row r="327" spans="1:72" s="358" customFormat="1" ht="31.5">
      <c r="A327" s="287">
        <v>310</v>
      </c>
      <c r="B327" s="933"/>
      <c r="C327" s="837"/>
      <c r="D327" s="838"/>
      <c r="E327" s="836" t="s">
        <v>201</v>
      </c>
      <c r="F327" s="820" t="s">
        <v>23</v>
      </c>
      <c r="G327" s="360">
        <v>2</v>
      </c>
      <c r="H327" s="360" t="s">
        <v>71</v>
      </c>
      <c r="I327" s="360">
        <v>853</v>
      </c>
      <c r="J327" s="361">
        <v>297</v>
      </c>
      <c r="K327" s="532" t="s">
        <v>38</v>
      </c>
      <c r="L327" s="1023">
        <v>7426.01</v>
      </c>
      <c r="M327" s="363"/>
      <c r="N327" s="363"/>
      <c r="O327" s="1051">
        <f t="shared" si="332"/>
        <v>7426.01</v>
      </c>
      <c r="P327" s="571"/>
      <c r="Q327" s="367">
        <v>7426.01</v>
      </c>
      <c r="R327" s="557"/>
      <c r="S327" s="539">
        <v>7426.01</v>
      </c>
      <c r="T327" s="557"/>
      <c r="U327" s="365"/>
      <c r="V327" s="366"/>
      <c r="W327" s="366"/>
      <c r="X327" s="366"/>
      <c r="Z327" s="367">
        <f t="shared" ref="Z327:AA333" si="421">AW327+AY327+BA327</f>
        <v>7426.01</v>
      </c>
      <c r="AA327" s="363">
        <f t="shared" si="421"/>
        <v>62460.71</v>
      </c>
      <c r="AB327" s="280">
        <f t="shared" si="334"/>
        <v>-55034.7</v>
      </c>
      <c r="AC327" s="367">
        <f t="shared" ref="AC327:AD333" si="422">BC327+BE327+BG327</f>
        <v>16866.439999999999</v>
      </c>
      <c r="AD327" s="363">
        <f t="shared" si="422"/>
        <v>0</v>
      </c>
      <c r="AE327" s="280">
        <f t="shared" si="336"/>
        <v>16866.439999999999</v>
      </c>
      <c r="AF327" s="367">
        <f t="shared" ref="AF327:AG333" si="423">BI327+BK327+BM327</f>
        <v>0</v>
      </c>
      <c r="AG327" s="363">
        <f t="shared" si="423"/>
        <v>0</v>
      </c>
      <c r="AH327" s="280">
        <f t="shared" si="338"/>
        <v>0</v>
      </c>
      <c r="AI327" s="367">
        <f t="shared" ref="AI327:AJ333" si="424">BO327+BQ327+BS327</f>
        <v>0</v>
      </c>
      <c r="AJ327" s="363">
        <f t="shared" si="424"/>
        <v>0</v>
      </c>
      <c r="AK327" s="280">
        <f t="shared" si="340"/>
        <v>0</v>
      </c>
      <c r="AL327" s="368"/>
      <c r="AM327" s="367">
        <f t="shared" ref="AM327:AN333" si="425">Z327+AC327</f>
        <v>24292.45</v>
      </c>
      <c r="AN327" s="363">
        <f t="shared" si="425"/>
        <v>62460.71</v>
      </c>
      <c r="AO327" s="280">
        <f t="shared" si="342"/>
        <v>-38168.26</v>
      </c>
      <c r="AP327" s="367">
        <f t="shared" ref="AP327:AQ333" si="426">Z327+AC327+AF327</f>
        <v>24292.45</v>
      </c>
      <c r="AQ327" s="363">
        <f t="shared" si="426"/>
        <v>62460.71</v>
      </c>
      <c r="AR327" s="280">
        <f t="shared" si="328"/>
        <v>-38168.26</v>
      </c>
      <c r="AS327" s="367">
        <f t="shared" ref="AS327:AT333" si="427">Z327+AC327+AF327+AI327</f>
        <v>24292.45</v>
      </c>
      <c r="AT327" s="363">
        <f t="shared" si="427"/>
        <v>62460.71</v>
      </c>
      <c r="AU327" s="280">
        <f t="shared" si="330"/>
        <v>-38168.26</v>
      </c>
      <c r="AV327" s="1253">
        <f t="shared" si="358"/>
        <v>-16866.439999999999</v>
      </c>
      <c r="AW327" s="367">
        <f>AW253*0.15%+0.01</f>
        <v>7426.01</v>
      </c>
      <c r="AX327" s="363">
        <f t="shared" ref="AX327:BT327" si="428">AX253*0.15</f>
        <v>0</v>
      </c>
      <c r="AY327" s="363">
        <f t="shared" si="428"/>
        <v>0</v>
      </c>
      <c r="AZ327" s="363">
        <f t="shared" si="428"/>
        <v>35964.239999999998</v>
      </c>
      <c r="BA327" s="363">
        <f t="shared" si="428"/>
        <v>0</v>
      </c>
      <c r="BB327" s="369">
        <f t="shared" si="428"/>
        <v>26496.47</v>
      </c>
      <c r="BC327" s="367">
        <f t="shared" si="428"/>
        <v>0</v>
      </c>
      <c r="BD327" s="363">
        <f t="shared" si="428"/>
        <v>0</v>
      </c>
      <c r="BE327" s="363">
        <f t="shared" si="428"/>
        <v>16866.439999999999</v>
      </c>
      <c r="BF327" s="363">
        <f t="shared" si="428"/>
        <v>0</v>
      </c>
      <c r="BG327" s="363">
        <f t="shared" si="428"/>
        <v>0</v>
      </c>
      <c r="BH327" s="369">
        <f t="shared" si="428"/>
        <v>0</v>
      </c>
      <c r="BI327" s="367">
        <f t="shared" si="428"/>
        <v>0</v>
      </c>
      <c r="BJ327" s="363">
        <f t="shared" si="428"/>
        <v>0</v>
      </c>
      <c r="BK327" s="363">
        <f t="shared" si="428"/>
        <v>0</v>
      </c>
      <c r="BL327" s="363">
        <f t="shared" si="428"/>
        <v>0</v>
      </c>
      <c r="BM327" s="363">
        <f t="shared" si="428"/>
        <v>0</v>
      </c>
      <c r="BN327" s="369">
        <f t="shared" si="428"/>
        <v>0</v>
      </c>
      <c r="BO327" s="367">
        <f t="shared" si="428"/>
        <v>0</v>
      </c>
      <c r="BP327" s="363">
        <f t="shared" si="428"/>
        <v>0</v>
      </c>
      <c r="BQ327" s="363">
        <f t="shared" si="428"/>
        <v>0</v>
      </c>
      <c r="BR327" s="363">
        <f t="shared" si="428"/>
        <v>0</v>
      </c>
      <c r="BS327" s="363">
        <f t="shared" si="428"/>
        <v>0</v>
      </c>
      <c r="BT327" s="280">
        <f t="shared" si="428"/>
        <v>0</v>
      </c>
    </row>
    <row r="328" spans="1:72" s="358" customFormat="1" ht="31.5" customHeight="1">
      <c r="A328" s="287">
        <v>311</v>
      </c>
      <c r="B328" s="1144"/>
      <c r="C328" s="850" t="s">
        <v>377</v>
      </c>
      <c r="D328" s="838"/>
      <c r="E328" s="836" t="s">
        <v>201</v>
      </c>
      <c r="F328" s="820" t="s">
        <v>23</v>
      </c>
      <c r="G328" s="360">
        <v>2</v>
      </c>
      <c r="H328" s="360" t="s">
        <v>71</v>
      </c>
      <c r="I328" s="360">
        <v>244</v>
      </c>
      <c r="J328" s="361">
        <v>310</v>
      </c>
      <c r="K328" s="532" t="s">
        <v>532</v>
      </c>
      <c r="L328" s="1023">
        <f>SUM(L329:L346)</f>
        <v>152476</v>
      </c>
      <c r="M328" s="363"/>
      <c r="N328" s="363">
        <f>SUM(N329:N346)</f>
        <v>0</v>
      </c>
      <c r="O328" s="1051">
        <f t="shared" si="332"/>
        <v>152476</v>
      </c>
      <c r="P328" s="571"/>
      <c r="Q328" s="367">
        <f>SUM(Q329:Q346)</f>
        <v>0</v>
      </c>
      <c r="R328" s="557"/>
      <c r="S328" s="367">
        <f>SUM(S329:S346)</f>
        <v>0</v>
      </c>
      <c r="T328" s="557"/>
      <c r="U328" s="365"/>
      <c r="V328" s="366"/>
      <c r="W328" s="366"/>
      <c r="X328" s="366"/>
      <c r="Z328" s="367">
        <f t="shared" si="421"/>
        <v>36010</v>
      </c>
      <c r="AA328" s="363">
        <f t="shared" si="421"/>
        <v>0</v>
      </c>
      <c r="AB328" s="280">
        <f t="shared" si="334"/>
        <v>36010</v>
      </c>
      <c r="AC328" s="367">
        <f t="shared" si="422"/>
        <v>24960</v>
      </c>
      <c r="AD328" s="363">
        <f t="shared" si="422"/>
        <v>0</v>
      </c>
      <c r="AE328" s="280">
        <f t="shared" si="336"/>
        <v>24960</v>
      </c>
      <c r="AF328" s="367">
        <f t="shared" si="423"/>
        <v>0</v>
      </c>
      <c r="AG328" s="363">
        <f t="shared" si="423"/>
        <v>0</v>
      </c>
      <c r="AH328" s="280">
        <f t="shared" si="338"/>
        <v>0</v>
      </c>
      <c r="AI328" s="367">
        <f t="shared" si="424"/>
        <v>4799</v>
      </c>
      <c r="AJ328" s="363">
        <f t="shared" si="424"/>
        <v>0</v>
      </c>
      <c r="AK328" s="280">
        <f t="shared" si="340"/>
        <v>4799</v>
      </c>
      <c r="AL328" s="368"/>
      <c r="AM328" s="367">
        <f t="shared" si="425"/>
        <v>60970</v>
      </c>
      <c r="AN328" s="363">
        <f t="shared" si="425"/>
        <v>0</v>
      </c>
      <c r="AO328" s="280">
        <f t="shared" si="342"/>
        <v>60970</v>
      </c>
      <c r="AP328" s="367">
        <f t="shared" si="426"/>
        <v>60970</v>
      </c>
      <c r="AQ328" s="363">
        <f t="shared" si="426"/>
        <v>0</v>
      </c>
      <c r="AR328" s="280">
        <f t="shared" si="328"/>
        <v>60970</v>
      </c>
      <c r="AS328" s="367">
        <f t="shared" si="427"/>
        <v>65769</v>
      </c>
      <c r="AT328" s="363">
        <f t="shared" si="427"/>
        <v>0</v>
      </c>
      <c r="AU328" s="280">
        <f t="shared" si="330"/>
        <v>65769</v>
      </c>
      <c r="AV328" s="1253">
        <f t="shared" si="358"/>
        <v>86707</v>
      </c>
      <c r="AW328" s="367">
        <f t="shared" ref="AW328:BT328" si="429">SUM(AW329:AW346)</f>
        <v>0</v>
      </c>
      <c r="AX328" s="363">
        <f t="shared" si="429"/>
        <v>0</v>
      </c>
      <c r="AY328" s="363">
        <f t="shared" si="429"/>
        <v>0</v>
      </c>
      <c r="AZ328" s="363">
        <f t="shared" si="429"/>
        <v>0</v>
      </c>
      <c r="BA328" s="363">
        <f t="shared" si="429"/>
        <v>36010</v>
      </c>
      <c r="BB328" s="369">
        <f t="shared" si="429"/>
        <v>0</v>
      </c>
      <c r="BC328" s="367">
        <f t="shared" si="429"/>
        <v>24960</v>
      </c>
      <c r="BD328" s="363">
        <f t="shared" si="429"/>
        <v>0</v>
      </c>
      <c r="BE328" s="363">
        <f t="shared" si="429"/>
        <v>0</v>
      </c>
      <c r="BF328" s="363">
        <f t="shared" si="429"/>
        <v>0</v>
      </c>
      <c r="BG328" s="363">
        <f t="shared" si="429"/>
        <v>0</v>
      </c>
      <c r="BH328" s="369">
        <f t="shared" si="429"/>
        <v>0</v>
      </c>
      <c r="BI328" s="367">
        <f t="shared" si="429"/>
        <v>0</v>
      </c>
      <c r="BJ328" s="363">
        <f t="shared" si="429"/>
        <v>0</v>
      </c>
      <c r="BK328" s="363">
        <f t="shared" si="429"/>
        <v>0</v>
      </c>
      <c r="BL328" s="363">
        <f t="shared" si="429"/>
        <v>0</v>
      </c>
      <c r="BM328" s="363">
        <f t="shared" si="429"/>
        <v>0</v>
      </c>
      <c r="BN328" s="369">
        <f t="shared" si="429"/>
        <v>0</v>
      </c>
      <c r="BO328" s="367">
        <f t="shared" si="429"/>
        <v>4799</v>
      </c>
      <c r="BP328" s="363">
        <f t="shared" si="429"/>
        <v>0</v>
      </c>
      <c r="BQ328" s="363">
        <f t="shared" si="429"/>
        <v>0</v>
      </c>
      <c r="BR328" s="363">
        <f t="shared" si="429"/>
        <v>0</v>
      </c>
      <c r="BS328" s="363">
        <f t="shared" si="429"/>
        <v>0</v>
      </c>
      <c r="BT328" s="280">
        <f t="shared" si="429"/>
        <v>0</v>
      </c>
    </row>
    <row r="329" spans="1:72" s="313" customFormat="1" ht="25.5" outlineLevel="2">
      <c r="A329" s="287">
        <v>312</v>
      </c>
      <c r="B329" s="1144"/>
      <c r="C329" s="840"/>
      <c r="D329" s="841"/>
      <c r="E329" s="839"/>
      <c r="F329" s="821" t="s">
        <v>23</v>
      </c>
      <c r="G329" s="314">
        <v>2</v>
      </c>
      <c r="H329" s="739" t="s">
        <v>71</v>
      </c>
      <c r="I329" s="739">
        <v>244</v>
      </c>
      <c r="J329" s="740">
        <v>310</v>
      </c>
      <c r="K329" s="533" t="s">
        <v>523</v>
      </c>
      <c r="L329" s="1025">
        <v>2190</v>
      </c>
      <c r="M329" s="318"/>
      <c r="N329" s="318"/>
      <c r="O329" s="1052">
        <f t="shared" si="332"/>
        <v>2190</v>
      </c>
      <c r="P329" s="570"/>
      <c r="Q329" s="336">
        <v>0</v>
      </c>
      <c r="R329" s="559"/>
      <c r="S329" s="541">
        <v>0</v>
      </c>
      <c r="T329" s="559"/>
      <c r="U329" s="335"/>
      <c r="V329" s="320"/>
      <c r="W329" s="320"/>
      <c r="X329" s="320"/>
      <c r="Z329" s="336">
        <f t="shared" si="421"/>
        <v>0</v>
      </c>
      <c r="AA329" s="337">
        <f t="shared" si="421"/>
        <v>0</v>
      </c>
      <c r="AB329" s="338">
        <f t="shared" si="334"/>
        <v>0</v>
      </c>
      <c r="AC329" s="336">
        <f t="shared" si="422"/>
        <v>2190</v>
      </c>
      <c r="AD329" s="337">
        <f t="shared" si="422"/>
        <v>0</v>
      </c>
      <c r="AE329" s="338">
        <f t="shared" si="336"/>
        <v>2190</v>
      </c>
      <c r="AF329" s="336">
        <f t="shared" si="423"/>
        <v>0</v>
      </c>
      <c r="AG329" s="337">
        <f t="shared" si="423"/>
        <v>0</v>
      </c>
      <c r="AH329" s="338">
        <f t="shared" si="338"/>
        <v>0</v>
      </c>
      <c r="AI329" s="336">
        <f t="shared" si="424"/>
        <v>0</v>
      </c>
      <c r="AJ329" s="337">
        <f t="shared" si="424"/>
        <v>0</v>
      </c>
      <c r="AK329" s="338">
        <f t="shared" si="340"/>
        <v>0</v>
      </c>
      <c r="AL329" s="342"/>
      <c r="AM329" s="336">
        <f t="shared" si="425"/>
        <v>2190</v>
      </c>
      <c r="AN329" s="339">
        <f t="shared" si="425"/>
        <v>0</v>
      </c>
      <c r="AO329" s="340">
        <f t="shared" si="342"/>
        <v>2190</v>
      </c>
      <c r="AP329" s="336">
        <f t="shared" si="426"/>
        <v>2190</v>
      </c>
      <c r="AQ329" s="339">
        <f t="shared" si="426"/>
        <v>0</v>
      </c>
      <c r="AR329" s="340">
        <f t="shared" si="328"/>
        <v>2190</v>
      </c>
      <c r="AS329" s="341">
        <f t="shared" si="427"/>
        <v>2190</v>
      </c>
      <c r="AT329" s="339">
        <f t="shared" si="427"/>
        <v>0</v>
      </c>
      <c r="AU329" s="340">
        <f t="shared" si="330"/>
        <v>2190</v>
      </c>
      <c r="AV329" s="1255">
        <f t="shared" si="358"/>
        <v>0</v>
      </c>
      <c r="AW329" s="343"/>
      <c r="AX329" s="344"/>
      <c r="AY329" s="345"/>
      <c r="AZ329" s="344"/>
      <c r="BA329" s="345"/>
      <c r="BB329" s="346"/>
      <c r="BC329" s="347">
        <v>2190</v>
      </c>
      <c r="BD329" s="348"/>
      <c r="BE329" s="349"/>
      <c r="BF329" s="348"/>
      <c r="BG329" s="349"/>
      <c r="BH329" s="350"/>
      <c r="BI329" s="351"/>
      <c r="BJ329" s="352"/>
      <c r="BK329" s="337"/>
      <c r="BL329" s="352"/>
      <c r="BM329" s="337"/>
      <c r="BN329" s="353"/>
      <c r="BO329" s="354"/>
      <c r="BP329" s="355"/>
      <c r="BQ329" s="356"/>
      <c r="BR329" s="355"/>
      <c r="BS329" s="356"/>
      <c r="BT329" s="357"/>
    </row>
    <row r="330" spans="1:72" s="313" customFormat="1" ht="25.5" outlineLevel="2">
      <c r="A330" s="287">
        <v>313</v>
      </c>
      <c r="B330" s="1144"/>
      <c r="C330" s="840"/>
      <c r="D330" s="841"/>
      <c r="E330" s="839"/>
      <c r="F330" s="821" t="s">
        <v>23</v>
      </c>
      <c r="G330" s="314">
        <v>2</v>
      </c>
      <c r="H330" s="739" t="s">
        <v>71</v>
      </c>
      <c r="I330" s="739">
        <v>244</v>
      </c>
      <c r="J330" s="740">
        <v>310</v>
      </c>
      <c r="K330" s="533" t="s">
        <v>533</v>
      </c>
      <c r="L330" s="1025">
        <v>62600</v>
      </c>
      <c r="M330" s="318"/>
      <c r="N330" s="318"/>
      <c r="O330" s="1052">
        <f t="shared" si="332"/>
        <v>62600</v>
      </c>
      <c r="P330" s="570"/>
      <c r="Q330" s="336">
        <v>0</v>
      </c>
      <c r="R330" s="559"/>
      <c r="S330" s="541">
        <v>0</v>
      </c>
      <c r="T330" s="559"/>
      <c r="U330" s="335"/>
      <c r="V330" s="320"/>
      <c r="W330" s="320"/>
      <c r="X330" s="320"/>
      <c r="Z330" s="336">
        <f t="shared" si="421"/>
        <v>0</v>
      </c>
      <c r="AA330" s="337">
        <f t="shared" si="421"/>
        <v>0</v>
      </c>
      <c r="AB330" s="338">
        <f t="shared" si="334"/>
        <v>0</v>
      </c>
      <c r="AC330" s="336">
        <f t="shared" si="422"/>
        <v>21091</v>
      </c>
      <c r="AD330" s="337">
        <f t="shared" si="422"/>
        <v>0</v>
      </c>
      <c r="AE330" s="338">
        <f t="shared" si="336"/>
        <v>21091</v>
      </c>
      <c r="AF330" s="336">
        <f t="shared" si="423"/>
        <v>0</v>
      </c>
      <c r="AG330" s="337">
        <f t="shared" si="423"/>
        <v>0</v>
      </c>
      <c r="AH330" s="338">
        <f t="shared" si="338"/>
        <v>0</v>
      </c>
      <c r="AI330" s="336">
        <f t="shared" si="424"/>
        <v>0</v>
      </c>
      <c r="AJ330" s="337">
        <f t="shared" si="424"/>
        <v>0</v>
      </c>
      <c r="AK330" s="338">
        <f t="shared" si="340"/>
        <v>0</v>
      </c>
      <c r="AL330" s="342"/>
      <c r="AM330" s="336">
        <f t="shared" si="425"/>
        <v>21091</v>
      </c>
      <c r="AN330" s="339">
        <f t="shared" si="425"/>
        <v>0</v>
      </c>
      <c r="AO330" s="340">
        <f t="shared" si="342"/>
        <v>21091</v>
      </c>
      <c r="AP330" s="336">
        <f t="shared" si="426"/>
        <v>21091</v>
      </c>
      <c r="AQ330" s="339">
        <f t="shared" si="426"/>
        <v>0</v>
      </c>
      <c r="AR330" s="340">
        <f t="shared" si="328"/>
        <v>21091</v>
      </c>
      <c r="AS330" s="341">
        <f t="shared" si="427"/>
        <v>21091</v>
      </c>
      <c r="AT330" s="339">
        <f t="shared" si="427"/>
        <v>0</v>
      </c>
      <c r="AU330" s="340">
        <f t="shared" si="330"/>
        <v>21091</v>
      </c>
      <c r="AV330" s="1255">
        <f t="shared" si="358"/>
        <v>41509</v>
      </c>
      <c r="AW330" s="343"/>
      <c r="AX330" s="344"/>
      <c r="AY330" s="345"/>
      <c r="AZ330" s="344"/>
      <c r="BA330" s="345"/>
      <c r="BB330" s="346"/>
      <c r="BC330" s="347">
        <f>62600-36010-5499</f>
        <v>21091</v>
      </c>
      <c r="BD330" s="348"/>
      <c r="BE330" s="349"/>
      <c r="BF330" s="348"/>
      <c r="BG330" s="349"/>
      <c r="BH330" s="350"/>
      <c r="BI330" s="351"/>
      <c r="BJ330" s="352"/>
      <c r="BK330" s="337"/>
      <c r="BL330" s="352"/>
      <c r="BM330" s="337"/>
      <c r="BN330" s="353"/>
      <c r="BO330" s="354"/>
      <c r="BP330" s="355"/>
      <c r="BQ330" s="356"/>
      <c r="BR330" s="355"/>
      <c r="BS330" s="356"/>
      <c r="BT330" s="357"/>
    </row>
    <row r="331" spans="1:72" s="313" customFormat="1" ht="25.5" outlineLevel="2">
      <c r="A331" s="287">
        <v>314</v>
      </c>
      <c r="B331" s="1144"/>
      <c r="C331" s="840"/>
      <c r="D331" s="841"/>
      <c r="E331" s="839"/>
      <c r="F331" s="821" t="s">
        <v>23</v>
      </c>
      <c r="G331" s="314">
        <v>2</v>
      </c>
      <c r="H331" s="739" t="s">
        <v>71</v>
      </c>
      <c r="I331" s="739">
        <v>244</v>
      </c>
      <c r="J331" s="740">
        <v>310</v>
      </c>
      <c r="K331" s="533" t="s">
        <v>1021</v>
      </c>
      <c r="L331" s="1025">
        <v>36010</v>
      </c>
      <c r="M331" s="318"/>
      <c r="N331" s="318"/>
      <c r="O331" s="1052">
        <f t="shared" si="332"/>
        <v>36010</v>
      </c>
      <c r="P331" s="570"/>
      <c r="Q331" s="336">
        <v>0</v>
      </c>
      <c r="R331" s="559"/>
      <c r="S331" s="541">
        <v>0</v>
      </c>
      <c r="T331" s="559"/>
      <c r="U331" s="335"/>
      <c r="V331" s="596" t="s">
        <v>637</v>
      </c>
      <c r="W331" s="320" t="s">
        <v>481</v>
      </c>
      <c r="X331" s="320"/>
      <c r="Z331" s="336">
        <f t="shared" si="421"/>
        <v>36010</v>
      </c>
      <c r="AA331" s="337">
        <f t="shared" si="421"/>
        <v>0</v>
      </c>
      <c r="AB331" s="338">
        <f t="shared" si="334"/>
        <v>36010</v>
      </c>
      <c r="AC331" s="336">
        <f t="shared" si="422"/>
        <v>0</v>
      </c>
      <c r="AD331" s="337">
        <f t="shared" si="422"/>
        <v>0</v>
      </c>
      <c r="AE331" s="338">
        <f t="shared" si="336"/>
        <v>0</v>
      </c>
      <c r="AF331" s="336">
        <f t="shared" si="423"/>
        <v>0</v>
      </c>
      <c r="AG331" s="337">
        <f t="shared" si="423"/>
        <v>0</v>
      </c>
      <c r="AH331" s="338">
        <f t="shared" si="338"/>
        <v>0</v>
      </c>
      <c r="AI331" s="336">
        <f t="shared" si="424"/>
        <v>0</v>
      </c>
      <c r="AJ331" s="337">
        <f t="shared" si="424"/>
        <v>0</v>
      </c>
      <c r="AK331" s="338">
        <f t="shared" si="340"/>
        <v>0</v>
      </c>
      <c r="AL331" s="342"/>
      <c r="AM331" s="336">
        <f t="shared" si="425"/>
        <v>36010</v>
      </c>
      <c r="AN331" s="339">
        <f t="shared" si="425"/>
        <v>0</v>
      </c>
      <c r="AO331" s="340">
        <f t="shared" si="342"/>
        <v>36010</v>
      </c>
      <c r="AP331" s="336">
        <f t="shared" si="426"/>
        <v>36010</v>
      </c>
      <c r="AQ331" s="339">
        <f t="shared" si="426"/>
        <v>0</v>
      </c>
      <c r="AR331" s="340">
        <f t="shared" si="328"/>
        <v>36010</v>
      </c>
      <c r="AS331" s="341">
        <f t="shared" si="427"/>
        <v>36010</v>
      </c>
      <c r="AT331" s="339">
        <f t="shared" si="427"/>
        <v>0</v>
      </c>
      <c r="AU331" s="340">
        <f t="shared" si="330"/>
        <v>36010</v>
      </c>
      <c r="AV331" s="1255">
        <f t="shared" si="358"/>
        <v>0</v>
      </c>
      <c r="AW331" s="343"/>
      <c r="AX331" s="344"/>
      <c r="AY331" s="345"/>
      <c r="AZ331" s="344"/>
      <c r="BA331" s="345">
        <v>36010</v>
      </c>
      <c r="BB331" s="346"/>
      <c r="BC331" s="347"/>
      <c r="BD331" s="348"/>
      <c r="BE331" s="349"/>
      <c r="BF331" s="348"/>
      <c r="BG331" s="349"/>
      <c r="BH331" s="350"/>
      <c r="BI331" s="351"/>
      <c r="BJ331" s="352"/>
      <c r="BK331" s="337"/>
      <c r="BL331" s="352"/>
      <c r="BM331" s="337"/>
      <c r="BN331" s="353"/>
      <c r="BO331" s="354"/>
      <c r="BP331" s="355"/>
      <c r="BQ331" s="356"/>
      <c r="BR331" s="355"/>
      <c r="BS331" s="356"/>
      <c r="BT331" s="357"/>
    </row>
    <row r="332" spans="1:72" s="313" customFormat="1" ht="25.5" outlineLevel="2">
      <c r="A332" s="287">
        <v>315</v>
      </c>
      <c r="B332" s="1144"/>
      <c r="C332" s="840"/>
      <c r="D332" s="841"/>
      <c r="E332" s="839"/>
      <c r="F332" s="821" t="s">
        <v>23</v>
      </c>
      <c r="G332" s="314">
        <v>2</v>
      </c>
      <c r="H332" s="739" t="s">
        <v>71</v>
      </c>
      <c r="I332" s="739">
        <v>244</v>
      </c>
      <c r="J332" s="740">
        <v>310</v>
      </c>
      <c r="K332" s="533" t="s">
        <v>677</v>
      </c>
      <c r="L332" s="1025">
        <v>5499</v>
      </c>
      <c r="M332" s="318"/>
      <c r="N332" s="318"/>
      <c r="O332" s="1354">
        <f t="shared" si="332"/>
        <v>5499</v>
      </c>
      <c r="P332" s="570"/>
      <c r="Q332" s="336">
        <v>0</v>
      </c>
      <c r="R332" s="559"/>
      <c r="S332" s="541">
        <v>0</v>
      </c>
      <c r="T332" s="559"/>
      <c r="U332" s="335"/>
      <c r="V332" s="596" t="s">
        <v>1187</v>
      </c>
      <c r="W332" s="320" t="s">
        <v>1188</v>
      </c>
      <c r="X332" s="320"/>
      <c r="Z332" s="336">
        <f t="shared" si="421"/>
        <v>0</v>
      </c>
      <c r="AA332" s="337">
        <f t="shared" si="421"/>
        <v>0</v>
      </c>
      <c r="AB332" s="338">
        <f t="shared" si="334"/>
        <v>0</v>
      </c>
      <c r="AC332" s="336">
        <f t="shared" si="422"/>
        <v>0</v>
      </c>
      <c r="AD332" s="337">
        <f t="shared" si="422"/>
        <v>0</v>
      </c>
      <c r="AE332" s="338">
        <f t="shared" si="336"/>
        <v>0</v>
      </c>
      <c r="AF332" s="336">
        <f t="shared" si="423"/>
        <v>0</v>
      </c>
      <c r="AG332" s="337">
        <f t="shared" si="423"/>
        <v>0</v>
      </c>
      <c r="AH332" s="338">
        <f t="shared" si="338"/>
        <v>0</v>
      </c>
      <c r="AI332" s="336">
        <f t="shared" si="424"/>
        <v>4799</v>
      </c>
      <c r="AJ332" s="337">
        <f t="shared" si="424"/>
        <v>0</v>
      </c>
      <c r="AK332" s="338">
        <f t="shared" si="340"/>
        <v>4799</v>
      </c>
      <c r="AL332" s="342"/>
      <c r="AM332" s="336">
        <f t="shared" si="425"/>
        <v>0</v>
      </c>
      <c r="AN332" s="339">
        <f t="shared" si="425"/>
        <v>0</v>
      </c>
      <c r="AO332" s="340">
        <f t="shared" si="342"/>
        <v>0</v>
      </c>
      <c r="AP332" s="336">
        <f t="shared" si="426"/>
        <v>0</v>
      </c>
      <c r="AQ332" s="339">
        <f t="shared" si="426"/>
        <v>0</v>
      </c>
      <c r="AR332" s="340">
        <f t="shared" si="328"/>
        <v>0</v>
      </c>
      <c r="AS332" s="341">
        <f t="shared" si="427"/>
        <v>4799</v>
      </c>
      <c r="AT332" s="339">
        <f t="shared" si="427"/>
        <v>0</v>
      </c>
      <c r="AU332" s="340">
        <f t="shared" si="330"/>
        <v>4799</v>
      </c>
      <c r="AV332" s="1255">
        <f t="shared" si="358"/>
        <v>700</v>
      </c>
      <c r="AW332" s="343"/>
      <c r="AX332" s="344"/>
      <c r="AY332" s="345"/>
      <c r="AZ332" s="344"/>
      <c r="BA332" s="345"/>
      <c r="BB332" s="346"/>
      <c r="BC332" s="347"/>
      <c r="BD332" s="348"/>
      <c r="BE332" s="349"/>
      <c r="BF332" s="348"/>
      <c r="BG332" s="349"/>
      <c r="BH332" s="350"/>
      <c r="BI332" s="351"/>
      <c r="BJ332" s="352"/>
      <c r="BK332" s="337"/>
      <c r="BL332" s="352"/>
      <c r="BM332" s="337"/>
      <c r="BN332" s="353"/>
      <c r="BO332" s="354">
        <v>4799</v>
      </c>
      <c r="BP332" s="355"/>
      <c r="BQ332" s="356"/>
      <c r="BR332" s="355"/>
      <c r="BS332" s="356"/>
      <c r="BT332" s="357"/>
    </row>
    <row r="333" spans="1:72" s="313" customFormat="1" ht="25.5" outlineLevel="2">
      <c r="A333" s="287">
        <v>316</v>
      </c>
      <c r="B333" s="1144"/>
      <c r="C333" s="840"/>
      <c r="D333" s="841"/>
      <c r="E333" s="839"/>
      <c r="F333" s="821" t="s">
        <v>23</v>
      </c>
      <c r="G333" s="314">
        <v>2</v>
      </c>
      <c r="H333" s="739" t="s">
        <v>71</v>
      </c>
      <c r="I333" s="739">
        <v>244</v>
      </c>
      <c r="J333" s="740">
        <v>310</v>
      </c>
      <c r="K333" s="533" t="s">
        <v>748</v>
      </c>
      <c r="L333" s="1025">
        <v>1679</v>
      </c>
      <c r="M333" s="318"/>
      <c r="N333" s="318"/>
      <c r="O333" s="1052">
        <f t="shared" si="332"/>
        <v>1679</v>
      </c>
      <c r="P333" s="570"/>
      <c r="Q333" s="336">
        <v>0</v>
      </c>
      <c r="R333" s="559"/>
      <c r="S333" s="541">
        <v>0</v>
      </c>
      <c r="T333" s="559"/>
      <c r="U333" s="335"/>
      <c r="V333" s="596" t="s">
        <v>679</v>
      </c>
      <c r="W333" s="320" t="s">
        <v>481</v>
      </c>
      <c r="X333" s="320"/>
      <c r="Z333" s="336">
        <f t="shared" si="421"/>
        <v>0</v>
      </c>
      <c r="AA333" s="337">
        <f t="shared" si="421"/>
        <v>0</v>
      </c>
      <c r="AB333" s="338">
        <f t="shared" si="334"/>
        <v>0</v>
      </c>
      <c r="AC333" s="336">
        <f t="shared" si="422"/>
        <v>1679</v>
      </c>
      <c r="AD333" s="337">
        <f t="shared" si="422"/>
        <v>0</v>
      </c>
      <c r="AE333" s="338">
        <f t="shared" si="336"/>
        <v>1679</v>
      </c>
      <c r="AF333" s="336">
        <f t="shared" si="423"/>
        <v>0</v>
      </c>
      <c r="AG333" s="337">
        <f t="shared" si="423"/>
        <v>0</v>
      </c>
      <c r="AH333" s="338">
        <f t="shared" si="338"/>
        <v>0</v>
      </c>
      <c r="AI333" s="336">
        <f t="shared" si="424"/>
        <v>0</v>
      </c>
      <c r="AJ333" s="337">
        <f t="shared" si="424"/>
        <v>0</v>
      </c>
      <c r="AK333" s="338">
        <f t="shared" si="340"/>
        <v>0</v>
      </c>
      <c r="AL333" s="342"/>
      <c r="AM333" s="336">
        <f t="shared" si="425"/>
        <v>1679</v>
      </c>
      <c r="AN333" s="339">
        <f t="shared" si="425"/>
        <v>0</v>
      </c>
      <c r="AO333" s="340">
        <f t="shared" si="342"/>
        <v>1679</v>
      </c>
      <c r="AP333" s="336">
        <f t="shared" si="426"/>
        <v>1679</v>
      </c>
      <c r="AQ333" s="339">
        <f t="shared" si="426"/>
        <v>0</v>
      </c>
      <c r="AR333" s="340">
        <f t="shared" si="328"/>
        <v>1679</v>
      </c>
      <c r="AS333" s="341">
        <f t="shared" si="427"/>
        <v>1679</v>
      </c>
      <c r="AT333" s="339">
        <f t="shared" si="427"/>
        <v>0</v>
      </c>
      <c r="AU333" s="340">
        <f t="shared" si="330"/>
        <v>1679</v>
      </c>
      <c r="AV333" s="1255">
        <f t="shared" si="358"/>
        <v>0</v>
      </c>
      <c r="AW333" s="343"/>
      <c r="AX333" s="344"/>
      <c r="AY333" s="345"/>
      <c r="AZ333" s="344"/>
      <c r="BA333" s="345"/>
      <c r="BB333" s="346"/>
      <c r="BC333" s="1134">
        <v>1679</v>
      </c>
      <c r="BD333" s="348"/>
      <c r="BE333" s="349"/>
      <c r="BF333" s="348"/>
      <c r="BG333" s="349"/>
      <c r="BH333" s="350"/>
      <c r="BI333" s="351"/>
      <c r="BJ333" s="352"/>
      <c r="BK333" s="337"/>
      <c r="BL333" s="352"/>
      <c r="BM333" s="337"/>
      <c r="BN333" s="353"/>
      <c r="BO333" s="354"/>
      <c r="BP333" s="355"/>
      <c r="BQ333" s="356"/>
      <c r="BR333" s="355"/>
      <c r="BS333" s="356"/>
      <c r="BT333" s="357"/>
    </row>
    <row r="334" spans="1:72" s="313" customFormat="1" ht="38.25" customHeight="1" outlineLevel="2">
      <c r="A334" s="287">
        <v>317</v>
      </c>
      <c r="B334" s="936" t="s">
        <v>1141</v>
      </c>
      <c r="C334" s="840"/>
      <c r="D334" s="841"/>
      <c r="E334" s="839"/>
      <c r="F334" s="821" t="s">
        <v>23</v>
      </c>
      <c r="G334" s="314">
        <v>2</v>
      </c>
      <c r="H334" s="739" t="s">
        <v>71</v>
      </c>
      <c r="I334" s="739">
        <v>244</v>
      </c>
      <c r="J334" s="740">
        <v>310</v>
      </c>
      <c r="K334" s="533" t="s">
        <v>1142</v>
      </c>
      <c r="L334" s="1025">
        <v>0</v>
      </c>
      <c r="M334" s="318"/>
      <c r="N334" s="318">
        <v>0</v>
      </c>
      <c r="O334" s="1052">
        <f t="shared" ref="O334" si="430">L334+N334</f>
        <v>0</v>
      </c>
      <c r="P334" s="570"/>
      <c r="Q334" s="336">
        <v>0</v>
      </c>
      <c r="R334" s="559"/>
      <c r="S334" s="541">
        <v>0</v>
      </c>
      <c r="T334" s="559"/>
      <c r="U334" s="335"/>
      <c r="V334" s="320"/>
      <c r="W334" s="320"/>
      <c r="X334" s="320"/>
      <c r="Z334" s="336">
        <f t="shared" ref="Z334" si="431">AW334+AY334+BA334</f>
        <v>0</v>
      </c>
      <c r="AA334" s="337">
        <f t="shared" ref="AA334" si="432">AX334+AZ334+BB334</f>
        <v>0</v>
      </c>
      <c r="AB334" s="338">
        <f t="shared" ref="AB334" si="433">Z334-AA334</f>
        <v>0</v>
      </c>
      <c r="AC334" s="336">
        <f t="shared" ref="AC334" si="434">BC334+BE334+BG334</f>
        <v>0</v>
      </c>
      <c r="AD334" s="337">
        <f t="shared" ref="AD334" si="435">BD334+BF334+BH334</f>
        <v>0</v>
      </c>
      <c r="AE334" s="338">
        <f t="shared" ref="AE334" si="436">AC334-AD334</f>
        <v>0</v>
      </c>
      <c r="AF334" s="336">
        <f t="shared" ref="AF334" si="437">BI334+BK334+BM334</f>
        <v>0</v>
      </c>
      <c r="AG334" s="337">
        <f t="shared" ref="AG334" si="438">BJ334+BL334+BN334</f>
        <v>0</v>
      </c>
      <c r="AH334" s="338">
        <f t="shared" ref="AH334" si="439">AF334-AG334</f>
        <v>0</v>
      </c>
      <c r="AI334" s="336">
        <f t="shared" ref="AI334" si="440">BO334+BQ334+BS334</f>
        <v>0</v>
      </c>
      <c r="AJ334" s="337">
        <f t="shared" ref="AJ334" si="441">BP334+BR334+BT334</f>
        <v>0</v>
      </c>
      <c r="AK334" s="338">
        <f t="shared" ref="AK334" si="442">AI334-AJ334</f>
        <v>0</v>
      </c>
      <c r="AL334" s="342"/>
      <c r="AM334" s="336">
        <f t="shared" ref="AM334" si="443">Z334+AC334</f>
        <v>0</v>
      </c>
      <c r="AN334" s="339">
        <f t="shared" ref="AN334" si="444">AA334+AD334</f>
        <v>0</v>
      </c>
      <c r="AO334" s="340">
        <f t="shared" ref="AO334" si="445">AM334-AN334</f>
        <v>0</v>
      </c>
      <c r="AP334" s="336">
        <f t="shared" ref="AP334" si="446">Z334+AC334+AF334</f>
        <v>0</v>
      </c>
      <c r="AQ334" s="339">
        <f t="shared" ref="AQ334" si="447">AA334+AD334+AG334</f>
        <v>0</v>
      </c>
      <c r="AR334" s="340">
        <f t="shared" ref="AR334" si="448">AP334-AQ334</f>
        <v>0</v>
      </c>
      <c r="AS334" s="341">
        <f t="shared" ref="AS334" si="449">Z334+AC334+AF334+AI334</f>
        <v>0</v>
      </c>
      <c r="AT334" s="339">
        <f t="shared" ref="AT334" si="450">AA334+AD334+AG334+AJ334</f>
        <v>0</v>
      </c>
      <c r="AU334" s="340">
        <f t="shared" ref="AU334" si="451">AS334-AT334</f>
        <v>0</v>
      </c>
      <c r="AV334" s="1255">
        <f t="shared" ref="AV334" si="452">L334-AS334</f>
        <v>0</v>
      </c>
      <c r="AW334" s="343"/>
      <c r="AX334" s="344"/>
      <c r="AY334" s="345"/>
      <c r="AZ334" s="344"/>
      <c r="BA334" s="345"/>
      <c r="BB334" s="346"/>
      <c r="BC334" s="1134"/>
      <c r="BD334" s="348"/>
      <c r="BE334" s="349"/>
      <c r="BF334" s="348"/>
      <c r="BG334" s="349"/>
      <c r="BH334" s="350"/>
      <c r="BI334" s="351"/>
      <c r="BJ334" s="352"/>
      <c r="BK334" s="337"/>
      <c r="BL334" s="352"/>
      <c r="BM334" s="337"/>
      <c r="BN334" s="353"/>
      <c r="BO334" s="354"/>
      <c r="BP334" s="355"/>
      <c r="BQ334" s="356"/>
      <c r="BR334" s="355"/>
      <c r="BS334" s="356"/>
      <c r="BT334" s="357"/>
    </row>
    <row r="335" spans="1:72" s="313" customFormat="1" ht="38.25" customHeight="1" outlineLevel="2">
      <c r="A335" s="287">
        <v>318</v>
      </c>
      <c r="B335" s="936" t="s">
        <v>1141</v>
      </c>
      <c r="C335" s="840"/>
      <c r="D335" s="841"/>
      <c r="E335" s="839"/>
      <c r="F335" s="821" t="s">
        <v>23</v>
      </c>
      <c r="G335" s="314">
        <v>2</v>
      </c>
      <c r="H335" s="739" t="s">
        <v>71</v>
      </c>
      <c r="I335" s="739">
        <v>244</v>
      </c>
      <c r="J335" s="740">
        <v>310</v>
      </c>
      <c r="K335" s="533" t="s">
        <v>1143</v>
      </c>
      <c r="L335" s="1025">
        <v>0</v>
      </c>
      <c r="M335" s="318"/>
      <c r="N335" s="318">
        <v>0</v>
      </c>
      <c r="O335" s="1052">
        <f t="shared" ref="O335:O345" si="453">L335+N335</f>
        <v>0</v>
      </c>
      <c r="P335" s="570"/>
      <c r="Q335" s="336">
        <v>0</v>
      </c>
      <c r="R335" s="559"/>
      <c r="S335" s="541">
        <v>0</v>
      </c>
      <c r="T335" s="559"/>
      <c r="U335" s="335"/>
      <c r="V335" s="320"/>
      <c r="W335" s="320"/>
      <c r="X335" s="320"/>
      <c r="Z335" s="336">
        <f t="shared" ref="Z335:Z345" si="454">AW335+AY335+BA335</f>
        <v>0</v>
      </c>
      <c r="AA335" s="337">
        <f t="shared" ref="AA335:AA345" si="455">AX335+AZ335+BB335</f>
        <v>0</v>
      </c>
      <c r="AB335" s="338">
        <f t="shared" ref="AB335:AB345" si="456">Z335-AA335</f>
        <v>0</v>
      </c>
      <c r="AC335" s="336">
        <f t="shared" ref="AC335:AC345" si="457">BC335+BE335+BG335</f>
        <v>0</v>
      </c>
      <c r="AD335" s="337">
        <f t="shared" ref="AD335:AD345" si="458">BD335+BF335+BH335</f>
        <v>0</v>
      </c>
      <c r="AE335" s="338">
        <f t="shared" ref="AE335:AE345" si="459">AC335-AD335</f>
        <v>0</v>
      </c>
      <c r="AF335" s="336">
        <f t="shared" ref="AF335:AF345" si="460">BI335+BK335+BM335</f>
        <v>0</v>
      </c>
      <c r="AG335" s="337">
        <f t="shared" ref="AG335:AG345" si="461">BJ335+BL335+BN335</f>
        <v>0</v>
      </c>
      <c r="AH335" s="338">
        <f t="shared" ref="AH335:AH345" si="462">AF335-AG335</f>
        <v>0</v>
      </c>
      <c r="AI335" s="336">
        <f t="shared" ref="AI335:AI345" si="463">BO335+BQ335+BS335</f>
        <v>0</v>
      </c>
      <c r="AJ335" s="337">
        <f t="shared" ref="AJ335:AJ345" si="464">BP335+BR335+BT335</f>
        <v>0</v>
      </c>
      <c r="AK335" s="338">
        <f t="shared" ref="AK335:AK345" si="465">AI335-AJ335</f>
        <v>0</v>
      </c>
      <c r="AL335" s="342"/>
      <c r="AM335" s="336">
        <f t="shared" ref="AM335:AM345" si="466">Z335+AC335</f>
        <v>0</v>
      </c>
      <c r="AN335" s="339">
        <f t="shared" ref="AN335:AN345" si="467">AA335+AD335</f>
        <v>0</v>
      </c>
      <c r="AO335" s="340">
        <f t="shared" ref="AO335:AO345" si="468">AM335-AN335</f>
        <v>0</v>
      </c>
      <c r="AP335" s="336">
        <f t="shared" ref="AP335:AP345" si="469">Z335+AC335+AF335</f>
        <v>0</v>
      </c>
      <c r="AQ335" s="339">
        <f t="shared" ref="AQ335:AQ345" si="470">AA335+AD335+AG335</f>
        <v>0</v>
      </c>
      <c r="AR335" s="340">
        <f t="shared" ref="AR335:AR345" si="471">AP335-AQ335</f>
        <v>0</v>
      </c>
      <c r="AS335" s="341">
        <f t="shared" ref="AS335:AS345" si="472">Z335+AC335+AF335+AI335</f>
        <v>0</v>
      </c>
      <c r="AT335" s="339">
        <f t="shared" ref="AT335:AT345" si="473">AA335+AD335+AG335+AJ335</f>
        <v>0</v>
      </c>
      <c r="AU335" s="340">
        <f t="shared" ref="AU335:AU345" si="474">AS335-AT335</f>
        <v>0</v>
      </c>
      <c r="AV335" s="1255">
        <f t="shared" ref="AV335:AV345" si="475">L335-AS335</f>
        <v>0</v>
      </c>
      <c r="AW335" s="343"/>
      <c r="AX335" s="344"/>
      <c r="AY335" s="345"/>
      <c r="AZ335" s="344"/>
      <c r="BA335" s="345"/>
      <c r="BB335" s="346"/>
      <c r="BC335" s="1134"/>
      <c r="BD335" s="348"/>
      <c r="BE335" s="349"/>
      <c r="BF335" s="348"/>
      <c r="BG335" s="349"/>
      <c r="BH335" s="350"/>
      <c r="BI335" s="351"/>
      <c r="BJ335" s="352"/>
      <c r="BK335" s="337"/>
      <c r="BL335" s="352"/>
      <c r="BM335" s="337"/>
      <c r="BN335" s="353"/>
      <c r="BO335" s="354"/>
      <c r="BP335" s="355"/>
      <c r="BQ335" s="356"/>
      <c r="BR335" s="355"/>
      <c r="BS335" s="356"/>
      <c r="BT335" s="357"/>
    </row>
    <row r="336" spans="1:72" s="313" customFormat="1" ht="38.25" customHeight="1" outlineLevel="2">
      <c r="A336" s="287">
        <v>319</v>
      </c>
      <c r="B336" s="936" t="s">
        <v>1141</v>
      </c>
      <c r="C336" s="840"/>
      <c r="D336" s="841"/>
      <c r="E336" s="839"/>
      <c r="F336" s="821" t="s">
        <v>23</v>
      </c>
      <c r="G336" s="314">
        <v>2</v>
      </c>
      <c r="H336" s="739" t="s">
        <v>71</v>
      </c>
      <c r="I336" s="739">
        <v>244</v>
      </c>
      <c r="J336" s="740">
        <v>310</v>
      </c>
      <c r="K336" s="533" t="s">
        <v>1144</v>
      </c>
      <c r="L336" s="1025">
        <v>0</v>
      </c>
      <c r="M336" s="318"/>
      <c r="N336" s="318">
        <v>0</v>
      </c>
      <c r="O336" s="1052">
        <f t="shared" si="453"/>
        <v>0</v>
      </c>
      <c r="P336" s="570"/>
      <c r="Q336" s="336">
        <v>0</v>
      </c>
      <c r="R336" s="559"/>
      <c r="S336" s="541">
        <v>0</v>
      </c>
      <c r="T336" s="559"/>
      <c r="U336" s="335"/>
      <c r="V336" s="320"/>
      <c r="W336" s="320"/>
      <c r="X336" s="320"/>
      <c r="Z336" s="336">
        <f t="shared" si="454"/>
        <v>0</v>
      </c>
      <c r="AA336" s="337">
        <f t="shared" si="455"/>
        <v>0</v>
      </c>
      <c r="AB336" s="338">
        <f t="shared" si="456"/>
        <v>0</v>
      </c>
      <c r="AC336" s="336">
        <f t="shared" si="457"/>
        <v>0</v>
      </c>
      <c r="AD336" s="337">
        <f t="shared" si="458"/>
        <v>0</v>
      </c>
      <c r="AE336" s="338">
        <f t="shared" si="459"/>
        <v>0</v>
      </c>
      <c r="AF336" s="336">
        <f t="shared" si="460"/>
        <v>0</v>
      </c>
      <c r="AG336" s="337">
        <f t="shared" si="461"/>
        <v>0</v>
      </c>
      <c r="AH336" s="338">
        <f t="shared" si="462"/>
        <v>0</v>
      </c>
      <c r="AI336" s="336">
        <f t="shared" si="463"/>
        <v>0</v>
      </c>
      <c r="AJ336" s="337">
        <f t="shared" si="464"/>
        <v>0</v>
      </c>
      <c r="AK336" s="338">
        <f t="shared" si="465"/>
        <v>0</v>
      </c>
      <c r="AL336" s="342"/>
      <c r="AM336" s="336">
        <f t="shared" si="466"/>
        <v>0</v>
      </c>
      <c r="AN336" s="339">
        <f t="shared" si="467"/>
        <v>0</v>
      </c>
      <c r="AO336" s="340">
        <f t="shared" si="468"/>
        <v>0</v>
      </c>
      <c r="AP336" s="336">
        <f t="shared" si="469"/>
        <v>0</v>
      </c>
      <c r="AQ336" s="339">
        <f t="shared" si="470"/>
        <v>0</v>
      </c>
      <c r="AR336" s="340">
        <f t="shared" si="471"/>
        <v>0</v>
      </c>
      <c r="AS336" s="341">
        <f t="shared" si="472"/>
        <v>0</v>
      </c>
      <c r="AT336" s="339">
        <f t="shared" si="473"/>
        <v>0</v>
      </c>
      <c r="AU336" s="340">
        <f t="shared" si="474"/>
        <v>0</v>
      </c>
      <c r="AV336" s="1255">
        <f t="shared" si="475"/>
        <v>0</v>
      </c>
      <c r="AW336" s="343"/>
      <c r="AX336" s="344"/>
      <c r="AY336" s="345"/>
      <c r="AZ336" s="344"/>
      <c r="BA336" s="345"/>
      <c r="BB336" s="346"/>
      <c r="BC336" s="1134"/>
      <c r="BD336" s="348"/>
      <c r="BE336" s="349"/>
      <c r="BF336" s="348"/>
      <c r="BG336" s="349"/>
      <c r="BH336" s="350"/>
      <c r="BI336" s="351"/>
      <c r="BJ336" s="352"/>
      <c r="BK336" s="337"/>
      <c r="BL336" s="352"/>
      <c r="BM336" s="337"/>
      <c r="BN336" s="353"/>
      <c r="BO336" s="354"/>
      <c r="BP336" s="355"/>
      <c r="BQ336" s="356"/>
      <c r="BR336" s="355"/>
      <c r="BS336" s="356"/>
      <c r="BT336" s="357"/>
    </row>
    <row r="337" spans="1:72" s="313" customFormat="1" ht="38.25" customHeight="1" outlineLevel="2">
      <c r="A337" s="287">
        <v>320</v>
      </c>
      <c r="B337" s="936" t="s">
        <v>1141</v>
      </c>
      <c r="C337" s="840"/>
      <c r="D337" s="841"/>
      <c r="E337" s="839"/>
      <c r="F337" s="821" t="s">
        <v>23</v>
      </c>
      <c r="G337" s="314">
        <v>2</v>
      </c>
      <c r="H337" s="739" t="s">
        <v>71</v>
      </c>
      <c r="I337" s="739">
        <v>244</v>
      </c>
      <c r="J337" s="740">
        <v>310</v>
      </c>
      <c r="K337" s="533" t="s">
        <v>1145</v>
      </c>
      <c r="L337" s="1025">
        <v>0</v>
      </c>
      <c r="M337" s="318"/>
      <c r="N337" s="318">
        <v>0</v>
      </c>
      <c r="O337" s="1052">
        <f t="shared" si="453"/>
        <v>0</v>
      </c>
      <c r="P337" s="570"/>
      <c r="Q337" s="336">
        <v>0</v>
      </c>
      <c r="R337" s="559"/>
      <c r="S337" s="541">
        <v>0</v>
      </c>
      <c r="T337" s="559"/>
      <c r="U337" s="335"/>
      <c r="V337" s="320"/>
      <c r="W337" s="320"/>
      <c r="X337" s="320"/>
      <c r="Z337" s="336">
        <f t="shared" si="454"/>
        <v>0</v>
      </c>
      <c r="AA337" s="337">
        <f t="shared" si="455"/>
        <v>0</v>
      </c>
      <c r="AB337" s="338">
        <f t="shared" si="456"/>
        <v>0</v>
      </c>
      <c r="AC337" s="336">
        <f t="shared" si="457"/>
        <v>0</v>
      </c>
      <c r="AD337" s="337">
        <f t="shared" si="458"/>
        <v>0</v>
      </c>
      <c r="AE337" s="338">
        <f t="shared" si="459"/>
        <v>0</v>
      </c>
      <c r="AF337" s="336">
        <f t="shared" si="460"/>
        <v>0</v>
      </c>
      <c r="AG337" s="337">
        <f t="shared" si="461"/>
        <v>0</v>
      </c>
      <c r="AH337" s="338">
        <f t="shared" si="462"/>
        <v>0</v>
      </c>
      <c r="AI337" s="336">
        <f t="shared" si="463"/>
        <v>0</v>
      </c>
      <c r="AJ337" s="337">
        <f t="shared" si="464"/>
        <v>0</v>
      </c>
      <c r="AK337" s="338">
        <f t="shared" si="465"/>
        <v>0</v>
      </c>
      <c r="AL337" s="342"/>
      <c r="AM337" s="336">
        <f t="shared" si="466"/>
        <v>0</v>
      </c>
      <c r="AN337" s="339">
        <f t="shared" si="467"/>
        <v>0</v>
      </c>
      <c r="AO337" s="340">
        <f t="shared" si="468"/>
        <v>0</v>
      </c>
      <c r="AP337" s="336">
        <f t="shared" si="469"/>
        <v>0</v>
      </c>
      <c r="AQ337" s="339">
        <f t="shared" si="470"/>
        <v>0</v>
      </c>
      <c r="AR337" s="340">
        <f t="shared" si="471"/>
        <v>0</v>
      </c>
      <c r="AS337" s="341">
        <f t="shared" si="472"/>
        <v>0</v>
      </c>
      <c r="AT337" s="339">
        <f t="shared" si="473"/>
        <v>0</v>
      </c>
      <c r="AU337" s="340">
        <f t="shared" si="474"/>
        <v>0</v>
      </c>
      <c r="AV337" s="1255">
        <f t="shared" si="475"/>
        <v>0</v>
      </c>
      <c r="AW337" s="343"/>
      <c r="AX337" s="344"/>
      <c r="AY337" s="345"/>
      <c r="AZ337" s="344"/>
      <c r="BA337" s="345"/>
      <c r="BB337" s="346"/>
      <c r="BC337" s="1134"/>
      <c r="BD337" s="348"/>
      <c r="BE337" s="349"/>
      <c r="BF337" s="348"/>
      <c r="BG337" s="349"/>
      <c r="BH337" s="350"/>
      <c r="BI337" s="351"/>
      <c r="BJ337" s="352"/>
      <c r="BK337" s="337"/>
      <c r="BL337" s="352"/>
      <c r="BM337" s="337"/>
      <c r="BN337" s="353"/>
      <c r="BO337" s="354"/>
      <c r="BP337" s="355"/>
      <c r="BQ337" s="356"/>
      <c r="BR337" s="355"/>
      <c r="BS337" s="356"/>
      <c r="BT337" s="357"/>
    </row>
    <row r="338" spans="1:72" s="313" customFormat="1" ht="38.25" customHeight="1" outlineLevel="2">
      <c r="A338" s="287">
        <v>321</v>
      </c>
      <c r="B338" s="936" t="s">
        <v>1141</v>
      </c>
      <c r="C338" s="840"/>
      <c r="D338" s="841"/>
      <c r="E338" s="839"/>
      <c r="F338" s="821" t="s">
        <v>23</v>
      </c>
      <c r="G338" s="314">
        <v>2</v>
      </c>
      <c r="H338" s="739" t="s">
        <v>71</v>
      </c>
      <c r="I338" s="739">
        <v>244</v>
      </c>
      <c r="J338" s="740">
        <v>310</v>
      </c>
      <c r="K338" s="533" t="s">
        <v>1146</v>
      </c>
      <c r="L338" s="1025">
        <v>0</v>
      </c>
      <c r="M338" s="318"/>
      <c r="N338" s="318">
        <v>0</v>
      </c>
      <c r="O338" s="1052">
        <f t="shared" si="453"/>
        <v>0</v>
      </c>
      <c r="P338" s="570"/>
      <c r="Q338" s="336">
        <v>0</v>
      </c>
      <c r="R338" s="559"/>
      <c r="S338" s="541">
        <v>0</v>
      </c>
      <c r="T338" s="559"/>
      <c r="U338" s="335"/>
      <c r="V338" s="320"/>
      <c r="W338" s="320"/>
      <c r="X338" s="320"/>
      <c r="Z338" s="336">
        <f t="shared" si="454"/>
        <v>0</v>
      </c>
      <c r="AA338" s="337">
        <f t="shared" si="455"/>
        <v>0</v>
      </c>
      <c r="AB338" s="338">
        <f t="shared" si="456"/>
        <v>0</v>
      </c>
      <c r="AC338" s="336">
        <f t="shared" si="457"/>
        <v>0</v>
      </c>
      <c r="AD338" s="337">
        <f t="shared" si="458"/>
        <v>0</v>
      </c>
      <c r="AE338" s="338">
        <f t="shared" si="459"/>
        <v>0</v>
      </c>
      <c r="AF338" s="336">
        <f t="shared" si="460"/>
        <v>0</v>
      </c>
      <c r="AG338" s="337">
        <f t="shared" si="461"/>
        <v>0</v>
      </c>
      <c r="AH338" s="338">
        <f t="shared" si="462"/>
        <v>0</v>
      </c>
      <c r="AI338" s="336">
        <f t="shared" si="463"/>
        <v>0</v>
      </c>
      <c r="AJ338" s="337">
        <f t="shared" si="464"/>
        <v>0</v>
      </c>
      <c r="AK338" s="338">
        <f t="shared" si="465"/>
        <v>0</v>
      </c>
      <c r="AL338" s="342"/>
      <c r="AM338" s="336">
        <f t="shared" si="466"/>
        <v>0</v>
      </c>
      <c r="AN338" s="339">
        <f t="shared" si="467"/>
        <v>0</v>
      </c>
      <c r="AO338" s="340">
        <f t="shared" si="468"/>
        <v>0</v>
      </c>
      <c r="AP338" s="336">
        <f t="shared" si="469"/>
        <v>0</v>
      </c>
      <c r="AQ338" s="339">
        <f t="shared" si="470"/>
        <v>0</v>
      </c>
      <c r="AR338" s="340">
        <f t="shared" si="471"/>
        <v>0</v>
      </c>
      <c r="AS338" s="341">
        <f t="shared" si="472"/>
        <v>0</v>
      </c>
      <c r="AT338" s="339">
        <f t="shared" si="473"/>
        <v>0</v>
      </c>
      <c r="AU338" s="340">
        <f t="shared" si="474"/>
        <v>0</v>
      </c>
      <c r="AV338" s="1255">
        <f t="shared" si="475"/>
        <v>0</v>
      </c>
      <c r="AW338" s="343"/>
      <c r="AX338" s="344"/>
      <c r="AY338" s="345"/>
      <c r="AZ338" s="344"/>
      <c r="BA338" s="345"/>
      <c r="BB338" s="346"/>
      <c r="BC338" s="1134"/>
      <c r="BD338" s="348"/>
      <c r="BE338" s="349"/>
      <c r="BF338" s="348"/>
      <c r="BG338" s="349"/>
      <c r="BH338" s="350"/>
      <c r="BI338" s="351"/>
      <c r="BJ338" s="352"/>
      <c r="BK338" s="337"/>
      <c r="BL338" s="352"/>
      <c r="BM338" s="337"/>
      <c r="BN338" s="353"/>
      <c r="BO338" s="354"/>
      <c r="BP338" s="355"/>
      <c r="BQ338" s="356"/>
      <c r="BR338" s="355"/>
      <c r="BS338" s="356"/>
      <c r="BT338" s="357"/>
    </row>
    <row r="339" spans="1:72" s="313" customFormat="1" ht="38.25" customHeight="1" outlineLevel="2">
      <c r="A339" s="287">
        <v>322</v>
      </c>
      <c r="B339" s="936" t="s">
        <v>1141</v>
      </c>
      <c r="C339" s="840"/>
      <c r="D339" s="841"/>
      <c r="E339" s="839"/>
      <c r="F339" s="821" t="s">
        <v>23</v>
      </c>
      <c r="G339" s="314">
        <v>2</v>
      </c>
      <c r="H339" s="739" t="s">
        <v>71</v>
      </c>
      <c r="I339" s="739">
        <v>244</v>
      </c>
      <c r="J339" s="740">
        <v>310</v>
      </c>
      <c r="K339" s="533" t="s">
        <v>1147</v>
      </c>
      <c r="L339" s="1025">
        <v>0</v>
      </c>
      <c r="M339" s="318"/>
      <c r="N339" s="318">
        <v>0</v>
      </c>
      <c r="O339" s="1052">
        <f t="shared" si="453"/>
        <v>0</v>
      </c>
      <c r="P339" s="570"/>
      <c r="Q339" s="336">
        <v>0</v>
      </c>
      <c r="R339" s="559"/>
      <c r="S339" s="541">
        <v>0</v>
      </c>
      <c r="T339" s="559"/>
      <c r="U339" s="335"/>
      <c r="V339" s="320"/>
      <c r="W339" s="320"/>
      <c r="X339" s="320"/>
      <c r="Z339" s="336">
        <f t="shared" si="454"/>
        <v>0</v>
      </c>
      <c r="AA339" s="337">
        <f t="shared" si="455"/>
        <v>0</v>
      </c>
      <c r="AB339" s="338">
        <f t="shared" si="456"/>
        <v>0</v>
      </c>
      <c r="AC339" s="336">
        <f t="shared" si="457"/>
        <v>0</v>
      </c>
      <c r="AD339" s="337">
        <f t="shared" si="458"/>
        <v>0</v>
      </c>
      <c r="AE339" s="338">
        <f t="shared" si="459"/>
        <v>0</v>
      </c>
      <c r="AF339" s="336">
        <f t="shared" si="460"/>
        <v>0</v>
      </c>
      <c r="AG339" s="337">
        <f t="shared" si="461"/>
        <v>0</v>
      </c>
      <c r="AH339" s="338">
        <f t="shared" si="462"/>
        <v>0</v>
      </c>
      <c r="AI339" s="336">
        <f t="shared" si="463"/>
        <v>0</v>
      </c>
      <c r="AJ339" s="337">
        <f t="shared" si="464"/>
        <v>0</v>
      </c>
      <c r="AK339" s="338">
        <f t="shared" si="465"/>
        <v>0</v>
      </c>
      <c r="AL339" s="342"/>
      <c r="AM339" s="336">
        <f t="shared" si="466"/>
        <v>0</v>
      </c>
      <c r="AN339" s="339">
        <f t="shared" si="467"/>
        <v>0</v>
      </c>
      <c r="AO339" s="340">
        <f t="shared" si="468"/>
        <v>0</v>
      </c>
      <c r="AP339" s="336">
        <f t="shared" si="469"/>
        <v>0</v>
      </c>
      <c r="AQ339" s="339">
        <f t="shared" si="470"/>
        <v>0</v>
      </c>
      <c r="AR339" s="340">
        <f t="shared" si="471"/>
        <v>0</v>
      </c>
      <c r="AS339" s="341">
        <f t="shared" si="472"/>
        <v>0</v>
      </c>
      <c r="AT339" s="339">
        <f t="shared" si="473"/>
        <v>0</v>
      </c>
      <c r="AU339" s="340">
        <f t="shared" si="474"/>
        <v>0</v>
      </c>
      <c r="AV339" s="1255">
        <f t="shared" si="475"/>
        <v>0</v>
      </c>
      <c r="AW339" s="343"/>
      <c r="AX339" s="344"/>
      <c r="AY339" s="345"/>
      <c r="AZ339" s="344"/>
      <c r="BA339" s="345"/>
      <c r="BB339" s="346"/>
      <c r="BC339" s="1134"/>
      <c r="BD339" s="348"/>
      <c r="BE339" s="349"/>
      <c r="BF339" s="348"/>
      <c r="BG339" s="349"/>
      <c r="BH339" s="350"/>
      <c r="BI339" s="351"/>
      <c r="BJ339" s="352"/>
      <c r="BK339" s="337"/>
      <c r="BL339" s="352"/>
      <c r="BM339" s="337"/>
      <c r="BN339" s="353"/>
      <c r="BO339" s="354"/>
      <c r="BP339" s="355"/>
      <c r="BQ339" s="356"/>
      <c r="BR339" s="355"/>
      <c r="BS339" s="356"/>
      <c r="BT339" s="357"/>
    </row>
    <row r="340" spans="1:72" s="313" customFormat="1" ht="38.25" customHeight="1" outlineLevel="2">
      <c r="A340" s="287">
        <v>323</v>
      </c>
      <c r="B340" s="936" t="s">
        <v>1141</v>
      </c>
      <c r="C340" s="840"/>
      <c r="D340" s="841"/>
      <c r="E340" s="839"/>
      <c r="F340" s="821" t="s">
        <v>23</v>
      </c>
      <c r="G340" s="314">
        <v>2</v>
      </c>
      <c r="H340" s="739" t="s">
        <v>71</v>
      </c>
      <c r="I340" s="739">
        <v>244</v>
      </c>
      <c r="J340" s="740">
        <v>310</v>
      </c>
      <c r="K340" s="533" t="s">
        <v>1148</v>
      </c>
      <c r="L340" s="1025">
        <v>0</v>
      </c>
      <c r="M340" s="318"/>
      <c r="N340" s="318">
        <v>0</v>
      </c>
      <c r="O340" s="1052">
        <f t="shared" si="453"/>
        <v>0</v>
      </c>
      <c r="P340" s="570"/>
      <c r="Q340" s="336">
        <v>0</v>
      </c>
      <c r="R340" s="559"/>
      <c r="S340" s="541">
        <v>0</v>
      </c>
      <c r="T340" s="559"/>
      <c r="U340" s="335"/>
      <c r="V340" s="320"/>
      <c r="W340" s="320"/>
      <c r="X340" s="320"/>
      <c r="Z340" s="336">
        <f t="shared" si="454"/>
        <v>0</v>
      </c>
      <c r="AA340" s="337">
        <f t="shared" si="455"/>
        <v>0</v>
      </c>
      <c r="AB340" s="338">
        <f t="shared" si="456"/>
        <v>0</v>
      </c>
      <c r="AC340" s="336">
        <f t="shared" si="457"/>
        <v>0</v>
      </c>
      <c r="AD340" s="337">
        <f t="shared" si="458"/>
        <v>0</v>
      </c>
      <c r="AE340" s="338">
        <f t="shared" si="459"/>
        <v>0</v>
      </c>
      <c r="AF340" s="336">
        <f t="shared" si="460"/>
        <v>0</v>
      </c>
      <c r="AG340" s="337">
        <f t="shared" si="461"/>
        <v>0</v>
      </c>
      <c r="AH340" s="338">
        <f t="shared" si="462"/>
        <v>0</v>
      </c>
      <c r="AI340" s="336">
        <f t="shared" si="463"/>
        <v>0</v>
      </c>
      <c r="AJ340" s="337">
        <f t="shared" si="464"/>
        <v>0</v>
      </c>
      <c r="AK340" s="338">
        <f t="shared" si="465"/>
        <v>0</v>
      </c>
      <c r="AL340" s="342"/>
      <c r="AM340" s="336">
        <f t="shared" si="466"/>
        <v>0</v>
      </c>
      <c r="AN340" s="339">
        <f t="shared" si="467"/>
        <v>0</v>
      </c>
      <c r="AO340" s="340">
        <f t="shared" si="468"/>
        <v>0</v>
      </c>
      <c r="AP340" s="336">
        <f t="shared" si="469"/>
        <v>0</v>
      </c>
      <c r="AQ340" s="339">
        <f t="shared" si="470"/>
        <v>0</v>
      </c>
      <c r="AR340" s="340">
        <f t="shared" si="471"/>
        <v>0</v>
      </c>
      <c r="AS340" s="341">
        <f t="shared" si="472"/>
        <v>0</v>
      </c>
      <c r="AT340" s="339">
        <f t="shared" si="473"/>
        <v>0</v>
      </c>
      <c r="AU340" s="340">
        <f t="shared" si="474"/>
        <v>0</v>
      </c>
      <c r="AV340" s="1255">
        <f t="shared" si="475"/>
        <v>0</v>
      </c>
      <c r="AW340" s="343"/>
      <c r="AX340" s="344"/>
      <c r="AY340" s="345"/>
      <c r="AZ340" s="344"/>
      <c r="BA340" s="345"/>
      <c r="BB340" s="346"/>
      <c r="BC340" s="1134"/>
      <c r="BD340" s="348"/>
      <c r="BE340" s="349"/>
      <c r="BF340" s="348"/>
      <c r="BG340" s="349"/>
      <c r="BH340" s="350"/>
      <c r="BI340" s="351"/>
      <c r="BJ340" s="352"/>
      <c r="BK340" s="337"/>
      <c r="BL340" s="352"/>
      <c r="BM340" s="337"/>
      <c r="BN340" s="353"/>
      <c r="BO340" s="354"/>
      <c r="BP340" s="355"/>
      <c r="BQ340" s="356"/>
      <c r="BR340" s="355"/>
      <c r="BS340" s="356"/>
      <c r="BT340" s="357"/>
    </row>
    <row r="341" spans="1:72" s="313" customFormat="1" ht="38.25" customHeight="1" outlineLevel="2">
      <c r="A341" s="287">
        <v>324</v>
      </c>
      <c r="B341" s="936" t="s">
        <v>1141</v>
      </c>
      <c r="C341" s="840"/>
      <c r="D341" s="841"/>
      <c r="E341" s="839"/>
      <c r="F341" s="821" t="s">
        <v>23</v>
      </c>
      <c r="G341" s="314">
        <v>2</v>
      </c>
      <c r="H341" s="739" t="s">
        <v>71</v>
      </c>
      <c r="I341" s="739">
        <v>244</v>
      </c>
      <c r="J341" s="740">
        <v>310</v>
      </c>
      <c r="K341" s="533" t="s">
        <v>1166</v>
      </c>
      <c r="L341" s="1025">
        <v>0</v>
      </c>
      <c r="M341" s="318"/>
      <c r="N341" s="318">
        <v>0</v>
      </c>
      <c r="O341" s="1052">
        <f t="shared" si="453"/>
        <v>0</v>
      </c>
      <c r="P341" s="570"/>
      <c r="Q341" s="336">
        <v>0</v>
      </c>
      <c r="R341" s="559"/>
      <c r="S341" s="541">
        <v>0</v>
      </c>
      <c r="T341" s="559"/>
      <c r="U341" s="335"/>
      <c r="V341" s="320"/>
      <c r="W341" s="320"/>
      <c r="X341" s="320"/>
      <c r="Z341" s="336">
        <f t="shared" si="454"/>
        <v>0</v>
      </c>
      <c r="AA341" s="337">
        <f t="shared" si="455"/>
        <v>0</v>
      </c>
      <c r="AB341" s="338">
        <f t="shared" si="456"/>
        <v>0</v>
      </c>
      <c r="AC341" s="336">
        <f t="shared" si="457"/>
        <v>0</v>
      </c>
      <c r="AD341" s="337">
        <f t="shared" si="458"/>
        <v>0</v>
      </c>
      <c r="AE341" s="338">
        <f t="shared" si="459"/>
        <v>0</v>
      </c>
      <c r="AF341" s="336">
        <f t="shared" si="460"/>
        <v>0</v>
      </c>
      <c r="AG341" s="337">
        <f t="shared" si="461"/>
        <v>0</v>
      </c>
      <c r="AH341" s="338">
        <f t="shared" si="462"/>
        <v>0</v>
      </c>
      <c r="AI341" s="336">
        <f t="shared" si="463"/>
        <v>0</v>
      </c>
      <c r="AJ341" s="337">
        <f t="shared" si="464"/>
        <v>0</v>
      </c>
      <c r="AK341" s="338">
        <f t="shared" si="465"/>
        <v>0</v>
      </c>
      <c r="AL341" s="342"/>
      <c r="AM341" s="336">
        <f t="shared" si="466"/>
        <v>0</v>
      </c>
      <c r="AN341" s="339">
        <f t="shared" si="467"/>
        <v>0</v>
      </c>
      <c r="AO341" s="340">
        <f t="shared" si="468"/>
        <v>0</v>
      </c>
      <c r="AP341" s="336">
        <f t="shared" si="469"/>
        <v>0</v>
      </c>
      <c r="AQ341" s="339">
        <f t="shared" si="470"/>
        <v>0</v>
      </c>
      <c r="AR341" s="340">
        <f t="shared" si="471"/>
        <v>0</v>
      </c>
      <c r="AS341" s="341">
        <f t="shared" si="472"/>
        <v>0</v>
      </c>
      <c r="AT341" s="339">
        <f t="shared" si="473"/>
        <v>0</v>
      </c>
      <c r="AU341" s="340">
        <f t="shared" si="474"/>
        <v>0</v>
      </c>
      <c r="AV341" s="1255">
        <f t="shared" si="475"/>
        <v>0</v>
      </c>
      <c r="AW341" s="343"/>
      <c r="AX341" s="344"/>
      <c r="AY341" s="345"/>
      <c r="AZ341" s="344"/>
      <c r="BA341" s="345"/>
      <c r="BB341" s="346"/>
      <c r="BC341" s="1134"/>
      <c r="BD341" s="348"/>
      <c r="BE341" s="349"/>
      <c r="BF341" s="348"/>
      <c r="BG341" s="349"/>
      <c r="BH341" s="350"/>
      <c r="BI341" s="351"/>
      <c r="BJ341" s="352"/>
      <c r="BK341" s="337"/>
      <c r="BL341" s="352"/>
      <c r="BM341" s="337"/>
      <c r="BN341" s="353"/>
      <c r="BO341" s="354"/>
      <c r="BP341" s="355"/>
      <c r="BQ341" s="356"/>
      <c r="BR341" s="355"/>
      <c r="BS341" s="356"/>
      <c r="BT341" s="357"/>
    </row>
    <row r="342" spans="1:72" s="313" customFormat="1" ht="38.25" customHeight="1" outlineLevel="2">
      <c r="A342" s="287">
        <v>325</v>
      </c>
      <c r="B342" s="936" t="s">
        <v>1141</v>
      </c>
      <c r="C342" s="840"/>
      <c r="D342" s="841"/>
      <c r="E342" s="839"/>
      <c r="F342" s="821" t="s">
        <v>23</v>
      </c>
      <c r="G342" s="314">
        <v>2</v>
      </c>
      <c r="H342" s="739" t="s">
        <v>71</v>
      </c>
      <c r="I342" s="739">
        <v>244</v>
      </c>
      <c r="J342" s="740">
        <v>310</v>
      </c>
      <c r="K342" s="533" t="s">
        <v>1150</v>
      </c>
      <c r="L342" s="1025">
        <v>44498</v>
      </c>
      <c r="M342" s="318"/>
      <c r="N342" s="318">
        <v>0</v>
      </c>
      <c r="O342" s="1052">
        <f t="shared" si="453"/>
        <v>44498</v>
      </c>
      <c r="P342" s="570"/>
      <c r="Q342" s="336">
        <v>0</v>
      </c>
      <c r="R342" s="559"/>
      <c r="S342" s="541">
        <v>0</v>
      </c>
      <c r="T342" s="559"/>
      <c r="U342" s="335"/>
      <c r="V342" s="320"/>
      <c r="W342" s="320"/>
      <c r="X342" s="320"/>
      <c r="Z342" s="336">
        <f t="shared" si="454"/>
        <v>0</v>
      </c>
      <c r="AA342" s="337">
        <f t="shared" si="455"/>
        <v>0</v>
      </c>
      <c r="AB342" s="338">
        <f t="shared" si="456"/>
        <v>0</v>
      </c>
      <c r="AC342" s="336">
        <f t="shared" si="457"/>
        <v>0</v>
      </c>
      <c r="AD342" s="337">
        <f t="shared" si="458"/>
        <v>0</v>
      </c>
      <c r="AE342" s="338">
        <f t="shared" si="459"/>
        <v>0</v>
      </c>
      <c r="AF342" s="336">
        <f t="shared" si="460"/>
        <v>0</v>
      </c>
      <c r="AG342" s="337">
        <f t="shared" si="461"/>
        <v>0</v>
      </c>
      <c r="AH342" s="338">
        <f t="shared" si="462"/>
        <v>0</v>
      </c>
      <c r="AI342" s="336">
        <f t="shared" si="463"/>
        <v>0</v>
      </c>
      <c r="AJ342" s="337">
        <f t="shared" si="464"/>
        <v>0</v>
      </c>
      <c r="AK342" s="338">
        <f t="shared" si="465"/>
        <v>0</v>
      </c>
      <c r="AL342" s="342"/>
      <c r="AM342" s="336">
        <f t="shared" si="466"/>
        <v>0</v>
      </c>
      <c r="AN342" s="339">
        <f t="shared" si="467"/>
        <v>0</v>
      </c>
      <c r="AO342" s="340">
        <f t="shared" si="468"/>
        <v>0</v>
      </c>
      <c r="AP342" s="336">
        <f t="shared" si="469"/>
        <v>0</v>
      </c>
      <c r="AQ342" s="339">
        <f t="shared" si="470"/>
        <v>0</v>
      </c>
      <c r="AR342" s="340">
        <f t="shared" si="471"/>
        <v>0</v>
      </c>
      <c r="AS342" s="341">
        <f t="shared" si="472"/>
        <v>0</v>
      </c>
      <c r="AT342" s="339">
        <f t="shared" si="473"/>
        <v>0</v>
      </c>
      <c r="AU342" s="340">
        <f t="shared" si="474"/>
        <v>0</v>
      </c>
      <c r="AV342" s="1255">
        <f t="shared" si="475"/>
        <v>44498</v>
      </c>
      <c r="AW342" s="343"/>
      <c r="AX342" s="344"/>
      <c r="AY342" s="345"/>
      <c r="AZ342" s="344"/>
      <c r="BA342" s="345"/>
      <c r="BB342" s="346"/>
      <c r="BC342" s="1134"/>
      <c r="BD342" s="348"/>
      <c r="BE342" s="349"/>
      <c r="BF342" s="348"/>
      <c r="BG342" s="349"/>
      <c r="BH342" s="350"/>
      <c r="BI342" s="351"/>
      <c r="BJ342" s="352"/>
      <c r="BK342" s="337"/>
      <c r="BL342" s="352"/>
      <c r="BM342" s="337"/>
      <c r="BN342" s="353"/>
      <c r="BO342" s="354"/>
      <c r="BP342" s="355"/>
      <c r="BQ342" s="356"/>
      <c r="BR342" s="355"/>
      <c r="BS342" s="356"/>
      <c r="BT342" s="357"/>
    </row>
    <row r="343" spans="1:72" s="313" customFormat="1" ht="38.25" customHeight="1" outlineLevel="2">
      <c r="A343" s="287">
        <v>326</v>
      </c>
      <c r="B343" s="936" t="s">
        <v>1141</v>
      </c>
      <c r="C343" s="840"/>
      <c r="D343" s="841"/>
      <c r="E343" s="839"/>
      <c r="F343" s="821" t="s">
        <v>23</v>
      </c>
      <c r="G343" s="314">
        <v>2</v>
      </c>
      <c r="H343" s="739" t="s">
        <v>71</v>
      </c>
      <c r="I343" s="739">
        <v>244</v>
      </c>
      <c r="J343" s="740">
        <v>310</v>
      </c>
      <c r="K343" s="533" t="s">
        <v>1149</v>
      </c>
      <c r="L343" s="1025">
        <v>0</v>
      </c>
      <c r="M343" s="318"/>
      <c r="N343" s="318">
        <v>0</v>
      </c>
      <c r="O343" s="1052">
        <f t="shared" si="453"/>
        <v>0</v>
      </c>
      <c r="P343" s="570"/>
      <c r="Q343" s="336">
        <v>0</v>
      </c>
      <c r="R343" s="559"/>
      <c r="S343" s="541">
        <v>0</v>
      </c>
      <c r="T343" s="559"/>
      <c r="U343" s="335"/>
      <c r="V343" s="320"/>
      <c r="W343" s="320"/>
      <c r="X343" s="320"/>
      <c r="Z343" s="336">
        <f t="shared" si="454"/>
        <v>0</v>
      </c>
      <c r="AA343" s="337">
        <f t="shared" si="455"/>
        <v>0</v>
      </c>
      <c r="AB343" s="338">
        <f t="shared" si="456"/>
        <v>0</v>
      </c>
      <c r="AC343" s="336">
        <f t="shared" si="457"/>
        <v>0</v>
      </c>
      <c r="AD343" s="337">
        <f t="shared" si="458"/>
        <v>0</v>
      </c>
      <c r="AE343" s="338">
        <f t="shared" si="459"/>
        <v>0</v>
      </c>
      <c r="AF343" s="336">
        <f t="shared" si="460"/>
        <v>0</v>
      </c>
      <c r="AG343" s="337">
        <f t="shared" si="461"/>
        <v>0</v>
      </c>
      <c r="AH343" s="338">
        <f t="shared" si="462"/>
        <v>0</v>
      </c>
      <c r="AI343" s="336">
        <f t="shared" si="463"/>
        <v>0</v>
      </c>
      <c r="AJ343" s="337">
        <f t="shared" si="464"/>
        <v>0</v>
      </c>
      <c r="AK343" s="338">
        <f t="shared" si="465"/>
        <v>0</v>
      </c>
      <c r="AL343" s="342"/>
      <c r="AM343" s="336">
        <f t="shared" si="466"/>
        <v>0</v>
      </c>
      <c r="AN343" s="339">
        <f t="shared" si="467"/>
        <v>0</v>
      </c>
      <c r="AO343" s="340">
        <f t="shared" si="468"/>
        <v>0</v>
      </c>
      <c r="AP343" s="336">
        <f t="shared" si="469"/>
        <v>0</v>
      </c>
      <c r="AQ343" s="339">
        <f t="shared" si="470"/>
        <v>0</v>
      </c>
      <c r="AR343" s="340">
        <f t="shared" si="471"/>
        <v>0</v>
      </c>
      <c r="AS343" s="341">
        <f t="shared" si="472"/>
        <v>0</v>
      </c>
      <c r="AT343" s="339">
        <f t="shared" si="473"/>
        <v>0</v>
      </c>
      <c r="AU343" s="340">
        <f t="shared" si="474"/>
        <v>0</v>
      </c>
      <c r="AV343" s="1255">
        <f t="shared" si="475"/>
        <v>0</v>
      </c>
      <c r="AW343" s="343"/>
      <c r="AX343" s="344"/>
      <c r="AY343" s="345"/>
      <c r="AZ343" s="344"/>
      <c r="BA343" s="345"/>
      <c r="BB343" s="346"/>
      <c r="BC343" s="1134"/>
      <c r="BD343" s="348"/>
      <c r="BE343" s="349"/>
      <c r="BF343" s="348"/>
      <c r="BG343" s="349"/>
      <c r="BH343" s="350"/>
      <c r="BI343" s="351"/>
      <c r="BJ343" s="352"/>
      <c r="BK343" s="337"/>
      <c r="BL343" s="352"/>
      <c r="BM343" s="337"/>
      <c r="BN343" s="353"/>
      <c r="BO343" s="354"/>
      <c r="BP343" s="355"/>
      <c r="BQ343" s="356"/>
      <c r="BR343" s="355"/>
      <c r="BS343" s="356"/>
      <c r="BT343" s="357"/>
    </row>
    <row r="344" spans="1:72" s="313" customFormat="1" ht="38.25" customHeight="1" outlineLevel="2">
      <c r="A344" s="287">
        <v>327</v>
      </c>
      <c r="B344" s="936" t="s">
        <v>1141</v>
      </c>
      <c r="C344" s="840"/>
      <c r="D344" s="841"/>
      <c r="E344" s="839"/>
      <c r="F344" s="821" t="s">
        <v>23</v>
      </c>
      <c r="G344" s="314">
        <v>2</v>
      </c>
      <c r="H344" s="739" t="s">
        <v>71</v>
      </c>
      <c r="I344" s="739">
        <v>244</v>
      </c>
      <c r="J344" s="740">
        <v>310</v>
      </c>
      <c r="K344" s="533" t="s">
        <v>1154</v>
      </c>
      <c r="L344" s="1025">
        <v>0</v>
      </c>
      <c r="M344" s="318"/>
      <c r="N344" s="318">
        <v>0</v>
      </c>
      <c r="O344" s="1052">
        <f t="shared" si="453"/>
        <v>0</v>
      </c>
      <c r="P344" s="570"/>
      <c r="Q344" s="336">
        <v>0</v>
      </c>
      <c r="R344" s="559"/>
      <c r="S344" s="541">
        <v>0</v>
      </c>
      <c r="T344" s="559"/>
      <c r="U344" s="335"/>
      <c r="V344" s="320"/>
      <c r="W344" s="320"/>
      <c r="X344" s="320"/>
      <c r="Z344" s="336">
        <f t="shared" si="454"/>
        <v>0</v>
      </c>
      <c r="AA344" s="337">
        <f t="shared" si="455"/>
        <v>0</v>
      </c>
      <c r="AB344" s="338">
        <f t="shared" si="456"/>
        <v>0</v>
      </c>
      <c r="AC344" s="336">
        <f t="shared" si="457"/>
        <v>0</v>
      </c>
      <c r="AD344" s="337">
        <f t="shared" si="458"/>
        <v>0</v>
      </c>
      <c r="AE344" s="338">
        <f t="shared" si="459"/>
        <v>0</v>
      </c>
      <c r="AF344" s="336">
        <f t="shared" si="460"/>
        <v>0</v>
      </c>
      <c r="AG344" s="337">
        <f t="shared" si="461"/>
        <v>0</v>
      </c>
      <c r="AH344" s="338">
        <f t="shared" si="462"/>
        <v>0</v>
      </c>
      <c r="AI344" s="336">
        <f t="shared" si="463"/>
        <v>0</v>
      </c>
      <c r="AJ344" s="337">
        <f t="shared" si="464"/>
        <v>0</v>
      </c>
      <c r="AK344" s="338">
        <f t="shared" si="465"/>
        <v>0</v>
      </c>
      <c r="AL344" s="342"/>
      <c r="AM344" s="336">
        <f t="shared" si="466"/>
        <v>0</v>
      </c>
      <c r="AN344" s="339">
        <f t="shared" si="467"/>
        <v>0</v>
      </c>
      <c r="AO344" s="340">
        <f t="shared" si="468"/>
        <v>0</v>
      </c>
      <c r="AP344" s="336">
        <f t="shared" si="469"/>
        <v>0</v>
      </c>
      <c r="AQ344" s="339">
        <f t="shared" si="470"/>
        <v>0</v>
      </c>
      <c r="AR344" s="340">
        <f t="shared" si="471"/>
        <v>0</v>
      </c>
      <c r="AS344" s="341">
        <f t="shared" si="472"/>
        <v>0</v>
      </c>
      <c r="AT344" s="339">
        <f t="shared" si="473"/>
        <v>0</v>
      </c>
      <c r="AU344" s="340">
        <f t="shared" si="474"/>
        <v>0</v>
      </c>
      <c r="AV344" s="1255">
        <f t="shared" si="475"/>
        <v>0</v>
      </c>
      <c r="AW344" s="343"/>
      <c r="AX344" s="344"/>
      <c r="AY344" s="345"/>
      <c r="AZ344" s="344"/>
      <c r="BA344" s="345"/>
      <c r="BB344" s="346"/>
      <c r="BC344" s="1134"/>
      <c r="BD344" s="348"/>
      <c r="BE344" s="349"/>
      <c r="BF344" s="348"/>
      <c r="BG344" s="349"/>
      <c r="BH344" s="350"/>
      <c r="BI344" s="351"/>
      <c r="BJ344" s="352"/>
      <c r="BK344" s="337"/>
      <c r="BL344" s="352"/>
      <c r="BM344" s="337"/>
      <c r="BN344" s="353"/>
      <c r="BO344" s="354"/>
      <c r="BP344" s="355"/>
      <c r="BQ344" s="356"/>
      <c r="BR344" s="355"/>
      <c r="BS344" s="356"/>
      <c r="BT344" s="357"/>
    </row>
    <row r="345" spans="1:72" s="313" customFormat="1" ht="38.25" customHeight="1" outlineLevel="2">
      <c r="A345" s="287">
        <v>328</v>
      </c>
      <c r="B345" s="936" t="s">
        <v>1141</v>
      </c>
      <c r="C345" s="840"/>
      <c r="D345" s="841"/>
      <c r="E345" s="839"/>
      <c r="F345" s="821" t="s">
        <v>23</v>
      </c>
      <c r="G345" s="314">
        <v>2</v>
      </c>
      <c r="H345" s="739" t="s">
        <v>71</v>
      </c>
      <c r="I345" s="739">
        <v>244</v>
      </c>
      <c r="J345" s="740">
        <v>310</v>
      </c>
      <c r="K345" s="533" t="s">
        <v>1155</v>
      </c>
      <c r="L345" s="1025">
        <v>0</v>
      </c>
      <c r="M345" s="318"/>
      <c r="N345" s="318">
        <v>0</v>
      </c>
      <c r="O345" s="1052">
        <f t="shared" si="453"/>
        <v>0</v>
      </c>
      <c r="P345" s="570"/>
      <c r="Q345" s="336">
        <v>0</v>
      </c>
      <c r="R345" s="559"/>
      <c r="S345" s="541">
        <v>0</v>
      </c>
      <c r="T345" s="559"/>
      <c r="U345" s="335"/>
      <c r="V345" s="320"/>
      <c r="W345" s="320"/>
      <c r="X345" s="320"/>
      <c r="Z345" s="336">
        <f t="shared" si="454"/>
        <v>0</v>
      </c>
      <c r="AA345" s="337">
        <f t="shared" si="455"/>
        <v>0</v>
      </c>
      <c r="AB345" s="338">
        <f t="shared" si="456"/>
        <v>0</v>
      </c>
      <c r="AC345" s="336">
        <f t="shared" si="457"/>
        <v>0</v>
      </c>
      <c r="AD345" s="337">
        <f t="shared" si="458"/>
        <v>0</v>
      </c>
      <c r="AE345" s="338">
        <f t="shared" si="459"/>
        <v>0</v>
      </c>
      <c r="AF345" s="336">
        <f t="shared" si="460"/>
        <v>0</v>
      </c>
      <c r="AG345" s="337">
        <f t="shared" si="461"/>
        <v>0</v>
      </c>
      <c r="AH345" s="338">
        <f t="shared" si="462"/>
        <v>0</v>
      </c>
      <c r="AI345" s="336">
        <f t="shared" si="463"/>
        <v>0</v>
      </c>
      <c r="AJ345" s="337">
        <f t="shared" si="464"/>
        <v>0</v>
      </c>
      <c r="AK345" s="338">
        <f t="shared" si="465"/>
        <v>0</v>
      </c>
      <c r="AL345" s="342"/>
      <c r="AM345" s="336">
        <f t="shared" si="466"/>
        <v>0</v>
      </c>
      <c r="AN345" s="339">
        <f t="shared" si="467"/>
        <v>0</v>
      </c>
      <c r="AO345" s="340">
        <f t="shared" si="468"/>
        <v>0</v>
      </c>
      <c r="AP345" s="336">
        <f t="shared" si="469"/>
        <v>0</v>
      </c>
      <c r="AQ345" s="339">
        <f t="shared" si="470"/>
        <v>0</v>
      </c>
      <c r="AR345" s="340">
        <f t="shared" si="471"/>
        <v>0</v>
      </c>
      <c r="AS345" s="341">
        <f t="shared" si="472"/>
        <v>0</v>
      </c>
      <c r="AT345" s="339">
        <f t="shared" si="473"/>
        <v>0</v>
      </c>
      <c r="AU345" s="340">
        <f t="shared" si="474"/>
        <v>0</v>
      </c>
      <c r="AV345" s="1255">
        <f t="shared" si="475"/>
        <v>0</v>
      </c>
      <c r="AW345" s="343"/>
      <c r="AX345" s="344"/>
      <c r="AY345" s="345"/>
      <c r="AZ345" s="344"/>
      <c r="BA345" s="345"/>
      <c r="BB345" s="346"/>
      <c r="BC345" s="1134"/>
      <c r="BD345" s="348"/>
      <c r="BE345" s="349"/>
      <c r="BF345" s="348"/>
      <c r="BG345" s="349"/>
      <c r="BH345" s="350"/>
      <c r="BI345" s="351"/>
      <c r="BJ345" s="352"/>
      <c r="BK345" s="337"/>
      <c r="BL345" s="352"/>
      <c r="BM345" s="337"/>
      <c r="BN345" s="353"/>
      <c r="BO345" s="354"/>
      <c r="BP345" s="355"/>
      <c r="BQ345" s="356"/>
      <c r="BR345" s="355"/>
      <c r="BS345" s="356"/>
      <c r="BT345" s="357"/>
    </row>
    <row r="346" spans="1:72" s="615" customFormat="1" ht="25.5" outlineLevel="1">
      <c r="A346" s="287">
        <v>329</v>
      </c>
      <c r="B346" s="1144"/>
      <c r="C346" s="866"/>
      <c r="D346" s="867"/>
      <c r="E346" s="867"/>
      <c r="F346" s="832" t="s">
        <v>23</v>
      </c>
      <c r="G346" s="616">
        <v>2</v>
      </c>
      <c r="H346" s="749" t="s">
        <v>71</v>
      </c>
      <c r="I346" s="749">
        <v>244</v>
      </c>
      <c r="J346" s="750">
        <v>310</v>
      </c>
      <c r="K346" s="932" t="s">
        <v>214</v>
      </c>
      <c r="L346" s="1043">
        <v>0</v>
      </c>
      <c r="M346" s="619"/>
      <c r="N346" s="619"/>
      <c r="O346" s="1054">
        <f t="shared" si="332"/>
        <v>0</v>
      </c>
      <c r="P346" s="620"/>
      <c r="Q346" s="509">
        <v>0</v>
      </c>
      <c r="R346" s="560"/>
      <c r="S346" s="542">
        <v>0</v>
      </c>
      <c r="T346" s="560"/>
      <c r="U346" s="621"/>
      <c r="V346" s="320"/>
      <c r="W346" s="320"/>
      <c r="X346" s="320"/>
      <c r="Z346" s="509">
        <f>AW346+AY346+BA346</f>
        <v>0</v>
      </c>
      <c r="AA346" s="622">
        <f>AX346+AZ346+BB346</f>
        <v>0</v>
      </c>
      <c r="AB346" s="623">
        <f>Z346-AA346</f>
        <v>0</v>
      </c>
      <c r="AC346" s="509">
        <f>BC346+BE346+BG346</f>
        <v>0</v>
      </c>
      <c r="AD346" s="622">
        <f>BD346+BF346+BH346</f>
        <v>0</v>
      </c>
      <c r="AE346" s="623">
        <f>AC346-AD346</f>
        <v>0</v>
      </c>
      <c r="AF346" s="509">
        <f>BI346+BK346+BM346</f>
        <v>0</v>
      </c>
      <c r="AG346" s="622">
        <f>BJ346+BL346+BN346</f>
        <v>0</v>
      </c>
      <c r="AH346" s="623">
        <f>AF346-AG346</f>
        <v>0</v>
      </c>
      <c r="AI346" s="509">
        <f>BO346+BQ346+BS346</f>
        <v>0</v>
      </c>
      <c r="AJ346" s="622">
        <f>BP346+BR346+BT346</f>
        <v>0</v>
      </c>
      <c r="AK346" s="623">
        <f>AI346-AJ346</f>
        <v>0</v>
      </c>
      <c r="AL346" s="624"/>
      <c r="AM346" s="509">
        <f>Z346+AC346</f>
        <v>0</v>
      </c>
      <c r="AN346" s="625">
        <f>AA346+AD346</f>
        <v>0</v>
      </c>
      <c r="AO346" s="626">
        <f>AM346-AN346</f>
        <v>0</v>
      </c>
      <c r="AP346" s="509">
        <f>Z346+AC346+AF346</f>
        <v>0</v>
      </c>
      <c r="AQ346" s="625">
        <f>AA346+AD346+AG346</f>
        <v>0</v>
      </c>
      <c r="AR346" s="626">
        <f>AP346-AQ346</f>
        <v>0</v>
      </c>
      <c r="AS346" s="510">
        <f>Z346+AC346+AF346+AI346</f>
        <v>0</v>
      </c>
      <c r="AT346" s="625">
        <f>AA346+AD346+AG346+AJ346</f>
        <v>0</v>
      </c>
      <c r="AU346" s="626">
        <f>AS346-AT346</f>
        <v>0</v>
      </c>
      <c r="AV346" s="440">
        <f t="shared" si="358"/>
        <v>0</v>
      </c>
      <c r="AW346" s="628"/>
      <c r="AX346" s="629"/>
      <c r="AY346" s="630"/>
      <c r="AZ346" s="629"/>
      <c r="BA346" s="630"/>
      <c r="BB346" s="631"/>
      <c r="BC346" s="632"/>
      <c r="BD346" s="633"/>
      <c r="BE346" s="634"/>
      <c r="BF346" s="633"/>
      <c r="BG346" s="634"/>
      <c r="BH346" s="635"/>
      <c r="BI346" s="636"/>
      <c r="BJ346" s="637"/>
      <c r="BK346" s="622"/>
      <c r="BL346" s="637"/>
      <c r="BM346" s="622"/>
      <c r="BN346" s="638"/>
      <c r="BO346" s="639"/>
      <c r="BP346" s="640"/>
      <c r="BQ346" s="641"/>
      <c r="BR346" s="640"/>
      <c r="BS346" s="641"/>
      <c r="BT346" s="642"/>
    </row>
    <row r="347" spans="1:72" s="358" customFormat="1" ht="63">
      <c r="A347" s="287">
        <v>330</v>
      </c>
      <c r="B347" s="1150"/>
      <c r="C347" s="850" t="s">
        <v>377</v>
      </c>
      <c r="D347" s="838"/>
      <c r="E347" s="836" t="s">
        <v>201</v>
      </c>
      <c r="F347" s="820" t="s">
        <v>23</v>
      </c>
      <c r="G347" s="360">
        <v>2</v>
      </c>
      <c r="H347" s="360" t="s">
        <v>71</v>
      </c>
      <c r="I347" s="360">
        <v>244</v>
      </c>
      <c r="J347" s="361">
        <v>341</v>
      </c>
      <c r="K347" s="532" t="s">
        <v>801</v>
      </c>
      <c r="L347" s="1023">
        <f>SUM(L348:L349)</f>
        <v>1159</v>
      </c>
      <c r="M347" s="363"/>
      <c r="N347" s="363">
        <f>SUM(N348:N349)</f>
        <v>0</v>
      </c>
      <c r="O347" s="1051">
        <f t="shared" si="332"/>
        <v>1159</v>
      </c>
      <c r="P347" s="571"/>
      <c r="Q347" s="367">
        <f>SUM(Q348:Q349)</f>
        <v>0</v>
      </c>
      <c r="R347" s="557"/>
      <c r="S347" s="367">
        <f>SUM(S348:S349)</f>
        <v>0</v>
      </c>
      <c r="T347" s="557"/>
      <c r="U347" s="365"/>
      <c r="V347" s="366"/>
      <c r="W347" s="366"/>
      <c r="X347" s="366"/>
      <c r="Z347" s="367">
        <f t="shared" ref="Z347:AA348" si="476">AW347+AY347+BA347</f>
        <v>0</v>
      </c>
      <c r="AA347" s="363">
        <f t="shared" si="476"/>
        <v>0</v>
      </c>
      <c r="AB347" s="280">
        <f t="shared" ref="AB347:AB348" si="477">Z347-AA347</f>
        <v>0</v>
      </c>
      <c r="AC347" s="367">
        <f t="shared" ref="AC347:AD348" si="478">BC347+BE347+BG347</f>
        <v>1159</v>
      </c>
      <c r="AD347" s="363">
        <f t="shared" si="478"/>
        <v>0</v>
      </c>
      <c r="AE347" s="280">
        <f t="shared" ref="AE347:AE348" si="479">AC347-AD347</f>
        <v>1159</v>
      </c>
      <c r="AF347" s="367">
        <f t="shared" ref="AF347:AG348" si="480">BI347+BK347+BM347</f>
        <v>0</v>
      </c>
      <c r="AG347" s="363">
        <f t="shared" si="480"/>
        <v>0</v>
      </c>
      <c r="AH347" s="280">
        <f t="shared" ref="AH347:AH348" si="481">AF347-AG347</f>
        <v>0</v>
      </c>
      <c r="AI347" s="367">
        <f t="shared" ref="AI347:AJ348" si="482">BO347+BQ347+BS347</f>
        <v>0</v>
      </c>
      <c r="AJ347" s="363">
        <f t="shared" si="482"/>
        <v>0</v>
      </c>
      <c r="AK347" s="280">
        <f t="shared" ref="AK347:AK348" si="483">AI347-AJ347</f>
        <v>0</v>
      </c>
      <c r="AL347" s="368"/>
      <c r="AM347" s="367">
        <f t="shared" ref="AM347:AN348" si="484">Z347+AC347</f>
        <v>1159</v>
      </c>
      <c r="AN347" s="363">
        <f t="shared" si="484"/>
        <v>0</v>
      </c>
      <c r="AO347" s="280">
        <f t="shared" ref="AO347:AO348" si="485">AM347-AN347</f>
        <v>1159</v>
      </c>
      <c r="AP347" s="367">
        <f t="shared" ref="AP347:AQ348" si="486">Z347+AC347+AF347</f>
        <v>1159</v>
      </c>
      <c r="AQ347" s="363">
        <f t="shared" si="486"/>
        <v>0</v>
      </c>
      <c r="AR347" s="280">
        <f t="shared" ref="AR347:AR348" si="487">AP347-AQ347</f>
        <v>1159</v>
      </c>
      <c r="AS347" s="367">
        <f t="shared" ref="AS347:AT348" si="488">Z347+AC347+AF347+AI347</f>
        <v>1159</v>
      </c>
      <c r="AT347" s="363">
        <f t="shared" si="488"/>
        <v>0</v>
      </c>
      <c r="AU347" s="280">
        <f t="shared" ref="AU347:AU348" si="489">AS347-AT347</f>
        <v>1159</v>
      </c>
      <c r="AV347" s="1253">
        <f t="shared" si="358"/>
        <v>0</v>
      </c>
      <c r="AW347" s="367">
        <f t="shared" ref="AW347:BT347" si="490">SUM(AW348:AW349)</f>
        <v>0</v>
      </c>
      <c r="AX347" s="363">
        <f t="shared" si="490"/>
        <v>0</v>
      </c>
      <c r="AY347" s="363">
        <f t="shared" si="490"/>
        <v>0</v>
      </c>
      <c r="AZ347" s="363">
        <f t="shared" si="490"/>
        <v>0</v>
      </c>
      <c r="BA347" s="363">
        <f t="shared" si="490"/>
        <v>0</v>
      </c>
      <c r="BB347" s="369">
        <f t="shared" si="490"/>
        <v>0</v>
      </c>
      <c r="BC347" s="367">
        <f t="shared" si="490"/>
        <v>1159</v>
      </c>
      <c r="BD347" s="363">
        <f t="shared" si="490"/>
        <v>0</v>
      </c>
      <c r="BE347" s="363">
        <f t="shared" si="490"/>
        <v>0</v>
      </c>
      <c r="BF347" s="363">
        <f t="shared" si="490"/>
        <v>0</v>
      </c>
      <c r="BG347" s="363">
        <f t="shared" si="490"/>
        <v>0</v>
      </c>
      <c r="BH347" s="369">
        <f t="shared" si="490"/>
        <v>0</v>
      </c>
      <c r="BI347" s="367">
        <f t="shared" si="490"/>
        <v>0</v>
      </c>
      <c r="BJ347" s="363">
        <f t="shared" si="490"/>
        <v>0</v>
      </c>
      <c r="BK347" s="363">
        <f t="shared" si="490"/>
        <v>0</v>
      </c>
      <c r="BL347" s="363">
        <f t="shared" si="490"/>
        <v>0</v>
      </c>
      <c r="BM347" s="363">
        <f t="shared" si="490"/>
        <v>0</v>
      </c>
      <c r="BN347" s="369">
        <f t="shared" si="490"/>
        <v>0</v>
      </c>
      <c r="BO347" s="367">
        <f t="shared" si="490"/>
        <v>0</v>
      </c>
      <c r="BP347" s="363">
        <f t="shared" si="490"/>
        <v>0</v>
      </c>
      <c r="BQ347" s="363">
        <f t="shared" si="490"/>
        <v>0</v>
      </c>
      <c r="BR347" s="363">
        <f t="shared" si="490"/>
        <v>0</v>
      </c>
      <c r="BS347" s="363">
        <f t="shared" si="490"/>
        <v>0</v>
      </c>
      <c r="BT347" s="280">
        <f t="shared" si="490"/>
        <v>0</v>
      </c>
    </row>
    <row r="348" spans="1:72" s="313" customFormat="1" ht="38.25" outlineLevel="2">
      <c r="A348" s="287">
        <v>331</v>
      </c>
      <c r="B348" s="941"/>
      <c r="C348" s="840"/>
      <c r="D348" s="841"/>
      <c r="E348" s="839"/>
      <c r="F348" s="821" t="s">
        <v>23</v>
      </c>
      <c r="G348" s="314">
        <v>2</v>
      </c>
      <c r="H348" s="739" t="s">
        <v>71</v>
      </c>
      <c r="I348" s="739">
        <v>244</v>
      </c>
      <c r="J348" s="740">
        <v>341</v>
      </c>
      <c r="K348" s="533" t="s">
        <v>541</v>
      </c>
      <c r="L348" s="1013">
        <v>1159</v>
      </c>
      <c r="M348" s="318"/>
      <c r="N348" s="318"/>
      <c r="O348" s="1052">
        <f t="shared" si="332"/>
        <v>1159</v>
      </c>
      <c r="P348" s="570"/>
      <c r="Q348" s="336">
        <v>0</v>
      </c>
      <c r="R348" s="559"/>
      <c r="S348" s="541">
        <v>0</v>
      </c>
      <c r="T348" s="559"/>
      <c r="U348" s="335"/>
      <c r="V348" s="596" t="s">
        <v>640</v>
      </c>
      <c r="W348" s="596" t="s">
        <v>642</v>
      </c>
      <c r="X348" s="320"/>
      <c r="Z348" s="336">
        <f t="shared" si="476"/>
        <v>0</v>
      </c>
      <c r="AA348" s="337">
        <f t="shared" si="476"/>
        <v>0</v>
      </c>
      <c r="AB348" s="338">
        <f t="shared" si="477"/>
        <v>0</v>
      </c>
      <c r="AC348" s="336">
        <f t="shared" si="478"/>
        <v>1159</v>
      </c>
      <c r="AD348" s="337">
        <f t="shared" si="478"/>
        <v>0</v>
      </c>
      <c r="AE348" s="338">
        <f t="shared" si="479"/>
        <v>1159</v>
      </c>
      <c r="AF348" s="336">
        <f t="shared" si="480"/>
        <v>0</v>
      </c>
      <c r="AG348" s="337">
        <f t="shared" si="480"/>
        <v>0</v>
      </c>
      <c r="AH348" s="338">
        <f t="shared" si="481"/>
        <v>0</v>
      </c>
      <c r="AI348" s="336">
        <f t="shared" si="482"/>
        <v>0</v>
      </c>
      <c r="AJ348" s="337">
        <f t="shared" si="482"/>
        <v>0</v>
      </c>
      <c r="AK348" s="338">
        <f t="shared" si="483"/>
        <v>0</v>
      </c>
      <c r="AL348" s="342"/>
      <c r="AM348" s="336">
        <f t="shared" si="484"/>
        <v>1159</v>
      </c>
      <c r="AN348" s="339">
        <f t="shared" si="484"/>
        <v>0</v>
      </c>
      <c r="AO348" s="340">
        <f t="shared" si="485"/>
        <v>1159</v>
      </c>
      <c r="AP348" s="336">
        <f t="shared" si="486"/>
        <v>1159</v>
      </c>
      <c r="AQ348" s="339">
        <f t="shared" si="486"/>
        <v>0</v>
      </c>
      <c r="AR348" s="340">
        <f t="shared" si="487"/>
        <v>1159</v>
      </c>
      <c r="AS348" s="341">
        <f t="shared" si="488"/>
        <v>1159</v>
      </c>
      <c r="AT348" s="339">
        <f t="shared" si="488"/>
        <v>0</v>
      </c>
      <c r="AU348" s="340">
        <f t="shared" si="489"/>
        <v>1159</v>
      </c>
      <c r="AV348" s="1255">
        <f t="shared" si="358"/>
        <v>0</v>
      </c>
      <c r="AW348" s="343"/>
      <c r="AX348" s="344"/>
      <c r="AY348" s="345"/>
      <c r="AZ348" s="344"/>
      <c r="BA348" s="345"/>
      <c r="BB348" s="346"/>
      <c r="BC348" s="1134">
        <v>1159</v>
      </c>
      <c r="BD348" s="348"/>
      <c r="BE348" s="349"/>
      <c r="BF348" s="348"/>
      <c r="BG348" s="349"/>
      <c r="BH348" s="350"/>
      <c r="BI348" s="351"/>
      <c r="BJ348" s="352"/>
      <c r="BK348" s="337"/>
      <c r="BL348" s="352"/>
      <c r="BM348" s="337"/>
      <c r="BN348" s="353"/>
      <c r="BO348" s="354"/>
      <c r="BP348" s="355"/>
      <c r="BQ348" s="356"/>
      <c r="BR348" s="355"/>
      <c r="BS348" s="356"/>
      <c r="BT348" s="357"/>
    </row>
    <row r="349" spans="1:72" s="615" customFormat="1" ht="25.5" outlineLevel="1">
      <c r="A349" s="287">
        <v>332</v>
      </c>
      <c r="B349" s="941"/>
      <c r="C349" s="866"/>
      <c r="D349" s="867"/>
      <c r="E349" s="867"/>
      <c r="F349" s="832" t="s">
        <v>23</v>
      </c>
      <c r="G349" s="616">
        <v>2</v>
      </c>
      <c r="H349" s="749" t="s">
        <v>71</v>
      </c>
      <c r="I349" s="749">
        <v>244</v>
      </c>
      <c r="J349" s="750">
        <v>341</v>
      </c>
      <c r="K349" s="932" t="s">
        <v>214</v>
      </c>
      <c r="L349" s="1043">
        <v>0</v>
      </c>
      <c r="M349" s="619"/>
      <c r="N349" s="619"/>
      <c r="O349" s="1054">
        <f t="shared" si="332"/>
        <v>0</v>
      </c>
      <c r="P349" s="620"/>
      <c r="Q349" s="509">
        <v>0</v>
      </c>
      <c r="R349" s="560"/>
      <c r="S349" s="542">
        <v>0</v>
      </c>
      <c r="T349" s="560"/>
      <c r="U349" s="621"/>
      <c r="V349" s="320"/>
      <c r="W349" s="320"/>
      <c r="X349" s="320"/>
      <c r="Z349" s="509">
        <f>AW349+AY349+BA349</f>
        <v>0</v>
      </c>
      <c r="AA349" s="622">
        <f>AX349+AZ349+BB349</f>
        <v>0</v>
      </c>
      <c r="AB349" s="623">
        <f>Z349-AA349</f>
        <v>0</v>
      </c>
      <c r="AC349" s="509">
        <f>BC349+BE349+BG349</f>
        <v>0</v>
      </c>
      <c r="AD349" s="622">
        <f>BD349+BF349+BH349</f>
        <v>0</v>
      </c>
      <c r="AE349" s="623">
        <f>AC349-AD349</f>
        <v>0</v>
      </c>
      <c r="AF349" s="509">
        <f>BI349+BK349+BM349</f>
        <v>0</v>
      </c>
      <c r="AG349" s="622">
        <f>BJ349+BL349+BN349</f>
        <v>0</v>
      </c>
      <c r="AH349" s="623">
        <f>AF349-AG349</f>
        <v>0</v>
      </c>
      <c r="AI349" s="509">
        <f>BO349+BQ349+BS349</f>
        <v>0</v>
      </c>
      <c r="AJ349" s="622">
        <f>BP349+BR349+BT349</f>
        <v>0</v>
      </c>
      <c r="AK349" s="623">
        <f>AI349-AJ349</f>
        <v>0</v>
      </c>
      <c r="AL349" s="624"/>
      <c r="AM349" s="509">
        <f>Z349+AC349</f>
        <v>0</v>
      </c>
      <c r="AN349" s="625">
        <f>AA349+AD349</f>
        <v>0</v>
      </c>
      <c r="AO349" s="626">
        <f>AM349-AN349</f>
        <v>0</v>
      </c>
      <c r="AP349" s="509">
        <f>Z349+AC349+AF349</f>
        <v>0</v>
      </c>
      <c r="AQ349" s="625">
        <f>AA349+AD349+AG349</f>
        <v>0</v>
      </c>
      <c r="AR349" s="626">
        <f>AP349-AQ349</f>
        <v>0</v>
      </c>
      <c r="AS349" s="510">
        <f>Z349+AC349+AF349+AI349</f>
        <v>0</v>
      </c>
      <c r="AT349" s="625">
        <f>AA349+AD349+AG349+AJ349</f>
        <v>0</v>
      </c>
      <c r="AU349" s="626">
        <f>AS349-AT349</f>
        <v>0</v>
      </c>
      <c r="AV349" s="440">
        <f t="shared" si="358"/>
        <v>0</v>
      </c>
      <c r="AW349" s="628"/>
      <c r="AX349" s="629"/>
      <c r="AY349" s="630"/>
      <c r="AZ349" s="629"/>
      <c r="BA349" s="630"/>
      <c r="BB349" s="631"/>
      <c r="BC349" s="632"/>
      <c r="BD349" s="633"/>
      <c r="BE349" s="634"/>
      <c r="BF349" s="633"/>
      <c r="BG349" s="634"/>
      <c r="BH349" s="635"/>
      <c r="BI349" s="636"/>
      <c r="BJ349" s="637"/>
      <c r="BK349" s="622"/>
      <c r="BL349" s="637"/>
      <c r="BM349" s="622"/>
      <c r="BN349" s="638"/>
      <c r="BO349" s="639"/>
      <c r="BP349" s="640"/>
      <c r="BQ349" s="641"/>
      <c r="BR349" s="640"/>
      <c r="BS349" s="641"/>
      <c r="BT349" s="642"/>
    </row>
    <row r="350" spans="1:72" s="358" customFormat="1" ht="31.5" customHeight="1">
      <c r="A350" s="287">
        <v>333</v>
      </c>
      <c r="B350" s="941"/>
      <c r="C350" s="850" t="s">
        <v>377</v>
      </c>
      <c r="D350" s="838"/>
      <c r="E350" s="836" t="s">
        <v>201</v>
      </c>
      <c r="F350" s="820" t="s">
        <v>23</v>
      </c>
      <c r="G350" s="360">
        <v>2</v>
      </c>
      <c r="H350" s="360" t="s">
        <v>71</v>
      </c>
      <c r="I350" s="360">
        <v>244</v>
      </c>
      <c r="J350" s="361">
        <v>342</v>
      </c>
      <c r="K350" s="532" t="s">
        <v>498</v>
      </c>
      <c r="L350" s="1023">
        <f>SUM(L351:L353)</f>
        <v>12350</v>
      </c>
      <c r="M350" s="363"/>
      <c r="N350" s="363"/>
      <c r="O350" s="1051">
        <f t="shared" si="332"/>
        <v>12350</v>
      </c>
      <c r="P350" s="571"/>
      <c r="Q350" s="367">
        <f>SUM(Q351:Q353)</f>
        <v>0</v>
      </c>
      <c r="R350" s="557"/>
      <c r="S350" s="367">
        <f>SUM(S351:S353)</f>
        <v>0</v>
      </c>
      <c r="T350" s="557"/>
      <c r="U350" s="365"/>
      <c r="V350" s="366"/>
      <c r="W350" s="366"/>
      <c r="X350" s="366"/>
      <c r="Z350" s="367">
        <f t="shared" ref="Z350:AA352" si="491">AW350+AY350+BA350</f>
        <v>1325</v>
      </c>
      <c r="AA350" s="363">
        <f t="shared" si="491"/>
        <v>1325</v>
      </c>
      <c r="AB350" s="280">
        <f t="shared" ref="AB350:AB352" si="492">Z350-AA350</f>
        <v>0</v>
      </c>
      <c r="AC350" s="367">
        <f t="shared" ref="AC350:AD352" si="493">BC350+BE350+BG350</f>
        <v>4600</v>
      </c>
      <c r="AD350" s="363">
        <f t="shared" si="493"/>
        <v>4600</v>
      </c>
      <c r="AE350" s="280">
        <f t="shared" ref="AE350:AE352" si="494">AC350-AD350</f>
        <v>0</v>
      </c>
      <c r="AF350" s="367">
        <f t="shared" ref="AF350:AG352" si="495">BI350+BK350+BM350</f>
        <v>3600</v>
      </c>
      <c r="AG350" s="363">
        <f t="shared" si="495"/>
        <v>3600</v>
      </c>
      <c r="AH350" s="280">
        <f t="shared" ref="AH350:AH352" si="496">AF350-AG350</f>
        <v>0</v>
      </c>
      <c r="AI350" s="367">
        <f t="shared" ref="AI350:AJ352" si="497">BO350+BQ350+BS350</f>
        <v>2825</v>
      </c>
      <c r="AJ350" s="363">
        <f t="shared" si="497"/>
        <v>800</v>
      </c>
      <c r="AK350" s="280">
        <f t="shared" ref="AK350:AK352" si="498">AI350-AJ350</f>
        <v>2025</v>
      </c>
      <c r="AL350" s="368"/>
      <c r="AM350" s="367">
        <f t="shared" ref="AM350:AN352" si="499">Z350+AC350</f>
        <v>5925</v>
      </c>
      <c r="AN350" s="363">
        <f t="shared" si="499"/>
        <v>5925</v>
      </c>
      <c r="AO350" s="280">
        <f t="shared" ref="AO350:AO352" si="500">AM350-AN350</f>
        <v>0</v>
      </c>
      <c r="AP350" s="367">
        <f t="shared" ref="AP350:AQ352" si="501">Z350+AC350+AF350</f>
        <v>9525</v>
      </c>
      <c r="AQ350" s="363">
        <f t="shared" si="501"/>
        <v>9525</v>
      </c>
      <c r="AR350" s="280">
        <f t="shared" ref="AR350:AR352" si="502">AP350-AQ350</f>
        <v>0</v>
      </c>
      <c r="AS350" s="367">
        <f t="shared" ref="AS350:AT352" si="503">Z350+AC350+AF350+AI350</f>
        <v>12350</v>
      </c>
      <c r="AT350" s="363">
        <f t="shared" si="503"/>
        <v>10325</v>
      </c>
      <c r="AU350" s="280">
        <f t="shared" ref="AU350:AU352" si="504">AS350-AT350</f>
        <v>2025</v>
      </c>
      <c r="AV350" s="1253">
        <f t="shared" si="358"/>
        <v>0</v>
      </c>
      <c r="AW350" s="367">
        <f t="shared" ref="AW350:BT350" si="505">SUM(AW351:AW353)</f>
        <v>0</v>
      </c>
      <c r="AX350" s="363">
        <f t="shared" si="505"/>
        <v>0</v>
      </c>
      <c r="AY350" s="363">
        <f t="shared" si="505"/>
        <v>0</v>
      </c>
      <c r="AZ350" s="363">
        <f t="shared" si="505"/>
        <v>0</v>
      </c>
      <c r="BA350" s="363">
        <f t="shared" si="505"/>
        <v>1325</v>
      </c>
      <c r="BB350" s="369">
        <f t="shared" si="505"/>
        <v>1325</v>
      </c>
      <c r="BC350" s="367">
        <f t="shared" si="505"/>
        <v>1000</v>
      </c>
      <c r="BD350" s="363">
        <f t="shared" si="505"/>
        <v>1000</v>
      </c>
      <c r="BE350" s="363">
        <f t="shared" si="505"/>
        <v>1400</v>
      </c>
      <c r="BF350" s="363">
        <f t="shared" si="505"/>
        <v>1400</v>
      </c>
      <c r="BG350" s="363">
        <f t="shared" si="505"/>
        <v>2200</v>
      </c>
      <c r="BH350" s="369">
        <f t="shared" si="505"/>
        <v>2200</v>
      </c>
      <c r="BI350" s="367">
        <f t="shared" si="505"/>
        <v>800</v>
      </c>
      <c r="BJ350" s="363">
        <f t="shared" si="505"/>
        <v>800</v>
      </c>
      <c r="BK350" s="363">
        <f t="shared" si="505"/>
        <v>800</v>
      </c>
      <c r="BL350" s="363">
        <f t="shared" si="505"/>
        <v>800</v>
      </c>
      <c r="BM350" s="363">
        <f t="shared" si="505"/>
        <v>2000</v>
      </c>
      <c r="BN350" s="369">
        <f t="shared" si="505"/>
        <v>2000</v>
      </c>
      <c r="BO350" s="367">
        <f t="shared" si="505"/>
        <v>800</v>
      </c>
      <c r="BP350" s="363">
        <f t="shared" si="505"/>
        <v>800</v>
      </c>
      <c r="BQ350" s="363">
        <f t="shared" si="505"/>
        <v>1000</v>
      </c>
      <c r="BR350" s="363">
        <f t="shared" si="505"/>
        <v>0</v>
      </c>
      <c r="BS350" s="363">
        <f t="shared" si="505"/>
        <v>1025</v>
      </c>
      <c r="BT350" s="280">
        <f t="shared" si="505"/>
        <v>0</v>
      </c>
    </row>
    <row r="351" spans="1:72" s="313" customFormat="1" ht="25.5" outlineLevel="2">
      <c r="A351" s="287">
        <v>334</v>
      </c>
      <c r="B351" s="941"/>
      <c r="C351" s="840"/>
      <c r="D351" s="841"/>
      <c r="E351" s="839"/>
      <c r="F351" s="821" t="s">
        <v>23</v>
      </c>
      <c r="G351" s="314">
        <v>2</v>
      </c>
      <c r="H351" s="739" t="s">
        <v>71</v>
      </c>
      <c r="I351" s="739">
        <v>244</v>
      </c>
      <c r="J351" s="740">
        <v>342</v>
      </c>
      <c r="K351" s="533" t="s">
        <v>500</v>
      </c>
      <c r="L351" s="1013">
        <f>12350-1325</f>
        <v>11025</v>
      </c>
      <c r="M351" s="318"/>
      <c r="N351" s="318">
        <v>10000</v>
      </c>
      <c r="O351" s="1052">
        <f t="shared" si="332"/>
        <v>21025</v>
      </c>
      <c r="P351" s="570"/>
      <c r="Q351" s="336">
        <v>0</v>
      </c>
      <c r="R351" s="559"/>
      <c r="S351" s="541">
        <v>0</v>
      </c>
      <c r="T351" s="559"/>
      <c r="U351" s="335"/>
      <c r="V351" s="596" t="s">
        <v>638</v>
      </c>
      <c r="W351" s="596" t="s">
        <v>671</v>
      </c>
      <c r="X351" s="596" t="s">
        <v>672</v>
      </c>
      <c r="Z351" s="336">
        <f t="shared" si="491"/>
        <v>0</v>
      </c>
      <c r="AA351" s="337">
        <f t="shared" si="491"/>
        <v>0</v>
      </c>
      <c r="AB351" s="338">
        <f t="shared" si="492"/>
        <v>0</v>
      </c>
      <c r="AC351" s="336">
        <f t="shared" si="493"/>
        <v>4600</v>
      </c>
      <c r="AD351" s="337">
        <f t="shared" si="493"/>
        <v>4600</v>
      </c>
      <c r="AE351" s="338">
        <f t="shared" si="494"/>
        <v>0</v>
      </c>
      <c r="AF351" s="336">
        <f t="shared" si="495"/>
        <v>3600</v>
      </c>
      <c r="AG351" s="337">
        <f t="shared" si="495"/>
        <v>3600</v>
      </c>
      <c r="AH351" s="338">
        <f t="shared" si="496"/>
        <v>0</v>
      </c>
      <c r="AI351" s="336">
        <f t="shared" si="497"/>
        <v>2825</v>
      </c>
      <c r="AJ351" s="337">
        <f t="shared" si="497"/>
        <v>800</v>
      </c>
      <c r="AK351" s="338">
        <f t="shared" si="498"/>
        <v>2025</v>
      </c>
      <c r="AL351" s="342"/>
      <c r="AM351" s="336">
        <f t="shared" si="499"/>
        <v>4600</v>
      </c>
      <c r="AN351" s="339">
        <f t="shared" si="499"/>
        <v>4600</v>
      </c>
      <c r="AO351" s="340">
        <f t="shared" si="500"/>
        <v>0</v>
      </c>
      <c r="AP351" s="336">
        <f t="shared" si="501"/>
        <v>8200</v>
      </c>
      <c r="AQ351" s="339">
        <f t="shared" si="501"/>
        <v>8200</v>
      </c>
      <c r="AR351" s="340">
        <f t="shared" si="502"/>
        <v>0</v>
      </c>
      <c r="AS351" s="341">
        <f t="shared" si="503"/>
        <v>11025</v>
      </c>
      <c r="AT351" s="339">
        <f t="shared" si="503"/>
        <v>9000</v>
      </c>
      <c r="AU351" s="340">
        <f t="shared" si="504"/>
        <v>2025</v>
      </c>
      <c r="AV351" s="1255">
        <f t="shared" si="358"/>
        <v>0</v>
      </c>
      <c r="AW351" s="1241"/>
      <c r="AX351" s="1218"/>
      <c r="AY351" s="1217"/>
      <c r="AZ351" s="1218"/>
      <c r="BA351" s="1217"/>
      <c r="BB351" s="1219"/>
      <c r="BC351" s="1220">
        <v>1000</v>
      </c>
      <c r="BD351" s="1221">
        <v>1000</v>
      </c>
      <c r="BE351" s="1222">
        <v>1400</v>
      </c>
      <c r="BF351" s="1221">
        <v>1400</v>
      </c>
      <c r="BG351" s="1222">
        <v>2200</v>
      </c>
      <c r="BH351" s="1223">
        <v>2200</v>
      </c>
      <c r="BI351" s="1224">
        <v>800</v>
      </c>
      <c r="BJ351" s="1225">
        <v>800</v>
      </c>
      <c r="BK351" s="1230">
        <v>800</v>
      </c>
      <c r="BL351" s="1225">
        <v>800</v>
      </c>
      <c r="BM351" s="1230">
        <v>2000</v>
      </c>
      <c r="BN351" s="1293">
        <v>2000</v>
      </c>
      <c r="BO351" s="1138">
        <v>800</v>
      </c>
      <c r="BP351" s="355">
        <v>800</v>
      </c>
      <c r="BQ351" s="356">
        <v>1000</v>
      </c>
      <c r="BR351" s="355"/>
      <c r="BS351" s="356">
        <v>1025</v>
      </c>
      <c r="BT351" s="357"/>
    </row>
    <row r="352" spans="1:72" s="313" customFormat="1" ht="38.25" outlineLevel="2">
      <c r="A352" s="287">
        <v>335</v>
      </c>
      <c r="B352" s="941"/>
      <c r="C352" s="840"/>
      <c r="D352" s="841"/>
      <c r="E352" s="839"/>
      <c r="F352" s="821" t="s">
        <v>23</v>
      </c>
      <c r="G352" s="314">
        <v>2</v>
      </c>
      <c r="H352" s="739" t="s">
        <v>71</v>
      </c>
      <c r="I352" s="739">
        <v>244</v>
      </c>
      <c r="J352" s="740">
        <v>342</v>
      </c>
      <c r="K352" s="533" t="s">
        <v>500</v>
      </c>
      <c r="L352" s="1013">
        <v>1325</v>
      </c>
      <c r="M352" s="318"/>
      <c r="N352" s="318"/>
      <c r="O352" s="1052">
        <v>1325</v>
      </c>
      <c r="P352" s="570"/>
      <c r="Q352" s="336">
        <v>0</v>
      </c>
      <c r="R352" s="559"/>
      <c r="S352" s="541">
        <v>0</v>
      </c>
      <c r="T352" s="559"/>
      <c r="U352" s="335"/>
      <c r="V352" s="596" t="s">
        <v>640</v>
      </c>
      <c r="W352" s="596" t="s">
        <v>639</v>
      </c>
      <c r="X352" s="320"/>
      <c r="Z352" s="336">
        <f t="shared" si="491"/>
        <v>1325</v>
      </c>
      <c r="AA352" s="337">
        <f t="shared" si="491"/>
        <v>1325</v>
      </c>
      <c r="AB352" s="338">
        <f t="shared" si="492"/>
        <v>0</v>
      </c>
      <c r="AC352" s="336">
        <f t="shared" si="493"/>
        <v>0</v>
      </c>
      <c r="AD352" s="337">
        <f t="shared" si="493"/>
        <v>0</v>
      </c>
      <c r="AE352" s="338">
        <f t="shared" si="494"/>
        <v>0</v>
      </c>
      <c r="AF352" s="336">
        <f t="shared" si="495"/>
        <v>0</v>
      </c>
      <c r="AG352" s="337">
        <f t="shared" si="495"/>
        <v>0</v>
      </c>
      <c r="AH352" s="338">
        <f t="shared" si="496"/>
        <v>0</v>
      </c>
      <c r="AI352" s="336">
        <f t="shared" si="497"/>
        <v>0</v>
      </c>
      <c r="AJ352" s="337">
        <f t="shared" si="497"/>
        <v>0</v>
      </c>
      <c r="AK352" s="338">
        <f t="shared" si="498"/>
        <v>0</v>
      </c>
      <c r="AL352" s="342"/>
      <c r="AM352" s="336">
        <f t="shared" si="499"/>
        <v>1325</v>
      </c>
      <c r="AN352" s="339">
        <f t="shared" si="499"/>
        <v>1325</v>
      </c>
      <c r="AO352" s="340">
        <f t="shared" si="500"/>
        <v>0</v>
      </c>
      <c r="AP352" s="336">
        <f t="shared" si="501"/>
        <v>1325</v>
      </c>
      <c r="AQ352" s="339">
        <f t="shared" si="501"/>
        <v>1325</v>
      </c>
      <c r="AR352" s="340">
        <f t="shared" si="502"/>
        <v>0</v>
      </c>
      <c r="AS352" s="341">
        <f t="shared" si="503"/>
        <v>1325</v>
      </c>
      <c r="AT352" s="339">
        <f t="shared" si="503"/>
        <v>1325</v>
      </c>
      <c r="AU352" s="340">
        <f t="shared" si="504"/>
        <v>0</v>
      </c>
      <c r="AV352" s="1255">
        <f t="shared" si="358"/>
        <v>0</v>
      </c>
      <c r="AW352" s="343"/>
      <c r="AX352" s="344"/>
      <c r="AY352" s="345"/>
      <c r="AZ352" s="344"/>
      <c r="BA352" s="345">
        <v>1325</v>
      </c>
      <c r="BB352" s="346">
        <v>1325</v>
      </c>
      <c r="BC352" s="347"/>
      <c r="BD352" s="348"/>
      <c r="BE352" s="349"/>
      <c r="BF352" s="348"/>
      <c r="BG352" s="349"/>
      <c r="BH352" s="350"/>
      <c r="BI352" s="351"/>
      <c r="BJ352" s="352"/>
      <c r="BK352" s="337"/>
      <c r="BL352" s="352"/>
      <c r="BM352" s="337"/>
      <c r="BN352" s="353"/>
      <c r="BO352" s="354"/>
      <c r="BP352" s="355"/>
      <c r="BQ352" s="356"/>
      <c r="BR352" s="355"/>
      <c r="BS352" s="356"/>
      <c r="BT352" s="357"/>
    </row>
    <row r="353" spans="1:72" s="615" customFormat="1" ht="25.5" outlineLevel="1">
      <c r="A353" s="287">
        <v>336</v>
      </c>
      <c r="B353" s="941"/>
      <c r="C353" s="866"/>
      <c r="D353" s="867"/>
      <c r="E353" s="867"/>
      <c r="F353" s="832" t="s">
        <v>23</v>
      </c>
      <c r="G353" s="616">
        <v>2</v>
      </c>
      <c r="H353" s="749" t="s">
        <v>71</v>
      </c>
      <c r="I353" s="749">
        <v>244</v>
      </c>
      <c r="J353" s="750">
        <v>342</v>
      </c>
      <c r="K353" s="932" t="s">
        <v>214</v>
      </c>
      <c r="L353" s="1043">
        <v>0</v>
      </c>
      <c r="M353" s="619"/>
      <c r="N353" s="619"/>
      <c r="O353" s="1054">
        <f t="shared" si="332"/>
        <v>0</v>
      </c>
      <c r="P353" s="620"/>
      <c r="Q353" s="509">
        <v>0</v>
      </c>
      <c r="R353" s="560"/>
      <c r="S353" s="542">
        <v>0</v>
      </c>
      <c r="T353" s="560"/>
      <c r="U353" s="621"/>
      <c r="V353" s="320"/>
      <c r="W353" s="320"/>
      <c r="X353" s="320"/>
      <c r="Z353" s="509">
        <f>AW353+AY353+BA353</f>
        <v>0</v>
      </c>
      <c r="AA353" s="622">
        <f>AX353+AZ353+BB353</f>
        <v>0</v>
      </c>
      <c r="AB353" s="623">
        <f>Z353-AA353</f>
        <v>0</v>
      </c>
      <c r="AC353" s="509">
        <f>BC353+BE353+BG353</f>
        <v>0</v>
      </c>
      <c r="AD353" s="622">
        <f>BD353+BF353+BH353</f>
        <v>0</v>
      </c>
      <c r="AE353" s="623">
        <f>AC353-AD353</f>
        <v>0</v>
      </c>
      <c r="AF353" s="509">
        <f>BI353+BK353+BM353</f>
        <v>0</v>
      </c>
      <c r="AG353" s="622">
        <f>BJ353+BL353+BN353</f>
        <v>0</v>
      </c>
      <c r="AH353" s="623">
        <f>AF353-AG353</f>
        <v>0</v>
      </c>
      <c r="AI353" s="509">
        <f>BO353+BQ353+BS353</f>
        <v>0</v>
      </c>
      <c r="AJ353" s="622">
        <f>BP353+BR353+BT353</f>
        <v>0</v>
      </c>
      <c r="AK353" s="623">
        <f>AI353-AJ353</f>
        <v>0</v>
      </c>
      <c r="AL353" s="624"/>
      <c r="AM353" s="509">
        <f>Z353+AC353</f>
        <v>0</v>
      </c>
      <c r="AN353" s="625">
        <f>AA353+AD353</f>
        <v>0</v>
      </c>
      <c r="AO353" s="626">
        <f>AM353-AN353</f>
        <v>0</v>
      </c>
      <c r="AP353" s="509">
        <f>Z353+AC353+AF353</f>
        <v>0</v>
      </c>
      <c r="AQ353" s="625">
        <f>AA353+AD353+AG353</f>
        <v>0</v>
      </c>
      <c r="AR353" s="626">
        <f>AP353-AQ353</f>
        <v>0</v>
      </c>
      <c r="AS353" s="510">
        <f>Z353+AC353+AF353+AI353</f>
        <v>0</v>
      </c>
      <c r="AT353" s="625">
        <f>AA353+AD353+AG353+AJ353</f>
        <v>0</v>
      </c>
      <c r="AU353" s="626">
        <f>AS353-AT353</f>
        <v>0</v>
      </c>
      <c r="AV353" s="440">
        <f t="shared" si="358"/>
        <v>0</v>
      </c>
      <c r="AW353" s="628"/>
      <c r="AX353" s="629"/>
      <c r="AY353" s="630"/>
      <c r="AZ353" s="629"/>
      <c r="BA353" s="630"/>
      <c r="BB353" s="631"/>
      <c r="BC353" s="632"/>
      <c r="BD353" s="633"/>
      <c r="BE353" s="634"/>
      <c r="BF353" s="633"/>
      <c r="BG353" s="634"/>
      <c r="BH353" s="635"/>
      <c r="BI353" s="636"/>
      <c r="BJ353" s="637"/>
      <c r="BK353" s="622"/>
      <c r="BL353" s="637"/>
      <c r="BM353" s="622"/>
      <c r="BN353" s="638"/>
      <c r="BO353" s="639"/>
      <c r="BP353" s="640"/>
      <c r="BQ353" s="641"/>
      <c r="BR353" s="640"/>
      <c r="BS353" s="641"/>
      <c r="BT353" s="642"/>
    </row>
    <row r="354" spans="1:72" s="965" customFormat="1" ht="51" customHeight="1">
      <c r="A354" s="287">
        <v>337</v>
      </c>
      <c r="B354" s="952"/>
      <c r="C354" s="953" t="s">
        <v>377</v>
      </c>
      <c r="D354" s="954"/>
      <c r="E354" s="955" t="s">
        <v>201</v>
      </c>
      <c r="F354" s="956" t="s">
        <v>23</v>
      </c>
      <c r="G354" s="957">
        <v>2</v>
      </c>
      <c r="H354" s="957" t="s">
        <v>266</v>
      </c>
      <c r="I354" s="957">
        <v>244</v>
      </c>
      <c r="J354" s="958">
        <v>346</v>
      </c>
      <c r="K354" s="959" t="s">
        <v>996</v>
      </c>
      <c r="L354" s="1027">
        <f>L355</f>
        <v>0</v>
      </c>
      <c r="M354" s="961"/>
      <c r="N354" s="961">
        <f>N355</f>
        <v>0</v>
      </c>
      <c r="O354" s="1061">
        <f t="shared" si="332"/>
        <v>0</v>
      </c>
      <c r="P354" s="962"/>
      <c r="Q354" s="960">
        <v>0</v>
      </c>
      <c r="R354" s="962">
        <f>R370</f>
        <v>0</v>
      </c>
      <c r="S354" s="960">
        <v>0</v>
      </c>
      <c r="T354" s="962"/>
      <c r="U354" s="963"/>
      <c r="V354" s="964"/>
      <c r="W354" s="964"/>
      <c r="X354" s="964"/>
      <c r="Z354" s="960">
        <f t="shared" ref="Z354:AA368" si="506">AW354+AY354+BA354</f>
        <v>0</v>
      </c>
      <c r="AA354" s="961">
        <f t="shared" si="506"/>
        <v>0</v>
      </c>
      <c r="AB354" s="966">
        <f t="shared" ref="AB354:AB357" si="507">Z354-AA354</f>
        <v>0</v>
      </c>
      <c r="AC354" s="960">
        <f t="shared" ref="AC354:AD368" si="508">BC354+BE354+BG354</f>
        <v>0</v>
      </c>
      <c r="AD354" s="961">
        <f t="shared" si="508"/>
        <v>0</v>
      </c>
      <c r="AE354" s="966">
        <f t="shared" ref="AE354:AE357" si="509">AC354-AD354</f>
        <v>0</v>
      </c>
      <c r="AF354" s="960">
        <f t="shared" ref="AF354:AG368" si="510">BI354+BK354+BM354</f>
        <v>0</v>
      </c>
      <c r="AG354" s="961">
        <f t="shared" si="510"/>
        <v>0</v>
      </c>
      <c r="AH354" s="966">
        <f t="shared" ref="AH354:AH357" si="511">AF354-AG354</f>
        <v>0</v>
      </c>
      <c r="AI354" s="960">
        <f t="shared" ref="AI354:AJ368" si="512">BO354+BQ354+BS354</f>
        <v>0</v>
      </c>
      <c r="AJ354" s="961">
        <f t="shared" si="512"/>
        <v>0</v>
      </c>
      <c r="AK354" s="966">
        <f t="shared" ref="AK354:AK357" si="513">AI354-AJ354</f>
        <v>0</v>
      </c>
      <c r="AL354" s="967"/>
      <c r="AM354" s="960">
        <f t="shared" ref="AM354:AN368" si="514">Z354+AC354</f>
        <v>0</v>
      </c>
      <c r="AN354" s="961">
        <f t="shared" si="514"/>
        <v>0</v>
      </c>
      <c r="AO354" s="966">
        <f t="shared" ref="AO354:AO357" si="515">AM354-AN354</f>
        <v>0</v>
      </c>
      <c r="AP354" s="960">
        <f t="shared" ref="AP354:AQ368" si="516">Z354+AC354+AF354</f>
        <v>0</v>
      </c>
      <c r="AQ354" s="961">
        <f t="shared" si="516"/>
        <v>0</v>
      </c>
      <c r="AR354" s="966">
        <f t="shared" ref="AR354:AR357" si="517">AP354-AQ354</f>
        <v>0</v>
      </c>
      <c r="AS354" s="960">
        <f t="shared" ref="AS354:AT368" si="518">Z354+AC354+AF354+AI354</f>
        <v>0</v>
      </c>
      <c r="AT354" s="961">
        <f t="shared" si="518"/>
        <v>0</v>
      </c>
      <c r="AU354" s="966">
        <f t="shared" ref="AU354:AU357" si="519">AS354-AT354</f>
        <v>0</v>
      </c>
      <c r="AV354" s="1260">
        <f t="shared" si="358"/>
        <v>0</v>
      </c>
      <c r="AW354" s="960">
        <f t="shared" ref="AW354:BT354" si="520">AW355</f>
        <v>0</v>
      </c>
      <c r="AX354" s="1109">
        <f t="shared" si="520"/>
        <v>0</v>
      </c>
      <c r="AY354" s="961">
        <f t="shared" si="520"/>
        <v>0</v>
      </c>
      <c r="AZ354" s="1109">
        <f t="shared" si="520"/>
        <v>0</v>
      </c>
      <c r="BA354" s="961">
        <f t="shared" si="520"/>
        <v>0</v>
      </c>
      <c r="BB354" s="1127">
        <f t="shared" si="520"/>
        <v>0</v>
      </c>
      <c r="BC354" s="960">
        <f t="shared" si="520"/>
        <v>0</v>
      </c>
      <c r="BD354" s="961">
        <f t="shared" si="520"/>
        <v>0</v>
      </c>
      <c r="BE354" s="961">
        <f t="shared" si="520"/>
        <v>0</v>
      </c>
      <c r="BF354" s="961">
        <f t="shared" si="520"/>
        <v>0</v>
      </c>
      <c r="BG354" s="961">
        <f t="shared" si="520"/>
        <v>0</v>
      </c>
      <c r="BH354" s="969">
        <f t="shared" si="520"/>
        <v>0</v>
      </c>
      <c r="BI354" s="960">
        <f t="shared" si="520"/>
        <v>0</v>
      </c>
      <c r="BJ354" s="961">
        <f t="shared" si="520"/>
        <v>0</v>
      </c>
      <c r="BK354" s="961">
        <f t="shared" si="520"/>
        <v>0</v>
      </c>
      <c r="BL354" s="961">
        <f t="shared" si="520"/>
        <v>0</v>
      </c>
      <c r="BM354" s="961">
        <f t="shared" si="520"/>
        <v>0</v>
      </c>
      <c r="BN354" s="969">
        <f t="shared" si="520"/>
        <v>0</v>
      </c>
      <c r="BO354" s="960">
        <f t="shared" si="520"/>
        <v>0</v>
      </c>
      <c r="BP354" s="961">
        <f t="shared" si="520"/>
        <v>0</v>
      </c>
      <c r="BQ354" s="961">
        <f t="shared" si="520"/>
        <v>0</v>
      </c>
      <c r="BR354" s="961">
        <f t="shared" si="520"/>
        <v>0</v>
      </c>
      <c r="BS354" s="961">
        <f t="shared" si="520"/>
        <v>0</v>
      </c>
      <c r="BT354" s="966">
        <f t="shared" si="520"/>
        <v>0</v>
      </c>
    </row>
    <row r="355" spans="1:72" s="468" customFormat="1" ht="66.75" customHeight="1" outlineLevel="1">
      <c r="A355" s="287">
        <v>338</v>
      </c>
      <c r="B355" s="933"/>
      <c r="C355" s="850" t="s">
        <v>378</v>
      </c>
      <c r="D355" s="854" t="s">
        <v>876</v>
      </c>
      <c r="E355" s="858"/>
      <c r="F355" s="828" t="s">
        <v>23</v>
      </c>
      <c r="G355" s="469">
        <v>2</v>
      </c>
      <c r="H355" s="745" t="s">
        <v>70</v>
      </c>
      <c r="I355" s="745">
        <v>244</v>
      </c>
      <c r="J355" s="746">
        <v>346</v>
      </c>
      <c r="K355" s="537" t="s">
        <v>1106</v>
      </c>
      <c r="L355" s="1032">
        <f>SUM(L356:L357)</f>
        <v>0</v>
      </c>
      <c r="M355" s="422"/>
      <c r="N355" s="422">
        <f>SUM(N356:N357)</f>
        <v>0</v>
      </c>
      <c r="O355" s="1065">
        <f t="shared" si="332"/>
        <v>0</v>
      </c>
      <c r="P355" s="564"/>
      <c r="Q355" s="472"/>
      <c r="R355" s="564"/>
      <c r="S355" s="472"/>
      <c r="T355" s="564"/>
      <c r="U355" s="393"/>
      <c r="V355" s="394"/>
      <c r="W355" s="394"/>
      <c r="X355" s="394"/>
      <c r="Y355" s="392"/>
      <c r="Z355" s="395">
        <f t="shared" si="506"/>
        <v>0</v>
      </c>
      <c r="AA355" s="396">
        <f t="shared" si="506"/>
        <v>0</v>
      </c>
      <c r="AB355" s="397">
        <f t="shared" si="507"/>
        <v>0</v>
      </c>
      <c r="AC355" s="395">
        <f t="shared" si="508"/>
        <v>0</v>
      </c>
      <c r="AD355" s="396">
        <f t="shared" si="508"/>
        <v>0</v>
      </c>
      <c r="AE355" s="397">
        <f t="shared" si="509"/>
        <v>0</v>
      </c>
      <c r="AF355" s="395">
        <f t="shared" si="510"/>
        <v>0</v>
      </c>
      <c r="AG355" s="396">
        <f t="shared" si="510"/>
        <v>0</v>
      </c>
      <c r="AH355" s="397">
        <f t="shared" si="511"/>
        <v>0</v>
      </c>
      <c r="AI355" s="395">
        <f t="shared" si="512"/>
        <v>0</v>
      </c>
      <c r="AJ355" s="396">
        <f t="shared" si="512"/>
        <v>0</v>
      </c>
      <c r="AK355" s="397">
        <f t="shared" si="513"/>
        <v>0</v>
      </c>
      <c r="AL355" s="398"/>
      <c r="AM355" s="472">
        <f t="shared" si="514"/>
        <v>0</v>
      </c>
      <c r="AN355" s="422">
        <f t="shared" si="514"/>
        <v>0</v>
      </c>
      <c r="AO355" s="473">
        <f t="shared" si="515"/>
        <v>0</v>
      </c>
      <c r="AP355" s="472">
        <f t="shared" si="516"/>
        <v>0</v>
      </c>
      <c r="AQ355" s="422">
        <f t="shared" si="516"/>
        <v>0</v>
      </c>
      <c r="AR355" s="473">
        <f t="shared" si="517"/>
        <v>0</v>
      </c>
      <c r="AS355" s="472">
        <f t="shared" si="518"/>
        <v>0</v>
      </c>
      <c r="AT355" s="422">
        <f t="shared" si="518"/>
        <v>0</v>
      </c>
      <c r="AU355" s="473">
        <f t="shared" si="519"/>
        <v>0</v>
      </c>
      <c r="AV355" s="1263">
        <f t="shared" si="358"/>
        <v>0</v>
      </c>
      <c r="AW355" s="472">
        <f t="shared" ref="AW355:BT355" si="521">SUM(AW356:AW357)</f>
        <v>0</v>
      </c>
      <c r="AX355" s="1110">
        <f t="shared" si="521"/>
        <v>0</v>
      </c>
      <c r="AY355" s="422">
        <f t="shared" si="521"/>
        <v>0</v>
      </c>
      <c r="AZ355" s="1110">
        <f t="shared" si="521"/>
        <v>0</v>
      </c>
      <c r="BA355" s="422">
        <f t="shared" si="521"/>
        <v>0</v>
      </c>
      <c r="BB355" s="1128">
        <f t="shared" si="521"/>
        <v>0</v>
      </c>
      <c r="BC355" s="472">
        <f t="shared" si="521"/>
        <v>0</v>
      </c>
      <c r="BD355" s="422">
        <f t="shared" si="521"/>
        <v>0</v>
      </c>
      <c r="BE355" s="422">
        <f t="shared" si="521"/>
        <v>0</v>
      </c>
      <c r="BF355" s="422">
        <f t="shared" si="521"/>
        <v>0</v>
      </c>
      <c r="BG355" s="422">
        <f t="shared" si="521"/>
        <v>0</v>
      </c>
      <c r="BH355" s="423">
        <f t="shared" si="521"/>
        <v>0</v>
      </c>
      <c r="BI355" s="472">
        <f t="shared" si="521"/>
        <v>0</v>
      </c>
      <c r="BJ355" s="422">
        <f t="shared" si="521"/>
        <v>0</v>
      </c>
      <c r="BK355" s="422">
        <f t="shared" si="521"/>
        <v>0</v>
      </c>
      <c r="BL355" s="422">
        <f t="shared" si="521"/>
        <v>0</v>
      </c>
      <c r="BM355" s="422">
        <f t="shared" si="521"/>
        <v>0</v>
      </c>
      <c r="BN355" s="423">
        <f t="shared" si="521"/>
        <v>0</v>
      </c>
      <c r="BO355" s="472">
        <f t="shared" si="521"/>
        <v>0</v>
      </c>
      <c r="BP355" s="422">
        <f t="shared" si="521"/>
        <v>0</v>
      </c>
      <c r="BQ355" s="422">
        <f t="shared" si="521"/>
        <v>0</v>
      </c>
      <c r="BR355" s="422">
        <f t="shared" si="521"/>
        <v>0</v>
      </c>
      <c r="BS355" s="422">
        <f t="shared" si="521"/>
        <v>0</v>
      </c>
      <c r="BT355" s="473">
        <f t="shared" si="521"/>
        <v>0</v>
      </c>
    </row>
    <row r="356" spans="1:72" s="399" customFormat="1" ht="25.5" customHeight="1" outlineLevel="2">
      <c r="A356" s="287">
        <v>339</v>
      </c>
      <c r="B356" s="933"/>
      <c r="C356" s="859"/>
      <c r="D356" s="854" t="s">
        <v>876</v>
      </c>
      <c r="E356" s="860"/>
      <c r="F356" s="829" t="s">
        <v>23</v>
      </c>
      <c r="G356" s="400">
        <v>2</v>
      </c>
      <c r="H356" s="747" t="s">
        <v>70</v>
      </c>
      <c r="I356" s="747">
        <v>244</v>
      </c>
      <c r="J356" s="748">
        <v>346</v>
      </c>
      <c r="K356" s="538" t="s">
        <v>301</v>
      </c>
      <c r="L356" s="1031">
        <v>0</v>
      </c>
      <c r="M356" s="403"/>
      <c r="N356" s="403"/>
      <c r="O356" s="1063">
        <f t="shared" si="332"/>
        <v>0</v>
      </c>
      <c r="P356" s="565"/>
      <c r="Q356" s="406"/>
      <c r="R356" s="565"/>
      <c r="S356" s="406"/>
      <c r="T356" s="565"/>
      <c r="U356" s="428"/>
      <c r="V356" s="405"/>
      <c r="W356" s="405"/>
      <c r="X356" s="405"/>
      <c r="Z356" s="406">
        <f t="shared" si="506"/>
        <v>0</v>
      </c>
      <c r="AA356" s="407">
        <f t="shared" si="506"/>
        <v>0</v>
      </c>
      <c r="AB356" s="408">
        <f t="shared" si="507"/>
        <v>0</v>
      </c>
      <c r="AC356" s="406">
        <f t="shared" si="508"/>
        <v>0</v>
      </c>
      <c r="AD356" s="407">
        <f t="shared" si="508"/>
        <v>0</v>
      </c>
      <c r="AE356" s="408">
        <f t="shared" si="509"/>
        <v>0</v>
      </c>
      <c r="AF356" s="406">
        <f t="shared" si="510"/>
        <v>0</v>
      </c>
      <c r="AG356" s="407">
        <f t="shared" si="510"/>
        <v>0</v>
      </c>
      <c r="AH356" s="408">
        <f t="shared" si="511"/>
        <v>0</v>
      </c>
      <c r="AI356" s="406">
        <f t="shared" si="512"/>
        <v>0</v>
      </c>
      <c r="AJ356" s="407">
        <f t="shared" si="512"/>
        <v>0</v>
      </c>
      <c r="AK356" s="408">
        <f t="shared" si="513"/>
        <v>0</v>
      </c>
      <c r="AL356" s="409"/>
      <c r="AM356" s="406">
        <f t="shared" si="514"/>
        <v>0</v>
      </c>
      <c r="AN356" s="410">
        <f t="shared" si="514"/>
        <v>0</v>
      </c>
      <c r="AO356" s="411">
        <f t="shared" si="515"/>
        <v>0</v>
      </c>
      <c r="AP356" s="406">
        <f t="shared" si="516"/>
        <v>0</v>
      </c>
      <c r="AQ356" s="410">
        <f t="shared" si="516"/>
        <v>0</v>
      </c>
      <c r="AR356" s="411">
        <f t="shared" si="517"/>
        <v>0</v>
      </c>
      <c r="AS356" s="412">
        <f t="shared" si="518"/>
        <v>0</v>
      </c>
      <c r="AT356" s="410">
        <f t="shared" si="518"/>
        <v>0</v>
      </c>
      <c r="AU356" s="411">
        <f t="shared" si="519"/>
        <v>0</v>
      </c>
      <c r="AV356" s="1262">
        <f t="shared" si="358"/>
        <v>0</v>
      </c>
      <c r="AW356" s="413"/>
      <c r="AX356" s="1098"/>
      <c r="AY356" s="415"/>
      <c r="AZ356" s="1098"/>
      <c r="BA356" s="415"/>
      <c r="BB356" s="1120"/>
      <c r="BC356" s="417"/>
      <c r="BD356" s="418"/>
      <c r="BE356" s="419"/>
      <c r="BF356" s="418"/>
      <c r="BG356" s="419"/>
      <c r="BH356" s="420"/>
      <c r="BI356" s="421"/>
      <c r="BJ356" s="422"/>
      <c r="BK356" s="407"/>
      <c r="BL356" s="422"/>
      <c r="BM356" s="407"/>
      <c r="BN356" s="423"/>
      <c r="BO356" s="424"/>
      <c r="BP356" s="425"/>
      <c r="BQ356" s="426"/>
      <c r="BR356" s="425"/>
      <c r="BS356" s="426"/>
      <c r="BT356" s="427"/>
    </row>
    <row r="357" spans="1:72" s="430" customFormat="1" ht="25.5" customHeight="1" outlineLevel="2">
      <c r="A357" s="287">
        <v>340</v>
      </c>
      <c r="B357" s="933"/>
      <c r="C357" s="743"/>
      <c r="D357" s="854" t="s">
        <v>876</v>
      </c>
      <c r="E357" s="857"/>
      <c r="F357" s="827" t="s">
        <v>23</v>
      </c>
      <c r="G357" s="431">
        <v>2</v>
      </c>
      <c r="H357" s="474" t="s">
        <v>70</v>
      </c>
      <c r="I357" s="743">
        <v>244</v>
      </c>
      <c r="J357" s="744">
        <v>346</v>
      </c>
      <c r="K357" s="536" t="s">
        <v>284</v>
      </c>
      <c r="L357" s="1030">
        <v>0</v>
      </c>
      <c r="M357" s="434"/>
      <c r="N357" s="434"/>
      <c r="O357" s="1064">
        <f t="shared" si="332"/>
        <v>0</v>
      </c>
      <c r="P357" s="563"/>
      <c r="Q357" s="437"/>
      <c r="R357" s="563"/>
      <c r="S357" s="437"/>
      <c r="T357" s="563"/>
      <c r="U357" s="467"/>
      <c r="V357" s="436"/>
      <c r="W357" s="436"/>
      <c r="X357" s="436"/>
      <c r="Z357" s="437">
        <f t="shared" si="506"/>
        <v>0</v>
      </c>
      <c r="AA357" s="438">
        <f t="shared" si="506"/>
        <v>0</v>
      </c>
      <c r="AB357" s="439">
        <f t="shared" si="507"/>
        <v>0</v>
      </c>
      <c r="AC357" s="437">
        <f t="shared" si="508"/>
        <v>0</v>
      </c>
      <c r="AD357" s="438">
        <f t="shared" si="508"/>
        <v>0</v>
      </c>
      <c r="AE357" s="439">
        <f t="shared" si="509"/>
        <v>0</v>
      </c>
      <c r="AF357" s="437">
        <f t="shared" si="510"/>
        <v>0</v>
      </c>
      <c r="AG357" s="438">
        <f t="shared" si="510"/>
        <v>0</v>
      </c>
      <c r="AH357" s="439">
        <f t="shared" si="511"/>
        <v>0</v>
      </c>
      <c r="AI357" s="437">
        <f t="shared" si="512"/>
        <v>0</v>
      </c>
      <c r="AJ357" s="438">
        <f t="shared" si="512"/>
        <v>0</v>
      </c>
      <c r="AK357" s="439">
        <f t="shared" si="513"/>
        <v>0</v>
      </c>
      <c r="AL357" s="440"/>
      <c r="AM357" s="437">
        <f t="shared" si="514"/>
        <v>0</v>
      </c>
      <c r="AN357" s="441">
        <f t="shared" si="514"/>
        <v>0</v>
      </c>
      <c r="AO357" s="442">
        <f t="shared" si="515"/>
        <v>0</v>
      </c>
      <c r="AP357" s="437">
        <f t="shared" si="516"/>
        <v>0</v>
      </c>
      <c r="AQ357" s="441">
        <f t="shared" si="516"/>
        <v>0</v>
      </c>
      <c r="AR357" s="442">
        <f t="shared" si="517"/>
        <v>0</v>
      </c>
      <c r="AS357" s="443">
        <f t="shared" si="518"/>
        <v>0</v>
      </c>
      <c r="AT357" s="441">
        <f t="shared" si="518"/>
        <v>0</v>
      </c>
      <c r="AU357" s="442">
        <f t="shared" si="519"/>
        <v>0</v>
      </c>
      <c r="AV357" s="440">
        <f t="shared" si="358"/>
        <v>0</v>
      </c>
      <c r="AW357" s="444"/>
      <c r="AX357" s="1111"/>
      <c r="AY357" s="446"/>
      <c r="AZ357" s="1111"/>
      <c r="BA357" s="446"/>
      <c r="BB357" s="1129"/>
      <c r="BC357" s="448"/>
      <c r="BD357" s="449"/>
      <c r="BE357" s="450"/>
      <c r="BF357" s="449"/>
      <c r="BG357" s="450"/>
      <c r="BH357" s="451"/>
      <c r="BI357" s="452"/>
      <c r="BJ357" s="453"/>
      <c r="BK357" s="438"/>
      <c r="BL357" s="453"/>
      <c r="BM357" s="438"/>
      <c r="BN357" s="454"/>
      <c r="BO357" s="455"/>
      <c r="BP357" s="456"/>
      <c r="BQ357" s="457"/>
      <c r="BR357" s="456"/>
      <c r="BS357" s="457"/>
      <c r="BT357" s="458"/>
    </row>
    <row r="358" spans="1:72" s="358" customFormat="1" ht="31.5" customHeight="1">
      <c r="A358" s="287">
        <v>341</v>
      </c>
      <c r="B358" s="933"/>
      <c r="C358" s="850" t="s">
        <v>377</v>
      </c>
      <c r="D358" s="838"/>
      <c r="E358" s="836" t="s">
        <v>201</v>
      </c>
      <c r="F358" s="820" t="s">
        <v>23</v>
      </c>
      <c r="G358" s="360">
        <v>2</v>
      </c>
      <c r="H358" s="360" t="s">
        <v>71</v>
      </c>
      <c r="I358" s="360">
        <v>244</v>
      </c>
      <c r="J358" s="361">
        <v>346</v>
      </c>
      <c r="K358" s="532" t="s">
        <v>379</v>
      </c>
      <c r="L358" s="1023">
        <f>SUM(L359:L362)</f>
        <v>86176.639999999999</v>
      </c>
      <c r="M358" s="363"/>
      <c r="N358" s="363">
        <f>SUM(N359:N362)</f>
        <v>0</v>
      </c>
      <c r="O358" s="1051">
        <f t="shared" si="332"/>
        <v>86176.639999999999</v>
      </c>
      <c r="P358" s="571"/>
      <c r="Q358" s="367">
        <f>SUM(Q359:Q362)</f>
        <v>76176.639999999999</v>
      </c>
      <c r="R358" s="557"/>
      <c r="S358" s="367">
        <f>SUM(S359:S362)</f>
        <v>76176.639999999999</v>
      </c>
      <c r="T358" s="557"/>
      <c r="U358" s="365"/>
      <c r="V358" s="366"/>
      <c r="W358" s="366"/>
      <c r="X358" s="366"/>
      <c r="Z358" s="367">
        <f t="shared" si="506"/>
        <v>52771.65</v>
      </c>
      <c r="AA358" s="363">
        <f t="shared" si="506"/>
        <v>6575</v>
      </c>
      <c r="AB358" s="280">
        <f t="shared" si="334"/>
        <v>46196.65</v>
      </c>
      <c r="AC358" s="367">
        <f t="shared" si="508"/>
        <v>0</v>
      </c>
      <c r="AD358" s="363">
        <f t="shared" si="508"/>
        <v>75461.759999999995</v>
      </c>
      <c r="AE358" s="280">
        <f t="shared" si="336"/>
        <v>-75461.759999999995</v>
      </c>
      <c r="AF358" s="367">
        <f t="shared" si="510"/>
        <v>0</v>
      </c>
      <c r="AG358" s="363">
        <f t="shared" si="510"/>
        <v>79611</v>
      </c>
      <c r="AH358" s="280">
        <f t="shared" si="338"/>
        <v>-79611</v>
      </c>
      <c r="AI358" s="367">
        <f t="shared" si="512"/>
        <v>29979.99</v>
      </c>
      <c r="AJ358" s="363">
        <f t="shared" si="512"/>
        <v>13434.52</v>
      </c>
      <c r="AK358" s="280">
        <f t="shared" si="340"/>
        <v>16545.47</v>
      </c>
      <c r="AL358" s="368"/>
      <c r="AM358" s="367">
        <f t="shared" si="514"/>
        <v>52771.65</v>
      </c>
      <c r="AN358" s="363">
        <f t="shared" si="514"/>
        <v>82036.759999999995</v>
      </c>
      <c r="AO358" s="280">
        <f t="shared" si="342"/>
        <v>-29265.11</v>
      </c>
      <c r="AP358" s="367">
        <f t="shared" si="516"/>
        <v>52771.65</v>
      </c>
      <c r="AQ358" s="363">
        <f t="shared" si="516"/>
        <v>161647.76</v>
      </c>
      <c r="AR358" s="280">
        <f t="shared" si="328"/>
        <v>-108876.11</v>
      </c>
      <c r="AS358" s="367">
        <f t="shared" si="518"/>
        <v>82751.64</v>
      </c>
      <c r="AT358" s="363">
        <f t="shared" si="518"/>
        <v>175082.28</v>
      </c>
      <c r="AU358" s="280">
        <f t="shared" si="330"/>
        <v>-92330.64</v>
      </c>
      <c r="AV358" s="1253">
        <f t="shared" si="358"/>
        <v>3425</v>
      </c>
      <c r="AW358" s="367">
        <f t="shared" ref="AW358:BT358" si="522">SUM(AW359:AW362)</f>
        <v>0</v>
      </c>
      <c r="AX358" s="363">
        <f t="shared" si="522"/>
        <v>0</v>
      </c>
      <c r="AY358" s="363">
        <f t="shared" si="522"/>
        <v>5775</v>
      </c>
      <c r="AZ358" s="363">
        <f t="shared" si="522"/>
        <v>5775</v>
      </c>
      <c r="BA358" s="363">
        <f t="shared" si="522"/>
        <v>46996.65</v>
      </c>
      <c r="BB358" s="369">
        <f t="shared" si="522"/>
        <v>800</v>
      </c>
      <c r="BC358" s="367">
        <f t="shared" si="522"/>
        <v>0</v>
      </c>
      <c r="BD358" s="363">
        <f t="shared" si="522"/>
        <v>0</v>
      </c>
      <c r="BE358" s="363">
        <f t="shared" si="522"/>
        <v>0</v>
      </c>
      <c r="BF358" s="363">
        <v>52375</v>
      </c>
      <c r="BG358" s="363">
        <f t="shared" si="522"/>
        <v>0</v>
      </c>
      <c r="BH358" s="369">
        <v>23086.76</v>
      </c>
      <c r="BI358" s="367">
        <f t="shared" si="522"/>
        <v>0</v>
      </c>
      <c r="BJ358" s="363">
        <v>70040</v>
      </c>
      <c r="BK358" s="363">
        <f t="shared" si="522"/>
        <v>0</v>
      </c>
      <c r="BL358" s="363">
        <v>5515</v>
      </c>
      <c r="BM358" s="363">
        <f t="shared" si="522"/>
        <v>0</v>
      </c>
      <c r="BN358" s="369">
        <v>4056</v>
      </c>
      <c r="BO358" s="367">
        <f t="shared" si="522"/>
        <v>29979.99</v>
      </c>
      <c r="BP358" s="363">
        <v>13434.52</v>
      </c>
      <c r="BQ358" s="363">
        <f t="shared" si="522"/>
        <v>0</v>
      </c>
      <c r="BR358" s="363">
        <f t="shared" si="522"/>
        <v>0</v>
      </c>
      <c r="BS358" s="363">
        <f t="shared" si="522"/>
        <v>0</v>
      </c>
      <c r="BT358" s="280">
        <f t="shared" si="522"/>
        <v>0</v>
      </c>
    </row>
    <row r="359" spans="1:72" s="313" customFormat="1" ht="25.5" outlineLevel="2">
      <c r="A359" s="287">
        <v>342</v>
      </c>
      <c r="B359" s="933"/>
      <c r="C359" s="840"/>
      <c r="D359" s="841"/>
      <c r="E359" s="839"/>
      <c r="F359" s="821" t="s">
        <v>23</v>
      </c>
      <c r="G359" s="314">
        <v>2</v>
      </c>
      <c r="H359" s="739" t="s">
        <v>71</v>
      </c>
      <c r="I359" s="739">
        <v>244</v>
      </c>
      <c r="J359" s="740">
        <v>346</v>
      </c>
      <c r="K359" s="533" t="s">
        <v>308</v>
      </c>
      <c r="L359" s="1025">
        <v>7359.99</v>
      </c>
      <c r="M359" s="318"/>
      <c r="N359" s="318"/>
      <c r="O359" s="1052">
        <f t="shared" si="332"/>
        <v>7359.99</v>
      </c>
      <c r="P359" s="570"/>
      <c r="Q359" s="336">
        <v>7359.99</v>
      </c>
      <c r="R359" s="559"/>
      <c r="S359" s="541">
        <v>7359.99</v>
      </c>
      <c r="T359" s="559"/>
      <c r="U359" s="335"/>
      <c r="V359" s="320"/>
      <c r="W359" s="320"/>
      <c r="X359" s="320"/>
      <c r="Z359" s="336">
        <f t="shared" si="506"/>
        <v>4906.66</v>
      </c>
      <c r="AA359" s="337">
        <f t="shared" si="506"/>
        <v>0</v>
      </c>
      <c r="AB359" s="338">
        <f t="shared" si="334"/>
        <v>4906.66</v>
      </c>
      <c r="AC359" s="336">
        <f t="shared" si="508"/>
        <v>0</v>
      </c>
      <c r="AD359" s="337">
        <f t="shared" si="508"/>
        <v>0</v>
      </c>
      <c r="AE359" s="338">
        <f t="shared" si="336"/>
        <v>0</v>
      </c>
      <c r="AF359" s="336">
        <f t="shared" si="510"/>
        <v>0</v>
      </c>
      <c r="AG359" s="337">
        <f t="shared" si="510"/>
        <v>0</v>
      </c>
      <c r="AH359" s="338">
        <f t="shared" si="338"/>
        <v>0</v>
      </c>
      <c r="AI359" s="336">
        <f t="shared" si="512"/>
        <v>2453.33</v>
      </c>
      <c r="AJ359" s="337">
        <f t="shared" si="512"/>
        <v>0</v>
      </c>
      <c r="AK359" s="338">
        <f t="shared" si="340"/>
        <v>2453.33</v>
      </c>
      <c r="AL359" s="342"/>
      <c r="AM359" s="336">
        <f t="shared" si="514"/>
        <v>4906.66</v>
      </c>
      <c r="AN359" s="339">
        <f t="shared" si="514"/>
        <v>0</v>
      </c>
      <c r="AO359" s="340">
        <f t="shared" si="342"/>
        <v>4906.66</v>
      </c>
      <c r="AP359" s="336">
        <f t="shared" si="516"/>
        <v>4906.66</v>
      </c>
      <c r="AQ359" s="339">
        <f t="shared" si="516"/>
        <v>0</v>
      </c>
      <c r="AR359" s="340">
        <f t="shared" si="328"/>
        <v>4906.66</v>
      </c>
      <c r="AS359" s="341">
        <f t="shared" si="518"/>
        <v>7359.99</v>
      </c>
      <c r="AT359" s="339">
        <f t="shared" si="518"/>
        <v>0</v>
      </c>
      <c r="AU359" s="340">
        <f t="shared" si="330"/>
        <v>7359.99</v>
      </c>
      <c r="AV359" s="1255">
        <f t="shared" si="358"/>
        <v>0</v>
      </c>
      <c r="AW359" s="343"/>
      <c r="AX359" s="344"/>
      <c r="AY359" s="345"/>
      <c r="AZ359" s="344"/>
      <c r="BA359" s="345">
        <f>2453.33*2</f>
        <v>4906.66</v>
      </c>
      <c r="BB359" s="346"/>
      <c r="BC359" s="347"/>
      <c r="BD359" s="348"/>
      <c r="BE359" s="349"/>
      <c r="BF359" s="348"/>
      <c r="BG359" s="349"/>
      <c r="BH359" s="350"/>
      <c r="BI359" s="351"/>
      <c r="BJ359" s="352"/>
      <c r="BK359" s="337"/>
      <c r="BL359" s="352"/>
      <c r="BM359" s="337"/>
      <c r="BN359" s="353"/>
      <c r="BO359" s="354">
        <v>2453.33</v>
      </c>
      <c r="BP359" s="355"/>
      <c r="BQ359" s="356"/>
      <c r="BR359" s="355"/>
      <c r="BS359" s="356"/>
      <c r="BT359" s="357"/>
    </row>
    <row r="360" spans="1:72" s="313" customFormat="1" ht="25.5" outlineLevel="2">
      <c r="A360" s="287">
        <v>343</v>
      </c>
      <c r="B360" s="933"/>
      <c r="C360" s="840"/>
      <c r="D360" s="841"/>
      <c r="E360" s="839"/>
      <c r="F360" s="821" t="s">
        <v>23</v>
      </c>
      <c r="G360" s="314">
        <v>2</v>
      </c>
      <c r="H360" s="739" t="s">
        <v>71</v>
      </c>
      <c r="I360" s="739">
        <v>244</v>
      </c>
      <c r="J360" s="740">
        <v>346</v>
      </c>
      <c r="K360" s="533" t="s">
        <v>309</v>
      </c>
      <c r="L360" s="1025">
        <v>27000</v>
      </c>
      <c r="M360" s="318"/>
      <c r="N360" s="318"/>
      <c r="O360" s="1052">
        <f t="shared" si="332"/>
        <v>27000</v>
      </c>
      <c r="P360" s="570"/>
      <c r="Q360" s="336">
        <v>27000</v>
      </c>
      <c r="R360" s="559"/>
      <c r="S360" s="541">
        <v>27000</v>
      </c>
      <c r="T360" s="559"/>
      <c r="U360" s="335"/>
      <c r="V360" s="320"/>
      <c r="W360" s="320"/>
      <c r="X360" s="320"/>
      <c r="Z360" s="336">
        <f>AW360+AY360+BA360</f>
        <v>16200</v>
      </c>
      <c r="AA360" s="337">
        <f>AX360+AZ360+BB360</f>
        <v>0</v>
      </c>
      <c r="AB360" s="338">
        <f>Z360-AA360</f>
        <v>16200</v>
      </c>
      <c r="AC360" s="336">
        <f>BC360+BE360+BG360</f>
        <v>0</v>
      </c>
      <c r="AD360" s="337">
        <f>BD360+BF360+BH360</f>
        <v>0</v>
      </c>
      <c r="AE360" s="338">
        <f>AC360-AD360</f>
        <v>0</v>
      </c>
      <c r="AF360" s="336">
        <f>BI360+BK360+BM360</f>
        <v>0</v>
      </c>
      <c r="AG360" s="337">
        <f>BJ360+BL360+BN360</f>
        <v>0</v>
      </c>
      <c r="AH360" s="338">
        <f>AF360-AG360</f>
        <v>0</v>
      </c>
      <c r="AI360" s="336">
        <f>BO360+BQ360+BS360</f>
        <v>10800</v>
      </c>
      <c r="AJ360" s="337">
        <f>BP360+BR360+BT360</f>
        <v>0</v>
      </c>
      <c r="AK360" s="338">
        <f>AI360-AJ360</f>
        <v>10800</v>
      </c>
      <c r="AL360" s="342"/>
      <c r="AM360" s="336">
        <f>Z360+AC360</f>
        <v>16200</v>
      </c>
      <c r="AN360" s="339">
        <f>AA360+AD360</f>
        <v>0</v>
      </c>
      <c r="AO360" s="340">
        <f>AM360-AN360</f>
        <v>16200</v>
      </c>
      <c r="AP360" s="336">
        <f>Z360+AC360+AF360</f>
        <v>16200</v>
      </c>
      <c r="AQ360" s="339">
        <f>AA360+AD360+AG360</f>
        <v>0</v>
      </c>
      <c r="AR360" s="340">
        <f>AP360-AQ360</f>
        <v>16200</v>
      </c>
      <c r="AS360" s="341">
        <f>Z360+AC360+AF360+AI360</f>
        <v>27000</v>
      </c>
      <c r="AT360" s="339">
        <f>AA360+AD360+AG360+AJ360</f>
        <v>0</v>
      </c>
      <c r="AU360" s="340">
        <f>AS360-AT360</f>
        <v>27000</v>
      </c>
      <c r="AV360" s="1255">
        <f t="shared" si="358"/>
        <v>0</v>
      </c>
      <c r="AW360" s="343"/>
      <c r="AX360" s="344"/>
      <c r="AY360" s="345"/>
      <c r="AZ360" s="344"/>
      <c r="BA360" s="345">
        <f>5400*3</f>
        <v>16200</v>
      </c>
      <c r="BB360" s="346"/>
      <c r="BC360" s="347"/>
      <c r="BD360" s="348"/>
      <c r="BE360" s="349"/>
      <c r="BF360" s="348"/>
      <c r="BG360" s="349"/>
      <c r="BH360" s="350"/>
      <c r="BI360" s="351"/>
      <c r="BJ360" s="352"/>
      <c r="BK360" s="337"/>
      <c r="BL360" s="352"/>
      <c r="BM360" s="337"/>
      <c r="BN360" s="353"/>
      <c r="BO360" s="354">
        <f>5400*2</f>
        <v>10800</v>
      </c>
      <c r="BP360" s="355"/>
      <c r="BQ360" s="356"/>
      <c r="BR360" s="355"/>
      <c r="BS360" s="356"/>
      <c r="BT360" s="357"/>
    </row>
    <row r="361" spans="1:72" s="313" customFormat="1" ht="25.5" outlineLevel="2">
      <c r="A361" s="287">
        <v>344</v>
      </c>
      <c r="B361" s="933"/>
      <c r="C361" s="840"/>
      <c r="D361" s="841"/>
      <c r="E361" s="839"/>
      <c r="F361" s="821" t="s">
        <v>23</v>
      </c>
      <c r="G361" s="314">
        <v>2</v>
      </c>
      <c r="H361" s="739" t="s">
        <v>71</v>
      </c>
      <c r="I361" s="739">
        <v>244</v>
      </c>
      <c r="J361" s="740">
        <v>346</v>
      </c>
      <c r="K361" s="533" t="s">
        <v>310</v>
      </c>
      <c r="L361" s="1025">
        <v>41816.65</v>
      </c>
      <c r="M361" s="318"/>
      <c r="N361" s="318"/>
      <c r="O361" s="1052">
        <f t="shared" si="332"/>
        <v>41816.65</v>
      </c>
      <c r="P361" s="570"/>
      <c r="Q361" s="336">
        <v>41816.65</v>
      </c>
      <c r="R361" s="559"/>
      <c r="S361" s="541">
        <v>41816.65</v>
      </c>
      <c r="T361" s="559"/>
      <c r="U361" s="335"/>
      <c r="V361" s="320"/>
      <c r="W361" s="320"/>
      <c r="X361" s="320"/>
      <c r="Z361" s="336">
        <f t="shared" ref="Z361:AA361" si="523">AW361+AY361+BA361</f>
        <v>25089.99</v>
      </c>
      <c r="AA361" s="337">
        <f t="shared" si="523"/>
        <v>0</v>
      </c>
      <c r="AB361" s="338">
        <f t="shared" ref="AB361" si="524">Z361-AA361</f>
        <v>25089.99</v>
      </c>
      <c r="AC361" s="336">
        <f t="shared" ref="AC361:AD361" si="525">BC361+BE361+BG361</f>
        <v>0</v>
      </c>
      <c r="AD361" s="337">
        <f t="shared" si="525"/>
        <v>0</v>
      </c>
      <c r="AE361" s="338">
        <f t="shared" ref="AE361" si="526">AC361-AD361</f>
        <v>0</v>
      </c>
      <c r="AF361" s="336">
        <f t="shared" ref="AF361:AG361" si="527">BI361+BK361+BM361</f>
        <v>0</v>
      </c>
      <c r="AG361" s="337">
        <f t="shared" si="527"/>
        <v>0</v>
      </c>
      <c r="AH361" s="338">
        <f t="shared" ref="AH361" si="528">AF361-AG361</f>
        <v>0</v>
      </c>
      <c r="AI361" s="336">
        <f t="shared" ref="AI361:AJ361" si="529">BO361+BQ361+BS361</f>
        <v>16726.66</v>
      </c>
      <c r="AJ361" s="337">
        <f t="shared" si="529"/>
        <v>0</v>
      </c>
      <c r="AK361" s="338">
        <f t="shared" ref="AK361" si="530">AI361-AJ361</f>
        <v>16726.66</v>
      </c>
      <c r="AL361" s="342"/>
      <c r="AM361" s="336">
        <f t="shared" ref="AM361:AN361" si="531">Z361+AC361</f>
        <v>25089.99</v>
      </c>
      <c r="AN361" s="339">
        <f t="shared" si="531"/>
        <v>0</v>
      </c>
      <c r="AO361" s="340">
        <f t="shared" ref="AO361" si="532">AM361-AN361</f>
        <v>25089.99</v>
      </c>
      <c r="AP361" s="336">
        <f t="shared" ref="AP361:AQ361" si="533">Z361+AC361+AF361</f>
        <v>25089.99</v>
      </c>
      <c r="AQ361" s="339">
        <f t="shared" si="533"/>
        <v>0</v>
      </c>
      <c r="AR361" s="340">
        <f t="shared" ref="AR361" si="534">AP361-AQ361</f>
        <v>25089.99</v>
      </c>
      <c r="AS361" s="341">
        <f t="shared" ref="AS361:AT361" si="535">Z361+AC361+AF361+AI361</f>
        <v>41816.65</v>
      </c>
      <c r="AT361" s="339">
        <f t="shared" si="535"/>
        <v>0</v>
      </c>
      <c r="AU361" s="340">
        <f t="shared" ref="AU361" si="536">AS361-AT361</f>
        <v>41816.65</v>
      </c>
      <c r="AV361" s="1255">
        <f t="shared" si="358"/>
        <v>0</v>
      </c>
      <c r="AW361" s="343"/>
      <c r="AX361" s="344"/>
      <c r="AY361" s="345"/>
      <c r="AZ361" s="344"/>
      <c r="BA361" s="345">
        <f>8363.33*3</f>
        <v>25089.99</v>
      </c>
      <c r="BB361" s="346"/>
      <c r="BC361" s="347"/>
      <c r="BD361" s="348"/>
      <c r="BE361" s="349"/>
      <c r="BF361" s="348"/>
      <c r="BG361" s="349"/>
      <c r="BH361" s="350"/>
      <c r="BI361" s="351"/>
      <c r="BJ361" s="352"/>
      <c r="BK361" s="337"/>
      <c r="BL361" s="352"/>
      <c r="BM361" s="337"/>
      <c r="BN361" s="353"/>
      <c r="BO361" s="354">
        <f>8363.33*2</f>
        <v>16726.66</v>
      </c>
      <c r="BP361" s="355"/>
      <c r="BQ361" s="356"/>
      <c r="BR361" s="355"/>
      <c r="BS361" s="356"/>
      <c r="BT361" s="357"/>
    </row>
    <row r="362" spans="1:72" s="313" customFormat="1" ht="40.5" customHeight="1" outlineLevel="1">
      <c r="A362" s="287">
        <v>345</v>
      </c>
      <c r="B362" s="936" t="s">
        <v>1141</v>
      </c>
      <c r="C362" s="840"/>
      <c r="D362" s="841"/>
      <c r="E362" s="839"/>
      <c r="F362" s="821" t="s">
        <v>23</v>
      </c>
      <c r="G362" s="314">
        <v>2</v>
      </c>
      <c r="H362" s="739" t="s">
        <v>71</v>
      </c>
      <c r="I362" s="739">
        <v>244</v>
      </c>
      <c r="J362" s="740">
        <v>346</v>
      </c>
      <c r="K362" s="317" t="s">
        <v>389</v>
      </c>
      <c r="L362" s="1025">
        <v>10000</v>
      </c>
      <c r="M362" s="318"/>
      <c r="N362" s="318">
        <v>0</v>
      </c>
      <c r="O362" s="1052">
        <f t="shared" si="332"/>
        <v>10000</v>
      </c>
      <c r="P362" s="570"/>
      <c r="Q362" s="336">
        <v>0</v>
      </c>
      <c r="R362" s="559"/>
      <c r="S362" s="541">
        <v>0</v>
      </c>
      <c r="T362" s="559"/>
      <c r="U362" s="335"/>
      <c r="V362" s="596" t="s">
        <v>390</v>
      </c>
      <c r="W362" s="596" t="s">
        <v>445</v>
      </c>
      <c r="X362" s="596" t="s">
        <v>446</v>
      </c>
      <c r="Z362" s="336">
        <f>AW362+AY362+BA362</f>
        <v>6575</v>
      </c>
      <c r="AA362" s="337">
        <f>AX362+AZ362+BB362</f>
        <v>6575</v>
      </c>
      <c r="AB362" s="338">
        <f>Z362-AA362</f>
        <v>0</v>
      </c>
      <c r="AC362" s="336">
        <f>BC362+BE362+BG362</f>
        <v>0</v>
      </c>
      <c r="AD362" s="337">
        <f>BD362+BF362+BH362</f>
        <v>0</v>
      </c>
      <c r="AE362" s="338">
        <f>AC362-AD362</f>
        <v>0</v>
      </c>
      <c r="AF362" s="336">
        <f>BI362+BK362+BM362</f>
        <v>0</v>
      </c>
      <c r="AG362" s="337">
        <f>BJ362+BL362+BN362</f>
        <v>0</v>
      </c>
      <c r="AH362" s="338">
        <f>AF362-AG362</f>
        <v>0</v>
      </c>
      <c r="AI362" s="336">
        <f>BO362+BQ362+BS362</f>
        <v>0</v>
      </c>
      <c r="AJ362" s="337">
        <f>BP362+BR362+BT362</f>
        <v>0</v>
      </c>
      <c r="AK362" s="338">
        <f>AI362-AJ362</f>
        <v>0</v>
      </c>
      <c r="AL362" s="342"/>
      <c r="AM362" s="336">
        <f>Z362+AC362</f>
        <v>6575</v>
      </c>
      <c r="AN362" s="339">
        <f>AA362+AD362</f>
        <v>6575</v>
      </c>
      <c r="AO362" s="340">
        <f>AM362-AN362</f>
        <v>0</v>
      </c>
      <c r="AP362" s="336">
        <f>Z362+AC362+AF362</f>
        <v>6575</v>
      </c>
      <c r="AQ362" s="339">
        <f>AA362+AD362+AG362</f>
        <v>6575</v>
      </c>
      <c r="AR362" s="340">
        <f>AP362-AQ362</f>
        <v>0</v>
      </c>
      <c r="AS362" s="341">
        <f>Z362+AC362+AF362+AI362</f>
        <v>6575</v>
      </c>
      <c r="AT362" s="339">
        <f>AA362+AD362+AG362+AJ362</f>
        <v>6575</v>
      </c>
      <c r="AU362" s="340">
        <f>AS362-AT362</f>
        <v>0</v>
      </c>
      <c r="AV362" s="1255">
        <f t="shared" si="358"/>
        <v>3425</v>
      </c>
      <c r="AW362" s="343"/>
      <c r="AX362" s="344"/>
      <c r="AY362" s="1133">
        <v>5775</v>
      </c>
      <c r="AZ362" s="1152">
        <v>5775</v>
      </c>
      <c r="BA362" s="1133">
        <v>800</v>
      </c>
      <c r="BB362" s="1153">
        <v>800</v>
      </c>
      <c r="BC362" s="347"/>
      <c r="BD362" s="348"/>
      <c r="BE362" s="349"/>
      <c r="BF362" s="348"/>
      <c r="BG362" s="349"/>
      <c r="BH362" s="350"/>
      <c r="BI362" s="351"/>
      <c r="BJ362" s="352"/>
      <c r="BK362" s="337"/>
      <c r="BL362" s="352"/>
      <c r="BM362" s="337"/>
      <c r="BN362" s="353"/>
      <c r="BO362" s="354"/>
      <c r="BP362" s="355"/>
      <c r="BQ362" s="356"/>
      <c r="BR362" s="355"/>
      <c r="BS362" s="356"/>
      <c r="BT362" s="357"/>
    </row>
    <row r="363" spans="1:72" s="358" customFormat="1" ht="31.5">
      <c r="A363" s="287">
        <v>346</v>
      </c>
      <c r="B363" s="936"/>
      <c r="C363" s="850" t="s">
        <v>377</v>
      </c>
      <c r="D363" s="838"/>
      <c r="E363" s="836" t="s">
        <v>201</v>
      </c>
      <c r="F363" s="820" t="s">
        <v>23</v>
      </c>
      <c r="G363" s="360">
        <v>2</v>
      </c>
      <c r="H363" s="360" t="s">
        <v>71</v>
      </c>
      <c r="I363" s="360">
        <v>244</v>
      </c>
      <c r="J363" s="361">
        <v>346</v>
      </c>
      <c r="K363" s="532" t="s">
        <v>304</v>
      </c>
      <c r="L363" s="1023">
        <f>SUM(L364:L369)</f>
        <v>80457.509999999995</v>
      </c>
      <c r="M363" s="363"/>
      <c r="N363" s="363">
        <f>SUM(N364:N369)</f>
        <v>0</v>
      </c>
      <c r="O363" s="1051">
        <f t="shared" si="332"/>
        <v>80457.509999999995</v>
      </c>
      <c r="P363" s="571"/>
      <c r="Q363" s="367">
        <f>SUM(Q364:Q369)</f>
        <v>146684.4</v>
      </c>
      <c r="R363" s="557"/>
      <c r="S363" s="539">
        <f>SUM(S364:S369)</f>
        <v>145856.06</v>
      </c>
      <c r="T363" s="557"/>
      <c r="U363" s="365"/>
      <c r="V363" s="320"/>
      <c r="W363" s="320"/>
      <c r="X363" s="320"/>
      <c r="Z363" s="367">
        <f t="shared" si="506"/>
        <v>110</v>
      </c>
      <c r="AA363" s="363">
        <f t="shared" si="506"/>
        <v>110</v>
      </c>
      <c r="AB363" s="280">
        <f t="shared" si="334"/>
        <v>0</v>
      </c>
      <c r="AC363" s="367">
        <f t="shared" si="508"/>
        <v>80347.509999999995</v>
      </c>
      <c r="AD363" s="363">
        <f t="shared" si="508"/>
        <v>0</v>
      </c>
      <c r="AE363" s="280">
        <f t="shared" si="336"/>
        <v>80347.509999999995</v>
      </c>
      <c r="AF363" s="367">
        <f t="shared" si="510"/>
        <v>0</v>
      </c>
      <c r="AG363" s="363">
        <f t="shared" si="510"/>
        <v>0</v>
      </c>
      <c r="AH363" s="280">
        <f t="shared" si="338"/>
        <v>0</v>
      </c>
      <c r="AI363" s="367">
        <f t="shared" si="512"/>
        <v>644</v>
      </c>
      <c r="AJ363" s="363">
        <f t="shared" si="512"/>
        <v>0</v>
      </c>
      <c r="AK363" s="280">
        <f t="shared" si="340"/>
        <v>644</v>
      </c>
      <c r="AL363" s="368"/>
      <c r="AM363" s="367">
        <f t="shared" si="514"/>
        <v>80457.509999999995</v>
      </c>
      <c r="AN363" s="363">
        <f t="shared" si="514"/>
        <v>110</v>
      </c>
      <c r="AO363" s="280">
        <f t="shared" si="342"/>
        <v>80347.509999999995</v>
      </c>
      <c r="AP363" s="367">
        <f t="shared" si="516"/>
        <v>80457.509999999995</v>
      </c>
      <c r="AQ363" s="363">
        <f t="shared" si="516"/>
        <v>110</v>
      </c>
      <c r="AR363" s="280">
        <f t="shared" si="328"/>
        <v>80347.509999999995</v>
      </c>
      <c r="AS363" s="367">
        <f t="shared" si="518"/>
        <v>81101.509999999995</v>
      </c>
      <c r="AT363" s="363">
        <f t="shared" si="518"/>
        <v>110</v>
      </c>
      <c r="AU363" s="280">
        <f t="shared" si="330"/>
        <v>80991.509999999995</v>
      </c>
      <c r="AV363" s="1253">
        <f t="shared" si="358"/>
        <v>-644</v>
      </c>
      <c r="AW363" s="367">
        <f>SUM(AW364:AW369)</f>
        <v>0</v>
      </c>
      <c r="AX363" s="363">
        <f t="shared" ref="AX363:BS363" si="537">SUM(AX364:AX369)</f>
        <v>0</v>
      </c>
      <c r="AY363" s="363">
        <f t="shared" si="537"/>
        <v>0</v>
      </c>
      <c r="AZ363" s="363">
        <f t="shared" si="537"/>
        <v>0</v>
      </c>
      <c r="BA363" s="363">
        <f t="shared" si="537"/>
        <v>110</v>
      </c>
      <c r="BB363" s="369">
        <f t="shared" si="537"/>
        <v>110</v>
      </c>
      <c r="BC363" s="367">
        <f t="shared" si="537"/>
        <v>0</v>
      </c>
      <c r="BD363" s="363">
        <f t="shared" si="537"/>
        <v>0</v>
      </c>
      <c r="BE363" s="363">
        <f t="shared" si="537"/>
        <v>10000</v>
      </c>
      <c r="BF363" s="363">
        <f t="shared" si="537"/>
        <v>0</v>
      </c>
      <c r="BG363" s="363">
        <f t="shared" si="537"/>
        <v>70347.509999999995</v>
      </c>
      <c r="BH363" s="369">
        <f t="shared" si="537"/>
        <v>0</v>
      </c>
      <c r="BI363" s="367">
        <f t="shared" si="537"/>
        <v>0</v>
      </c>
      <c r="BJ363" s="363">
        <f t="shared" si="537"/>
        <v>0</v>
      </c>
      <c r="BK363" s="363">
        <f t="shared" si="537"/>
        <v>0</v>
      </c>
      <c r="BL363" s="363">
        <f t="shared" si="537"/>
        <v>0</v>
      </c>
      <c r="BM363" s="363">
        <f t="shared" si="537"/>
        <v>0</v>
      </c>
      <c r="BN363" s="369">
        <f t="shared" si="537"/>
        <v>0</v>
      </c>
      <c r="BO363" s="367">
        <f t="shared" si="537"/>
        <v>644</v>
      </c>
      <c r="BP363" s="363">
        <f t="shared" si="537"/>
        <v>0</v>
      </c>
      <c r="BQ363" s="363">
        <f t="shared" si="537"/>
        <v>0</v>
      </c>
      <c r="BR363" s="363">
        <f t="shared" si="537"/>
        <v>0</v>
      </c>
      <c r="BS363" s="363">
        <f t="shared" si="537"/>
        <v>0</v>
      </c>
      <c r="BT363" s="280"/>
    </row>
    <row r="364" spans="1:72" s="313" customFormat="1" ht="25.5" outlineLevel="1">
      <c r="A364" s="287">
        <v>347</v>
      </c>
      <c r="B364" s="1143"/>
      <c r="C364" s="840"/>
      <c r="D364" s="841"/>
      <c r="E364" s="839"/>
      <c r="F364" s="821" t="s">
        <v>23</v>
      </c>
      <c r="G364" s="314">
        <v>2</v>
      </c>
      <c r="H364" s="739" t="s">
        <v>71</v>
      </c>
      <c r="I364" s="739">
        <v>244</v>
      </c>
      <c r="J364" s="740">
        <v>346</v>
      </c>
      <c r="K364" s="1007" t="s">
        <v>304</v>
      </c>
      <c r="L364" s="1045">
        <f>80457.51-SUM(L365:L369)</f>
        <v>57211.75</v>
      </c>
      <c r="M364" s="318"/>
      <c r="N364" s="318"/>
      <c r="O364" s="1055">
        <f>L364+N364</f>
        <v>57211.75</v>
      </c>
      <c r="P364" s="329"/>
      <c r="Q364" s="319">
        <v>146684.4</v>
      </c>
      <c r="R364" s="329"/>
      <c r="S364" s="319">
        <v>145856.06</v>
      </c>
      <c r="T364" s="329"/>
      <c r="U364" s="335"/>
      <c r="V364" s="320"/>
      <c r="W364" s="320"/>
      <c r="X364" s="320"/>
      <c r="Z364" s="336">
        <f>AW364+AY364+BA364</f>
        <v>0</v>
      </c>
      <c r="AA364" s="337">
        <f>AX364+AZ364+BB364</f>
        <v>0</v>
      </c>
      <c r="AB364" s="338">
        <f t="shared" si="334"/>
        <v>0</v>
      </c>
      <c r="AC364" s="336">
        <f>BC364+BE364+BG364</f>
        <v>57855.75</v>
      </c>
      <c r="AD364" s="337">
        <f>BD364+BF364+BH364</f>
        <v>0</v>
      </c>
      <c r="AE364" s="338">
        <f t="shared" si="336"/>
        <v>57855.75</v>
      </c>
      <c r="AF364" s="336">
        <f>BI364+BK364+BM364</f>
        <v>0</v>
      </c>
      <c r="AG364" s="337">
        <f>BJ364+BL364+BN364</f>
        <v>0</v>
      </c>
      <c r="AH364" s="338">
        <f t="shared" si="338"/>
        <v>0</v>
      </c>
      <c r="AI364" s="336">
        <f>BO364+BQ364+BS364</f>
        <v>0</v>
      </c>
      <c r="AJ364" s="337">
        <f>BP364+BR364+BT364</f>
        <v>0</v>
      </c>
      <c r="AK364" s="338">
        <f t="shared" si="340"/>
        <v>0</v>
      </c>
      <c r="AL364" s="342"/>
      <c r="AM364" s="336">
        <f>Z364+AC364</f>
        <v>57855.75</v>
      </c>
      <c r="AN364" s="339">
        <f>AA364+AD364</f>
        <v>0</v>
      </c>
      <c r="AO364" s="340">
        <f t="shared" si="342"/>
        <v>57855.75</v>
      </c>
      <c r="AP364" s="336">
        <f>Z364+AC364+AF364</f>
        <v>57855.75</v>
      </c>
      <c r="AQ364" s="339">
        <f>AA364+AD364+AG364</f>
        <v>0</v>
      </c>
      <c r="AR364" s="340">
        <f t="shared" si="328"/>
        <v>57855.75</v>
      </c>
      <c r="AS364" s="341">
        <f>Z364+AC364+AF364+AI364</f>
        <v>57855.75</v>
      </c>
      <c r="AT364" s="339">
        <f>AA364+AD364+AG364+AJ364</f>
        <v>0</v>
      </c>
      <c r="AU364" s="340">
        <f t="shared" si="330"/>
        <v>57855.75</v>
      </c>
      <c r="AV364" s="1255">
        <f>L364-AS364</f>
        <v>-644</v>
      </c>
      <c r="AW364" s="343"/>
      <c r="AX364" s="344"/>
      <c r="AY364" s="345"/>
      <c r="AZ364" s="344"/>
      <c r="BA364" s="345"/>
      <c r="BB364" s="346"/>
      <c r="BC364" s="347"/>
      <c r="BD364" s="348"/>
      <c r="BE364" s="349"/>
      <c r="BF364" s="348"/>
      <c r="BG364" s="349">
        <f>76449.29-6101.78-12491.76</f>
        <v>57855.75</v>
      </c>
      <c r="BH364" s="350"/>
      <c r="BI364" s="351"/>
      <c r="BJ364" s="352"/>
      <c r="BK364" s="337"/>
      <c r="BL364" s="352"/>
      <c r="BM364" s="337"/>
      <c r="BN364" s="353"/>
      <c r="BO364" s="354"/>
      <c r="BP364" s="355"/>
      <c r="BQ364" s="356"/>
      <c r="BR364" s="355"/>
      <c r="BS364" s="356"/>
      <c r="BT364" s="357"/>
    </row>
    <row r="365" spans="1:72" s="313" customFormat="1" ht="38.25" outlineLevel="1">
      <c r="A365" s="287">
        <v>348</v>
      </c>
      <c r="B365" s="941"/>
      <c r="C365" s="840"/>
      <c r="D365" s="841"/>
      <c r="E365" s="839"/>
      <c r="F365" s="821" t="s">
        <v>23</v>
      </c>
      <c r="G365" s="314">
        <v>2</v>
      </c>
      <c r="H365" s="739" t="s">
        <v>71</v>
      </c>
      <c r="I365" s="739">
        <v>244</v>
      </c>
      <c r="J365" s="740">
        <v>346</v>
      </c>
      <c r="K365" s="533" t="s">
        <v>709</v>
      </c>
      <c r="L365" s="1025">
        <v>110</v>
      </c>
      <c r="M365" s="318"/>
      <c r="N365" s="318"/>
      <c r="O365" s="1052">
        <f>L365+N365</f>
        <v>110</v>
      </c>
      <c r="P365" s="570"/>
      <c r="Q365" s="336">
        <v>0</v>
      </c>
      <c r="R365" s="559"/>
      <c r="S365" s="541">
        <v>0</v>
      </c>
      <c r="T365" s="559"/>
      <c r="U365" s="335"/>
      <c r="V365" s="596" t="s">
        <v>640</v>
      </c>
      <c r="W365" s="596" t="s">
        <v>710</v>
      </c>
      <c r="X365" s="320"/>
      <c r="Z365" s="336">
        <f t="shared" si="506"/>
        <v>110</v>
      </c>
      <c r="AA365" s="337">
        <f t="shared" si="506"/>
        <v>110</v>
      </c>
      <c r="AB365" s="338">
        <f t="shared" si="334"/>
        <v>0</v>
      </c>
      <c r="AC365" s="336">
        <f t="shared" si="508"/>
        <v>0</v>
      </c>
      <c r="AD365" s="337">
        <f t="shared" si="508"/>
        <v>0</v>
      </c>
      <c r="AE365" s="338">
        <f t="shared" si="336"/>
        <v>0</v>
      </c>
      <c r="AF365" s="336">
        <f t="shared" si="510"/>
        <v>0</v>
      </c>
      <c r="AG365" s="337">
        <f t="shared" si="510"/>
        <v>0</v>
      </c>
      <c r="AH365" s="338">
        <f t="shared" si="338"/>
        <v>0</v>
      </c>
      <c r="AI365" s="336">
        <f t="shared" si="512"/>
        <v>0</v>
      </c>
      <c r="AJ365" s="337">
        <f t="shared" si="512"/>
        <v>0</v>
      </c>
      <c r="AK365" s="338">
        <f t="shared" si="340"/>
        <v>0</v>
      </c>
      <c r="AL365" s="342"/>
      <c r="AM365" s="336">
        <f t="shared" si="514"/>
        <v>110</v>
      </c>
      <c r="AN365" s="339">
        <f t="shared" si="514"/>
        <v>110</v>
      </c>
      <c r="AO365" s="340">
        <f t="shared" si="342"/>
        <v>0</v>
      </c>
      <c r="AP365" s="336">
        <f t="shared" si="516"/>
        <v>110</v>
      </c>
      <c r="AQ365" s="339">
        <f t="shared" si="516"/>
        <v>110</v>
      </c>
      <c r="AR365" s="340">
        <f t="shared" si="328"/>
        <v>0</v>
      </c>
      <c r="AS365" s="341">
        <f>Z365+AC365+AF365+AI365</f>
        <v>110</v>
      </c>
      <c r="AT365" s="339">
        <f t="shared" si="518"/>
        <v>110</v>
      </c>
      <c r="AU365" s="340">
        <f t="shared" si="330"/>
        <v>0</v>
      </c>
      <c r="AV365" s="1255">
        <f>L365-AS365</f>
        <v>0</v>
      </c>
      <c r="AW365" s="343"/>
      <c r="AX365" s="344"/>
      <c r="AY365" s="345"/>
      <c r="AZ365" s="344"/>
      <c r="BA365" s="1133">
        <v>110</v>
      </c>
      <c r="BB365" s="1153">
        <v>110</v>
      </c>
      <c r="BC365" s="347"/>
      <c r="BD365" s="348"/>
      <c r="BE365" s="349"/>
      <c r="BF365" s="348"/>
      <c r="BG365" s="349"/>
      <c r="BH365" s="350"/>
      <c r="BI365" s="351"/>
      <c r="BJ365" s="352"/>
      <c r="BK365" s="337"/>
      <c r="BL365" s="352"/>
      <c r="BM365" s="337"/>
      <c r="BN365" s="353"/>
      <c r="BO365" s="354"/>
      <c r="BP365" s="355"/>
      <c r="BQ365" s="356"/>
      <c r="BR365" s="355"/>
      <c r="BS365" s="356"/>
      <c r="BT365" s="357"/>
    </row>
    <row r="366" spans="1:72" s="313" customFormat="1" ht="25.5">
      <c r="A366" s="287">
        <v>349</v>
      </c>
      <c r="B366" s="935"/>
      <c r="C366" s="840"/>
      <c r="D366" s="841"/>
      <c r="E366" s="839"/>
      <c r="F366" s="821" t="s">
        <v>23</v>
      </c>
      <c r="G366" s="314">
        <v>2</v>
      </c>
      <c r="H366" s="739" t="s">
        <v>71</v>
      </c>
      <c r="I366" s="739">
        <v>244</v>
      </c>
      <c r="J366" s="740">
        <v>346</v>
      </c>
      <c r="K366" s="533" t="s">
        <v>722</v>
      </c>
      <c r="L366" s="1025">
        <v>10000</v>
      </c>
      <c r="M366" s="318"/>
      <c r="N366" s="318"/>
      <c r="O366" s="1052">
        <f t="shared" ref="O366:O368" si="538">L366+N366</f>
        <v>10000</v>
      </c>
      <c r="P366" s="570"/>
      <c r="Q366" s="336"/>
      <c r="R366" s="329"/>
      <c r="S366" s="319"/>
      <c r="T366" s="329"/>
      <c r="U366" s="335"/>
      <c r="V366" s="596" t="s">
        <v>723</v>
      </c>
      <c r="W366" s="320" t="s">
        <v>481</v>
      </c>
      <c r="X366" s="320"/>
      <c r="Z366" s="336">
        <f t="shared" si="506"/>
        <v>0</v>
      </c>
      <c r="AA366" s="337">
        <f t="shared" si="506"/>
        <v>0</v>
      </c>
      <c r="AB366" s="338">
        <f t="shared" si="334"/>
        <v>0</v>
      </c>
      <c r="AC366" s="336">
        <f t="shared" si="508"/>
        <v>10000</v>
      </c>
      <c r="AD366" s="337">
        <f t="shared" si="508"/>
        <v>0</v>
      </c>
      <c r="AE366" s="338">
        <f t="shared" si="336"/>
        <v>10000</v>
      </c>
      <c r="AF366" s="336">
        <f t="shared" si="510"/>
        <v>0</v>
      </c>
      <c r="AG366" s="337">
        <f t="shared" si="510"/>
        <v>0</v>
      </c>
      <c r="AH366" s="338">
        <f t="shared" si="338"/>
        <v>0</v>
      </c>
      <c r="AI366" s="336">
        <f t="shared" si="512"/>
        <v>0</v>
      </c>
      <c r="AJ366" s="337">
        <f t="shared" si="512"/>
        <v>0</v>
      </c>
      <c r="AK366" s="338">
        <f t="shared" si="340"/>
        <v>0</v>
      </c>
      <c r="AL366" s="342"/>
      <c r="AM366" s="336">
        <f t="shared" si="514"/>
        <v>10000</v>
      </c>
      <c r="AN366" s="339">
        <f t="shared" si="514"/>
        <v>0</v>
      </c>
      <c r="AO366" s="340">
        <f t="shared" si="342"/>
        <v>10000</v>
      </c>
      <c r="AP366" s="336">
        <f t="shared" si="516"/>
        <v>10000</v>
      </c>
      <c r="AQ366" s="339">
        <f t="shared" si="516"/>
        <v>0</v>
      </c>
      <c r="AR366" s="340">
        <f t="shared" si="328"/>
        <v>10000</v>
      </c>
      <c r="AS366" s="341">
        <f t="shared" si="518"/>
        <v>10000</v>
      </c>
      <c r="AT366" s="339">
        <f t="shared" si="518"/>
        <v>0</v>
      </c>
      <c r="AU366" s="340">
        <f t="shared" si="330"/>
        <v>10000</v>
      </c>
      <c r="AV366" s="1255">
        <f t="shared" ref="AV366:AV368" si="539">L366-AS366</f>
        <v>0</v>
      </c>
      <c r="AW366" s="343"/>
      <c r="AX366" s="344"/>
      <c r="AY366" s="345"/>
      <c r="AZ366" s="344"/>
      <c r="BA366" s="345"/>
      <c r="BB366" s="346"/>
      <c r="BC366" s="347"/>
      <c r="BD366" s="348"/>
      <c r="BE366" s="349">
        <v>10000</v>
      </c>
      <c r="BF366" s="348"/>
      <c r="BG366" s="349"/>
      <c r="BH366" s="350"/>
      <c r="BI366" s="351"/>
      <c r="BJ366" s="352"/>
      <c r="BK366" s="337"/>
      <c r="BL366" s="352"/>
      <c r="BM366" s="337"/>
      <c r="BN366" s="353"/>
      <c r="BO366" s="354"/>
      <c r="BP366" s="355"/>
      <c r="BQ366" s="356"/>
      <c r="BR366" s="355"/>
      <c r="BS366" s="356"/>
      <c r="BT366" s="357"/>
    </row>
    <row r="367" spans="1:72" s="313" customFormat="1" ht="56.25" customHeight="1">
      <c r="A367" s="287">
        <v>350</v>
      </c>
      <c r="B367" s="935"/>
      <c r="C367" s="840"/>
      <c r="D367" s="841"/>
      <c r="E367" s="839"/>
      <c r="F367" s="821" t="s">
        <v>23</v>
      </c>
      <c r="G367" s="314">
        <v>2</v>
      </c>
      <c r="H367" s="739" t="s">
        <v>71</v>
      </c>
      <c r="I367" s="739">
        <v>244</v>
      </c>
      <c r="J367" s="740">
        <v>346</v>
      </c>
      <c r="K367" s="533" t="s">
        <v>848</v>
      </c>
      <c r="L367" s="1025">
        <v>12491.76</v>
      </c>
      <c r="M367" s="318"/>
      <c r="N367" s="318"/>
      <c r="O367" s="1052">
        <f t="shared" si="538"/>
        <v>12491.76</v>
      </c>
      <c r="P367" s="570"/>
      <c r="Q367" s="336"/>
      <c r="R367" s="329"/>
      <c r="S367" s="319"/>
      <c r="T367" s="329"/>
      <c r="U367" s="335"/>
      <c r="V367" s="596" t="s">
        <v>456</v>
      </c>
      <c r="W367" s="597" t="s">
        <v>1091</v>
      </c>
      <c r="X367" s="597" t="s">
        <v>861</v>
      </c>
      <c r="Z367" s="336">
        <f t="shared" si="506"/>
        <v>0</v>
      </c>
      <c r="AA367" s="337">
        <f t="shared" si="506"/>
        <v>0</v>
      </c>
      <c r="AB367" s="338">
        <f t="shared" si="334"/>
        <v>0</v>
      </c>
      <c r="AC367" s="336">
        <f t="shared" si="508"/>
        <v>12491.76</v>
      </c>
      <c r="AD367" s="337">
        <f t="shared" si="508"/>
        <v>0</v>
      </c>
      <c r="AE367" s="338">
        <f t="shared" si="336"/>
        <v>12491.76</v>
      </c>
      <c r="AF367" s="336">
        <f t="shared" si="510"/>
        <v>0</v>
      </c>
      <c r="AG367" s="337">
        <f t="shared" si="510"/>
        <v>0</v>
      </c>
      <c r="AH367" s="338">
        <f t="shared" si="338"/>
        <v>0</v>
      </c>
      <c r="AI367" s="336">
        <f t="shared" si="512"/>
        <v>0</v>
      </c>
      <c r="AJ367" s="337">
        <f t="shared" si="512"/>
        <v>0</v>
      </c>
      <c r="AK367" s="338">
        <f t="shared" si="340"/>
        <v>0</v>
      </c>
      <c r="AL367" s="342"/>
      <c r="AM367" s="336">
        <f t="shared" si="514"/>
        <v>12491.76</v>
      </c>
      <c r="AN367" s="339">
        <f t="shared" si="514"/>
        <v>0</v>
      </c>
      <c r="AO367" s="340">
        <f t="shared" si="342"/>
        <v>12491.76</v>
      </c>
      <c r="AP367" s="336">
        <f t="shared" si="516"/>
        <v>12491.76</v>
      </c>
      <c r="AQ367" s="339">
        <f t="shared" si="516"/>
        <v>0</v>
      </c>
      <c r="AR367" s="340">
        <f t="shared" si="328"/>
        <v>12491.76</v>
      </c>
      <c r="AS367" s="341">
        <f t="shared" si="518"/>
        <v>12491.76</v>
      </c>
      <c r="AT367" s="339">
        <f t="shared" si="518"/>
        <v>0</v>
      </c>
      <c r="AU367" s="340">
        <f t="shared" si="330"/>
        <v>12491.76</v>
      </c>
      <c r="AV367" s="1255">
        <f t="shared" si="539"/>
        <v>0</v>
      </c>
      <c r="AW367" s="343"/>
      <c r="AX367" s="344"/>
      <c r="AY367" s="345"/>
      <c r="AZ367" s="344"/>
      <c r="BA367" s="345"/>
      <c r="BB367" s="346"/>
      <c r="BC367" s="347"/>
      <c r="BD367" s="348"/>
      <c r="BE367" s="349"/>
      <c r="BF367" s="348"/>
      <c r="BG367" s="1135">
        <v>12491.76</v>
      </c>
      <c r="BH367" s="350"/>
      <c r="BI367" s="351"/>
      <c r="BJ367" s="352"/>
      <c r="BK367" s="337"/>
      <c r="BL367" s="352"/>
      <c r="BM367" s="337"/>
      <c r="BN367" s="353"/>
      <c r="BO367" s="354"/>
      <c r="BP367" s="355"/>
      <c r="BQ367" s="356"/>
      <c r="BR367" s="355"/>
      <c r="BS367" s="356"/>
      <c r="BT367" s="357"/>
    </row>
    <row r="368" spans="1:72" s="313" customFormat="1" ht="25.5" outlineLevel="2">
      <c r="A368" s="287">
        <v>351</v>
      </c>
      <c r="B368" s="1143"/>
      <c r="C368" s="840"/>
      <c r="D368" s="841"/>
      <c r="E368" s="839"/>
      <c r="F368" s="821" t="s">
        <v>23</v>
      </c>
      <c r="G368" s="314">
        <v>2</v>
      </c>
      <c r="H368" s="739" t="s">
        <v>71</v>
      </c>
      <c r="I368" s="739">
        <v>244</v>
      </c>
      <c r="J368" s="740">
        <v>346</v>
      </c>
      <c r="K368" s="533" t="s">
        <v>1088</v>
      </c>
      <c r="L368" s="1025">
        <v>644</v>
      </c>
      <c r="M368" s="318"/>
      <c r="N368" s="318"/>
      <c r="O368" s="1052">
        <f t="shared" si="538"/>
        <v>644</v>
      </c>
      <c r="P368" s="570"/>
      <c r="Q368" s="336">
        <v>0</v>
      </c>
      <c r="R368" s="559"/>
      <c r="S368" s="541">
        <v>0</v>
      </c>
      <c r="T368" s="559"/>
      <c r="U368" s="335"/>
      <c r="V368" s="596" t="s">
        <v>640</v>
      </c>
      <c r="W368" s="596" t="s">
        <v>1087</v>
      </c>
      <c r="X368" s="388"/>
      <c r="Z368" s="336">
        <f t="shared" si="506"/>
        <v>0</v>
      </c>
      <c r="AA368" s="337">
        <f t="shared" si="506"/>
        <v>0</v>
      </c>
      <c r="AB368" s="338">
        <f t="shared" si="334"/>
        <v>0</v>
      </c>
      <c r="AC368" s="336">
        <f t="shared" si="508"/>
        <v>0</v>
      </c>
      <c r="AD368" s="337">
        <f t="shared" si="508"/>
        <v>0</v>
      </c>
      <c r="AE368" s="338">
        <f t="shared" si="336"/>
        <v>0</v>
      </c>
      <c r="AF368" s="336">
        <f t="shared" si="510"/>
        <v>0</v>
      </c>
      <c r="AG368" s="337">
        <f t="shared" si="510"/>
        <v>0</v>
      </c>
      <c r="AH368" s="338">
        <f t="shared" si="338"/>
        <v>0</v>
      </c>
      <c r="AI368" s="336">
        <f t="shared" si="512"/>
        <v>644</v>
      </c>
      <c r="AJ368" s="337">
        <f t="shared" si="512"/>
        <v>0</v>
      </c>
      <c r="AK368" s="338">
        <f t="shared" si="340"/>
        <v>644</v>
      </c>
      <c r="AL368" s="342"/>
      <c r="AM368" s="336">
        <f t="shared" si="514"/>
        <v>0</v>
      </c>
      <c r="AN368" s="339">
        <f t="shared" si="514"/>
        <v>0</v>
      </c>
      <c r="AO368" s="340">
        <f t="shared" si="342"/>
        <v>0</v>
      </c>
      <c r="AP368" s="336">
        <f t="shared" si="516"/>
        <v>0</v>
      </c>
      <c r="AQ368" s="339">
        <f t="shared" si="516"/>
        <v>0</v>
      </c>
      <c r="AR368" s="340">
        <f t="shared" si="328"/>
        <v>0</v>
      </c>
      <c r="AS368" s="341">
        <f t="shared" si="518"/>
        <v>644</v>
      </c>
      <c r="AT368" s="339">
        <f t="shared" si="518"/>
        <v>0</v>
      </c>
      <c r="AU368" s="340">
        <f t="shared" si="330"/>
        <v>644</v>
      </c>
      <c r="AV368" s="1255">
        <f t="shared" si="539"/>
        <v>0</v>
      </c>
      <c r="AW368" s="343"/>
      <c r="AX368" s="344"/>
      <c r="AY368" s="345"/>
      <c r="AZ368" s="344"/>
      <c r="BA368" s="345"/>
      <c r="BB368" s="346"/>
      <c r="BC368" s="1134"/>
      <c r="BD368" s="1140"/>
      <c r="BE368" s="349"/>
      <c r="BF368" s="348"/>
      <c r="BG368" s="349"/>
      <c r="BH368" s="350"/>
      <c r="BI368" s="351"/>
      <c r="BJ368" s="352"/>
      <c r="BK368" s="337"/>
      <c r="BL368" s="352"/>
      <c r="BM368" s="337"/>
      <c r="BN368" s="353"/>
      <c r="BO368" s="1138">
        <v>644</v>
      </c>
      <c r="BP368" s="355"/>
      <c r="BQ368" s="356"/>
      <c r="BR368" s="355"/>
      <c r="BS368" s="356"/>
      <c r="BT368" s="357"/>
    </row>
    <row r="369" spans="1:72" s="615" customFormat="1" ht="25.5">
      <c r="A369" s="287">
        <v>352</v>
      </c>
      <c r="B369" s="935"/>
      <c r="C369" s="866"/>
      <c r="D369" s="867"/>
      <c r="E369" s="867"/>
      <c r="F369" s="832" t="s">
        <v>23</v>
      </c>
      <c r="G369" s="616">
        <v>2</v>
      </c>
      <c r="H369" s="749" t="s">
        <v>71</v>
      </c>
      <c r="I369" s="749">
        <v>244</v>
      </c>
      <c r="J369" s="750">
        <v>346</v>
      </c>
      <c r="K369" s="932" t="s">
        <v>214</v>
      </c>
      <c r="L369" s="1046">
        <v>0</v>
      </c>
      <c r="M369" s="619"/>
      <c r="N369" s="619"/>
      <c r="O369" s="1054">
        <f>L369+N369</f>
        <v>0</v>
      </c>
      <c r="P369" s="988"/>
      <c r="Q369" s="656">
        <v>0</v>
      </c>
      <c r="R369" s="988"/>
      <c r="S369" s="656">
        <v>0</v>
      </c>
      <c r="T369" s="988"/>
      <c r="U369" s="621"/>
      <c r="V369" s="388"/>
      <c r="W369" s="388"/>
      <c r="X369" s="388"/>
      <c r="Z369" s="509">
        <f>AW369+AY369+BA369</f>
        <v>0</v>
      </c>
      <c r="AA369" s="622">
        <f>AX369+AZ369+BB369</f>
        <v>0</v>
      </c>
      <c r="AB369" s="623">
        <f>Z369-AA369</f>
        <v>0</v>
      </c>
      <c r="AC369" s="509">
        <f>BC369+BE369+BG369</f>
        <v>0</v>
      </c>
      <c r="AD369" s="622">
        <f>BD369+BF369+BH369</f>
        <v>0</v>
      </c>
      <c r="AE369" s="623">
        <f>AC369-AD369</f>
        <v>0</v>
      </c>
      <c r="AF369" s="509">
        <f>BI369+BK369+BM369</f>
        <v>0</v>
      </c>
      <c r="AG369" s="622">
        <f>BJ369+BL369+BN369</f>
        <v>0</v>
      </c>
      <c r="AH369" s="623">
        <f>AF369-AG369</f>
        <v>0</v>
      </c>
      <c r="AI369" s="509">
        <f>BO369+BQ369+BS369</f>
        <v>0</v>
      </c>
      <c r="AJ369" s="622">
        <f>BP369+BR369+BT369</f>
        <v>0</v>
      </c>
      <c r="AK369" s="623">
        <f>AI369-AJ369</f>
        <v>0</v>
      </c>
      <c r="AL369" s="624"/>
      <c r="AM369" s="509">
        <f>Z369+AC369</f>
        <v>0</v>
      </c>
      <c r="AN369" s="625">
        <f>AA369+AD369</f>
        <v>0</v>
      </c>
      <c r="AO369" s="626">
        <f>AM369-AN369</f>
        <v>0</v>
      </c>
      <c r="AP369" s="509">
        <f>Z369+AC369+AF369</f>
        <v>0</v>
      </c>
      <c r="AQ369" s="625">
        <f>AA369+AD369+AG369</f>
        <v>0</v>
      </c>
      <c r="AR369" s="626">
        <f>AP369-AQ369</f>
        <v>0</v>
      </c>
      <c r="AS369" s="510">
        <f>Z369+AC369+AF369+AI369</f>
        <v>0</v>
      </c>
      <c r="AT369" s="625">
        <f>AA369+AD369+AG369+AJ369</f>
        <v>0</v>
      </c>
      <c r="AU369" s="626">
        <f>AS369-AT369</f>
        <v>0</v>
      </c>
      <c r="AV369" s="440">
        <f>L369-AS369</f>
        <v>0</v>
      </c>
      <c r="AW369" s="628"/>
      <c r="AX369" s="629"/>
      <c r="AY369" s="630"/>
      <c r="AZ369" s="629"/>
      <c r="BA369" s="630"/>
      <c r="BB369" s="631"/>
      <c r="BC369" s="632"/>
      <c r="BD369" s="633"/>
      <c r="BE369" s="634"/>
      <c r="BF369" s="633"/>
      <c r="BG369" s="634"/>
      <c r="BH369" s="635"/>
      <c r="BI369" s="636"/>
      <c r="BJ369" s="637"/>
      <c r="BK369" s="622"/>
      <c r="BL369" s="637"/>
      <c r="BM369" s="622"/>
      <c r="BN369" s="638"/>
      <c r="BO369" s="639"/>
      <c r="BP369" s="640"/>
      <c r="BQ369" s="641"/>
      <c r="BR369" s="640"/>
      <c r="BS369" s="641"/>
      <c r="BT369" s="642"/>
    </row>
    <row r="370" spans="1:72" s="358" customFormat="1" ht="47.25">
      <c r="A370" s="287">
        <v>353</v>
      </c>
      <c r="B370" s="941"/>
      <c r="C370" s="850" t="s">
        <v>377</v>
      </c>
      <c r="D370" s="838"/>
      <c r="E370" s="836" t="s">
        <v>201</v>
      </c>
      <c r="F370" s="820" t="s">
        <v>23</v>
      </c>
      <c r="G370" s="360">
        <v>2</v>
      </c>
      <c r="H370" s="360" t="s">
        <v>71</v>
      </c>
      <c r="I370" s="360">
        <v>244</v>
      </c>
      <c r="J370" s="361">
        <v>346</v>
      </c>
      <c r="K370" s="532" t="s">
        <v>305</v>
      </c>
      <c r="L370" s="1023">
        <f>SUM(L371:L376)</f>
        <v>100867.29</v>
      </c>
      <c r="M370" s="1292"/>
      <c r="N370" s="363">
        <f>SUM(N371:N376)</f>
        <v>0</v>
      </c>
      <c r="O370" s="1051">
        <f>L370+N370</f>
        <v>100867.29</v>
      </c>
      <c r="P370" s="571"/>
      <c r="Q370" s="367">
        <f t="shared" ref="Q370:S370" si="540">SUM(Q371:Q376)</f>
        <v>80038.95</v>
      </c>
      <c r="R370" s="557">
        <f t="shared" si="540"/>
        <v>0</v>
      </c>
      <c r="S370" s="539">
        <f t="shared" si="540"/>
        <v>80867.289999999994</v>
      </c>
      <c r="T370" s="557"/>
      <c r="U370" s="365"/>
      <c r="V370" s="320"/>
      <c r="W370" s="320"/>
      <c r="X370" s="320"/>
      <c r="Z370" s="367">
        <f t="shared" ref="Z370:AA410" si="541">AW370+AY370+BA370</f>
        <v>13080</v>
      </c>
      <c r="AA370" s="363">
        <f t="shared" si="541"/>
        <v>13080</v>
      </c>
      <c r="AB370" s="280">
        <f t="shared" si="334"/>
        <v>0</v>
      </c>
      <c r="AC370" s="367">
        <f t="shared" ref="AC370:AD410" si="542">BC370+BE370+BG370</f>
        <v>54207.29</v>
      </c>
      <c r="AD370" s="363">
        <f t="shared" si="542"/>
        <v>2920.1</v>
      </c>
      <c r="AE370" s="280">
        <f t="shared" si="336"/>
        <v>51287.19</v>
      </c>
      <c r="AF370" s="367">
        <f t="shared" ref="AF370:AG410" si="543">BI370+BK370+BM370</f>
        <v>16790</v>
      </c>
      <c r="AG370" s="363">
        <f t="shared" si="543"/>
        <v>0</v>
      </c>
      <c r="AH370" s="280">
        <f t="shared" si="338"/>
        <v>16790</v>
      </c>
      <c r="AI370" s="367">
        <f t="shared" ref="AI370:AJ410" si="544">BO370+BQ370+BS370</f>
        <v>16790</v>
      </c>
      <c r="AJ370" s="363">
        <f t="shared" si="544"/>
        <v>0</v>
      </c>
      <c r="AK370" s="280">
        <f t="shared" si="340"/>
        <v>16790</v>
      </c>
      <c r="AL370" s="368"/>
      <c r="AM370" s="367">
        <f t="shared" ref="AM370:AN415" si="545">Z370+AC370</f>
        <v>67287.289999999994</v>
      </c>
      <c r="AN370" s="363">
        <f t="shared" si="545"/>
        <v>16000.1</v>
      </c>
      <c r="AO370" s="280">
        <f t="shared" si="342"/>
        <v>51287.19</v>
      </c>
      <c r="AP370" s="367">
        <f t="shared" ref="AP370:AQ415" si="546">Z370+AC370+AF370</f>
        <v>84077.29</v>
      </c>
      <c r="AQ370" s="363">
        <f t="shared" si="546"/>
        <v>16000.1</v>
      </c>
      <c r="AR370" s="280">
        <f t="shared" si="328"/>
        <v>68077.19</v>
      </c>
      <c r="AS370" s="367">
        <f t="shared" ref="AS370:AT410" si="547">Z370+AC370+AF370+AI370</f>
        <v>100867.29</v>
      </c>
      <c r="AT370" s="363">
        <f t="shared" si="547"/>
        <v>16000.1</v>
      </c>
      <c r="AU370" s="280">
        <f t="shared" si="330"/>
        <v>84867.19</v>
      </c>
      <c r="AV370" s="1253">
        <f t="shared" si="358"/>
        <v>0</v>
      </c>
      <c r="AW370" s="367">
        <f t="shared" ref="AW370:BS370" si="548">SUM(AW371:AW376)</f>
        <v>0</v>
      </c>
      <c r="AX370" s="363">
        <f t="shared" si="548"/>
        <v>0</v>
      </c>
      <c r="AY370" s="363">
        <f t="shared" si="548"/>
        <v>7860</v>
      </c>
      <c r="AZ370" s="363">
        <f t="shared" si="548"/>
        <v>7860</v>
      </c>
      <c r="BA370" s="363">
        <f t="shared" si="548"/>
        <v>5220</v>
      </c>
      <c r="BB370" s="369">
        <f t="shared" si="548"/>
        <v>5220</v>
      </c>
      <c r="BC370" s="367">
        <f t="shared" si="548"/>
        <v>16240</v>
      </c>
      <c r="BD370" s="363">
        <f t="shared" si="548"/>
        <v>2920.1</v>
      </c>
      <c r="BE370" s="363">
        <f t="shared" si="548"/>
        <v>8395</v>
      </c>
      <c r="BF370" s="363">
        <f t="shared" si="548"/>
        <v>0</v>
      </c>
      <c r="BG370" s="363">
        <f t="shared" si="548"/>
        <v>29572.29</v>
      </c>
      <c r="BH370" s="369">
        <f t="shared" si="548"/>
        <v>0</v>
      </c>
      <c r="BI370" s="367">
        <f t="shared" si="548"/>
        <v>0</v>
      </c>
      <c r="BJ370" s="363">
        <f t="shared" si="548"/>
        <v>0</v>
      </c>
      <c r="BK370" s="363">
        <f t="shared" si="548"/>
        <v>8395</v>
      </c>
      <c r="BL370" s="363">
        <f t="shared" si="548"/>
        <v>0</v>
      </c>
      <c r="BM370" s="363">
        <f t="shared" si="548"/>
        <v>8395</v>
      </c>
      <c r="BN370" s="369">
        <f t="shared" si="548"/>
        <v>0</v>
      </c>
      <c r="BO370" s="367">
        <f t="shared" si="548"/>
        <v>8395</v>
      </c>
      <c r="BP370" s="363">
        <f t="shared" si="548"/>
        <v>0</v>
      </c>
      <c r="BQ370" s="363">
        <f t="shared" si="548"/>
        <v>8395</v>
      </c>
      <c r="BR370" s="363">
        <f t="shared" si="548"/>
        <v>0</v>
      </c>
      <c r="BS370" s="363">
        <f t="shared" si="548"/>
        <v>0</v>
      </c>
      <c r="BT370" s="280"/>
    </row>
    <row r="371" spans="1:72" s="313" customFormat="1" ht="38.25">
      <c r="A371" s="287">
        <v>354</v>
      </c>
      <c r="B371" s="941"/>
      <c r="C371" s="840"/>
      <c r="D371" s="841"/>
      <c r="E371" s="839"/>
      <c r="F371" s="821" t="s">
        <v>23</v>
      </c>
      <c r="G371" s="314">
        <v>2</v>
      </c>
      <c r="H371" s="739" t="s">
        <v>71</v>
      </c>
      <c r="I371" s="739">
        <v>244</v>
      </c>
      <c r="J371" s="740">
        <v>346</v>
      </c>
      <c r="K371" s="1007" t="s">
        <v>305</v>
      </c>
      <c r="L371" s="1045">
        <f>100867.29-SUM(L372:L376)</f>
        <v>29572.29</v>
      </c>
      <c r="M371" s="318"/>
      <c r="N371" s="318"/>
      <c r="O371" s="1055">
        <f>L371+N371</f>
        <v>29572.29</v>
      </c>
      <c r="P371" s="329"/>
      <c r="Q371" s="319">
        <v>80038.95</v>
      </c>
      <c r="R371" s="329"/>
      <c r="S371" s="319">
        <v>80867.289999999994</v>
      </c>
      <c r="T371" s="329"/>
      <c r="U371" s="335"/>
      <c r="V371" s="320"/>
      <c r="W371" s="320"/>
      <c r="X371" s="320"/>
      <c r="Z371" s="336">
        <f>AW371+AY371+BA371</f>
        <v>0</v>
      </c>
      <c r="AA371" s="337">
        <f>AX371+AZ371+BB371</f>
        <v>0</v>
      </c>
      <c r="AB371" s="338">
        <f t="shared" si="334"/>
        <v>0</v>
      </c>
      <c r="AC371" s="336">
        <f>BC371+BE371+BG371</f>
        <v>29572.29</v>
      </c>
      <c r="AD371" s="337">
        <f>BD371+BF371+BH371</f>
        <v>0</v>
      </c>
      <c r="AE371" s="338">
        <f t="shared" si="336"/>
        <v>29572.29</v>
      </c>
      <c r="AF371" s="336">
        <f>BI371+BK371+BM371</f>
        <v>0</v>
      </c>
      <c r="AG371" s="337">
        <f>BJ371+BL371+BN371</f>
        <v>0</v>
      </c>
      <c r="AH371" s="338">
        <f t="shared" si="338"/>
        <v>0</v>
      </c>
      <c r="AI371" s="336">
        <f>BO371+BQ371+BS371</f>
        <v>0</v>
      </c>
      <c r="AJ371" s="337">
        <f>BP371+BR371+BT371</f>
        <v>0</v>
      </c>
      <c r="AK371" s="338">
        <f t="shared" si="340"/>
        <v>0</v>
      </c>
      <c r="AL371" s="342"/>
      <c r="AM371" s="336">
        <f>Z371+AC371</f>
        <v>29572.29</v>
      </c>
      <c r="AN371" s="339">
        <f>AA371+AD371</f>
        <v>0</v>
      </c>
      <c r="AO371" s="340">
        <f t="shared" si="342"/>
        <v>29572.29</v>
      </c>
      <c r="AP371" s="336">
        <f>Z371+AC371+AF371</f>
        <v>29572.29</v>
      </c>
      <c r="AQ371" s="339">
        <f>AA371+AD371+AG371</f>
        <v>0</v>
      </c>
      <c r="AR371" s="340">
        <f t="shared" si="328"/>
        <v>29572.29</v>
      </c>
      <c r="AS371" s="341">
        <f>Z371+AC371+AF371+AI371</f>
        <v>29572.29</v>
      </c>
      <c r="AT371" s="339">
        <f>AA371+AD371+AG371+AJ371</f>
        <v>0</v>
      </c>
      <c r="AU371" s="340">
        <f t="shared" si="330"/>
        <v>29572.29</v>
      </c>
      <c r="AV371" s="1255">
        <f>L371-AS371</f>
        <v>0</v>
      </c>
      <c r="AW371" s="343"/>
      <c r="AX371" s="344"/>
      <c r="AY371" s="345"/>
      <c r="AZ371" s="344"/>
      <c r="BA371" s="345"/>
      <c r="BB371" s="346"/>
      <c r="BC371" s="347"/>
      <c r="BD371" s="348"/>
      <c r="BE371" s="349"/>
      <c r="BF371" s="348"/>
      <c r="BG371" s="349">
        <f>76449.29-46877</f>
        <v>29572.29</v>
      </c>
      <c r="BH371" s="350"/>
      <c r="BI371" s="351"/>
      <c r="BJ371" s="352"/>
      <c r="BK371" s="337"/>
      <c r="BL371" s="352"/>
      <c r="BM371" s="337"/>
      <c r="BN371" s="353"/>
      <c r="BO371" s="354"/>
      <c r="BP371" s="355"/>
      <c r="BQ371" s="356"/>
      <c r="BR371" s="355"/>
      <c r="BS371" s="356"/>
      <c r="BT371" s="357"/>
    </row>
    <row r="372" spans="1:72" s="313" customFormat="1" ht="25.5">
      <c r="A372" s="287">
        <v>355</v>
      </c>
      <c r="B372" s="935"/>
      <c r="C372" s="840"/>
      <c r="D372" s="841"/>
      <c r="E372" s="839"/>
      <c r="F372" s="821" t="s">
        <v>23</v>
      </c>
      <c r="G372" s="314">
        <v>2</v>
      </c>
      <c r="H372" s="739" t="s">
        <v>71</v>
      </c>
      <c r="I372" s="739">
        <v>244</v>
      </c>
      <c r="J372" s="740">
        <v>346</v>
      </c>
      <c r="K372" s="533" t="s">
        <v>464</v>
      </c>
      <c r="L372" s="1025">
        <v>7860</v>
      </c>
      <c r="M372" s="318"/>
      <c r="N372" s="318"/>
      <c r="O372" s="1052">
        <f t="shared" si="332"/>
        <v>7860</v>
      </c>
      <c r="P372" s="570"/>
      <c r="Q372" s="336"/>
      <c r="R372" s="329"/>
      <c r="S372" s="319"/>
      <c r="T372" s="329"/>
      <c r="U372" s="335"/>
      <c r="V372" s="596" t="s">
        <v>463</v>
      </c>
      <c r="W372" s="596" t="s">
        <v>466</v>
      </c>
      <c r="X372" s="596" t="s">
        <v>467</v>
      </c>
      <c r="Z372" s="336">
        <f t="shared" si="541"/>
        <v>7860</v>
      </c>
      <c r="AA372" s="337">
        <f t="shared" si="541"/>
        <v>7860</v>
      </c>
      <c r="AB372" s="338">
        <f t="shared" si="334"/>
        <v>0</v>
      </c>
      <c r="AC372" s="336">
        <f t="shared" si="542"/>
        <v>0</v>
      </c>
      <c r="AD372" s="337">
        <f t="shared" si="542"/>
        <v>0</v>
      </c>
      <c r="AE372" s="338">
        <f t="shared" si="336"/>
        <v>0</v>
      </c>
      <c r="AF372" s="336">
        <f t="shared" si="543"/>
        <v>0</v>
      </c>
      <c r="AG372" s="337">
        <f t="shared" si="543"/>
        <v>0</v>
      </c>
      <c r="AH372" s="338">
        <f t="shared" si="338"/>
        <v>0</v>
      </c>
      <c r="AI372" s="336">
        <f t="shared" si="544"/>
        <v>0</v>
      </c>
      <c r="AJ372" s="337">
        <f t="shared" si="544"/>
        <v>0</v>
      </c>
      <c r="AK372" s="338">
        <f t="shared" si="340"/>
        <v>0</v>
      </c>
      <c r="AL372" s="342"/>
      <c r="AM372" s="336">
        <f t="shared" si="545"/>
        <v>7860</v>
      </c>
      <c r="AN372" s="339">
        <f t="shared" si="545"/>
        <v>7860</v>
      </c>
      <c r="AO372" s="340">
        <f t="shared" si="342"/>
        <v>0</v>
      </c>
      <c r="AP372" s="336">
        <f t="shared" si="546"/>
        <v>7860</v>
      </c>
      <c r="AQ372" s="339">
        <f t="shared" si="546"/>
        <v>7860</v>
      </c>
      <c r="AR372" s="340">
        <f t="shared" si="328"/>
        <v>0</v>
      </c>
      <c r="AS372" s="341">
        <f t="shared" si="547"/>
        <v>7860</v>
      </c>
      <c r="AT372" s="339">
        <f t="shared" si="547"/>
        <v>7860</v>
      </c>
      <c r="AU372" s="340">
        <f t="shared" si="330"/>
        <v>0</v>
      </c>
      <c r="AV372" s="1255">
        <f t="shared" si="358"/>
        <v>0</v>
      </c>
      <c r="AW372" s="343"/>
      <c r="AX372" s="344"/>
      <c r="AY372" s="1133">
        <v>7860</v>
      </c>
      <c r="AZ372" s="1152">
        <v>7860</v>
      </c>
      <c r="BA372" s="345"/>
      <c r="BB372" s="346"/>
      <c r="BC372" s="347"/>
      <c r="BD372" s="348"/>
      <c r="BE372" s="349"/>
      <c r="BF372" s="348"/>
      <c r="BG372" s="349"/>
      <c r="BH372" s="350"/>
      <c r="BI372" s="351"/>
      <c r="BJ372" s="352"/>
      <c r="BK372" s="337"/>
      <c r="BL372" s="352"/>
      <c r="BM372" s="337"/>
      <c r="BN372" s="353"/>
      <c r="BO372" s="354"/>
      <c r="BP372" s="355"/>
      <c r="BQ372" s="356"/>
      <c r="BR372" s="355"/>
      <c r="BS372" s="356"/>
      <c r="BT372" s="357"/>
    </row>
    <row r="373" spans="1:72" s="313" customFormat="1" ht="25.5">
      <c r="A373" s="287">
        <v>356</v>
      </c>
      <c r="B373" s="935"/>
      <c r="C373" s="840"/>
      <c r="D373" s="841"/>
      <c r="E373" s="839"/>
      <c r="F373" s="821" t="s">
        <v>23</v>
      </c>
      <c r="G373" s="314">
        <v>2</v>
      </c>
      <c r="H373" s="739" t="s">
        <v>71</v>
      </c>
      <c r="I373" s="739">
        <v>244</v>
      </c>
      <c r="J373" s="740">
        <v>346</v>
      </c>
      <c r="K373" s="533" t="s">
        <v>464</v>
      </c>
      <c r="L373" s="318">
        <v>2880</v>
      </c>
      <c r="M373" s="318"/>
      <c r="N373" s="318"/>
      <c r="O373" s="1052">
        <f t="shared" si="332"/>
        <v>2880</v>
      </c>
      <c r="P373" s="570"/>
      <c r="Q373" s="336"/>
      <c r="R373" s="329"/>
      <c r="S373" s="319"/>
      <c r="T373" s="329"/>
      <c r="U373" s="335"/>
      <c r="V373" s="596" t="s">
        <v>463</v>
      </c>
      <c r="W373" s="596" t="s">
        <v>1047</v>
      </c>
      <c r="X373" s="320"/>
      <c r="Z373" s="336">
        <f t="shared" si="541"/>
        <v>2880</v>
      </c>
      <c r="AA373" s="337">
        <f t="shared" si="541"/>
        <v>2880</v>
      </c>
      <c r="AB373" s="338">
        <f t="shared" si="334"/>
        <v>0</v>
      </c>
      <c r="AC373" s="336">
        <f t="shared" si="542"/>
        <v>0</v>
      </c>
      <c r="AD373" s="337">
        <f t="shared" si="542"/>
        <v>0</v>
      </c>
      <c r="AE373" s="338">
        <f t="shared" si="336"/>
        <v>0</v>
      </c>
      <c r="AF373" s="336">
        <f t="shared" si="543"/>
        <v>0</v>
      </c>
      <c r="AG373" s="337">
        <f t="shared" si="543"/>
        <v>0</v>
      </c>
      <c r="AH373" s="338">
        <f t="shared" si="338"/>
        <v>0</v>
      </c>
      <c r="AI373" s="336">
        <f t="shared" si="544"/>
        <v>0</v>
      </c>
      <c r="AJ373" s="337">
        <f t="shared" si="544"/>
        <v>0</v>
      </c>
      <c r="AK373" s="338">
        <f t="shared" si="340"/>
        <v>0</v>
      </c>
      <c r="AL373" s="342"/>
      <c r="AM373" s="336">
        <f t="shared" si="545"/>
        <v>2880</v>
      </c>
      <c r="AN373" s="339">
        <f t="shared" si="545"/>
        <v>2880</v>
      </c>
      <c r="AO373" s="340">
        <f t="shared" si="342"/>
        <v>0</v>
      </c>
      <c r="AP373" s="336">
        <f t="shared" si="546"/>
        <v>2880</v>
      </c>
      <c r="AQ373" s="339">
        <f t="shared" si="546"/>
        <v>2880</v>
      </c>
      <c r="AR373" s="340">
        <f t="shared" si="328"/>
        <v>0</v>
      </c>
      <c r="AS373" s="341">
        <f t="shared" si="547"/>
        <v>2880</v>
      </c>
      <c r="AT373" s="339">
        <f t="shared" si="547"/>
        <v>2880</v>
      </c>
      <c r="AU373" s="340">
        <f t="shared" si="330"/>
        <v>0</v>
      </c>
      <c r="AV373" s="1255">
        <f t="shared" si="358"/>
        <v>0</v>
      </c>
      <c r="AW373" s="343"/>
      <c r="AX373" s="344"/>
      <c r="AY373" s="345"/>
      <c r="AZ373" s="344"/>
      <c r="BA373" s="1133">
        <v>2880</v>
      </c>
      <c r="BB373" s="1153">
        <v>2880</v>
      </c>
      <c r="BC373" s="347"/>
      <c r="BD373" s="348"/>
      <c r="BE373" s="349"/>
      <c r="BF373" s="348"/>
      <c r="BG373" s="349"/>
      <c r="BH373" s="350"/>
      <c r="BI373" s="351"/>
      <c r="BJ373" s="352"/>
      <c r="BK373" s="337"/>
      <c r="BL373" s="352"/>
      <c r="BM373" s="337"/>
      <c r="BN373" s="353"/>
      <c r="BO373" s="354"/>
      <c r="BP373" s="355"/>
      <c r="BQ373" s="356"/>
      <c r="BR373" s="355"/>
      <c r="BS373" s="356"/>
      <c r="BT373" s="357"/>
    </row>
    <row r="374" spans="1:72" s="313" customFormat="1" ht="25.5">
      <c r="A374" s="287">
        <v>357</v>
      </c>
      <c r="B374" s="935"/>
      <c r="C374" s="840"/>
      <c r="D374" s="841"/>
      <c r="E374" s="839"/>
      <c r="F374" s="821" t="s">
        <v>23</v>
      </c>
      <c r="G374" s="314">
        <v>2</v>
      </c>
      <c r="H374" s="739" t="s">
        <v>71</v>
      </c>
      <c r="I374" s="739">
        <v>244</v>
      </c>
      <c r="J374" s="740">
        <v>346</v>
      </c>
      <c r="K374" s="533" t="s">
        <v>464</v>
      </c>
      <c r="L374" s="318">
        <v>20160</v>
      </c>
      <c r="M374" s="318"/>
      <c r="N374" s="318"/>
      <c r="O374" s="1052">
        <f t="shared" si="332"/>
        <v>20160</v>
      </c>
      <c r="P374" s="570"/>
      <c r="Q374" s="336"/>
      <c r="R374" s="329"/>
      <c r="S374" s="319"/>
      <c r="T374" s="329"/>
      <c r="U374" s="335"/>
      <c r="V374" s="596" t="s">
        <v>463</v>
      </c>
      <c r="W374" s="596" t="s">
        <v>1046</v>
      </c>
      <c r="X374" s="320"/>
      <c r="Z374" s="336">
        <f t="shared" si="541"/>
        <v>0</v>
      </c>
      <c r="AA374" s="337">
        <f t="shared" si="541"/>
        <v>0</v>
      </c>
      <c r="AB374" s="338">
        <f t="shared" si="334"/>
        <v>0</v>
      </c>
      <c r="AC374" s="336">
        <f t="shared" si="542"/>
        <v>8640</v>
      </c>
      <c r="AD374" s="337">
        <f t="shared" si="542"/>
        <v>0</v>
      </c>
      <c r="AE374" s="338">
        <f t="shared" si="336"/>
        <v>8640</v>
      </c>
      <c r="AF374" s="336">
        <f t="shared" si="543"/>
        <v>5760</v>
      </c>
      <c r="AG374" s="337">
        <f t="shared" si="543"/>
        <v>0</v>
      </c>
      <c r="AH374" s="338">
        <f t="shared" si="338"/>
        <v>5760</v>
      </c>
      <c r="AI374" s="336">
        <f t="shared" si="544"/>
        <v>5760</v>
      </c>
      <c r="AJ374" s="337">
        <f t="shared" si="544"/>
        <v>0</v>
      </c>
      <c r="AK374" s="338">
        <f t="shared" si="340"/>
        <v>5760</v>
      </c>
      <c r="AL374" s="342"/>
      <c r="AM374" s="336">
        <f t="shared" si="545"/>
        <v>8640</v>
      </c>
      <c r="AN374" s="339">
        <f t="shared" si="545"/>
        <v>0</v>
      </c>
      <c r="AO374" s="340">
        <f t="shared" si="342"/>
        <v>8640</v>
      </c>
      <c r="AP374" s="336">
        <f t="shared" si="546"/>
        <v>14400</v>
      </c>
      <c r="AQ374" s="339">
        <f t="shared" si="546"/>
        <v>0</v>
      </c>
      <c r="AR374" s="340">
        <f t="shared" si="328"/>
        <v>14400</v>
      </c>
      <c r="AS374" s="341">
        <f t="shared" si="547"/>
        <v>20160</v>
      </c>
      <c r="AT374" s="339">
        <f t="shared" si="547"/>
        <v>0</v>
      </c>
      <c r="AU374" s="340">
        <f t="shared" si="330"/>
        <v>20160</v>
      </c>
      <c r="AV374" s="1255">
        <f t="shared" si="358"/>
        <v>0</v>
      </c>
      <c r="AW374" s="343"/>
      <c r="AX374" s="344"/>
      <c r="AY374" s="345"/>
      <c r="AZ374" s="344"/>
      <c r="BA374" s="345"/>
      <c r="BB374" s="346"/>
      <c r="BC374" s="1134">
        <v>5760</v>
      </c>
      <c r="BD374" s="1140"/>
      <c r="BE374" s="1135">
        <v>2880</v>
      </c>
      <c r="BF374" s="1140"/>
      <c r="BG374" s="1135"/>
      <c r="BH374" s="1141"/>
      <c r="BI374" s="1136"/>
      <c r="BJ374" s="909"/>
      <c r="BK374" s="1137">
        <v>2880</v>
      </c>
      <c r="BL374" s="909"/>
      <c r="BM374" s="1137">
        <v>2880</v>
      </c>
      <c r="BN374" s="920"/>
      <c r="BO374" s="1138">
        <v>2880</v>
      </c>
      <c r="BP374" s="1142"/>
      <c r="BQ374" s="356">
        <v>2880</v>
      </c>
      <c r="BR374" s="1142"/>
      <c r="BS374" s="1139"/>
      <c r="BT374" s="357"/>
    </row>
    <row r="375" spans="1:72" s="313" customFormat="1" ht="25.5">
      <c r="A375" s="287">
        <v>358</v>
      </c>
      <c r="B375" s="935"/>
      <c r="C375" s="840"/>
      <c r="D375" s="841"/>
      <c r="E375" s="839"/>
      <c r="F375" s="821" t="s">
        <v>23</v>
      </c>
      <c r="G375" s="314">
        <v>2</v>
      </c>
      <c r="H375" s="739" t="s">
        <v>71</v>
      </c>
      <c r="I375" s="739">
        <v>244</v>
      </c>
      <c r="J375" s="740">
        <v>346</v>
      </c>
      <c r="K375" s="533" t="s">
        <v>595</v>
      </c>
      <c r="L375" s="318">
        <v>2340</v>
      </c>
      <c r="M375" s="318"/>
      <c r="N375" s="318"/>
      <c r="O375" s="1052">
        <f t="shared" si="332"/>
        <v>2340</v>
      </c>
      <c r="P375" s="570"/>
      <c r="Q375" s="336"/>
      <c r="R375" s="329"/>
      <c r="S375" s="319"/>
      <c r="T375" s="329"/>
      <c r="U375" s="335"/>
      <c r="V375" s="596" t="s">
        <v>598</v>
      </c>
      <c r="W375" s="596" t="s">
        <v>648</v>
      </c>
      <c r="X375" s="596" t="s">
        <v>649</v>
      </c>
      <c r="Z375" s="336">
        <f t="shared" si="541"/>
        <v>2340</v>
      </c>
      <c r="AA375" s="337">
        <f t="shared" si="541"/>
        <v>2340</v>
      </c>
      <c r="AB375" s="338">
        <f t="shared" si="334"/>
        <v>0</v>
      </c>
      <c r="AC375" s="336">
        <f t="shared" si="542"/>
        <v>0</v>
      </c>
      <c r="AD375" s="337">
        <f t="shared" si="542"/>
        <v>0</v>
      </c>
      <c r="AE375" s="338">
        <f t="shared" si="336"/>
        <v>0</v>
      </c>
      <c r="AF375" s="336">
        <f t="shared" si="543"/>
        <v>0</v>
      </c>
      <c r="AG375" s="337">
        <f t="shared" si="543"/>
        <v>0</v>
      </c>
      <c r="AH375" s="338">
        <f t="shared" si="338"/>
        <v>0</v>
      </c>
      <c r="AI375" s="336">
        <f t="shared" si="544"/>
        <v>0</v>
      </c>
      <c r="AJ375" s="337">
        <f t="shared" si="544"/>
        <v>0</v>
      </c>
      <c r="AK375" s="338">
        <f t="shared" si="340"/>
        <v>0</v>
      </c>
      <c r="AL375" s="342"/>
      <c r="AM375" s="336">
        <f t="shared" si="545"/>
        <v>2340</v>
      </c>
      <c r="AN375" s="339">
        <f t="shared" si="545"/>
        <v>2340</v>
      </c>
      <c r="AO375" s="340">
        <f t="shared" si="342"/>
        <v>0</v>
      </c>
      <c r="AP375" s="336">
        <f t="shared" si="546"/>
        <v>2340</v>
      </c>
      <c r="AQ375" s="339">
        <f t="shared" si="546"/>
        <v>2340</v>
      </c>
      <c r="AR375" s="340">
        <f t="shared" si="328"/>
        <v>0</v>
      </c>
      <c r="AS375" s="341">
        <f t="shared" si="547"/>
        <v>2340</v>
      </c>
      <c r="AT375" s="339">
        <f t="shared" si="547"/>
        <v>2340</v>
      </c>
      <c r="AU375" s="340">
        <f t="shared" si="330"/>
        <v>0</v>
      </c>
      <c r="AV375" s="1255">
        <f t="shared" si="358"/>
        <v>0</v>
      </c>
      <c r="AW375" s="343"/>
      <c r="AX375" s="344"/>
      <c r="AY375" s="345"/>
      <c r="AZ375" s="344"/>
      <c r="BA375" s="1133">
        <v>2340</v>
      </c>
      <c r="BB375" s="1153">
        <v>2340</v>
      </c>
      <c r="BC375" s="347"/>
      <c r="BD375" s="348"/>
      <c r="BE375" s="349"/>
      <c r="BF375" s="348"/>
      <c r="BG375" s="349"/>
      <c r="BH375" s="350"/>
      <c r="BI375" s="351"/>
      <c r="BJ375" s="352"/>
      <c r="BK375" s="337"/>
      <c r="BL375" s="352"/>
      <c r="BM375" s="337"/>
      <c r="BN375" s="353"/>
      <c r="BO375" s="354"/>
      <c r="BP375" s="355"/>
      <c r="BQ375" s="356"/>
      <c r="BR375" s="355"/>
      <c r="BS375" s="356"/>
      <c r="BT375" s="357"/>
    </row>
    <row r="376" spans="1:72" s="313" customFormat="1" ht="38.25">
      <c r="A376" s="287">
        <v>359</v>
      </c>
      <c r="B376" s="935"/>
      <c r="C376" s="840"/>
      <c r="D376" s="841"/>
      <c r="E376" s="839"/>
      <c r="F376" s="821" t="s">
        <v>23</v>
      </c>
      <c r="G376" s="314">
        <v>2</v>
      </c>
      <c r="H376" s="739" t="s">
        <v>71</v>
      </c>
      <c r="I376" s="739">
        <v>244</v>
      </c>
      <c r="J376" s="740">
        <v>346</v>
      </c>
      <c r="K376" s="533" t="s">
        <v>689</v>
      </c>
      <c r="L376" s="318">
        <v>38055</v>
      </c>
      <c r="M376" s="318"/>
      <c r="N376" s="318"/>
      <c r="O376" s="1052">
        <f t="shared" si="332"/>
        <v>38055</v>
      </c>
      <c r="P376" s="570"/>
      <c r="Q376" s="336"/>
      <c r="R376" s="329"/>
      <c r="S376" s="319"/>
      <c r="T376" s="329"/>
      <c r="U376" s="335"/>
      <c r="V376" s="596" t="s">
        <v>598</v>
      </c>
      <c r="W376" s="596" t="s">
        <v>741</v>
      </c>
      <c r="X376" s="596" t="s">
        <v>742</v>
      </c>
      <c r="Z376" s="336">
        <f t="shared" si="541"/>
        <v>0</v>
      </c>
      <c r="AA376" s="337">
        <f t="shared" si="541"/>
        <v>0</v>
      </c>
      <c r="AB376" s="338">
        <f t="shared" si="334"/>
        <v>0</v>
      </c>
      <c r="AC376" s="336">
        <f t="shared" si="542"/>
        <v>15995</v>
      </c>
      <c r="AD376" s="337">
        <f t="shared" si="542"/>
        <v>2920.1</v>
      </c>
      <c r="AE376" s="338">
        <f t="shared" si="336"/>
        <v>13074.9</v>
      </c>
      <c r="AF376" s="336">
        <f t="shared" si="543"/>
        <v>11030</v>
      </c>
      <c r="AG376" s="337">
        <f t="shared" si="543"/>
        <v>0</v>
      </c>
      <c r="AH376" s="338">
        <f t="shared" si="338"/>
        <v>11030</v>
      </c>
      <c r="AI376" s="336">
        <f t="shared" si="544"/>
        <v>11030</v>
      </c>
      <c r="AJ376" s="337">
        <f t="shared" si="544"/>
        <v>0</v>
      </c>
      <c r="AK376" s="338">
        <f t="shared" si="340"/>
        <v>11030</v>
      </c>
      <c r="AL376" s="342"/>
      <c r="AM376" s="336">
        <f t="shared" si="545"/>
        <v>15995</v>
      </c>
      <c r="AN376" s="339">
        <f t="shared" si="545"/>
        <v>2920.1</v>
      </c>
      <c r="AO376" s="340">
        <f t="shared" si="342"/>
        <v>13074.9</v>
      </c>
      <c r="AP376" s="336">
        <f t="shared" si="546"/>
        <v>27025</v>
      </c>
      <c r="AQ376" s="339">
        <f t="shared" si="546"/>
        <v>2920.1</v>
      </c>
      <c r="AR376" s="340">
        <f t="shared" si="328"/>
        <v>24104.9</v>
      </c>
      <c r="AS376" s="341">
        <f t="shared" si="547"/>
        <v>38055</v>
      </c>
      <c r="AT376" s="339">
        <f t="shared" si="547"/>
        <v>2920.1</v>
      </c>
      <c r="AU376" s="340">
        <f t="shared" si="330"/>
        <v>35134.9</v>
      </c>
      <c r="AV376" s="1255">
        <f t="shared" si="358"/>
        <v>0</v>
      </c>
      <c r="AW376" s="343"/>
      <c r="AX376" s="344"/>
      <c r="AY376" s="345"/>
      <c r="AZ376" s="344"/>
      <c r="BA376" s="345"/>
      <c r="BB376" s="346"/>
      <c r="BC376" s="1134">
        <f>4965+5515</f>
        <v>10480</v>
      </c>
      <c r="BD376" s="1140">
        <f>4965-2044.9</f>
        <v>2920.1</v>
      </c>
      <c r="BE376" s="1135">
        <v>5515</v>
      </c>
      <c r="BF376" s="348"/>
      <c r="BG376" s="1135"/>
      <c r="BH376" s="350"/>
      <c r="BI376" s="1136"/>
      <c r="BJ376" s="352"/>
      <c r="BK376" s="1137">
        <v>5515</v>
      </c>
      <c r="BL376" s="352"/>
      <c r="BM376" s="337">
        <v>5515</v>
      </c>
      <c r="BN376" s="353"/>
      <c r="BO376" s="1138">
        <v>5515</v>
      </c>
      <c r="BP376" s="355"/>
      <c r="BQ376" s="356">
        <v>5515</v>
      </c>
      <c r="BR376" s="355"/>
      <c r="BS376" s="1139"/>
      <c r="BT376" s="357"/>
    </row>
    <row r="377" spans="1:72" s="358" customFormat="1" ht="31.5" customHeight="1">
      <c r="A377" s="287">
        <v>360</v>
      </c>
      <c r="B377" s="941"/>
      <c r="C377" s="850" t="s">
        <v>377</v>
      </c>
      <c r="D377" s="838"/>
      <c r="E377" s="836" t="s">
        <v>201</v>
      </c>
      <c r="F377" s="820" t="s">
        <v>23</v>
      </c>
      <c r="G377" s="360">
        <v>2</v>
      </c>
      <c r="H377" s="360" t="s">
        <v>71</v>
      </c>
      <c r="I377" s="360">
        <v>244</v>
      </c>
      <c r="J377" s="361">
        <v>346</v>
      </c>
      <c r="K377" s="532" t="s">
        <v>499</v>
      </c>
      <c r="L377" s="1023">
        <f>SUM(L378:L404)</f>
        <v>152446</v>
      </c>
      <c r="M377" s="363"/>
      <c r="N377" s="363">
        <f>SUM(N378:N404)</f>
        <v>0</v>
      </c>
      <c r="O377" s="1051">
        <f t="shared" si="332"/>
        <v>152446</v>
      </c>
      <c r="P377" s="571"/>
      <c r="Q377" s="367">
        <f>SUM(Q378:Q404)</f>
        <v>0</v>
      </c>
      <c r="R377" s="557"/>
      <c r="S377" s="367">
        <f>SUM(S378:S404)</f>
        <v>0</v>
      </c>
      <c r="T377" s="557"/>
      <c r="U377" s="365"/>
      <c r="V377" s="366"/>
      <c r="W377" s="366"/>
      <c r="X377" s="366"/>
      <c r="Z377" s="367">
        <f t="shared" si="541"/>
        <v>57860</v>
      </c>
      <c r="AA377" s="363">
        <f t="shared" si="541"/>
        <v>42727</v>
      </c>
      <c r="AB377" s="280">
        <f t="shared" si="334"/>
        <v>15133</v>
      </c>
      <c r="AC377" s="367">
        <f t="shared" si="542"/>
        <v>57225</v>
      </c>
      <c r="AD377" s="363">
        <f t="shared" si="542"/>
        <v>16340</v>
      </c>
      <c r="AE377" s="280">
        <f t="shared" si="336"/>
        <v>40885</v>
      </c>
      <c r="AF377" s="367">
        <f t="shared" si="543"/>
        <v>17402.64</v>
      </c>
      <c r="AG377" s="363">
        <f t="shared" si="543"/>
        <v>0</v>
      </c>
      <c r="AH377" s="280">
        <f t="shared" si="338"/>
        <v>17402.64</v>
      </c>
      <c r="AI377" s="367">
        <f t="shared" si="544"/>
        <v>23765.360000000001</v>
      </c>
      <c r="AJ377" s="363">
        <f t="shared" si="544"/>
        <v>0</v>
      </c>
      <c r="AK377" s="280">
        <f t="shared" si="340"/>
        <v>23765.360000000001</v>
      </c>
      <c r="AL377" s="368"/>
      <c r="AM377" s="367">
        <f t="shared" si="545"/>
        <v>115085</v>
      </c>
      <c r="AN377" s="363">
        <f t="shared" si="545"/>
        <v>59067</v>
      </c>
      <c r="AO377" s="280">
        <f t="shared" si="342"/>
        <v>56018</v>
      </c>
      <c r="AP377" s="367">
        <f t="shared" si="546"/>
        <v>132487.64000000001</v>
      </c>
      <c r="AQ377" s="363">
        <f t="shared" si="546"/>
        <v>59067</v>
      </c>
      <c r="AR377" s="280">
        <f t="shared" si="328"/>
        <v>73420.639999999999</v>
      </c>
      <c r="AS377" s="367">
        <f t="shared" si="547"/>
        <v>156253</v>
      </c>
      <c r="AT377" s="363">
        <f t="shared" si="547"/>
        <v>59067</v>
      </c>
      <c r="AU377" s="280">
        <f t="shared" si="330"/>
        <v>97186</v>
      </c>
      <c r="AV377" s="1253">
        <f t="shared" si="358"/>
        <v>-3807</v>
      </c>
      <c r="AW377" s="367">
        <f t="shared" ref="AW377:BT377" si="549">SUM(AW378:AW404)</f>
        <v>0</v>
      </c>
      <c r="AX377" s="363">
        <f t="shared" si="549"/>
        <v>0</v>
      </c>
      <c r="AY377" s="363">
        <f t="shared" si="549"/>
        <v>1201</v>
      </c>
      <c r="AZ377" s="363">
        <f t="shared" si="549"/>
        <v>6697.5</v>
      </c>
      <c r="BA377" s="363">
        <f t="shared" si="549"/>
        <v>56659</v>
      </c>
      <c r="BB377" s="369">
        <f t="shared" si="549"/>
        <v>36029.5</v>
      </c>
      <c r="BC377" s="367">
        <f t="shared" si="549"/>
        <v>16910</v>
      </c>
      <c r="BD377" s="363">
        <f t="shared" si="549"/>
        <v>16340</v>
      </c>
      <c r="BE377" s="363">
        <f t="shared" si="549"/>
        <v>38115</v>
      </c>
      <c r="BF377" s="363">
        <f t="shared" si="549"/>
        <v>0</v>
      </c>
      <c r="BG377" s="363">
        <f t="shared" si="549"/>
        <v>2200</v>
      </c>
      <c r="BH377" s="369">
        <f t="shared" si="549"/>
        <v>0</v>
      </c>
      <c r="BI377" s="367">
        <f t="shared" si="549"/>
        <v>0</v>
      </c>
      <c r="BJ377" s="363">
        <f t="shared" si="549"/>
        <v>0</v>
      </c>
      <c r="BK377" s="363">
        <f t="shared" si="549"/>
        <v>14000</v>
      </c>
      <c r="BL377" s="363">
        <f t="shared" si="549"/>
        <v>0</v>
      </c>
      <c r="BM377" s="363">
        <f t="shared" si="549"/>
        <v>3402.64</v>
      </c>
      <c r="BN377" s="369">
        <f t="shared" si="549"/>
        <v>0</v>
      </c>
      <c r="BO377" s="367">
        <f t="shared" si="549"/>
        <v>1014.36</v>
      </c>
      <c r="BP377" s="363">
        <f t="shared" si="549"/>
        <v>0</v>
      </c>
      <c r="BQ377" s="363">
        <f t="shared" si="549"/>
        <v>1000</v>
      </c>
      <c r="BR377" s="363">
        <f t="shared" si="549"/>
        <v>0</v>
      </c>
      <c r="BS377" s="363">
        <f t="shared" si="549"/>
        <v>21751</v>
      </c>
      <c r="BT377" s="280">
        <f t="shared" si="549"/>
        <v>0</v>
      </c>
    </row>
    <row r="378" spans="1:72" s="313" customFormat="1" ht="63.75" outlineLevel="2">
      <c r="A378" s="287">
        <v>361</v>
      </c>
      <c r="B378" s="941"/>
      <c r="C378" s="840"/>
      <c r="D378" s="841"/>
      <c r="E378" s="839"/>
      <c r="F378" s="821" t="s">
        <v>23</v>
      </c>
      <c r="G378" s="314">
        <v>2</v>
      </c>
      <c r="H378" s="739" t="s">
        <v>71</v>
      </c>
      <c r="I378" s="739">
        <v>244</v>
      </c>
      <c r="J378" s="740">
        <v>346</v>
      </c>
      <c r="K378" s="533" t="s">
        <v>501</v>
      </c>
      <c r="L378" s="1025">
        <v>9130</v>
      </c>
      <c r="M378" s="318"/>
      <c r="N378" s="318"/>
      <c r="O378" s="1052">
        <f t="shared" si="332"/>
        <v>9130</v>
      </c>
      <c r="P378" s="570"/>
      <c r="Q378" s="336">
        <v>0</v>
      </c>
      <c r="R378" s="559"/>
      <c r="S378" s="541">
        <v>0</v>
      </c>
      <c r="T378" s="559"/>
      <c r="U378" s="335"/>
      <c r="V378" s="596" t="s">
        <v>502</v>
      </c>
      <c r="W378" s="596" t="s">
        <v>551</v>
      </c>
      <c r="X378" s="596"/>
      <c r="Z378" s="336">
        <f t="shared" si="541"/>
        <v>9130</v>
      </c>
      <c r="AA378" s="337">
        <f t="shared" si="541"/>
        <v>9130</v>
      </c>
      <c r="AB378" s="338">
        <f t="shared" si="334"/>
        <v>0</v>
      </c>
      <c r="AC378" s="336">
        <f t="shared" si="542"/>
        <v>0</v>
      </c>
      <c r="AD378" s="337">
        <f t="shared" si="542"/>
        <v>0</v>
      </c>
      <c r="AE378" s="338">
        <f t="shared" si="336"/>
        <v>0</v>
      </c>
      <c r="AF378" s="336">
        <f t="shared" si="543"/>
        <v>0</v>
      </c>
      <c r="AG378" s="337">
        <f t="shared" si="543"/>
        <v>0</v>
      </c>
      <c r="AH378" s="338">
        <f t="shared" si="338"/>
        <v>0</v>
      </c>
      <c r="AI378" s="336">
        <f t="shared" si="544"/>
        <v>0</v>
      </c>
      <c r="AJ378" s="337">
        <f t="shared" si="544"/>
        <v>0</v>
      </c>
      <c r="AK378" s="338">
        <f t="shared" si="340"/>
        <v>0</v>
      </c>
      <c r="AL378" s="342"/>
      <c r="AM378" s="336">
        <f t="shared" si="545"/>
        <v>9130</v>
      </c>
      <c r="AN378" s="339">
        <f t="shared" si="545"/>
        <v>9130</v>
      </c>
      <c r="AO378" s="340">
        <f t="shared" si="342"/>
        <v>0</v>
      </c>
      <c r="AP378" s="336">
        <f t="shared" si="546"/>
        <v>9130</v>
      </c>
      <c r="AQ378" s="339">
        <f t="shared" si="546"/>
        <v>9130</v>
      </c>
      <c r="AR378" s="340">
        <f t="shared" si="328"/>
        <v>0</v>
      </c>
      <c r="AS378" s="1346">
        <f t="shared" si="547"/>
        <v>9130</v>
      </c>
      <c r="AT378" s="1347">
        <f t="shared" si="547"/>
        <v>9130</v>
      </c>
      <c r="AU378" s="340">
        <f t="shared" si="330"/>
        <v>0</v>
      </c>
      <c r="AV378" s="1255">
        <f t="shared" si="358"/>
        <v>0</v>
      </c>
      <c r="AW378" s="343"/>
      <c r="AX378" s="344"/>
      <c r="AY378" s="1133"/>
      <c r="AZ378" s="1152"/>
      <c r="BA378" s="1133">
        <v>9130</v>
      </c>
      <c r="BB378" s="1152">
        <v>9130</v>
      </c>
      <c r="BC378" s="347"/>
      <c r="BD378" s="348"/>
      <c r="BE378" s="349"/>
      <c r="BF378" s="348"/>
      <c r="BG378" s="349"/>
      <c r="BH378" s="350"/>
      <c r="BI378" s="351"/>
      <c r="BJ378" s="352"/>
      <c r="BK378" s="337"/>
      <c r="BL378" s="352"/>
      <c r="BM378" s="337"/>
      <c r="BN378" s="353"/>
      <c r="BO378" s="354"/>
      <c r="BP378" s="355"/>
      <c r="BQ378" s="356"/>
      <c r="BR378" s="355"/>
      <c r="BS378" s="356"/>
      <c r="BT378" s="357"/>
    </row>
    <row r="379" spans="1:72" s="313" customFormat="1" ht="54.75" customHeight="1" outlineLevel="2">
      <c r="A379" s="287">
        <v>362</v>
      </c>
      <c r="B379" s="1143" t="s">
        <v>1164</v>
      </c>
      <c r="C379" s="840"/>
      <c r="D379" s="841"/>
      <c r="E379" s="839"/>
      <c r="F379" s="821" t="s">
        <v>23</v>
      </c>
      <c r="G379" s="314">
        <v>2</v>
      </c>
      <c r="H379" s="739" t="s">
        <v>71</v>
      </c>
      <c r="I379" s="739">
        <v>244</v>
      </c>
      <c r="J379" s="740">
        <v>346</v>
      </c>
      <c r="K379" s="533" t="s">
        <v>510</v>
      </c>
      <c r="L379" s="1045">
        <v>31809.62</v>
      </c>
      <c r="M379" s="318"/>
      <c r="N379" s="318"/>
      <c r="O379" s="1052">
        <f t="shared" si="332"/>
        <v>31809.62</v>
      </c>
      <c r="P379" s="570"/>
      <c r="Q379" s="336">
        <v>0</v>
      </c>
      <c r="R379" s="559"/>
      <c r="S379" s="541">
        <v>0</v>
      </c>
      <c r="T379" s="559"/>
      <c r="U379" s="335"/>
      <c r="V379" s="596" t="s">
        <v>511</v>
      </c>
      <c r="W379" s="596" t="s">
        <v>601</v>
      </c>
      <c r="X379" s="320" t="s">
        <v>602</v>
      </c>
      <c r="Z379" s="336">
        <f t="shared" si="541"/>
        <v>18244</v>
      </c>
      <c r="AA379" s="337">
        <f t="shared" si="541"/>
        <v>18244</v>
      </c>
      <c r="AB379" s="338">
        <f t="shared" si="334"/>
        <v>0</v>
      </c>
      <c r="AC379" s="336">
        <f t="shared" si="542"/>
        <v>0</v>
      </c>
      <c r="AD379" s="337">
        <f t="shared" si="542"/>
        <v>0</v>
      </c>
      <c r="AE379" s="338">
        <f t="shared" si="336"/>
        <v>0</v>
      </c>
      <c r="AF379" s="336">
        <f t="shared" si="543"/>
        <v>0</v>
      </c>
      <c r="AG379" s="337">
        <f t="shared" si="543"/>
        <v>0</v>
      </c>
      <c r="AH379" s="338">
        <f t="shared" si="338"/>
        <v>0</v>
      </c>
      <c r="AI379" s="336">
        <f t="shared" si="544"/>
        <v>19467</v>
      </c>
      <c r="AJ379" s="337">
        <f t="shared" si="544"/>
        <v>0</v>
      </c>
      <c r="AK379" s="338">
        <f t="shared" si="340"/>
        <v>19467</v>
      </c>
      <c r="AL379" s="342"/>
      <c r="AM379" s="336">
        <f t="shared" si="545"/>
        <v>18244</v>
      </c>
      <c r="AN379" s="339">
        <f t="shared" si="545"/>
        <v>18244</v>
      </c>
      <c r="AO379" s="340">
        <f t="shared" si="342"/>
        <v>0</v>
      </c>
      <c r="AP379" s="336">
        <f t="shared" si="546"/>
        <v>18244</v>
      </c>
      <c r="AQ379" s="339">
        <f t="shared" si="546"/>
        <v>18244</v>
      </c>
      <c r="AR379" s="340">
        <f t="shared" si="328"/>
        <v>0</v>
      </c>
      <c r="AS379" s="341">
        <f t="shared" si="547"/>
        <v>37711</v>
      </c>
      <c r="AT379" s="339">
        <f t="shared" si="547"/>
        <v>18244</v>
      </c>
      <c r="AU379" s="340">
        <f t="shared" si="330"/>
        <v>19467</v>
      </c>
      <c r="AV379" s="1265">
        <f t="shared" si="358"/>
        <v>-5901.38</v>
      </c>
      <c r="AW379" s="343"/>
      <c r="AX379" s="344"/>
      <c r="AY379" s="345"/>
      <c r="AZ379" s="344"/>
      <c r="BA379" s="1217">
        <v>18244</v>
      </c>
      <c r="BB379" s="1219">
        <v>18244</v>
      </c>
      <c r="BC379" s="347"/>
      <c r="BD379" s="348"/>
      <c r="BE379" s="349"/>
      <c r="BF379" s="348"/>
      <c r="BG379" s="349"/>
      <c r="BH379" s="350"/>
      <c r="BI379" s="351"/>
      <c r="BJ379" s="352"/>
      <c r="BK379" s="337"/>
      <c r="BL379" s="352"/>
      <c r="BM379" s="337"/>
      <c r="BN379" s="353"/>
      <c r="BO379" s="354"/>
      <c r="BP379" s="355"/>
      <c r="BQ379" s="356"/>
      <c r="BR379" s="355"/>
      <c r="BS379" s="356">
        <v>19467</v>
      </c>
      <c r="BT379" s="357"/>
    </row>
    <row r="380" spans="1:72" s="313" customFormat="1" ht="25.5" outlineLevel="2">
      <c r="A380" s="287">
        <v>363</v>
      </c>
      <c r="B380" s="941"/>
      <c r="C380" s="840"/>
      <c r="D380" s="841"/>
      <c r="E380" s="839"/>
      <c r="F380" s="821" t="s">
        <v>23</v>
      </c>
      <c r="G380" s="314">
        <v>2</v>
      </c>
      <c r="H380" s="739" t="s">
        <v>71</v>
      </c>
      <c r="I380" s="739">
        <v>244</v>
      </c>
      <c r="J380" s="740">
        <v>346</v>
      </c>
      <c r="K380" s="533" t="s">
        <v>584</v>
      </c>
      <c r="L380" s="1025">
        <v>4290</v>
      </c>
      <c r="M380" s="318"/>
      <c r="N380" s="318"/>
      <c r="O380" s="1052">
        <f t="shared" si="332"/>
        <v>4290</v>
      </c>
      <c r="P380" s="570"/>
      <c r="Q380" s="336">
        <v>0</v>
      </c>
      <c r="R380" s="559"/>
      <c r="S380" s="541">
        <v>0</v>
      </c>
      <c r="T380" s="559"/>
      <c r="U380" s="335"/>
      <c r="V380" s="596" t="s">
        <v>579</v>
      </c>
      <c r="W380" s="596" t="s">
        <v>578</v>
      </c>
      <c r="X380" s="596" t="s">
        <v>580</v>
      </c>
      <c r="Z380" s="336">
        <f t="shared" si="541"/>
        <v>4075</v>
      </c>
      <c r="AA380" s="337">
        <f t="shared" si="541"/>
        <v>4075</v>
      </c>
      <c r="AB380" s="338">
        <f t="shared" si="334"/>
        <v>0</v>
      </c>
      <c r="AC380" s="336">
        <f t="shared" si="542"/>
        <v>0</v>
      </c>
      <c r="AD380" s="337">
        <f t="shared" si="542"/>
        <v>0</v>
      </c>
      <c r="AE380" s="338">
        <f t="shared" si="336"/>
        <v>0</v>
      </c>
      <c r="AF380" s="336">
        <f t="shared" si="543"/>
        <v>0</v>
      </c>
      <c r="AG380" s="337">
        <f t="shared" si="543"/>
        <v>0</v>
      </c>
      <c r="AH380" s="338">
        <f t="shared" si="338"/>
        <v>0</v>
      </c>
      <c r="AI380" s="336">
        <f t="shared" si="544"/>
        <v>0</v>
      </c>
      <c r="AJ380" s="337">
        <f t="shared" si="544"/>
        <v>0</v>
      </c>
      <c r="AK380" s="338">
        <f t="shared" si="340"/>
        <v>0</v>
      </c>
      <c r="AL380" s="342"/>
      <c r="AM380" s="336">
        <f t="shared" si="545"/>
        <v>4075</v>
      </c>
      <c r="AN380" s="339">
        <f t="shared" si="545"/>
        <v>4075</v>
      </c>
      <c r="AO380" s="340">
        <f t="shared" si="342"/>
        <v>0</v>
      </c>
      <c r="AP380" s="336">
        <f t="shared" si="546"/>
        <v>4075</v>
      </c>
      <c r="AQ380" s="339">
        <f t="shared" si="546"/>
        <v>4075</v>
      </c>
      <c r="AR380" s="340">
        <f t="shared" si="328"/>
        <v>0</v>
      </c>
      <c r="AS380" s="341">
        <f t="shared" si="547"/>
        <v>4075</v>
      </c>
      <c r="AT380" s="339">
        <f t="shared" si="547"/>
        <v>4075</v>
      </c>
      <c r="AU380" s="340">
        <f t="shared" si="330"/>
        <v>0</v>
      </c>
      <c r="AV380" s="1258">
        <f t="shared" si="358"/>
        <v>215</v>
      </c>
      <c r="AW380" s="343"/>
      <c r="AX380" s="344"/>
      <c r="AY380" s="345"/>
      <c r="AZ380" s="344"/>
      <c r="BA380" s="1133">
        <v>4075</v>
      </c>
      <c r="BB380" s="1153">
        <v>4075</v>
      </c>
      <c r="BC380" s="347"/>
      <c r="BD380" s="348"/>
      <c r="BE380" s="349"/>
      <c r="BF380" s="348"/>
      <c r="BG380" s="349"/>
      <c r="BH380" s="350"/>
      <c r="BI380" s="351"/>
      <c r="BJ380" s="352"/>
      <c r="BK380" s="337"/>
      <c r="BL380" s="352"/>
      <c r="BM380" s="337"/>
      <c r="BN380" s="353"/>
      <c r="BO380" s="354"/>
      <c r="BP380" s="355"/>
      <c r="BQ380" s="356"/>
      <c r="BR380" s="355"/>
      <c r="BS380" s="356"/>
      <c r="BT380" s="357"/>
    </row>
    <row r="381" spans="1:72" s="313" customFormat="1" ht="25.5" outlineLevel="2">
      <c r="A381" s="287">
        <v>364</v>
      </c>
      <c r="B381" s="1143"/>
      <c r="C381" s="840"/>
      <c r="D381" s="841"/>
      <c r="E381" s="839"/>
      <c r="F381" s="821" t="s">
        <v>23</v>
      </c>
      <c r="G381" s="314">
        <v>2</v>
      </c>
      <c r="H381" s="739" t="s">
        <v>71</v>
      </c>
      <c r="I381" s="739">
        <v>244</v>
      </c>
      <c r="J381" s="740">
        <v>346</v>
      </c>
      <c r="K381" s="533" t="s">
        <v>635</v>
      </c>
      <c r="L381" s="1025">
        <v>12000</v>
      </c>
      <c r="M381" s="318"/>
      <c r="N381" s="318"/>
      <c r="O381" s="1052">
        <f t="shared" si="332"/>
        <v>12000</v>
      </c>
      <c r="P381" s="570"/>
      <c r="Q381" s="336">
        <v>0</v>
      </c>
      <c r="R381" s="559"/>
      <c r="S381" s="541">
        <v>0</v>
      </c>
      <c r="T381" s="559"/>
      <c r="U381" s="335"/>
      <c r="V381" s="596" t="s">
        <v>579</v>
      </c>
      <c r="W381" s="596" t="s">
        <v>481</v>
      </c>
      <c r="X381" s="320"/>
      <c r="Z381" s="336">
        <f t="shared" si="541"/>
        <v>0</v>
      </c>
      <c r="AA381" s="337">
        <f t="shared" si="541"/>
        <v>0</v>
      </c>
      <c r="AB381" s="338">
        <f t="shared" si="334"/>
        <v>0</v>
      </c>
      <c r="AC381" s="336">
        <f t="shared" si="542"/>
        <v>0</v>
      </c>
      <c r="AD381" s="337">
        <f t="shared" si="542"/>
        <v>0</v>
      </c>
      <c r="AE381" s="338">
        <f t="shared" si="336"/>
        <v>0</v>
      </c>
      <c r="AF381" s="336">
        <f t="shared" si="543"/>
        <v>12000</v>
      </c>
      <c r="AG381" s="337">
        <f t="shared" si="543"/>
        <v>0</v>
      </c>
      <c r="AH381" s="338">
        <f t="shared" si="338"/>
        <v>12000</v>
      </c>
      <c r="AI381" s="336">
        <f t="shared" si="544"/>
        <v>0</v>
      </c>
      <c r="AJ381" s="337">
        <f t="shared" si="544"/>
        <v>0</v>
      </c>
      <c r="AK381" s="338">
        <f t="shared" si="340"/>
        <v>0</v>
      </c>
      <c r="AL381" s="342"/>
      <c r="AM381" s="336">
        <f t="shared" si="545"/>
        <v>0</v>
      </c>
      <c r="AN381" s="339">
        <f t="shared" si="545"/>
        <v>0</v>
      </c>
      <c r="AO381" s="340">
        <f t="shared" si="342"/>
        <v>0</v>
      </c>
      <c r="AP381" s="336">
        <f t="shared" si="546"/>
        <v>12000</v>
      </c>
      <c r="AQ381" s="339">
        <f t="shared" si="546"/>
        <v>0</v>
      </c>
      <c r="AR381" s="340">
        <f t="shared" si="328"/>
        <v>12000</v>
      </c>
      <c r="AS381" s="341">
        <f t="shared" si="547"/>
        <v>12000</v>
      </c>
      <c r="AT381" s="339">
        <f t="shared" si="547"/>
        <v>0</v>
      </c>
      <c r="AU381" s="340">
        <f t="shared" si="330"/>
        <v>12000</v>
      </c>
      <c r="AV381" s="1255">
        <f t="shared" si="358"/>
        <v>0</v>
      </c>
      <c r="AW381" s="343"/>
      <c r="AX381" s="344"/>
      <c r="AY381" s="345"/>
      <c r="AZ381" s="344"/>
      <c r="BA381" s="345"/>
      <c r="BB381" s="346"/>
      <c r="BC381" s="347"/>
      <c r="BD381" s="348"/>
      <c r="BE381" s="349"/>
      <c r="BF381" s="348"/>
      <c r="BG381" s="349"/>
      <c r="BH381" s="350"/>
      <c r="BI381" s="351"/>
      <c r="BJ381" s="352"/>
      <c r="BK381" s="337">
        <v>12000</v>
      </c>
      <c r="BL381" s="352"/>
      <c r="BM381" s="337"/>
      <c r="BN381" s="353"/>
      <c r="BO381" s="354"/>
      <c r="BP381" s="355"/>
      <c r="BQ381" s="356"/>
      <c r="BR381" s="355"/>
      <c r="BS381" s="356"/>
      <c r="BT381" s="357"/>
    </row>
    <row r="382" spans="1:72" s="313" customFormat="1" ht="25.5" outlineLevel="2">
      <c r="A382" s="287">
        <v>365</v>
      </c>
      <c r="B382" s="1143"/>
      <c r="C382" s="840"/>
      <c r="D382" s="841"/>
      <c r="E382" s="839"/>
      <c r="F382" s="821" t="s">
        <v>23</v>
      </c>
      <c r="G382" s="314">
        <v>2</v>
      </c>
      <c r="H382" s="739" t="s">
        <v>71</v>
      </c>
      <c r="I382" s="739">
        <v>244</v>
      </c>
      <c r="J382" s="740">
        <v>346</v>
      </c>
      <c r="K382" s="533" t="s">
        <v>636</v>
      </c>
      <c r="L382" s="1025">
        <v>21210</v>
      </c>
      <c r="M382" s="318"/>
      <c r="N382" s="318"/>
      <c r="O382" s="1052">
        <f t="shared" si="332"/>
        <v>21210</v>
      </c>
      <c r="P382" s="570"/>
      <c r="Q382" s="336">
        <v>0</v>
      </c>
      <c r="R382" s="559"/>
      <c r="S382" s="541">
        <v>0</v>
      </c>
      <c r="T382" s="559"/>
      <c r="U382" s="335"/>
      <c r="V382" s="596" t="s">
        <v>637</v>
      </c>
      <c r="W382" s="320" t="s">
        <v>481</v>
      </c>
      <c r="X382" s="320"/>
      <c r="Z382" s="336">
        <f t="shared" si="541"/>
        <v>21210</v>
      </c>
      <c r="AA382" s="337">
        <f t="shared" si="541"/>
        <v>0</v>
      </c>
      <c r="AB382" s="338">
        <f t="shared" si="334"/>
        <v>21210</v>
      </c>
      <c r="AC382" s="336">
        <f t="shared" si="542"/>
        <v>0</v>
      </c>
      <c r="AD382" s="337">
        <f t="shared" si="542"/>
        <v>0</v>
      </c>
      <c r="AE382" s="338">
        <f t="shared" si="336"/>
        <v>0</v>
      </c>
      <c r="AF382" s="336">
        <f t="shared" si="543"/>
        <v>0</v>
      </c>
      <c r="AG382" s="337">
        <f t="shared" si="543"/>
        <v>0</v>
      </c>
      <c r="AH382" s="338">
        <f t="shared" si="338"/>
        <v>0</v>
      </c>
      <c r="AI382" s="336">
        <f t="shared" si="544"/>
        <v>0</v>
      </c>
      <c r="AJ382" s="337">
        <f t="shared" si="544"/>
        <v>0</v>
      </c>
      <c r="AK382" s="338">
        <f t="shared" si="340"/>
        <v>0</v>
      </c>
      <c r="AL382" s="342"/>
      <c r="AM382" s="336">
        <f t="shared" si="545"/>
        <v>21210</v>
      </c>
      <c r="AN382" s="339">
        <f t="shared" si="545"/>
        <v>0</v>
      </c>
      <c r="AO382" s="340">
        <f t="shared" si="342"/>
        <v>21210</v>
      </c>
      <c r="AP382" s="336">
        <f t="shared" si="546"/>
        <v>21210</v>
      </c>
      <c r="AQ382" s="339">
        <f t="shared" si="546"/>
        <v>0</v>
      </c>
      <c r="AR382" s="340">
        <f t="shared" si="328"/>
        <v>21210</v>
      </c>
      <c r="AS382" s="341">
        <f t="shared" si="547"/>
        <v>21210</v>
      </c>
      <c r="AT382" s="339">
        <f t="shared" si="547"/>
        <v>0</v>
      </c>
      <c r="AU382" s="340">
        <f t="shared" si="330"/>
        <v>21210</v>
      </c>
      <c r="AV382" s="1255">
        <f t="shared" si="358"/>
        <v>0</v>
      </c>
      <c r="AW382" s="343"/>
      <c r="AX382" s="344"/>
      <c r="AY382" s="345"/>
      <c r="AZ382" s="344"/>
      <c r="BA382" s="345">
        <v>21210</v>
      </c>
      <c r="BB382" s="346"/>
      <c r="BC382" s="347"/>
      <c r="BD382" s="348"/>
      <c r="BE382" s="349"/>
      <c r="BF382" s="348"/>
      <c r="BG382" s="349"/>
      <c r="BH382" s="350"/>
      <c r="BI382" s="351"/>
      <c r="BJ382" s="352"/>
      <c r="BK382" s="337"/>
      <c r="BL382" s="352"/>
      <c r="BM382" s="337"/>
      <c r="BN382" s="353"/>
      <c r="BO382" s="354"/>
      <c r="BP382" s="355"/>
      <c r="BQ382" s="356"/>
      <c r="BR382" s="355"/>
      <c r="BS382" s="356"/>
      <c r="BT382" s="357"/>
    </row>
    <row r="383" spans="1:72" s="313" customFormat="1" ht="76.5" outlineLevel="2">
      <c r="A383" s="287">
        <v>366</v>
      </c>
      <c r="B383" s="1143"/>
      <c r="C383" s="840"/>
      <c r="D383" s="841"/>
      <c r="E383" s="839"/>
      <c r="F383" s="821" t="s">
        <v>23</v>
      </c>
      <c r="G383" s="314">
        <v>2</v>
      </c>
      <c r="H383" s="739" t="s">
        <v>71</v>
      </c>
      <c r="I383" s="739">
        <v>244</v>
      </c>
      <c r="J383" s="740">
        <v>346</v>
      </c>
      <c r="K383" s="533" t="s">
        <v>519</v>
      </c>
      <c r="L383" s="1025">
        <v>2600</v>
      </c>
      <c r="M383" s="318"/>
      <c r="N383" s="318"/>
      <c r="O383" s="1052">
        <f t="shared" si="332"/>
        <v>2600</v>
      </c>
      <c r="P383" s="570"/>
      <c r="Q383" s="336">
        <v>0</v>
      </c>
      <c r="R383" s="559"/>
      <c r="S383" s="541">
        <v>0</v>
      </c>
      <c r="T383" s="559"/>
      <c r="U383" s="335"/>
      <c r="V383" s="596" t="s">
        <v>978</v>
      </c>
      <c r="W383" s="596" t="s">
        <v>979</v>
      </c>
      <c r="X383" s="320"/>
      <c r="Z383" s="336">
        <f t="shared" si="541"/>
        <v>0</v>
      </c>
      <c r="AA383" s="337">
        <f t="shared" si="541"/>
        <v>0</v>
      </c>
      <c r="AB383" s="338">
        <f t="shared" si="334"/>
        <v>0</v>
      </c>
      <c r="AC383" s="336">
        <f t="shared" si="542"/>
        <v>0</v>
      </c>
      <c r="AD383" s="337">
        <f t="shared" si="542"/>
        <v>0</v>
      </c>
      <c r="AE383" s="338">
        <f t="shared" si="336"/>
        <v>0</v>
      </c>
      <c r="AF383" s="336">
        <f t="shared" si="543"/>
        <v>0</v>
      </c>
      <c r="AG383" s="337">
        <f t="shared" si="543"/>
        <v>0</v>
      </c>
      <c r="AH383" s="338">
        <f t="shared" si="338"/>
        <v>0</v>
      </c>
      <c r="AI383" s="336">
        <f t="shared" si="544"/>
        <v>2600</v>
      </c>
      <c r="AJ383" s="337">
        <f t="shared" si="544"/>
        <v>0</v>
      </c>
      <c r="AK383" s="338">
        <f t="shared" si="340"/>
        <v>2600</v>
      </c>
      <c r="AL383" s="342"/>
      <c r="AM383" s="336">
        <f t="shared" si="545"/>
        <v>0</v>
      </c>
      <c r="AN383" s="339">
        <f t="shared" si="545"/>
        <v>0</v>
      </c>
      <c r="AO383" s="340">
        <f t="shared" si="342"/>
        <v>0</v>
      </c>
      <c r="AP383" s="336">
        <f t="shared" si="546"/>
        <v>0</v>
      </c>
      <c r="AQ383" s="339">
        <f t="shared" si="546"/>
        <v>0</v>
      </c>
      <c r="AR383" s="340">
        <f t="shared" si="328"/>
        <v>0</v>
      </c>
      <c r="AS383" s="341">
        <f t="shared" si="547"/>
        <v>2600</v>
      </c>
      <c r="AT383" s="339">
        <f t="shared" si="547"/>
        <v>0</v>
      </c>
      <c r="AU383" s="340">
        <f t="shared" si="330"/>
        <v>2600</v>
      </c>
      <c r="AV383" s="1255">
        <f t="shared" si="358"/>
        <v>0</v>
      </c>
      <c r="AW383" s="343"/>
      <c r="AX383" s="344"/>
      <c r="AY383" s="345"/>
      <c r="AZ383" s="344"/>
      <c r="BA383" s="345"/>
      <c r="BB383" s="346"/>
      <c r="BC383" s="347"/>
      <c r="BD383" s="348"/>
      <c r="BE383" s="349"/>
      <c r="BF383" s="348"/>
      <c r="BG383" s="349"/>
      <c r="BH383" s="350"/>
      <c r="BI383" s="351"/>
      <c r="BJ383" s="352"/>
      <c r="BK383" s="337"/>
      <c r="BL383" s="352"/>
      <c r="BM383" s="1137"/>
      <c r="BN383" s="353"/>
      <c r="BO383" s="1138">
        <v>316</v>
      </c>
      <c r="BP383" s="355"/>
      <c r="BQ383" s="356"/>
      <c r="BR383" s="355"/>
      <c r="BS383" s="356">
        <v>2284</v>
      </c>
      <c r="BT383" s="357"/>
    </row>
    <row r="384" spans="1:72" s="313" customFormat="1" ht="38.25" outlineLevel="2">
      <c r="A384" s="287">
        <v>367</v>
      </c>
      <c r="B384" s="1143"/>
      <c r="C384" s="840"/>
      <c r="D384" s="841"/>
      <c r="E384" s="839"/>
      <c r="F384" s="821" t="s">
        <v>23</v>
      </c>
      <c r="G384" s="314">
        <v>2</v>
      </c>
      <c r="H384" s="739" t="s">
        <v>71</v>
      </c>
      <c r="I384" s="739">
        <v>244</v>
      </c>
      <c r="J384" s="740">
        <v>346</v>
      </c>
      <c r="K384" s="533" t="s">
        <v>521</v>
      </c>
      <c r="L384" s="1025">
        <v>5000</v>
      </c>
      <c r="M384" s="318"/>
      <c r="N384" s="318"/>
      <c r="O384" s="1052">
        <f t="shared" si="332"/>
        <v>5000</v>
      </c>
      <c r="P384" s="570"/>
      <c r="Q384" s="336">
        <v>0</v>
      </c>
      <c r="R384" s="559"/>
      <c r="S384" s="541">
        <v>0</v>
      </c>
      <c r="T384" s="559"/>
      <c r="U384" s="335"/>
      <c r="V384" s="596" t="s">
        <v>567</v>
      </c>
      <c r="W384" s="596" t="s">
        <v>568</v>
      </c>
      <c r="X384" s="320"/>
      <c r="Z384" s="336">
        <f t="shared" si="541"/>
        <v>2000</v>
      </c>
      <c r="AA384" s="337">
        <f t="shared" si="541"/>
        <v>2000</v>
      </c>
      <c r="AB384" s="338">
        <f t="shared" si="334"/>
        <v>0</v>
      </c>
      <c r="AC384" s="336">
        <f t="shared" si="542"/>
        <v>0</v>
      </c>
      <c r="AD384" s="337">
        <f t="shared" si="542"/>
        <v>0</v>
      </c>
      <c r="AE384" s="338">
        <f t="shared" si="336"/>
        <v>0</v>
      </c>
      <c r="AF384" s="336">
        <f t="shared" si="543"/>
        <v>2000</v>
      </c>
      <c r="AG384" s="337">
        <f t="shared" si="543"/>
        <v>0</v>
      </c>
      <c r="AH384" s="338">
        <f t="shared" si="338"/>
        <v>2000</v>
      </c>
      <c r="AI384" s="336">
        <f t="shared" si="544"/>
        <v>1000</v>
      </c>
      <c r="AJ384" s="337">
        <f t="shared" si="544"/>
        <v>0</v>
      </c>
      <c r="AK384" s="338">
        <f t="shared" si="340"/>
        <v>1000</v>
      </c>
      <c r="AL384" s="342"/>
      <c r="AM384" s="336">
        <f t="shared" si="545"/>
        <v>2000</v>
      </c>
      <c r="AN384" s="339">
        <f t="shared" si="545"/>
        <v>2000</v>
      </c>
      <c r="AO384" s="340">
        <f t="shared" si="342"/>
        <v>0</v>
      </c>
      <c r="AP384" s="336">
        <f t="shared" si="546"/>
        <v>4000</v>
      </c>
      <c r="AQ384" s="339">
        <f t="shared" si="546"/>
        <v>2000</v>
      </c>
      <c r="AR384" s="340">
        <f t="shared" si="328"/>
        <v>2000</v>
      </c>
      <c r="AS384" s="341">
        <f t="shared" si="547"/>
        <v>5000</v>
      </c>
      <c r="AT384" s="339">
        <f t="shared" si="547"/>
        <v>2000</v>
      </c>
      <c r="AU384" s="340">
        <f t="shared" si="330"/>
        <v>3000</v>
      </c>
      <c r="AV384" s="1255">
        <f t="shared" si="358"/>
        <v>0</v>
      </c>
      <c r="AW384" s="343"/>
      <c r="AX384" s="344"/>
      <c r="AY384" s="345"/>
      <c r="AZ384" s="344"/>
      <c r="BA384" s="1133">
        <v>2000</v>
      </c>
      <c r="BB384" s="1153">
        <v>2000</v>
      </c>
      <c r="BC384" s="347"/>
      <c r="BD384" s="348"/>
      <c r="BE384" s="349"/>
      <c r="BF384" s="348"/>
      <c r="BG384" s="349"/>
      <c r="BH384" s="350"/>
      <c r="BI384" s="351"/>
      <c r="BJ384" s="352"/>
      <c r="BK384" s="337">
        <v>2000</v>
      </c>
      <c r="BL384" s="352"/>
      <c r="BM384" s="337"/>
      <c r="BN384" s="353"/>
      <c r="BO384" s="354"/>
      <c r="BP384" s="355"/>
      <c r="BQ384" s="356">
        <v>1000</v>
      </c>
      <c r="BR384" s="355"/>
      <c r="BS384" s="356"/>
      <c r="BT384" s="357"/>
    </row>
    <row r="385" spans="1:72" s="313" customFormat="1" ht="51" outlineLevel="2">
      <c r="A385" s="287">
        <v>368</v>
      </c>
      <c r="B385" s="1143"/>
      <c r="C385" s="840"/>
      <c r="D385" s="841"/>
      <c r="E385" s="839"/>
      <c r="F385" s="821" t="s">
        <v>23</v>
      </c>
      <c r="G385" s="314">
        <v>2</v>
      </c>
      <c r="H385" s="739" t="s">
        <v>71</v>
      </c>
      <c r="I385" s="739">
        <v>244</v>
      </c>
      <c r="J385" s="740">
        <v>346</v>
      </c>
      <c r="K385" s="533" t="s">
        <v>521</v>
      </c>
      <c r="L385" s="1025">
        <v>2000</v>
      </c>
      <c r="M385" s="318"/>
      <c r="N385" s="318"/>
      <c r="O385" s="1052">
        <f t="shared" si="332"/>
        <v>2000</v>
      </c>
      <c r="P385" s="570"/>
      <c r="Q385" s="336">
        <v>0</v>
      </c>
      <c r="R385" s="559"/>
      <c r="S385" s="541">
        <v>0</v>
      </c>
      <c r="T385" s="559"/>
      <c r="U385" s="335"/>
      <c r="V385" s="596" t="s">
        <v>609</v>
      </c>
      <c r="W385" s="596" t="s">
        <v>610</v>
      </c>
      <c r="X385" s="320"/>
      <c r="Z385" s="336">
        <f t="shared" si="541"/>
        <v>2000</v>
      </c>
      <c r="AA385" s="337">
        <f t="shared" si="541"/>
        <v>2000</v>
      </c>
      <c r="AB385" s="338">
        <f t="shared" si="334"/>
        <v>0</v>
      </c>
      <c r="AC385" s="336">
        <f t="shared" si="542"/>
        <v>0</v>
      </c>
      <c r="AD385" s="337">
        <f t="shared" si="542"/>
        <v>0</v>
      </c>
      <c r="AE385" s="338">
        <f t="shared" si="336"/>
        <v>0</v>
      </c>
      <c r="AF385" s="336">
        <f t="shared" si="543"/>
        <v>0</v>
      </c>
      <c r="AG385" s="337">
        <f t="shared" si="543"/>
        <v>0</v>
      </c>
      <c r="AH385" s="338">
        <f t="shared" si="338"/>
        <v>0</v>
      </c>
      <c r="AI385" s="336">
        <f t="shared" si="544"/>
        <v>0</v>
      </c>
      <c r="AJ385" s="337">
        <f t="shared" si="544"/>
        <v>0</v>
      </c>
      <c r="AK385" s="338">
        <f t="shared" si="340"/>
        <v>0</v>
      </c>
      <c r="AL385" s="342"/>
      <c r="AM385" s="336">
        <f t="shared" si="545"/>
        <v>2000</v>
      </c>
      <c r="AN385" s="339">
        <f t="shared" si="545"/>
        <v>2000</v>
      </c>
      <c r="AO385" s="340">
        <f t="shared" si="342"/>
        <v>0</v>
      </c>
      <c r="AP385" s="336">
        <f t="shared" si="546"/>
        <v>2000</v>
      </c>
      <c r="AQ385" s="339">
        <f t="shared" si="546"/>
        <v>2000</v>
      </c>
      <c r="AR385" s="340">
        <f t="shared" si="328"/>
        <v>0</v>
      </c>
      <c r="AS385" s="341">
        <f t="shared" si="547"/>
        <v>2000</v>
      </c>
      <c r="AT385" s="339">
        <f t="shared" si="547"/>
        <v>2000</v>
      </c>
      <c r="AU385" s="340">
        <f t="shared" si="330"/>
        <v>0</v>
      </c>
      <c r="AV385" s="1255">
        <f t="shared" si="358"/>
        <v>0</v>
      </c>
      <c r="AW385" s="343"/>
      <c r="AX385" s="344"/>
      <c r="AY385" s="345"/>
      <c r="AZ385" s="344"/>
      <c r="BA385" s="1133">
        <v>2000</v>
      </c>
      <c r="BB385" s="1153">
        <v>2000</v>
      </c>
      <c r="BC385" s="347"/>
      <c r="BD385" s="348"/>
      <c r="BE385" s="349"/>
      <c r="BF385" s="348"/>
      <c r="BG385" s="349"/>
      <c r="BH385" s="350"/>
      <c r="BI385" s="351"/>
      <c r="BJ385" s="352"/>
      <c r="BK385" s="337"/>
      <c r="BL385" s="352"/>
      <c r="BM385" s="337"/>
      <c r="BN385" s="353"/>
      <c r="BO385" s="354"/>
      <c r="BP385" s="355"/>
      <c r="BQ385" s="356"/>
      <c r="BR385" s="355"/>
      <c r="BS385" s="356"/>
      <c r="BT385" s="357"/>
    </row>
    <row r="386" spans="1:72" s="313" customFormat="1" ht="38.25" outlineLevel="2">
      <c r="A386" s="287">
        <v>369</v>
      </c>
      <c r="B386" s="1143"/>
      <c r="C386" s="840"/>
      <c r="D386" s="841"/>
      <c r="E386" s="839"/>
      <c r="F386" s="821" t="s">
        <v>23</v>
      </c>
      <c r="G386" s="314">
        <v>2</v>
      </c>
      <c r="H386" s="739" t="s">
        <v>71</v>
      </c>
      <c r="I386" s="739">
        <v>244</v>
      </c>
      <c r="J386" s="740">
        <v>346</v>
      </c>
      <c r="K386" s="533" t="s">
        <v>705</v>
      </c>
      <c r="L386" s="1025">
        <v>1201</v>
      </c>
      <c r="M386" s="318"/>
      <c r="N386" s="318"/>
      <c r="O386" s="1052">
        <f>L386+N386</f>
        <v>1201</v>
      </c>
      <c r="P386" s="570"/>
      <c r="Q386" s="336">
        <v>0</v>
      </c>
      <c r="R386" s="559"/>
      <c r="S386" s="541">
        <v>0</v>
      </c>
      <c r="T386" s="559"/>
      <c r="U386" s="335"/>
      <c r="V386" s="596" t="s">
        <v>706</v>
      </c>
      <c r="W386" s="596" t="s">
        <v>707</v>
      </c>
      <c r="X386" s="320"/>
      <c r="Z386" s="336">
        <f t="shared" si="541"/>
        <v>1201</v>
      </c>
      <c r="AA386" s="337">
        <f t="shared" si="541"/>
        <v>1201</v>
      </c>
      <c r="AB386" s="338">
        <f t="shared" si="334"/>
        <v>0</v>
      </c>
      <c r="AC386" s="336">
        <f t="shared" si="542"/>
        <v>0</v>
      </c>
      <c r="AD386" s="337">
        <f t="shared" si="542"/>
        <v>0</v>
      </c>
      <c r="AE386" s="338">
        <f t="shared" si="336"/>
        <v>0</v>
      </c>
      <c r="AF386" s="336">
        <f t="shared" si="543"/>
        <v>0</v>
      </c>
      <c r="AG386" s="337">
        <f t="shared" si="543"/>
        <v>0</v>
      </c>
      <c r="AH386" s="338">
        <f t="shared" si="338"/>
        <v>0</v>
      </c>
      <c r="AI386" s="336">
        <f t="shared" si="544"/>
        <v>0</v>
      </c>
      <c r="AJ386" s="337">
        <f t="shared" si="544"/>
        <v>0</v>
      </c>
      <c r="AK386" s="338">
        <f t="shared" si="340"/>
        <v>0</v>
      </c>
      <c r="AL386" s="342"/>
      <c r="AM386" s="336">
        <f t="shared" si="545"/>
        <v>1201</v>
      </c>
      <c r="AN386" s="339">
        <f t="shared" si="545"/>
        <v>1201</v>
      </c>
      <c r="AO386" s="340">
        <f t="shared" si="342"/>
        <v>0</v>
      </c>
      <c r="AP386" s="336">
        <f t="shared" si="546"/>
        <v>1201</v>
      </c>
      <c r="AQ386" s="339">
        <f t="shared" si="546"/>
        <v>1201</v>
      </c>
      <c r="AR386" s="340">
        <f t="shared" si="328"/>
        <v>0</v>
      </c>
      <c r="AS386" s="341">
        <f t="shared" si="547"/>
        <v>1201</v>
      </c>
      <c r="AT386" s="339">
        <f t="shared" si="547"/>
        <v>1201</v>
      </c>
      <c r="AU386" s="340">
        <f t="shared" si="330"/>
        <v>0</v>
      </c>
      <c r="AV386" s="1255">
        <f>L386-AS386</f>
        <v>0</v>
      </c>
      <c r="AW386" s="343"/>
      <c r="AX386" s="344"/>
      <c r="AY386" s="1133">
        <v>1201</v>
      </c>
      <c r="AZ386" s="1152">
        <v>1201</v>
      </c>
      <c r="BA386" s="345"/>
      <c r="BB386" s="346"/>
      <c r="BC386" s="347"/>
      <c r="BD386" s="348"/>
      <c r="BE386" s="349"/>
      <c r="BF386" s="348"/>
      <c r="BG386" s="349"/>
      <c r="BH386" s="350"/>
      <c r="BI386" s="351"/>
      <c r="BJ386" s="352"/>
      <c r="BK386" s="337"/>
      <c r="BL386" s="352"/>
      <c r="BM386" s="337"/>
      <c r="BN386" s="353"/>
      <c r="BO386" s="354"/>
      <c r="BP386" s="355"/>
      <c r="BQ386" s="356"/>
      <c r="BR386" s="355"/>
      <c r="BS386" s="356"/>
      <c r="BT386" s="357"/>
    </row>
    <row r="387" spans="1:72" s="313" customFormat="1" ht="38.25" outlineLevel="2">
      <c r="A387" s="287">
        <v>370</v>
      </c>
      <c r="B387" s="1143"/>
      <c r="C387" s="840"/>
      <c r="D387" s="841"/>
      <c r="E387" s="839"/>
      <c r="F387" s="821" t="s">
        <v>23</v>
      </c>
      <c r="G387" s="314">
        <v>2</v>
      </c>
      <c r="H387" s="739" t="s">
        <v>71</v>
      </c>
      <c r="I387" s="739">
        <v>244</v>
      </c>
      <c r="J387" s="740">
        <v>346</v>
      </c>
      <c r="K387" s="533" t="s">
        <v>673</v>
      </c>
      <c r="L387" s="1025">
        <v>38115</v>
      </c>
      <c r="M387" s="318"/>
      <c r="N387" s="318"/>
      <c r="O387" s="1052">
        <f>L387+N387</f>
        <v>38115</v>
      </c>
      <c r="P387" s="570"/>
      <c r="Q387" s="336">
        <v>0</v>
      </c>
      <c r="R387" s="559"/>
      <c r="S387" s="541">
        <v>0</v>
      </c>
      <c r="T387" s="559"/>
      <c r="U387" s="335"/>
      <c r="V387" s="596" t="s">
        <v>674</v>
      </c>
      <c r="W387" s="596" t="s">
        <v>675</v>
      </c>
      <c r="X387" s="596" t="s">
        <v>676</v>
      </c>
      <c r="Z387" s="336">
        <f t="shared" si="541"/>
        <v>0</v>
      </c>
      <c r="AA387" s="337">
        <f t="shared" si="541"/>
        <v>0</v>
      </c>
      <c r="AB387" s="338">
        <f t="shared" si="334"/>
        <v>0</v>
      </c>
      <c r="AC387" s="336">
        <f t="shared" si="542"/>
        <v>38115</v>
      </c>
      <c r="AD387" s="337">
        <f t="shared" si="542"/>
        <v>0</v>
      </c>
      <c r="AE387" s="338">
        <f t="shared" si="336"/>
        <v>38115</v>
      </c>
      <c r="AF387" s="336">
        <f t="shared" si="543"/>
        <v>0</v>
      </c>
      <c r="AG387" s="337">
        <f t="shared" si="543"/>
        <v>0</v>
      </c>
      <c r="AH387" s="338">
        <f t="shared" si="338"/>
        <v>0</v>
      </c>
      <c r="AI387" s="336">
        <f t="shared" si="544"/>
        <v>0</v>
      </c>
      <c r="AJ387" s="337">
        <f t="shared" si="544"/>
        <v>0</v>
      </c>
      <c r="AK387" s="338">
        <f t="shared" si="340"/>
        <v>0</v>
      </c>
      <c r="AL387" s="342"/>
      <c r="AM387" s="336">
        <f t="shared" si="545"/>
        <v>38115</v>
      </c>
      <c r="AN387" s="339">
        <f t="shared" si="545"/>
        <v>0</v>
      </c>
      <c r="AO387" s="340">
        <f t="shared" si="342"/>
        <v>38115</v>
      </c>
      <c r="AP387" s="336">
        <f t="shared" si="546"/>
        <v>38115</v>
      </c>
      <c r="AQ387" s="339">
        <f t="shared" si="546"/>
        <v>0</v>
      </c>
      <c r="AR387" s="340">
        <f t="shared" si="328"/>
        <v>38115</v>
      </c>
      <c r="AS387" s="341">
        <f t="shared" si="547"/>
        <v>38115</v>
      </c>
      <c r="AT387" s="339">
        <f t="shared" si="547"/>
        <v>0</v>
      </c>
      <c r="AU387" s="340">
        <f t="shared" si="330"/>
        <v>38115</v>
      </c>
      <c r="AV387" s="1255">
        <f>L387-AS387</f>
        <v>0</v>
      </c>
      <c r="AW387" s="343"/>
      <c r="AX387" s="344"/>
      <c r="AY387" s="345"/>
      <c r="AZ387" s="344"/>
      <c r="BA387" s="345"/>
      <c r="BB387" s="346"/>
      <c r="BC387" s="1134"/>
      <c r="BD387" s="348"/>
      <c r="BE387" s="349">
        <v>38115</v>
      </c>
      <c r="BF387" s="348"/>
      <c r="BG387" s="349"/>
      <c r="BH387" s="350"/>
      <c r="BI387" s="351"/>
      <c r="BJ387" s="352"/>
      <c r="BK387" s="337"/>
      <c r="BL387" s="352"/>
      <c r="BM387" s="337"/>
      <c r="BN387" s="353"/>
      <c r="BO387" s="354"/>
      <c r="BP387" s="355"/>
      <c r="BQ387" s="356"/>
      <c r="BR387" s="355"/>
      <c r="BS387" s="356"/>
      <c r="BT387" s="357"/>
    </row>
    <row r="388" spans="1:72" s="313" customFormat="1" ht="25.5" outlineLevel="2">
      <c r="A388" s="287">
        <v>371</v>
      </c>
      <c r="B388" s="1143"/>
      <c r="C388" s="840"/>
      <c r="D388" s="841"/>
      <c r="E388" s="839"/>
      <c r="F388" s="821" t="s">
        <v>23</v>
      </c>
      <c r="G388" s="314">
        <v>2</v>
      </c>
      <c r="H388" s="739" t="s">
        <v>71</v>
      </c>
      <c r="I388" s="739">
        <v>244</v>
      </c>
      <c r="J388" s="740">
        <v>346</v>
      </c>
      <c r="K388" s="533" t="s">
        <v>695</v>
      </c>
      <c r="L388" s="1025">
        <v>8170</v>
      </c>
      <c r="M388" s="318"/>
      <c r="N388" s="318"/>
      <c r="O388" s="1052">
        <f>L388+N388</f>
        <v>8170</v>
      </c>
      <c r="P388" s="570"/>
      <c r="Q388" s="336">
        <v>0</v>
      </c>
      <c r="R388" s="559"/>
      <c r="S388" s="541">
        <v>0</v>
      </c>
      <c r="T388" s="559"/>
      <c r="U388" s="335"/>
      <c r="V388" s="596" t="s">
        <v>579</v>
      </c>
      <c r="W388" s="596" t="s">
        <v>821</v>
      </c>
      <c r="X388" s="388" t="s">
        <v>822</v>
      </c>
      <c r="Z388" s="336">
        <f t="shared" si="541"/>
        <v>0</v>
      </c>
      <c r="AA388" s="337">
        <f t="shared" si="541"/>
        <v>0</v>
      </c>
      <c r="AB388" s="338">
        <f t="shared" si="334"/>
        <v>0</v>
      </c>
      <c r="AC388" s="336">
        <f t="shared" si="542"/>
        <v>8170</v>
      </c>
      <c r="AD388" s="337">
        <f t="shared" si="542"/>
        <v>8170</v>
      </c>
      <c r="AE388" s="338">
        <f t="shared" si="336"/>
        <v>0</v>
      </c>
      <c r="AF388" s="336">
        <f t="shared" si="543"/>
        <v>0</v>
      </c>
      <c r="AG388" s="337">
        <f t="shared" si="543"/>
        <v>0</v>
      </c>
      <c r="AH388" s="338">
        <f t="shared" si="338"/>
        <v>0</v>
      </c>
      <c r="AI388" s="336">
        <f t="shared" si="544"/>
        <v>0</v>
      </c>
      <c r="AJ388" s="337">
        <f t="shared" si="544"/>
        <v>0</v>
      </c>
      <c r="AK388" s="338">
        <f t="shared" si="340"/>
        <v>0</v>
      </c>
      <c r="AL388" s="342"/>
      <c r="AM388" s="336">
        <f t="shared" si="545"/>
        <v>8170</v>
      </c>
      <c r="AN388" s="339">
        <f t="shared" si="545"/>
        <v>8170</v>
      </c>
      <c r="AO388" s="340">
        <f t="shared" si="342"/>
        <v>0</v>
      </c>
      <c r="AP388" s="336">
        <f t="shared" si="546"/>
        <v>8170</v>
      </c>
      <c r="AQ388" s="339">
        <f t="shared" si="546"/>
        <v>8170</v>
      </c>
      <c r="AR388" s="340">
        <f t="shared" si="328"/>
        <v>0</v>
      </c>
      <c r="AS388" s="341">
        <f t="shared" si="547"/>
        <v>8170</v>
      </c>
      <c r="AT388" s="339">
        <f t="shared" si="547"/>
        <v>8170</v>
      </c>
      <c r="AU388" s="340">
        <f t="shared" si="330"/>
        <v>0</v>
      </c>
      <c r="AV388" s="1255">
        <f t="shared" ref="AV388:AV397" si="550">L388-AS388</f>
        <v>0</v>
      </c>
      <c r="AW388" s="343"/>
      <c r="AX388" s="344"/>
      <c r="AY388" s="345"/>
      <c r="AZ388" s="344"/>
      <c r="BA388" s="345"/>
      <c r="BB388" s="346"/>
      <c r="BC388" s="1134">
        <v>8170</v>
      </c>
      <c r="BD388" s="1140">
        <v>8170</v>
      </c>
      <c r="BE388" s="349"/>
      <c r="BF388" s="348"/>
      <c r="BG388" s="349"/>
      <c r="BH388" s="350"/>
      <c r="BI388" s="351"/>
      <c r="BJ388" s="352"/>
      <c r="BK388" s="337"/>
      <c r="BL388" s="352"/>
      <c r="BM388" s="337"/>
      <c r="BN388" s="353"/>
      <c r="BO388" s="354"/>
      <c r="BP388" s="355"/>
      <c r="BQ388" s="356"/>
      <c r="BR388" s="355"/>
      <c r="BS388" s="356"/>
      <c r="BT388" s="357"/>
    </row>
    <row r="389" spans="1:72" s="313" customFormat="1" ht="38.25" outlineLevel="2">
      <c r="A389" s="287">
        <v>372</v>
      </c>
      <c r="B389" s="1143"/>
      <c r="C389" s="840"/>
      <c r="D389" s="841"/>
      <c r="E389" s="839"/>
      <c r="F389" s="821" t="s">
        <v>23</v>
      </c>
      <c r="G389" s="314">
        <v>2</v>
      </c>
      <c r="H389" s="739" t="s">
        <v>71</v>
      </c>
      <c r="I389" s="739">
        <v>244</v>
      </c>
      <c r="J389" s="740">
        <v>346</v>
      </c>
      <c r="K389" s="533" t="s">
        <v>993</v>
      </c>
      <c r="L389" s="1025">
        <v>860</v>
      </c>
      <c r="M389" s="318"/>
      <c r="N389" s="318"/>
      <c r="O389" s="1052">
        <f t="shared" ref="O389:O397" si="551">L389+N389</f>
        <v>860</v>
      </c>
      <c r="P389" s="570"/>
      <c r="Q389" s="336">
        <v>0</v>
      </c>
      <c r="R389" s="559"/>
      <c r="S389" s="541">
        <v>0</v>
      </c>
      <c r="T389" s="559"/>
      <c r="U389" s="335"/>
      <c r="V389" s="596" t="s">
        <v>640</v>
      </c>
      <c r="W389" s="596" t="s">
        <v>994</v>
      </c>
      <c r="X389" s="388"/>
      <c r="Z389" s="336">
        <f t="shared" si="541"/>
        <v>0</v>
      </c>
      <c r="AA389" s="337">
        <f t="shared" si="541"/>
        <v>0</v>
      </c>
      <c r="AB389" s="338">
        <f t="shared" si="334"/>
        <v>0</v>
      </c>
      <c r="AC389" s="336">
        <f t="shared" si="542"/>
        <v>8170</v>
      </c>
      <c r="AD389" s="337">
        <f t="shared" si="542"/>
        <v>8170</v>
      </c>
      <c r="AE389" s="338">
        <f t="shared" si="336"/>
        <v>0</v>
      </c>
      <c r="AF389" s="336">
        <f t="shared" si="543"/>
        <v>0</v>
      </c>
      <c r="AG389" s="337">
        <f t="shared" si="543"/>
        <v>0</v>
      </c>
      <c r="AH389" s="338">
        <f t="shared" si="338"/>
        <v>0</v>
      </c>
      <c r="AI389" s="336">
        <f t="shared" si="544"/>
        <v>0</v>
      </c>
      <c r="AJ389" s="337">
        <f t="shared" si="544"/>
        <v>0</v>
      </c>
      <c r="AK389" s="338">
        <f t="shared" si="340"/>
        <v>0</v>
      </c>
      <c r="AL389" s="342"/>
      <c r="AM389" s="336">
        <f t="shared" si="545"/>
        <v>8170</v>
      </c>
      <c r="AN389" s="339">
        <f t="shared" si="545"/>
        <v>8170</v>
      </c>
      <c r="AO389" s="340">
        <f t="shared" si="342"/>
        <v>0</v>
      </c>
      <c r="AP389" s="336">
        <f t="shared" si="546"/>
        <v>8170</v>
      </c>
      <c r="AQ389" s="339">
        <f t="shared" si="546"/>
        <v>8170</v>
      </c>
      <c r="AR389" s="340">
        <f t="shared" si="328"/>
        <v>0</v>
      </c>
      <c r="AS389" s="341">
        <f t="shared" si="547"/>
        <v>8170</v>
      </c>
      <c r="AT389" s="339">
        <f t="shared" si="547"/>
        <v>8170</v>
      </c>
      <c r="AU389" s="340">
        <f t="shared" si="330"/>
        <v>0</v>
      </c>
      <c r="AV389" s="1255">
        <f t="shared" si="550"/>
        <v>-7310</v>
      </c>
      <c r="AW389" s="343"/>
      <c r="AX389" s="344"/>
      <c r="AY389" s="345"/>
      <c r="AZ389" s="344"/>
      <c r="BA389" s="345"/>
      <c r="BB389" s="346"/>
      <c r="BC389" s="1134">
        <v>8170</v>
      </c>
      <c r="BD389" s="1140">
        <v>8170</v>
      </c>
      <c r="BE389" s="349"/>
      <c r="BF389" s="348"/>
      <c r="BG389" s="349"/>
      <c r="BH389" s="350"/>
      <c r="BI389" s="351"/>
      <c r="BJ389" s="352"/>
      <c r="BK389" s="337"/>
      <c r="BL389" s="352"/>
      <c r="BM389" s="337"/>
      <c r="BN389" s="353"/>
      <c r="BO389" s="354"/>
      <c r="BP389" s="355"/>
      <c r="BQ389" s="356"/>
      <c r="BR389" s="355"/>
      <c r="BS389" s="356"/>
      <c r="BT389" s="357"/>
    </row>
    <row r="390" spans="1:72" s="313" customFormat="1" ht="38.25" outlineLevel="2">
      <c r="A390" s="287">
        <v>373</v>
      </c>
      <c r="B390" s="1143"/>
      <c r="C390" s="840"/>
      <c r="D390" s="841"/>
      <c r="E390" s="839"/>
      <c r="F390" s="821" t="s">
        <v>23</v>
      </c>
      <c r="G390" s="314">
        <v>2</v>
      </c>
      <c r="H390" s="739" t="s">
        <v>71</v>
      </c>
      <c r="I390" s="739">
        <v>244</v>
      </c>
      <c r="J390" s="740">
        <v>346</v>
      </c>
      <c r="K390" s="533" t="s">
        <v>712</v>
      </c>
      <c r="L390" s="1025">
        <v>570</v>
      </c>
      <c r="M390" s="318"/>
      <c r="N390" s="318"/>
      <c r="O390" s="1052">
        <f t="shared" si="551"/>
        <v>570</v>
      </c>
      <c r="P390" s="570"/>
      <c r="Q390" s="336">
        <v>0</v>
      </c>
      <c r="R390" s="559"/>
      <c r="S390" s="541">
        <v>0</v>
      </c>
      <c r="T390" s="559"/>
      <c r="U390" s="335"/>
      <c r="V390" s="596" t="s">
        <v>640</v>
      </c>
      <c r="W390" s="596" t="s">
        <v>713</v>
      </c>
      <c r="X390" s="320"/>
      <c r="Z390" s="336">
        <f t="shared" si="541"/>
        <v>0</v>
      </c>
      <c r="AA390" s="337">
        <f t="shared" si="541"/>
        <v>0</v>
      </c>
      <c r="AB390" s="338">
        <f t="shared" si="334"/>
        <v>0</v>
      </c>
      <c r="AC390" s="336">
        <f t="shared" si="542"/>
        <v>570</v>
      </c>
      <c r="AD390" s="337">
        <f t="shared" si="542"/>
        <v>0</v>
      </c>
      <c r="AE390" s="338">
        <f t="shared" si="336"/>
        <v>570</v>
      </c>
      <c r="AF390" s="336">
        <f t="shared" si="543"/>
        <v>0</v>
      </c>
      <c r="AG390" s="337">
        <f t="shared" si="543"/>
        <v>0</v>
      </c>
      <c r="AH390" s="338">
        <f t="shared" si="338"/>
        <v>0</v>
      </c>
      <c r="AI390" s="336">
        <f t="shared" si="544"/>
        <v>0</v>
      </c>
      <c r="AJ390" s="337">
        <f t="shared" si="544"/>
        <v>0</v>
      </c>
      <c r="AK390" s="338">
        <f t="shared" si="340"/>
        <v>0</v>
      </c>
      <c r="AL390" s="342"/>
      <c r="AM390" s="336">
        <f t="shared" si="545"/>
        <v>570</v>
      </c>
      <c r="AN390" s="339">
        <f t="shared" si="545"/>
        <v>0</v>
      </c>
      <c r="AO390" s="340">
        <f t="shared" si="342"/>
        <v>570</v>
      </c>
      <c r="AP390" s="336">
        <f t="shared" si="546"/>
        <v>570</v>
      </c>
      <c r="AQ390" s="339">
        <f t="shared" si="546"/>
        <v>0</v>
      </c>
      <c r="AR390" s="340">
        <f t="shared" si="328"/>
        <v>570</v>
      </c>
      <c r="AS390" s="341">
        <f t="shared" si="547"/>
        <v>570</v>
      </c>
      <c r="AT390" s="339">
        <f t="shared" si="547"/>
        <v>0</v>
      </c>
      <c r="AU390" s="340">
        <f t="shared" si="330"/>
        <v>570</v>
      </c>
      <c r="AV390" s="1255">
        <f t="shared" si="550"/>
        <v>0</v>
      </c>
      <c r="AW390" s="343"/>
      <c r="AX390" s="344"/>
      <c r="AY390" s="345"/>
      <c r="AZ390" s="344"/>
      <c r="BA390" s="345"/>
      <c r="BB390" s="346"/>
      <c r="BC390" s="1134">
        <v>570</v>
      </c>
      <c r="BD390" s="1140"/>
      <c r="BE390" s="349"/>
      <c r="BF390" s="348"/>
      <c r="BG390" s="349"/>
      <c r="BH390" s="350"/>
      <c r="BI390" s="351"/>
      <c r="BJ390" s="352"/>
      <c r="BK390" s="337"/>
      <c r="BL390" s="352"/>
      <c r="BM390" s="337"/>
      <c r="BN390" s="353"/>
      <c r="BO390" s="354"/>
      <c r="BP390" s="355"/>
      <c r="BQ390" s="356"/>
      <c r="BR390" s="355"/>
      <c r="BS390" s="356"/>
      <c r="BT390" s="357"/>
    </row>
    <row r="391" spans="1:72" s="313" customFormat="1" ht="51" outlineLevel="2">
      <c r="A391" s="287">
        <v>374</v>
      </c>
      <c r="B391" s="1143"/>
      <c r="C391" s="840"/>
      <c r="D391" s="841"/>
      <c r="E391" s="839"/>
      <c r="F391" s="821" t="s">
        <v>23</v>
      </c>
      <c r="G391" s="314">
        <v>2</v>
      </c>
      <c r="H391" s="739" t="s">
        <v>71</v>
      </c>
      <c r="I391" s="739">
        <v>244</v>
      </c>
      <c r="J391" s="740">
        <v>346</v>
      </c>
      <c r="K391" s="533" t="s">
        <v>1026</v>
      </c>
      <c r="L391" s="1025">
        <v>4101</v>
      </c>
      <c r="M391" s="318"/>
      <c r="N391" s="318"/>
      <c r="O391" s="1052">
        <f t="shared" si="551"/>
        <v>4101</v>
      </c>
      <c r="P391" s="570"/>
      <c r="Q391" s="336">
        <v>0</v>
      </c>
      <c r="R391" s="559"/>
      <c r="S391" s="541">
        <v>0</v>
      </c>
      <c r="T391" s="559"/>
      <c r="U391" s="335"/>
      <c r="V391" s="596" t="s">
        <v>706</v>
      </c>
      <c r="W391" s="596" t="s">
        <v>1025</v>
      </c>
      <c r="X391" s="320"/>
      <c r="Z391" s="336">
        <f t="shared" si="541"/>
        <v>0</v>
      </c>
      <c r="AA391" s="337">
        <f t="shared" si="541"/>
        <v>0</v>
      </c>
      <c r="AB391" s="338">
        <f t="shared" si="334"/>
        <v>0</v>
      </c>
      <c r="AC391" s="336">
        <f t="shared" si="542"/>
        <v>0</v>
      </c>
      <c r="AD391" s="337">
        <f t="shared" si="542"/>
        <v>0</v>
      </c>
      <c r="AE391" s="338">
        <f t="shared" si="336"/>
        <v>0</v>
      </c>
      <c r="AF391" s="336">
        <f t="shared" si="543"/>
        <v>3402.64</v>
      </c>
      <c r="AG391" s="337">
        <f t="shared" si="543"/>
        <v>0</v>
      </c>
      <c r="AH391" s="338">
        <f t="shared" si="338"/>
        <v>3402.64</v>
      </c>
      <c r="AI391" s="336">
        <f t="shared" si="544"/>
        <v>698.36</v>
      </c>
      <c r="AJ391" s="337">
        <f t="shared" si="544"/>
        <v>0</v>
      </c>
      <c r="AK391" s="338">
        <f t="shared" si="340"/>
        <v>698.36</v>
      </c>
      <c r="AL391" s="342"/>
      <c r="AM391" s="336">
        <f t="shared" si="545"/>
        <v>0</v>
      </c>
      <c r="AN391" s="339">
        <f t="shared" si="545"/>
        <v>0</v>
      </c>
      <c r="AO391" s="340">
        <f t="shared" si="342"/>
        <v>0</v>
      </c>
      <c r="AP391" s="336">
        <f t="shared" si="546"/>
        <v>3402.64</v>
      </c>
      <c r="AQ391" s="339">
        <f t="shared" si="546"/>
        <v>0</v>
      </c>
      <c r="AR391" s="340">
        <f t="shared" si="328"/>
        <v>3402.64</v>
      </c>
      <c r="AS391" s="341">
        <f t="shared" si="547"/>
        <v>4101</v>
      </c>
      <c r="AT391" s="339">
        <f t="shared" si="547"/>
        <v>0</v>
      </c>
      <c r="AU391" s="340">
        <f t="shared" si="330"/>
        <v>4101</v>
      </c>
      <c r="AV391" s="1255">
        <f t="shared" si="550"/>
        <v>0</v>
      </c>
      <c r="AW391" s="343"/>
      <c r="AX391" s="344"/>
      <c r="AY391" s="345"/>
      <c r="AZ391" s="344"/>
      <c r="BA391" s="345"/>
      <c r="BB391" s="346"/>
      <c r="BC391" s="1134"/>
      <c r="BD391" s="348"/>
      <c r="BE391" s="349"/>
      <c r="BF391" s="348"/>
      <c r="BG391" s="349"/>
      <c r="BH391" s="350"/>
      <c r="BI391" s="351"/>
      <c r="BJ391" s="352"/>
      <c r="BK391" s="337"/>
      <c r="BL391" s="352"/>
      <c r="BM391" s="1137">
        <v>3402.64</v>
      </c>
      <c r="BN391" s="353"/>
      <c r="BO391" s="354">
        <v>698.36</v>
      </c>
      <c r="BP391" s="355"/>
      <c r="BQ391" s="356"/>
      <c r="BR391" s="355"/>
      <c r="BS391" s="356"/>
      <c r="BT391" s="357"/>
    </row>
    <row r="392" spans="1:72" s="313" customFormat="1" ht="25.5" outlineLevel="2">
      <c r="A392" s="287">
        <v>375</v>
      </c>
      <c r="B392" s="1143"/>
      <c r="C392" s="840"/>
      <c r="D392" s="841"/>
      <c r="E392" s="839"/>
      <c r="F392" s="821" t="s">
        <v>23</v>
      </c>
      <c r="G392" s="314">
        <v>2</v>
      </c>
      <c r="H392" s="739" t="s">
        <v>71</v>
      </c>
      <c r="I392" s="739">
        <v>244</v>
      </c>
      <c r="J392" s="740">
        <v>346</v>
      </c>
      <c r="K392" s="533" t="s">
        <v>819</v>
      </c>
      <c r="L392" s="1025">
        <v>1109</v>
      </c>
      <c r="M392" s="318"/>
      <c r="N392" s="318"/>
      <c r="O392" s="1052">
        <f t="shared" si="551"/>
        <v>1109</v>
      </c>
      <c r="P392" s="570"/>
      <c r="Q392" s="336">
        <v>0</v>
      </c>
      <c r="R392" s="559"/>
      <c r="S392" s="541">
        <v>0</v>
      </c>
      <c r="T392" s="559"/>
      <c r="U392" s="335"/>
      <c r="V392" s="320" t="s">
        <v>818</v>
      </c>
      <c r="W392" s="320" t="s">
        <v>750</v>
      </c>
      <c r="X392" s="320"/>
      <c r="Z392" s="336">
        <f t="shared" si="541"/>
        <v>0</v>
      </c>
      <c r="AA392" s="337">
        <f t="shared" si="541"/>
        <v>6077</v>
      </c>
      <c r="AB392" s="338">
        <f t="shared" si="334"/>
        <v>-6077</v>
      </c>
      <c r="AC392" s="336">
        <f t="shared" si="542"/>
        <v>0</v>
      </c>
      <c r="AD392" s="337">
        <f t="shared" si="542"/>
        <v>0</v>
      </c>
      <c r="AE392" s="338">
        <f t="shared" si="336"/>
        <v>0</v>
      </c>
      <c r="AF392" s="336">
        <f t="shared" si="543"/>
        <v>0</v>
      </c>
      <c r="AG392" s="337">
        <f t="shared" si="543"/>
        <v>0</v>
      </c>
      <c r="AH392" s="338">
        <f t="shared" si="338"/>
        <v>0</v>
      </c>
      <c r="AI392" s="336">
        <f t="shared" si="544"/>
        <v>0</v>
      </c>
      <c r="AJ392" s="337">
        <f t="shared" si="544"/>
        <v>0</v>
      </c>
      <c r="AK392" s="338">
        <f t="shared" si="340"/>
        <v>0</v>
      </c>
      <c r="AL392" s="342"/>
      <c r="AM392" s="336">
        <f t="shared" si="545"/>
        <v>0</v>
      </c>
      <c r="AN392" s="339">
        <f t="shared" si="545"/>
        <v>6077</v>
      </c>
      <c r="AO392" s="340">
        <f t="shared" si="342"/>
        <v>-6077</v>
      </c>
      <c r="AP392" s="336">
        <f t="shared" si="546"/>
        <v>0</v>
      </c>
      <c r="AQ392" s="339">
        <f t="shared" si="546"/>
        <v>6077</v>
      </c>
      <c r="AR392" s="340">
        <f t="shared" si="328"/>
        <v>-6077</v>
      </c>
      <c r="AS392" s="341">
        <f t="shared" si="547"/>
        <v>0</v>
      </c>
      <c r="AT392" s="339">
        <f t="shared" si="547"/>
        <v>6077</v>
      </c>
      <c r="AU392" s="340">
        <f t="shared" si="330"/>
        <v>-6077</v>
      </c>
      <c r="AV392" s="1255">
        <f t="shared" si="550"/>
        <v>1109</v>
      </c>
      <c r="AW392" s="343"/>
      <c r="AX392" s="344"/>
      <c r="AY392" s="345"/>
      <c r="AZ392" s="344">
        <v>5496.5</v>
      </c>
      <c r="BA392" s="345"/>
      <c r="BB392" s="346">
        <v>580.5</v>
      </c>
      <c r="BC392" s="1134"/>
      <c r="BD392" s="348"/>
      <c r="BE392" s="349"/>
      <c r="BF392" s="348"/>
      <c r="BG392" s="349"/>
      <c r="BH392" s="350"/>
      <c r="BI392" s="351"/>
      <c r="BJ392" s="352"/>
      <c r="BK392" s="337"/>
      <c r="BL392" s="352"/>
      <c r="BM392" s="337"/>
      <c r="BN392" s="353"/>
      <c r="BO392" s="354"/>
      <c r="BP392" s="355"/>
      <c r="BQ392" s="356"/>
      <c r="BR392" s="355"/>
      <c r="BS392" s="356"/>
      <c r="BT392" s="357"/>
    </row>
    <row r="393" spans="1:72" s="313" customFormat="1" ht="38.25" outlineLevel="2">
      <c r="A393" s="287">
        <v>376</v>
      </c>
      <c r="B393" s="1143"/>
      <c r="C393" s="840"/>
      <c r="D393" s="841"/>
      <c r="E393" s="839"/>
      <c r="F393" s="821" t="s">
        <v>23</v>
      </c>
      <c r="G393" s="314">
        <v>2</v>
      </c>
      <c r="H393" s="739" t="s">
        <v>71</v>
      </c>
      <c r="I393" s="739">
        <v>244</v>
      </c>
      <c r="J393" s="740">
        <v>346</v>
      </c>
      <c r="K393" s="533" t="s">
        <v>864</v>
      </c>
      <c r="L393" s="1025">
        <v>2200</v>
      </c>
      <c r="M393" s="318"/>
      <c r="N393" s="318"/>
      <c r="O393" s="1052">
        <f t="shared" si="551"/>
        <v>2200</v>
      </c>
      <c r="P393" s="570"/>
      <c r="Q393" s="336">
        <v>0</v>
      </c>
      <c r="R393" s="559"/>
      <c r="S393" s="541">
        <v>0</v>
      </c>
      <c r="T393" s="559"/>
      <c r="U393" s="335"/>
      <c r="V393" s="596" t="s">
        <v>865</v>
      </c>
      <c r="W393" s="596" t="s">
        <v>866</v>
      </c>
      <c r="X393" s="388"/>
      <c r="Z393" s="336">
        <f t="shared" si="541"/>
        <v>0</v>
      </c>
      <c r="AA393" s="337">
        <f t="shared" si="541"/>
        <v>0</v>
      </c>
      <c r="AB393" s="338">
        <f t="shared" si="334"/>
        <v>0</v>
      </c>
      <c r="AC393" s="336">
        <f t="shared" si="542"/>
        <v>2200</v>
      </c>
      <c r="AD393" s="337">
        <f t="shared" si="542"/>
        <v>0</v>
      </c>
      <c r="AE393" s="338">
        <f t="shared" si="336"/>
        <v>2200</v>
      </c>
      <c r="AF393" s="336">
        <f t="shared" si="543"/>
        <v>0</v>
      </c>
      <c r="AG393" s="337">
        <f t="shared" si="543"/>
        <v>0</v>
      </c>
      <c r="AH393" s="338">
        <f t="shared" si="338"/>
        <v>0</v>
      </c>
      <c r="AI393" s="336">
        <f t="shared" si="544"/>
        <v>0</v>
      </c>
      <c r="AJ393" s="337">
        <f t="shared" si="544"/>
        <v>0</v>
      </c>
      <c r="AK393" s="338">
        <f t="shared" si="340"/>
        <v>0</v>
      </c>
      <c r="AL393" s="342"/>
      <c r="AM393" s="336">
        <f t="shared" si="545"/>
        <v>2200</v>
      </c>
      <c r="AN393" s="339">
        <f t="shared" si="545"/>
        <v>0</v>
      </c>
      <c r="AO393" s="340">
        <f t="shared" si="342"/>
        <v>2200</v>
      </c>
      <c r="AP393" s="336">
        <f t="shared" si="546"/>
        <v>2200</v>
      </c>
      <c r="AQ393" s="339">
        <f t="shared" si="546"/>
        <v>0</v>
      </c>
      <c r="AR393" s="340">
        <f t="shared" si="328"/>
        <v>2200</v>
      </c>
      <c r="AS393" s="341">
        <f t="shared" si="547"/>
        <v>2200</v>
      </c>
      <c r="AT393" s="339">
        <f t="shared" si="547"/>
        <v>0</v>
      </c>
      <c r="AU393" s="340">
        <f t="shared" si="330"/>
        <v>2200</v>
      </c>
      <c r="AV393" s="1255">
        <f t="shared" si="550"/>
        <v>0</v>
      </c>
      <c r="AW393" s="343"/>
      <c r="AX393" s="344"/>
      <c r="AY393" s="345"/>
      <c r="AZ393" s="344"/>
      <c r="BA393" s="345"/>
      <c r="BB393" s="346"/>
      <c r="BC393" s="1134"/>
      <c r="BD393" s="1140"/>
      <c r="BE393" s="349"/>
      <c r="BF393" s="348"/>
      <c r="BG393" s="349">
        <v>2200</v>
      </c>
      <c r="BH393" s="350"/>
      <c r="BI393" s="351"/>
      <c r="BJ393" s="352"/>
      <c r="BK393" s="337"/>
      <c r="BL393" s="352"/>
      <c r="BM393" s="337"/>
      <c r="BN393" s="353"/>
      <c r="BO393" s="354"/>
      <c r="BP393" s="355"/>
      <c r="BQ393" s="356"/>
      <c r="BR393" s="355"/>
      <c r="BS393" s="356"/>
      <c r="BT393" s="357"/>
    </row>
    <row r="394" spans="1:72" s="313" customFormat="1" ht="38.25" outlineLevel="2">
      <c r="A394" s="287">
        <v>377</v>
      </c>
      <c r="B394" s="1143"/>
      <c r="C394" s="840"/>
      <c r="D394" s="841"/>
      <c r="E394" s="839"/>
      <c r="F394" s="821" t="s">
        <v>23</v>
      </c>
      <c r="G394" s="314">
        <v>2</v>
      </c>
      <c r="H394" s="739" t="s">
        <v>71</v>
      </c>
      <c r="I394" s="739">
        <v>244</v>
      </c>
      <c r="J394" s="740">
        <v>346</v>
      </c>
      <c r="K394" s="533" t="s">
        <v>1017</v>
      </c>
      <c r="L394" s="1025">
        <v>420</v>
      </c>
      <c r="M394" s="318"/>
      <c r="N394" s="318"/>
      <c r="O394" s="1052">
        <f t="shared" si="551"/>
        <v>420</v>
      </c>
      <c r="P394" s="570"/>
      <c r="Q394" s="336">
        <v>0</v>
      </c>
      <c r="R394" s="559"/>
      <c r="S394" s="541">
        <v>0</v>
      </c>
      <c r="T394" s="559"/>
      <c r="U394" s="335"/>
      <c r="V394" s="596" t="s">
        <v>818</v>
      </c>
      <c r="W394" s="596" t="s">
        <v>1018</v>
      </c>
      <c r="X394" s="388"/>
      <c r="Z394" s="336">
        <f t="shared" si="541"/>
        <v>0</v>
      </c>
      <c r="AA394" s="337">
        <f t="shared" si="541"/>
        <v>0</v>
      </c>
      <c r="AB394" s="338">
        <f t="shared" si="334"/>
        <v>0</v>
      </c>
      <c r="AC394" s="336">
        <f t="shared" si="542"/>
        <v>0</v>
      </c>
      <c r="AD394" s="337">
        <f t="shared" si="542"/>
        <v>0</v>
      </c>
      <c r="AE394" s="338">
        <f t="shared" si="336"/>
        <v>0</v>
      </c>
      <c r="AF394" s="336">
        <f t="shared" si="543"/>
        <v>0</v>
      </c>
      <c r="AG394" s="337">
        <f t="shared" si="543"/>
        <v>0</v>
      </c>
      <c r="AH394" s="338">
        <f t="shared" si="338"/>
        <v>0</v>
      </c>
      <c r="AI394" s="336">
        <f t="shared" si="544"/>
        <v>0</v>
      </c>
      <c r="AJ394" s="337">
        <f t="shared" si="544"/>
        <v>0</v>
      </c>
      <c r="AK394" s="338">
        <f t="shared" si="340"/>
        <v>0</v>
      </c>
      <c r="AL394" s="342"/>
      <c r="AM394" s="336">
        <f t="shared" si="545"/>
        <v>0</v>
      </c>
      <c r="AN394" s="339">
        <f t="shared" si="545"/>
        <v>0</v>
      </c>
      <c r="AO394" s="340">
        <f t="shared" si="342"/>
        <v>0</v>
      </c>
      <c r="AP394" s="336">
        <f t="shared" si="546"/>
        <v>0</v>
      </c>
      <c r="AQ394" s="339">
        <f t="shared" si="546"/>
        <v>0</v>
      </c>
      <c r="AR394" s="340">
        <f t="shared" si="328"/>
        <v>0</v>
      </c>
      <c r="AS394" s="341">
        <f t="shared" si="547"/>
        <v>0</v>
      </c>
      <c r="AT394" s="339">
        <f t="shared" si="547"/>
        <v>0</v>
      </c>
      <c r="AU394" s="340">
        <f t="shared" si="330"/>
        <v>0</v>
      </c>
      <c r="AV394" s="1255">
        <f t="shared" si="550"/>
        <v>420</v>
      </c>
      <c r="AW394" s="343"/>
      <c r="AX394" s="344"/>
      <c r="AY394" s="345"/>
      <c r="AZ394" s="344"/>
      <c r="BA394" s="345"/>
      <c r="BB394" s="346"/>
      <c r="BC394" s="1134"/>
      <c r="BD394" s="1140"/>
      <c r="BE394" s="349"/>
      <c r="BF394" s="348"/>
      <c r="BG394" s="349"/>
      <c r="BH394" s="350"/>
      <c r="BI394" s="351"/>
      <c r="BJ394" s="352"/>
      <c r="BK394" s="337"/>
      <c r="BL394" s="352"/>
      <c r="BM394" s="337"/>
      <c r="BN394" s="353"/>
      <c r="BO394" s="354"/>
      <c r="BP394" s="355"/>
      <c r="BQ394" s="356"/>
      <c r="BR394" s="355"/>
      <c r="BS394" s="356"/>
      <c r="BT394" s="357"/>
    </row>
    <row r="395" spans="1:72" s="313" customFormat="1" ht="38.25" outlineLevel="2">
      <c r="A395" s="287">
        <v>378</v>
      </c>
      <c r="B395" s="1143" t="s">
        <v>1077</v>
      </c>
      <c r="C395" s="840"/>
      <c r="D395" s="841"/>
      <c r="E395" s="839"/>
      <c r="F395" s="821" t="s">
        <v>23</v>
      </c>
      <c r="G395" s="314">
        <v>2</v>
      </c>
      <c r="H395" s="739" t="s">
        <v>71</v>
      </c>
      <c r="I395" s="739">
        <v>244</v>
      </c>
      <c r="J395" s="740">
        <v>346</v>
      </c>
      <c r="K395" s="533" t="s">
        <v>1076</v>
      </c>
      <c r="L395" s="1025">
        <v>378.8</v>
      </c>
      <c r="M395" s="318"/>
      <c r="N395" s="318"/>
      <c r="O395" s="1052">
        <f t="shared" si="551"/>
        <v>378.8</v>
      </c>
      <c r="P395" s="570"/>
      <c r="Q395" s="336">
        <v>0</v>
      </c>
      <c r="R395" s="559"/>
      <c r="S395" s="541">
        <v>0</v>
      </c>
      <c r="T395" s="559"/>
      <c r="U395" s="335"/>
      <c r="V395" s="596" t="s">
        <v>818</v>
      </c>
      <c r="W395" s="596" t="s">
        <v>1018</v>
      </c>
      <c r="X395" s="388"/>
      <c r="Z395" s="336">
        <f t="shared" si="541"/>
        <v>0</v>
      </c>
      <c r="AA395" s="337">
        <f t="shared" si="541"/>
        <v>0</v>
      </c>
      <c r="AB395" s="338">
        <f t="shared" si="334"/>
        <v>0</v>
      </c>
      <c r="AC395" s="336">
        <f t="shared" si="542"/>
        <v>0</v>
      </c>
      <c r="AD395" s="337">
        <f t="shared" si="542"/>
        <v>0</v>
      </c>
      <c r="AE395" s="338">
        <f t="shared" si="336"/>
        <v>0</v>
      </c>
      <c r="AF395" s="336">
        <f t="shared" si="543"/>
        <v>0</v>
      </c>
      <c r="AG395" s="337">
        <f t="shared" si="543"/>
        <v>0</v>
      </c>
      <c r="AH395" s="338">
        <f t="shared" si="338"/>
        <v>0</v>
      </c>
      <c r="AI395" s="336">
        <f t="shared" si="544"/>
        <v>0</v>
      </c>
      <c r="AJ395" s="337">
        <f t="shared" si="544"/>
        <v>0</v>
      </c>
      <c r="AK395" s="338">
        <f t="shared" si="340"/>
        <v>0</v>
      </c>
      <c r="AL395" s="342"/>
      <c r="AM395" s="336">
        <f t="shared" si="545"/>
        <v>0</v>
      </c>
      <c r="AN395" s="339">
        <f t="shared" si="545"/>
        <v>0</v>
      </c>
      <c r="AO395" s="340">
        <f t="shared" si="342"/>
        <v>0</v>
      </c>
      <c r="AP395" s="336">
        <f t="shared" si="546"/>
        <v>0</v>
      </c>
      <c r="AQ395" s="339">
        <f t="shared" si="546"/>
        <v>0</v>
      </c>
      <c r="AR395" s="340">
        <f t="shared" si="328"/>
        <v>0</v>
      </c>
      <c r="AS395" s="341">
        <f t="shared" si="547"/>
        <v>0</v>
      </c>
      <c r="AT395" s="339">
        <f t="shared" si="547"/>
        <v>0</v>
      </c>
      <c r="AU395" s="340">
        <f t="shared" si="330"/>
        <v>0</v>
      </c>
      <c r="AV395" s="1255">
        <f t="shared" si="550"/>
        <v>378.8</v>
      </c>
      <c r="AW395" s="343"/>
      <c r="AX395" s="344"/>
      <c r="AY395" s="345"/>
      <c r="AZ395" s="344"/>
      <c r="BA395" s="345"/>
      <c r="BB395" s="346"/>
      <c r="BC395" s="1134"/>
      <c r="BD395" s="1140"/>
      <c r="BE395" s="349"/>
      <c r="BF395" s="348"/>
      <c r="BG395" s="349"/>
      <c r="BH395" s="350"/>
      <c r="BI395" s="351"/>
      <c r="BJ395" s="352"/>
      <c r="BK395" s="337"/>
      <c r="BL395" s="352"/>
      <c r="BM395" s="337"/>
      <c r="BN395" s="353"/>
      <c r="BO395" s="1138"/>
      <c r="BP395" s="355"/>
      <c r="BQ395" s="356"/>
      <c r="BR395" s="355"/>
      <c r="BS395" s="356"/>
      <c r="BT395" s="357"/>
    </row>
    <row r="396" spans="1:72" s="313" customFormat="1" ht="25.5" outlineLevel="2">
      <c r="A396" s="287">
        <v>379</v>
      </c>
      <c r="B396" s="1143" t="s">
        <v>1081</v>
      </c>
      <c r="C396" s="840"/>
      <c r="D396" s="841"/>
      <c r="E396" s="839"/>
      <c r="F396" s="821" t="s">
        <v>23</v>
      </c>
      <c r="G396" s="314">
        <v>2</v>
      </c>
      <c r="H396" s="739" t="s">
        <v>71</v>
      </c>
      <c r="I396" s="739">
        <v>244</v>
      </c>
      <c r="J396" s="740">
        <v>346</v>
      </c>
      <c r="K396" s="533" t="s">
        <v>1082</v>
      </c>
      <c r="L396" s="1025">
        <v>146</v>
      </c>
      <c r="M396" s="318"/>
      <c r="N396" s="318"/>
      <c r="O396" s="1052">
        <f t="shared" si="551"/>
        <v>146</v>
      </c>
      <c r="P396" s="570"/>
      <c r="Q396" s="336">
        <v>0</v>
      </c>
      <c r="R396" s="559"/>
      <c r="S396" s="541">
        <v>0</v>
      </c>
      <c r="T396" s="559"/>
      <c r="U396" s="335"/>
      <c r="V396" s="596" t="s">
        <v>640</v>
      </c>
      <c r="W396" s="596" t="s">
        <v>1083</v>
      </c>
      <c r="X396" s="388"/>
      <c r="Z396" s="336">
        <f t="shared" si="541"/>
        <v>0</v>
      </c>
      <c r="AA396" s="337">
        <f t="shared" si="541"/>
        <v>0</v>
      </c>
      <c r="AB396" s="338">
        <f t="shared" si="334"/>
        <v>0</v>
      </c>
      <c r="AC396" s="336">
        <f t="shared" si="542"/>
        <v>0</v>
      </c>
      <c r="AD396" s="337">
        <f t="shared" si="542"/>
        <v>0</v>
      </c>
      <c r="AE396" s="338">
        <f t="shared" si="336"/>
        <v>0</v>
      </c>
      <c r="AF396" s="336">
        <f t="shared" si="543"/>
        <v>0</v>
      </c>
      <c r="AG396" s="337">
        <f t="shared" si="543"/>
        <v>0</v>
      </c>
      <c r="AH396" s="338">
        <f t="shared" si="338"/>
        <v>0</v>
      </c>
      <c r="AI396" s="336">
        <f t="shared" si="544"/>
        <v>0</v>
      </c>
      <c r="AJ396" s="337">
        <f t="shared" si="544"/>
        <v>0</v>
      </c>
      <c r="AK396" s="338">
        <f t="shared" si="340"/>
        <v>0</v>
      </c>
      <c r="AL396" s="342"/>
      <c r="AM396" s="336">
        <f t="shared" si="545"/>
        <v>0</v>
      </c>
      <c r="AN396" s="339">
        <f t="shared" si="545"/>
        <v>0</v>
      </c>
      <c r="AO396" s="340">
        <f t="shared" si="342"/>
        <v>0</v>
      </c>
      <c r="AP396" s="336">
        <f t="shared" si="546"/>
        <v>0</v>
      </c>
      <c r="AQ396" s="339">
        <f t="shared" si="546"/>
        <v>0</v>
      </c>
      <c r="AR396" s="340">
        <f t="shared" si="328"/>
        <v>0</v>
      </c>
      <c r="AS396" s="341">
        <f t="shared" si="547"/>
        <v>0</v>
      </c>
      <c r="AT396" s="339">
        <f t="shared" si="547"/>
        <v>0</v>
      </c>
      <c r="AU396" s="340">
        <f t="shared" si="330"/>
        <v>0</v>
      </c>
      <c r="AV396" s="1255">
        <f t="shared" si="550"/>
        <v>146</v>
      </c>
      <c r="AW396" s="343"/>
      <c r="AX396" s="344"/>
      <c r="AY396" s="345"/>
      <c r="AZ396" s="344"/>
      <c r="BA396" s="345"/>
      <c r="BB396" s="346"/>
      <c r="BC396" s="1134"/>
      <c r="BD396" s="1140"/>
      <c r="BE396" s="349"/>
      <c r="BF396" s="348"/>
      <c r="BG396" s="349"/>
      <c r="BH396" s="350"/>
      <c r="BI396" s="351"/>
      <c r="BJ396" s="352"/>
      <c r="BK396" s="337"/>
      <c r="BL396" s="352"/>
      <c r="BM396" s="337"/>
      <c r="BN396" s="353"/>
      <c r="BO396" s="1138"/>
      <c r="BP396" s="355"/>
      <c r="BQ396" s="356"/>
      <c r="BR396" s="355"/>
      <c r="BS396" s="356"/>
      <c r="BT396" s="357"/>
    </row>
    <row r="397" spans="1:72" s="313" customFormat="1" ht="25.5" outlineLevel="2">
      <c r="A397" s="287">
        <v>380</v>
      </c>
      <c r="B397" s="1143" t="s">
        <v>1085</v>
      </c>
      <c r="C397" s="840"/>
      <c r="D397" s="841"/>
      <c r="E397" s="839"/>
      <c r="F397" s="821" t="s">
        <v>23</v>
      </c>
      <c r="G397" s="314">
        <v>2</v>
      </c>
      <c r="H397" s="739" t="s">
        <v>71</v>
      </c>
      <c r="I397" s="739">
        <v>244</v>
      </c>
      <c r="J397" s="740">
        <v>346</v>
      </c>
      <c r="K397" s="533" t="s">
        <v>1084</v>
      </c>
      <c r="L397" s="1025">
        <v>1208.8800000000001</v>
      </c>
      <c r="M397" s="318"/>
      <c r="N397" s="318"/>
      <c r="O397" s="1052">
        <f t="shared" si="551"/>
        <v>1208.8800000000001</v>
      </c>
      <c r="P397" s="570"/>
      <c r="Q397" s="336">
        <v>0</v>
      </c>
      <c r="R397" s="559"/>
      <c r="S397" s="541">
        <v>0</v>
      </c>
      <c r="T397" s="559"/>
      <c r="U397" s="335"/>
      <c r="V397" s="596" t="s">
        <v>640</v>
      </c>
      <c r="W397" s="596" t="s">
        <v>1087</v>
      </c>
      <c r="X397" s="388"/>
      <c r="Z397" s="336">
        <f t="shared" si="541"/>
        <v>0</v>
      </c>
      <c r="AA397" s="337">
        <f t="shared" si="541"/>
        <v>0</v>
      </c>
      <c r="AB397" s="338">
        <f t="shared" si="334"/>
        <v>0</v>
      </c>
      <c r="AC397" s="336">
        <f t="shared" si="542"/>
        <v>0</v>
      </c>
      <c r="AD397" s="337">
        <f t="shared" si="542"/>
        <v>0</v>
      </c>
      <c r="AE397" s="338">
        <f t="shared" si="336"/>
        <v>0</v>
      </c>
      <c r="AF397" s="336">
        <f t="shared" si="543"/>
        <v>0</v>
      </c>
      <c r="AG397" s="337">
        <f t="shared" si="543"/>
        <v>0</v>
      </c>
      <c r="AH397" s="338">
        <f t="shared" si="338"/>
        <v>0</v>
      </c>
      <c r="AI397" s="336">
        <f t="shared" si="544"/>
        <v>0</v>
      </c>
      <c r="AJ397" s="337">
        <f t="shared" si="544"/>
        <v>0</v>
      </c>
      <c r="AK397" s="338">
        <f t="shared" si="340"/>
        <v>0</v>
      </c>
      <c r="AL397" s="342"/>
      <c r="AM397" s="336">
        <f t="shared" si="545"/>
        <v>0</v>
      </c>
      <c r="AN397" s="339">
        <f t="shared" si="545"/>
        <v>0</v>
      </c>
      <c r="AO397" s="340">
        <f t="shared" si="342"/>
        <v>0</v>
      </c>
      <c r="AP397" s="336">
        <f t="shared" si="546"/>
        <v>0</v>
      </c>
      <c r="AQ397" s="339">
        <f t="shared" si="546"/>
        <v>0</v>
      </c>
      <c r="AR397" s="340">
        <f t="shared" si="328"/>
        <v>0</v>
      </c>
      <c r="AS397" s="341">
        <f t="shared" si="547"/>
        <v>0</v>
      </c>
      <c r="AT397" s="339">
        <f t="shared" si="547"/>
        <v>0</v>
      </c>
      <c r="AU397" s="340">
        <f t="shared" si="330"/>
        <v>0</v>
      </c>
      <c r="AV397" s="1255">
        <f t="shared" si="550"/>
        <v>1208.8800000000001</v>
      </c>
      <c r="AW397" s="343"/>
      <c r="AX397" s="344"/>
      <c r="AY397" s="345"/>
      <c r="AZ397" s="344"/>
      <c r="BA397" s="345"/>
      <c r="BB397" s="346"/>
      <c r="BC397" s="1134"/>
      <c r="BD397" s="1140"/>
      <c r="BE397" s="349"/>
      <c r="BF397" s="348"/>
      <c r="BG397" s="349"/>
      <c r="BH397" s="350"/>
      <c r="BI397" s="351"/>
      <c r="BJ397" s="352"/>
      <c r="BK397" s="337"/>
      <c r="BL397" s="352"/>
      <c r="BM397" s="337"/>
      <c r="BN397" s="353"/>
      <c r="BO397" s="1138"/>
      <c r="BP397" s="355"/>
      <c r="BQ397" s="356"/>
      <c r="BR397" s="355"/>
      <c r="BS397" s="356"/>
      <c r="BT397" s="357"/>
    </row>
    <row r="398" spans="1:72" s="313" customFormat="1" ht="51" outlineLevel="2">
      <c r="A398" s="287">
        <v>381</v>
      </c>
      <c r="B398" s="1143" t="s">
        <v>1089</v>
      </c>
      <c r="C398" s="840"/>
      <c r="D398" s="841"/>
      <c r="E398" s="839"/>
      <c r="F398" s="821" t="s">
        <v>23</v>
      </c>
      <c r="G398" s="314">
        <v>2</v>
      </c>
      <c r="H398" s="739" t="s">
        <v>71</v>
      </c>
      <c r="I398" s="739">
        <v>244</v>
      </c>
      <c r="J398" s="740">
        <v>346</v>
      </c>
      <c r="K398" s="533" t="s">
        <v>1129</v>
      </c>
      <c r="L398" s="1025">
        <v>2447.6999999999998</v>
      </c>
      <c r="M398" s="318"/>
      <c r="N398" s="318"/>
      <c r="O398" s="1052">
        <f t="shared" ref="O398:O399" si="552">L398+N398</f>
        <v>2447.6999999999998</v>
      </c>
      <c r="P398" s="570"/>
      <c r="Q398" s="336">
        <v>0</v>
      </c>
      <c r="R398" s="559"/>
      <c r="S398" s="541">
        <v>0</v>
      </c>
      <c r="T398" s="559"/>
      <c r="U398" s="335"/>
      <c r="V398" s="596" t="s">
        <v>1073</v>
      </c>
      <c r="W398" s="596" t="s">
        <v>1128</v>
      </c>
      <c r="X398" s="388"/>
      <c r="Z398" s="336">
        <f t="shared" ref="Z398:Z399" si="553">AW398+AY398+BA398</f>
        <v>0</v>
      </c>
      <c r="AA398" s="337">
        <f t="shared" ref="AA398:AA399" si="554">AX398+AZ398+BB398</f>
        <v>0</v>
      </c>
      <c r="AB398" s="338">
        <f t="shared" ref="AB398:AB399" si="555">Z398-AA398</f>
        <v>0</v>
      </c>
      <c r="AC398" s="336">
        <f t="shared" ref="AC398:AC399" si="556">BC398+BE398+BG398</f>
        <v>0</v>
      </c>
      <c r="AD398" s="337">
        <f t="shared" ref="AD398:AD399" si="557">BD398+BF398+BH398</f>
        <v>0</v>
      </c>
      <c r="AE398" s="338">
        <f t="shared" ref="AE398:AE399" si="558">AC398-AD398</f>
        <v>0</v>
      </c>
      <c r="AF398" s="336">
        <f t="shared" ref="AF398:AF399" si="559">BI398+BK398+BM398</f>
        <v>0</v>
      </c>
      <c r="AG398" s="337">
        <f t="shared" ref="AG398:AG399" si="560">BJ398+BL398+BN398</f>
        <v>0</v>
      </c>
      <c r="AH398" s="338">
        <f t="shared" ref="AH398:AH399" si="561">AF398-AG398</f>
        <v>0</v>
      </c>
      <c r="AI398" s="336">
        <f t="shared" ref="AI398:AI399" si="562">BO398+BQ398+BS398</f>
        <v>0</v>
      </c>
      <c r="AJ398" s="337">
        <f t="shared" ref="AJ398:AJ399" si="563">BP398+BR398+BT398</f>
        <v>0</v>
      </c>
      <c r="AK398" s="338">
        <f t="shared" ref="AK398:AK399" si="564">AI398-AJ398</f>
        <v>0</v>
      </c>
      <c r="AL398" s="342"/>
      <c r="AM398" s="336">
        <f t="shared" ref="AM398:AM399" si="565">Z398+AC398</f>
        <v>0</v>
      </c>
      <c r="AN398" s="339">
        <f t="shared" ref="AN398:AN399" si="566">AA398+AD398</f>
        <v>0</v>
      </c>
      <c r="AO398" s="340">
        <f t="shared" ref="AO398:AO399" si="567">AM398-AN398</f>
        <v>0</v>
      </c>
      <c r="AP398" s="336">
        <f t="shared" ref="AP398:AP399" si="568">Z398+AC398+AF398</f>
        <v>0</v>
      </c>
      <c r="AQ398" s="339">
        <f t="shared" ref="AQ398:AQ399" si="569">AA398+AD398+AG398</f>
        <v>0</v>
      </c>
      <c r="AR398" s="340">
        <f t="shared" ref="AR398:AR399" si="570">AP398-AQ398</f>
        <v>0</v>
      </c>
      <c r="AS398" s="341">
        <f t="shared" ref="AS398:AS399" si="571">Z398+AC398+AF398+AI398</f>
        <v>0</v>
      </c>
      <c r="AT398" s="339">
        <f t="shared" ref="AT398:AT399" si="572">AA398+AD398+AG398+AJ398</f>
        <v>0</v>
      </c>
      <c r="AU398" s="340">
        <f t="shared" ref="AU398:AU399" si="573">AS398-AT398</f>
        <v>0</v>
      </c>
      <c r="AV398" s="1255">
        <f t="shared" ref="AV398:AV399" si="574">L398-AS398</f>
        <v>2447.6999999999998</v>
      </c>
      <c r="AW398" s="343"/>
      <c r="AX398" s="344"/>
      <c r="AY398" s="345"/>
      <c r="AZ398" s="344"/>
      <c r="BA398" s="345"/>
      <c r="BB398" s="346"/>
      <c r="BC398" s="1134"/>
      <c r="BD398" s="1140"/>
      <c r="BE398" s="349"/>
      <c r="BF398" s="348"/>
      <c r="BG398" s="349"/>
      <c r="BH398" s="350"/>
      <c r="BI398" s="351"/>
      <c r="BJ398" s="352"/>
      <c r="BK398" s="337"/>
      <c r="BL398" s="352"/>
      <c r="BM398" s="337"/>
      <c r="BN398" s="353"/>
      <c r="BO398" s="1138"/>
      <c r="BP398" s="355"/>
      <c r="BQ398" s="356"/>
      <c r="BR398" s="355"/>
      <c r="BS398" s="356"/>
      <c r="BT398" s="357"/>
    </row>
    <row r="399" spans="1:72" s="313" customFormat="1" ht="25.5" outlineLevel="2">
      <c r="A399" s="287">
        <v>382</v>
      </c>
      <c r="B399" s="1143" t="s">
        <v>682</v>
      </c>
      <c r="C399" s="840"/>
      <c r="D399" s="841"/>
      <c r="E399" s="839"/>
      <c r="F399" s="821" t="s">
        <v>23</v>
      </c>
      <c r="G399" s="314">
        <v>2</v>
      </c>
      <c r="H399" s="739" t="s">
        <v>71</v>
      </c>
      <c r="I399" s="739">
        <v>244</v>
      </c>
      <c r="J399" s="740">
        <v>346</v>
      </c>
      <c r="K399" s="533" t="s">
        <v>1136</v>
      </c>
      <c r="L399" s="1025">
        <v>1720</v>
      </c>
      <c r="M399" s="318"/>
      <c r="N399" s="318"/>
      <c r="O399" s="1052">
        <f t="shared" si="552"/>
        <v>1720</v>
      </c>
      <c r="P399" s="570"/>
      <c r="Q399" s="336">
        <v>0</v>
      </c>
      <c r="R399" s="559"/>
      <c r="S399" s="541">
        <v>0</v>
      </c>
      <c r="T399" s="559"/>
      <c r="U399" s="335"/>
      <c r="V399" s="596" t="s">
        <v>640</v>
      </c>
      <c r="W399" s="596" t="s">
        <v>1137</v>
      </c>
      <c r="X399" s="388"/>
      <c r="Z399" s="336">
        <f t="shared" si="553"/>
        <v>0</v>
      </c>
      <c r="AA399" s="337">
        <f t="shared" si="554"/>
        <v>0</v>
      </c>
      <c r="AB399" s="338">
        <f t="shared" si="555"/>
        <v>0</v>
      </c>
      <c r="AC399" s="336">
        <f t="shared" si="556"/>
        <v>0</v>
      </c>
      <c r="AD399" s="337">
        <f t="shared" si="557"/>
        <v>0</v>
      </c>
      <c r="AE399" s="338">
        <f t="shared" si="558"/>
        <v>0</v>
      </c>
      <c r="AF399" s="336">
        <f t="shared" si="559"/>
        <v>0</v>
      </c>
      <c r="AG399" s="337">
        <f t="shared" si="560"/>
        <v>0</v>
      </c>
      <c r="AH399" s="338">
        <f t="shared" si="561"/>
        <v>0</v>
      </c>
      <c r="AI399" s="336">
        <f t="shared" si="562"/>
        <v>0</v>
      </c>
      <c r="AJ399" s="337">
        <f t="shared" si="563"/>
        <v>0</v>
      </c>
      <c r="AK399" s="338">
        <f t="shared" si="564"/>
        <v>0</v>
      </c>
      <c r="AL399" s="342"/>
      <c r="AM399" s="336">
        <f t="shared" si="565"/>
        <v>0</v>
      </c>
      <c r="AN399" s="339">
        <f t="shared" si="566"/>
        <v>0</v>
      </c>
      <c r="AO399" s="340">
        <f t="shared" si="567"/>
        <v>0</v>
      </c>
      <c r="AP399" s="336">
        <f t="shared" si="568"/>
        <v>0</v>
      </c>
      <c r="AQ399" s="339">
        <f t="shared" si="569"/>
        <v>0</v>
      </c>
      <c r="AR399" s="340">
        <f t="shared" si="570"/>
        <v>0</v>
      </c>
      <c r="AS399" s="341">
        <f t="shared" si="571"/>
        <v>0</v>
      </c>
      <c r="AT399" s="339">
        <f t="shared" si="572"/>
        <v>0</v>
      </c>
      <c r="AU399" s="340">
        <f t="shared" si="573"/>
        <v>0</v>
      </c>
      <c r="AV399" s="1255">
        <f t="shared" si="574"/>
        <v>1720</v>
      </c>
      <c r="AW399" s="343"/>
      <c r="AX399" s="344"/>
      <c r="AY399" s="345"/>
      <c r="AZ399" s="344"/>
      <c r="BA399" s="345"/>
      <c r="BB399" s="346"/>
      <c r="BC399" s="1134"/>
      <c r="BD399" s="1140"/>
      <c r="BE399" s="349"/>
      <c r="BF399" s="348"/>
      <c r="BG399" s="349"/>
      <c r="BH399" s="350"/>
      <c r="BI399" s="351"/>
      <c r="BJ399" s="352"/>
      <c r="BK399" s="337"/>
      <c r="BL399" s="352"/>
      <c r="BM399" s="337"/>
      <c r="BN399" s="353"/>
      <c r="BO399" s="1138"/>
      <c r="BP399" s="355"/>
      <c r="BQ399" s="356"/>
      <c r="BR399" s="355"/>
      <c r="BS399" s="356"/>
      <c r="BT399" s="357"/>
    </row>
    <row r="400" spans="1:72" s="313" customFormat="1" ht="40.5" customHeight="1" outlineLevel="2">
      <c r="A400" s="287">
        <v>383</v>
      </c>
      <c r="B400" s="1143" t="s">
        <v>1138</v>
      </c>
      <c r="C400" s="840"/>
      <c r="D400" s="841"/>
      <c r="E400" s="839"/>
      <c r="F400" s="821" t="s">
        <v>23</v>
      </c>
      <c r="G400" s="314">
        <v>2</v>
      </c>
      <c r="H400" s="739" t="s">
        <v>71</v>
      </c>
      <c r="I400" s="739">
        <v>244</v>
      </c>
      <c r="J400" s="740">
        <v>346</v>
      </c>
      <c r="K400" s="533" t="s">
        <v>1139</v>
      </c>
      <c r="L400" s="1025">
        <v>0</v>
      </c>
      <c r="M400" s="318"/>
      <c r="N400" s="318"/>
      <c r="O400" s="1052">
        <f t="shared" ref="O400" si="575">L400+N400</f>
        <v>0</v>
      </c>
      <c r="P400" s="570"/>
      <c r="Q400" s="336">
        <v>0</v>
      </c>
      <c r="R400" s="559"/>
      <c r="S400" s="541">
        <v>0</v>
      </c>
      <c r="T400" s="559"/>
      <c r="U400" s="335"/>
      <c r="V400" s="596" t="s">
        <v>616</v>
      </c>
      <c r="W400" s="320" t="s">
        <v>481</v>
      </c>
      <c r="X400" s="388"/>
      <c r="Z400" s="336">
        <f t="shared" ref="Z400" si="576">AW400+AY400+BA400</f>
        <v>0</v>
      </c>
      <c r="AA400" s="337">
        <f t="shared" ref="AA400" si="577">AX400+AZ400+BB400</f>
        <v>0</v>
      </c>
      <c r="AB400" s="338">
        <f t="shared" ref="AB400" si="578">Z400-AA400</f>
        <v>0</v>
      </c>
      <c r="AC400" s="336">
        <f t="shared" ref="AC400" si="579">BC400+BE400+BG400</f>
        <v>0</v>
      </c>
      <c r="AD400" s="337">
        <f t="shared" ref="AD400" si="580">BD400+BF400+BH400</f>
        <v>0</v>
      </c>
      <c r="AE400" s="338">
        <f t="shared" ref="AE400" si="581">AC400-AD400</f>
        <v>0</v>
      </c>
      <c r="AF400" s="336">
        <f t="shared" ref="AF400" si="582">BI400+BK400+BM400</f>
        <v>0</v>
      </c>
      <c r="AG400" s="337">
        <f t="shared" ref="AG400" si="583">BJ400+BL400+BN400</f>
        <v>0</v>
      </c>
      <c r="AH400" s="338">
        <f t="shared" ref="AH400" si="584">AF400-AG400</f>
        <v>0</v>
      </c>
      <c r="AI400" s="336">
        <f t="shared" ref="AI400" si="585">BO400+BQ400+BS400</f>
        <v>0</v>
      </c>
      <c r="AJ400" s="337">
        <f t="shared" ref="AJ400" si="586">BP400+BR400+BT400</f>
        <v>0</v>
      </c>
      <c r="AK400" s="338">
        <f t="shared" ref="AK400" si="587">AI400-AJ400</f>
        <v>0</v>
      </c>
      <c r="AL400" s="342"/>
      <c r="AM400" s="336">
        <f t="shared" ref="AM400" si="588">Z400+AC400</f>
        <v>0</v>
      </c>
      <c r="AN400" s="339">
        <f t="shared" ref="AN400" si="589">AA400+AD400</f>
        <v>0</v>
      </c>
      <c r="AO400" s="340">
        <f t="shared" ref="AO400" si="590">AM400-AN400</f>
        <v>0</v>
      </c>
      <c r="AP400" s="336">
        <f t="shared" ref="AP400" si="591">Z400+AC400+AF400</f>
        <v>0</v>
      </c>
      <c r="AQ400" s="339">
        <f t="shared" ref="AQ400" si="592">AA400+AD400+AG400</f>
        <v>0</v>
      </c>
      <c r="AR400" s="340">
        <f t="shared" ref="AR400" si="593">AP400-AQ400</f>
        <v>0</v>
      </c>
      <c r="AS400" s="341">
        <f t="shared" ref="AS400" si="594">Z400+AC400+AF400+AI400</f>
        <v>0</v>
      </c>
      <c r="AT400" s="339">
        <f t="shared" ref="AT400" si="595">AA400+AD400+AG400+AJ400</f>
        <v>0</v>
      </c>
      <c r="AU400" s="340">
        <f t="shared" ref="AU400" si="596">AS400-AT400</f>
        <v>0</v>
      </c>
      <c r="AV400" s="1255">
        <f t="shared" ref="AV400" si="597">L400-AS400</f>
        <v>0</v>
      </c>
      <c r="AW400" s="343"/>
      <c r="AX400" s="344"/>
      <c r="AY400" s="345"/>
      <c r="AZ400" s="344"/>
      <c r="BA400" s="345"/>
      <c r="BB400" s="346"/>
      <c r="BC400" s="1134"/>
      <c r="BD400" s="1140"/>
      <c r="BE400" s="349"/>
      <c r="BF400" s="348"/>
      <c r="BG400" s="349"/>
      <c r="BH400" s="350"/>
      <c r="BI400" s="351"/>
      <c r="BJ400" s="352"/>
      <c r="BK400" s="337"/>
      <c r="BL400" s="352"/>
      <c r="BM400" s="337"/>
      <c r="BN400" s="353"/>
      <c r="BO400" s="1138"/>
      <c r="BP400" s="355"/>
      <c r="BQ400" s="356"/>
      <c r="BR400" s="355"/>
      <c r="BS400" s="356"/>
      <c r="BT400" s="357"/>
    </row>
    <row r="401" spans="1:72" s="313" customFormat="1" ht="40.5" customHeight="1" outlineLevel="2">
      <c r="A401" s="287">
        <v>384</v>
      </c>
      <c r="B401" s="936" t="s">
        <v>1141</v>
      </c>
      <c r="C401" s="840"/>
      <c r="D401" s="841"/>
      <c r="E401" s="839"/>
      <c r="F401" s="821" t="s">
        <v>23</v>
      </c>
      <c r="G401" s="314">
        <v>2</v>
      </c>
      <c r="H401" s="739" t="s">
        <v>71</v>
      </c>
      <c r="I401" s="739">
        <v>244</v>
      </c>
      <c r="J401" s="740">
        <v>346</v>
      </c>
      <c r="K401" s="533" t="s">
        <v>1153</v>
      </c>
      <c r="L401" s="1025">
        <v>0</v>
      </c>
      <c r="M401" s="318"/>
      <c r="N401" s="318"/>
      <c r="O401" s="1052">
        <f t="shared" ref="O401:O402" si="598">L401+N401</f>
        <v>0</v>
      </c>
      <c r="P401" s="570"/>
      <c r="Q401" s="336">
        <v>0</v>
      </c>
      <c r="R401" s="559"/>
      <c r="S401" s="541">
        <v>0</v>
      </c>
      <c r="T401" s="559"/>
      <c r="U401" s="335"/>
      <c r="V401" s="320"/>
      <c r="W401" s="320"/>
      <c r="X401" s="388"/>
      <c r="Z401" s="336">
        <f t="shared" ref="Z401:Z402" si="599">AW401+AY401+BA401</f>
        <v>0</v>
      </c>
      <c r="AA401" s="337">
        <f t="shared" ref="AA401:AA402" si="600">AX401+AZ401+BB401</f>
        <v>0</v>
      </c>
      <c r="AB401" s="338">
        <f t="shared" ref="AB401:AB402" si="601">Z401-AA401</f>
        <v>0</v>
      </c>
      <c r="AC401" s="336">
        <f t="shared" ref="AC401:AC402" si="602">BC401+BE401+BG401</f>
        <v>0</v>
      </c>
      <c r="AD401" s="337">
        <f t="shared" ref="AD401:AD402" si="603">BD401+BF401+BH401</f>
        <v>0</v>
      </c>
      <c r="AE401" s="338">
        <f t="shared" ref="AE401:AE402" si="604">AC401-AD401</f>
        <v>0</v>
      </c>
      <c r="AF401" s="336">
        <f t="shared" ref="AF401:AF402" si="605">BI401+BK401+BM401</f>
        <v>0</v>
      </c>
      <c r="AG401" s="337">
        <f t="shared" ref="AG401:AG402" si="606">BJ401+BL401+BN401</f>
        <v>0</v>
      </c>
      <c r="AH401" s="338">
        <f t="shared" ref="AH401:AH402" si="607">AF401-AG401</f>
        <v>0</v>
      </c>
      <c r="AI401" s="336">
        <f t="shared" ref="AI401:AI402" si="608">BO401+BQ401+BS401</f>
        <v>0</v>
      </c>
      <c r="AJ401" s="337">
        <f t="shared" ref="AJ401:AJ402" si="609">BP401+BR401+BT401</f>
        <v>0</v>
      </c>
      <c r="AK401" s="338">
        <f t="shared" ref="AK401:AK402" si="610">AI401-AJ401</f>
        <v>0</v>
      </c>
      <c r="AL401" s="342"/>
      <c r="AM401" s="336">
        <f t="shared" ref="AM401:AM402" si="611">Z401+AC401</f>
        <v>0</v>
      </c>
      <c r="AN401" s="339">
        <f t="shared" ref="AN401:AN402" si="612">AA401+AD401</f>
        <v>0</v>
      </c>
      <c r="AO401" s="340">
        <f t="shared" ref="AO401:AO402" si="613">AM401-AN401</f>
        <v>0</v>
      </c>
      <c r="AP401" s="336">
        <f t="shared" ref="AP401:AP402" si="614">Z401+AC401+AF401</f>
        <v>0</v>
      </c>
      <c r="AQ401" s="339">
        <f t="shared" ref="AQ401:AQ402" si="615">AA401+AD401+AG401</f>
        <v>0</v>
      </c>
      <c r="AR401" s="340">
        <f t="shared" ref="AR401:AR402" si="616">AP401-AQ401</f>
        <v>0</v>
      </c>
      <c r="AS401" s="341">
        <f t="shared" ref="AS401:AS402" si="617">Z401+AC401+AF401+AI401</f>
        <v>0</v>
      </c>
      <c r="AT401" s="339">
        <f t="shared" ref="AT401:AT402" si="618">AA401+AD401+AG401+AJ401</f>
        <v>0</v>
      </c>
      <c r="AU401" s="340">
        <f t="shared" ref="AU401:AU402" si="619">AS401-AT401</f>
        <v>0</v>
      </c>
      <c r="AV401" s="1255">
        <f t="shared" ref="AV401:AV402" si="620">L401-AS401</f>
        <v>0</v>
      </c>
      <c r="AW401" s="343"/>
      <c r="AX401" s="344"/>
      <c r="AY401" s="345"/>
      <c r="AZ401" s="344"/>
      <c r="BA401" s="345"/>
      <c r="BB401" s="346"/>
      <c r="BC401" s="1134"/>
      <c r="BD401" s="1140"/>
      <c r="BE401" s="349"/>
      <c r="BF401" s="348"/>
      <c r="BG401" s="349"/>
      <c r="BH401" s="350"/>
      <c r="BI401" s="351"/>
      <c r="BJ401" s="352"/>
      <c r="BK401" s="337"/>
      <c r="BL401" s="352"/>
      <c r="BM401" s="337"/>
      <c r="BN401" s="353"/>
      <c r="BO401" s="1138"/>
      <c r="BP401" s="355"/>
      <c r="BQ401" s="356"/>
      <c r="BR401" s="355"/>
      <c r="BS401" s="356"/>
      <c r="BT401" s="357"/>
    </row>
    <row r="402" spans="1:72" s="313" customFormat="1" ht="40.5" customHeight="1" outlineLevel="2">
      <c r="A402" s="287">
        <v>385</v>
      </c>
      <c r="B402" s="936" t="s">
        <v>1141</v>
      </c>
      <c r="C402" s="840"/>
      <c r="D402" s="841"/>
      <c r="E402" s="839"/>
      <c r="F402" s="821" t="s">
        <v>23</v>
      </c>
      <c r="G402" s="314">
        <v>2</v>
      </c>
      <c r="H402" s="739" t="s">
        <v>71</v>
      </c>
      <c r="I402" s="739">
        <v>244</v>
      </c>
      <c r="J402" s="740">
        <v>346</v>
      </c>
      <c r="K402" s="533" t="s">
        <v>1151</v>
      </c>
      <c r="L402" s="1025">
        <v>960</v>
      </c>
      <c r="M402" s="318"/>
      <c r="N402" s="318"/>
      <c r="O402" s="1052">
        <f t="shared" si="598"/>
        <v>960</v>
      </c>
      <c r="P402" s="570"/>
      <c r="Q402" s="336">
        <v>0</v>
      </c>
      <c r="R402" s="559"/>
      <c r="S402" s="541">
        <v>0</v>
      </c>
      <c r="T402" s="559"/>
      <c r="U402" s="335"/>
      <c r="V402" s="320"/>
      <c r="W402" s="320"/>
      <c r="X402" s="388"/>
      <c r="Z402" s="336">
        <f t="shared" si="599"/>
        <v>0</v>
      </c>
      <c r="AA402" s="337">
        <f t="shared" si="600"/>
        <v>0</v>
      </c>
      <c r="AB402" s="338">
        <f t="shared" si="601"/>
        <v>0</v>
      </c>
      <c r="AC402" s="336">
        <f t="shared" si="602"/>
        <v>0</v>
      </c>
      <c r="AD402" s="337">
        <f t="shared" si="603"/>
        <v>0</v>
      </c>
      <c r="AE402" s="338">
        <f t="shared" si="604"/>
        <v>0</v>
      </c>
      <c r="AF402" s="336">
        <f t="shared" si="605"/>
        <v>0</v>
      </c>
      <c r="AG402" s="337">
        <f t="shared" si="606"/>
        <v>0</v>
      </c>
      <c r="AH402" s="338">
        <f t="shared" si="607"/>
        <v>0</v>
      </c>
      <c r="AI402" s="336">
        <f t="shared" si="608"/>
        <v>0</v>
      </c>
      <c r="AJ402" s="337">
        <f t="shared" si="609"/>
        <v>0</v>
      </c>
      <c r="AK402" s="338">
        <f t="shared" si="610"/>
        <v>0</v>
      </c>
      <c r="AL402" s="342"/>
      <c r="AM402" s="336">
        <f t="shared" si="611"/>
        <v>0</v>
      </c>
      <c r="AN402" s="339">
        <f t="shared" si="612"/>
        <v>0</v>
      </c>
      <c r="AO402" s="340">
        <f t="shared" si="613"/>
        <v>0</v>
      </c>
      <c r="AP402" s="336">
        <f t="shared" si="614"/>
        <v>0</v>
      </c>
      <c r="AQ402" s="339">
        <f t="shared" si="615"/>
        <v>0</v>
      </c>
      <c r="AR402" s="340">
        <f t="shared" si="616"/>
        <v>0</v>
      </c>
      <c r="AS402" s="341">
        <f t="shared" si="617"/>
        <v>0</v>
      </c>
      <c r="AT402" s="339">
        <f t="shared" si="618"/>
        <v>0</v>
      </c>
      <c r="AU402" s="340">
        <f t="shared" si="619"/>
        <v>0</v>
      </c>
      <c r="AV402" s="1255">
        <f t="shared" si="620"/>
        <v>960</v>
      </c>
      <c r="AW402" s="343"/>
      <c r="AX402" s="344"/>
      <c r="AY402" s="345"/>
      <c r="AZ402" s="344"/>
      <c r="BA402" s="345"/>
      <c r="BB402" s="346"/>
      <c r="BC402" s="1134"/>
      <c r="BD402" s="1140"/>
      <c r="BE402" s="349"/>
      <c r="BF402" s="348"/>
      <c r="BG402" s="349"/>
      <c r="BH402" s="350"/>
      <c r="BI402" s="351"/>
      <c r="BJ402" s="352"/>
      <c r="BK402" s="337"/>
      <c r="BL402" s="352"/>
      <c r="BM402" s="337"/>
      <c r="BN402" s="353"/>
      <c r="BO402" s="1138"/>
      <c r="BP402" s="355"/>
      <c r="BQ402" s="356"/>
      <c r="BR402" s="355"/>
      <c r="BS402" s="356"/>
      <c r="BT402" s="357"/>
    </row>
    <row r="403" spans="1:72" s="313" customFormat="1" ht="40.5" customHeight="1" outlineLevel="2">
      <c r="A403" s="287">
        <v>386</v>
      </c>
      <c r="B403" s="936" t="s">
        <v>1141</v>
      </c>
      <c r="C403" s="840"/>
      <c r="D403" s="841"/>
      <c r="E403" s="839"/>
      <c r="F403" s="821" t="s">
        <v>23</v>
      </c>
      <c r="G403" s="314">
        <v>2</v>
      </c>
      <c r="H403" s="739" t="s">
        <v>71</v>
      </c>
      <c r="I403" s="739">
        <v>244</v>
      </c>
      <c r="J403" s="740">
        <v>346</v>
      </c>
      <c r="K403" s="533" t="s">
        <v>1152</v>
      </c>
      <c r="L403" s="1025">
        <v>799</v>
      </c>
      <c r="M403" s="318"/>
      <c r="N403" s="318"/>
      <c r="O403" s="1052">
        <f t="shared" ref="O403" si="621">L403+N403</f>
        <v>799</v>
      </c>
      <c r="P403" s="570"/>
      <c r="Q403" s="336">
        <v>0</v>
      </c>
      <c r="R403" s="559"/>
      <c r="S403" s="541">
        <v>0</v>
      </c>
      <c r="T403" s="559"/>
      <c r="U403" s="335"/>
      <c r="V403" s="320"/>
      <c r="W403" s="320"/>
      <c r="X403" s="388"/>
      <c r="Z403" s="336">
        <f t="shared" ref="Z403" si="622">AW403+AY403+BA403</f>
        <v>0</v>
      </c>
      <c r="AA403" s="337">
        <f t="shared" ref="AA403" si="623">AX403+AZ403+BB403</f>
        <v>0</v>
      </c>
      <c r="AB403" s="338">
        <f t="shared" ref="AB403" si="624">Z403-AA403</f>
        <v>0</v>
      </c>
      <c r="AC403" s="336">
        <f t="shared" ref="AC403" si="625">BC403+BE403+BG403</f>
        <v>0</v>
      </c>
      <c r="AD403" s="337">
        <f t="shared" ref="AD403" si="626">BD403+BF403+BH403</f>
        <v>0</v>
      </c>
      <c r="AE403" s="338">
        <f t="shared" ref="AE403" si="627">AC403-AD403</f>
        <v>0</v>
      </c>
      <c r="AF403" s="336">
        <f t="shared" ref="AF403" si="628">BI403+BK403+BM403</f>
        <v>0</v>
      </c>
      <c r="AG403" s="337">
        <f t="shared" ref="AG403" si="629">BJ403+BL403+BN403</f>
        <v>0</v>
      </c>
      <c r="AH403" s="338">
        <f t="shared" ref="AH403" si="630">AF403-AG403</f>
        <v>0</v>
      </c>
      <c r="AI403" s="336">
        <f t="shared" ref="AI403" si="631">BO403+BQ403+BS403</f>
        <v>0</v>
      </c>
      <c r="AJ403" s="337">
        <f t="shared" ref="AJ403" si="632">BP403+BR403+BT403</f>
        <v>0</v>
      </c>
      <c r="AK403" s="338">
        <f t="shared" ref="AK403" si="633">AI403-AJ403</f>
        <v>0</v>
      </c>
      <c r="AL403" s="342"/>
      <c r="AM403" s="336">
        <f t="shared" ref="AM403" si="634">Z403+AC403</f>
        <v>0</v>
      </c>
      <c r="AN403" s="339">
        <f t="shared" ref="AN403" si="635">AA403+AD403</f>
        <v>0</v>
      </c>
      <c r="AO403" s="340">
        <f t="shared" ref="AO403" si="636">AM403-AN403</f>
        <v>0</v>
      </c>
      <c r="AP403" s="336">
        <f t="shared" ref="AP403" si="637">Z403+AC403+AF403</f>
        <v>0</v>
      </c>
      <c r="AQ403" s="339">
        <f t="shared" ref="AQ403" si="638">AA403+AD403+AG403</f>
        <v>0</v>
      </c>
      <c r="AR403" s="340">
        <f t="shared" ref="AR403" si="639">AP403-AQ403</f>
        <v>0</v>
      </c>
      <c r="AS403" s="341">
        <f t="shared" ref="AS403" si="640">Z403+AC403+AF403+AI403</f>
        <v>0</v>
      </c>
      <c r="AT403" s="339">
        <f t="shared" ref="AT403" si="641">AA403+AD403+AG403+AJ403</f>
        <v>0</v>
      </c>
      <c r="AU403" s="340">
        <f t="shared" ref="AU403" si="642">AS403-AT403</f>
        <v>0</v>
      </c>
      <c r="AV403" s="1255">
        <f t="shared" ref="AV403" si="643">L403-AS403</f>
        <v>799</v>
      </c>
      <c r="AW403" s="343"/>
      <c r="AX403" s="344"/>
      <c r="AY403" s="345"/>
      <c r="AZ403" s="344"/>
      <c r="BA403" s="345"/>
      <c r="BB403" s="346"/>
      <c r="BC403" s="1134"/>
      <c r="BD403" s="1140"/>
      <c r="BE403" s="349"/>
      <c r="BF403" s="348"/>
      <c r="BG403" s="349"/>
      <c r="BH403" s="350"/>
      <c r="BI403" s="351"/>
      <c r="BJ403" s="352"/>
      <c r="BK403" s="337"/>
      <c r="BL403" s="352"/>
      <c r="BM403" s="337"/>
      <c r="BN403" s="353"/>
      <c r="BO403" s="1138"/>
      <c r="BP403" s="355"/>
      <c r="BQ403" s="356"/>
      <c r="BR403" s="355"/>
      <c r="BS403" s="356"/>
      <c r="BT403" s="357"/>
    </row>
    <row r="404" spans="1:72" s="615" customFormat="1" ht="25.5" outlineLevel="1">
      <c r="A404" s="287">
        <v>387</v>
      </c>
      <c r="B404" s="941"/>
      <c r="C404" s="866"/>
      <c r="D404" s="867"/>
      <c r="E404" s="867"/>
      <c r="F404" s="832" t="s">
        <v>23</v>
      </c>
      <c r="G404" s="616">
        <v>2</v>
      </c>
      <c r="H404" s="749" t="s">
        <v>71</v>
      </c>
      <c r="I404" s="749">
        <v>244</v>
      </c>
      <c r="J404" s="750">
        <v>346</v>
      </c>
      <c r="K404" s="932" t="s">
        <v>214</v>
      </c>
      <c r="L404" s="1043">
        <v>0</v>
      </c>
      <c r="M404" s="619"/>
      <c r="N404" s="619"/>
      <c r="O404" s="1054">
        <f t="shared" si="332"/>
        <v>0</v>
      </c>
      <c r="P404" s="620"/>
      <c r="Q404" s="509">
        <v>0</v>
      </c>
      <c r="R404" s="560"/>
      <c r="S404" s="542">
        <v>0</v>
      </c>
      <c r="T404" s="560"/>
      <c r="U404" s="621"/>
      <c r="V404" s="320"/>
      <c r="W404" s="320"/>
      <c r="X404" s="320"/>
      <c r="Z404" s="509">
        <f t="shared" si="541"/>
        <v>0</v>
      </c>
      <c r="AA404" s="622">
        <f t="shared" si="541"/>
        <v>0</v>
      </c>
      <c r="AB404" s="623">
        <f t="shared" si="334"/>
        <v>0</v>
      </c>
      <c r="AC404" s="509">
        <f t="shared" si="542"/>
        <v>0</v>
      </c>
      <c r="AD404" s="622">
        <f t="shared" si="542"/>
        <v>0</v>
      </c>
      <c r="AE404" s="623">
        <f t="shared" si="336"/>
        <v>0</v>
      </c>
      <c r="AF404" s="509">
        <f t="shared" si="543"/>
        <v>0</v>
      </c>
      <c r="AG404" s="622">
        <f t="shared" si="543"/>
        <v>0</v>
      </c>
      <c r="AH404" s="623">
        <f t="shared" si="338"/>
        <v>0</v>
      </c>
      <c r="AI404" s="509">
        <f t="shared" si="544"/>
        <v>0</v>
      </c>
      <c r="AJ404" s="622">
        <f t="shared" si="544"/>
        <v>0</v>
      </c>
      <c r="AK404" s="623">
        <f t="shared" si="340"/>
        <v>0</v>
      </c>
      <c r="AL404" s="624"/>
      <c r="AM404" s="509">
        <f t="shared" si="545"/>
        <v>0</v>
      </c>
      <c r="AN404" s="625">
        <f t="shared" si="545"/>
        <v>0</v>
      </c>
      <c r="AO404" s="626">
        <f t="shared" si="342"/>
        <v>0</v>
      </c>
      <c r="AP404" s="509">
        <f t="shared" si="546"/>
        <v>0</v>
      </c>
      <c r="AQ404" s="625">
        <f t="shared" si="546"/>
        <v>0</v>
      </c>
      <c r="AR404" s="626">
        <f t="shared" si="328"/>
        <v>0</v>
      </c>
      <c r="AS404" s="510">
        <f t="shared" si="547"/>
        <v>0</v>
      </c>
      <c r="AT404" s="625">
        <f t="shared" si="547"/>
        <v>0</v>
      </c>
      <c r="AU404" s="626">
        <f t="shared" si="330"/>
        <v>0</v>
      </c>
      <c r="AV404" s="440">
        <f t="shared" si="358"/>
        <v>0</v>
      </c>
      <c r="AW404" s="628"/>
      <c r="AX404" s="629"/>
      <c r="AY404" s="630"/>
      <c r="AZ404" s="629"/>
      <c r="BA404" s="630"/>
      <c r="BB404" s="631"/>
      <c r="BC404" s="632"/>
      <c r="BD404" s="633"/>
      <c r="BE404" s="634"/>
      <c r="BF404" s="633"/>
      <c r="BG404" s="634"/>
      <c r="BH404" s="635"/>
      <c r="BI404" s="636"/>
      <c r="BJ404" s="637"/>
      <c r="BK404" s="622"/>
      <c r="BL404" s="637"/>
      <c r="BM404" s="622"/>
      <c r="BN404" s="638"/>
      <c r="BO404" s="639"/>
      <c r="BP404" s="640"/>
      <c r="BQ404" s="641"/>
      <c r="BR404" s="640"/>
      <c r="BS404" s="641"/>
      <c r="BT404" s="642"/>
    </row>
    <row r="405" spans="1:72" s="358" customFormat="1" ht="31.5">
      <c r="A405" s="287">
        <v>388</v>
      </c>
      <c r="B405" s="933"/>
      <c r="C405" s="850" t="s">
        <v>377</v>
      </c>
      <c r="D405" s="838"/>
      <c r="E405" s="836" t="s">
        <v>201</v>
      </c>
      <c r="F405" s="820" t="s">
        <v>23</v>
      </c>
      <c r="G405" s="360">
        <v>2</v>
      </c>
      <c r="H405" s="360" t="s">
        <v>71</v>
      </c>
      <c r="I405" s="360">
        <v>244</v>
      </c>
      <c r="J405" s="489">
        <v>345</v>
      </c>
      <c r="K405" s="532" t="s">
        <v>524</v>
      </c>
      <c r="L405" s="1023">
        <f>SUM(L406:L408)</f>
        <v>68700</v>
      </c>
      <c r="M405" s="363"/>
      <c r="N405" s="363">
        <f>SUM(N406:N408)</f>
        <v>0</v>
      </c>
      <c r="O405" s="1051">
        <f t="shared" si="332"/>
        <v>68700</v>
      </c>
      <c r="P405" s="571"/>
      <c r="Q405" s="367">
        <v>12502</v>
      </c>
      <c r="R405" s="557"/>
      <c r="S405" s="539">
        <v>12502</v>
      </c>
      <c r="T405" s="557"/>
      <c r="U405" s="365"/>
      <c r="V405" s="320"/>
      <c r="W405" s="320"/>
      <c r="X405" s="320"/>
      <c r="Z405" s="367">
        <f t="shared" si="541"/>
        <v>11200</v>
      </c>
      <c r="AA405" s="363">
        <f t="shared" si="541"/>
        <v>0</v>
      </c>
      <c r="AB405" s="280">
        <f t="shared" si="334"/>
        <v>11200</v>
      </c>
      <c r="AC405" s="367">
        <f t="shared" si="542"/>
        <v>37500</v>
      </c>
      <c r="AD405" s="363">
        <f t="shared" si="542"/>
        <v>0</v>
      </c>
      <c r="AE405" s="280">
        <f t="shared" si="336"/>
        <v>37500</v>
      </c>
      <c r="AF405" s="367">
        <f t="shared" si="543"/>
        <v>20000</v>
      </c>
      <c r="AG405" s="363">
        <f t="shared" si="543"/>
        <v>0</v>
      </c>
      <c r="AH405" s="280">
        <f t="shared" si="338"/>
        <v>20000</v>
      </c>
      <c r="AI405" s="367">
        <f t="shared" si="544"/>
        <v>0</v>
      </c>
      <c r="AJ405" s="363">
        <f t="shared" si="544"/>
        <v>0</v>
      </c>
      <c r="AK405" s="280">
        <f t="shared" si="340"/>
        <v>0</v>
      </c>
      <c r="AL405" s="368"/>
      <c r="AM405" s="367">
        <f t="shared" si="545"/>
        <v>48700</v>
      </c>
      <c r="AN405" s="363">
        <f t="shared" si="545"/>
        <v>0</v>
      </c>
      <c r="AO405" s="280">
        <f t="shared" si="342"/>
        <v>48700</v>
      </c>
      <c r="AP405" s="367">
        <f t="shared" si="546"/>
        <v>68700</v>
      </c>
      <c r="AQ405" s="363">
        <f t="shared" si="546"/>
        <v>0</v>
      </c>
      <c r="AR405" s="280">
        <f t="shared" si="328"/>
        <v>68700</v>
      </c>
      <c r="AS405" s="367">
        <f t="shared" si="547"/>
        <v>68700</v>
      </c>
      <c r="AT405" s="363">
        <f t="shared" si="547"/>
        <v>0</v>
      </c>
      <c r="AU405" s="280">
        <f t="shared" si="330"/>
        <v>68700</v>
      </c>
      <c r="AV405" s="1253">
        <f t="shared" si="358"/>
        <v>0</v>
      </c>
      <c r="AW405" s="367">
        <f>SUM(AW406:AW408)</f>
        <v>0</v>
      </c>
      <c r="AX405" s="363">
        <f t="shared" ref="AX405:BS405" si="644">SUM(AX406:AX408)</f>
        <v>0</v>
      </c>
      <c r="AY405" s="363">
        <f t="shared" si="644"/>
        <v>0</v>
      </c>
      <c r="AZ405" s="363">
        <f t="shared" si="644"/>
        <v>0</v>
      </c>
      <c r="BA405" s="363">
        <f t="shared" si="644"/>
        <v>11200</v>
      </c>
      <c r="BB405" s="369">
        <f t="shared" si="644"/>
        <v>0</v>
      </c>
      <c r="BC405" s="367">
        <f t="shared" si="644"/>
        <v>0</v>
      </c>
      <c r="BD405" s="363">
        <f t="shared" si="644"/>
        <v>0</v>
      </c>
      <c r="BE405" s="363">
        <f t="shared" si="644"/>
        <v>37500</v>
      </c>
      <c r="BF405" s="363">
        <f t="shared" si="644"/>
        <v>0</v>
      </c>
      <c r="BG405" s="363">
        <f t="shared" si="644"/>
        <v>0</v>
      </c>
      <c r="BH405" s="369">
        <f t="shared" si="644"/>
        <v>0</v>
      </c>
      <c r="BI405" s="367">
        <f t="shared" si="644"/>
        <v>0</v>
      </c>
      <c r="BJ405" s="363">
        <f t="shared" si="644"/>
        <v>0</v>
      </c>
      <c r="BK405" s="363">
        <f t="shared" si="644"/>
        <v>20000</v>
      </c>
      <c r="BL405" s="363">
        <f t="shared" si="644"/>
        <v>0</v>
      </c>
      <c r="BM405" s="363">
        <f t="shared" si="644"/>
        <v>0</v>
      </c>
      <c r="BN405" s="369">
        <f t="shared" si="644"/>
        <v>0</v>
      </c>
      <c r="BO405" s="367">
        <f t="shared" si="644"/>
        <v>0</v>
      </c>
      <c r="BP405" s="363">
        <f t="shared" si="644"/>
        <v>0</v>
      </c>
      <c r="BQ405" s="363">
        <f t="shared" si="644"/>
        <v>0</v>
      </c>
      <c r="BR405" s="363">
        <f t="shared" si="644"/>
        <v>0</v>
      </c>
      <c r="BS405" s="363">
        <f t="shared" si="644"/>
        <v>0</v>
      </c>
      <c r="BT405" s="280"/>
    </row>
    <row r="406" spans="1:72" s="313" customFormat="1" ht="38.25">
      <c r="A406" s="287">
        <v>389</v>
      </c>
      <c r="B406" s="941"/>
      <c r="C406" s="840"/>
      <c r="D406" s="841"/>
      <c r="E406" s="839"/>
      <c r="F406" s="821" t="s">
        <v>23</v>
      </c>
      <c r="G406" s="314">
        <v>2</v>
      </c>
      <c r="H406" s="739" t="s">
        <v>71</v>
      </c>
      <c r="I406" s="739">
        <v>244</v>
      </c>
      <c r="J406" s="740">
        <v>345</v>
      </c>
      <c r="K406" s="317" t="s">
        <v>518</v>
      </c>
      <c r="L406" s="1013">
        <v>31200</v>
      </c>
      <c r="M406" s="318"/>
      <c r="N406" s="318"/>
      <c r="O406" s="1052">
        <f t="shared" si="332"/>
        <v>31200</v>
      </c>
      <c r="P406" s="329"/>
      <c r="Q406" s="319">
        <v>0</v>
      </c>
      <c r="R406" s="329"/>
      <c r="S406" s="319">
        <v>0</v>
      </c>
      <c r="T406" s="329"/>
      <c r="U406" s="335"/>
      <c r="V406" s="320"/>
      <c r="W406" s="320"/>
      <c r="X406" s="320"/>
      <c r="Z406" s="336">
        <f t="shared" si="541"/>
        <v>11200</v>
      </c>
      <c r="AA406" s="337">
        <f t="shared" si="541"/>
        <v>0</v>
      </c>
      <c r="AB406" s="338">
        <f t="shared" si="334"/>
        <v>11200</v>
      </c>
      <c r="AC406" s="336">
        <f t="shared" si="542"/>
        <v>10000</v>
      </c>
      <c r="AD406" s="337">
        <f t="shared" si="542"/>
        <v>0</v>
      </c>
      <c r="AE406" s="338">
        <f t="shared" si="336"/>
        <v>10000</v>
      </c>
      <c r="AF406" s="336">
        <f t="shared" si="543"/>
        <v>10000</v>
      </c>
      <c r="AG406" s="337">
        <f t="shared" si="543"/>
        <v>0</v>
      </c>
      <c r="AH406" s="338">
        <f t="shared" si="338"/>
        <v>10000</v>
      </c>
      <c r="AI406" s="336">
        <f t="shared" si="544"/>
        <v>0</v>
      </c>
      <c r="AJ406" s="337">
        <f t="shared" si="544"/>
        <v>0</v>
      </c>
      <c r="AK406" s="338">
        <f t="shared" si="340"/>
        <v>0</v>
      </c>
      <c r="AL406" s="342"/>
      <c r="AM406" s="336">
        <f t="shared" si="545"/>
        <v>21200</v>
      </c>
      <c r="AN406" s="339">
        <f t="shared" si="545"/>
        <v>0</v>
      </c>
      <c r="AO406" s="340">
        <f t="shared" si="342"/>
        <v>21200</v>
      </c>
      <c r="AP406" s="336">
        <f t="shared" si="546"/>
        <v>31200</v>
      </c>
      <c r="AQ406" s="339">
        <f t="shared" si="546"/>
        <v>0</v>
      </c>
      <c r="AR406" s="340">
        <f t="shared" si="328"/>
        <v>31200</v>
      </c>
      <c r="AS406" s="341">
        <f t="shared" si="547"/>
        <v>31200</v>
      </c>
      <c r="AT406" s="339">
        <f t="shared" si="547"/>
        <v>0</v>
      </c>
      <c r="AU406" s="340">
        <f t="shared" si="330"/>
        <v>31200</v>
      </c>
      <c r="AV406" s="1255"/>
      <c r="AW406" s="343"/>
      <c r="AX406" s="344"/>
      <c r="AY406" s="345"/>
      <c r="AZ406" s="344"/>
      <c r="BA406" s="345">
        <v>11200</v>
      </c>
      <c r="BB406" s="346"/>
      <c r="BC406" s="347"/>
      <c r="BD406" s="348"/>
      <c r="BE406" s="349">
        <v>10000</v>
      </c>
      <c r="BF406" s="348"/>
      <c r="BG406" s="349"/>
      <c r="BH406" s="350"/>
      <c r="BI406" s="351"/>
      <c r="BJ406" s="352"/>
      <c r="BK406" s="337">
        <v>10000</v>
      </c>
      <c r="BL406" s="352"/>
      <c r="BM406" s="337"/>
      <c r="BN406" s="353"/>
      <c r="BO406" s="354"/>
      <c r="BP406" s="355"/>
      <c r="BQ406" s="356"/>
      <c r="BR406" s="355"/>
      <c r="BS406" s="356"/>
      <c r="BT406" s="357"/>
    </row>
    <row r="407" spans="1:72" s="313" customFormat="1" ht="25.5">
      <c r="A407" s="287">
        <v>390</v>
      </c>
      <c r="B407" s="941"/>
      <c r="C407" s="840"/>
      <c r="D407" s="841"/>
      <c r="E407" s="839"/>
      <c r="F407" s="821" t="s">
        <v>23</v>
      </c>
      <c r="G407" s="314">
        <v>2</v>
      </c>
      <c r="H407" s="739" t="s">
        <v>71</v>
      </c>
      <c r="I407" s="739">
        <v>244</v>
      </c>
      <c r="J407" s="740">
        <v>345</v>
      </c>
      <c r="K407" s="317" t="s">
        <v>520</v>
      </c>
      <c r="L407" s="1013">
        <v>37500</v>
      </c>
      <c r="M407" s="318"/>
      <c r="N407" s="318"/>
      <c r="O407" s="1052">
        <f t="shared" si="332"/>
        <v>37500</v>
      </c>
      <c r="P407" s="329"/>
      <c r="Q407" s="319">
        <v>0</v>
      </c>
      <c r="R407" s="329"/>
      <c r="S407" s="319">
        <v>0</v>
      </c>
      <c r="T407" s="329"/>
      <c r="U407" s="335"/>
      <c r="V407" s="320"/>
      <c r="W407" s="320"/>
      <c r="X407" s="320"/>
      <c r="Z407" s="336">
        <f t="shared" si="541"/>
        <v>0</v>
      </c>
      <c r="AA407" s="337">
        <f t="shared" si="541"/>
        <v>0</v>
      </c>
      <c r="AB407" s="338">
        <f t="shared" si="334"/>
        <v>0</v>
      </c>
      <c r="AC407" s="336">
        <f t="shared" si="542"/>
        <v>27500</v>
      </c>
      <c r="AD407" s="337">
        <f t="shared" si="542"/>
        <v>0</v>
      </c>
      <c r="AE407" s="338">
        <f t="shared" si="336"/>
        <v>27500</v>
      </c>
      <c r="AF407" s="336">
        <f t="shared" si="543"/>
        <v>10000</v>
      </c>
      <c r="AG407" s="337">
        <f t="shared" si="543"/>
        <v>0</v>
      </c>
      <c r="AH407" s="338">
        <f t="shared" si="338"/>
        <v>10000</v>
      </c>
      <c r="AI407" s="336">
        <f t="shared" si="544"/>
        <v>0</v>
      </c>
      <c r="AJ407" s="337">
        <f t="shared" si="544"/>
        <v>0</v>
      </c>
      <c r="AK407" s="338">
        <f t="shared" si="340"/>
        <v>0</v>
      </c>
      <c r="AL407" s="342"/>
      <c r="AM407" s="336">
        <f t="shared" si="545"/>
        <v>27500</v>
      </c>
      <c r="AN407" s="339">
        <f t="shared" si="545"/>
        <v>0</v>
      </c>
      <c r="AO407" s="340">
        <f t="shared" si="342"/>
        <v>27500</v>
      </c>
      <c r="AP407" s="336">
        <f t="shared" si="546"/>
        <v>37500</v>
      </c>
      <c r="AQ407" s="339">
        <f t="shared" si="546"/>
        <v>0</v>
      </c>
      <c r="AR407" s="340">
        <f t="shared" si="328"/>
        <v>37500</v>
      </c>
      <c r="AS407" s="341">
        <f t="shared" si="547"/>
        <v>37500</v>
      </c>
      <c r="AT407" s="339">
        <f t="shared" si="547"/>
        <v>0</v>
      </c>
      <c r="AU407" s="340">
        <f t="shared" si="330"/>
        <v>37500</v>
      </c>
      <c r="AV407" s="1255"/>
      <c r="AW407" s="343"/>
      <c r="AX407" s="344"/>
      <c r="AY407" s="345"/>
      <c r="AZ407" s="344"/>
      <c r="BA407" s="345"/>
      <c r="BB407" s="346"/>
      <c r="BC407" s="347"/>
      <c r="BD407" s="348"/>
      <c r="BE407" s="349">
        <v>27500</v>
      </c>
      <c r="BF407" s="348"/>
      <c r="BG407" s="349"/>
      <c r="BH407" s="350"/>
      <c r="BI407" s="351"/>
      <c r="BJ407" s="352"/>
      <c r="BK407" s="337">
        <v>10000</v>
      </c>
      <c r="BL407" s="352"/>
      <c r="BM407" s="337"/>
      <c r="BN407" s="353"/>
      <c r="BO407" s="354"/>
      <c r="BP407" s="355"/>
      <c r="BQ407" s="356"/>
      <c r="BR407" s="355"/>
      <c r="BS407" s="356"/>
      <c r="BT407" s="357"/>
    </row>
    <row r="408" spans="1:72" s="615" customFormat="1" ht="25.5">
      <c r="A408" s="287">
        <v>391</v>
      </c>
      <c r="B408" s="935"/>
      <c r="C408" s="866"/>
      <c r="D408" s="867"/>
      <c r="E408" s="867"/>
      <c r="F408" s="832" t="s">
        <v>23</v>
      </c>
      <c r="G408" s="616">
        <v>2</v>
      </c>
      <c r="H408" s="749" t="s">
        <v>71</v>
      </c>
      <c r="I408" s="749">
        <v>244</v>
      </c>
      <c r="J408" s="750">
        <v>345</v>
      </c>
      <c r="K408" s="932" t="s">
        <v>214</v>
      </c>
      <c r="L408" s="1046">
        <v>0</v>
      </c>
      <c r="M408" s="619"/>
      <c r="N408" s="619"/>
      <c r="O408" s="1054">
        <f t="shared" si="332"/>
        <v>0</v>
      </c>
      <c r="P408" s="988"/>
      <c r="Q408" s="656">
        <v>0</v>
      </c>
      <c r="R408" s="988"/>
      <c r="S408" s="656">
        <v>0</v>
      </c>
      <c r="T408" s="988"/>
      <c r="U408" s="621"/>
      <c r="V408" s="388"/>
      <c r="W408" s="388"/>
      <c r="X408" s="388"/>
      <c r="Z408" s="509">
        <f t="shared" si="541"/>
        <v>0</v>
      </c>
      <c r="AA408" s="622">
        <f t="shared" si="541"/>
        <v>0</v>
      </c>
      <c r="AB408" s="623">
        <f t="shared" si="334"/>
        <v>0</v>
      </c>
      <c r="AC408" s="509">
        <f t="shared" si="542"/>
        <v>0</v>
      </c>
      <c r="AD408" s="622">
        <f t="shared" si="542"/>
        <v>0</v>
      </c>
      <c r="AE408" s="623">
        <f t="shared" si="336"/>
        <v>0</v>
      </c>
      <c r="AF408" s="509">
        <f t="shared" si="543"/>
        <v>0</v>
      </c>
      <c r="AG408" s="622">
        <f t="shared" si="543"/>
        <v>0</v>
      </c>
      <c r="AH408" s="623">
        <f t="shared" si="338"/>
        <v>0</v>
      </c>
      <c r="AI408" s="509">
        <f t="shared" si="544"/>
        <v>0</v>
      </c>
      <c r="AJ408" s="622">
        <f t="shared" si="544"/>
        <v>0</v>
      </c>
      <c r="AK408" s="623">
        <f t="shared" si="340"/>
        <v>0</v>
      </c>
      <c r="AL408" s="624"/>
      <c r="AM408" s="509">
        <f t="shared" si="545"/>
        <v>0</v>
      </c>
      <c r="AN408" s="625">
        <f t="shared" si="545"/>
        <v>0</v>
      </c>
      <c r="AO408" s="626">
        <f t="shared" si="342"/>
        <v>0</v>
      </c>
      <c r="AP408" s="509">
        <f t="shared" si="546"/>
        <v>0</v>
      </c>
      <c r="AQ408" s="625">
        <f t="shared" si="546"/>
        <v>0</v>
      </c>
      <c r="AR408" s="626">
        <f t="shared" si="328"/>
        <v>0</v>
      </c>
      <c r="AS408" s="510">
        <f t="shared" si="547"/>
        <v>0</v>
      </c>
      <c r="AT408" s="625">
        <f t="shared" si="547"/>
        <v>0</v>
      </c>
      <c r="AU408" s="626">
        <f t="shared" si="330"/>
        <v>0</v>
      </c>
      <c r="AV408" s="440"/>
      <c r="AW408" s="628"/>
      <c r="AX408" s="629"/>
      <c r="AY408" s="630"/>
      <c r="AZ408" s="629"/>
      <c r="BA408" s="630"/>
      <c r="BB408" s="631"/>
      <c r="BC408" s="632"/>
      <c r="BD408" s="633"/>
      <c r="BE408" s="634"/>
      <c r="BF408" s="633"/>
      <c r="BG408" s="634"/>
      <c r="BH408" s="635"/>
      <c r="BI408" s="636"/>
      <c r="BJ408" s="637"/>
      <c r="BK408" s="622"/>
      <c r="BL408" s="637"/>
      <c r="BM408" s="622"/>
      <c r="BN408" s="638"/>
      <c r="BO408" s="639"/>
      <c r="BP408" s="640"/>
      <c r="BQ408" s="641"/>
      <c r="BR408" s="640"/>
      <c r="BS408" s="641"/>
      <c r="BT408" s="642"/>
    </row>
    <row r="409" spans="1:72" s="358" customFormat="1" ht="31.5">
      <c r="A409" s="287">
        <v>392</v>
      </c>
      <c r="B409" s="933"/>
      <c r="C409" s="837"/>
      <c r="D409" s="838"/>
      <c r="E409" s="836" t="s">
        <v>201</v>
      </c>
      <c r="F409" s="820" t="s">
        <v>23</v>
      </c>
      <c r="G409" s="360">
        <v>2</v>
      </c>
      <c r="H409" s="360" t="s">
        <v>71</v>
      </c>
      <c r="I409" s="360">
        <v>244</v>
      </c>
      <c r="J409" s="361">
        <v>349</v>
      </c>
      <c r="K409" s="532" t="s">
        <v>525</v>
      </c>
      <c r="L409" s="1023">
        <v>68040</v>
      </c>
      <c r="M409" s="363"/>
      <c r="N409" s="363"/>
      <c r="O409" s="1290">
        <f t="shared" si="332"/>
        <v>68040</v>
      </c>
      <c r="P409" s="571"/>
      <c r="Q409" s="367">
        <v>117600</v>
      </c>
      <c r="R409" s="557"/>
      <c r="S409" s="539">
        <v>117600</v>
      </c>
      <c r="T409" s="557"/>
      <c r="U409" s="365"/>
      <c r="V409" s="1226" t="s">
        <v>878</v>
      </c>
      <c r="W409" s="1226"/>
      <c r="X409" s="1226"/>
      <c r="Z409" s="367">
        <f t="shared" si="541"/>
        <v>0</v>
      </c>
      <c r="AA409" s="363">
        <f t="shared" si="541"/>
        <v>0</v>
      </c>
      <c r="AB409" s="280">
        <f t="shared" si="334"/>
        <v>0</v>
      </c>
      <c r="AC409" s="367">
        <f t="shared" si="542"/>
        <v>68040</v>
      </c>
      <c r="AD409" s="363">
        <f t="shared" si="542"/>
        <v>0</v>
      </c>
      <c r="AE409" s="280">
        <f t="shared" si="336"/>
        <v>68040</v>
      </c>
      <c r="AF409" s="367">
        <f t="shared" si="543"/>
        <v>0</v>
      </c>
      <c r="AG409" s="363">
        <f t="shared" si="543"/>
        <v>0</v>
      </c>
      <c r="AH409" s="280">
        <f t="shared" si="338"/>
        <v>0</v>
      </c>
      <c r="AI409" s="367">
        <f t="shared" si="544"/>
        <v>0</v>
      </c>
      <c r="AJ409" s="363">
        <f t="shared" si="544"/>
        <v>0</v>
      </c>
      <c r="AK409" s="280">
        <f t="shared" si="340"/>
        <v>0</v>
      </c>
      <c r="AL409" s="368"/>
      <c r="AM409" s="367">
        <f t="shared" si="545"/>
        <v>68040</v>
      </c>
      <c r="AN409" s="363">
        <f t="shared" si="545"/>
        <v>0</v>
      </c>
      <c r="AO409" s="280">
        <f t="shared" si="342"/>
        <v>68040</v>
      </c>
      <c r="AP409" s="367">
        <f t="shared" si="546"/>
        <v>68040</v>
      </c>
      <c r="AQ409" s="363">
        <f t="shared" si="546"/>
        <v>0</v>
      </c>
      <c r="AR409" s="280">
        <f t="shared" si="328"/>
        <v>68040</v>
      </c>
      <c r="AS409" s="367">
        <f t="shared" si="547"/>
        <v>68040</v>
      </c>
      <c r="AT409" s="363">
        <f t="shared" si="547"/>
        <v>0</v>
      </c>
      <c r="AU409" s="280">
        <f t="shared" si="330"/>
        <v>68040</v>
      </c>
      <c r="AV409" s="1270">
        <f t="shared" si="358"/>
        <v>0</v>
      </c>
      <c r="AW409" s="367"/>
      <c r="AX409" s="363"/>
      <c r="AY409" s="363"/>
      <c r="AZ409" s="363"/>
      <c r="BA409" s="363"/>
      <c r="BB409" s="369"/>
      <c r="BC409" s="367"/>
      <c r="BD409" s="363"/>
      <c r="BE409" s="363"/>
      <c r="BF409" s="363"/>
      <c r="BG409" s="363">
        <v>68040</v>
      </c>
      <c r="BH409" s="369"/>
      <c r="BI409" s="367"/>
      <c r="BJ409" s="363"/>
      <c r="BK409" s="363"/>
      <c r="BL409" s="363"/>
      <c r="BM409" s="363"/>
      <c r="BN409" s="369"/>
      <c r="BO409" s="367"/>
      <c r="BP409" s="363"/>
      <c r="BQ409" s="363"/>
      <c r="BR409" s="363"/>
      <c r="BS409" s="363"/>
      <c r="BT409" s="280"/>
    </row>
    <row r="410" spans="1:72" s="358" customFormat="1" ht="31.5">
      <c r="A410" s="287">
        <v>393</v>
      </c>
      <c r="B410" s="936"/>
      <c r="C410" s="850" t="s">
        <v>377</v>
      </c>
      <c r="D410" s="838"/>
      <c r="E410" s="836" t="s">
        <v>201</v>
      </c>
      <c r="F410" s="820" t="s">
        <v>23</v>
      </c>
      <c r="G410" s="360">
        <v>2</v>
      </c>
      <c r="H410" s="360" t="s">
        <v>71</v>
      </c>
      <c r="I410" s="360">
        <v>244</v>
      </c>
      <c r="J410" s="361">
        <v>349</v>
      </c>
      <c r="K410" s="532" t="s">
        <v>526</v>
      </c>
      <c r="L410" s="1023">
        <f>SUM(L411:L413)</f>
        <v>55484</v>
      </c>
      <c r="M410" s="363"/>
      <c r="N410" s="363">
        <f>SUM(N411:N413)</f>
        <v>0</v>
      </c>
      <c r="O410" s="1051">
        <f t="shared" si="332"/>
        <v>55484</v>
      </c>
      <c r="P410" s="571"/>
      <c r="Q410" s="367">
        <f t="shared" ref="Q410:S410" si="645">SUM(Q411:Q413)</f>
        <v>893974.32</v>
      </c>
      <c r="R410" s="557">
        <f t="shared" si="645"/>
        <v>0</v>
      </c>
      <c r="S410" s="539">
        <f t="shared" si="645"/>
        <v>893974.32</v>
      </c>
      <c r="T410" s="557"/>
      <c r="U410" s="365"/>
      <c r="V410" s="320"/>
      <c r="W410" s="320"/>
      <c r="X410" s="320"/>
      <c r="Z410" s="367">
        <f t="shared" si="541"/>
        <v>0</v>
      </c>
      <c r="AA410" s="363">
        <f t="shared" si="541"/>
        <v>0</v>
      </c>
      <c r="AB410" s="280">
        <f t="shared" si="334"/>
        <v>0</v>
      </c>
      <c r="AC410" s="367">
        <f t="shared" si="542"/>
        <v>20000</v>
      </c>
      <c r="AD410" s="363">
        <f t="shared" si="542"/>
        <v>0</v>
      </c>
      <c r="AE410" s="280">
        <f t="shared" si="336"/>
        <v>20000</v>
      </c>
      <c r="AF410" s="367">
        <f t="shared" si="543"/>
        <v>0</v>
      </c>
      <c r="AG410" s="363">
        <f t="shared" si="543"/>
        <v>0</v>
      </c>
      <c r="AH410" s="280">
        <f t="shared" si="338"/>
        <v>0</v>
      </c>
      <c r="AI410" s="367">
        <f t="shared" si="544"/>
        <v>283473.64</v>
      </c>
      <c r="AJ410" s="363">
        <f t="shared" si="544"/>
        <v>0</v>
      </c>
      <c r="AK410" s="280">
        <f t="shared" si="340"/>
        <v>283473.64</v>
      </c>
      <c r="AL410" s="368"/>
      <c r="AM410" s="367">
        <f t="shared" si="545"/>
        <v>20000</v>
      </c>
      <c r="AN410" s="363">
        <f t="shared" si="545"/>
        <v>0</v>
      </c>
      <c r="AO410" s="280">
        <f t="shared" si="342"/>
        <v>20000</v>
      </c>
      <c r="AP410" s="367">
        <f t="shared" si="546"/>
        <v>20000</v>
      </c>
      <c r="AQ410" s="363">
        <f t="shared" si="546"/>
        <v>0</v>
      </c>
      <c r="AR410" s="280">
        <f t="shared" si="328"/>
        <v>20000</v>
      </c>
      <c r="AS410" s="367">
        <f t="shared" si="547"/>
        <v>303473.64</v>
      </c>
      <c r="AT410" s="363">
        <f t="shared" si="547"/>
        <v>0</v>
      </c>
      <c r="AU410" s="280">
        <f t="shared" si="330"/>
        <v>303473.64</v>
      </c>
      <c r="AV410" s="1253">
        <f t="shared" si="358"/>
        <v>-247989.64</v>
      </c>
      <c r="AW410" s="367">
        <f t="shared" ref="AW410:BS410" si="646">SUM(AW411:AW413)</f>
        <v>0</v>
      </c>
      <c r="AX410" s="363">
        <f t="shared" si="646"/>
        <v>0</v>
      </c>
      <c r="AY410" s="363">
        <f t="shared" si="646"/>
        <v>0</v>
      </c>
      <c r="AZ410" s="363">
        <f t="shared" si="646"/>
        <v>0</v>
      </c>
      <c r="BA410" s="363">
        <f t="shared" si="646"/>
        <v>0</v>
      </c>
      <c r="BB410" s="369">
        <f t="shared" si="646"/>
        <v>0</v>
      </c>
      <c r="BC410" s="367">
        <f t="shared" si="646"/>
        <v>10000</v>
      </c>
      <c r="BD410" s="363">
        <f t="shared" si="646"/>
        <v>0</v>
      </c>
      <c r="BE410" s="363">
        <f t="shared" si="646"/>
        <v>10000</v>
      </c>
      <c r="BF410" s="363">
        <f t="shared" si="646"/>
        <v>0</v>
      </c>
      <c r="BG410" s="363">
        <f t="shared" si="646"/>
        <v>0</v>
      </c>
      <c r="BH410" s="369">
        <f t="shared" si="646"/>
        <v>0</v>
      </c>
      <c r="BI410" s="367">
        <f t="shared" si="646"/>
        <v>0</v>
      </c>
      <c r="BJ410" s="363">
        <f t="shared" si="646"/>
        <v>0</v>
      </c>
      <c r="BK410" s="363">
        <f t="shared" si="646"/>
        <v>0</v>
      </c>
      <c r="BL410" s="363">
        <f t="shared" si="646"/>
        <v>0</v>
      </c>
      <c r="BM410" s="363">
        <f t="shared" si="646"/>
        <v>0</v>
      </c>
      <c r="BN410" s="369">
        <f t="shared" si="646"/>
        <v>0</v>
      </c>
      <c r="BO410" s="367">
        <f t="shared" si="646"/>
        <v>0</v>
      </c>
      <c r="BP410" s="363">
        <f t="shared" si="646"/>
        <v>0</v>
      </c>
      <c r="BQ410" s="363">
        <f t="shared" si="646"/>
        <v>0</v>
      </c>
      <c r="BR410" s="363">
        <f t="shared" si="646"/>
        <v>0</v>
      </c>
      <c r="BS410" s="363">
        <f t="shared" si="646"/>
        <v>283473.64</v>
      </c>
      <c r="BT410" s="280"/>
    </row>
    <row r="411" spans="1:72" s="313" customFormat="1" ht="25.5">
      <c r="A411" s="287">
        <v>394</v>
      </c>
      <c r="B411" s="935"/>
      <c r="C411" s="840"/>
      <c r="D411" s="841"/>
      <c r="E411" s="839"/>
      <c r="F411" s="821" t="s">
        <v>23</v>
      </c>
      <c r="G411" s="314">
        <v>2</v>
      </c>
      <c r="H411" s="739" t="s">
        <v>71</v>
      </c>
      <c r="I411" s="739">
        <v>244</v>
      </c>
      <c r="J411" s="740">
        <v>349</v>
      </c>
      <c r="K411" s="317" t="s">
        <v>759</v>
      </c>
      <c r="L411" s="1013">
        <v>35484</v>
      </c>
      <c r="M411" s="318"/>
      <c r="N411" s="318"/>
      <c r="O411" s="1052">
        <f t="shared" si="332"/>
        <v>35484</v>
      </c>
      <c r="P411" s="329"/>
      <c r="Q411" s="319">
        <v>893974.32</v>
      </c>
      <c r="R411" s="329"/>
      <c r="S411" s="319">
        <v>893974.32</v>
      </c>
      <c r="T411" s="329"/>
      <c r="U411" s="335"/>
      <c r="V411" s="320"/>
      <c r="W411" s="320"/>
      <c r="X411" s="320"/>
      <c r="Z411" s="336">
        <f>AW411+AY411+BA411</f>
        <v>0</v>
      </c>
      <c r="AA411" s="337">
        <f>AX411+AZ411+BB411</f>
        <v>0</v>
      </c>
      <c r="AB411" s="338">
        <f>Z411-AA411</f>
        <v>0</v>
      </c>
      <c r="AC411" s="336">
        <f>BC411+BE411+BG411</f>
        <v>0</v>
      </c>
      <c r="AD411" s="337">
        <f>BD411+BF411+BH411</f>
        <v>0</v>
      </c>
      <c r="AE411" s="338">
        <f>AC411-AD411</f>
        <v>0</v>
      </c>
      <c r="AF411" s="336">
        <f>BI411+BK411+BM411</f>
        <v>0</v>
      </c>
      <c r="AG411" s="337">
        <f>BJ411+BL411+BN411</f>
        <v>0</v>
      </c>
      <c r="AH411" s="338">
        <f>AF411-AG411</f>
        <v>0</v>
      </c>
      <c r="AI411" s="336">
        <f>BO411+BQ411+BS411</f>
        <v>283473.64</v>
      </c>
      <c r="AJ411" s="337">
        <f>BP411+BR411+BT411</f>
        <v>0</v>
      </c>
      <c r="AK411" s="338">
        <f>AI411-AJ411</f>
        <v>283473.64</v>
      </c>
      <c r="AL411" s="342"/>
      <c r="AM411" s="336">
        <f>Z411+AC411</f>
        <v>0</v>
      </c>
      <c r="AN411" s="339">
        <f>AA411+AD411</f>
        <v>0</v>
      </c>
      <c r="AO411" s="340">
        <f>AM411-AN411</f>
        <v>0</v>
      </c>
      <c r="AP411" s="336">
        <f>Z411+AC411+AF411</f>
        <v>0</v>
      </c>
      <c r="AQ411" s="339">
        <f>AA411+AD411+AG411</f>
        <v>0</v>
      </c>
      <c r="AR411" s="340">
        <f>AP411-AQ411</f>
        <v>0</v>
      </c>
      <c r="AS411" s="341">
        <f>Z411+AC411+AF411+AI411</f>
        <v>283473.64</v>
      </c>
      <c r="AT411" s="339">
        <f>AA411+AD411+AG411+AJ411</f>
        <v>0</v>
      </c>
      <c r="AU411" s="340">
        <f>AS411-AT411</f>
        <v>283473.64</v>
      </c>
      <c r="AV411" s="1255"/>
      <c r="AW411" s="343"/>
      <c r="AX411" s="1098"/>
      <c r="AY411" s="345"/>
      <c r="AZ411" s="1098"/>
      <c r="BA411" s="345"/>
      <c r="BB411" s="1120"/>
      <c r="BC411" s="347"/>
      <c r="BD411" s="348"/>
      <c r="BE411" s="349"/>
      <c r="BF411" s="348"/>
      <c r="BG411" s="349"/>
      <c r="BH411" s="350"/>
      <c r="BI411" s="351"/>
      <c r="BJ411" s="352"/>
      <c r="BK411" s="337"/>
      <c r="BL411" s="352"/>
      <c r="BM411" s="337"/>
      <c r="BN411" s="353"/>
      <c r="BO411" s="354"/>
      <c r="BP411" s="355"/>
      <c r="BQ411" s="356"/>
      <c r="BR411" s="355"/>
      <c r="BS411" s="356">
        <f>873974.32-590500.68</f>
        <v>283473.64</v>
      </c>
      <c r="BT411" s="357"/>
    </row>
    <row r="412" spans="1:72" s="313" customFormat="1" ht="38.25">
      <c r="A412" s="287">
        <v>395</v>
      </c>
      <c r="B412" s="935"/>
      <c r="C412" s="840"/>
      <c r="D412" s="841"/>
      <c r="E412" s="839"/>
      <c r="F412" s="821" t="s">
        <v>23</v>
      </c>
      <c r="G412" s="314">
        <v>2</v>
      </c>
      <c r="H412" s="739" t="s">
        <v>71</v>
      </c>
      <c r="I412" s="739">
        <v>244</v>
      </c>
      <c r="J412" s="740">
        <v>349</v>
      </c>
      <c r="K412" s="317" t="s">
        <v>758</v>
      </c>
      <c r="L412" s="1013">
        <v>20000</v>
      </c>
      <c r="M412" s="318"/>
      <c r="N412" s="318"/>
      <c r="O412" s="1052">
        <f t="shared" si="332"/>
        <v>20000</v>
      </c>
      <c r="P412" s="329"/>
      <c r="Q412" s="319">
        <v>0</v>
      </c>
      <c r="R412" s="329"/>
      <c r="S412" s="319">
        <v>0</v>
      </c>
      <c r="T412" s="329"/>
      <c r="U412" s="335"/>
      <c r="V412" s="320"/>
      <c r="W412" s="320"/>
      <c r="X412" s="320"/>
      <c r="Z412" s="336">
        <f>AW412+AY412+BA412</f>
        <v>0</v>
      </c>
      <c r="AA412" s="337">
        <f>AX412+AZ412+BB412</f>
        <v>0</v>
      </c>
      <c r="AB412" s="338">
        <f>Z412-AA412</f>
        <v>0</v>
      </c>
      <c r="AC412" s="336">
        <f>BC412+BE412+BG412</f>
        <v>20000</v>
      </c>
      <c r="AD412" s="337">
        <f>BD412+BF412+BH412</f>
        <v>0</v>
      </c>
      <c r="AE412" s="338">
        <f>AC412-AD412</f>
        <v>20000</v>
      </c>
      <c r="AF412" s="336">
        <f>BI412+BK412+BM412</f>
        <v>0</v>
      </c>
      <c r="AG412" s="337">
        <f>BJ412+BL412+BN412</f>
        <v>0</v>
      </c>
      <c r="AH412" s="338">
        <f>AF412-AG412</f>
        <v>0</v>
      </c>
      <c r="AI412" s="336">
        <f>BO412+BQ412+BS412</f>
        <v>0</v>
      </c>
      <c r="AJ412" s="337">
        <f>BP412+BR412+BT412</f>
        <v>0</v>
      </c>
      <c r="AK412" s="338">
        <f>AI412-AJ412</f>
        <v>0</v>
      </c>
      <c r="AL412" s="342"/>
      <c r="AM412" s="336">
        <f>Z412+AC412</f>
        <v>20000</v>
      </c>
      <c r="AN412" s="339">
        <f>AA412+AD412</f>
        <v>0</v>
      </c>
      <c r="AO412" s="340">
        <f>AM412-AN412</f>
        <v>20000</v>
      </c>
      <c r="AP412" s="336">
        <f>Z412+AC412+AF412</f>
        <v>20000</v>
      </c>
      <c r="AQ412" s="339">
        <f>AA412+AD412+AG412</f>
        <v>0</v>
      </c>
      <c r="AR412" s="340">
        <f>AP412-AQ412</f>
        <v>20000</v>
      </c>
      <c r="AS412" s="341">
        <f>Z412+AC412+AF412+AI412</f>
        <v>20000</v>
      </c>
      <c r="AT412" s="339">
        <f>AA412+AD412+AG412+AJ412</f>
        <v>0</v>
      </c>
      <c r="AU412" s="340">
        <f>AS412-AT412</f>
        <v>20000</v>
      </c>
      <c r="AV412" s="1255"/>
      <c r="AW412" s="343"/>
      <c r="AX412" s="1098"/>
      <c r="AY412" s="345"/>
      <c r="AZ412" s="1098"/>
      <c r="BA412" s="345"/>
      <c r="BB412" s="1120"/>
      <c r="BC412" s="1134">
        <v>10000</v>
      </c>
      <c r="BD412" s="1140"/>
      <c r="BE412" s="1135">
        <v>10000</v>
      </c>
      <c r="BF412" s="348"/>
      <c r="BG412" s="349"/>
      <c r="BH412" s="350"/>
      <c r="BI412" s="351"/>
      <c r="BJ412" s="352"/>
      <c r="BK412" s="337"/>
      <c r="BL412" s="352"/>
      <c r="BM412" s="337"/>
      <c r="BN412" s="353"/>
      <c r="BO412" s="354"/>
      <c r="BP412" s="355"/>
      <c r="BQ412" s="356"/>
      <c r="BR412" s="355"/>
      <c r="BS412" s="356"/>
      <c r="BT412" s="357"/>
    </row>
    <row r="413" spans="1:72" s="615" customFormat="1" ht="25.5">
      <c r="A413" s="287">
        <v>396</v>
      </c>
      <c r="B413" s="935"/>
      <c r="C413" s="866"/>
      <c r="D413" s="867"/>
      <c r="E413" s="867"/>
      <c r="F413" s="832" t="s">
        <v>23</v>
      </c>
      <c r="G413" s="616">
        <v>2</v>
      </c>
      <c r="H413" s="749" t="s">
        <v>71</v>
      </c>
      <c r="I413" s="749">
        <v>244</v>
      </c>
      <c r="J413" s="750">
        <v>349</v>
      </c>
      <c r="K413" s="932" t="s">
        <v>214</v>
      </c>
      <c r="L413" s="1046">
        <v>0</v>
      </c>
      <c r="M413" s="619"/>
      <c r="N413" s="619"/>
      <c r="O413" s="1054">
        <f t="shared" ref="O413" si="647">L413+N413</f>
        <v>0</v>
      </c>
      <c r="P413" s="988"/>
      <c r="Q413" s="656">
        <v>0</v>
      </c>
      <c r="R413" s="988"/>
      <c r="S413" s="656">
        <v>0</v>
      </c>
      <c r="T413" s="988"/>
      <c r="U413" s="621"/>
      <c r="V413" s="388"/>
      <c r="W413" s="388"/>
      <c r="X413" s="388"/>
      <c r="Z413" s="509">
        <f t="shared" ref="Z413:AA413" si="648">AW413+AY413+BA413</f>
        <v>0</v>
      </c>
      <c r="AA413" s="622">
        <f t="shared" si="648"/>
        <v>0</v>
      </c>
      <c r="AB413" s="623">
        <f t="shared" ref="AB413" si="649">Z413-AA413</f>
        <v>0</v>
      </c>
      <c r="AC413" s="509">
        <f t="shared" ref="AC413:AD413" si="650">BC413+BE413+BG413</f>
        <v>0</v>
      </c>
      <c r="AD413" s="622">
        <f t="shared" si="650"/>
        <v>0</v>
      </c>
      <c r="AE413" s="623">
        <f t="shared" ref="AE413" si="651">AC413-AD413</f>
        <v>0</v>
      </c>
      <c r="AF413" s="509">
        <f t="shared" ref="AF413:AG413" si="652">BI413+BK413+BM413</f>
        <v>0</v>
      </c>
      <c r="AG413" s="622">
        <f t="shared" si="652"/>
        <v>0</v>
      </c>
      <c r="AH413" s="623">
        <f t="shared" ref="AH413" si="653">AF413-AG413</f>
        <v>0</v>
      </c>
      <c r="AI413" s="509">
        <f t="shared" ref="AI413:AJ413" si="654">BO413+BQ413+BS413</f>
        <v>0</v>
      </c>
      <c r="AJ413" s="622">
        <f t="shared" si="654"/>
        <v>0</v>
      </c>
      <c r="AK413" s="623">
        <f t="shared" ref="AK413" si="655">AI413-AJ413</f>
        <v>0</v>
      </c>
      <c r="AL413" s="624"/>
      <c r="AM413" s="509">
        <f t="shared" ref="AM413:AN413" si="656">Z413+AC413</f>
        <v>0</v>
      </c>
      <c r="AN413" s="625">
        <f t="shared" si="656"/>
        <v>0</v>
      </c>
      <c r="AO413" s="626">
        <f t="shared" si="342"/>
        <v>0</v>
      </c>
      <c r="AP413" s="509">
        <f t="shared" ref="AP413:AQ413" si="657">Z413+AC413+AF413</f>
        <v>0</v>
      </c>
      <c r="AQ413" s="625">
        <f t="shared" si="657"/>
        <v>0</v>
      </c>
      <c r="AR413" s="626">
        <f t="shared" si="328"/>
        <v>0</v>
      </c>
      <c r="AS413" s="510">
        <f t="shared" ref="AS413:AT413" si="658">Z413+AC413+AF413+AI413</f>
        <v>0</v>
      </c>
      <c r="AT413" s="625">
        <f t="shared" si="658"/>
        <v>0</v>
      </c>
      <c r="AU413" s="626">
        <f t="shared" ref="AU413" si="659">AS413-AT413</f>
        <v>0</v>
      </c>
      <c r="AV413" s="440"/>
      <c r="AW413" s="628"/>
      <c r="AX413" s="629"/>
      <c r="AY413" s="630"/>
      <c r="AZ413" s="629"/>
      <c r="BA413" s="630"/>
      <c r="BB413" s="631"/>
      <c r="BC413" s="632"/>
      <c r="BD413" s="633"/>
      <c r="BE413" s="634"/>
      <c r="BF413" s="633"/>
      <c r="BG413" s="634"/>
      <c r="BH413" s="635"/>
      <c r="BI413" s="636"/>
      <c r="BJ413" s="637"/>
      <c r="BK413" s="622"/>
      <c r="BL413" s="637"/>
      <c r="BM413" s="622"/>
      <c r="BN413" s="638"/>
      <c r="BO413" s="639"/>
      <c r="BP413" s="640"/>
      <c r="BQ413" s="641"/>
      <c r="BR413" s="640"/>
      <c r="BS413" s="641"/>
      <c r="BT413" s="642"/>
    </row>
    <row r="414" spans="1:72" s="31" customFormat="1" ht="15.75">
      <c r="A414" s="287">
        <v>397</v>
      </c>
      <c r="B414" s="933"/>
      <c r="C414" s="845"/>
      <c r="D414" s="849"/>
      <c r="E414" s="287" t="s">
        <v>201</v>
      </c>
      <c r="F414" s="521"/>
      <c r="G414" s="521"/>
      <c r="H414" s="521"/>
      <c r="I414" s="521"/>
      <c r="J414" s="521"/>
      <c r="K414" s="1296" t="s">
        <v>17</v>
      </c>
      <c r="L414" s="1047">
        <f t="shared" ref="L414:AQ414" si="660">SUM(L253,L254,L256,L258,L259,L260,L261,L262,L270,L267,L273,L347,L275,L281,L283,L285,L287,L312,L322,L323,L327,L328,L350,L354,L358,L363,L370,L377,L405,L409,L410)</f>
        <v>12532442.91</v>
      </c>
      <c r="M414" s="13">
        <f t="shared" si="660"/>
        <v>192442.91</v>
      </c>
      <c r="N414" s="13">
        <f t="shared" si="660"/>
        <v>0</v>
      </c>
      <c r="O414" s="13">
        <f t="shared" si="660"/>
        <v>12532442.91</v>
      </c>
      <c r="P414" s="570">
        <f t="shared" si="660"/>
        <v>0</v>
      </c>
      <c r="Q414" s="264">
        <f t="shared" si="660"/>
        <v>11490000</v>
      </c>
      <c r="R414" s="559">
        <f t="shared" si="660"/>
        <v>0</v>
      </c>
      <c r="S414" s="543">
        <f t="shared" si="660"/>
        <v>11490000</v>
      </c>
      <c r="T414" s="559">
        <f t="shared" si="660"/>
        <v>0</v>
      </c>
      <c r="U414" s="334">
        <f t="shared" si="660"/>
        <v>0</v>
      </c>
      <c r="V414" s="7">
        <f t="shared" si="660"/>
        <v>0</v>
      </c>
      <c r="W414" s="7">
        <f t="shared" si="660"/>
        <v>0</v>
      </c>
      <c r="X414" s="7" t="e">
        <f t="shared" si="660"/>
        <v>#VALUE!</v>
      </c>
      <c r="Y414" s="31">
        <f t="shared" si="660"/>
        <v>0</v>
      </c>
      <c r="Z414" s="264">
        <f t="shared" si="660"/>
        <v>7579632.1699999999</v>
      </c>
      <c r="AA414" s="254">
        <f t="shared" si="660"/>
        <v>746456.37</v>
      </c>
      <c r="AB414" s="270">
        <f t="shared" si="660"/>
        <v>6833175.7999999998</v>
      </c>
      <c r="AC414" s="264">
        <f t="shared" si="660"/>
        <v>1284842.3600000001</v>
      </c>
      <c r="AD414" s="254">
        <f t="shared" si="660"/>
        <v>392545.81</v>
      </c>
      <c r="AE414" s="270">
        <f t="shared" si="660"/>
        <v>892296.55</v>
      </c>
      <c r="AF414" s="264">
        <f t="shared" si="660"/>
        <v>390874.2</v>
      </c>
      <c r="AG414" s="254">
        <f t="shared" si="660"/>
        <v>228912.91</v>
      </c>
      <c r="AH414" s="270">
        <f t="shared" si="660"/>
        <v>161961.29</v>
      </c>
      <c r="AI414" s="264">
        <f t="shared" si="660"/>
        <v>3256421.09</v>
      </c>
      <c r="AJ414" s="254">
        <f t="shared" si="660"/>
        <v>69487.289999999994</v>
      </c>
      <c r="AK414" s="270">
        <f t="shared" si="660"/>
        <v>3186933.8</v>
      </c>
      <c r="AL414" s="278">
        <f t="shared" si="660"/>
        <v>0</v>
      </c>
      <c r="AM414" s="264">
        <f t="shared" si="660"/>
        <v>8864474.5299999993</v>
      </c>
      <c r="AN414" s="248">
        <f t="shared" si="660"/>
        <v>1139002.18</v>
      </c>
      <c r="AO414" s="281">
        <f t="shared" si="660"/>
        <v>7725472.3499999996</v>
      </c>
      <c r="AP414" s="264">
        <f t="shared" si="660"/>
        <v>9255348.7300000004</v>
      </c>
      <c r="AQ414" s="248">
        <f t="shared" si="660"/>
        <v>1367915.09</v>
      </c>
      <c r="AR414" s="281">
        <f t="shared" ref="AR414:BT414" si="661">SUM(AR253,AR254,AR256,AR258,AR259,AR260,AR261,AR262,AR270,AR267,AR273,AR347,AR275,AR281,AR283,AR285,AR287,AR312,AR322,AR323,AR327,AR328,AR350,AR354,AR358,AR363,AR370,AR377,AR405,AR409,AR410)</f>
        <v>7887433.6399999997</v>
      </c>
      <c r="AS414" s="264">
        <f t="shared" si="661"/>
        <v>12511769.82</v>
      </c>
      <c r="AT414" s="248">
        <f t="shared" si="661"/>
        <v>1437402.38</v>
      </c>
      <c r="AU414" s="281">
        <f t="shared" si="661"/>
        <v>11074367.439999999</v>
      </c>
      <c r="AV414" s="1266">
        <f t="shared" si="661"/>
        <v>20673.09</v>
      </c>
      <c r="AW414" s="278">
        <f t="shared" si="661"/>
        <v>6582265.5599999996</v>
      </c>
      <c r="AX414" s="1113">
        <f t="shared" si="661"/>
        <v>0</v>
      </c>
      <c r="AY414" s="278">
        <f t="shared" si="661"/>
        <v>35130</v>
      </c>
      <c r="AZ414" s="1113">
        <f t="shared" si="661"/>
        <v>339442.36</v>
      </c>
      <c r="BA414" s="278">
        <f t="shared" si="661"/>
        <v>962236.61</v>
      </c>
      <c r="BB414" s="1113">
        <f t="shared" si="661"/>
        <v>407014.01</v>
      </c>
      <c r="BC414" s="278">
        <f t="shared" si="661"/>
        <v>210546.1</v>
      </c>
      <c r="BD414" s="278">
        <f t="shared" si="661"/>
        <v>118137.2</v>
      </c>
      <c r="BE414" s="278">
        <f t="shared" si="661"/>
        <v>730567.85</v>
      </c>
      <c r="BF414" s="278">
        <f t="shared" si="661"/>
        <v>150538.23999999999</v>
      </c>
      <c r="BG414" s="278">
        <f t="shared" si="661"/>
        <v>343728.41</v>
      </c>
      <c r="BH414" s="278">
        <f t="shared" si="661"/>
        <v>123870.37</v>
      </c>
      <c r="BI414" s="278">
        <f t="shared" si="661"/>
        <v>162945.06</v>
      </c>
      <c r="BJ414" s="278">
        <f t="shared" si="661"/>
        <v>176449.41</v>
      </c>
      <c r="BK414" s="278">
        <f t="shared" si="661"/>
        <v>97878</v>
      </c>
      <c r="BL414" s="278">
        <f t="shared" si="661"/>
        <v>13913</v>
      </c>
      <c r="BM414" s="278">
        <f t="shared" si="661"/>
        <v>130051.14</v>
      </c>
      <c r="BN414" s="278">
        <f t="shared" si="661"/>
        <v>38550.5</v>
      </c>
      <c r="BO414" s="278">
        <f t="shared" si="661"/>
        <v>1293938.76</v>
      </c>
      <c r="BP414" s="278">
        <f t="shared" si="661"/>
        <v>69487.289999999994</v>
      </c>
      <c r="BQ414" s="278">
        <f t="shared" si="661"/>
        <v>285880</v>
      </c>
      <c r="BR414" s="278">
        <f t="shared" si="661"/>
        <v>0</v>
      </c>
      <c r="BS414" s="278">
        <f t="shared" si="661"/>
        <v>1676602.33</v>
      </c>
      <c r="BT414" s="278">
        <f t="shared" si="661"/>
        <v>0</v>
      </c>
    </row>
    <row r="415" spans="1:72" s="31" customFormat="1" ht="16.5" customHeight="1" thickBot="1">
      <c r="A415" s="287">
        <v>398</v>
      </c>
      <c r="B415" s="933"/>
      <c r="C415" s="845"/>
      <c r="D415" s="849"/>
      <c r="E415" s="287" t="s">
        <v>201</v>
      </c>
      <c r="F415" s="521"/>
      <c r="G415" s="521"/>
      <c r="H415" s="521"/>
      <c r="I415" s="521"/>
      <c r="J415" s="521"/>
      <c r="K415" s="1296" t="s">
        <v>21</v>
      </c>
      <c r="L415" s="1040">
        <f t="shared" ref="L415:T415" si="662">L248+L414</f>
        <v>75861942.840000004</v>
      </c>
      <c r="M415" s="546">
        <f t="shared" si="662"/>
        <v>192442.91</v>
      </c>
      <c r="N415" s="546">
        <f t="shared" si="662"/>
        <v>12674382.310000001</v>
      </c>
      <c r="O415" s="546">
        <f t="shared" si="662"/>
        <v>88536325.150000006</v>
      </c>
      <c r="P415" s="572">
        <f t="shared" si="662"/>
        <v>8693874.8000000007</v>
      </c>
      <c r="Q415" s="545">
        <f t="shared" si="662"/>
        <v>53696072.039999999</v>
      </c>
      <c r="R415" s="568">
        <f t="shared" si="662"/>
        <v>0</v>
      </c>
      <c r="S415" s="554">
        <f t="shared" si="662"/>
        <v>53288874.439999998</v>
      </c>
      <c r="T415" s="568">
        <f t="shared" si="662"/>
        <v>0</v>
      </c>
      <c r="U415" s="334"/>
      <c r="V415" s="7"/>
      <c r="W415" s="7"/>
      <c r="X415" s="7"/>
      <c r="Z415" s="263">
        <f t="shared" ref="Z415:AK415" si="663">Z248+Z414</f>
        <v>21187615</v>
      </c>
      <c r="AA415" s="253">
        <f t="shared" si="663"/>
        <v>13288651.33</v>
      </c>
      <c r="AB415" s="269">
        <f t="shared" si="663"/>
        <v>7898963.6699999999</v>
      </c>
      <c r="AC415" s="263">
        <f t="shared" si="663"/>
        <v>23950015.739999998</v>
      </c>
      <c r="AD415" s="253">
        <f t="shared" si="663"/>
        <v>12877549.9</v>
      </c>
      <c r="AE415" s="269">
        <f t="shared" si="663"/>
        <v>11072465.84</v>
      </c>
      <c r="AF415" s="263">
        <f t="shared" si="663"/>
        <v>16138474.52</v>
      </c>
      <c r="AG415" s="253">
        <f t="shared" si="663"/>
        <v>602410.38</v>
      </c>
      <c r="AH415" s="269">
        <f t="shared" si="663"/>
        <v>15536064.140000001</v>
      </c>
      <c r="AI415" s="263">
        <f t="shared" si="663"/>
        <v>16505915.34</v>
      </c>
      <c r="AJ415" s="253">
        <f t="shared" si="663"/>
        <v>629342.17000000004</v>
      </c>
      <c r="AK415" s="269">
        <f t="shared" si="663"/>
        <v>15876573.17</v>
      </c>
      <c r="AL415" s="210"/>
      <c r="AM415" s="263">
        <f t="shared" si="545"/>
        <v>45137630.740000002</v>
      </c>
      <c r="AN415" s="247">
        <f t="shared" si="545"/>
        <v>26166201.23</v>
      </c>
      <c r="AO415" s="280">
        <f t="shared" si="342"/>
        <v>18971429.510000002</v>
      </c>
      <c r="AP415" s="263">
        <f t="shared" si="546"/>
        <v>61276105.259999998</v>
      </c>
      <c r="AQ415" s="247">
        <f t="shared" si="546"/>
        <v>26768611.609999999</v>
      </c>
      <c r="AR415" s="280">
        <f t="shared" si="328"/>
        <v>34507493.649999999</v>
      </c>
      <c r="AS415" s="263">
        <f>AS248+AS414</f>
        <v>77844057.280000001</v>
      </c>
      <c r="AT415" s="247">
        <f>AT248+AT414</f>
        <v>27426371.09</v>
      </c>
      <c r="AU415" s="280">
        <f>AU248+AU414</f>
        <v>50417686.189999998</v>
      </c>
      <c r="AV415" s="1269">
        <f t="shared" si="358"/>
        <v>-1982114.44</v>
      </c>
      <c r="AW415" s="210"/>
      <c r="AX415" s="1113"/>
      <c r="AY415" s="210"/>
      <c r="AZ415" s="1113"/>
      <c r="BA415" s="210"/>
      <c r="BB415" s="1113"/>
      <c r="BC415" s="210"/>
      <c r="BD415" s="210"/>
      <c r="BE415" s="210"/>
      <c r="BF415" s="210"/>
      <c r="BG415" s="210"/>
      <c r="BH415" s="210"/>
      <c r="BI415" s="210"/>
      <c r="BJ415" s="210"/>
      <c r="BK415" s="210"/>
      <c r="BL415" s="210"/>
      <c r="BM415" s="210"/>
      <c r="BN415" s="210"/>
      <c r="BO415" s="210"/>
      <c r="BP415" s="210"/>
      <c r="BQ415" s="210"/>
      <c r="BR415" s="210"/>
      <c r="BS415" s="210"/>
      <c r="BT415" s="210"/>
    </row>
    <row r="416" spans="1:72" s="31" customFormat="1" ht="15.75">
      <c r="A416" s="287">
        <v>399</v>
      </c>
      <c r="B416" s="933"/>
      <c r="C416" s="845"/>
      <c r="D416" s="849"/>
      <c r="E416" s="287"/>
      <c r="F416" s="2"/>
      <c r="G416" s="2"/>
      <c r="H416" s="2"/>
      <c r="I416" s="2"/>
      <c r="J416" s="2"/>
      <c r="K416" s="209" t="s">
        <v>204</v>
      </c>
      <c r="L416" s="1035">
        <f>11490000+192442.91</f>
        <v>11682442.91</v>
      </c>
      <c r="M416" s="277">
        <v>192442.91</v>
      </c>
      <c r="N416" s="86"/>
      <c r="O416" s="996">
        <f>11490000+192442.91</f>
        <v>11682442.91</v>
      </c>
      <c r="P416" s="997"/>
      <c r="Q416" s="996">
        <v>11490000</v>
      </c>
      <c r="R416" s="997"/>
      <c r="S416" s="996">
        <v>11490000</v>
      </c>
      <c r="T416" s="332"/>
      <c r="U416" s="325"/>
      <c r="Z416" s="86"/>
      <c r="AA416" s="86"/>
      <c r="AB416" s="86"/>
      <c r="AC416" s="86"/>
      <c r="AD416" s="86"/>
      <c r="AE416" s="86"/>
      <c r="AF416" s="86"/>
      <c r="AG416" s="86"/>
      <c r="AH416" s="86"/>
      <c r="AI416" s="86"/>
      <c r="AJ416" s="86"/>
      <c r="AK416" s="86"/>
      <c r="AL416" s="87"/>
      <c r="AM416" s="86"/>
      <c r="AN416" s="86"/>
      <c r="AO416" s="86"/>
      <c r="AP416" s="86"/>
      <c r="AQ416" s="86"/>
      <c r="AR416" s="86"/>
      <c r="AS416" s="86"/>
      <c r="AT416" s="86"/>
      <c r="AU416" s="86"/>
      <c r="AV416" s="1269"/>
      <c r="AW416" s="86"/>
      <c r="AX416" s="1118"/>
      <c r="AY416" s="86"/>
      <c r="AZ416" s="1118"/>
      <c r="BA416" s="86"/>
      <c r="BB416" s="1118"/>
      <c r="BC416" s="86"/>
      <c r="BD416" s="86"/>
      <c r="BE416" s="86"/>
      <c r="BF416" s="86"/>
      <c r="BG416" s="86"/>
      <c r="BH416" s="86"/>
      <c r="BI416" s="86"/>
      <c r="BJ416" s="86"/>
      <c r="BK416" s="86"/>
      <c r="BL416" s="86"/>
      <c r="BM416" s="86"/>
      <c r="BN416" s="86"/>
      <c r="BO416" s="86"/>
      <c r="BP416" s="86"/>
      <c r="BQ416" s="86"/>
      <c r="BR416" s="86"/>
      <c r="BS416" s="86"/>
      <c r="BT416" s="86"/>
    </row>
    <row r="417" spans="1:72" s="31" customFormat="1" ht="15.75">
      <c r="A417" s="287">
        <v>400</v>
      </c>
      <c r="B417" s="933"/>
      <c r="C417" s="845"/>
      <c r="D417" s="849"/>
      <c r="E417" s="287"/>
      <c r="F417" s="2"/>
      <c r="G417" s="2"/>
      <c r="H417" s="2"/>
      <c r="I417" s="2"/>
      <c r="J417" s="2"/>
      <c r="K417" s="209" t="s">
        <v>368</v>
      </c>
      <c r="L417" s="1036">
        <f>L416-L414</f>
        <v>-850000</v>
      </c>
      <c r="M417" s="1036">
        <f>M416-M414</f>
        <v>0</v>
      </c>
      <c r="N417" s="86"/>
      <c r="O417" s="277">
        <f>O416-O414</f>
        <v>-850000</v>
      </c>
      <c r="P417" s="332"/>
      <c r="Q417" s="277">
        <f>Q416-Q414</f>
        <v>0</v>
      </c>
      <c r="R417" s="332"/>
      <c r="S417" s="277">
        <f>S416-S414</f>
        <v>0</v>
      </c>
      <c r="T417" s="332"/>
      <c r="U417" s="325"/>
      <c r="Z417" s="86"/>
      <c r="AA417" s="86"/>
      <c r="AB417" s="86"/>
      <c r="AC417" s="86"/>
      <c r="AD417" s="86"/>
      <c r="AE417" s="86"/>
      <c r="AF417" s="86"/>
      <c r="AG417" s="86"/>
      <c r="AH417" s="86"/>
      <c r="AI417" s="86"/>
      <c r="AJ417" s="86"/>
      <c r="AK417" s="86"/>
      <c r="AL417" s="87"/>
      <c r="AM417" s="86"/>
      <c r="AN417" s="86"/>
      <c r="AO417" s="86"/>
      <c r="AP417" s="86"/>
      <c r="AQ417" s="86"/>
      <c r="AR417" s="86"/>
      <c r="AS417" s="86"/>
      <c r="AT417" s="86"/>
      <c r="AU417" s="86"/>
      <c r="AV417" s="1269"/>
      <c r="AW417" s="86"/>
      <c r="AX417" s="1118"/>
      <c r="AY417" s="86"/>
      <c r="AZ417" s="1118"/>
      <c r="BA417" s="86"/>
      <c r="BB417" s="1118"/>
      <c r="BC417" s="86"/>
      <c r="BD417" s="86"/>
      <c r="BE417" s="86"/>
      <c r="BF417" s="86"/>
      <c r="BG417" s="86"/>
      <c r="BH417" s="86"/>
      <c r="BI417" s="86"/>
      <c r="BJ417" s="86"/>
      <c r="BK417" s="86"/>
      <c r="BL417" s="86"/>
      <c r="BM417" s="86"/>
      <c r="BN417" s="86"/>
      <c r="BO417" s="86"/>
      <c r="BP417" s="86"/>
      <c r="BQ417" s="86"/>
      <c r="BR417" s="86"/>
      <c r="BS417" s="86"/>
      <c r="BT417" s="86"/>
    </row>
    <row r="418" spans="1:72" ht="15.75">
      <c r="A418" s="287">
        <v>401</v>
      </c>
      <c r="L418" s="1048">
        <f>L414-L416-M414</f>
        <v>657557.09</v>
      </c>
      <c r="O418" s="994">
        <f>O414-O416-M414</f>
        <v>657557.09</v>
      </c>
      <c r="AV418" s="1242"/>
    </row>
    <row r="419" spans="1:72" ht="15.75">
      <c r="A419" s="287">
        <v>402</v>
      </c>
      <c r="K419" s="1189" t="s">
        <v>852</v>
      </c>
      <c r="L419" s="1186">
        <f>L415-M415</f>
        <v>75669499.930000007</v>
      </c>
      <c r="M419" s="1187"/>
      <c r="N419" s="1187"/>
      <c r="O419" s="1188">
        <f>O415-M415</f>
        <v>88343882.239999995</v>
      </c>
      <c r="AV419" s="1242"/>
    </row>
    <row r="420" spans="1:72" ht="15.75">
      <c r="A420" s="287">
        <v>403</v>
      </c>
      <c r="K420" s="1189" t="s">
        <v>853</v>
      </c>
      <c r="L420" s="1186">
        <f>L419-L247</f>
        <v>73440227.680000007</v>
      </c>
      <c r="M420" s="1187"/>
      <c r="N420" s="1187"/>
      <c r="O420" s="1188">
        <f>O419-O247</f>
        <v>86114609.989999995</v>
      </c>
      <c r="AV420" s="1242"/>
    </row>
    <row r="421" spans="1:72">
      <c r="A421" s="287">
        <v>404</v>
      </c>
      <c r="B421" s="936"/>
      <c r="K421" s="1205" t="s">
        <v>919</v>
      </c>
      <c r="L421" s="1016">
        <f>L419+M416</f>
        <v>75861942.840000004</v>
      </c>
      <c r="O421" s="101">
        <f>O419+M416</f>
        <v>88536325.150000006</v>
      </c>
      <c r="AV421" s="1242"/>
    </row>
    <row r="422" spans="1:72" ht="15.75">
      <c r="A422" s="287">
        <v>405</v>
      </c>
      <c r="L422" s="1048">
        <v>11490000</v>
      </c>
      <c r="AV422" s="1271"/>
    </row>
    <row r="423" spans="1:72">
      <c r="A423" s="287">
        <v>406</v>
      </c>
    </row>
    <row r="424" spans="1:72">
      <c r="A424" s="287">
        <v>407</v>
      </c>
    </row>
    <row r="643" spans="1:72" ht="12.75" hidden="1" customHeight="1">
      <c r="A643" s="2"/>
      <c r="B643" s="1096"/>
      <c r="C643" s="2"/>
      <c r="D643" s="2"/>
      <c r="E643" s="2"/>
      <c r="L643" s="1049"/>
      <c r="M643" s="2"/>
      <c r="N643" s="2"/>
      <c r="O643" s="2"/>
      <c r="P643" s="2"/>
      <c r="Q643" s="2"/>
      <c r="R643" s="2"/>
      <c r="S643" s="2"/>
      <c r="T643" s="2"/>
      <c r="U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127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row>
    <row r="659" spans="1:72" ht="12.75" hidden="1" customHeight="1">
      <c r="A659" s="2"/>
      <c r="B659" s="1096"/>
      <c r="C659" s="2"/>
      <c r="D659" s="2"/>
      <c r="E659" s="2"/>
      <c r="L659" s="1049"/>
      <c r="M659" s="2"/>
      <c r="N659" s="2"/>
      <c r="O659" s="2"/>
      <c r="P659" s="2"/>
      <c r="Q659" s="2"/>
      <c r="R659" s="2"/>
      <c r="S659" s="2"/>
      <c r="T659" s="2"/>
      <c r="U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127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row>
  </sheetData>
  <autoFilter ref="A10:BV424"/>
  <mergeCells count="19">
    <mergeCell ref="BE9:BF9"/>
    <mergeCell ref="Z9:AB9"/>
    <mergeCell ref="AC9:AE9"/>
    <mergeCell ref="AF9:AH9"/>
    <mergeCell ref="AI9:AK9"/>
    <mergeCell ref="AM9:AO9"/>
    <mergeCell ref="AP9:AR9"/>
    <mergeCell ref="AS9:AU9"/>
    <mergeCell ref="AW9:AX9"/>
    <mergeCell ref="AY9:AZ9"/>
    <mergeCell ref="BA9:BB9"/>
    <mergeCell ref="BC9:BD9"/>
    <mergeCell ref="BS9:BT9"/>
    <mergeCell ref="BG9:BH9"/>
    <mergeCell ref="BI9:BJ9"/>
    <mergeCell ref="BK9:BL9"/>
    <mergeCell ref="BM9:BN9"/>
    <mergeCell ref="BO9:BP9"/>
    <mergeCell ref="BQ9:BR9"/>
  </mergeCells>
  <conditionalFormatting sqref="AS50:AS51 AS184:AS185 AS203:AS204 AS134:AS137 AS55 AS32 AS45 AS124 AS36 AS39">
    <cfRule type="expression" dxfId="1379" priority="1389">
      <formula>IF(L32=AS32,1,0)</formula>
    </cfRule>
  </conditionalFormatting>
  <conditionalFormatting sqref="AS247">
    <cfRule type="expression" dxfId="1378" priority="1388">
      <formula>IF(L247=AS247,1,0)</formula>
    </cfRule>
  </conditionalFormatting>
  <conditionalFormatting sqref="AS248">
    <cfRule type="expression" dxfId="1377" priority="1387">
      <formula>IF(L248=AS248,1,0)</formula>
    </cfRule>
  </conditionalFormatting>
  <conditionalFormatting sqref="L222">
    <cfRule type="cellIs" dxfId="1376" priority="1386" operator="notEqual">
      <formula>$L$221</formula>
    </cfRule>
  </conditionalFormatting>
  <conditionalFormatting sqref="O249">
    <cfRule type="cellIs" dxfId="1375" priority="1385" operator="notEqual">
      <formula>$O$247</formula>
    </cfRule>
  </conditionalFormatting>
  <conditionalFormatting sqref="L416">
    <cfRule type="cellIs" dxfId="1374" priority="1384" operator="notEqual">
      <formula>$L$414</formula>
    </cfRule>
  </conditionalFormatting>
  <conditionalFormatting sqref="AS4">
    <cfRule type="expression" dxfId="1373" priority="1383">
      <formula>IF(L4=AS4,1,0)</formula>
    </cfRule>
  </conditionalFormatting>
  <conditionalFormatting sqref="AS18:AS22">
    <cfRule type="expression" dxfId="1372" priority="1378">
      <formula>IF(L18=AS18,1,0)</formula>
    </cfRule>
  </conditionalFormatting>
  <conditionalFormatting sqref="AS30">
    <cfRule type="expression" dxfId="1371" priority="1382">
      <formula>IF(L30=AS30,1,0)</formula>
    </cfRule>
  </conditionalFormatting>
  <conditionalFormatting sqref="F4 F50:F51 F55 F36 F39">
    <cfRule type="cellIs" dxfId="1370" priority="1379" operator="equal">
      <formula>"3-001-2214"</formula>
    </cfRule>
    <cfRule type="cellIs" dxfId="1369" priority="1380" operator="equal">
      <formula>"3-001-5204"</formula>
    </cfRule>
    <cfRule type="cellIs" dxfId="1368" priority="1381" operator="equal">
      <formula>"3-001-0002"</formula>
    </cfRule>
  </conditionalFormatting>
  <conditionalFormatting sqref="AS58">
    <cfRule type="expression" dxfId="1367" priority="1354">
      <formula>IF(L58=AS58,1,0)</formula>
    </cfRule>
  </conditionalFormatting>
  <conditionalFormatting sqref="F18:F20 F22">
    <cfRule type="cellIs" dxfId="1366" priority="1375" operator="equal">
      <formula>"3-001-2214"</formula>
    </cfRule>
    <cfRule type="cellIs" dxfId="1365" priority="1376" operator="equal">
      <formula>"3-001-5204"</formula>
    </cfRule>
    <cfRule type="cellIs" dxfId="1364" priority="1377" operator="equal">
      <formula>"3-001-0002"</formula>
    </cfRule>
  </conditionalFormatting>
  <conditionalFormatting sqref="F16:F17">
    <cfRule type="cellIs" dxfId="1363" priority="1363" operator="equal">
      <formula>"3-001-2214"</formula>
    </cfRule>
    <cfRule type="cellIs" dxfId="1362" priority="1364" operator="equal">
      <formula>"3-001-5204"</formula>
    </cfRule>
    <cfRule type="cellIs" dxfId="1361" priority="1365" operator="equal">
      <formula>"3-001-0002"</formula>
    </cfRule>
  </conditionalFormatting>
  <conditionalFormatting sqref="AS3">
    <cfRule type="expression" dxfId="1360" priority="1374">
      <formula>IF(L3=AS3,1,0)</formula>
    </cfRule>
  </conditionalFormatting>
  <conditionalFormatting sqref="F3">
    <cfRule type="cellIs" dxfId="1359" priority="1371" operator="equal">
      <formula>"3-001-2214"</formula>
    </cfRule>
    <cfRule type="cellIs" dxfId="1358" priority="1372" operator="equal">
      <formula>"3-001-5204"</formula>
    </cfRule>
    <cfRule type="cellIs" dxfId="1357" priority="1373" operator="equal">
      <formula>"3-001-0002"</formula>
    </cfRule>
  </conditionalFormatting>
  <conditionalFormatting sqref="AS54">
    <cfRule type="expression" dxfId="1356" priority="1358">
      <formula>IF(L54=AS54,1,0)</formula>
    </cfRule>
  </conditionalFormatting>
  <conditionalFormatting sqref="F54">
    <cfRule type="cellIs" dxfId="1355" priority="1355" operator="equal">
      <formula>"3-001-2214"</formula>
    </cfRule>
    <cfRule type="cellIs" dxfId="1354" priority="1356" operator="equal">
      <formula>"3-001-5204"</formula>
    </cfRule>
    <cfRule type="cellIs" dxfId="1353" priority="1357" operator="equal">
      <formula>"3-001-0002"</formula>
    </cfRule>
  </conditionalFormatting>
  <conditionalFormatting sqref="AS34">
    <cfRule type="expression" dxfId="1352" priority="1350">
      <formula>IF(L34=AS34,1,0)</formula>
    </cfRule>
  </conditionalFormatting>
  <conditionalFormatting sqref="F58">
    <cfRule type="cellIs" dxfId="1351" priority="1351" operator="equal">
      <formula>"3-001-2214"</formula>
    </cfRule>
    <cfRule type="cellIs" dxfId="1350" priority="1352" operator="equal">
      <formula>"3-001-5204"</formula>
    </cfRule>
    <cfRule type="cellIs" dxfId="1349" priority="1353" operator="equal">
      <formula>"3-001-0002"</formula>
    </cfRule>
  </conditionalFormatting>
  <conditionalFormatting sqref="AS12 AS14">
    <cfRule type="expression" dxfId="1348" priority="1370">
      <formula>IF(L12=AS12,1,0)</formula>
    </cfRule>
  </conditionalFormatting>
  <conditionalFormatting sqref="F12 F14">
    <cfRule type="cellIs" dxfId="1347" priority="1367" operator="equal">
      <formula>"3-001-2214"</formula>
    </cfRule>
    <cfRule type="cellIs" dxfId="1346" priority="1368" operator="equal">
      <formula>"3-001-5204"</formula>
    </cfRule>
    <cfRule type="cellIs" dxfId="1345" priority="1369" operator="equal">
      <formula>"3-001-0002"</formula>
    </cfRule>
  </conditionalFormatting>
  <conditionalFormatting sqref="AS16:AS17">
    <cfRule type="expression" dxfId="1344" priority="1366">
      <formula>IF(L16=AS16,1,0)</formula>
    </cfRule>
  </conditionalFormatting>
  <conditionalFormatting sqref="F29">
    <cfRule type="cellIs" dxfId="1343" priority="1359" operator="equal">
      <formula>"3-001-2214"</formula>
    </cfRule>
    <cfRule type="cellIs" dxfId="1342" priority="1360" operator="equal">
      <formula>"3-001-5204"</formula>
    </cfRule>
    <cfRule type="cellIs" dxfId="1341" priority="1361" operator="equal">
      <formula>"3-001-0002"</formula>
    </cfRule>
  </conditionalFormatting>
  <conditionalFormatting sqref="AS29">
    <cfRule type="expression" dxfId="1340" priority="1362">
      <formula>IF(L29=AS29,1,0)</formula>
    </cfRule>
  </conditionalFormatting>
  <conditionalFormatting sqref="F34">
    <cfRule type="cellIs" dxfId="1339" priority="1347" operator="equal">
      <formula>"3-001-2214"</formula>
    </cfRule>
    <cfRule type="cellIs" dxfId="1338" priority="1348" operator="equal">
      <formula>"3-001-5204"</formula>
    </cfRule>
    <cfRule type="cellIs" dxfId="1337" priority="1349" operator="equal">
      <formula>"3-001-0002"</formula>
    </cfRule>
  </conditionalFormatting>
  <conditionalFormatting sqref="AS35">
    <cfRule type="expression" dxfId="1336" priority="1346">
      <formula>IF(L35=AS35,1,0)</formula>
    </cfRule>
  </conditionalFormatting>
  <conditionalFormatting sqref="F35">
    <cfRule type="cellIs" dxfId="1335" priority="1343" operator="equal">
      <formula>"3-001-2214"</formula>
    </cfRule>
    <cfRule type="cellIs" dxfId="1334" priority="1344" operator="equal">
      <formula>"3-001-5204"</formula>
    </cfRule>
    <cfRule type="cellIs" dxfId="1333" priority="1345" operator="equal">
      <formula>"3-001-0002"</formula>
    </cfRule>
  </conditionalFormatting>
  <conditionalFormatting sqref="AS31">
    <cfRule type="expression" dxfId="1332" priority="1342">
      <formula>IF(L31=AS31,1,0)</formula>
    </cfRule>
  </conditionalFormatting>
  <conditionalFormatting sqref="AS33">
    <cfRule type="expression" dxfId="1331" priority="1341">
      <formula>IF(L33=AS33,1,0)</formula>
    </cfRule>
  </conditionalFormatting>
  <conditionalFormatting sqref="AS42:AS43">
    <cfRule type="expression" dxfId="1330" priority="1340">
      <formula>IF(L42=AS42,1,0)</formula>
    </cfRule>
  </conditionalFormatting>
  <conditionalFormatting sqref="F42:F43 F45">
    <cfRule type="cellIs" dxfId="1329" priority="1337" operator="equal">
      <formula>"3-001-2214"</formula>
    </cfRule>
    <cfRule type="cellIs" dxfId="1328" priority="1338" operator="equal">
      <formula>"3-001-5204"</formula>
    </cfRule>
    <cfRule type="cellIs" dxfId="1327" priority="1339" operator="equal">
      <formula>"3-001-0002"</formula>
    </cfRule>
  </conditionalFormatting>
  <conditionalFormatting sqref="AS41">
    <cfRule type="expression" dxfId="1326" priority="1336">
      <formula>IF(L41=AS41,1,0)</formula>
    </cfRule>
  </conditionalFormatting>
  <conditionalFormatting sqref="F41">
    <cfRule type="cellIs" dxfId="1325" priority="1333" operator="equal">
      <formula>"3-001-2214"</formula>
    </cfRule>
    <cfRule type="cellIs" dxfId="1324" priority="1334" operator="equal">
      <formula>"3-001-5204"</formula>
    </cfRule>
    <cfRule type="cellIs" dxfId="1323" priority="1335" operator="equal">
      <formula>"3-001-0002"</formula>
    </cfRule>
  </conditionalFormatting>
  <conditionalFormatting sqref="AS40">
    <cfRule type="expression" dxfId="1322" priority="1332">
      <formula>IF(L40=AS40,1,0)</formula>
    </cfRule>
  </conditionalFormatting>
  <conditionalFormatting sqref="F40">
    <cfRule type="cellIs" dxfId="1321" priority="1329" operator="equal">
      <formula>"3-001-2214"</formula>
    </cfRule>
    <cfRule type="cellIs" dxfId="1320" priority="1330" operator="equal">
      <formula>"3-001-5204"</formula>
    </cfRule>
    <cfRule type="cellIs" dxfId="1319" priority="1331" operator="equal">
      <formula>"3-001-0002"</formula>
    </cfRule>
  </conditionalFormatting>
  <conditionalFormatting sqref="AS46">
    <cfRule type="expression" dxfId="1318" priority="1328">
      <formula>IF(L46=AS46,1,0)</formula>
    </cfRule>
  </conditionalFormatting>
  <conditionalFormatting sqref="F46">
    <cfRule type="cellIs" dxfId="1317" priority="1325" operator="equal">
      <formula>"3-001-2214"</formula>
    </cfRule>
    <cfRule type="cellIs" dxfId="1316" priority="1326" operator="equal">
      <formula>"3-001-5204"</formula>
    </cfRule>
    <cfRule type="cellIs" dxfId="1315" priority="1327" operator="equal">
      <formula>"3-001-0002"</formula>
    </cfRule>
  </conditionalFormatting>
  <conditionalFormatting sqref="AS49">
    <cfRule type="expression" dxfId="1314" priority="1324">
      <formula>IF(L49=AS49,1,0)</formula>
    </cfRule>
  </conditionalFormatting>
  <conditionalFormatting sqref="F49">
    <cfRule type="cellIs" dxfId="1313" priority="1321" operator="equal">
      <formula>"3-001-2214"</formula>
    </cfRule>
    <cfRule type="cellIs" dxfId="1312" priority="1322" operator="equal">
      <formula>"3-001-5204"</formula>
    </cfRule>
    <cfRule type="cellIs" dxfId="1311" priority="1323" operator="equal">
      <formula>"3-001-0002"</formula>
    </cfRule>
  </conditionalFormatting>
  <conditionalFormatting sqref="AS56:AS57">
    <cfRule type="expression" dxfId="1310" priority="1320">
      <formula>IF(L56=AS56,1,0)</formula>
    </cfRule>
  </conditionalFormatting>
  <conditionalFormatting sqref="F56:F57">
    <cfRule type="cellIs" dxfId="1309" priority="1317" operator="equal">
      <formula>"3-001-2214"</formula>
    </cfRule>
    <cfRule type="cellIs" dxfId="1308" priority="1318" operator="equal">
      <formula>"3-001-5204"</formula>
    </cfRule>
    <cfRule type="cellIs" dxfId="1307" priority="1319" operator="equal">
      <formula>"3-001-0002"</formula>
    </cfRule>
  </conditionalFormatting>
  <conditionalFormatting sqref="AS66">
    <cfRule type="expression" dxfId="1306" priority="1316">
      <formula>IF(L66=AS66,1,0)</formula>
    </cfRule>
  </conditionalFormatting>
  <conditionalFormatting sqref="F66">
    <cfRule type="cellIs" dxfId="1305" priority="1313" operator="equal">
      <formula>"3-001-2214"</formula>
    </cfRule>
    <cfRule type="cellIs" dxfId="1304" priority="1314" operator="equal">
      <formula>"3-001-5204"</formula>
    </cfRule>
    <cfRule type="cellIs" dxfId="1303" priority="1315" operator="equal">
      <formula>"3-001-0002"</formula>
    </cfRule>
  </conditionalFormatting>
  <conditionalFormatting sqref="AS59">
    <cfRule type="expression" dxfId="1302" priority="1312">
      <formula>IF(L59=AS59,1,0)</formula>
    </cfRule>
  </conditionalFormatting>
  <conditionalFormatting sqref="F59">
    <cfRule type="cellIs" dxfId="1301" priority="1309" operator="equal">
      <formula>"3-001-2214"</formula>
    </cfRule>
    <cfRule type="cellIs" dxfId="1300" priority="1310" operator="equal">
      <formula>"3-001-5204"</formula>
    </cfRule>
    <cfRule type="cellIs" dxfId="1299" priority="1311" operator="equal">
      <formula>"3-001-0002"</formula>
    </cfRule>
  </conditionalFormatting>
  <conditionalFormatting sqref="AS282">
    <cfRule type="expression" dxfId="1298" priority="1308">
      <formula>IF(L282=AS282,1,0)</formula>
    </cfRule>
  </conditionalFormatting>
  <conditionalFormatting sqref="F282">
    <cfRule type="cellIs" dxfId="1297" priority="1305" operator="equal">
      <formula>"3-001-2214"</formula>
    </cfRule>
    <cfRule type="cellIs" dxfId="1296" priority="1306" operator="equal">
      <formula>"3-001-5204"</formula>
    </cfRule>
    <cfRule type="cellIs" dxfId="1295" priority="1307" operator="equal">
      <formula>"3-001-0002"</formula>
    </cfRule>
  </conditionalFormatting>
  <conditionalFormatting sqref="AS52">
    <cfRule type="expression" dxfId="1294" priority="1304">
      <formula>IF(L52=AS52,1,0)</formula>
    </cfRule>
  </conditionalFormatting>
  <conditionalFormatting sqref="F52">
    <cfRule type="cellIs" dxfId="1293" priority="1301" operator="equal">
      <formula>"3-001-2214"</formula>
    </cfRule>
    <cfRule type="cellIs" dxfId="1292" priority="1302" operator="equal">
      <formula>"3-001-5204"</formula>
    </cfRule>
    <cfRule type="cellIs" dxfId="1291" priority="1303" operator="equal">
      <formula>"3-001-0002"</formula>
    </cfRule>
  </conditionalFormatting>
  <conditionalFormatting sqref="F71">
    <cfRule type="cellIs" dxfId="1290" priority="1289" operator="equal">
      <formula>"3-001-2214"</formula>
    </cfRule>
    <cfRule type="cellIs" dxfId="1289" priority="1290" operator="equal">
      <formula>"3-001-5204"</formula>
    </cfRule>
    <cfRule type="cellIs" dxfId="1288" priority="1291" operator="equal">
      <formula>"3-001-0002"</formula>
    </cfRule>
  </conditionalFormatting>
  <conditionalFormatting sqref="AS53">
    <cfRule type="expression" dxfId="1287" priority="1300">
      <formula>IF(L53=AS53,1,0)</formula>
    </cfRule>
  </conditionalFormatting>
  <conditionalFormatting sqref="F53">
    <cfRule type="cellIs" dxfId="1286" priority="1297" operator="equal">
      <formula>"3-001-2214"</formula>
    </cfRule>
    <cfRule type="cellIs" dxfId="1285" priority="1298" operator="equal">
      <formula>"3-001-5204"</formula>
    </cfRule>
    <cfRule type="cellIs" dxfId="1284" priority="1299" operator="equal">
      <formula>"3-001-0002"</formula>
    </cfRule>
  </conditionalFormatting>
  <conditionalFormatting sqref="AS73">
    <cfRule type="expression" dxfId="1283" priority="1296">
      <formula>IF(L73=AS73,1,0)</formula>
    </cfRule>
  </conditionalFormatting>
  <conditionalFormatting sqref="F73">
    <cfRule type="cellIs" dxfId="1282" priority="1293" operator="equal">
      <formula>"3-001-2214"</formula>
    </cfRule>
    <cfRule type="cellIs" dxfId="1281" priority="1294" operator="equal">
      <formula>"3-001-5204"</formula>
    </cfRule>
    <cfRule type="cellIs" dxfId="1280" priority="1295" operator="equal">
      <formula>"3-001-0002"</formula>
    </cfRule>
  </conditionalFormatting>
  <conditionalFormatting sqref="AS71">
    <cfRule type="expression" dxfId="1279" priority="1292">
      <formula>IF(L71=AS71,1,0)</formula>
    </cfRule>
  </conditionalFormatting>
  <conditionalFormatting sqref="F72">
    <cfRule type="cellIs" dxfId="1278" priority="1285" operator="equal">
      <formula>"3-001-2214"</formula>
    </cfRule>
    <cfRule type="cellIs" dxfId="1277" priority="1286" operator="equal">
      <formula>"3-001-5204"</formula>
    </cfRule>
    <cfRule type="cellIs" dxfId="1276" priority="1287" operator="equal">
      <formula>"3-001-0002"</formula>
    </cfRule>
  </conditionalFormatting>
  <conditionalFormatting sqref="AS72">
    <cfRule type="expression" dxfId="1275" priority="1288">
      <formula>IF(L72=AS72,1,0)</formula>
    </cfRule>
  </conditionalFormatting>
  <conditionalFormatting sqref="F74">
    <cfRule type="cellIs" dxfId="1274" priority="1257" operator="equal">
      <formula>"3-001-2214"</formula>
    </cfRule>
    <cfRule type="cellIs" dxfId="1273" priority="1258" operator="equal">
      <formula>"3-001-5204"</formula>
    </cfRule>
    <cfRule type="cellIs" dxfId="1272" priority="1259" operator="equal">
      <formula>"3-001-0002"</formula>
    </cfRule>
  </conditionalFormatting>
  <conditionalFormatting sqref="F88">
    <cfRule type="cellIs" dxfId="1271" priority="1253" operator="equal">
      <formula>"3-001-2214"</formula>
    </cfRule>
    <cfRule type="cellIs" dxfId="1270" priority="1254" operator="equal">
      <formula>"3-001-5204"</formula>
    </cfRule>
    <cfRule type="cellIs" dxfId="1269" priority="1255" operator="equal">
      <formula>"3-001-0002"</formula>
    </cfRule>
  </conditionalFormatting>
  <conditionalFormatting sqref="AS74">
    <cfRule type="expression" dxfId="1268" priority="1260">
      <formula>IF(L74=AS74,1,0)</formula>
    </cfRule>
  </conditionalFormatting>
  <conditionalFormatting sqref="F285">
    <cfRule type="cellIs" dxfId="1267" priority="1245" operator="equal">
      <formula>"3-001-2214"</formula>
    </cfRule>
    <cfRule type="cellIs" dxfId="1266" priority="1246" operator="equal">
      <formula>"3-001-5204"</formula>
    </cfRule>
    <cfRule type="cellIs" dxfId="1265" priority="1247" operator="equal">
      <formula>"3-001-0002"</formula>
    </cfRule>
  </conditionalFormatting>
  <conditionalFormatting sqref="AS88">
    <cfRule type="expression" dxfId="1264" priority="1256">
      <formula>IF(L88=AS88,1,0)</formula>
    </cfRule>
  </conditionalFormatting>
  <conditionalFormatting sqref="F286">
    <cfRule type="cellIs" dxfId="1263" priority="1249" operator="equal">
      <formula>"3-001-2214"</formula>
    </cfRule>
    <cfRule type="cellIs" dxfId="1262" priority="1250" operator="equal">
      <formula>"3-001-5204"</formula>
    </cfRule>
    <cfRule type="cellIs" dxfId="1261" priority="1251" operator="equal">
      <formula>"3-001-0002"</formula>
    </cfRule>
  </conditionalFormatting>
  <conditionalFormatting sqref="F83">
    <cfRule type="cellIs" dxfId="1260" priority="1273" operator="equal">
      <formula>"3-001-2214"</formula>
    </cfRule>
    <cfRule type="cellIs" dxfId="1259" priority="1274" operator="equal">
      <formula>"3-001-5204"</formula>
    </cfRule>
    <cfRule type="cellIs" dxfId="1258" priority="1275" operator="equal">
      <formula>"3-001-0002"</formula>
    </cfRule>
  </conditionalFormatting>
  <conditionalFormatting sqref="AS286">
    <cfRule type="expression" dxfId="1257" priority="1252">
      <formula>IF(L286=AS286,1,0)</formula>
    </cfRule>
  </conditionalFormatting>
  <conditionalFormatting sqref="AS285">
    <cfRule type="expression" dxfId="1256" priority="1248">
      <formula>IF(L285=AS285,1,0)</formula>
    </cfRule>
  </conditionalFormatting>
  <conditionalFormatting sqref="F133">
    <cfRule type="cellIs" dxfId="1255" priority="1170" operator="equal">
      <formula>"3-001-2214"</formula>
    </cfRule>
    <cfRule type="cellIs" dxfId="1254" priority="1171" operator="equal">
      <formula>"3-001-5204"</formula>
    </cfRule>
    <cfRule type="cellIs" dxfId="1253" priority="1172" operator="equal">
      <formula>"3-001-0002"</formula>
    </cfRule>
  </conditionalFormatting>
  <conditionalFormatting sqref="F134:F137">
    <cfRule type="cellIs" dxfId="1252" priority="1186" operator="equal">
      <formula>"3-001-2214"</formula>
    </cfRule>
    <cfRule type="cellIs" dxfId="1251" priority="1187" operator="equal">
      <formula>"3-001-5204"</formula>
    </cfRule>
    <cfRule type="cellIs" dxfId="1250" priority="1188" operator="equal">
      <formula>"3-001-0002"</formula>
    </cfRule>
  </conditionalFormatting>
  <conditionalFormatting sqref="AS133">
    <cfRule type="expression" dxfId="1249" priority="1173">
      <formula>IF(L133=AS133,1,0)</formula>
    </cfRule>
  </conditionalFormatting>
  <conditionalFormatting sqref="AS83">
    <cfRule type="expression" dxfId="1248" priority="1276">
      <formula>IF(L83=AS83,1,0)</formula>
    </cfRule>
  </conditionalFormatting>
  <conditionalFormatting sqref="F81">
    <cfRule type="cellIs" dxfId="1247" priority="1281" operator="equal">
      <formula>"3-001-2214"</formula>
    </cfRule>
    <cfRule type="cellIs" dxfId="1246" priority="1282" operator="equal">
      <formula>"3-001-5204"</formula>
    </cfRule>
    <cfRule type="cellIs" dxfId="1245" priority="1283" operator="equal">
      <formula>"3-001-0002"</formula>
    </cfRule>
  </conditionalFormatting>
  <conditionalFormatting sqref="F76">
    <cfRule type="cellIs" dxfId="1244" priority="1265" operator="equal">
      <formula>"3-001-2214"</formula>
    </cfRule>
    <cfRule type="cellIs" dxfId="1243" priority="1266" operator="equal">
      <formula>"3-001-5204"</formula>
    </cfRule>
    <cfRule type="cellIs" dxfId="1242" priority="1267" operator="equal">
      <formula>"3-001-0002"</formula>
    </cfRule>
  </conditionalFormatting>
  <conditionalFormatting sqref="AS81">
    <cfRule type="expression" dxfId="1241" priority="1284">
      <formula>IF(L81=AS81,1,0)</formula>
    </cfRule>
  </conditionalFormatting>
  <conditionalFormatting sqref="F79">
    <cfRule type="cellIs" dxfId="1240" priority="1277" operator="equal">
      <formula>"3-001-2214"</formula>
    </cfRule>
    <cfRule type="cellIs" dxfId="1239" priority="1278" operator="equal">
      <formula>"3-001-5204"</formula>
    </cfRule>
    <cfRule type="cellIs" dxfId="1238" priority="1279" operator="equal">
      <formula>"3-001-0002"</formula>
    </cfRule>
  </conditionalFormatting>
  <conditionalFormatting sqref="F126">
    <cfRule type="cellIs" dxfId="1237" priority="1189" operator="equal">
      <formula>"3-001-2214"</formula>
    </cfRule>
    <cfRule type="cellIs" dxfId="1236" priority="1190" operator="equal">
      <formula>"3-001-5204"</formula>
    </cfRule>
    <cfRule type="cellIs" dxfId="1235" priority="1191" operator="equal">
      <formula>"3-001-0002"</formula>
    </cfRule>
  </conditionalFormatting>
  <conditionalFormatting sqref="AS79">
    <cfRule type="expression" dxfId="1234" priority="1280">
      <formula>IF(L79=AS79,1,0)</formula>
    </cfRule>
  </conditionalFormatting>
  <conditionalFormatting sqref="AS76">
    <cfRule type="expression" dxfId="1233" priority="1268">
      <formula>IF(L76=AS76,1,0)</formula>
    </cfRule>
  </conditionalFormatting>
  <conditionalFormatting sqref="F75">
    <cfRule type="cellIs" dxfId="1232" priority="1269" operator="equal">
      <formula>"3-001-2214"</formula>
    </cfRule>
    <cfRule type="cellIs" dxfId="1231" priority="1270" operator="equal">
      <formula>"3-001-5204"</formula>
    </cfRule>
    <cfRule type="cellIs" dxfId="1230" priority="1271" operator="equal">
      <formula>"3-001-0002"</formula>
    </cfRule>
  </conditionalFormatting>
  <conditionalFormatting sqref="AS75">
    <cfRule type="expression" dxfId="1229" priority="1272">
      <formula>IF(L75=AS75,1,0)</formula>
    </cfRule>
  </conditionalFormatting>
  <conditionalFormatting sqref="F78">
    <cfRule type="cellIs" dxfId="1228" priority="1261" operator="equal">
      <formula>"3-001-2214"</formula>
    </cfRule>
    <cfRule type="cellIs" dxfId="1227" priority="1262" operator="equal">
      <formula>"3-001-5204"</formula>
    </cfRule>
    <cfRule type="cellIs" dxfId="1226" priority="1263" operator="equal">
      <formula>"3-001-0002"</formula>
    </cfRule>
  </conditionalFormatting>
  <conditionalFormatting sqref="AS78">
    <cfRule type="expression" dxfId="1225" priority="1264">
      <formula>IF(L78=AS78,1,0)</formula>
    </cfRule>
  </conditionalFormatting>
  <conditionalFormatting sqref="AS126">
    <cfRule type="expression" dxfId="1224" priority="1192">
      <formula>IF(L126=AS126,1,0)</formula>
    </cfRule>
  </conditionalFormatting>
  <conditionalFormatting sqref="F110">
    <cfRule type="cellIs" dxfId="1223" priority="1178" operator="equal">
      <formula>"3-001-2214"</formula>
    </cfRule>
    <cfRule type="cellIs" dxfId="1222" priority="1179" operator="equal">
      <formula>"3-001-5204"</formula>
    </cfRule>
    <cfRule type="cellIs" dxfId="1221" priority="1180" operator="equal">
      <formula>"3-001-0002"</formula>
    </cfRule>
  </conditionalFormatting>
  <conditionalFormatting sqref="F95">
    <cfRule type="cellIs" dxfId="1220" priority="1182" operator="equal">
      <formula>"3-001-2214"</formula>
    </cfRule>
    <cfRule type="cellIs" dxfId="1219" priority="1183" operator="equal">
      <formula>"3-001-5204"</formula>
    </cfRule>
    <cfRule type="cellIs" dxfId="1218" priority="1184" operator="equal">
      <formula>"3-001-0002"</formula>
    </cfRule>
  </conditionalFormatting>
  <conditionalFormatting sqref="AS95">
    <cfRule type="expression" dxfId="1217" priority="1185">
      <formula>IF(L95=AS95,1,0)</formula>
    </cfRule>
  </conditionalFormatting>
  <conditionalFormatting sqref="AS110">
    <cfRule type="expression" dxfId="1216" priority="1181">
      <formula>IF(L110=AS110,1,0)</formula>
    </cfRule>
  </conditionalFormatting>
  <conditionalFormatting sqref="F125">
    <cfRule type="cellIs" dxfId="1215" priority="1174" operator="equal">
      <formula>"3-001-2214"</formula>
    </cfRule>
    <cfRule type="cellIs" dxfId="1214" priority="1175" operator="equal">
      <formula>"3-001-5204"</formula>
    </cfRule>
    <cfRule type="cellIs" dxfId="1213" priority="1176" operator="equal">
      <formula>"3-001-0002"</formula>
    </cfRule>
  </conditionalFormatting>
  <conditionalFormatting sqref="AS125">
    <cfRule type="expression" dxfId="1212" priority="1177">
      <formula>IF(L125=AS125,1,0)</formula>
    </cfRule>
  </conditionalFormatting>
  <conditionalFormatting sqref="F138">
    <cfRule type="cellIs" dxfId="1211" priority="1166" operator="equal">
      <formula>"3-001-2214"</formula>
    </cfRule>
    <cfRule type="cellIs" dxfId="1210" priority="1167" operator="equal">
      <formula>"3-001-5204"</formula>
    </cfRule>
    <cfRule type="cellIs" dxfId="1209" priority="1168" operator="equal">
      <formula>"3-001-0002"</formula>
    </cfRule>
  </conditionalFormatting>
  <conditionalFormatting sqref="AS138">
    <cfRule type="expression" dxfId="1208" priority="1169">
      <formula>IF(L138=AS138,1,0)</formula>
    </cfRule>
  </conditionalFormatting>
  <conditionalFormatting sqref="F139">
    <cfRule type="cellIs" dxfId="1207" priority="1162" operator="equal">
      <formula>"3-001-2214"</formula>
    </cfRule>
    <cfRule type="cellIs" dxfId="1206" priority="1163" operator="equal">
      <formula>"3-001-5204"</formula>
    </cfRule>
    <cfRule type="cellIs" dxfId="1205" priority="1164" operator="equal">
      <formula>"3-001-0002"</formula>
    </cfRule>
  </conditionalFormatting>
  <conditionalFormatting sqref="F105">
    <cfRule type="cellIs" dxfId="1204" priority="1237" operator="equal">
      <formula>"3-001-2214"</formula>
    </cfRule>
    <cfRule type="cellIs" dxfId="1203" priority="1238" operator="equal">
      <formula>"3-001-5204"</formula>
    </cfRule>
    <cfRule type="cellIs" dxfId="1202" priority="1239" operator="equal">
      <formula>"3-001-0002"</formula>
    </cfRule>
  </conditionalFormatting>
  <conditionalFormatting sqref="AS139">
    <cfRule type="expression" dxfId="1201" priority="1165">
      <formula>IF(L139=AS139,1,0)</formula>
    </cfRule>
  </conditionalFormatting>
  <conditionalFormatting sqref="F106">
    <cfRule type="cellIs" dxfId="1200" priority="1241" operator="equal">
      <formula>"3-001-2214"</formula>
    </cfRule>
    <cfRule type="cellIs" dxfId="1199" priority="1242" operator="equal">
      <formula>"3-001-5204"</formula>
    </cfRule>
    <cfRule type="cellIs" dxfId="1198" priority="1243" operator="equal">
      <formula>"3-001-0002"</formula>
    </cfRule>
  </conditionalFormatting>
  <conditionalFormatting sqref="AS106">
    <cfRule type="expression" dxfId="1197" priority="1244">
      <formula>IF(L106=AS106,1,0)</formula>
    </cfRule>
  </conditionalFormatting>
  <conditionalFormatting sqref="AS105">
    <cfRule type="expression" dxfId="1196" priority="1240">
      <formula>IF(L105=AS105,1,0)</formula>
    </cfRule>
  </conditionalFormatting>
  <conditionalFormatting sqref="F89">
    <cfRule type="cellIs" dxfId="1195" priority="1233" operator="equal">
      <formula>"3-001-2214"</formula>
    </cfRule>
    <cfRule type="cellIs" dxfId="1194" priority="1234" operator="equal">
      <formula>"3-001-5204"</formula>
    </cfRule>
    <cfRule type="cellIs" dxfId="1193" priority="1235" operator="equal">
      <formula>"3-001-0002"</formula>
    </cfRule>
  </conditionalFormatting>
  <conditionalFormatting sqref="AS89">
    <cfRule type="expression" dxfId="1192" priority="1236">
      <formula>IF(L89=AS89,1,0)</formula>
    </cfRule>
  </conditionalFormatting>
  <conditionalFormatting sqref="F104">
    <cfRule type="cellIs" dxfId="1191" priority="1229" operator="equal">
      <formula>"3-001-2214"</formula>
    </cfRule>
    <cfRule type="cellIs" dxfId="1190" priority="1230" operator="equal">
      <formula>"3-001-5204"</formula>
    </cfRule>
    <cfRule type="cellIs" dxfId="1189" priority="1231" operator="equal">
      <formula>"3-001-0002"</formula>
    </cfRule>
  </conditionalFormatting>
  <conditionalFormatting sqref="AS104">
    <cfRule type="expression" dxfId="1188" priority="1232">
      <formula>IF(L104=AS104,1,0)</formula>
    </cfRule>
  </conditionalFormatting>
  <conditionalFormatting sqref="F102">
    <cfRule type="cellIs" dxfId="1187" priority="1221" operator="equal">
      <formula>"3-001-2214"</formula>
    </cfRule>
    <cfRule type="cellIs" dxfId="1186" priority="1222" operator="equal">
      <formula>"3-001-5204"</formula>
    </cfRule>
    <cfRule type="cellIs" dxfId="1185" priority="1223" operator="equal">
      <formula>"3-001-0002"</formula>
    </cfRule>
  </conditionalFormatting>
  <conditionalFormatting sqref="F103">
    <cfRule type="cellIs" dxfId="1184" priority="1225" operator="equal">
      <formula>"3-001-2214"</formula>
    </cfRule>
    <cfRule type="cellIs" dxfId="1183" priority="1226" operator="equal">
      <formula>"3-001-5204"</formula>
    </cfRule>
    <cfRule type="cellIs" dxfId="1182" priority="1227" operator="equal">
      <formula>"3-001-0002"</formula>
    </cfRule>
  </conditionalFormatting>
  <conditionalFormatting sqref="F96">
    <cfRule type="cellIs" dxfId="1181" priority="1205" operator="equal">
      <formula>"3-001-2214"</formula>
    </cfRule>
    <cfRule type="cellIs" dxfId="1180" priority="1206" operator="equal">
      <formula>"3-001-5204"</formula>
    </cfRule>
    <cfRule type="cellIs" dxfId="1179" priority="1207" operator="equal">
      <formula>"3-001-0002"</formula>
    </cfRule>
  </conditionalFormatting>
  <conditionalFormatting sqref="AS103">
    <cfRule type="expression" dxfId="1178" priority="1228">
      <formula>IF(L103=AS103,1,0)</formula>
    </cfRule>
  </conditionalFormatting>
  <conditionalFormatting sqref="AS102">
    <cfRule type="expression" dxfId="1177" priority="1224">
      <formula>IF(L102=AS102,1,0)</formula>
    </cfRule>
  </conditionalFormatting>
  <conditionalFormatting sqref="F101">
    <cfRule type="cellIs" dxfId="1176" priority="1217" operator="equal">
      <formula>"3-001-2214"</formula>
    </cfRule>
    <cfRule type="cellIs" dxfId="1175" priority="1218" operator="equal">
      <formula>"3-001-5204"</formula>
    </cfRule>
    <cfRule type="cellIs" dxfId="1174" priority="1219" operator="equal">
      <formula>"3-001-0002"</formula>
    </cfRule>
  </conditionalFormatting>
  <conditionalFormatting sqref="F100">
    <cfRule type="cellIs" dxfId="1173" priority="1213" operator="equal">
      <formula>"3-001-2214"</formula>
    </cfRule>
    <cfRule type="cellIs" dxfId="1172" priority="1214" operator="equal">
      <formula>"3-001-5204"</formula>
    </cfRule>
    <cfRule type="cellIs" dxfId="1171" priority="1215" operator="equal">
      <formula>"3-001-0002"</formula>
    </cfRule>
  </conditionalFormatting>
  <conditionalFormatting sqref="AS101">
    <cfRule type="expression" dxfId="1170" priority="1220">
      <formula>IF(L101=AS101,1,0)</formula>
    </cfRule>
  </conditionalFormatting>
  <conditionalFormatting sqref="AS100">
    <cfRule type="expression" dxfId="1169" priority="1216">
      <formula>IF(L100=AS100,1,0)</formula>
    </cfRule>
  </conditionalFormatting>
  <conditionalFormatting sqref="F97">
    <cfRule type="cellIs" dxfId="1168" priority="1209" operator="equal">
      <formula>"3-001-2214"</formula>
    </cfRule>
    <cfRule type="cellIs" dxfId="1167" priority="1210" operator="equal">
      <formula>"3-001-5204"</formula>
    </cfRule>
    <cfRule type="cellIs" dxfId="1166" priority="1211" operator="equal">
      <formula>"3-001-0002"</formula>
    </cfRule>
  </conditionalFormatting>
  <conditionalFormatting sqref="AS97">
    <cfRule type="expression" dxfId="1165" priority="1212">
      <formula>IF(L97=AS97,1,0)</formula>
    </cfRule>
  </conditionalFormatting>
  <conditionalFormatting sqref="AS96">
    <cfRule type="expression" dxfId="1164" priority="1208">
      <formula>IF(L96=AS96,1,0)</formula>
    </cfRule>
  </conditionalFormatting>
  <conditionalFormatting sqref="F111:F112 F124 F118:F121">
    <cfRule type="cellIs" dxfId="1163" priority="1201" operator="equal">
      <formula>"3-001-2214"</formula>
    </cfRule>
    <cfRule type="cellIs" dxfId="1162" priority="1202" operator="equal">
      <formula>"3-001-5204"</formula>
    </cfRule>
    <cfRule type="cellIs" dxfId="1161" priority="1203" operator="equal">
      <formula>"3-001-0002"</formula>
    </cfRule>
  </conditionalFormatting>
  <conditionalFormatting sqref="AS111:AS112 AS118:AS121">
    <cfRule type="expression" dxfId="1160" priority="1204">
      <formula>IF(L111=AS111,1,0)</formula>
    </cfRule>
  </conditionalFormatting>
  <conditionalFormatting sqref="F132">
    <cfRule type="cellIs" dxfId="1159" priority="1197" operator="equal">
      <formula>"3-001-2214"</formula>
    </cfRule>
    <cfRule type="cellIs" dxfId="1158" priority="1198" operator="equal">
      <formula>"3-001-5204"</formula>
    </cfRule>
    <cfRule type="cellIs" dxfId="1157" priority="1199" operator="equal">
      <formula>"3-001-0002"</formula>
    </cfRule>
  </conditionalFormatting>
  <conditionalFormatting sqref="AS132">
    <cfRule type="expression" dxfId="1156" priority="1200">
      <formula>IF(L132=AS132,1,0)</formula>
    </cfRule>
  </conditionalFormatting>
  <conditionalFormatting sqref="F127:F131">
    <cfRule type="cellIs" dxfId="1155" priority="1193" operator="equal">
      <formula>"3-001-2214"</formula>
    </cfRule>
    <cfRule type="cellIs" dxfId="1154" priority="1194" operator="equal">
      <formula>"3-001-5204"</formula>
    </cfRule>
    <cfRule type="cellIs" dxfId="1153" priority="1195" operator="equal">
      <formula>"3-001-0002"</formula>
    </cfRule>
  </conditionalFormatting>
  <conditionalFormatting sqref="AS127:AS131">
    <cfRule type="expression" dxfId="1152" priority="1196">
      <formula>IF(L127=AS127,1,0)</formula>
    </cfRule>
  </conditionalFormatting>
  <conditionalFormatting sqref="F173">
    <cfRule type="cellIs" dxfId="1151" priority="1154" operator="equal">
      <formula>"3-001-2214"</formula>
    </cfRule>
    <cfRule type="cellIs" dxfId="1150" priority="1155" operator="equal">
      <formula>"3-001-5204"</formula>
    </cfRule>
    <cfRule type="cellIs" dxfId="1149" priority="1156" operator="equal">
      <formula>"3-001-0002"</formula>
    </cfRule>
  </conditionalFormatting>
  <conditionalFormatting sqref="F174">
    <cfRule type="cellIs" dxfId="1148" priority="1158" operator="equal">
      <formula>"3-001-2214"</formula>
    </cfRule>
    <cfRule type="cellIs" dxfId="1147" priority="1159" operator="equal">
      <formula>"3-001-5204"</formula>
    </cfRule>
    <cfRule type="cellIs" dxfId="1146" priority="1160" operator="equal">
      <formula>"3-001-0002"</formula>
    </cfRule>
  </conditionalFormatting>
  <conditionalFormatting sqref="AS174">
    <cfRule type="expression" dxfId="1145" priority="1161">
      <formula>IF(L174=AS174,1,0)</formula>
    </cfRule>
  </conditionalFormatting>
  <conditionalFormatting sqref="AS173">
    <cfRule type="expression" dxfId="1144" priority="1157">
      <formula>IF(L173=AS173,1,0)</formula>
    </cfRule>
  </conditionalFormatting>
  <conditionalFormatting sqref="F140">
    <cfRule type="cellIs" dxfId="1143" priority="1150" operator="equal">
      <formula>"3-001-2214"</formula>
    </cfRule>
    <cfRule type="cellIs" dxfId="1142" priority="1151" operator="equal">
      <formula>"3-001-5204"</formula>
    </cfRule>
    <cfRule type="cellIs" dxfId="1141" priority="1152" operator="equal">
      <formula>"3-001-0002"</formula>
    </cfRule>
  </conditionalFormatting>
  <conditionalFormatting sqref="AS140">
    <cfRule type="expression" dxfId="1140" priority="1153">
      <formula>IF(L140=AS140,1,0)</formula>
    </cfRule>
  </conditionalFormatting>
  <conditionalFormatting sqref="F172">
    <cfRule type="cellIs" dxfId="1139" priority="1146" operator="equal">
      <formula>"3-001-2214"</formula>
    </cfRule>
    <cfRule type="cellIs" dxfId="1138" priority="1147" operator="equal">
      <formula>"3-001-5204"</formula>
    </cfRule>
    <cfRule type="cellIs" dxfId="1137" priority="1148" operator="equal">
      <formula>"3-001-0002"</formula>
    </cfRule>
  </conditionalFormatting>
  <conditionalFormatting sqref="AS172">
    <cfRule type="expression" dxfId="1136" priority="1149">
      <formula>IF(L172=AS172,1,0)</formula>
    </cfRule>
  </conditionalFormatting>
  <conditionalFormatting sqref="F154">
    <cfRule type="cellIs" dxfId="1135" priority="1138" operator="equal">
      <formula>"3-001-2214"</formula>
    </cfRule>
    <cfRule type="cellIs" dxfId="1134" priority="1139" operator="equal">
      <formula>"3-001-5204"</formula>
    </cfRule>
    <cfRule type="cellIs" dxfId="1133" priority="1140" operator="equal">
      <formula>"3-001-0002"</formula>
    </cfRule>
  </conditionalFormatting>
  <conditionalFormatting sqref="F155">
    <cfRule type="cellIs" dxfId="1132" priority="1142" operator="equal">
      <formula>"3-001-2214"</formula>
    </cfRule>
    <cfRule type="cellIs" dxfId="1131" priority="1143" operator="equal">
      <formula>"3-001-5204"</formula>
    </cfRule>
    <cfRule type="cellIs" dxfId="1130" priority="1144" operator="equal">
      <formula>"3-001-0002"</formula>
    </cfRule>
  </conditionalFormatting>
  <conditionalFormatting sqref="AS155">
    <cfRule type="expression" dxfId="1129" priority="1145">
      <formula>IF(L155=AS155,1,0)</formula>
    </cfRule>
  </conditionalFormatting>
  <conditionalFormatting sqref="AS154">
    <cfRule type="expression" dxfId="1128" priority="1141">
      <formula>IF(L154=AS154,1,0)</formula>
    </cfRule>
  </conditionalFormatting>
  <conditionalFormatting sqref="F184:F185">
    <cfRule type="cellIs" dxfId="1127" priority="1135" operator="equal">
      <formula>"3-001-2214"</formula>
    </cfRule>
    <cfRule type="cellIs" dxfId="1126" priority="1136" operator="equal">
      <formula>"3-001-5204"</formula>
    </cfRule>
    <cfRule type="cellIs" dxfId="1125" priority="1137" operator="equal">
      <formula>"3-001-0002"</formula>
    </cfRule>
  </conditionalFormatting>
  <conditionalFormatting sqref="F192">
    <cfRule type="cellIs" dxfId="1124" priority="1127" operator="equal">
      <formula>"3-001-2214"</formula>
    </cfRule>
    <cfRule type="cellIs" dxfId="1123" priority="1128" operator="equal">
      <formula>"3-001-5204"</formula>
    </cfRule>
    <cfRule type="cellIs" dxfId="1122" priority="1129" operator="equal">
      <formula>"3-001-0002"</formula>
    </cfRule>
  </conditionalFormatting>
  <conditionalFormatting sqref="F193">
    <cfRule type="cellIs" dxfId="1121" priority="1131" operator="equal">
      <formula>"3-001-2214"</formula>
    </cfRule>
    <cfRule type="cellIs" dxfId="1120" priority="1132" operator="equal">
      <formula>"3-001-5204"</formula>
    </cfRule>
    <cfRule type="cellIs" dxfId="1119" priority="1133" operator="equal">
      <formula>"3-001-0002"</formula>
    </cfRule>
  </conditionalFormatting>
  <conditionalFormatting sqref="AS193">
    <cfRule type="expression" dxfId="1118" priority="1134">
      <formula>IF(L193=AS193,1,0)</formula>
    </cfRule>
  </conditionalFormatting>
  <conditionalFormatting sqref="AS192">
    <cfRule type="expression" dxfId="1117" priority="1130">
      <formula>IF(L192=AS192,1,0)</formula>
    </cfRule>
  </conditionalFormatting>
  <conditionalFormatting sqref="F203:F204">
    <cfRule type="cellIs" dxfId="1116" priority="1124" operator="equal">
      <formula>"3-001-2214"</formula>
    </cfRule>
    <cfRule type="cellIs" dxfId="1115" priority="1125" operator="equal">
      <formula>"3-001-5204"</formula>
    </cfRule>
    <cfRule type="cellIs" dxfId="1114" priority="1126" operator="equal">
      <formula>"3-001-0002"</formula>
    </cfRule>
  </conditionalFormatting>
  <conditionalFormatting sqref="F153">
    <cfRule type="cellIs" dxfId="1113" priority="1120" operator="equal">
      <formula>"3-001-2214"</formula>
    </cfRule>
    <cfRule type="cellIs" dxfId="1112" priority="1121" operator="equal">
      <formula>"3-001-5204"</formula>
    </cfRule>
    <cfRule type="cellIs" dxfId="1111" priority="1122" operator="equal">
      <formula>"3-001-0002"</formula>
    </cfRule>
  </conditionalFormatting>
  <conditionalFormatting sqref="AS153">
    <cfRule type="expression" dxfId="1110" priority="1123">
      <formula>IF(L153=AS153,1,0)</formula>
    </cfRule>
  </conditionalFormatting>
  <conditionalFormatting sqref="F183">
    <cfRule type="cellIs" dxfId="1109" priority="1116" operator="equal">
      <formula>"3-001-2214"</formula>
    </cfRule>
    <cfRule type="cellIs" dxfId="1108" priority="1117" operator="equal">
      <formula>"3-001-5204"</formula>
    </cfRule>
    <cfRule type="cellIs" dxfId="1107" priority="1118" operator="equal">
      <formula>"3-001-0002"</formula>
    </cfRule>
  </conditionalFormatting>
  <conditionalFormatting sqref="AS183">
    <cfRule type="expression" dxfId="1106" priority="1119">
      <formula>IF(L183=AS183,1,0)</formula>
    </cfRule>
  </conditionalFormatting>
  <conditionalFormatting sqref="F191">
    <cfRule type="cellIs" dxfId="1105" priority="1112" operator="equal">
      <formula>"3-001-2214"</formula>
    </cfRule>
    <cfRule type="cellIs" dxfId="1104" priority="1113" operator="equal">
      <formula>"3-001-5204"</formula>
    </cfRule>
    <cfRule type="cellIs" dxfId="1103" priority="1114" operator="equal">
      <formula>"3-001-0002"</formula>
    </cfRule>
  </conditionalFormatting>
  <conditionalFormatting sqref="AS191">
    <cfRule type="expression" dxfId="1102" priority="1115">
      <formula>IF(L191=AS191,1,0)</formula>
    </cfRule>
  </conditionalFormatting>
  <conditionalFormatting sqref="F202">
    <cfRule type="cellIs" dxfId="1101" priority="1108" operator="equal">
      <formula>"3-001-2214"</formula>
    </cfRule>
    <cfRule type="cellIs" dxfId="1100" priority="1109" operator="equal">
      <formula>"3-001-5204"</formula>
    </cfRule>
    <cfRule type="cellIs" dxfId="1099" priority="1110" operator="equal">
      <formula>"3-001-0002"</formula>
    </cfRule>
  </conditionalFormatting>
  <conditionalFormatting sqref="AS202">
    <cfRule type="expression" dxfId="1098" priority="1111">
      <formula>IF(L202=AS202,1,0)</formula>
    </cfRule>
  </conditionalFormatting>
  <conditionalFormatting sqref="F205">
    <cfRule type="cellIs" dxfId="1097" priority="1104" operator="equal">
      <formula>"3-001-2214"</formula>
    </cfRule>
    <cfRule type="cellIs" dxfId="1096" priority="1105" operator="equal">
      <formula>"3-001-5204"</formula>
    </cfRule>
    <cfRule type="cellIs" dxfId="1095" priority="1106" operator="equal">
      <formula>"3-001-0002"</formula>
    </cfRule>
  </conditionalFormatting>
  <conditionalFormatting sqref="AS205">
    <cfRule type="expression" dxfId="1094" priority="1107">
      <formula>IF(L205=AS205,1,0)</formula>
    </cfRule>
  </conditionalFormatting>
  <conditionalFormatting sqref="F122">
    <cfRule type="cellIs" dxfId="1093" priority="1100" operator="equal">
      <formula>"3-001-2214"</formula>
    </cfRule>
    <cfRule type="cellIs" dxfId="1092" priority="1101" operator="equal">
      <formula>"3-001-5204"</formula>
    </cfRule>
    <cfRule type="cellIs" dxfId="1091" priority="1102" operator="equal">
      <formula>"3-001-0002"</formula>
    </cfRule>
  </conditionalFormatting>
  <conditionalFormatting sqref="AS122">
    <cfRule type="expression" dxfId="1090" priority="1103">
      <formula>IF(L122=AS122,1,0)</formula>
    </cfRule>
  </conditionalFormatting>
  <conditionalFormatting sqref="AS206">
    <cfRule type="expression" dxfId="1089" priority="1099">
      <formula>IF(L206=AS206,1,0)</formula>
    </cfRule>
  </conditionalFormatting>
  <conditionalFormatting sqref="F206">
    <cfRule type="cellIs" dxfId="1088" priority="1096" operator="equal">
      <formula>"3-001-2214"</formula>
    </cfRule>
    <cfRule type="cellIs" dxfId="1087" priority="1097" operator="equal">
      <formula>"3-001-5204"</formula>
    </cfRule>
    <cfRule type="cellIs" dxfId="1086" priority="1098" operator="equal">
      <formula>"3-001-0002"</formula>
    </cfRule>
  </conditionalFormatting>
  <conditionalFormatting sqref="AS210">
    <cfRule type="expression" dxfId="1085" priority="1095">
      <formula>IF(L210=AS210,1,0)</formula>
    </cfRule>
  </conditionalFormatting>
  <conditionalFormatting sqref="F210">
    <cfRule type="cellIs" dxfId="1084" priority="1092" operator="equal">
      <formula>"3-001-2214"</formula>
    </cfRule>
    <cfRule type="cellIs" dxfId="1083" priority="1093" operator="equal">
      <formula>"3-001-5204"</formula>
    </cfRule>
    <cfRule type="cellIs" dxfId="1082" priority="1094" operator="equal">
      <formula>"3-001-0002"</formula>
    </cfRule>
  </conditionalFormatting>
  <conditionalFormatting sqref="AS363">
    <cfRule type="expression" dxfId="1081" priority="1091">
      <formula>IF(L363=AS363,1,0)</formula>
    </cfRule>
  </conditionalFormatting>
  <conditionalFormatting sqref="F363">
    <cfRule type="cellIs" dxfId="1080" priority="1088" operator="equal">
      <formula>"3-001-2214"</formula>
    </cfRule>
    <cfRule type="cellIs" dxfId="1079" priority="1089" operator="equal">
      <formula>"3-001-5204"</formula>
    </cfRule>
    <cfRule type="cellIs" dxfId="1078" priority="1090" operator="equal">
      <formula>"3-001-0002"</formula>
    </cfRule>
  </conditionalFormatting>
  <conditionalFormatting sqref="AS358">
    <cfRule type="expression" dxfId="1077" priority="1083">
      <formula>IF(L358=AS358,1,0)</formula>
    </cfRule>
  </conditionalFormatting>
  <conditionalFormatting sqref="F358">
    <cfRule type="cellIs" dxfId="1076" priority="1080" operator="equal">
      <formula>"3-001-2214"</formula>
    </cfRule>
    <cfRule type="cellIs" dxfId="1075" priority="1081" operator="equal">
      <formula>"3-001-5204"</formula>
    </cfRule>
    <cfRule type="cellIs" dxfId="1074" priority="1082" operator="equal">
      <formula>"3-001-0002"</formula>
    </cfRule>
  </conditionalFormatting>
  <conditionalFormatting sqref="AS405">
    <cfRule type="expression" dxfId="1073" priority="1079">
      <formula>IF(L405=AS405,1,0)</formula>
    </cfRule>
  </conditionalFormatting>
  <conditionalFormatting sqref="F405">
    <cfRule type="cellIs" dxfId="1072" priority="1076" operator="equal">
      <formula>"3-001-2214"</formula>
    </cfRule>
    <cfRule type="cellIs" dxfId="1071" priority="1077" operator="equal">
      <formula>"3-001-5204"</formula>
    </cfRule>
    <cfRule type="cellIs" dxfId="1070" priority="1078" operator="equal">
      <formula>"3-001-0002"</formula>
    </cfRule>
  </conditionalFormatting>
  <conditionalFormatting sqref="AS370">
    <cfRule type="expression" dxfId="1069" priority="1087">
      <formula>IF(L370=AS370,1,0)</formula>
    </cfRule>
  </conditionalFormatting>
  <conditionalFormatting sqref="F370">
    <cfRule type="cellIs" dxfId="1068" priority="1084" operator="equal">
      <formula>"3-001-2214"</formula>
    </cfRule>
    <cfRule type="cellIs" dxfId="1067" priority="1085" operator="equal">
      <formula>"3-001-5204"</formula>
    </cfRule>
    <cfRule type="cellIs" dxfId="1066" priority="1086" operator="equal">
      <formula>"3-001-0002"</formula>
    </cfRule>
  </conditionalFormatting>
  <conditionalFormatting sqref="AS211">
    <cfRule type="expression" dxfId="1065" priority="1075">
      <formula>IF(L211=AS211,1,0)</formula>
    </cfRule>
  </conditionalFormatting>
  <conditionalFormatting sqref="F211">
    <cfRule type="cellIs" dxfId="1064" priority="1072" operator="equal">
      <formula>"3-001-2214"</formula>
    </cfRule>
    <cfRule type="cellIs" dxfId="1063" priority="1073" operator="equal">
      <formula>"3-001-5204"</formula>
    </cfRule>
    <cfRule type="cellIs" dxfId="1062" priority="1074" operator="equal">
      <formula>"3-001-0002"</formula>
    </cfRule>
  </conditionalFormatting>
  <conditionalFormatting sqref="F410">
    <cfRule type="cellIs" dxfId="1061" priority="1064" operator="equal">
      <formula>"3-001-2214"</formula>
    </cfRule>
    <cfRule type="cellIs" dxfId="1060" priority="1065" operator="equal">
      <formula>"3-001-5204"</formula>
    </cfRule>
    <cfRule type="cellIs" dxfId="1059" priority="1066" operator="equal">
      <formula>"3-001-0002"</formula>
    </cfRule>
  </conditionalFormatting>
  <conditionalFormatting sqref="AS409">
    <cfRule type="expression" dxfId="1058" priority="1071">
      <formula>IF(L409=AS409,1,0)</formula>
    </cfRule>
  </conditionalFormatting>
  <conditionalFormatting sqref="F409">
    <cfRule type="cellIs" dxfId="1057" priority="1068" operator="equal">
      <formula>"3-001-2214"</formula>
    </cfRule>
    <cfRule type="cellIs" dxfId="1056" priority="1069" operator="equal">
      <formula>"3-001-5204"</formula>
    </cfRule>
    <cfRule type="cellIs" dxfId="1055" priority="1070" operator="equal">
      <formula>"3-001-0002"</formula>
    </cfRule>
  </conditionalFormatting>
  <conditionalFormatting sqref="AS410">
    <cfRule type="expression" dxfId="1054" priority="1067">
      <formula>IF(L410=AS410,1,0)</formula>
    </cfRule>
  </conditionalFormatting>
  <conditionalFormatting sqref="F360">
    <cfRule type="cellIs" dxfId="1053" priority="1060" operator="equal">
      <formula>"3-001-2214"</formula>
    </cfRule>
    <cfRule type="cellIs" dxfId="1052" priority="1061" operator="equal">
      <formula>"3-001-5204"</formula>
    </cfRule>
    <cfRule type="cellIs" dxfId="1051" priority="1062" operator="equal">
      <formula>"3-001-0002"</formula>
    </cfRule>
  </conditionalFormatting>
  <conditionalFormatting sqref="F359">
    <cfRule type="cellIs" dxfId="1050" priority="1056" operator="equal">
      <formula>"3-001-2214"</formula>
    </cfRule>
    <cfRule type="cellIs" dxfId="1049" priority="1057" operator="equal">
      <formula>"3-001-5204"</formula>
    </cfRule>
    <cfRule type="cellIs" dxfId="1048" priority="1058" operator="equal">
      <formula>"3-001-0002"</formula>
    </cfRule>
  </conditionalFormatting>
  <conditionalFormatting sqref="AS360">
    <cfRule type="expression" dxfId="1047" priority="1063">
      <formula>IF(L360=AS360,1,0)</formula>
    </cfRule>
  </conditionalFormatting>
  <conditionalFormatting sqref="F254">
    <cfRule type="cellIs" dxfId="1046" priority="1044" operator="equal">
      <formula>"3-001-2214"</formula>
    </cfRule>
    <cfRule type="cellIs" dxfId="1045" priority="1045" operator="equal">
      <formula>"3-001-5204"</formula>
    </cfRule>
    <cfRule type="cellIs" dxfId="1044" priority="1046" operator="equal">
      <formula>"3-001-0002"</formula>
    </cfRule>
  </conditionalFormatting>
  <conditionalFormatting sqref="AS359">
    <cfRule type="expression" dxfId="1043" priority="1059">
      <formula>IF(L359=AS359,1,0)</formula>
    </cfRule>
  </conditionalFormatting>
  <conditionalFormatting sqref="AS254">
    <cfRule type="expression" dxfId="1042" priority="1047">
      <formula>IF(L254=AS254,1,0)</formula>
    </cfRule>
  </conditionalFormatting>
  <conditionalFormatting sqref="AS214">
    <cfRule type="expression" dxfId="1041" priority="1055">
      <formula>IF(L214=AS214,1,0)</formula>
    </cfRule>
  </conditionalFormatting>
  <conditionalFormatting sqref="F214">
    <cfRule type="cellIs" dxfId="1040" priority="1052" operator="equal">
      <formula>"3-001-2214"</formula>
    </cfRule>
    <cfRule type="cellIs" dxfId="1039" priority="1053" operator="equal">
      <formula>"3-001-5204"</formula>
    </cfRule>
    <cfRule type="cellIs" dxfId="1038" priority="1054" operator="equal">
      <formula>"3-001-0002"</formula>
    </cfRule>
  </conditionalFormatting>
  <conditionalFormatting sqref="AS212">
    <cfRule type="expression" dxfId="1037" priority="1051">
      <formula>IF(L212=AS212,1,0)</formula>
    </cfRule>
  </conditionalFormatting>
  <conditionalFormatting sqref="F212">
    <cfRule type="cellIs" dxfId="1036" priority="1048" operator="equal">
      <formula>"3-001-2214"</formula>
    </cfRule>
    <cfRule type="cellIs" dxfId="1035" priority="1049" operator="equal">
      <formula>"3-001-5204"</formula>
    </cfRule>
    <cfRule type="cellIs" dxfId="1034" priority="1050" operator="equal">
      <formula>"3-001-0002"</formula>
    </cfRule>
  </conditionalFormatting>
  <conditionalFormatting sqref="AS87">
    <cfRule type="expression" dxfId="1033" priority="1035">
      <formula>IF(L87=AS87,1,0)</formula>
    </cfRule>
  </conditionalFormatting>
  <conditionalFormatting sqref="F87">
    <cfRule type="cellIs" dxfId="1032" priority="1032" operator="equal">
      <formula>"3-001-2214"</formula>
    </cfRule>
    <cfRule type="cellIs" dxfId="1031" priority="1033" operator="equal">
      <formula>"3-001-5204"</formula>
    </cfRule>
    <cfRule type="cellIs" dxfId="1030" priority="1034" operator="equal">
      <formula>"3-001-0002"</formula>
    </cfRule>
  </conditionalFormatting>
  <conditionalFormatting sqref="AS255">
    <cfRule type="expression" dxfId="1029" priority="1043">
      <formula>IF(L255=AS255,1,0)</formula>
    </cfRule>
  </conditionalFormatting>
  <conditionalFormatting sqref="F255">
    <cfRule type="cellIs" dxfId="1028" priority="1040" operator="equal">
      <formula>"3-001-2214"</formula>
    </cfRule>
    <cfRule type="cellIs" dxfId="1027" priority="1041" operator="equal">
      <formula>"3-001-5204"</formula>
    </cfRule>
    <cfRule type="cellIs" dxfId="1026" priority="1042" operator="equal">
      <formula>"3-001-0002"</formula>
    </cfRule>
  </conditionalFormatting>
  <conditionalFormatting sqref="AS327">
    <cfRule type="expression" dxfId="1025" priority="1039">
      <formula>IF(L327=AS327,1,0)</formula>
    </cfRule>
  </conditionalFormatting>
  <conditionalFormatting sqref="F327">
    <cfRule type="cellIs" dxfId="1024" priority="1036" operator="equal">
      <formula>"3-001-2214"</formula>
    </cfRule>
    <cfRule type="cellIs" dxfId="1023" priority="1037" operator="equal">
      <formula>"3-001-5204"</formula>
    </cfRule>
    <cfRule type="cellIs" dxfId="1022" priority="1038" operator="equal">
      <formula>"3-001-0002"</formula>
    </cfRule>
  </conditionalFormatting>
  <conditionalFormatting sqref="F289">
    <cfRule type="cellIs" dxfId="1021" priority="1000" operator="equal">
      <formula>"3-001-2214"</formula>
    </cfRule>
    <cfRule type="cellIs" dxfId="1020" priority="1001" operator="equal">
      <formula>"3-001-5204"</formula>
    </cfRule>
    <cfRule type="cellIs" dxfId="1019" priority="1002" operator="equal">
      <formula>"3-001-0002"</formula>
    </cfRule>
  </conditionalFormatting>
  <conditionalFormatting sqref="AS289">
    <cfRule type="expression" dxfId="1018" priority="1003">
      <formula>IF(L289=AS289,1,0)</formula>
    </cfRule>
  </conditionalFormatting>
  <conditionalFormatting sqref="F77">
    <cfRule type="cellIs" dxfId="1017" priority="1028" operator="equal">
      <formula>"3-001-2214"</formula>
    </cfRule>
    <cfRule type="cellIs" dxfId="1016" priority="1029" operator="equal">
      <formula>"3-001-5204"</formula>
    </cfRule>
    <cfRule type="cellIs" dxfId="1015" priority="1030" operator="equal">
      <formula>"3-001-0002"</formula>
    </cfRule>
  </conditionalFormatting>
  <conditionalFormatting sqref="F82">
    <cfRule type="cellIs" dxfId="1014" priority="1024" operator="equal">
      <formula>"3-001-2214"</formula>
    </cfRule>
    <cfRule type="cellIs" dxfId="1013" priority="1025" operator="equal">
      <formula>"3-001-5204"</formula>
    </cfRule>
    <cfRule type="cellIs" dxfId="1012" priority="1026" operator="equal">
      <formula>"3-001-0002"</formula>
    </cfRule>
  </conditionalFormatting>
  <conditionalFormatting sqref="AS77">
    <cfRule type="expression" dxfId="1011" priority="1031">
      <formula>IF(L77=AS77,1,0)</formula>
    </cfRule>
  </conditionalFormatting>
  <conditionalFormatting sqref="AS82">
    <cfRule type="expression" dxfId="1010" priority="1027">
      <formula>IF(L82=AS82,1,0)</formula>
    </cfRule>
  </conditionalFormatting>
  <conditionalFormatting sqref="AS287">
    <cfRule type="expression" dxfId="1009" priority="1023">
      <formula>IF(L287=AS287,1,0)</formula>
    </cfRule>
  </conditionalFormatting>
  <conditionalFormatting sqref="F287">
    <cfRule type="cellIs" dxfId="1008" priority="1020" operator="equal">
      <formula>"3-001-2214"</formula>
    </cfRule>
    <cfRule type="cellIs" dxfId="1007" priority="1021" operator="equal">
      <formula>"3-001-5204"</formula>
    </cfRule>
    <cfRule type="cellIs" dxfId="1006" priority="1022" operator="equal">
      <formula>"3-001-0002"</formula>
    </cfRule>
  </conditionalFormatting>
  <conditionalFormatting sqref="F296">
    <cfRule type="cellIs" dxfId="1005" priority="992" operator="equal">
      <formula>"3-001-2214"</formula>
    </cfRule>
    <cfRule type="cellIs" dxfId="1004" priority="993" operator="equal">
      <formula>"3-001-5204"</formula>
    </cfRule>
    <cfRule type="cellIs" dxfId="1003" priority="994" operator="equal">
      <formula>"3-001-0002"</formula>
    </cfRule>
  </conditionalFormatting>
  <conditionalFormatting sqref="AS296">
    <cfRule type="expression" dxfId="1002" priority="995">
      <formula>IF(L296=AS296,1,0)</formula>
    </cfRule>
  </conditionalFormatting>
  <conditionalFormatting sqref="F293">
    <cfRule type="cellIs" dxfId="1001" priority="1016" operator="equal">
      <formula>"3-001-2214"</formula>
    </cfRule>
    <cfRule type="cellIs" dxfId="1000" priority="1017" operator="equal">
      <formula>"3-001-5204"</formula>
    </cfRule>
    <cfRule type="cellIs" dxfId="999" priority="1018" operator="equal">
      <formula>"3-001-0002"</formula>
    </cfRule>
  </conditionalFormatting>
  <conditionalFormatting sqref="F295">
    <cfRule type="cellIs" dxfId="998" priority="1012" operator="equal">
      <formula>"3-001-2214"</formula>
    </cfRule>
    <cfRule type="cellIs" dxfId="997" priority="1013" operator="equal">
      <formula>"3-001-5204"</formula>
    </cfRule>
    <cfRule type="cellIs" dxfId="996" priority="1014" operator="equal">
      <formula>"3-001-0002"</formula>
    </cfRule>
  </conditionalFormatting>
  <conditionalFormatting sqref="AS293">
    <cfRule type="expression" dxfId="995" priority="1019">
      <formula>IF(L293=AS293,1,0)</formula>
    </cfRule>
  </conditionalFormatting>
  <conditionalFormatting sqref="AS295">
    <cfRule type="expression" dxfId="994" priority="1015">
      <formula>IF(L295=AS295,1,0)</formula>
    </cfRule>
  </conditionalFormatting>
  <conditionalFormatting sqref="F288">
    <cfRule type="cellIs" dxfId="993" priority="1008" operator="equal">
      <formula>"3-001-2214"</formula>
    </cfRule>
    <cfRule type="cellIs" dxfId="992" priority="1009" operator="equal">
      <formula>"3-001-5204"</formula>
    </cfRule>
    <cfRule type="cellIs" dxfId="991" priority="1010" operator="equal">
      <formula>"3-001-0002"</formula>
    </cfRule>
  </conditionalFormatting>
  <conditionalFormatting sqref="AS288">
    <cfRule type="expression" dxfId="990" priority="1011">
      <formula>IF(L288=AS288,1,0)</formula>
    </cfRule>
  </conditionalFormatting>
  <conditionalFormatting sqref="F290">
    <cfRule type="cellIs" dxfId="989" priority="1004" operator="equal">
      <formula>"3-001-2214"</formula>
    </cfRule>
    <cfRule type="cellIs" dxfId="988" priority="1005" operator="equal">
      <formula>"3-001-5204"</formula>
    </cfRule>
    <cfRule type="cellIs" dxfId="987" priority="1006" operator="equal">
      <formula>"3-001-0002"</formula>
    </cfRule>
  </conditionalFormatting>
  <conditionalFormatting sqref="AS290">
    <cfRule type="expression" dxfId="986" priority="1007">
      <formula>IF(L290=AS290,1,0)</formula>
    </cfRule>
  </conditionalFormatting>
  <conditionalFormatting sqref="AS294">
    <cfRule type="expression" dxfId="985" priority="999">
      <formula>IF(L294=AS294,1,0)</formula>
    </cfRule>
  </conditionalFormatting>
  <conditionalFormatting sqref="F294">
    <cfRule type="cellIs" dxfId="984" priority="996" operator="equal">
      <formula>"3-001-2214"</formula>
    </cfRule>
    <cfRule type="cellIs" dxfId="983" priority="997" operator="equal">
      <formula>"3-001-5204"</formula>
    </cfRule>
    <cfRule type="cellIs" dxfId="982" priority="998" operator="equal">
      <formula>"3-001-0002"</formula>
    </cfRule>
  </conditionalFormatting>
  <conditionalFormatting sqref="F311">
    <cfRule type="cellIs" dxfId="981" priority="984" operator="equal">
      <formula>"3-001-2214"</formula>
    </cfRule>
    <cfRule type="cellIs" dxfId="980" priority="985" operator="equal">
      <formula>"3-001-5204"</formula>
    </cfRule>
    <cfRule type="cellIs" dxfId="979" priority="986" operator="equal">
      <formula>"3-001-0002"</formula>
    </cfRule>
  </conditionalFormatting>
  <conditionalFormatting sqref="AS311">
    <cfRule type="expression" dxfId="978" priority="987">
      <formula>IF(L311=AS311,1,0)</formula>
    </cfRule>
  </conditionalFormatting>
  <conditionalFormatting sqref="F307">
    <cfRule type="cellIs" dxfId="977" priority="988" operator="equal">
      <formula>"3-001-2214"</formula>
    </cfRule>
    <cfRule type="cellIs" dxfId="976" priority="989" operator="equal">
      <formula>"3-001-5204"</formula>
    </cfRule>
    <cfRule type="cellIs" dxfId="975" priority="990" operator="equal">
      <formula>"3-001-0002"</formula>
    </cfRule>
  </conditionalFormatting>
  <conditionalFormatting sqref="AS307">
    <cfRule type="expression" dxfId="974" priority="991">
      <formula>IF(L307=AS307,1,0)</formula>
    </cfRule>
  </conditionalFormatting>
  <conditionalFormatting sqref="F299">
    <cfRule type="cellIs" dxfId="973" priority="980" operator="equal">
      <formula>"3-001-2214"</formula>
    </cfRule>
    <cfRule type="cellIs" dxfId="972" priority="981" operator="equal">
      <formula>"3-001-5204"</formula>
    </cfRule>
    <cfRule type="cellIs" dxfId="971" priority="982" operator="equal">
      <formula>"3-001-0002"</formula>
    </cfRule>
  </conditionalFormatting>
  <conditionalFormatting sqref="AS299">
    <cfRule type="expression" dxfId="970" priority="983">
      <formula>IF(L299=AS299,1,0)</formula>
    </cfRule>
  </conditionalFormatting>
  <conditionalFormatting sqref="AS300">
    <cfRule type="expression" dxfId="969" priority="979">
      <formula>IF(L300=AS300,1,0)</formula>
    </cfRule>
  </conditionalFormatting>
  <conditionalFormatting sqref="F300">
    <cfRule type="cellIs" dxfId="968" priority="976" operator="equal">
      <formula>"3-001-2214"</formula>
    </cfRule>
    <cfRule type="cellIs" dxfId="967" priority="977" operator="equal">
      <formula>"3-001-5204"</formula>
    </cfRule>
    <cfRule type="cellIs" dxfId="966" priority="978" operator="equal">
      <formula>"3-001-0002"</formula>
    </cfRule>
  </conditionalFormatting>
  <conditionalFormatting sqref="AS271:AS272">
    <cfRule type="expression" dxfId="965" priority="975">
      <formula>IF(L271=AS271,1,0)</formula>
    </cfRule>
  </conditionalFormatting>
  <conditionalFormatting sqref="F271:F272">
    <cfRule type="cellIs" dxfId="964" priority="972" operator="equal">
      <formula>"3-001-2214"</formula>
    </cfRule>
    <cfRule type="cellIs" dxfId="963" priority="973" operator="equal">
      <formula>"3-001-5204"</formula>
    </cfRule>
    <cfRule type="cellIs" dxfId="962" priority="974" operator="equal">
      <formula>"3-001-0002"</formula>
    </cfRule>
  </conditionalFormatting>
  <conditionalFormatting sqref="AS270">
    <cfRule type="expression" dxfId="961" priority="971">
      <formula>IF(L270=AS270,1,0)</formula>
    </cfRule>
  </conditionalFormatting>
  <conditionalFormatting sqref="F270">
    <cfRule type="cellIs" dxfId="960" priority="968" operator="equal">
      <formula>"3-001-2214"</formula>
    </cfRule>
    <cfRule type="cellIs" dxfId="959" priority="969" operator="equal">
      <formula>"3-001-5204"</formula>
    </cfRule>
    <cfRule type="cellIs" dxfId="958" priority="970" operator="equal">
      <formula>"3-001-0002"</formula>
    </cfRule>
  </conditionalFormatting>
  <conditionalFormatting sqref="AS227">
    <cfRule type="expression" dxfId="957" priority="967">
      <formula>IF(L227=AS227,1,0)</formula>
    </cfRule>
  </conditionalFormatting>
  <conditionalFormatting sqref="F227">
    <cfRule type="cellIs" dxfId="956" priority="964" operator="equal">
      <formula>"3-001-2214"</formula>
    </cfRule>
    <cfRule type="cellIs" dxfId="955" priority="965" operator="equal">
      <formula>"3-001-5204"</formula>
    </cfRule>
    <cfRule type="cellIs" dxfId="954" priority="966" operator="equal">
      <formula>"3-001-0002"</formula>
    </cfRule>
  </conditionalFormatting>
  <conditionalFormatting sqref="AS261">
    <cfRule type="expression" dxfId="953" priority="963">
      <formula>IF(L261=AS261,1,0)</formula>
    </cfRule>
  </conditionalFormatting>
  <conditionalFormatting sqref="F261">
    <cfRule type="cellIs" dxfId="952" priority="960" operator="equal">
      <formula>"3-001-2214"</formula>
    </cfRule>
    <cfRule type="cellIs" dxfId="951" priority="961" operator="equal">
      <formula>"3-001-5204"</formula>
    </cfRule>
    <cfRule type="cellIs" dxfId="950" priority="962" operator="equal">
      <formula>"3-001-0002"</formula>
    </cfRule>
  </conditionalFormatting>
  <conditionalFormatting sqref="AS262">
    <cfRule type="expression" dxfId="949" priority="959">
      <formula>IF(L262=AS262,1,0)</formula>
    </cfRule>
  </conditionalFormatting>
  <conditionalFormatting sqref="F262">
    <cfRule type="cellIs" dxfId="948" priority="956" operator="equal">
      <formula>"3-001-2214"</formula>
    </cfRule>
    <cfRule type="cellIs" dxfId="947" priority="957" operator="equal">
      <formula>"3-001-5204"</formula>
    </cfRule>
    <cfRule type="cellIs" dxfId="946" priority="958" operator="equal">
      <formula>"3-001-0002"</formula>
    </cfRule>
  </conditionalFormatting>
  <conditionalFormatting sqref="AS264:AS266">
    <cfRule type="expression" dxfId="945" priority="955">
      <formula>IF(L264=AS264,1,0)</formula>
    </cfRule>
  </conditionalFormatting>
  <conditionalFormatting sqref="F264:F266">
    <cfRule type="cellIs" dxfId="944" priority="952" operator="equal">
      <formula>"3-001-2214"</formula>
    </cfRule>
    <cfRule type="cellIs" dxfId="943" priority="953" operator="equal">
      <formula>"3-001-5204"</formula>
    </cfRule>
    <cfRule type="cellIs" dxfId="942" priority="954" operator="equal">
      <formula>"3-001-0002"</formula>
    </cfRule>
  </conditionalFormatting>
  <conditionalFormatting sqref="AS263">
    <cfRule type="expression" dxfId="941" priority="951">
      <formula>IF(L263=AS263,1,0)</formula>
    </cfRule>
  </conditionalFormatting>
  <conditionalFormatting sqref="F263">
    <cfRule type="cellIs" dxfId="940" priority="948" operator="equal">
      <formula>"3-001-2214"</formula>
    </cfRule>
    <cfRule type="cellIs" dxfId="939" priority="949" operator="equal">
      <formula>"3-001-5204"</formula>
    </cfRule>
    <cfRule type="cellIs" dxfId="938" priority="950" operator="equal">
      <formula>"3-001-0002"</formula>
    </cfRule>
  </conditionalFormatting>
  <conditionalFormatting sqref="AS273">
    <cfRule type="expression" dxfId="937" priority="943">
      <formula>IF(L273=AS273,1,0)</formula>
    </cfRule>
  </conditionalFormatting>
  <conditionalFormatting sqref="F273">
    <cfRule type="cellIs" dxfId="936" priority="940" operator="equal">
      <formula>"3-001-2214"</formula>
    </cfRule>
    <cfRule type="cellIs" dxfId="935" priority="941" operator="equal">
      <formula>"3-001-5204"</formula>
    </cfRule>
    <cfRule type="cellIs" dxfId="934" priority="942" operator="equal">
      <formula>"3-001-0002"</formula>
    </cfRule>
  </conditionalFormatting>
  <conditionalFormatting sqref="AS267">
    <cfRule type="expression" dxfId="933" priority="947">
      <formula>IF(L267=AS267,1,0)</formula>
    </cfRule>
  </conditionalFormatting>
  <conditionalFormatting sqref="F267">
    <cfRule type="cellIs" dxfId="932" priority="944" operator="equal">
      <formula>"3-001-2214"</formula>
    </cfRule>
    <cfRule type="cellIs" dxfId="931" priority="945" operator="equal">
      <formula>"3-001-5204"</formula>
    </cfRule>
    <cfRule type="cellIs" dxfId="930" priority="946" operator="equal">
      <formula>"3-001-0002"</formula>
    </cfRule>
  </conditionalFormatting>
  <conditionalFormatting sqref="AS274">
    <cfRule type="expression" dxfId="929" priority="939">
      <formula>IF(L274=AS274,1,0)</formula>
    </cfRule>
  </conditionalFormatting>
  <conditionalFormatting sqref="F274">
    <cfRule type="cellIs" dxfId="928" priority="936" operator="equal">
      <formula>"3-001-2214"</formula>
    </cfRule>
    <cfRule type="cellIs" dxfId="927" priority="937" operator="equal">
      <formula>"3-001-5204"</formula>
    </cfRule>
    <cfRule type="cellIs" dxfId="926" priority="938" operator="equal">
      <formula>"3-001-0002"</formula>
    </cfRule>
  </conditionalFormatting>
  <conditionalFormatting sqref="F258">
    <cfRule type="cellIs" dxfId="925" priority="924" operator="equal">
      <formula>"3-001-2214"</formula>
    </cfRule>
    <cfRule type="cellIs" dxfId="924" priority="925" operator="equal">
      <formula>"3-001-5204"</formula>
    </cfRule>
    <cfRule type="cellIs" dxfId="923" priority="926" operator="equal">
      <formula>"3-001-0002"</formula>
    </cfRule>
  </conditionalFormatting>
  <conditionalFormatting sqref="AS253">
    <cfRule type="expression" dxfId="922" priority="935">
      <formula>IF(L253=AS253,1,0)</formula>
    </cfRule>
  </conditionalFormatting>
  <conditionalFormatting sqref="F253">
    <cfRule type="cellIs" dxfId="921" priority="932" operator="equal">
      <formula>"3-001-2214"</formula>
    </cfRule>
    <cfRule type="cellIs" dxfId="920" priority="933" operator="equal">
      <formula>"3-001-5204"</formula>
    </cfRule>
    <cfRule type="cellIs" dxfId="919" priority="934" operator="equal">
      <formula>"3-001-0002"</formula>
    </cfRule>
  </conditionalFormatting>
  <conditionalFormatting sqref="AS260">
    <cfRule type="expression" dxfId="918" priority="931">
      <formula>IF(L260=AS260,1,0)</formula>
    </cfRule>
  </conditionalFormatting>
  <conditionalFormatting sqref="F260">
    <cfRule type="cellIs" dxfId="917" priority="928" operator="equal">
      <formula>"3-001-2214"</formula>
    </cfRule>
    <cfRule type="cellIs" dxfId="916" priority="929" operator="equal">
      <formula>"3-001-5204"</formula>
    </cfRule>
    <cfRule type="cellIs" dxfId="915" priority="930" operator="equal">
      <formula>"3-001-0002"</formula>
    </cfRule>
  </conditionalFormatting>
  <conditionalFormatting sqref="AS258">
    <cfRule type="expression" dxfId="914" priority="927">
      <formula>IF(L258=AS258,1,0)</formula>
    </cfRule>
  </conditionalFormatting>
  <conditionalFormatting sqref="F259">
    <cfRule type="cellIs" dxfId="913" priority="920" operator="equal">
      <formula>"3-001-2214"</formula>
    </cfRule>
    <cfRule type="cellIs" dxfId="912" priority="921" operator="equal">
      <formula>"3-001-5204"</formula>
    </cfRule>
    <cfRule type="cellIs" dxfId="911" priority="922" operator="equal">
      <formula>"3-001-0002"</formula>
    </cfRule>
  </conditionalFormatting>
  <conditionalFormatting sqref="AS259">
    <cfRule type="expression" dxfId="910" priority="923">
      <formula>IF(L259=AS259,1,0)</formula>
    </cfRule>
  </conditionalFormatting>
  <conditionalFormatting sqref="AS226">
    <cfRule type="expression" dxfId="909" priority="919">
      <formula>IF(L226=AS226,1,0)</formula>
    </cfRule>
  </conditionalFormatting>
  <conditionalFormatting sqref="F226">
    <cfRule type="cellIs" dxfId="908" priority="916" operator="equal">
      <formula>"3-001-2214"</formula>
    </cfRule>
    <cfRule type="cellIs" dxfId="907" priority="917" operator="equal">
      <formula>"3-001-5204"</formula>
    </cfRule>
    <cfRule type="cellIs" dxfId="906" priority="918" operator="equal">
      <formula>"3-001-0002"</formula>
    </cfRule>
  </conditionalFormatting>
  <conditionalFormatting sqref="AS415">
    <cfRule type="expression" dxfId="905" priority="915">
      <formula>IF(L415=AS415,1,0)</formula>
    </cfRule>
  </conditionalFormatting>
  <conditionalFormatting sqref="AS268">
    <cfRule type="expression" dxfId="904" priority="914">
      <formula>IF(L268=AS268,1,0)</formula>
    </cfRule>
  </conditionalFormatting>
  <conditionalFormatting sqref="F268">
    <cfRule type="cellIs" dxfId="903" priority="911" operator="equal">
      <formula>"3-001-2214"</formula>
    </cfRule>
    <cfRule type="cellIs" dxfId="902" priority="912" operator="equal">
      <formula>"3-001-5204"</formula>
    </cfRule>
    <cfRule type="cellIs" dxfId="901" priority="913" operator="equal">
      <formula>"3-001-0002"</formula>
    </cfRule>
  </conditionalFormatting>
  <conditionalFormatting sqref="AS269">
    <cfRule type="expression" dxfId="900" priority="910">
      <formula>IF(L269=AS269,1,0)</formula>
    </cfRule>
  </conditionalFormatting>
  <conditionalFormatting sqref="F269">
    <cfRule type="cellIs" dxfId="899" priority="907" operator="equal">
      <formula>"3-001-2214"</formula>
    </cfRule>
    <cfRule type="cellIs" dxfId="898" priority="908" operator="equal">
      <formula>"3-001-5204"</formula>
    </cfRule>
    <cfRule type="cellIs" dxfId="897" priority="909" operator="equal">
      <formula>"3-001-0002"</formula>
    </cfRule>
  </conditionalFormatting>
  <conditionalFormatting sqref="AS47">
    <cfRule type="expression" dxfId="896" priority="906">
      <formula>IF(L47=AS47,1,0)</formula>
    </cfRule>
  </conditionalFormatting>
  <conditionalFormatting sqref="F47">
    <cfRule type="cellIs" dxfId="895" priority="903" operator="equal">
      <formula>"3-001-2214"</formula>
    </cfRule>
    <cfRule type="cellIs" dxfId="894" priority="904" operator="equal">
      <formula>"3-001-5204"</formula>
    </cfRule>
    <cfRule type="cellIs" dxfId="893" priority="905" operator="equal">
      <formula>"3-001-0002"</formula>
    </cfRule>
  </conditionalFormatting>
  <conditionalFormatting sqref="AS48">
    <cfRule type="expression" dxfId="892" priority="902">
      <formula>IF(L48=AS48,1,0)</formula>
    </cfRule>
  </conditionalFormatting>
  <conditionalFormatting sqref="F48">
    <cfRule type="cellIs" dxfId="891" priority="899" operator="equal">
      <formula>"3-001-2214"</formula>
    </cfRule>
    <cfRule type="cellIs" dxfId="890" priority="900" operator="equal">
      <formula>"3-001-5204"</formula>
    </cfRule>
    <cfRule type="cellIs" dxfId="889" priority="901" operator="equal">
      <formula>"3-001-0002"</formula>
    </cfRule>
  </conditionalFormatting>
  <conditionalFormatting sqref="Q416">
    <cfRule type="cellIs" dxfId="888" priority="898" operator="notEqual">
      <formula>$Q$414</formula>
    </cfRule>
  </conditionalFormatting>
  <conditionalFormatting sqref="S416">
    <cfRule type="cellIs" dxfId="887" priority="897" operator="notEqual">
      <formula>$S$414</formula>
    </cfRule>
  </conditionalFormatting>
  <conditionalFormatting sqref="F215">
    <cfRule type="cellIs" dxfId="886" priority="893" operator="equal">
      <formula>"3-001-2214"</formula>
    </cfRule>
    <cfRule type="cellIs" dxfId="885" priority="894" operator="equal">
      <formula>"3-001-5204"</formula>
    </cfRule>
    <cfRule type="cellIs" dxfId="884" priority="895" operator="equal">
      <formula>"3-001-0002"</formula>
    </cfRule>
  </conditionalFormatting>
  <conditionalFormatting sqref="F216">
    <cfRule type="cellIs" dxfId="883" priority="890" operator="equal">
      <formula>"3-001-2214"</formula>
    </cfRule>
    <cfRule type="cellIs" dxfId="882" priority="891" operator="equal">
      <formula>"3-001-5204"</formula>
    </cfRule>
    <cfRule type="cellIs" dxfId="881" priority="892" operator="equal">
      <formula>"3-001-0002"</formula>
    </cfRule>
  </conditionalFormatting>
  <conditionalFormatting sqref="F217">
    <cfRule type="cellIs" dxfId="880" priority="887" operator="equal">
      <formula>"3-001-2214"</formula>
    </cfRule>
    <cfRule type="cellIs" dxfId="879" priority="888" operator="equal">
      <formula>"3-001-5204"</formula>
    </cfRule>
    <cfRule type="cellIs" dxfId="878" priority="889" operator="equal">
      <formula>"3-001-0002"</formula>
    </cfRule>
  </conditionalFormatting>
  <conditionalFormatting sqref="F218">
    <cfRule type="cellIs" dxfId="877" priority="884" operator="equal">
      <formula>"3-001-2214"</formula>
    </cfRule>
    <cfRule type="cellIs" dxfId="876" priority="885" operator="equal">
      <formula>"3-001-5204"</formula>
    </cfRule>
    <cfRule type="cellIs" dxfId="875" priority="886" operator="equal">
      <formula>"3-001-0002"</formula>
    </cfRule>
  </conditionalFormatting>
  <conditionalFormatting sqref="F219">
    <cfRule type="cellIs" dxfId="874" priority="881" operator="equal">
      <formula>"3-001-2214"</formula>
    </cfRule>
    <cfRule type="cellIs" dxfId="873" priority="882" operator="equal">
      <formula>"3-001-5204"</formula>
    </cfRule>
    <cfRule type="cellIs" dxfId="872" priority="883" operator="equal">
      <formula>"3-001-0002"</formula>
    </cfRule>
  </conditionalFormatting>
  <conditionalFormatting sqref="F220">
    <cfRule type="cellIs" dxfId="871" priority="878" operator="equal">
      <formula>"3-001-2214"</formula>
    </cfRule>
    <cfRule type="cellIs" dxfId="870" priority="879" operator="equal">
      <formula>"3-001-5204"</formula>
    </cfRule>
    <cfRule type="cellIs" dxfId="869" priority="880" operator="equal">
      <formula>"3-001-0002"</formula>
    </cfRule>
  </conditionalFormatting>
  <conditionalFormatting sqref="AS276">
    <cfRule type="expression" dxfId="868" priority="877">
      <formula>IF(L276=AS276,1,0)</formula>
    </cfRule>
  </conditionalFormatting>
  <conditionalFormatting sqref="F276">
    <cfRule type="cellIs" dxfId="867" priority="874" operator="equal">
      <formula>"3-001-2214"</formula>
    </cfRule>
    <cfRule type="cellIs" dxfId="866" priority="875" operator="equal">
      <formula>"3-001-5204"</formula>
    </cfRule>
    <cfRule type="cellIs" dxfId="865" priority="876" operator="equal">
      <formula>"3-001-0002"</formula>
    </cfRule>
  </conditionalFormatting>
  <conditionalFormatting sqref="AS280">
    <cfRule type="expression" dxfId="864" priority="873">
      <formula>IF(L280=AS280,1,0)</formula>
    </cfRule>
  </conditionalFormatting>
  <conditionalFormatting sqref="F280">
    <cfRule type="cellIs" dxfId="863" priority="870" operator="equal">
      <formula>"3-001-2214"</formula>
    </cfRule>
    <cfRule type="cellIs" dxfId="862" priority="871" operator="equal">
      <formula>"3-001-5204"</formula>
    </cfRule>
    <cfRule type="cellIs" dxfId="861" priority="872" operator="equal">
      <formula>"3-001-0002"</formula>
    </cfRule>
  </conditionalFormatting>
  <conditionalFormatting sqref="F361">
    <cfRule type="cellIs" dxfId="860" priority="866" operator="equal">
      <formula>"3-001-2214"</formula>
    </cfRule>
    <cfRule type="cellIs" dxfId="859" priority="867" operator="equal">
      <formula>"3-001-5204"</formula>
    </cfRule>
    <cfRule type="cellIs" dxfId="858" priority="868" operator="equal">
      <formula>"3-001-0002"</formula>
    </cfRule>
  </conditionalFormatting>
  <conditionalFormatting sqref="AS361">
    <cfRule type="expression" dxfId="857" priority="869">
      <formula>IF(L361=AS361,1,0)</formula>
    </cfRule>
  </conditionalFormatting>
  <conditionalFormatting sqref="AS362">
    <cfRule type="expression" dxfId="856" priority="865">
      <formula>IF(L362=AS362,1,0)</formula>
    </cfRule>
  </conditionalFormatting>
  <conditionalFormatting sqref="F362">
    <cfRule type="cellIs" dxfId="855" priority="862" operator="equal">
      <formula>"3-001-2214"</formula>
    </cfRule>
    <cfRule type="cellIs" dxfId="854" priority="863" operator="equal">
      <formula>"3-001-5204"</formula>
    </cfRule>
    <cfRule type="cellIs" dxfId="853" priority="864" operator="equal">
      <formula>"3-001-0002"</formula>
    </cfRule>
  </conditionalFormatting>
  <conditionalFormatting sqref="X223:X224">
    <cfRule type="cellIs" dxfId="852" priority="861" operator="notEqual">
      <formula>$L$222</formula>
    </cfRule>
  </conditionalFormatting>
  <conditionalFormatting sqref="AS275">
    <cfRule type="expression" dxfId="851" priority="860">
      <formula>IF(L275=AS275,1,0)</formula>
    </cfRule>
  </conditionalFormatting>
  <conditionalFormatting sqref="F275">
    <cfRule type="cellIs" dxfId="850" priority="857" operator="equal">
      <formula>"3-001-2214"</formula>
    </cfRule>
    <cfRule type="cellIs" dxfId="849" priority="858" operator="equal">
      <formula>"3-001-5204"</formula>
    </cfRule>
    <cfRule type="cellIs" dxfId="848" priority="859" operator="equal">
      <formula>"3-001-0002"</formula>
    </cfRule>
  </conditionalFormatting>
  <conditionalFormatting sqref="AS281">
    <cfRule type="expression" dxfId="847" priority="856">
      <formula>IF(L281=AS281,1,0)</formula>
    </cfRule>
  </conditionalFormatting>
  <conditionalFormatting sqref="F281">
    <cfRule type="cellIs" dxfId="846" priority="853" operator="equal">
      <formula>"3-001-2214"</formula>
    </cfRule>
    <cfRule type="cellIs" dxfId="845" priority="854" operator="equal">
      <formula>"3-001-5204"</formula>
    </cfRule>
    <cfRule type="cellIs" dxfId="844" priority="855" operator="equal">
      <formula>"3-001-0002"</formula>
    </cfRule>
  </conditionalFormatting>
  <conditionalFormatting sqref="AS44">
    <cfRule type="expression" dxfId="843" priority="852">
      <formula>IF(L44=AS44,1,0)</formula>
    </cfRule>
  </conditionalFormatting>
  <conditionalFormatting sqref="F44">
    <cfRule type="cellIs" dxfId="842" priority="849" operator="equal">
      <formula>"3-001-2214"</formula>
    </cfRule>
    <cfRule type="cellIs" dxfId="841" priority="850" operator="equal">
      <formula>"3-001-5204"</formula>
    </cfRule>
    <cfRule type="cellIs" dxfId="840" priority="851" operator="equal">
      <formula>"3-001-0002"</formula>
    </cfRule>
  </conditionalFormatting>
  <conditionalFormatting sqref="M416">
    <cfRule type="cellIs" dxfId="839" priority="848" operator="notEqual">
      <formula>$M$414</formula>
    </cfRule>
  </conditionalFormatting>
  <conditionalFormatting sqref="F5">
    <cfRule type="cellIs" dxfId="838" priority="845" operator="equal">
      <formula>"3-001-2214"</formula>
    </cfRule>
    <cfRule type="cellIs" dxfId="837" priority="846" operator="equal">
      <formula>"3-001-5204"</formula>
    </cfRule>
    <cfRule type="cellIs" dxfId="836" priority="847" operator="equal">
      <formula>"3-001-0002"</formula>
    </cfRule>
  </conditionalFormatting>
  <conditionalFormatting sqref="Q222">
    <cfRule type="cellIs" dxfId="835" priority="844" operator="notEqual">
      <formula>$Q$221</formula>
    </cfRule>
  </conditionalFormatting>
  <conditionalFormatting sqref="S222">
    <cfRule type="cellIs" dxfId="834" priority="843" operator="notEqual">
      <formula>$S$221</formula>
    </cfRule>
  </conditionalFormatting>
  <conditionalFormatting sqref="AS371">
    <cfRule type="expression" dxfId="833" priority="842">
      <formula>IF(L371=AS371,1,0)</formula>
    </cfRule>
  </conditionalFormatting>
  <conditionalFormatting sqref="AS372">
    <cfRule type="expression" dxfId="832" priority="841">
      <formula>IF(L372=AS372,1,0)</formula>
    </cfRule>
  </conditionalFormatting>
  <conditionalFormatting sqref="F291">
    <cfRule type="cellIs" dxfId="831" priority="837" operator="equal">
      <formula>"3-001-2214"</formula>
    </cfRule>
    <cfRule type="cellIs" dxfId="830" priority="838" operator="equal">
      <formula>"3-001-5204"</formula>
    </cfRule>
    <cfRule type="cellIs" dxfId="829" priority="839" operator="equal">
      <formula>"3-001-0002"</formula>
    </cfRule>
  </conditionalFormatting>
  <conditionalFormatting sqref="AS291">
    <cfRule type="expression" dxfId="828" priority="840">
      <formula>IF(L291=AS291,1,0)</formula>
    </cfRule>
  </conditionalFormatting>
  <conditionalFormatting sqref="AS301">
    <cfRule type="expression" dxfId="827" priority="836">
      <formula>IF(L301=AS301,1,0)</formula>
    </cfRule>
  </conditionalFormatting>
  <conditionalFormatting sqref="F301">
    <cfRule type="cellIs" dxfId="826" priority="833" operator="equal">
      <formula>"3-001-2214"</formula>
    </cfRule>
    <cfRule type="cellIs" dxfId="825" priority="834" operator="equal">
      <formula>"3-001-5204"</formula>
    </cfRule>
    <cfRule type="cellIs" dxfId="824" priority="835" operator="equal">
      <formula>"3-001-0002"</formula>
    </cfRule>
  </conditionalFormatting>
  <conditionalFormatting sqref="AS302">
    <cfRule type="expression" dxfId="823" priority="832">
      <formula>IF(L302=AS302,1,0)</formula>
    </cfRule>
  </conditionalFormatting>
  <conditionalFormatting sqref="F302">
    <cfRule type="cellIs" dxfId="822" priority="829" operator="equal">
      <formula>"3-001-2214"</formula>
    </cfRule>
    <cfRule type="cellIs" dxfId="821" priority="830" operator="equal">
      <formula>"3-001-5204"</formula>
    </cfRule>
    <cfRule type="cellIs" dxfId="820" priority="831" operator="equal">
      <formula>"3-001-0002"</formula>
    </cfRule>
  </conditionalFormatting>
  <conditionalFormatting sqref="F143">
    <cfRule type="cellIs" dxfId="819" priority="825" operator="equal">
      <formula>"3-001-2214"</formula>
    </cfRule>
    <cfRule type="cellIs" dxfId="818" priority="826" operator="equal">
      <formula>"3-001-5204"</formula>
    </cfRule>
    <cfRule type="cellIs" dxfId="817" priority="827" operator="equal">
      <formula>"3-001-0002"</formula>
    </cfRule>
  </conditionalFormatting>
  <conditionalFormatting sqref="AS143">
    <cfRule type="expression" dxfId="816" priority="828">
      <formula>IF(L143=AS143,1,0)</formula>
    </cfRule>
  </conditionalFormatting>
  <conditionalFormatting sqref="F142">
    <cfRule type="cellIs" dxfId="815" priority="821" operator="equal">
      <formula>"3-001-2214"</formula>
    </cfRule>
    <cfRule type="cellIs" dxfId="814" priority="822" operator="equal">
      <formula>"3-001-5204"</formula>
    </cfRule>
    <cfRule type="cellIs" dxfId="813" priority="823" operator="equal">
      <formula>"3-001-0002"</formula>
    </cfRule>
  </conditionalFormatting>
  <conditionalFormatting sqref="AS142">
    <cfRule type="expression" dxfId="812" priority="824">
      <formula>IF(L142=AS142,1,0)</formula>
    </cfRule>
  </conditionalFormatting>
  <conditionalFormatting sqref="F141">
    <cfRule type="cellIs" dxfId="811" priority="817" operator="equal">
      <formula>"3-001-2214"</formula>
    </cfRule>
    <cfRule type="cellIs" dxfId="810" priority="818" operator="equal">
      <formula>"3-001-5204"</formula>
    </cfRule>
    <cfRule type="cellIs" dxfId="809" priority="819" operator="equal">
      <formula>"3-001-0002"</formula>
    </cfRule>
  </conditionalFormatting>
  <conditionalFormatting sqref="AS141">
    <cfRule type="expression" dxfId="808" priority="820">
      <formula>IF(L141=AS141,1,0)</formula>
    </cfRule>
  </conditionalFormatting>
  <conditionalFormatting sqref="AS13">
    <cfRule type="expression" dxfId="807" priority="816">
      <formula>IF(L13=AS13,1,0)</formula>
    </cfRule>
  </conditionalFormatting>
  <conditionalFormatting sqref="F13">
    <cfRule type="cellIs" dxfId="806" priority="813" operator="equal">
      <formula>"3-001-2214"</formula>
    </cfRule>
    <cfRule type="cellIs" dxfId="805" priority="814" operator="equal">
      <formula>"3-001-5204"</formula>
    </cfRule>
    <cfRule type="cellIs" dxfId="804" priority="815" operator="equal">
      <formula>"3-001-0002"</formula>
    </cfRule>
  </conditionalFormatting>
  <conditionalFormatting sqref="AS15">
    <cfRule type="expression" dxfId="803" priority="812">
      <formula>IF(L15=AS15,1,0)</formula>
    </cfRule>
  </conditionalFormatting>
  <conditionalFormatting sqref="F15">
    <cfRule type="cellIs" dxfId="802" priority="809" operator="equal">
      <formula>"3-001-2214"</formula>
    </cfRule>
    <cfRule type="cellIs" dxfId="801" priority="810" operator="equal">
      <formula>"3-001-5204"</formula>
    </cfRule>
    <cfRule type="cellIs" dxfId="800" priority="811" operator="equal">
      <formula>"3-001-0002"</formula>
    </cfRule>
  </conditionalFormatting>
  <conditionalFormatting sqref="AS303">
    <cfRule type="expression" dxfId="799" priority="808">
      <formula>IF(L303=AS303,1,0)</formula>
    </cfRule>
  </conditionalFormatting>
  <conditionalFormatting sqref="F303">
    <cfRule type="cellIs" dxfId="798" priority="805" operator="equal">
      <formula>"3-001-2214"</formula>
    </cfRule>
    <cfRule type="cellIs" dxfId="797" priority="806" operator="equal">
      <formula>"3-001-5204"</formula>
    </cfRule>
    <cfRule type="cellIs" dxfId="796" priority="807" operator="equal">
      <formula>"3-001-0002"</formula>
    </cfRule>
  </conditionalFormatting>
  <conditionalFormatting sqref="F90">
    <cfRule type="cellIs" dxfId="795" priority="801" operator="equal">
      <formula>"3-001-2214"</formula>
    </cfRule>
    <cfRule type="cellIs" dxfId="794" priority="802" operator="equal">
      <formula>"3-001-5204"</formula>
    </cfRule>
    <cfRule type="cellIs" dxfId="793" priority="803" operator="equal">
      <formula>"3-001-0002"</formula>
    </cfRule>
  </conditionalFormatting>
  <conditionalFormatting sqref="AS90">
    <cfRule type="expression" dxfId="792" priority="804">
      <formula>IF(L90=AS90,1,0)</formula>
    </cfRule>
  </conditionalFormatting>
  <conditionalFormatting sqref="F144">
    <cfRule type="cellIs" dxfId="791" priority="797" operator="equal">
      <formula>"3-001-2214"</formula>
    </cfRule>
    <cfRule type="cellIs" dxfId="790" priority="798" operator="equal">
      <formula>"3-001-5204"</formula>
    </cfRule>
    <cfRule type="cellIs" dxfId="789" priority="799" operator="equal">
      <formula>"3-001-0002"</formula>
    </cfRule>
  </conditionalFormatting>
  <conditionalFormatting sqref="AS144">
    <cfRule type="expression" dxfId="788" priority="800">
      <formula>IF(L144=AS144,1,0)</formula>
    </cfRule>
  </conditionalFormatting>
  <conditionalFormatting sqref="AS350">
    <cfRule type="expression" dxfId="787" priority="796">
      <formula>IF(L350=AS350,1,0)</formula>
    </cfRule>
  </conditionalFormatting>
  <conditionalFormatting sqref="F350">
    <cfRule type="cellIs" dxfId="786" priority="793" operator="equal">
      <formula>"3-001-2214"</formula>
    </cfRule>
    <cfRule type="cellIs" dxfId="785" priority="794" operator="equal">
      <formula>"3-001-5204"</formula>
    </cfRule>
    <cfRule type="cellIs" dxfId="784" priority="795" operator="equal">
      <formula>"3-001-0002"</formula>
    </cfRule>
  </conditionalFormatting>
  <conditionalFormatting sqref="F351">
    <cfRule type="cellIs" dxfId="783" priority="789" operator="equal">
      <formula>"3-001-2214"</formula>
    </cfRule>
    <cfRule type="cellIs" dxfId="782" priority="790" operator="equal">
      <formula>"3-001-5204"</formula>
    </cfRule>
    <cfRule type="cellIs" dxfId="781" priority="791" operator="equal">
      <formula>"3-001-0002"</formula>
    </cfRule>
  </conditionalFormatting>
  <conditionalFormatting sqref="AS351">
    <cfRule type="expression" dxfId="780" priority="792">
      <formula>IF(L351=AS351,1,0)</formula>
    </cfRule>
  </conditionalFormatting>
  <conditionalFormatting sqref="AS353">
    <cfRule type="expression" dxfId="779" priority="788">
      <formula>IF(L353=AS353,1,0)</formula>
    </cfRule>
  </conditionalFormatting>
  <conditionalFormatting sqref="F353">
    <cfRule type="cellIs" dxfId="778" priority="785" operator="equal">
      <formula>"3-001-2214"</formula>
    </cfRule>
    <cfRule type="cellIs" dxfId="777" priority="786" operator="equal">
      <formula>"3-001-5204"</formula>
    </cfRule>
    <cfRule type="cellIs" dxfId="776" priority="787" operator="equal">
      <formula>"3-001-0002"</formula>
    </cfRule>
  </conditionalFormatting>
  <conditionalFormatting sqref="AS377">
    <cfRule type="expression" dxfId="775" priority="784">
      <formula>IF(L377=AS377,1,0)</formula>
    </cfRule>
  </conditionalFormatting>
  <conditionalFormatting sqref="F377">
    <cfRule type="cellIs" dxfId="774" priority="781" operator="equal">
      <formula>"3-001-2214"</formula>
    </cfRule>
    <cfRule type="cellIs" dxfId="773" priority="782" operator="equal">
      <formula>"3-001-5204"</formula>
    </cfRule>
    <cfRule type="cellIs" dxfId="772" priority="783" operator="equal">
      <formula>"3-001-0002"</formula>
    </cfRule>
  </conditionalFormatting>
  <conditionalFormatting sqref="F378">
    <cfRule type="cellIs" dxfId="771" priority="777" operator="equal">
      <formula>"3-001-2214"</formula>
    </cfRule>
    <cfRule type="cellIs" dxfId="770" priority="778" operator="equal">
      <formula>"3-001-5204"</formula>
    </cfRule>
    <cfRule type="cellIs" dxfId="769" priority="779" operator="equal">
      <formula>"3-001-0002"</formula>
    </cfRule>
  </conditionalFormatting>
  <conditionalFormatting sqref="AS378">
    <cfRule type="expression" dxfId="768" priority="780">
      <formula>IF(L378=AS378,1,0)</formula>
    </cfRule>
  </conditionalFormatting>
  <conditionalFormatting sqref="AS404">
    <cfRule type="expression" dxfId="767" priority="776">
      <formula>IF(L404=AS404,1,0)</formula>
    </cfRule>
  </conditionalFormatting>
  <conditionalFormatting sqref="F404">
    <cfRule type="cellIs" dxfId="766" priority="773" operator="equal">
      <formula>"3-001-2214"</formula>
    </cfRule>
    <cfRule type="cellIs" dxfId="765" priority="774" operator="equal">
      <formula>"3-001-5204"</formula>
    </cfRule>
    <cfRule type="cellIs" dxfId="764" priority="775" operator="equal">
      <formula>"3-001-0002"</formula>
    </cfRule>
  </conditionalFormatting>
  <conditionalFormatting sqref="F372">
    <cfRule type="cellIs" dxfId="763" priority="770" operator="equal">
      <formula>"3-001-2214"</formula>
    </cfRule>
    <cfRule type="cellIs" dxfId="762" priority="771" operator="equal">
      <formula>"3-001-5204"</formula>
    </cfRule>
    <cfRule type="cellIs" dxfId="761" priority="772" operator="equal">
      <formula>"3-001-0002"</formula>
    </cfRule>
  </conditionalFormatting>
  <conditionalFormatting sqref="F371">
    <cfRule type="cellIs" dxfId="760" priority="767" operator="equal">
      <formula>"3-001-2214"</formula>
    </cfRule>
    <cfRule type="cellIs" dxfId="759" priority="768" operator="equal">
      <formula>"3-001-5204"</formula>
    </cfRule>
    <cfRule type="cellIs" dxfId="758" priority="769" operator="equal">
      <formula>"3-001-0002"</formula>
    </cfRule>
  </conditionalFormatting>
  <conditionalFormatting sqref="F380">
    <cfRule type="cellIs" dxfId="757" priority="763" operator="equal">
      <formula>"3-001-2214"</formula>
    </cfRule>
    <cfRule type="cellIs" dxfId="756" priority="764" operator="equal">
      <formula>"3-001-5204"</formula>
    </cfRule>
    <cfRule type="cellIs" dxfId="755" priority="765" operator="equal">
      <formula>"3-001-0002"</formula>
    </cfRule>
  </conditionalFormatting>
  <conditionalFormatting sqref="AS380">
    <cfRule type="expression" dxfId="754" priority="766">
      <formula>IF(L380=AS380,1,0)</formula>
    </cfRule>
  </conditionalFormatting>
  <conditionalFormatting sqref="AW222:AX222">
    <cfRule type="cellIs" dxfId="753" priority="762" operator="notEqual">
      <formula>$AW$221</formula>
    </cfRule>
  </conditionalFormatting>
  <conditionalFormatting sqref="F91">
    <cfRule type="cellIs" dxfId="752" priority="758" operator="equal">
      <formula>"3-001-2214"</formula>
    </cfRule>
    <cfRule type="cellIs" dxfId="751" priority="759" operator="equal">
      <formula>"3-001-5204"</formula>
    </cfRule>
    <cfRule type="cellIs" dxfId="750" priority="760" operator="equal">
      <formula>"3-001-0002"</formula>
    </cfRule>
  </conditionalFormatting>
  <conditionalFormatting sqref="AS91">
    <cfRule type="expression" dxfId="749" priority="761">
      <formula>IF(L91=AS91,1,0)</formula>
    </cfRule>
  </conditionalFormatting>
  <conditionalFormatting sqref="O222">
    <cfRule type="cellIs" dxfId="748" priority="757" operator="notEqual">
      <formula>$O$221</formula>
    </cfRule>
  </conditionalFormatting>
  <conditionalFormatting sqref="AS322">
    <cfRule type="expression" dxfId="747" priority="756">
      <formula>IF(L322=AS322,1,0)</formula>
    </cfRule>
  </conditionalFormatting>
  <conditionalFormatting sqref="F322">
    <cfRule type="cellIs" dxfId="746" priority="753" operator="equal">
      <formula>"3-001-2214"</formula>
    </cfRule>
    <cfRule type="cellIs" dxfId="745" priority="754" operator="equal">
      <formula>"3-001-5204"</formula>
    </cfRule>
    <cfRule type="cellIs" dxfId="744" priority="755" operator="equal">
      <formula>"3-001-0002"</formula>
    </cfRule>
  </conditionalFormatting>
  <conditionalFormatting sqref="AS23">
    <cfRule type="expression" dxfId="743" priority="752">
      <formula>IF(L23=AS23,1,0)</formula>
    </cfRule>
  </conditionalFormatting>
  <conditionalFormatting sqref="F23">
    <cfRule type="cellIs" dxfId="742" priority="749" operator="equal">
      <formula>"3-001-2214"</formula>
    </cfRule>
    <cfRule type="cellIs" dxfId="741" priority="750" operator="equal">
      <formula>"3-001-5204"</formula>
    </cfRule>
    <cfRule type="cellIs" dxfId="740" priority="751" operator="equal">
      <formula>"3-001-0002"</formula>
    </cfRule>
  </conditionalFormatting>
  <conditionalFormatting sqref="F379">
    <cfRule type="cellIs" dxfId="739" priority="745" operator="equal">
      <formula>"3-001-2214"</formula>
    </cfRule>
    <cfRule type="cellIs" dxfId="738" priority="746" operator="equal">
      <formula>"3-001-5204"</formula>
    </cfRule>
    <cfRule type="cellIs" dxfId="737" priority="747" operator="equal">
      <formula>"3-001-0002"</formula>
    </cfRule>
  </conditionalFormatting>
  <conditionalFormatting sqref="AS379">
    <cfRule type="expression" dxfId="736" priority="748">
      <formula>IF(L379=AS379,1,0)</formula>
    </cfRule>
  </conditionalFormatting>
  <conditionalFormatting sqref="AS27">
    <cfRule type="expression" dxfId="735" priority="744">
      <formula>IF(L27=AS27,1,0)</formula>
    </cfRule>
  </conditionalFormatting>
  <conditionalFormatting sqref="F27">
    <cfRule type="cellIs" dxfId="734" priority="741" operator="equal">
      <formula>"3-001-2214"</formula>
    </cfRule>
    <cfRule type="cellIs" dxfId="733" priority="742" operator="equal">
      <formula>"3-001-5204"</formula>
    </cfRule>
    <cfRule type="cellIs" dxfId="732" priority="743" operator="equal">
      <formula>"3-001-0002"</formula>
    </cfRule>
  </conditionalFormatting>
  <conditionalFormatting sqref="AS408">
    <cfRule type="expression" dxfId="731" priority="740">
      <formula>IF(L408=AS408,1,0)</formula>
    </cfRule>
  </conditionalFormatting>
  <conditionalFormatting sqref="F408">
    <cfRule type="cellIs" dxfId="730" priority="737" operator="equal">
      <formula>"3-001-2214"</formula>
    </cfRule>
    <cfRule type="cellIs" dxfId="729" priority="738" operator="equal">
      <formula>"3-001-5204"</formula>
    </cfRule>
    <cfRule type="cellIs" dxfId="728" priority="739" operator="equal">
      <formula>"3-001-0002"</formula>
    </cfRule>
  </conditionalFormatting>
  <conditionalFormatting sqref="AS406">
    <cfRule type="expression" dxfId="727" priority="736">
      <formula>IF(L406=AS406,1,0)</formula>
    </cfRule>
  </conditionalFormatting>
  <conditionalFormatting sqref="F406">
    <cfRule type="cellIs" dxfId="726" priority="733" operator="equal">
      <formula>"3-001-2214"</formula>
    </cfRule>
    <cfRule type="cellIs" dxfId="725" priority="734" operator="equal">
      <formula>"3-001-5204"</formula>
    </cfRule>
    <cfRule type="cellIs" dxfId="724" priority="735" operator="equal">
      <formula>"3-001-0002"</formula>
    </cfRule>
  </conditionalFormatting>
  <conditionalFormatting sqref="AS407">
    <cfRule type="expression" dxfId="723" priority="732">
      <formula>IF(L407=AS407,1,0)</formula>
    </cfRule>
  </conditionalFormatting>
  <conditionalFormatting sqref="F407">
    <cfRule type="cellIs" dxfId="722" priority="729" operator="equal">
      <formula>"3-001-2214"</formula>
    </cfRule>
    <cfRule type="cellIs" dxfId="721" priority="730" operator="equal">
      <formula>"3-001-5204"</formula>
    </cfRule>
    <cfRule type="cellIs" dxfId="720" priority="731" operator="equal">
      <formula>"3-001-0002"</formula>
    </cfRule>
  </conditionalFormatting>
  <conditionalFormatting sqref="F383">
    <cfRule type="cellIs" dxfId="719" priority="725" operator="equal">
      <formula>"3-001-2214"</formula>
    </cfRule>
    <cfRule type="cellIs" dxfId="718" priority="726" operator="equal">
      <formula>"3-001-5204"</formula>
    </cfRule>
    <cfRule type="cellIs" dxfId="717" priority="727" operator="equal">
      <formula>"3-001-0002"</formula>
    </cfRule>
  </conditionalFormatting>
  <conditionalFormatting sqref="AS383">
    <cfRule type="expression" dxfId="716" priority="728">
      <formula>IF(L383=AS383,1,0)</formula>
    </cfRule>
  </conditionalFormatting>
  <conditionalFormatting sqref="F384">
    <cfRule type="cellIs" dxfId="715" priority="721" operator="equal">
      <formula>"3-001-2214"</formula>
    </cfRule>
    <cfRule type="cellIs" dxfId="714" priority="722" operator="equal">
      <formula>"3-001-5204"</formula>
    </cfRule>
    <cfRule type="cellIs" dxfId="713" priority="723" operator="equal">
      <formula>"3-001-0002"</formula>
    </cfRule>
  </conditionalFormatting>
  <conditionalFormatting sqref="AS384">
    <cfRule type="expression" dxfId="712" priority="724">
      <formula>IF(L384=AS384,1,0)</formula>
    </cfRule>
  </conditionalFormatting>
  <conditionalFormatting sqref="F381">
    <cfRule type="cellIs" dxfId="711" priority="717" operator="equal">
      <formula>"3-001-2214"</formula>
    </cfRule>
    <cfRule type="cellIs" dxfId="710" priority="718" operator="equal">
      <formula>"3-001-5204"</formula>
    </cfRule>
    <cfRule type="cellIs" dxfId="709" priority="719" operator="equal">
      <formula>"3-001-0002"</formula>
    </cfRule>
  </conditionalFormatting>
  <conditionalFormatting sqref="AS381">
    <cfRule type="expression" dxfId="708" priority="720">
      <formula>IF(L381=AS381,1,0)</formula>
    </cfRule>
  </conditionalFormatting>
  <conditionalFormatting sqref="O416">
    <cfRule type="cellIs" dxfId="707" priority="716" operator="notEqual">
      <formula>$O$414</formula>
    </cfRule>
  </conditionalFormatting>
  <conditionalFormatting sqref="AS26">
    <cfRule type="expression" dxfId="706" priority="715">
      <formula>IF(L26=AS26,1,0)</formula>
    </cfRule>
  </conditionalFormatting>
  <conditionalFormatting sqref="F26">
    <cfRule type="cellIs" dxfId="705" priority="712" operator="equal">
      <formula>"3-001-2214"</formula>
    </cfRule>
    <cfRule type="cellIs" dxfId="704" priority="713" operator="equal">
      <formula>"3-001-5204"</formula>
    </cfRule>
    <cfRule type="cellIs" dxfId="703" priority="714" operator="equal">
      <formula>"3-001-0002"</formula>
    </cfRule>
  </conditionalFormatting>
  <conditionalFormatting sqref="AS328">
    <cfRule type="expression" dxfId="702" priority="711">
      <formula>IF(L328=AS328,1,0)</formula>
    </cfRule>
  </conditionalFormatting>
  <conditionalFormatting sqref="F328">
    <cfRule type="cellIs" dxfId="701" priority="708" operator="equal">
      <formula>"3-001-2214"</formula>
    </cfRule>
    <cfRule type="cellIs" dxfId="700" priority="709" operator="equal">
      <formula>"3-001-5204"</formula>
    </cfRule>
    <cfRule type="cellIs" dxfId="699" priority="710" operator="equal">
      <formula>"3-001-0002"</formula>
    </cfRule>
  </conditionalFormatting>
  <conditionalFormatting sqref="F346">
    <cfRule type="cellIs" dxfId="698" priority="704" operator="equal">
      <formula>"3-001-2214"</formula>
    </cfRule>
    <cfRule type="cellIs" dxfId="697" priority="705" operator="equal">
      <formula>"3-001-5204"</formula>
    </cfRule>
    <cfRule type="cellIs" dxfId="696" priority="706" operator="equal">
      <formula>"3-001-0002"</formula>
    </cfRule>
  </conditionalFormatting>
  <conditionalFormatting sqref="AS346">
    <cfRule type="expression" dxfId="695" priority="707">
      <formula>IF(L346=AS346,1,0)</formula>
    </cfRule>
  </conditionalFormatting>
  <conditionalFormatting sqref="F329">
    <cfRule type="cellIs" dxfId="694" priority="700" operator="equal">
      <formula>"3-001-2214"</formula>
    </cfRule>
    <cfRule type="cellIs" dxfId="693" priority="701" operator="equal">
      <formula>"3-001-5204"</formula>
    </cfRule>
    <cfRule type="cellIs" dxfId="692" priority="702" operator="equal">
      <formula>"3-001-0002"</formula>
    </cfRule>
  </conditionalFormatting>
  <conditionalFormatting sqref="AS329">
    <cfRule type="expression" dxfId="691" priority="703">
      <formula>IF(L329=AS329,1,0)</formula>
    </cfRule>
  </conditionalFormatting>
  <conditionalFormatting sqref="F330">
    <cfRule type="cellIs" dxfId="690" priority="696" operator="equal">
      <formula>"3-001-2214"</formula>
    </cfRule>
    <cfRule type="cellIs" dxfId="689" priority="697" operator="equal">
      <formula>"3-001-5204"</formula>
    </cfRule>
    <cfRule type="cellIs" dxfId="688" priority="698" operator="equal">
      <formula>"3-001-0002"</formula>
    </cfRule>
  </conditionalFormatting>
  <conditionalFormatting sqref="AS330">
    <cfRule type="expression" dxfId="687" priority="699">
      <formula>IF(L330=AS330,1,0)</formula>
    </cfRule>
  </conditionalFormatting>
  <conditionalFormatting sqref="AS25">
    <cfRule type="expression" dxfId="686" priority="695">
      <formula>IF(L25=AS25,1,0)</formula>
    </cfRule>
  </conditionalFormatting>
  <conditionalFormatting sqref="F25">
    <cfRule type="cellIs" dxfId="685" priority="692" operator="equal">
      <formula>"3-001-2214"</formula>
    </cfRule>
    <cfRule type="cellIs" dxfId="684" priority="693" operator="equal">
      <formula>"3-001-5204"</formula>
    </cfRule>
    <cfRule type="cellIs" dxfId="683" priority="694" operator="equal">
      <formula>"3-001-0002"</formula>
    </cfRule>
  </conditionalFormatting>
  <conditionalFormatting sqref="AS24">
    <cfRule type="expression" dxfId="682" priority="691">
      <formula>IF(L24=AS24,1,0)</formula>
    </cfRule>
  </conditionalFormatting>
  <conditionalFormatting sqref="F24">
    <cfRule type="cellIs" dxfId="681" priority="688" operator="equal">
      <formula>"3-001-2214"</formula>
    </cfRule>
    <cfRule type="cellIs" dxfId="680" priority="689" operator="equal">
      <formula>"3-001-5204"</formula>
    </cfRule>
    <cfRule type="cellIs" dxfId="679" priority="690" operator="equal">
      <formula>"3-001-0002"</formula>
    </cfRule>
  </conditionalFormatting>
  <conditionalFormatting sqref="F92">
    <cfRule type="cellIs" dxfId="678" priority="684" operator="equal">
      <formula>"3-001-2214"</formula>
    </cfRule>
    <cfRule type="cellIs" dxfId="677" priority="685" operator="equal">
      <formula>"3-001-5204"</formula>
    </cfRule>
    <cfRule type="cellIs" dxfId="676" priority="686" operator="equal">
      <formula>"3-001-0002"</formula>
    </cfRule>
  </conditionalFormatting>
  <conditionalFormatting sqref="AS92">
    <cfRule type="expression" dxfId="675" priority="687">
      <formula>IF(L92=AS92,1,0)</formula>
    </cfRule>
  </conditionalFormatting>
  <conditionalFormatting sqref="F93">
    <cfRule type="cellIs" dxfId="674" priority="680" operator="equal">
      <formula>"3-001-2214"</formula>
    </cfRule>
    <cfRule type="cellIs" dxfId="673" priority="681" operator="equal">
      <formula>"3-001-5204"</formula>
    </cfRule>
    <cfRule type="cellIs" dxfId="672" priority="682" operator="equal">
      <formula>"3-001-0002"</formula>
    </cfRule>
  </conditionalFormatting>
  <conditionalFormatting sqref="AS93">
    <cfRule type="expression" dxfId="671" priority="683">
      <formula>IF(L93=AS93,1,0)</formula>
    </cfRule>
  </conditionalFormatting>
  <conditionalFormatting sqref="F94">
    <cfRule type="cellIs" dxfId="670" priority="676" operator="equal">
      <formula>"3-001-2214"</formula>
    </cfRule>
    <cfRule type="cellIs" dxfId="669" priority="677" operator="equal">
      <formula>"3-001-5204"</formula>
    </cfRule>
    <cfRule type="cellIs" dxfId="668" priority="678" operator="equal">
      <formula>"3-001-0002"</formula>
    </cfRule>
  </conditionalFormatting>
  <conditionalFormatting sqref="AS94">
    <cfRule type="expression" dxfId="667" priority="679">
      <formula>IF(L94=AS94,1,0)</formula>
    </cfRule>
  </conditionalFormatting>
  <conditionalFormatting sqref="F146">
    <cfRule type="cellIs" dxfId="666" priority="672" operator="equal">
      <formula>"3-001-2214"</formula>
    </cfRule>
    <cfRule type="cellIs" dxfId="665" priority="673" operator="equal">
      <formula>"3-001-5204"</formula>
    </cfRule>
    <cfRule type="cellIs" dxfId="664" priority="674" operator="equal">
      <formula>"3-001-0002"</formula>
    </cfRule>
  </conditionalFormatting>
  <conditionalFormatting sqref="AS146">
    <cfRule type="expression" dxfId="663" priority="675">
      <formula>IF(L146=AS146,1,0)</formula>
    </cfRule>
  </conditionalFormatting>
  <conditionalFormatting sqref="F145">
    <cfRule type="cellIs" dxfId="662" priority="668" operator="equal">
      <formula>"3-001-2214"</formula>
    </cfRule>
    <cfRule type="cellIs" dxfId="661" priority="669" operator="equal">
      <formula>"3-001-5204"</formula>
    </cfRule>
    <cfRule type="cellIs" dxfId="660" priority="670" operator="equal">
      <formula>"3-001-0002"</formula>
    </cfRule>
  </conditionalFormatting>
  <conditionalFormatting sqref="AS145">
    <cfRule type="expression" dxfId="659" priority="671">
      <formula>IF(L145=AS145,1,0)</formula>
    </cfRule>
  </conditionalFormatting>
  <conditionalFormatting sqref="F147">
    <cfRule type="cellIs" dxfId="658" priority="664" operator="equal">
      <formula>"3-001-2214"</formula>
    </cfRule>
    <cfRule type="cellIs" dxfId="657" priority="665" operator="equal">
      <formula>"3-001-5204"</formula>
    </cfRule>
    <cfRule type="cellIs" dxfId="656" priority="666" operator="equal">
      <formula>"3-001-0002"</formula>
    </cfRule>
  </conditionalFormatting>
  <conditionalFormatting sqref="AS147">
    <cfRule type="expression" dxfId="655" priority="667">
      <formula>IF(L147=AS147,1,0)</formula>
    </cfRule>
  </conditionalFormatting>
  <conditionalFormatting sqref="F148">
    <cfRule type="cellIs" dxfId="654" priority="660" operator="equal">
      <formula>"3-001-2214"</formula>
    </cfRule>
    <cfRule type="cellIs" dxfId="653" priority="661" operator="equal">
      <formula>"3-001-5204"</formula>
    </cfRule>
    <cfRule type="cellIs" dxfId="652" priority="662" operator="equal">
      <formula>"3-001-0002"</formula>
    </cfRule>
  </conditionalFormatting>
  <conditionalFormatting sqref="AS148">
    <cfRule type="expression" dxfId="651" priority="663">
      <formula>IF(L148=AS148,1,0)</formula>
    </cfRule>
  </conditionalFormatting>
  <conditionalFormatting sqref="F149">
    <cfRule type="cellIs" dxfId="650" priority="656" operator="equal">
      <formula>"3-001-2214"</formula>
    </cfRule>
    <cfRule type="cellIs" dxfId="649" priority="657" operator="equal">
      <formula>"3-001-5204"</formula>
    </cfRule>
    <cfRule type="cellIs" dxfId="648" priority="658" operator="equal">
      <formula>"3-001-0002"</formula>
    </cfRule>
  </conditionalFormatting>
  <conditionalFormatting sqref="AS149">
    <cfRule type="expression" dxfId="647" priority="659">
      <formula>IF(L149=AS149,1,0)</formula>
    </cfRule>
  </conditionalFormatting>
  <conditionalFormatting sqref="F150">
    <cfRule type="cellIs" dxfId="646" priority="652" operator="equal">
      <formula>"3-001-2214"</formula>
    </cfRule>
    <cfRule type="cellIs" dxfId="645" priority="653" operator="equal">
      <formula>"3-001-5204"</formula>
    </cfRule>
    <cfRule type="cellIs" dxfId="644" priority="654" operator="equal">
      <formula>"3-001-0002"</formula>
    </cfRule>
  </conditionalFormatting>
  <conditionalFormatting sqref="AS150">
    <cfRule type="expression" dxfId="643" priority="655">
      <formula>IF(L150=AS150,1,0)</formula>
    </cfRule>
  </conditionalFormatting>
  <conditionalFormatting sqref="AS278">
    <cfRule type="expression" dxfId="642" priority="651">
      <formula>IF(L278=AS278,1,0)</formula>
    </cfRule>
  </conditionalFormatting>
  <conditionalFormatting sqref="F278">
    <cfRule type="cellIs" dxfId="641" priority="648" operator="equal">
      <formula>"3-001-2214"</formula>
    </cfRule>
    <cfRule type="cellIs" dxfId="640" priority="649" operator="equal">
      <formula>"3-001-5204"</formula>
    </cfRule>
    <cfRule type="cellIs" dxfId="639" priority="650" operator="equal">
      <formula>"3-001-0002"</formula>
    </cfRule>
  </conditionalFormatting>
  <conditionalFormatting sqref="AS306">
    <cfRule type="expression" dxfId="638" priority="647">
      <formula>IF(L306=AS306,1,0)</formula>
    </cfRule>
  </conditionalFormatting>
  <conditionalFormatting sqref="F306">
    <cfRule type="cellIs" dxfId="637" priority="644" operator="equal">
      <formula>"3-001-2214"</formula>
    </cfRule>
    <cfRule type="cellIs" dxfId="636" priority="645" operator="equal">
      <formula>"3-001-5204"</formula>
    </cfRule>
    <cfRule type="cellIs" dxfId="635" priority="646" operator="equal">
      <formula>"3-001-0002"</formula>
    </cfRule>
  </conditionalFormatting>
  <conditionalFormatting sqref="F298">
    <cfRule type="cellIs" dxfId="634" priority="640" operator="equal">
      <formula>"3-001-2214"</formula>
    </cfRule>
    <cfRule type="cellIs" dxfId="633" priority="641" operator="equal">
      <formula>"3-001-5204"</formula>
    </cfRule>
    <cfRule type="cellIs" dxfId="632" priority="642" operator="equal">
      <formula>"3-001-0002"</formula>
    </cfRule>
  </conditionalFormatting>
  <conditionalFormatting sqref="AS298">
    <cfRule type="expression" dxfId="631" priority="643">
      <formula>IF(L298=AS298,1,0)</formula>
    </cfRule>
  </conditionalFormatting>
  <conditionalFormatting sqref="F385">
    <cfRule type="cellIs" dxfId="630" priority="636" operator="equal">
      <formula>"3-001-2214"</formula>
    </cfRule>
    <cfRule type="cellIs" dxfId="629" priority="637" operator="equal">
      <formula>"3-001-5204"</formula>
    </cfRule>
    <cfRule type="cellIs" dxfId="628" priority="638" operator="equal">
      <formula>"3-001-0002"</formula>
    </cfRule>
  </conditionalFormatting>
  <conditionalFormatting sqref="AS385">
    <cfRule type="expression" dxfId="627" priority="639">
      <formula>IF(L385=AS385,1,0)</formula>
    </cfRule>
  </conditionalFormatting>
  <conditionalFormatting sqref="F152">
    <cfRule type="cellIs" dxfId="626" priority="632" operator="equal">
      <formula>"3-001-2214"</formula>
    </cfRule>
    <cfRule type="cellIs" dxfId="625" priority="633" operator="equal">
      <formula>"3-001-5204"</formula>
    </cfRule>
    <cfRule type="cellIs" dxfId="624" priority="634" operator="equal">
      <formula>"3-001-0002"</formula>
    </cfRule>
  </conditionalFormatting>
  <conditionalFormatting sqref="AS152">
    <cfRule type="expression" dxfId="623" priority="635">
      <formula>IF(L152=AS152,1,0)</formula>
    </cfRule>
  </conditionalFormatting>
  <conditionalFormatting sqref="F156">
    <cfRule type="cellIs" dxfId="622" priority="628" operator="equal">
      <formula>"3-001-2214"</formula>
    </cfRule>
    <cfRule type="cellIs" dxfId="621" priority="629" operator="equal">
      <formula>"3-001-5204"</formula>
    </cfRule>
    <cfRule type="cellIs" dxfId="620" priority="630" operator="equal">
      <formula>"3-001-0002"</formula>
    </cfRule>
  </conditionalFormatting>
  <conditionalFormatting sqref="AS156">
    <cfRule type="expression" dxfId="619" priority="631">
      <formula>IF(L156=AS156,1,0)</formula>
    </cfRule>
  </conditionalFormatting>
  <conditionalFormatting sqref="F151">
    <cfRule type="cellIs" dxfId="618" priority="624" operator="equal">
      <formula>"3-001-2214"</formula>
    </cfRule>
    <cfRule type="cellIs" dxfId="617" priority="625" operator="equal">
      <formula>"3-001-5204"</formula>
    </cfRule>
    <cfRule type="cellIs" dxfId="616" priority="626" operator="equal">
      <formula>"3-001-0002"</formula>
    </cfRule>
  </conditionalFormatting>
  <conditionalFormatting sqref="AS151">
    <cfRule type="expression" dxfId="615" priority="627">
      <formula>IF(L151=AS151,1,0)</formula>
    </cfRule>
  </conditionalFormatting>
  <conditionalFormatting sqref="F292">
    <cfRule type="cellIs" dxfId="614" priority="620" operator="equal">
      <formula>"3-001-2214"</formula>
    </cfRule>
    <cfRule type="cellIs" dxfId="613" priority="621" operator="equal">
      <formula>"3-001-5204"</formula>
    </cfRule>
    <cfRule type="cellIs" dxfId="612" priority="622" operator="equal">
      <formula>"3-001-0002"</formula>
    </cfRule>
  </conditionalFormatting>
  <conditionalFormatting sqref="AS292">
    <cfRule type="expression" dxfId="611" priority="623">
      <formula>IF(L292=AS292,1,0)</formula>
    </cfRule>
  </conditionalFormatting>
  <conditionalFormatting sqref="AS68">
    <cfRule type="expression" dxfId="610" priority="619">
      <formula>IF(L68=AS68,1,0)</formula>
    </cfRule>
  </conditionalFormatting>
  <conditionalFormatting sqref="F68">
    <cfRule type="cellIs" dxfId="609" priority="616" operator="equal">
      <formula>"3-001-2214"</formula>
    </cfRule>
    <cfRule type="cellIs" dxfId="608" priority="617" operator="equal">
      <formula>"3-001-5204"</formula>
    </cfRule>
    <cfRule type="cellIs" dxfId="607" priority="618" operator="equal">
      <formula>"3-001-0002"</formula>
    </cfRule>
  </conditionalFormatting>
  <conditionalFormatting sqref="F69">
    <cfRule type="cellIs" dxfId="606" priority="608" operator="equal">
      <formula>"3-001-2214"</formula>
    </cfRule>
    <cfRule type="cellIs" dxfId="605" priority="609" operator="equal">
      <formula>"3-001-5204"</formula>
    </cfRule>
    <cfRule type="cellIs" dxfId="604" priority="610" operator="equal">
      <formula>"3-001-0002"</formula>
    </cfRule>
  </conditionalFormatting>
  <conditionalFormatting sqref="AS69">
    <cfRule type="expression" dxfId="603" priority="611">
      <formula>IF(L69=AS69,1,0)</formula>
    </cfRule>
  </conditionalFormatting>
  <conditionalFormatting sqref="F70">
    <cfRule type="cellIs" dxfId="602" priority="612" operator="equal">
      <formula>"3-001-2214"</formula>
    </cfRule>
    <cfRule type="cellIs" dxfId="601" priority="613" operator="equal">
      <formula>"3-001-5204"</formula>
    </cfRule>
    <cfRule type="cellIs" dxfId="600" priority="614" operator="equal">
      <formula>"3-001-0002"</formula>
    </cfRule>
  </conditionalFormatting>
  <conditionalFormatting sqref="AS70">
    <cfRule type="expression" dxfId="599" priority="615">
      <formula>IF(L70=AS70,1,0)</formula>
    </cfRule>
  </conditionalFormatting>
  <conditionalFormatting sqref="AS65">
    <cfRule type="expression" dxfId="598" priority="607">
      <formula>IF(L65=AS65,1,0)</formula>
    </cfRule>
  </conditionalFormatting>
  <conditionalFormatting sqref="F65">
    <cfRule type="cellIs" dxfId="597" priority="604" operator="equal">
      <formula>"3-001-2214"</formula>
    </cfRule>
    <cfRule type="cellIs" dxfId="596" priority="605" operator="equal">
      <formula>"3-001-5204"</formula>
    </cfRule>
    <cfRule type="cellIs" dxfId="595" priority="606" operator="equal">
      <formula>"3-001-0002"</formula>
    </cfRule>
  </conditionalFormatting>
  <conditionalFormatting sqref="AS64">
    <cfRule type="expression" dxfId="594" priority="603">
      <formula>IF(L64=AS64,1,0)</formula>
    </cfRule>
  </conditionalFormatting>
  <conditionalFormatting sqref="F64">
    <cfRule type="cellIs" dxfId="593" priority="600" operator="equal">
      <formula>"3-001-2214"</formula>
    </cfRule>
    <cfRule type="cellIs" dxfId="592" priority="601" operator="equal">
      <formula>"3-001-5204"</formula>
    </cfRule>
    <cfRule type="cellIs" dxfId="591" priority="602" operator="equal">
      <formula>"3-001-0002"</formula>
    </cfRule>
  </conditionalFormatting>
  <conditionalFormatting sqref="F304">
    <cfRule type="cellIs" dxfId="590" priority="596" operator="equal">
      <formula>"3-001-2214"</formula>
    </cfRule>
    <cfRule type="cellIs" dxfId="589" priority="597" operator="equal">
      <formula>"3-001-5204"</formula>
    </cfRule>
    <cfRule type="cellIs" dxfId="588" priority="598" operator="equal">
      <formula>"3-001-0002"</formula>
    </cfRule>
  </conditionalFormatting>
  <conditionalFormatting sqref="AS304">
    <cfRule type="expression" dxfId="587" priority="599">
      <formula>IF(L304=AS304,1,0)</formula>
    </cfRule>
  </conditionalFormatting>
  <conditionalFormatting sqref="F305">
    <cfRule type="cellIs" dxfId="586" priority="592" operator="equal">
      <formula>"3-001-2214"</formula>
    </cfRule>
    <cfRule type="cellIs" dxfId="585" priority="593" operator="equal">
      <formula>"3-001-5204"</formula>
    </cfRule>
    <cfRule type="cellIs" dxfId="584" priority="594" operator="equal">
      <formula>"3-001-0002"</formula>
    </cfRule>
  </conditionalFormatting>
  <conditionalFormatting sqref="AS305">
    <cfRule type="expression" dxfId="583" priority="595">
      <formula>IF(L305=AS305,1,0)</formula>
    </cfRule>
  </conditionalFormatting>
  <conditionalFormatting sqref="F331">
    <cfRule type="cellIs" dxfId="582" priority="588" operator="equal">
      <formula>"3-001-2214"</formula>
    </cfRule>
    <cfRule type="cellIs" dxfId="581" priority="589" operator="equal">
      <formula>"3-001-5204"</formula>
    </cfRule>
    <cfRule type="cellIs" dxfId="580" priority="590" operator="equal">
      <formula>"3-001-0002"</formula>
    </cfRule>
  </conditionalFormatting>
  <conditionalFormatting sqref="AS331">
    <cfRule type="expression" dxfId="579" priority="591">
      <formula>IF(L331=AS331,1,0)</formula>
    </cfRule>
  </conditionalFormatting>
  <conditionalFormatting sqref="F382">
    <cfRule type="cellIs" dxfId="578" priority="584" operator="equal">
      <formula>"3-001-2214"</formula>
    </cfRule>
    <cfRule type="cellIs" dxfId="577" priority="585" operator="equal">
      <formula>"3-001-5204"</formula>
    </cfRule>
    <cfRule type="cellIs" dxfId="576" priority="586" operator="equal">
      <formula>"3-001-0002"</formula>
    </cfRule>
  </conditionalFormatting>
  <conditionalFormatting sqref="AS382">
    <cfRule type="expression" dxfId="575" priority="587">
      <formula>IF(L382=AS382,1,0)</formula>
    </cfRule>
  </conditionalFormatting>
  <conditionalFormatting sqref="F352">
    <cfRule type="cellIs" dxfId="574" priority="580" operator="equal">
      <formula>"3-001-2214"</formula>
    </cfRule>
    <cfRule type="cellIs" dxfId="573" priority="581" operator="equal">
      <formula>"3-001-5204"</formula>
    </cfRule>
    <cfRule type="cellIs" dxfId="572" priority="582" operator="equal">
      <formula>"3-001-0002"</formula>
    </cfRule>
  </conditionalFormatting>
  <conditionalFormatting sqref="AS352">
    <cfRule type="expression" dxfId="571" priority="583">
      <formula>IF(L352=AS352,1,0)</formula>
    </cfRule>
  </conditionalFormatting>
  <conditionalFormatting sqref="F387">
    <cfRule type="cellIs" dxfId="570" priority="576" operator="equal">
      <formula>"3-001-2214"</formula>
    </cfRule>
    <cfRule type="cellIs" dxfId="569" priority="577" operator="equal">
      <formula>"3-001-5204"</formula>
    </cfRule>
    <cfRule type="cellIs" dxfId="568" priority="578" operator="equal">
      <formula>"3-001-0002"</formula>
    </cfRule>
  </conditionalFormatting>
  <conditionalFormatting sqref="AS387">
    <cfRule type="expression" dxfId="567" priority="579">
      <formula>IF(L387=AS387,1,0)</formula>
    </cfRule>
  </conditionalFormatting>
  <conditionalFormatting sqref="AS373">
    <cfRule type="expression" dxfId="566" priority="575">
      <formula>IF(L373=AS373,1,0)</formula>
    </cfRule>
  </conditionalFormatting>
  <conditionalFormatting sqref="F373">
    <cfRule type="cellIs" dxfId="565" priority="572" operator="equal">
      <formula>"3-001-2214"</formula>
    </cfRule>
    <cfRule type="cellIs" dxfId="564" priority="573" operator="equal">
      <formula>"3-001-5204"</formula>
    </cfRule>
    <cfRule type="cellIs" dxfId="563" priority="574" operator="equal">
      <formula>"3-001-0002"</formula>
    </cfRule>
  </conditionalFormatting>
  <conditionalFormatting sqref="AS207 AS209">
    <cfRule type="expression" dxfId="562" priority="571">
      <formula>IF(L207=AS207,1,0)</formula>
    </cfRule>
  </conditionalFormatting>
  <conditionalFormatting sqref="F207">
    <cfRule type="cellIs" dxfId="561" priority="568" operator="equal">
      <formula>"3-001-2214"</formula>
    </cfRule>
    <cfRule type="cellIs" dxfId="560" priority="569" operator="equal">
      <formula>"3-001-5204"</formula>
    </cfRule>
    <cfRule type="cellIs" dxfId="559" priority="570" operator="equal">
      <formula>"3-001-0002"</formula>
    </cfRule>
  </conditionalFormatting>
  <conditionalFormatting sqref="F332">
    <cfRule type="cellIs" dxfId="558" priority="564" operator="equal">
      <formula>"3-001-2214"</formula>
    </cfRule>
    <cfRule type="cellIs" dxfId="557" priority="565" operator="equal">
      <formula>"3-001-5204"</formula>
    </cfRule>
    <cfRule type="cellIs" dxfId="556" priority="566" operator="equal">
      <formula>"3-001-0002"</formula>
    </cfRule>
  </conditionalFormatting>
  <conditionalFormatting sqref="AS332">
    <cfRule type="expression" dxfId="555" priority="567">
      <formula>IF(L332=AS332,1,0)</formula>
    </cfRule>
  </conditionalFormatting>
  <conditionalFormatting sqref="F21">
    <cfRule type="cellIs" dxfId="554" priority="561" operator="equal">
      <formula>"3-001-2214"</formula>
    </cfRule>
    <cfRule type="cellIs" dxfId="553" priority="562" operator="equal">
      <formula>"3-001-5204"</formula>
    </cfRule>
    <cfRule type="cellIs" dxfId="552" priority="563" operator="equal">
      <formula>"3-001-0002"</formula>
    </cfRule>
  </conditionalFormatting>
  <conditionalFormatting sqref="AS67">
    <cfRule type="expression" dxfId="551" priority="560">
      <formula>IF(L67=AS67,1,0)</formula>
    </cfRule>
  </conditionalFormatting>
  <conditionalFormatting sqref="F67">
    <cfRule type="cellIs" dxfId="550" priority="557" operator="equal">
      <formula>"3-001-2214"</formula>
    </cfRule>
    <cfRule type="cellIs" dxfId="549" priority="558" operator="equal">
      <formula>"3-001-5204"</formula>
    </cfRule>
    <cfRule type="cellIs" dxfId="548" priority="559" operator="equal">
      <formula>"3-001-0002"</formula>
    </cfRule>
  </conditionalFormatting>
  <conditionalFormatting sqref="AS375">
    <cfRule type="expression" dxfId="547" priority="556">
      <formula>IF(L375=AS375,1,0)</formula>
    </cfRule>
  </conditionalFormatting>
  <conditionalFormatting sqref="F375">
    <cfRule type="cellIs" dxfId="546" priority="553" operator="equal">
      <formula>"3-001-2214"</formula>
    </cfRule>
    <cfRule type="cellIs" dxfId="545" priority="554" operator="equal">
      <formula>"3-001-5204"</formula>
    </cfRule>
    <cfRule type="cellIs" dxfId="544" priority="555" operator="equal">
      <formula>"3-001-0002"</formula>
    </cfRule>
  </conditionalFormatting>
  <conditionalFormatting sqref="AS374">
    <cfRule type="expression" dxfId="543" priority="552">
      <formula>IF(L374=AS374,1,0)</formula>
    </cfRule>
  </conditionalFormatting>
  <conditionalFormatting sqref="F374">
    <cfRule type="cellIs" dxfId="542" priority="549" operator="equal">
      <formula>"3-001-2214"</formula>
    </cfRule>
    <cfRule type="cellIs" dxfId="541" priority="550" operator="equal">
      <formula>"3-001-5204"</formula>
    </cfRule>
    <cfRule type="cellIs" dxfId="540" priority="551" operator="equal">
      <formula>"3-001-0002"</formula>
    </cfRule>
  </conditionalFormatting>
  <conditionalFormatting sqref="AS277">
    <cfRule type="expression" dxfId="539" priority="548">
      <formula>IF(L277=AS277,1,0)</formula>
    </cfRule>
  </conditionalFormatting>
  <conditionalFormatting sqref="F277">
    <cfRule type="cellIs" dxfId="538" priority="545" operator="equal">
      <formula>"3-001-2214"</formula>
    </cfRule>
    <cfRule type="cellIs" dxfId="537" priority="546" operator="equal">
      <formula>"3-001-5204"</formula>
    </cfRule>
    <cfRule type="cellIs" dxfId="536" priority="547" operator="equal">
      <formula>"3-001-0002"</formula>
    </cfRule>
  </conditionalFormatting>
  <conditionalFormatting sqref="F388">
    <cfRule type="cellIs" dxfId="535" priority="541" operator="equal">
      <formula>"3-001-2214"</formula>
    </cfRule>
    <cfRule type="cellIs" dxfId="534" priority="542" operator="equal">
      <formula>"3-001-5204"</formula>
    </cfRule>
    <cfRule type="cellIs" dxfId="533" priority="543" operator="equal">
      <formula>"3-001-0002"</formula>
    </cfRule>
  </conditionalFormatting>
  <conditionalFormatting sqref="AS388">
    <cfRule type="expression" dxfId="532" priority="544">
      <formula>IF(L388=AS388,1,0)</formula>
    </cfRule>
  </conditionalFormatting>
  <conditionalFormatting sqref="AS279">
    <cfRule type="expression" dxfId="531" priority="540">
      <formula>IF(L279=AS279,1,0)</formula>
    </cfRule>
  </conditionalFormatting>
  <conditionalFormatting sqref="F279">
    <cfRule type="cellIs" dxfId="530" priority="537" operator="equal">
      <formula>"3-001-2214"</formula>
    </cfRule>
    <cfRule type="cellIs" dxfId="529" priority="538" operator="equal">
      <formula>"3-001-5204"</formula>
    </cfRule>
    <cfRule type="cellIs" dxfId="528" priority="539" operator="equal">
      <formula>"3-001-0002"</formula>
    </cfRule>
  </conditionalFormatting>
  <conditionalFormatting sqref="F386">
    <cfRule type="cellIs" dxfId="527" priority="533" operator="equal">
      <formula>"3-001-2214"</formula>
    </cfRule>
    <cfRule type="cellIs" dxfId="526" priority="534" operator="equal">
      <formula>"3-001-5204"</formula>
    </cfRule>
    <cfRule type="cellIs" dxfId="525" priority="535" operator="equal">
      <formula>"3-001-0002"</formula>
    </cfRule>
  </conditionalFormatting>
  <conditionalFormatting sqref="AS386">
    <cfRule type="expression" dxfId="524" priority="536">
      <formula>IF(L386=AS386,1,0)</formula>
    </cfRule>
  </conditionalFormatting>
  <conditionalFormatting sqref="AS365">
    <cfRule type="expression" dxfId="523" priority="532">
      <formula>IF(L365=AS365,1,0)</formula>
    </cfRule>
  </conditionalFormatting>
  <conditionalFormatting sqref="AS364">
    <cfRule type="expression" dxfId="522" priority="531">
      <formula>IF(L364=AS364,1,0)</formula>
    </cfRule>
  </conditionalFormatting>
  <conditionalFormatting sqref="F364">
    <cfRule type="cellIs" dxfId="521" priority="528" operator="equal">
      <formula>"3-001-2214"</formula>
    </cfRule>
    <cfRule type="cellIs" dxfId="520" priority="529" operator="equal">
      <formula>"3-001-5204"</formula>
    </cfRule>
    <cfRule type="cellIs" dxfId="519" priority="530" operator="equal">
      <formula>"3-001-0002"</formula>
    </cfRule>
  </conditionalFormatting>
  <conditionalFormatting sqref="F365">
    <cfRule type="cellIs" dxfId="518" priority="525" operator="equal">
      <formula>"3-001-2214"</formula>
    </cfRule>
    <cfRule type="cellIs" dxfId="517" priority="526" operator="equal">
      <formula>"3-001-5204"</formula>
    </cfRule>
    <cfRule type="cellIs" dxfId="516" priority="527" operator="equal">
      <formula>"3-001-0002"</formula>
    </cfRule>
  </conditionalFormatting>
  <conditionalFormatting sqref="AS369">
    <cfRule type="expression" dxfId="515" priority="524">
      <formula>IF(L369=AS369,1,0)</formula>
    </cfRule>
  </conditionalFormatting>
  <conditionalFormatting sqref="F369">
    <cfRule type="cellIs" dxfId="514" priority="521" operator="equal">
      <formula>"3-001-2214"</formula>
    </cfRule>
    <cfRule type="cellIs" dxfId="513" priority="522" operator="equal">
      <formula>"3-001-5204"</formula>
    </cfRule>
    <cfRule type="cellIs" dxfId="512" priority="523" operator="equal">
      <formula>"3-001-0002"</formula>
    </cfRule>
  </conditionalFormatting>
  <conditionalFormatting sqref="F390">
    <cfRule type="cellIs" dxfId="511" priority="517" operator="equal">
      <formula>"3-001-2214"</formula>
    </cfRule>
    <cfRule type="cellIs" dxfId="510" priority="518" operator="equal">
      <formula>"3-001-5204"</formula>
    </cfRule>
    <cfRule type="cellIs" dxfId="509" priority="519" operator="equal">
      <formula>"3-001-0002"</formula>
    </cfRule>
  </conditionalFormatting>
  <conditionalFormatting sqref="AS390">
    <cfRule type="expression" dxfId="508" priority="520">
      <formula>IF(L390=AS390,1,0)</formula>
    </cfRule>
  </conditionalFormatting>
  <conditionalFormatting sqref="AS376">
    <cfRule type="expression" dxfId="507" priority="516">
      <formula>IF(L376=AS376,1,0)</formula>
    </cfRule>
  </conditionalFormatting>
  <conditionalFormatting sqref="F376">
    <cfRule type="cellIs" dxfId="506" priority="513" operator="equal">
      <formula>"3-001-2214"</formula>
    </cfRule>
    <cfRule type="cellIs" dxfId="505" priority="514" operator="equal">
      <formula>"3-001-5204"</formula>
    </cfRule>
    <cfRule type="cellIs" dxfId="504" priority="515" operator="equal">
      <formula>"3-001-0002"</formula>
    </cfRule>
  </conditionalFormatting>
  <conditionalFormatting sqref="AS366">
    <cfRule type="expression" dxfId="503" priority="512">
      <formula>IF(L366=AS366,1,0)</formula>
    </cfRule>
  </conditionalFormatting>
  <conditionalFormatting sqref="F366">
    <cfRule type="cellIs" dxfId="502" priority="509" operator="equal">
      <formula>"3-001-2214"</formula>
    </cfRule>
    <cfRule type="cellIs" dxfId="501" priority="510" operator="equal">
      <formula>"3-001-5204"</formula>
    </cfRule>
    <cfRule type="cellIs" dxfId="500" priority="511" operator="equal">
      <formula>"3-001-0002"</formula>
    </cfRule>
  </conditionalFormatting>
  <conditionalFormatting sqref="F162">
    <cfRule type="cellIs" dxfId="499" priority="505" operator="equal">
      <formula>"3-001-2214"</formula>
    </cfRule>
    <cfRule type="cellIs" dxfId="498" priority="506" operator="equal">
      <formula>"3-001-5204"</formula>
    </cfRule>
    <cfRule type="cellIs" dxfId="497" priority="507" operator="equal">
      <formula>"3-001-0002"</formula>
    </cfRule>
  </conditionalFormatting>
  <conditionalFormatting sqref="AS162">
    <cfRule type="expression" dxfId="496" priority="508">
      <formula>IF(L162=AS162,1,0)</formula>
    </cfRule>
  </conditionalFormatting>
  <conditionalFormatting sqref="F161">
    <cfRule type="cellIs" dxfId="495" priority="501" operator="equal">
      <formula>"3-001-2214"</formula>
    </cfRule>
    <cfRule type="cellIs" dxfId="494" priority="502" operator="equal">
      <formula>"3-001-5204"</formula>
    </cfRule>
    <cfRule type="cellIs" dxfId="493" priority="503" operator="equal">
      <formula>"3-001-0002"</formula>
    </cfRule>
  </conditionalFormatting>
  <conditionalFormatting sqref="AS161">
    <cfRule type="expression" dxfId="492" priority="504">
      <formula>IF(L161=AS161,1,0)</formula>
    </cfRule>
  </conditionalFormatting>
  <conditionalFormatting sqref="F160">
    <cfRule type="cellIs" dxfId="491" priority="497" operator="equal">
      <formula>"3-001-2214"</formula>
    </cfRule>
    <cfRule type="cellIs" dxfId="490" priority="498" operator="equal">
      <formula>"3-001-5204"</formula>
    </cfRule>
    <cfRule type="cellIs" dxfId="489" priority="499" operator="equal">
      <formula>"3-001-0002"</formula>
    </cfRule>
  </conditionalFormatting>
  <conditionalFormatting sqref="AS160">
    <cfRule type="expression" dxfId="488" priority="500">
      <formula>IF(L160=AS160,1,0)</formula>
    </cfRule>
  </conditionalFormatting>
  <conditionalFormatting sqref="F159">
    <cfRule type="cellIs" dxfId="487" priority="493" operator="equal">
      <formula>"3-001-2214"</formula>
    </cfRule>
    <cfRule type="cellIs" dxfId="486" priority="494" operator="equal">
      <formula>"3-001-5204"</formula>
    </cfRule>
    <cfRule type="cellIs" dxfId="485" priority="495" operator="equal">
      <formula>"3-001-0002"</formula>
    </cfRule>
  </conditionalFormatting>
  <conditionalFormatting sqref="AS159">
    <cfRule type="expression" dxfId="484" priority="496">
      <formula>IF(L159=AS159,1,0)</formula>
    </cfRule>
  </conditionalFormatting>
  <conditionalFormatting sqref="F158">
    <cfRule type="cellIs" dxfId="483" priority="489" operator="equal">
      <formula>"3-001-2214"</formula>
    </cfRule>
    <cfRule type="cellIs" dxfId="482" priority="490" operator="equal">
      <formula>"3-001-5204"</formula>
    </cfRule>
    <cfRule type="cellIs" dxfId="481" priority="491" operator="equal">
      <formula>"3-001-0002"</formula>
    </cfRule>
  </conditionalFormatting>
  <conditionalFormatting sqref="AS158">
    <cfRule type="expression" dxfId="480" priority="492">
      <formula>IF(L158=AS158,1,0)</formula>
    </cfRule>
  </conditionalFormatting>
  <conditionalFormatting sqref="F157">
    <cfRule type="cellIs" dxfId="479" priority="485" operator="equal">
      <formula>"3-001-2214"</formula>
    </cfRule>
    <cfRule type="cellIs" dxfId="478" priority="486" operator="equal">
      <formula>"3-001-5204"</formula>
    </cfRule>
    <cfRule type="cellIs" dxfId="477" priority="487" operator="equal">
      <formula>"3-001-0002"</formula>
    </cfRule>
  </conditionalFormatting>
  <conditionalFormatting sqref="AS157">
    <cfRule type="expression" dxfId="476" priority="488">
      <formula>IF(L157=AS157,1,0)</formula>
    </cfRule>
  </conditionalFormatting>
  <conditionalFormatting sqref="F391">
    <cfRule type="cellIs" dxfId="475" priority="481" operator="equal">
      <formula>"3-001-2214"</formula>
    </cfRule>
    <cfRule type="cellIs" dxfId="474" priority="482" operator="equal">
      <formula>"3-001-5204"</formula>
    </cfRule>
    <cfRule type="cellIs" dxfId="473" priority="483" operator="equal">
      <formula>"3-001-0002"</formula>
    </cfRule>
  </conditionalFormatting>
  <conditionalFormatting sqref="AS391">
    <cfRule type="expression" dxfId="472" priority="484">
      <formula>IF(L391=AS391,1,0)</formula>
    </cfRule>
  </conditionalFormatting>
  <conditionalFormatting sqref="F333">
    <cfRule type="cellIs" dxfId="471" priority="477" operator="equal">
      <formula>"3-001-2214"</formula>
    </cfRule>
    <cfRule type="cellIs" dxfId="470" priority="478" operator="equal">
      <formula>"3-001-5204"</formula>
    </cfRule>
    <cfRule type="cellIs" dxfId="469" priority="479" operator="equal">
      <formula>"3-001-0002"</formula>
    </cfRule>
  </conditionalFormatting>
  <conditionalFormatting sqref="AS333">
    <cfRule type="expression" dxfId="468" priority="480">
      <formula>IF(L333=AS333,1,0)</formula>
    </cfRule>
  </conditionalFormatting>
  <conditionalFormatting sqref="AS347">
    <cfRule type="expression" dxfId="467" priority="476">
      <formula>IF(L347=AS347,1,0)</formula>
    </cfRule>
  </conditionalFormatting>
  <conditionalFormatting sqref="F347">
    <cfRule type="cellIs" dxfId="466" priority="473" operator="equal">
      <formula>"3-001-2214"</formula>
    </cfRule>
    <cfRule type="cellIs" dxfId="465" priority="474" operator="equal">
      <formula>"3-001-5204"</formula>
    </cfRule>
    <cfRule type="cellIs" dxfId="464" priority="475" operator="equal">
      <formula>"3-001-0002"</formula>
    </cfRule>
  </conditionalFormatting>
  <conditionalFormatting sqref="F348">
    <cfRule type="cellIs" dxfId="463" priority="469" operator="equal">
      <formula>"3-001-2214"</formula>
    </cfRule>
    <cfRule type="cellIs" dxfId="462" priority="470" operator="equal">
      <formula>"3-001-5204"</formula>
    </cfRule>
    <cfRule type="cellIs" dxfId="461" priority="471" operator="equal">
      <formula>"3-001-0002"</formula>
    </cfRule>
  </conditionalFormatting>
  <conditionalFormatting sqref="AS348">
    <cfRule type="expression" dxfId="460" priority="472">
      <formula>IF(L348=AS348,1,0)</formula>
    </cfRule>
  </conditionalFormatting>
  <conditionalFormatting sqref="AS349">
    <cfRule type="expression" dxfId="459" priority="468">
      <formula>IF(L349=AS349,1,0)</formula>
    </cfRule>
  </conditionalFormatting>
  <conditionalFormatting sqref="F349">
    <cfRule type="cellIs" dxfId="458" priority="465" operator="equal">
      <formula>"3-001-2214"</formula>
    </cfRule>
    <cfRule type="cellIs" dxfId="457" priority="466" operator="equal">
      <formula>"3-001-5204"</formula>
    </cfRule>
    <cfRule type="cellIs" dxfId="456" priority="467" operator="equal">
      <formula>"3-001-0002"</formula>
    </cfRule>
  </conditionalFormatting>
  <conditionalFormatting sqref="AS413">
    <cfRule type="expression" dxfId="455" priority="464">
      <formula>IF(L413=AS413,1,0)</formula>
    </cfRule>
  </conditionalFormatting>
  <conditionalFormatting sqref="F413">
    <cfRule type="cellIs" dxfId="454" priority="461" operator="equal">
      <formula>"3-001-2214"</formula>
    </cfRule>
    <cfRule type="cellIs" dxfId="453" priority="462" operator="equal">
      <formula>"3-001-5204"</formula>
    </cfRule>
    <cfRule type="cellIs" dxfId="452" priority="463" operator="equal">
      <formula>"3-001-0002"</formula>
    </cfRule>
  </conditionalFormatting>
  <conditionalFormatting sqref="AS412">
    <cfRule type="expression" dxfId="451" priority="460">
      <formula>IF(L412=AS412,1,0)</formula>
    </cfRule>
  </conditionalFormatting>
  <conditionalFormatting sqref="F412">
    <cfRule type="cellIs" dxfId="450" priority="457" operator="equal">
      <formula>"3-001-2214"</formula>
    </cfRule>
    <cfRule type="cellIs" dxfId="449" priority="458" operator="equal">
      <formula>"3-001-5204"</formula>
    </cfRule>
    <cfRule type="cellIs" dxfId="448" priority="459" operator="equal">
      <formula>"3-001-0002"</formula>
    </cfRule>
  </conditionalFormatting>
  <conditionalFormatting sqref="AS411">
    <cfRule type="expression" dxfId="447" priority="456">
      <formula>IF(L411=AS411,1,0)</formula>
    </cfRule>
  </conditionalFormatting>
  <conditionalFormatting sqref="F411">
    <cfRule type="cellIs" dxfId="446" priority="453" operator="equal">
      <formula>"3-001-2214"</formula>
    </cfRule>
    <cfRule type="cellIs" dxfId="445" priority="454" operator="equal">
      <formula>"3-001-5204"</formula>
    </cfRule>
    <cfRule type="cellIs" dxfId="444" priority="455" operator="equal">
      <formula>"3-001-0002"</formula>
    </cfRule>
  </conditionalFormatting>
  <conditionalFormatting sqref="F163">
    <cfRule type="cellIs" dxfId="443" priority="449" operator="equal">
      <formula>"3-001-2214"</formula>
    </cfRule>
    <cfRule type="cellIs" dxfId="442" priority="450" operator="equal">
      <formula>"3-001-5204"</formula>
    </cfRule>
    <cfRule type="cellIs" dxfId="441" priority="451" operator="equal">
      <formula>"3-001-0002"</formula>
    </cfRule>
  </conditionalFormatting>
  <conditionalFormatting sqref="AS163">
    <cfRule type="expression" dxfId="440" priority="452">
      <formula>IF(L163=AS163,1,0)</formula>
    </cfRule>
  </conditionalFormatting>
  <conditionalFormatting sqref="F256">
    <cfRule type="cellIs" dxfId="439" priority="445" operator="equal">
      <formula>"3-001-2214"</formula>
    </cfRule>
    <cfRule type="cellIs" dxfId="438" priority="446" operator="equal">
      <formula>"3-001-5204"</formula>
    </cfRule>
    <cfRule type="cellIs" dxfId="437" priority="447" operator="equal">
      <formula>"3-001-0002"</formula>
    </cfRule>
  </conditionalFormatting>
  <conditionalFormatting sqref="AS256">
    <cfRule type="expression" dxfId="436" priority="448">
      <formula>IF(L256=AS256,1,0)</formula>
    </cfRule>
  </conditionalFormatting>
  <conditionalFormatting sqref="AS257">
    <cfRule type="expression" dxfId="435" priority="444">
      <formula>IF(L257=AS257,1,0)</formula>
    </cfRule>
  </conditionalFormatting>
  <conditionalFormatting sqref="F257">
    <cfRule type="cellIs" dxfId="434" priority="441" operator="equal">
      <formula>"3-001-2214"</formula>
    </cfRule>
    <cfRule type="cellIs" dxfId="433" priority="442" operator="equal">
      <formula>"3-001-5204"</formula>
    </cfRule>
    <cfRule type="cellIs" dxfId="432" priority="443" operator="equal">
      <formula>"3-001-0002"</formula>
    </cfRule>
  </conditionalFormatting>
  <conditionalFormatting sqref="F283">
    <cfRule type="cellIs" dxfId="431" priority="437" operator="equal">
      <formula>"3-001-2214"</formula>
    </cfRule>
    <cfRule type="cellIs" dxfId="430" priority="438" operator="equal">
      <formula>"3-001-5204"</formula>
    </cfRule>
    <cfRule type="cellIs" dxfId="429" priority="439" operator="equal">
      <formula>"3-001-0002"</formula>
    </cfRule>
  </conditionalFormatting>
  <conditionalFormatting sqref="AS283">
    <cfRule type="expression" dxfId="428" priority="440">
      <formula>IF(L283=AS283,1,0)</formula>
    </cfRule>
  </conditionalFormatting>
  <conditionalFormatting sqref="AS284">
    <cfRule type="expression" dxfId="427" priority="436">
      <formula>IF(L284=AS284,1,0)</formula>
    </cfRule>
  </conditionalFormatting>
  <conditionalFormatting sqref="F284">
    <cfRule type="cellIs" dxfId="426" priority="433" operator="equal">
      <formula>"3-001-2214"</formula>
    </cfRule>
    <cfRule type="cellIs" dxfId="425" priority="434" operator="equal">
      <formula>"3-001-5204"</formula>
    </cfRule>
    <cfRule type="cellIs" dxfId="424" priority="435" operator="equal">
      <formula>"3-001-0002"</formula>
    </cfRule>
  </conditionalFormatting>
  <conditionalFormatting sqref="F99">
    <cfRule type="cellIs" dxfId="423" priority="429" operator="equal">
      <formula>"3-001-2214"</formula>
    </cfRule>
    <cfRule type="cellIs" dxfId="422" priority="430" operator="equal">
      <formula>"3-001-5204"</formula>
    </cfRule>
    <cfRule type="cellIs" dxfId="421" priority="431" operator="equal">
      <formula>"3-001-0002"</formula>
    </cfRule>
  </conditionalFormatting>
  <conditionalFormatting sqref="AS99">
    <cfRule type="expression" dxfId="420" priority="432">
      <formula>IF(L99=AS99,1,0)</formula>
    </cfRule>
  </conditionalFormatting>
  <conditionalFormatting sqref="F98">
    <cfRule type="cellIs" dxfId="419" priority="425" operator="equal">
      <formula>"3-001-2214"</formula>
    </cfRule>
    <cfRule type="cellIs" dxfId="418" priority="426" operator="equal">
      <formula>"3-001-5204"</formula>
    </cfRule>
    <cfRule type="cellIs" dxfId="417" priority="427" operator="equal">
      <formula>"3-001-0002"</formula>
    </cfRule>
  </conditionalFormatting>
  <conditionalFormatting sqref="AS98">
    <cfRule type="expression" dxfId="416" priority="428">
      <formula>IF(L98=AS98,1,0)</formula>
    </cfRule>
  </conditionalFormatting>
  <conditionalFormatting sqref="F164">
    <cfRule type="cellIs" dxfId="415" priority="421" operator="equal">
      <formula>"3-001-2214"</formula>
    </cfRule>
    <cfRule type="cellIs" dxfId="414" priority="422" operator="equal">
      <formula>"3-001-5204"</formula>
    </cfRule>
    <cfRule type="cellIs" dxfId="413" priority="423" operator="equal">
      <formula>"3-001-0002"</formula>
    </cfRule>
  </conditionalFormatting>
  <conditionalFormatting sqref="AS164">
    <cfRule type="expression" dxfId="412" priority="424">
      <formula>IF(L164=AS164,1,0)</formula>
    </cfRule>
  </conditionalFormatting>
  <conditionalFormatting sqref="AS323">
    <cfRule type="expression" dxfId="411" priority="420">
      <formula>IF(L323=AS323,1,0)</formula>
    </cfRule>
  </conditionalFormatting>
  <conditionalFormatting sqref="F323">
    <cfRule type="cellIs" dxfId="410" priority="417" operator="equal">
      <formula>"3-001-2214"</formula>
    </cfRule>
    <cfRule type="cellIs" dxfId="409" priority="418" operator="equal">
      <formula>"3-001-5204"</formula>
    </cfRule>
    <cfRule type="cellIs" dxfId="408" priority="419" operator="equal">
      <formula>"3-001-0002"</formula>
    </cfRule>
  </conditionalFormatting>
  <conditionalFormatting sqref="F324">
    <cfRule type="cellIs" dxfId="407" priority="413" operator="equal">
      <formula>"3-001-2214"</formula>
    </cfRule>
    <cfRule type="cellIs" dxfId="406" priority="414" operator="equal">
      <formula>"3-001-5204"</formula>
    </cfRule>
    <cfRule type="cellIs" dxfId="405" priority="415" operator="equal">
      <formula>"3-001-0002"</formula>
    </cfRule>
  </conditionalFormatting>
  <conditionalFormatting sqref="AS324">
    <cfRule type="expression" dxfId="404" priority="416">
      <formula>IF(L324=AS324,1,0)</formula>
    </cfRule>
  </conditionalFormatting>
  <conditionalFormatting sqref="AS326">
    <cfRule type="expression" dxfId="403" priority="412">
      <formula>IF(L326=AS326,1,0)</formula>
    </cfRule>
  </conditionalFormatting>
  <conditionalFormatting sqref="F326">
    <cfRule type="cellIs" dxfId="402" priority="409" operator="equal">
      <formula>"3-001-2214"</formula>
    </cfRule>
    <cfRule type="cellIs" dxfId="401" priority="410" operator="equal">
      <formula>"3-001-5204"</formula>
    </cfRule>
    <cfRule type="cellIs" dxfId="400" priority="411" operator="equal">
      <formula>"3-001-0002"</formula>
    </cfRule>
  </conditionalFormatting>
  <conditionalFormatting sqref="F167">
    <cfRule type="cellIs" dxfId="399" priority="405" operator="equal">
      <formula>"3-001-2214"</formula>
    </cfRule>
    <cfRule type="cellIs" dxfId="398" priority="406" operator="equal">
      <formula>"3-001-5204"</formula>
    </cfRule>
    <cfRule type="cellIs" dxfId="397" priority="407" operator="equal">
      <formula>"3-001-0002"</formula>
    </cfRule>
  </conditionalFormatting>
  <conditionalFormatting sqref="AS167">
    <cfRule type="expression" dxfId="396" priority="408">
      <formula>IF(L167=AS167,1,0)</formula>
    </cfRule>
  </conditionalFormatting>
  <conditionalFormatting sqref="AS168">
    <cfRule type="expression" dxfId="395" priority="404">
      <formula>IF(L168=AS168,1,0)</formula>
    </cfRule>
  </conditionalFormatting>
  <conditionalFormatting sqref="F168">
    <cfRule type="cellIs" dxfId="394" priority="401" operator="equal">
      <formula>"3-001-2214"</formula>
    </cfRule>
    <cfRule type="cellIs" dxfId="393" priority="402" operator="equal">
      <formula>"3-001-5204"</formula>
    </cfRule>
    <cfRule type="cellIs" dxfId="392" priority="403" operator="equal">
      <formula>"3-001-0002"</formula>
    </cfRule>
  </conditionalFormatting>
  <conditionalFormatting sqref="F392">
    <cfRule type="cellIs" dxfId="391" priority="397" operator="equal">
      <formula>"3-001-2214"</formula>
    </cfRule>
    <cfRule type="cellIs" dxfId="390" priority="398" operator="equal">
      <formula>"3-001-5204"</formula>
    </cfRule>
    <cfRule type="cellIs" dxfId="389" priority="399" operator="equal">
      <formula>"3-001-0002"</formula>
    </cfRule>
  </conditionalFormatting>
  <conditionalFormatting sqref="AS392">
    <cfRule type="expression" dxfId="388" priority="400">
      <formula>IF(L392=AS392,1,0)</formula>
    </cfRule>
  </conditionalFormatting>
  <conditionalFormatting sqref="F169">
    <cfRule type="cellIs" dxfId="387" priority="393" operator="equal">
      <formula>"3-001-2214"</formula>
    </cfRule>
    <cfRule type="cellIs" dxfId="386" priority="394" operator="equal">
      <formula>"3-001-5204"</formula>
    </cfRule>
    <cfRule type="cellIs" dxfId="385" priority="395" operator="equal">
      <formula>"3-001-0002"</formula>
    </cfRule>
  </conditionalFormatting>
  <conditionalFormatting sqref="AS169">
    <cfRule type="expression" dxfId="384" priority="396">
      <formula>IF(L169=AS169,1,0)</formula>
    </cfRule>
  </conditionalFormatting>
  <conditionalFormatting sqref="F170">
    <cfRule type="cellIs" dxfId="383" priority="389" operator="equal">
      <formula>"3-001-2214"</formula>
    </cfRule>
    <cfRule type="cellIs" dxfId="382" priority="390" operator="equal">
      <formula>"3-001-5204"</formula>
    </cfRule>
    <cfRule type="cellIs" dxfId="381" priority="391" operator="equal">
      <formula>"3-001-0002"</formula>
    </cfRule>
  </conditionalFormatting>
  <conditionalFormatting sqref="AS170">
    <cfRule type="expression" dxfId="380" priority="392">
      <formula>IF(L170=AS170,1,0)</formula>
    </cfRule>
  </conditionalFormatting>
  <conditionalFormatting sqref="F297">
    <cfRule type="cellIs" dxfId="379" priority="385" operator="equal">
      <formula>"3-001-2214"</formula>
    </cfRule>
    <cfRule type="cellIs" dxfId="378" priority="386" operator="equal">
      <formula>"3-001-5204"</formula>
    </cfRule>
    <cfRule type="cellIs" dxfId="377" priority="387" operator="equal">
      <formula>"3-001-0002"</formula>
    </cfRule>
  </conditionalFormatting>
  <conditionalFormatting sqref="AS297">
    <cfRule type="expression" dxfId="376" priority="388">
      <formula>IF(L297=AS297,1,0)</formula>
    </cfRule>
  </conditionalFormatting>
  <conditionalFormatting sqref="F175">
    <cfRule type="cellIs" dxfId="375" priority="381" operator="equal">
      <formula>"3-001-2214"</formula>
    </cfRule>
    <cfRule type="cellIs" dxfId="374" priority="382" operator="equal">
      <formula>"3-001-5204"</formula>
    </cfRule>
    <cfRule type="cellIs" dxfId="373" priority="383" operator="equal">
      <formula>"3-001-0002"</formula>
    </cfRule>
  </conditionalFormatting>
  <conditionalFormatting sqref="AS175">
    <cfRule type="expression" dxfId="372" priority="384">
      <formula>IF(L175=AS175,1,0)</formula>
    </cfRule>
  </conditionalFormatting>
  <conditionalFormatting sqref="F80">
    <cfRule type="cellIs" dxfId="371" priority="377" operator="equal">
      <formula>"3-001-2214"</formula>
    </cfRule>
    <cfRule type="cellIs" dxfId="370" priority="378" operator="equal">
      <formula>"3-001-5204"</formula>
    </cfRule>
    <cfRule type="cellIs" dxfId="369" priority="379" operator="equal">
      <formula>"3-001-0002"</formula>
    </cfRule>
  </conditionalFormatting>
  <conditionalFormatting sqref="AS80">
    <cfRule type="expression" dxfId="368" priority="380">
      <formula>IF(L80=AS80,1,0)</formula>
    </cfRule>
  </conditionalFormatting>
  <conditionalFormatting sqref="AS37">
    <cfRule type="expression" dxfId="367" priority="376">
      <formula>IF(L37=AS37,1,0)</formula>
    </cfRule>
  </conditionalFormatting>
  <conditionalFormatting sqref="F37">
    <cfRule type="cellIs" dxfId="366" priority="373" operator="equal">
      <formula>"3-001-2214"</formula>
    </cfRule>
    <cfRule type="cellIs" dxfId="365" priority="374" operator="equal">
      <formula>"3-001-5204"</formula>
    </cfRule>
    <cfRule type="cellIs" dxfId="364" priority="375" operator="equal">
      <formula>"3-001-0002"</formula>
    </cfRule>
  </conditionalFormatting>
  <conditionalFormatting sqref="AS38">
    <cfRule type="expression" dxfId="363" priority="372">
      <formula>IF(L38=AS38,1,0)</formula>
    </cfRule>
  </conditionalFormatting>
  <conditionalFormatting sqref="F38">
    <cfRule type="cellIs" dxfId="362" priority="369" operator="equal">
      <formula>"3-001-2214"</formula>
    </cfRule>
    <cfRule type="cellIs" dxfId="361" priority="370" operator="equal">
      <formula>"3-001-5204"</formula>
    </cfRule>
    <cfRule type="cellIs" dxfId="360" priority="371" operator="equal">
      <formula>"3-001-0002"</formula>
    </cfRule>
  </conditionalFormatting>
  <conditionalFormatting sqref="AS367">
    <cfRule type="expression" dxfId="359" priority="368">
      <formula>IF(L367=AS367,1,0)</formula>
    </cfRule>
  </conditionalFormatting>
  <conditionalFormatting sqref="F367">
    <cfRule type="cellIs" dxfId="358" priority="365" operator="equal">
      <formula>"3-001-2214"</formula>
    </cfRule>
    <cfRule type="cellIs" dxfId="357" priority="366" operator="equal">
      <formula>"3-001-5204"</formula>
    </cfRule>
    <cfRule type="cellIs" dxfId="356" priority="367" operator="equal">
      <formula>"3-001-0002"</formula>
    </cfRule>
  </conditionalFormatting>
  <conditionalFormatting sqref="F393">
    <cfRule type="cellIs" dxfId="355" priority="361" operator="equal">
      <formula>"3-001-2214"</formula>
    </cfRule>
    <cfRule type="cellIs" dxfId="354" priority="362" operator="equal">
      <formula>"3-001-5204"</formula>
    </cfRule>
    <cfRule type="cellIs" dxfId="353" priority="363" operator="equal">
      <formula>"3-001-0002"</formula>
    </cfRule>
  </conditionalFormatting>
  <conditionalFormatting sqref="AS393">
    <cfRule type="expression" dxfId="352" priority="364">
      <formula>IF(L393=AS393,1,0)</formula>
    </cfRule>
  </conditionalFormatting>
  <conditionalFormatting sqref="F176">
    <cfRule type="cellIs" dxfId="351" priority="357" operator="equal">
      <formula>"3-001-2214"</formula>
    </cfRule>
    <cfRule type="cellIs" dxfId="350" priority="358" operator="equal">
      <formula>"3-001-5204"</formula>
    </cfRule>
    <cfRule type="cellIs" dxfId="349" priority="359" operator="equal">
      <formula>"3-001-0002"</formula>
    </cfRule>
  </conditionalFormatting>
  <conditionalFormatting sqref="AS176">
    <cfRule type="expression" dxfId="348" priority="360">
      <formula>IF(L176=AS176,1,0)</formula>
    </cfRule>
  </conditionalFormatting>
  <conditionalFormatting sqref="AS246">
    <cfRule type="expression" dxfId="347" priority="356">
      <formula>IF(L246=AS246,1,0)</formula>
    </cfRule>
  </conditionalFormatting>
  <conditionalFormatting sqref="F246">
    <cfRule type="cellIs" dxfId="346" priority="353" operator="equal">
      <formula>"3-001-2214"</formula>
    </cfRule>
    <cfRule type="cellIs" dxfId="345" priority="354" operator="equal">
      <formula>"3-001-5204"</formula>
    </cfRule>
    <cfRule type="cellIs" dxfId="344" priority="355" operator="equal">
      <formula>"3-001-0002"</formula>
    </cfRule>
  </conditionalFormatting>
  <conditionalFormatting sqref="AS243">
    <cfRule type="expression" dxfId="343" priority="352">
      <formula>IF(L243=AS243,1,0)</formula>
    </cfRule>
  </conditionalFormatting>
  <conditionalFormatting sqref="F243">
    <cfRule type="cellIs" dxfId="342" priority="349" operator="equal">
      <formula>"3-001-2214"</formula>
    </cfRule>
    <cfRule type="cellIs" dxfId="341" priority="350" operator="equal">
      <formula>"3-001-5204"</formula>
    </cfRule>
    <cfRule type="cellIs" dxfId="340" priority="351" operator="equal">
      <formula>"3-001-0002"</formula>
    </cfRule>
  </conditionalFormatting>
  <conditionalFormatting sqref="F107">
    <cfRule type="cellIs" dxfId="339" priority="345" operator="equal">
      <formula>"3-001-2214"</formula>
    </cfRule>
    <cfRule type="cellIs" dxfId="338" priority="346" operator="equal">
      <formula>"3-001-5204"</formula>
    </cfRule>
    <cfRule type="cellIs" dxfId="337" priority="347" operator="equal">
      <formula>"3-001-0002"</formula>
    </cfRule>
  </conditionalFormatting>
  <conditionalFormatting sqref="AS107">
    <cfRule type="expression" dxfId="336" priority="348">
      <formula>IF(L107=AS107,1,0)</formula>
    </cfRule>
  </conditionalFormatting>
  <conditionalFormatting sqref="F178">
    <cfRule type="cellIs" dxfId="335" priority="341" operator="equal">
      <formula>"3-001-2214"</formula>
    </cfRule>
    <cfRule type="cellIs" dxfId="334" priority="342" operator="equal">
      <formula>"3-001-5204"</formula>
    </cfRule>
    <cfRule type="cellIs" dxfId="333" priority="343" operator="equal">
      <formula>"3-001-0002"</formula>
    </cfRule>
  </conditionalFormatting>
  <conditionalFormatting sqref="AS178">
    <cfRule type="expression" dxfId="332" priority="344">
      <formula>IF(L178=AS178,1,0)</formula>
    </cfRule>
  </conditionalFormatting>
  <conditionalFormatting sqref="F177">
    <cfRule type="cellIs" dxfId="331" priority="337" operator="equal">
      <formula>"3-001-2214"</formula>
    </cfRule>
    <cfRule type="cellIs" dxfId="330" priority="338" operator="equal">
      <formula>"3-001-5204"</formula>
    </cfRule>
    <cfRule type="cellIs" dxfId="329" priority="339" operator="equal">
      <formula>"3-001-0002"</formula>
    </cfRule>
  </conditionalFormatting>
  <conditionalFormatting sqref="AS177">
    <cfRule type="expression" dxfId="328" priority="340">
      <formula>IF(L177=AS177,1,0)</formula>
    </cfRule>
  </conditionalFormatting>
  <conditionalFormatting sqref="F171">
    <cfRule type="cellIs" dxfId="327" priority="333" operator="equal">
      <formula>"3-001-2214"</formula>
    </cfRule>
    <cfRule type="cellIs" dxfId="326" priority="334" operator="equal">
      <formula>"3-001-5204"</formula>
    </cfRule>
    <cfRule type="cellIs" dxfId="325" priority="335" operator="equal">
      <formula>"3-001-0002"</formula>
    </cfRule>
  </conditionalFormatting>
  <conditionalFormatting sqref="AS171">
    <cfRule type="expression" dxfId="324" priority="336">
      <formula>IF(L171=AS171,1,0)</formula>
    </cfRule>
  </conditionalFormatting>
  <conditionalFormatting sqref="F108">
    <cfRule type="cellIs" dxfId="323" priority="329" operator="equal">
      <formula>"3-001-2214"</formula>
    </cfRule>
    <cfRule type="cellIs" dxfId="322" priority="330" operator="equal">
      <formula>"3-001-5204"</formula>
    </cfRule>
    <cfRule type="cellIs" dxfId="321" priority="331" operator="equal">
      <formula>"3-001-0002"</formula>
    </cfRule>
  </conditionalFormatting>
  <conditionalFormatting sqref="AS108">
    <cfRule type="expression" dxfId="320" priority="332">
      <formula>IF(L108=AS108,1,0)</formula>
    </cfRule>
  </conditionalFormatting>
  <conditionalFormatting sqref="F180">
    <cfRule type="cellIs" dxfId="319" priority="325" operator="equal">
      <formula>"3-001-2214"</formula>
    </cfRule>
    <cfRule type="cellIs" dxfId="318" priority="326" operator="equal">
      <formula>"3-001-5204"</formula>
    </cfRule>
    <cfRule type="cellIs" dxfId="317" priority="327" operator="equal">
      <formula>"3-001-0002"</formula>
    </cfRule>
  </conditionalFormatting>
  <conditionalFormatting sqref="AS180">
    <cfRule type="expression" dxfId="316" priority="328">
      <formula>IF(L180=AS180,1,0)</formula>
    </cfRule>
  </conditionalFormatting>
  <conditionalFormatting sqref="F179">
    <cfRule type="cellIs" dxfId="315" priority="321" operator="equal">
      <formula>"3-001-2214"</formula>
    </cfRule>
    <cfRule type="cellIs" dxfId="314" priority="322" operator="equal">
      <formula>"3-001-5204"</formula>
    </cfRule>
    <cfRule type="cellIs" dxfId="313" priority="323" operator="equal">
      <formula>"3-001-0002"</formula>
    </cfRule>
  </conditionalFormatting>
  <conditionalFormatting sqref="AS179">
    <cfRule type="expression" dxfId="312" priority="324">
      <formula>IF(L179=AS179,1,0)</formula>
    </cfRule>
  </conditionalFormatting>
  <conditionalFormatting sqref="F84">
    <cfRule type="cellIs" dxfId="311" priority="317" operator="equal">
      <formula>"3-001-2214"</formula>
    </cfRule>
    <cfRule type="cellIs" dxfId="310" priority="318" operator="equal">
      <formula>"3-001-5204"</formula>
    </cfRule>
    <cfRule type="cellIs" dxfId="309" priority="319" operator="equal">
      <formula>"3-001-0002"</formula>
    </cfRule>
  </conditionalFormatting>
  <conditionalFormatting sqref="AS84">
    <cfRule type="expression" dxfId="308" priority="320">
      <formula>IF(L84=AS84,1,0)</formula>
    </cfRule>
  </conditionalFormatting>
  <conditionalFormatting sqref="AS62">
    <cfRule type="expression" dxfId="307" priority="316">
      <formula>IF(L62=AS62,1,0)</formula>
    </cfRule>
  </conditionalFormatting>
  <conditionalFormatting sqref="F62">
    <cfRule type="cellIs" dxfId="306" priority="313" operator="equal">
      <formula>"3-001-2214"</formula>
    </cfRule>
    <cfRule type="cellIs" dxfId="305" priority="314" operator="equal">
      <formula>"3-001-5204"</formula>
    </cfRule>
    <cfRule type="cellIs" dxfId="304" priority="315" operator="equal">
      <formula>"3-001-0002"</formula>
    </cfRule>
  </conditionalFormatting>
  <conditionalFormatting sqref="AS61">
    <cfRule type="expression" dxfId="303" priority="312">
      <formula>IF(L61=AS61,1,0)</formula>
    </cfRule>
  </conditionalFormatting>
  <conditionalFormatting sqref="F61">
    <cfRule type="cellIs" dxfId="302" priority="309" operator="equal">
      <formula>"3-001-2214"</formula>
    </cfRule>
    <cfRule type="cellIs" dxfId="301" priority="310" operator="equal">
      <formula>"3-001-5204"</formula>
    </cfRule>
    <cfRule type="cellIs" dxfId="300" priority="311" operator="equal">
      <formula>"3-001-0002"</formula>
    </cfRule>
  </conditionalFormatting>
  <conditionalFormatting sqref="L249">
    <cfRule type="cellIs" dxfId="299" priority="308" operator="notEqual">
      <formula>$L$247</formula>
    </cfRule>
  </conditionalFormatting>
  <conditionalFormatting sqref="Q249">
    <cfRule type="cellIs" dxfId="298" priority="307" operator="notEqual">
      <formula>$Q$247</formula>
    </cfRule>
  </conditionalFormatting>
  <conditionalFormatting sqref="S249">
    <cfRule type="cellIs" dxfId="297" priority="306" operator="notEqual">
      <formula>$S$247</formula>
    </cfRule>
  </conditionalFormatting>
  <conditionalFormatting sqref="AS244">
    <cfRule type="expression" dxfId="296" priority="305">
      <formula>IF(L244=AS244,1,0)</formula>
    </cfRule>
  </conditionalFormatting>
  <conditionalFormatting sqref="F244">
    <cfRule type="cellIs" dxfId="295" priority="302" operator="equal">
      <formula>"3-001-2214"</formula>
    </cfRule>
    <cfRule type="cellIs" dxfId="294" priority="303" operator="equal">
      <formula>"3-001-5204"</formula>
    </cfRule>
    <cfRule type="cellIs" dxfId="293" priority="304" operator="equal">
      <formula>"3-001-0002"</formula>
    </cfRule>
  </conditionalFormatting>
  <conditionalFormatting sqref="AS245">
    <cfRule type="expression" dxfId="292" priority="301">
      <formula>IF(L245=AS245,1,0)</formula>
    </cfRule>
  </conditionalFormatting>
  <conditionalFormatting sqref="F245">
    <cfRule type="cellIs" dxfId="291" priority="298" operator="equal">
      <formula>"3-001-2214"</formula>
    </cfRule>
    <cfRule type="cellIs" dxfId="290" priority="299" operator="equal">
      <formula>"3-001-5204"</formula>
    </cfRule>
    <cfRule type="cellIs" dxfId="289" priority="300" operator="equal">
      <formula>"3-001-0002"</formula>
    </cfRule>
  </conditionalFormatting>
  <conditionalFormatting sqref="AS228">
    <cfRule type="expression" dxfId="288" priority="297">
      <formula>IF(L228=AS228,1,0)</formula>
    </cfRule>
  </conditionalFormatting>
  <conditionalFormatting sqref="F228">
    <cfRule type="cellIs" dxfId="287" priority="294" operator="equal">
      <formula>"3-001-2214"</formula>
    </cfRule>
    <cfRule type="cellIs" dxfId="286" priority="295" operator="equal">
      <formula>"3-001-5204"</formula>
    </cfRule>
    <cfRule type="cellIs" dxfId="285" priority="296" operator="equal">
      <formula>"3-001-0002"</formula>
    </cfRule>
  </conditionalFormatting>
  <conditionalFormatting sqref="AS233">
    <cfRule type="expression" dxfId="284" priority="293">
      <formula>IF(L233=AS233,1,0)</formula>
    </cfRule>
  </conditionalFormatting>
  <conditionalFormatting sqref="F233">
    <cfRule type="cellIs" dxfId="283" priority="290" operator="equal">
      <formula>"3-001-2214"</formula>
    </cfRule>
    <cfRule type="cellIs" dxfId="282" priority="291" operator="equal">
      <formula>"3-001-5204"</formula>
    </cfRule>
    <cfRule type="cellIs" dxfId="281" priority="292" operator="equal">
      <formula>"3-001-0002"</formula>
    </cfRule>
  </conditionalFormatting>
  <conditionalFormatting sqref="AS242">
    <cfRule type="expression" dxfId="280" priority="289">
      <formula>IF(L242=AS242,1,0)</formula>
    </cfRule>
  </conditionalFormatting>
  <conditionalFormatting sqref="F242">
    <cfRule type="cellIs" dxfId="279" priority="286" operator="equal">
      <formula>"3-001-2214"</formula>
    </cfRule>
    <cfRule type="cellIs" dxfId="278" priority="287" operator="equal">
      <formula>"3-001-5204"</formula>
    </cfRule>
    <cfRule type="cellIs" dxfId="277" priority="288" operator="equal">
      <formula>"3-001-0002"</formula>
    </cfRule>
  </conditionalFormatting>
  <conditionalFormatting sqref="AS240">
    <cfRule type="expression" dxfId="276" priority="285">
      <formula>IF(L240=AS240,1,0)</formula>
    </cfRule>
  </conditionalFormatting>
  <conditionalFormatting sqref="F240">
    <cfRule type="cellIs" dxfId="275" priority="282" operator="equal">
      <formula>"3-001-2214"</formula>
    </cfRule>
    <cfRule type="cellIs" dxfId="274" priority="283" operator="equal">
      <formula>"3-001-5204"</formula>
    </cfRule>
    <cfRule type="cellIs" dxfId="273" priority="284" operator="equal">
      <formula>"3-001-0002"</formula>
    </cfRule>
  </conditionalFormatting>
  <conditionalFormatting sqref="AS239">
    <cfRule type="expression" dxfId="272" priority="281">
      <formula>IF(L239=AS239,1,0)</formula>
    </cfRule>
  </conditionalFormatting>
  <conditionalFormatting sqref="F239">
    <cfRule type="cellIs" dxfId="271" priority="278" operator="equal">
      <formula>"3-001-2214"</formula>
    </cfRule>
    <cfRule type="cellIs" dxfId="270" priority="279" operator="equal">
      <formula>"3-001-5204"</formula>
    </cfRule>
    <cfRule type="cellIs" dxfId="269" priority="280" operator="equal">
      <formula>"3-001-0002"</formula>
    </cfRule>
  </conditionalFormatting>
  <conditionalFormatting sqref="AS237">
    <cfRule type="expression" dxfId="268" priority="277">
      <formula>IF(L237=AS237,1,0)</formula>
    </cfRule>
  </conditionalFormatting>
  <conditionalFormatting sqref="F237">
    <cfRule type="cellIs" dxfId="267" priority="274" operator="equal">
      <formula>"3-001-2214"</formula>
    </cfRule>
    <cfRule type="cellIs" dxfId="266" priority="275" operator="equal">
      <formula>"3-001-5204"</formula>
    </cfRule>
    <cfRule type="cellIs" dxfId="265" priority="276" operator="equal">
      <formula>"3-001-0002"</formula>
    </cfRule>
  </conditionalFormatting>
  <conditionalFormatting sqref="AS235">
    <cfRule type="expression" dxfId="264" priority="273">
      <formula>IF(L235=AS235,1,0)</formula>
    </cfRule>
  </conditionalFormatting>
  <conditionalFormatting sqref="F235">
    <cfRule type="cellIs" dxfId="263" priority="270" operator="equal">
      <formula>"3-001-2214"</formula>
    </cfRule>
    <cfRule type="cellIs" dxfId="262" priority="271" operator="equal">
      <formula>"3-001-5204"</formula>
    </cfRule>
    <cfRule type="cellIs" dxfId="261" priority="272" operator="equal">
      <formula>"3-001-0002"</formula>
    </cfRule>
  </conditionalFormatting>
  <conditionalFormatting sqref="AS238">
    <cfRule type="expression" dxfId="260" priority="269">
      <formula>IF(L238=AS238,1,0)</formula>
    </cfRule>
  </conditionalFormatting>
  <conditionalFormatting sqref="F238">
    <cfRule type="cellIs" dxfId="259" priority="266" operator="equal">
      <formula>"3-001-2214"</formula>
    </cfRule>
    <cfRule type="cellIs" dxfId="258" priority="267" operator="equal">
      <formula>"3-001-5204"</formula>
    </cfRule>
    <cfRule type="cellIs" dxfId="257" priority="268" operator="equal">
      <formula>"3-001-0002"</formula>
    </cfRule>
  </conditionalFormatting>
  <conditionalFormatting sqref="AS231">
    <cfRule type="expression" dxfId="256" priority="265">
      <formula>IF(L231=AS231,1,0)</formula>
    </cfRule>
  </conditionalFormatting>
  <conditionalFormatting sqref="F231">
    <cfRule type="cellIs" dxfId="255" priority="262" operator="equal">
      <formula>"3-001-2214"</formula>
    </cfRule>
    <cfRule type="cellIs" dxfId="254" priority="263" operator="equal">
      <formula>"3-001-5204"</formula>
    </cfRule>
    <cfRule type="cellIs" dxfId="253" priority="264" operator="equal">
      <formula>"3-001-0002"</formula>
    </cfRule>
  </conditionalFormatting>
  <conditionalFormatting sqref="AS230">
    <cfRule type="expression" dxfId="252" priority="261">
      <formula>IF(L230=AS230,1,0)</formula>
    </cfRule>
  </conditionalFormatting>
  <conditionalFormatting sqref="F230">
    <cfRule type="cellIs" dxfId="251" priority="258" operator="equal">
      <formula>"3-001-2214"</formula>
    </cfRule>
    <cfRule type="cellIs" dxfId="250" priority="259" operator="equal">
      <formula>"3-001-5204"</formula>
    </cfRule>
    <cfRule type="cellIs" dxfId="249" priority="260" operator="equal">
      <formula>"3-001-0002"</formula>
    </cfRule>
  </conditionalFormatting>
  <conditionalFormatting sqref="AS232">
    <cfRule type="expression" dxfId="248" priority="257">
      <formula>IF(L232=AS232,1,0)</formula>
    </cfRule>
  </conditionalFormatting>
  <conditionalFormatting sqref="F232">
    <cfRule type="cellIs" dxfId="247" priority="254" operator="equal">
      <formula>"3-001-2214"</formula>
    </cfRule>
    <cfRule type="cellIs" dxfId="246" priority="255" operator="equal">
      <formula>"3-001-5204"</formula>
    </cfRule>
    <cfRule type="cellIs" dxfId="245" priority="256" operator="equal">
      <formula>"3-001-0002"</formula>
    </cfRule>
  </conditionalFormatting>
  <conditionalFormatting sqref="AS236">
    <cfRule type="expression" dxfId="244" priority="253">
      <formula>IF(L236=AS236,1,0)</formula>
    </cfRule>
  </conditionalFormatting>
  <conditionalFormatting sqref="F236">
    <cfRule type="cellIs" dxfId="243" priority="250" operator="equal">
      <formula>"3-001-2214"</formula>
    </cfRule>
    <cfRule type="cellIs" dxfId="242" priority="251" operator="equal">
      <formula>"3-001-5204"</formula>
    </cfRule>
    <cfRule type="cellIs" dxfId="241" priority="252" operator="equal">
      <formula>"3-001-0002"</formula>
    </cfRule>
  </conditionalFormatting>
  <conditionalFormatting sqref="AS241">
    <cfRule type="expression" dxfId="240" priority="249">
      <formula>IF(L241=AS241,1,0)</formula>
    </cfRule>
  </conditionalFormatting>
  <conditionalFormatting sqref="F241">
    <cfRule type="cellIs" dxfId="239" priority="246" operator="equal">
      <formula>"3-001-2214"</formula>
    </cfRule>
    <cfRule type="cellIs" dxfId="238" priority="247" operator="equal">
      <formula>"3-001-5204"</formula>
    </cfRule>
    <cfRule type="cellIs" dxfId="237" priority="248" operator="equal">
      <formula>"3-001-0002"</formula>
    </cfRule>
  </conditionalFormatting>
  <conditionalFormatting sqref="AS229">
    <cfRule type="expression" dxfId="236" priority="245">
      <formula>IF(L229=AS229,1,0)</formula>
    </cfRule>
  </conditionalFormatting>
  <conditionalFormatting sqref="F229">
    <cfRule type="cellIs" dxfId="235" priority="242" operator="equal">
      <formula>"3-001-2214"</formula>
    </cfRule>
    <cfRule type="cellIs" dxfId="234" priority="243" operator="equal">
      <formula>"3-001-5204"</formula>
    </cfRule>
    <cfRule type="cellIs" dxfId="233" priority="244" operator="equal">
      <formula>"3-001-0002"</formula>
    </cfRule>
  </conditionalFormatting>
  <conditionalFormatting sqref="AS234">
    <cfRule type="expression" dxfId="232" priority="241">
      <formula>IF(L234=AS234,1,0)</formula>
    </cfRule>
  </conditionalFormatting>
  <conditionalFormatting sqref="F234">
    <cfRule type="cellIs" dxfId="231" priority="238" operator="equal">
      <formula>"3-001-2214"</formula>
    </cfRule>
    <cfRule type="cellIs" dxfId="230" priority="239" operator="equal">
      <formula>"3-001-5204"</formula>
    </cfRule>
    <cfRule type="cellIs" dxfId="229" priority="240" operator="equal">
      <formula>"3-001-0002"</formula>
    </cfRule>
  </conditionalFormatting>
  <conditionalFormatting sqref="AS63">
    <cfRule type="expression" dxfId="228" priority="237">
      <formula>IF(L63=AS63,1,0)</formula>
    </cfRule>
  </conditionalFormatting>
  <conditionalFormatting sqref="F63">
    <cfRule type="cellIs" dxfId="227" priority="234" operator="equal">
      <formula>"3-001-2214"</formula>
    </cfRule>
    <cfRule type="cellIs" dxfId="226" priority="235" operator="equal">
      <formula>"3-001-5204"</formula>
    </cfRule>
    <cfRule type="cellIs" dxfId="225" priority="236" operator="equal">
      <formula>"3-001-0002"</formula>
    </cfRule>
  </conditionalFormatting>
  <conditionalFormatting sqref="F181">
    <cfRule type="cellIs" dxfId="224" priority="230" operator="equal">
      <formula>"3-001-2214"</formula>
    </cfRule>
    <cfRule type="cellIs" dxfId="223" priority="231" operator="equal">
      <formula>"3-001-5204"</formula>
    </cfRule>
    <cfRule type="cellIs" dxfId="222" priority="232" operator="equal">
      <formula>"3-001-0002"</formula>
    </cfRule>
  </conditionalFormatting>
  <conditionalFormatting sqref="AS181">
    <cfRule type="expression" dxfId="221" priority="233">
      <formula>IF(L181=AS181,1,0)</formula>
    </cfRule>
  </conditionalFormatting>
  <conditionalFormatting sqref="F182">
    <cfRule type="cellIs" dxfId="220" priority="226" operator="equal">
      <formula>"3-001-2214"</formula>
    </cfRule>
    <cfRule type="cellIs" dxfId="219" priority="227" operator="equal">
      <formula>"3-001-5204"</formula>
    </cfRule>
    <cfRule type="cellIs" dxfId="218" priority="228" operator="equal">
      <formula>"3-001-0002"</formula>
    </cfRule>
  </conditionalFormatting>
  <conditionalFormatting sqref="AS182">
    <cfRule type="expression" dxfId="217" priority="229">
      <formula>IF(L182=AS182,1,0)</formula>
    </cfRule>
  </conditionalFormatting>
  <conditionalFormatting sqref="AS60">
    <cfRule type="expression" dxfId="216" priority="225">
      <formula>IF(L60=AS60,1,0)</formula>
    </cfRule>
  </conditionalFormatting>
  <conditionalFormatting sqref="F60">
    <cfRule type="cellIs" dxfId="215" priority="222" operator="equal">
      <formula>"3-001-2214"</formula>
    </cfRule>
    <cfRule type="cellIs" dxfId="214" priority="223" operator="equal">
      <formula>"3-001-5204"</formula>
    </cfRule>
    <cfRule type="cellIs" dxfId="213" priority="224" operator="equal">
      <formula>"3-001-0002"</formula>
    </cfRule>
  </conditionalFormatting>
  <conditionalFormatting sqref="F389">
    <cfRule type="cellIs" dxfId="212" priority="218" operator="equal">
      <formula>"3-001-2214"</formula>
    </cfRule>
    <cfRule type="cellIs" dxfId="211" priority="219" operator="equal">
      <formula>"3-001-5204"</formula>
    </cfRule>
    <cfRule type="cellIs" dxfId="210" priority="220" operator="equal">
      <formula>"3-001-0002"</formula>
    </cfRule>
  </conditionalFormatting>
  <conditionalFormatting sqref="AS389">
    <cfRule type="expression" dxfId="209" priority="221">
      <formula>IF(L389=AS389,1,0)</formula>
    </cfRule>
  </conditionalFormatting>
  <conditionalFormatting sqref="AS355:AS356">
    <cfRule type="expression" dxfId="208" priority="217">
      <formula>IF(L355=AS355,1,0)</formula>
    </cfRule>
  </conditionalFormatting>
  <conditionalFormatting sqref="F355:F356">
    <cfRule type="cellIs" dxfId="207" priority="214" operator="equal">
      <formula>"3-001-2214"</formula>
    </cfRule>
    <cfRule type="cellIs" dxfId="206" priority="215" operator="equal">
      <formula>"3-001-5204"</formula>
    </cfRule>
    <cfRule type="cellIs" dxfId="205" priority="216" operator="equal">
      <formula>"3-001-0002"</formula>
    </cfRule>
  </conditionalFormatting>
  <conditionalFormatting sqref="F357">
    <cfRule type="cellIs" dxfId="204" priority="210" operator="equal">
      <formula>"3-001-2214"</formula>
    </cfRule>
    <cfRule type="cellIs" dxfId="203" priority="211" operator="equal">
      <formula>"3-001-5204"</formula>
    </cfRule>
    <cfRule type="cellIs" dxfId="202" priority="212" operator="equal">
      <formula>"3-001-0002"</formula>
    </cfRule>
  </conditionalFormatting>
  <conditionalFormatting sqref="AS357">
    <cfRule type="expression" dxfId="201" priority="213">
      <formula>IF(L357=AS357,1,0)</formula>
    </cfRule>
  </conditionalFormatting>
  <conditionalFormatting sqref="F354">
    <cfRule type="cellIs" dxfId="200" priority="206" operator="equal">
      <formula>"3-001-2214"</formula>
    </cfRule>
    <cfRule type="cellIs" dxfId="199" priority="207" operator="equal">
      <formula>"3-001-5204"</formula>
    </cfRule>
    <cfRule type="cellIs" dxfId="198" priority="208" operator="equal">
      <formula>"3-001-0002"</formula>
    </cfRule>
  </conditionalFormatting>
  <conditionalFormatting sqref="AS354">
    <cfRule type="expression" dxfId="197" priority="209">
      <formula>IF(L354=AS354,1,0)</formula>
    </cfRule>
  </conditionalFormatting>
  <conditionalFormatting sqref="F312">
    <cfRule type="cellIs" dxfId="196" priority="202" operator="equal">
      <formula>"3-001-2214"</formula>
    </cfRule>
    <cfRule type="cellIs" dxfId="195" priority="203" operator="equal">
      <formula>"3-001-5204"</formula>
    </cfRule>
    <cfRule type="cellIs" dxfId="194" priority="204" operator="equal">
      <formula>"3-001-0002"</formula>
    </cfRule>
  </conditionalFormatting>
  <conditionalFormatting sqref="AS312">
    <cfRule type="expression" dxfId="193" priority="205">
      <formula>IF(L312=AS312,1,0)</formula>
    </cfRule>
  </conditionalFormatting>
  <conditionalFormatting sqref="AS320">
    <cfRule type="expression" dxfId="192" priority="201">
      <formula>IF(L320=AS320,1,0)</formula>
    </cfRule>
  </conditionalFormatting>
  <conditionalFormatting sqref="F321">
    <cfRule type="cellIs" dxfId="191" priority="193" operator="equal">
      <formula>"3-001-2214"</formula>
    </cfRule>
    <cfRule type="cellIs" dxfId="190" priority="194" operator="equal">
      <formula>"3-001-5204"</formula>
    </cfRule>
    <cfRule type="cellIs" dxfId="189" priority="195" operator="equal">
      <formula>"3-001-0002"</formula>
    </cfRule>
  </conditionalFormatting>
  <conditionalFormatting sqref="AS321">
    <cfRule type="expression" dxfId="188" priority="196">
      <formula>IF(L321=AS321,1,0)</formula>
    </cfRule>
  </conditionalFormatting>
  <conditionalFormatting sqref="F313:F318 F320">
    <cfRule type="cellIs" dxfId="187" priority="197" operator="equal">
      <formula>"3-001-2214"</formula>
    </cfRule>
    <cfRule type="cellIs" dxfId="186" priority="198" operator="equal">
      <formula>"3-001-5204"</formula>
    </cfRule>
    <cfRule type="cellIs" dxfId="185" priority="199" operator="equal">
      <formula>"3-001-0002"</formula>
    </cfRule>
  </conditionalFormatting>
  <conditionalFormatting sqref="AS313:AS318">
    <cfRule type="expression" dxfId="184" priority="200">
      <formula>IF(L313=AS313,1,0)</formula>
    </cfRule>
  </conditionalFormatting>
  <conditionalFormatting sqref="F319">
    <cfRule type="cellIs" dxfId="183" priority="189" operator="equal">
      <formula>"3-001-2214"</formula>
    </cfRule>
    <cfRule type="cellIs" dxfId="182" priority="190" operator="equal">
      <formula>"3-001-5204"</formula>
    </cfRule>
    <cfRule type="cellIs" dxfId="181" priority="191" operator="equal">
      <formula>"3-001-0002"</formula>
    </cfRule>
  </conditionalFormatting>
  <conditionalFormatting sqref="AS319">
    <cfRule type="expression" dxfId="180" priority="192">
      <formula>IF(L319=AS319,1,0)</formula>
    </cfRule>
  </conditionalFormatting>
  <conditionalFormatting sqref="F85">
    <cfRule type="cellIs" dxfId="179" priority="185" operator="equal">
      <formula>"3-001-2214"</formula>
    </cfRule>
    <cfRule type="cellIs" dxfId="178" priority="186" operator="equal">
      <formula>"3-001-5204"</formula>
    </cfRule>
    <cfRule type="cellIs" dxfId="177" priority="187" operator="equal">
      <formula>"3-001-0002"</formula>
    </cfRule>
  </conditionalFormatting>
  <conditionalFormatting sqref="AS85:AS86">
    <cfRule type="expression" dxfId="176" priority="188">
      <formula>IF(L85=AS85,1,0)</formula>
    </cfRule>
  </conditionalFormatting>
  <conditionalFormatting sqref="AS213">
    <cfRule type="expression" dxfId="175" priority="184">
      <formula>IF(L213=AS213,1,0)</formula>
    </cfRule>
  </conditionalFormatting>
  <conditionalFormatting sqref="F213">
    <cfRule type="cellIs" dxfId="174" priority="181" operator="equal">
      <formula>"3-001-2214"</formula>
    </cfRule>
    <cfRule type="cellIs" dxfId="173" priority="182" operator="equal">
      <formula>"3-001-5204"</formula>
    </cfRule>
    <cfRule type="cellIs" dxfId="172" priority="183" operator="equal">
      <formula>"3-001-0002"</formula>
    </cfRule>
  </conditionalFormatting>
  <conditionalFormatting sqref="F325">
    <cfRule type="cellIs" dxfId="171" priority="177" operator="equal">
      <formula>"3-001-2214"</formula>
    </cfRule>
    <cfRule type="cellIs" dxfId="170" priority="178" operator="equal">
      <formula>"3-001-5204"</formula>
    </cfRule>
    <cfRule type="cellIs" dxfId="169" priority="179" operator="equal">
      <formula>"3-001-0002"</formula>
    </cfRule>
  </conditionalFormatting>
  <conditionalFormatting sqref="AS325">
    <cfRule type="expression" dxfId="168" priority="180">
      <formula>IF(L325=AS325,1,0)</formula>
    </cfRule>
  </conditionalFormatting>
  <conditionalFormatting sqref="L6:L8 O6:S8">
    <cfRule type="cellIs" dxfId="167" priority="176" operator="notEqual">
      <formula>0</formula>
    </cfRule>
  </conditionalFormatting>
  <conditionalFormatting sqref="F394">
    <cfRule type="cellIs" dxfId="166" priority="172" operator="equal">
      <formula>"3-001-2214"</formula>
    </cfRule>
    <cfRule type="cellIs" dxfId="165" priority="173" operator="equal">
      <formula>"3-001-5204"</formula>
    </cfRule>
    <cfRule type="cellIs" dxfId="164" priority="174" operator="equal">
      <formula>"3-001-0002"</formula>
    </cfRule>
  </conditionalFormatting>
  <conditionalFormatting sqref="AS394">
    <cfRule type="expression" dxfId="163" priority="175">
      <formula>IF(L394=AS394,1,0)</formula>
    </cfRule>
  </conditionalFormatting>
  <conditionalFormatting sqref="F117">
    <cfRule type="cellIs" dxfId="162" priority="168" operator="equal">
      <formula>"3-001-2214"</formula>
    </cfRule>
    <cfRule type="cellIs" dxfId="161" priority="169" operator="equal">
      <formula>"3-001-5204"</formula>
    </cfRule>
    <cfRule type="cellIs" dxfId="160" priority="170" operator="equal">
      <formula>"3-001-0002"</formula>
    </cfRule>
  </conditionalFormatting>
  <conditionalFormatting sqref="AS117">
    <cfRule type="expression" dxfId="159" priority="171">
      <formula>IF(L117=AS117,1,0)</formula>
    </cfRule>
  </conditionalFormatting>
  <conditionalFormatting sqref="F115">
    <cfRule type="cellIs" dxfId="158" priority="164" operator="equal">
      <formula>"3-001-2214"</formula>
    </cfRule>
    <cfRule type="cellIs" dxfId="157" priority="165" operator="equal">
      <formula>"3-001-5204"</formula>
    </cfRule>
    <cfRule type="cellIs" dxfId="156" priority="166" operator="equal">
      <formula>"3-001-0002"</formula>
    </cfRule>
  </conditionalFormatting>
  <conditionalFormatting sqref="AS115">
    <cfRule type="expression" dxfId="155" priority="167">
      <formula>IF(L115=AS115,1,0)</formula>
    </cfRule>
  </conditionalFormatting>
  <conditionalFormatting sqref="F114">
    <cfRule type="cellIs" dxfId="154" priority="160" operator="equal">
      <formula>"3-001-2214"</formula>
    </cfRule>
    <cfRule type="cellIs" dxfId="153" priority="161" operator="equal">
      <formula>"3-001-5204"</formula>
    </cfRule>
    <cfRule type="cellIs" dxfId="152" priority="162" operator="equal">
      <formula>"3-001-0002"</formula>
    </cfRule>
  </conditionalFormatting>
  <conditionalFormatting sqref="AS114">
    <cfRule type="expression" dxfId="151" priority="163">
      <formula>IF(L114=AS114,1,0)</formula>
    </cfRule>
  </conditionalFormatting>
  <conditionalFormatting sqref="F113">
    <cfRule type="cellIs" dxfId="150" priority="156" operator="equal">
      <formula>"3-001-2214"</formula>
    </cfRule>
    <cfRule type="cellIs" dxfId="149" priority="157" operator="equal">
      <formula>"3-001-5204"</formula>
    </cfRule>
    <cfRule type="cellIs" dxfId="148" priority="158" operator="equal">
      <formula>"3-001-0002"</formula>
    </cfRule>
  </conditionalFormatting>
  <conditionalFormatting sqref="AS113">
    <cfRule type="expression" dxfId="147" priority="159">
      <formula>IF(L113=AS113,1,0)</formula>
    </cfRule>
  </conditionalFormatting>
  <conditionalFormatting sqref="AS186">
    <cfRule type="expression" dxfId="146" priority="155">
      <formula>IF(L186=AS186,1,0)</formula>
    </cfRule>
  </conditionalFormatting>
  <conditionalFormatting sqref="F186">
    <cfRule type="cellIs" dxfId="145" priority="152" operator="equal">
      <formula>"3-001-2214"</formula>
    </cfRule>
    <cfRule type="cellIs" dxfId="144" priority="153" operator="equal">
      <formula>"3-001-5204"</formula>
    </cfRule>
    <cfRule type="cellIs" dxfId="143" priority="154" operator="equal">
      <formula>"3-001-0002"</formula>
    </cfRule>
  </conditionalFormatting>
  <conditionalFormatting sqref="AS123">
    <cfRule type="expression" dxfId="142" priority="151">
      <formula>IF(L123=AS123,1,0)</formula>
    </cfRule>
  </conditionalFormatting>
  <conditionalFormatting sqref="F123">
    <cfRule type="cellIs" dxfId="141" priority="148" operator="equal">
      <formula>"3-001-2214"</formula>
    </cfRule>
    <cfRule type="cellIs" dxfId="140" priority="149" operator="equal">
      <formula>"3-001-5204"</formula>
    </cfRule>
    <cfRule type="cellIs" dxfId="139" priority="150" operator="equal">
      <formula>"3-001-0002"</formula>
    </cfRule>
  </conditionalFormatting>
  <conditionalFormatting sqref="F166">
    <cfRule type="cellIs" dxfId="138" priority="144" operator="equal">
      <formula>"3-001-2214"</formula>
    </cfRule>
    <cfRule type="cellIs" dxfId="137" priority="145" operator="equal">
      <formula>"3-001-5204"</formula>
    </cfRule>
    <cfRule type="cellIs" dxfId="136" priority="146" operator="equal">
      <formula>"3-001-0002"</formula>
    </cfRule>
  </conditionalFormatting>
  <conditionalFormatting sqref="AS166">
    <cfRule type="expression" dxfId="135" priority="147">
      <formula>IF(L166=AS166,1,0)</formula>
    </cfRule>
  </conditionalFormatting>
  <conditionalFormatting sqref="F165">
    <cfRule type="cellIs" dxfId="134" priority="140" operator="equal">
      <formula>"3-001-2214"</formula>
    </cfRule>
    <cfRule type="cellIs" dxfId="133" priority="141" operator="equal">
      <formula>"3-001-5204"</formula>
    </cfRule>
    <cfRule type="cellIs" dxfId="132" priority="142" operator="equal">
      <formula>"3-001-0002"</formula>
    </cfRule>
  </conditionalFormatting>
  <conditionalFormatting sqref="AS165">
    <cfRule type="expression" dxfId="131" priority="143">
      <formula>IF(L165=AS165,1,0)</formula>
    </cfRule>
  </conditionalFormatting>
  <conditionalFormatting sqref="F109">
    <cfRule type="cellIs" dxfId="130" priority="136" operator="equal">
      <formula>"3-001-2214"</formula>
    </cfRule>
    <cfRule type="cellIs" dxfId="129" priority="137" operator="equal">
      <formula>"3-001-5204"</formula>
    </cfRule>
    <cfRule type="cellIs" dxfId="128" priority="138" operator="equal">
      <formula>"3-001-0002"</formula>
    </cfRule>
  </conditionalFormatting>
  <conditionalFormatting sqref="AS109">
    <cfRule type="expression" dxfId="127" priority="139">
      <formula>IF(L109=AS109,1,0)</formula>
    </cfRule>
  </conditionalFormatting>
  <conditionalFormatting sqref="F194">
    <cfRule type="cellIs" dxfId="126" priority="132" operator="equal">
      <formula>"3-001-2214"</formula>
    </cfRule>
    <cfRule type="cellIs" dxfId="125" priority="133" operator="equal">
      <formula>"3-001-5204"</formula>
    </cfRule>
    <cfRule type="cellIs" dxfId="124" priority="134" operator="equal">
      <formula>"3-001-0002"</formula>
    </cfRule>
  </conditionalFormatting>
  <conditionalFormatting sqref="AS194">
    <cfRule type="expression" dxfId="123" priority="135">
      <formula>IF(L194=AS194,1,0)</formula>
    </cfRule>
  </conditionalFormatting>
  <conditionalFormatting sqref="F308">
    <cfRule type="cellIs" dxfId="122" priority="128" operator="equal">
      <formula>"3-001-2214"</formula>
    </cfRule>
    <cfRule type="cellIs" dxfId="121" priority="129" operator="equal">
      <formula>"3-001-5204"</formula>
    </cfRule>
    <cfRule type="cellIs" dxfId="120" priority="130" operator="equal">
      <formula>"3-001-0002"</formula>
    </cfRule>
  </conditionalFormatting>
  <conditionalFormatting sqref="AS308">
    <cfRule type="expression" dxfId="119" priority="131">
      <formula>IF(L308=AS308,1,0)</formula>
    </cfRule>
  </conditionalFormatting>
  <conditionalFormatting sqref="AS187">
    <cfRule type="expression" dxfId="118" priority="127">
      <formula>IF(L187=AS187,1,0)</formula>
    </cfRule>
  </conditionalFormatting>
  <conditionalFormatting sqref="F187">
    <cfRule type="cellIs" dxfId="117" priority="124" operator="equal">
      <formula>"3-001-2214"</formula>
    </cfRule>
    <cfRule type="cellIs" dxfId="116" priority="125" operator="equal">
      <formula>"3-001-5204"</formula>
    </cfRule>
    <cfRule type="cellIs" dxfId="115" priority="126" operator="equal">
      <formula>"3-001-0002"</formula>
    </cfRule>
  </conditionalFormatting>
  <conditionalFormatting sqref="AS188">
    <cfRule type="expression" dxfId="114" priority="123">
      <formula>IF(L188=AS188,1,0)</formula>
    </cfRule>
  </conditionalFormatting>
  <conditionalFormatting sqref="F188">
    <cfRule type="cellIs" dxfId="113" priority="120" operator="equal">
      <formula>"3-001-2214"</formula>
    </cfRule>
    <cfRule type="cellIs" dxfId="112" priority="121" operator="equal">
      <formula>"3-001-5204"</formula>
    </cfRule>
    <cfRule type="cellIs" dxfId="111" priority="122" operator="equal">
      <formula>"3-001-0002"</formula>
    </cfRule>
  </conditionalFormatting>
  <conditionalFormatting sqref="F395">
    <cfRule type="cellIs" dxfId="110" priority="116" operator="equal">
      <formula>"3-001-2214"</formula>
    </cfRule>
    <cfRule type="cellIs" dxfId="109" priority="117" operator="equal">
      <formula>"3-001-5204"</formula>
    </cfRule>
    <cfRule type="cellIs" dxfId="108" priority="118" operator="equal">
      <formula>"3-001-0002"</formula>
    </cfRule>
  </conditionalFormatting>
  <conditionalFormatting sqref="AS395">
    <cfRule type="expression" dxfId="107" priority="119">
      <formula>IF(L395=AS395,1,0)</formula>
    </cfRule>
  </conditionalFormatting>
  <conditionalFormatting sqref="F396">
    <cfRule type="cellIs" dxfId="106" priority="112" operator="equal">
      <formula>"3-001-2214"</formula>
    </cfRule>
    <cfRule type="cellIs" dxfId="105" priority="113" operator="equal">
      <formula>"3-001-5204"</formula>
    </cfRule>
    <cfRule type="cellIs" dxfId="104" priority="114" operator="equal">
      <formula>"3-001-0002"</formula>
    </cfRule>
  </conditionalFormatting>
  <conditionalFormatting sqref="AS396">
    <cfRule type="expression" dxfId="103" priority="115">
      <formula>IF(L396=AS396,1,0)</formula>
    </cfRule>
  </conditionalFormatting>
  <conditionalFormatting sqref="F397">
    <cfRule type="cellIs" dxfId="102" priority="108" operator="equal">
      <formula>"3-001-2214"</formula>
    </cfRule>
    <cfRule type="cellIs" dxfId="101" priority="109" operator="equal">
      <formula>"3-001-5204"</formula>
    </cfRule>
    <cfRule type="cellIs" dxfId="100" priority="110" operator="equal">
      <formula>"3-001-0002"</formula>
    </cfRule>
  </conditionalFormatting>
  <conditionalFormatting sqref="AS397">
    <cfRule type="expression" dxfId="99" priority="111">
      <formula>IF(L397=AS397,1,0)</formula>
    </cfRule>
  </conditionalFormatting>
  <conditionalFormatting sqref="F368">
    <cfRule type="cellIs" dxfId="98" priority="104" operator="equal">
      <formula>"3-001-2214"</formula>
    </cfRule>
    <cfRule type="cellIs" dxfId="97" priority="105" operator="equal">
      <formula>"3-001-5204"</formula>
    </cfRule>
    <cfRule type="cellIs" dxfId="96" priority="106" operator="equal">
      <formula>"3-001-0002"</formula>
    </cfRule>
  </conditionalFormatting>
  <conditionalFormatting sqref="AS368">
    <cfRule type="expression" dxfId="95" priority="107">
      <formula>IF(L368=AS368,1,0)</formula>
    </cfRule>
  </conditionalFormatting>
  <conditionalFormatting sqref="F116">
    <cfRule type="cellIs" dxfId="94" priority="100" operator="equal">
      <formula>"3-001-2214"</formula>
    </cfRule>
    <cfRule type="cellIs" dxfId="93" priority="101" operator="equal">
      <formula>"3-001-5204"</formula>
    </cfRule>
    <cfRule type="cellIs" dxfId="92" priority="102" operator="equal">
      <formula>"3-001-0002"</formula>
    </cfRule>
  </conditionalFormatting>
  <conditionalFormatting sqref="AS116">
    <cfRule type="expression" dxfId="91" priority="103">
      <formula>IF(L116=AS116,1,0)</formula>
    </cfRule>
  </conditionalFormatting>
  <conditionalFormatting sqref="AS189">
    <cfRule type="expression" dxfId="90" priority="99">
      <formula>IF(L189=AS189,1,0)</formula>
    </cfRule>
  </conditionalFormatting>
  <conditionalFormatting sqref="F189">
    <cfRule type="cellIs" dxfId="89" priority="96" operator="equal">
      <formula>"3-001-2214"</formula>
    </cfRule>
    <cfRule type="cellIs" dxfId="88" priority="97" operator="equal">
      <formula>"3-001-5204"</formula>
    </cfRule>
    <cfRule type="cellIs" dxfId="87" priority="98" operator="equal">
      <formula>"3-001-0002"</formula>
    </cfRule>
  </conditionalFormatting>
  <conditionalFormatting sqref="AS190">
    <cfRule type="expression" dxfId="86" priority="95">
      <formula>IF(L190=AS190,1,0)</formula>
    </cfRule>
  </conditionalFormatting>
  <conditionalFormatting sqref="F190">
    <cfRule type="cellIs" dxfId="85" priority="92" operator="equal">
      <formula>"3-001-2214"</formula>
    </cfRule>
    <cfRule type="cellIs" dxfId="84" priority="93" operator="equal">
      <formula>"3-001-5204"</formula>
    </cfRule>
    <cfRule type="cellIs" dxfId="83" priority="94" operator="equal">
      <formula>"3-001-0002"</formula>
    </cfRule>
  </conditionalFormatting>
  <conditionalFormatting sqref="F195">
    <cfRule type="cellIs" dxfId="82" priority="88" operator="equal">
      <formula>"3-001-2214"</formula>
    </cfRule>
    <cfRule type="cellIs" dxfId="81" priority="89" operator="equal">
      <formula>"3-001-5204"</formula>
    </cfRule>
    <cfRule type="cellIs" dxfId="80" priority="90" operator="equal">
      <formula>"3-001-0002"</formula>
    </cfRule>
  </conditionalFormatting>
  <conditionalFormatting sqref="AS195">
    <cfRule type="expression" dxfId="79" priority="91">
      <formula>IF(L195=AS195,1,0)</formula>
    </cfRule>
  </conditionalFormatting>
  <conditionalFormatting sqref="F198">
    <cfRule type="cellIs" dxfId="78" priority="84" operator="equal">
      <formula>"3-001-2214"</formula>
    </cfRule>
    <cfRule type="cellIs" dxfId="77" priority="85" operator="equal">
      <formula>"3-001-5204"</formula>
    </cfRule>
    <cfRule type="cellIs" dxfId="76" priority="86" operator="equal">
      <formula>"3-001-0002"</formula>
    </cfRule>
  </conditionalFormatting>
  <conditionalFormatting sqref="AS198">
    <cfRule type="expression" dxfId="75" priority="87">
      <formula>IF(L198=AS198,1,0)</formula>
    </cfRule>
  </conditionalFormatting>
  <conditionalFormatting sqref="F197">
    <cfRule type="cellIs" dxfId="74" priority="80" operator="equal">
      <formula>"3-001-2214"</formula>
    </cfRule>
    <cfRule type="cellIs" dxfId="73" priority="81" operator="equal">
      <formula>"3-001-5204"</formula>
    </cfRule>
    <cfRule type="cellIs" dxfId="72" priority="82" operator="equal">
      <formula>"3-001-0002"</formula>
    </cfRule>
  </conditionalFormatting>
  <conditionalFormatting sqref="AS197">
    <cfRule type="expression" dxfId="71" priority="83">
      <formula>IF(L197=AS197,1,0)</formula>
    </cfRule>
  </conditionalFormatting>
  <conditionalFormatting sqref="F196">
    <cfRule type="cellIs" dxfId="70" priority="76" operator="equal">
      <formula>"3-001-2214"</formula>
    </cfRule>
    <cfRule type="cellIs" dxfId="69" priority="77" operator="equal">
      <formula>"3-001-5204"</formula>
    </cfRule>
    <cfRule type="cellIs" dxfId="68" priority="78" operator="equal">
      <formula>"3-001-0002"</formula>
    </cfRule>
  </conditionalFormatting>
  <conditionalFormatting sqref="AS196">
    <cfRule type="expression" dxfId="67" priority="79">
      <formula>IF(L196=AS196,1,0)</formula>
    </cfRule>
  </conditionalFormatting>
  <conditionalFormatting sqref="F199">
    <cfRule type="cellIs" dxfId="66" priority="72" operator="equal">
      <formula>"3-001-2214"</formula>
    </cfRule>
    <cfRule type="cellIs" dxfId="65" priority="73" operator="equal">
      <formula>"3-001-5204"</formula>
    </cfRule>
    <cfRule type="cellIs" dxfId="64" priority="74" operator="equal">
      <formula>"3-001-0002"</formula>
    </cfRule>
  </conditionalFormatting>
  <conditionalFormatting sqref="AS199">
    <cfRule type="expression" dxfId="63" priority="75">
      <formula>IF(L199=AS199,1,0)</formula>
    </cfRule>
  </conditionalFormatting>
  <conditionalFormatting sqref="F200">
    <cfRule type="cellIs" dxfId="62" priority="68" operator="equal">
      <formula>"3-001-2214"</formula>
    </cfRule>
    <cfRule type="cellIs" dxfId="61" priority="69" operator="equal">
      <formula>"3-001-5204"</formula>
    </cfRule>
    <cfRule type="cellIs" dxfId="60" priority="70" operator="equal">
      <formula>"3-001-0002"</formula>
    </cfRule>
  </conditionalFormatting>
  <conditionalFormatting sqref="AS200">
    <cfRule type="expression" dxfId="59" priority="71">
      <formula>IF(L200=AS200,1,0)</formula>
    </cfRule>
  </conditionalFormatting>
  <conditionalFormatting sqref="F201">
    <cfRule type="cellIs" dxfId="58" priority="64" operator="equal">
      <formula>"3-001-2214"</formula>
    </cfRule>
    <cfRule type="cellIs" dxfId="57" priority="65" operator="equal">
      <formula>"3-001-5204"</formula>
    </cfRule>
    <cfRule type="cellIs" dxfId="56" priority="66" operator="equal">
      <formula>"3-001-0002"</formula>
    </cfRule>
  </conditionalFormatting>
  <conditionalFormatting sqref="AS201">
    <cfRule type="expression" dxfId="55" priority="67">
      <formula>IF(L201=AS201,1,0)</formula>
    </cfRule>
  </conditionalFormatting>
  <conditionalFormatting sqref="F398">
    <cfRule type="cellIs" dxfId="54" priority="60" operator="equal">
      <formula>"3-001-2214"</formula>
    </cfRule>
    <cfRule type="cellIs" dxfId="53" priority="61" operator="equal">
      <formula>"3-001-5204"</formula>
    </cfRule>
    <cfRule type="cellIs" dxfId="52" priority="62" operator="equal">
      <formula>"3-001-0002"</formula>
    </cfRule>
  </conditionalFormatting>
  <conditionalFormatting sqref="AS398">
    <cfRule type="expression" dxfId="51" priority="63">
      <formula>IF(L398=AS398,1,0)</formula>
    </cfRule>
  </conditionalFormatting>
  <conditionalFormatting sqref="AS28">
    <cfRule type="expression" dxfId="50" priority="58">
      <formula>IF(L28=AS28,1,0)</formula>
    </cfRule>
  </conditionalFormatting>
  <conditionalFormatting sqref="F28">
    <cfRule type="cellIs" dxfId="49" priority="55" operator="equal">
      <formula>"3-001-2214"</formula>
    </cfRule>
    <cfRule type="cellIs" dxfId="48" priority="56" operator="equal">
      <formula>"3-001-5204"</formula>
    </cfRule>
    <cfRule type="cellIs" dxfId="47" priority="57" operator="equal">
      <formula>"3-001-0002"</formula>
    </cfRule>
  </conditionalFormatting>
  <conditionalFormatting sqref="F399">
    <cfRule type="cellIs" dxfId="46" priority="51" operator="equal">
      <formula>"3-001-2214"</formula>
    </cfRule>
    <cfRule type="cellIs" dxfId="45" priority="52" operator="equal">
      <formula>"3-001-5204"</formula>
    </cfRule>
    <cfRule type="cellIs" dxfId="44" priority="53" operator="equal">
      <formula>"3-001-0002"</formula>
    </cfRule>
  </conditionalFormatting>
  <conditionalFormatting sqref="AS399">
    <cfRule type="expression" dxfId="43" priority="54">
      <formula>IF(L399=AS399,1,0)</formula>
    </cfRule>
  </conditionalFormatting>
  <conditionalFormatting sqref="F400">
    <cfRule type="cellIs" dxfId="42" priority="47" operator="equal">
      <formula>"3-001-2214"</formula>
    </cfRule>
    <cfRule type="cellIs" dxfId="41" priority="48" operator="equal">
      <formula>"3-001-5204"</formula>
    </cfRule>
    <cfRule type="cellIs" dxfId="40" priority="49" operator="equal">
      <formula>"3-001-0002"</formula>
    </cfRule>
  </conditionalFormatting>
  <conditionalFormatting sqref="AS400">
    <cfRule type="expression" dxfId="39" priority="50">
      <formula>IF(L400=AS400,1,0)</formula>
    </cfRule>
  </conditionalFormatting>
  <conditionalFormatting sqref="F309">
    <cfRule type="cellIs" dxfId="38" priority="43" operator="equal">
      <formula>"3-001-2214"</formula>
    </cfRule>
    <cfRule type="cellIs" dxfId="37" priority="44" operator="equal">
      <formula>"3-001-5204"</formula>
    </cfRule>
    <cfRule type="cellIs" dxfId="36" priority="45" operator="equal">
      <formula>"3-001-0002"</formula>
    </cfRule>
  </conditionalFormatting>
  <conditionalFormatting sqref="AS309">
    <cfRule type="expression" dxfId="35" priority="46">
      <formula>IF(L309=AS309,1,0)</formula>
    </cfRule>
  </conditionalFormatting>
  <conditionalFormatting sqref="F310">
    <cfRule type="cellIs" dxfId="34" priority="35" operator="equal">
      <formula>"3-001-2214"</formula>
    </cfRule>
    <cfRule type="cellIs" dxfId="33" priority="36" operator="equal">
      <formula>"3-001-5204"</formula>
    </cfRule>
    <cfRule type="cellIs" dxfId="32" priority="37" operator="equal">
      <formula>"3-001-0002"</formula>
    </cfRule>
  </conditionalFormatting>
  <conditionalFormatting sqref="AS310">
    <cfRule type="expression" dxfId="31" priority="38">
      <formula>IF(L310=AS310,1,0)</formula>
    </cfRule>
  </conditionalFormatting>
  <conditionalFormatting sqref="F334">
    <cfRule type="cellIs" dxfId="30" priority="31" operator="equal">
      <formula>"3-001-2214"</formula>
    </cfRule>
    <cfRule type="cellIs" dxfId="29" priority="32" operator="equal">
      <formula>"3-001-5204"</formula>
    </cfRule>
    <cfRule type="cellIs" dxfId="28" priority="33" operator="equal">
      <formula>"3-001-0002"</formula>
    </cfRule>
  </conditionalFormatting>
  <conditionalFormatting sqref="AS334">
    <cfRule type="expression" dxfId="27" priority="34">
      <formula>IF(L334=AS334,1,0)</formula>
    </cfRule>
  </conditionalFormatting>
  <conditionalFormatting sqref="F335:F345">
    <cfRule type="cellIs" dxfId="26" priority="27" operator="equal">
      <formula>"3-001-2214"</formula>
    </cfRule>
    <cfRule type="cellIs" dxfId="25" priority="28" operator="equal">
      <formula>"3-001-5204"</formula>
    </cfRule>
    <cfRule type="cellIs" dxfId="24" priority="29" operator="equal">
      <formula>"3-001-0002"</formula>
    </cfRule>
  </conditionalFormatting>
  <conditionalFormatting sqref="AS335:AS345">
    <cfRule type="expression" dxfId="23" priority="30">
      <formula>IF(L335=AS335,1,0)</formula>
    </cfRule>
  </conditionalFormatting>
  <conditionalFormatting sqref="F401">
    <cfRule type="cellIs" dxfId="22" priority="23" operator="equal">
      <formula>"3-001-2214"</formula>
    </cfRule>
    <cfRule type="cellIs" dxfId="21" priority="24" operator="equal">
      <formula>"3-001-5204"</formula>
    </cfRule>
    <cfRule type="cellIs" dxfId="20" priority="25" operator="equal">
      <formula>"3-001-0002"</formula>
    </cfRule>
  </conditionalFormatting>
  <conditionalFormatting sqref="AS401">
    <cfRule type="expression" dxfId="19" priority="26">
      <formula>IF(L401=AS401,1,0)</formula>
    </cfRule>
  </conditionalFormatting>
  <conditionalFormatting sqref="F403">
    <cfRule type="cellIs" dxfId="18" priority="15" operator="equal">
      <formula>"3-001-2214"</formula>
    </cfRule>
    <cfRule type="cellIs" dxfId="17" priority="16" operator="equal">
      <formula>"3-001-5204"</formula>
    </cfRule>
    <cfRule type="cellIs" dxfId="16" priority="17" operator="equal">
      <formula>"3-001-0002"</formula>
    </cfRule>
  </conditionalFormatting>
  <conditionalFormatting sqref="AS403">
    <cfRule type="expression" dxfId="15" priority="18">
      <formula>IF(L403=AS403,1,0)</formula>
    </cfRule>
  </conditionalFormatting>
  <conditionalFormatting sqref="F402">
    <cfRule type="cellIs" dxfId="14" priority="11" operator="equal">
      <formula>"3-001-2214"</formula>
    </cfRule>
    <cfRule type="cellIs" dxfId="13" priority="12" operator="equal">
      <formula>"3-001-5204"</formula>
    </cfRule>
    <cfRule type="cellIs" dxfId="12" priority="13" operator="equal">
      <formula>"3-001-0002"</formula>
    </cfRule>
  </conditionalFormatting>
  <conditionalFormatting sqref="AS402">
    <cfRule type="expression" dxfId="11" priority="14">
      <formula>IF(L402=AS402,1,0)</formula>
    </cfRule>
  </conditionalFormatting>
  <conditionalFormatting sqref="F86">
    <cfRule type="cellIs" dxfId="10" priority="8" operator="equal">
      <formula>"3-001-2214"</formula>
    </cfRule>
    <cfRule type="cellIs" dxfId="9" priority="9" operator="equal">
      <formula>"3-001-5204"</formula>
    </cfRule>
    <cfRule type="cellIs" dxfId="8" priority="10" operator="equal">
      <formula>"3-001-0002"</formula>
    </cfRule>
  </conditionalFormatting>
  <conditionalFormatting sqref="F209">
    <cfRule type="cellIs" dxfId="7" priority="5" operator="equal">
      <formula>"3-001-2214"</formula>
    </cfRule>
    <cfRule type="cellIs" dxfId="6" priority="6" operator="equal">
      <formula>"3-001-5204"</formula>
    </cfRule>
    <cfRule type="cellIs" dxfId="5" priority="7" operator="equal">
      <formula>"3-001-0002"</formula>
    </cfRule>
  </conditionalFormatting>
  <conditionalFormatting sqref="AS208">
    <cfRule type="expression" dxfId="4" priority="4">
      <formula>IF(L208=AS208,1,0)</formula>
    </cfRule>
  </conditionalFormatting>
  <conditionalFormatting sqref="F208">
    <cfRule type="cellIs" dxfId="3" priority="1" operator="equal">
      <formula>"3-001-2214"</formula>
    </cfRule>
    <cfRule type="cellIs" dxfId="2" priority="2" operator="equal">
      <formula>"3-001-5204"</formula>
    </cfRule>
    <cfRule type="cellIs" dxfId="1" priority="3" operator="equal">
      <formula>"3-001-0002"</formula>
    </cfRule>
  </conditionalFormatting>
  <printOptions horizontalCentered="1"/>
  <pageMargins left="0.23622047244094491" right="0.23622047244094491" top="0.35433070866141736" bottom="0.35433070866141736" header="0.31496062992125984" footer="0.31496062992125984"/>
  <pageSetup paperSize="9" scale="10" fitToHeight="2" orientation="portrait" horizontalDpi="4294967295" verticalDpi="4294967295" r:id="rId1"/>
  <headerFooter alignWithMargins="0"/>
  <legacyDrawing r:id="rId2"/>
  <extLst>
    <ext xmlns:x14="http://schemas.microsoft.com/office/spreadsheetml/2009/9/main" uri="{78C0D931-6437-407d-A8EE-F0AAD7539E65}">
      <x14:conditionalFormattings>
        <x14:conditionalFormatting xmlns:xm="http://schemas.microsoft.com/office/excel/2006/main">
          <x14:cfRule type="expression" priority="896" id="{DB1B700D-82A0-4576-9B91-37085D831EDA}">
            <xm:f>IF('добавятся в 2021'!J119='добавятся в 2021'!AP119,1,0)</xm:f>
            <x14:dxf>
              <fill>
                <patternFill>
                  <bgColor rgb="FF00B050"/>
                </patternFill>
              </fill>
            </x14:dxf>
          </x14:cfRule>
          <xm:sqref>AS215:AS220</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66"/>
    <pageSetUpPr fitToPage="1"/>
  </sheetPr>
  <dimension ref="A1:P49"/>
  <sheetViews>
    <sheetView view="pageBreakPreview" topLeftCell="A16" zoomScale="55" zoomScaleNormal="75" zoomScaleSheetLayoutView="55" zoomScalePageLayoutView="85" workbookViewId="0">
      <selection activeCell="G37" sqref="G37"/>
    </sheetView>
  </sheetViews>
  <sheetFormatPr defaultRowHeight="24" customHeight="1"/>
  <cols>
    <col min="1" max="1" width="19.28515625" customWidth="1"/>
    <col min="2" max="2" width="12.42578125" customWidth="1"/>
    <col min="3" max="3" width="34.85546875" customWidth="1"/>
    <col min="4" max="4" width="9.7109375" customWidth="1"/>
    <col min="5" max="5" width="13" customWidth="1"/>
    <col min="6" max="6" width="42" customWidth="1"/>
    <col min="7" max="7" width="21.5703125" customWidth="1"/>
    <col min="8" max="8" width="16.85546875" hidden="1" customWidth="1"/>
    <col min="9" max="10" width="21.5703125" customWidth="1"/>
    <col min="11" max="11" width="239" style="756" customWidth="1"/>
    <col min="12" max="12" width="10.5703125" bestFit="1" customWidth="1"/>
    <col min="14" max="14" width="12.28515625" bestFit="1" customWidth="1"/>
    <col min="15" max="15" width="49.42578125" customWidth="1"/>
    <col min="16" max="17" width="15.5703125" customWidth="1"/>
  </cols>
  <sheetData>
    <row r="1" spans="1:16" s="755" customFormat="1" ht="44.25" customHeight="1">
      <c r="A1" s="753" t="s">
        <v>475</v>
      </c>
      <c r="B1" s="977"/>
      <c r="C1" s="977"/>
      <c r="D1" s="977"/>
      <c r="E1" s="978"/>
      <c r="F1" s="978"/>
      <c r="G1" s="978"/>
      <c r="H1" s="978"/>
      <c r="I1" s="978"/>
      <c r="J1" s="978"/>
      <c r="K1" s="159"/>
    </row>
    <row r="2" spans="1:16" s="755" customFormat="1" ht="33" customHeight="1">
      <c r="A2" s="757" t="s">
        <v>781</v>
      </c>
      <c r="B2" s="977"/>
      <c r="C2" s="977"/>
      <c r="D2" s="977"/>
      <c r="E2" s="978"/>
      <c r="F2" s="978"/>
      <c r="G2" s="978"/>
      <c r="H2" s="978"/>
      <c r="I2" s="978"/>
      <c r="J2" s="978"/>
      <c r="K2" s="159"/>
    </row>
    <row r="3" spans="1:16" s="755" customFormat="1" ht="37.5" customHeight="1">
      <c r="A3" s="757" t="s">
        <v>782</v>
      </c>
      <c r="B3" s="977"/>
      <c r="C3" s="977"/>
      <c r="D3" s="977"/>
      <c r="E3" s="978"/>
      <c r="F3" s="978"/>
      <c r="G3" s="978"/>
      <c r="H3" s="978"/>
      <c r="I3" s="978"/>
      <c r="J3" s="978"/>
      <c r="K3" s="159"/>
    </row>
    <row r="4" spans="1:16" s="755" customFormat="1" ht="60.75" customHeight="1">
      <c r="A4" s="757" t="s">
        <v>106</v>
      </c>
      <c r="B4" s="977"/>
      <c r="C4" s="977"/>
      <c r="D4" s="977"/>
      <c r="E4" s="978"/>
      <c r="F4" s="978"/>
      <c r="G4" s="978"/>
      <c r="H4" s="978"/>
      <c r="I4" s="978"/>
      <c r="J4" s="978"/>
      <c r="K4" s="159"/>
    </row>
    <row r="5" spans="1:16" s="755" customFormat="1" ht="42" customHeight="1">
      <c r="A5" s="757" t="s">
        <v>437</v>
      </c>
      <c r="B5" s="977"/>
      <c r="C5" s="977"/>
      <c r="D5" s="977"/>
      <c r="E5" s="978"/>
      <c r="F5" s="978"/>
      <c r="G5" s="978"/>
      <c r="H5" s="978"/>
      <c r="I5" s="978"/>
      <c r="J5" s="978"/>
      <c r="K5" s="159"/>
    </row>
    <row r="6" spans="1:16" ht="24" customHeight="1">
      <c r="A6" s="979"/>
      <c r="B6" s="979"/>
      <c r="C6" s="979"/>
      <c r="D6" s="980"/>
      <c r="E6" s="980"/>
      <c r="F6" s="980"/>
      <c r="G6" s="980"/>
      <c r="H6" s="980"/>
      <c r="I6" s="980"/>
      <c r="J6" s="980"/>
      <c r="K6" s="159"/>
    </row>
    <row r="7" spans="1:16" ht="69" customHeight="1">
      <c r="A7" s="1510" t="s">
        <v>791</v>
      </c>
      <c r="B7" s="1510"/>
      <c r="C7" s="1510"/>
      <c r="D7" s="1510"/>
      <c r="E7" s="1510"/>
      <c r="F7" s="1510"/>
      <c r="G7" s="1510"/>
      <c r="H7" s="1510"/>
      <c r="I7" s="1510"/>
      <c r="J7" s="1510"/>
      <c r="K7" s="1510"/>
    </row>
    <row r="8" spans="1:16" ht="24" customHeight="1">
      <c r="A8" s="980"/>
      <c r="B8" s="980"/>
      <c r="C8" s="980"/>
      <c r="D8" s="980"/>
      <c r="E8" s="980"/>
      <c r="F8" s="980"/>
      <c r="G8" s="980"/>
      <c r="H8" s="980"/>
      <c r="I8" s="980"/>
      <c r="J8" s="980"/>
      <c r="K8" s="159"/>
    </row>
    <row r="9" spans="1:16" s="989" customFormat="1" ht="51" customHeight="1">
      <c r="A9" s="1236" t="s">
        <v>1</v>
      </c>
      <c r="B9" s="1236" t="s">
        <v>2</v>
      </c>
      <c r="C9" s="1522" t="s">
        <v>80</v>
      </c>
      <c r="D9" s="1522"/>
      <c r="E9" s="1522"/>
      <c r="F9" s="1236" t="s">
        <v>81</v>
      </c>
      <c r="G9" s="1236" t="s">
        <v>82</v>
      </c>
      <c r="H9" s="1236"/>
      <c r="I9" s="1236" t="s">
        <v>83</v>
      </c>
      <c r="J9" s="1236" t="s">
        <v>84</v>
      </c>
      <c r="K9" s="1236" t="s">
        <v>85</v>
      </c>
      <c r="L9" s="990"/>
    </row>
    <row r="10" spans="1:16" s="758" customFormat="1" ht="21">
      <c r="A10" s="1523" t="s">
        <v>86</v>
      </c>
      <c r="B10" s="1523"/>
      <c r="C10" s="1523"/>
      <c r="D10" s="1523"/>
      <c r="E10" s="1523"/>
      <c r="F10" s="1523"/>
      <c r="G10" s="1523"/>
      <c r="H10" s="1523"/>
      <c r="I10" s="1523"/>
      <c r="J10" s="1523"/>
      <c r="K10" s="1523"/>
    </row>
    <row r="11" spans="1:16" s="758" customFormat="1" ht="23.25" customHeight="1">
      <c r="A11" s="1524" t="s">
        <v>914</v>
      </c>
      <c r="B11" s="1524"/>
      <c r="C11" s="1524"/>
      <c r="D11" s="1524"/>
      <c r="E11" s="1524"/>
      <c r="F11" s="1524"/>
      <c r="G11" s="1524"/>
      <c r="H11" s="1524"/>
      <c r="I11" s="1524"/>
      <c r="J11" s="1524"/>
      <c r="K11" s="1524"/>
    </row>
    <row r="12" spans="1:16" s="758" customFormat="1" ht="132.75" customHeight="1">
      <c r="A12" s="1280" t="s">
        <v>877</v>
      </c>
      <c r="B12" s="1238">
        <v>5</v>
      </c>
      <c r="C12" s="1528" t="s">
        <v>103</v>
      </c>
      <c r="D12" s="1529"/>
      <c r="E12" s="1530"/>
      <c r="F12" s="1237" t="s">
        <v>914</v>
      </c>
      <c r="G12" s="173">
        <v>1476439</v>
      </c>
      <c r="H12" s="173">
        <v>0</v>
      </c>
      <c r="I12" s="173">
        <v>700000</v>
      </c>
      <c r="J12" s="173">
        <f>G12+I12</f>
        <v>2176439</v>
      </c>
      <c r="K12" s="1203" t="s">
        <v>909</v>
      </c>
    </row>
    <row r="13" spans="1:16" s="763" customFormat="1" ht="21">
      <c r="A13" s="1514" t="s">
        <v>104</v>
      </c>
      <c r="B13" s="1515"/>
      <c r="C13" s="1515"/>
      <c r="D13" s="1515"/>
      <c r="E13" s="1515"/>
      <c r="F13" s="1516"/>
      <c r="G13" s="198">
        <f>SUM(G12:G12)</f>
        <v>1476439</v>
      </c>
      <c r="H13" s="198">
        <f>SUM(H12:H12)</f>
        <v>0</v>
      </c>
      <c r="I13" s="198">
        <f>SUM(I12:I12)</f>
        <v>700000</v>
      </c>
      <c r="J13" s="198">
        <f>SUM(J12:J12)</f>
        <v>2176439</v>
      </c>
      <c r="K13" s="762"/>
    </row>
    <row r="14" spans="1:16" s="758" customFormat="1" ht="27.75" customHeight="1">
      <c r="A14" s="1523" t="s">
        <v>87</v>
      </c>
      <c r="B14" s="1523"/>
      <c r="C14" s="1523"/>
      <c r="D14" s="1523"/>
      <c r="E14" s="1523"/>
      <c r="F14" s="1523"/>
      <c r="G14" s="1523"/>
      <c r="H14" s="1523"/>
      <c r="I14" s="1523"/>
      <c r="J14" s="1523"/>
      <c r="K14" s="1523"/>
    </row>
    <row r="15" spans="1:16" s="758" customFormat="1" ht="44.25" customHeight="1">
      <c r="A15" s="1236" t="s">
        <v>1</v>
      </c>
      <c r="B15" s="1236" t="s">
        <v>2</v>
      </c>
      <c r="C15" s="1236" t="s">
        <v>3</v>
      </c>
      <c r="D15" s="1236" t="s">
        <v>4</v>
      </c>
      <c r="E15" s="1236" t="s">
        <v>5</v>
      </c>
      <c r="F15" s="1236" t="s">
        <v>6</v>
      </c>
      <c r="G15" s="1236" t="s">
        <v>82</v>
      </c>
      <c r="H15" s="1236"/>
      <c r="I15" s="1236" t="s">
        <v>83</v>
      </c>
      <c r="J15" s="1236" t="s">
        <v>84</v>
      </c>
      <c r="K15" s="1236" t="s">
        <v>85</v>
      </c>
    </row>
    <row r="16" spans="1:16" s="989" customFormat="1" ht="24" customHeight="1">
      <c r="A16" s="1565" t="s">
        <v>908</v>
      </c>
      <c r="B16" s="1566"/>
      <c r="C16" s="1566"/>
      <c r="D16" s="1566"/>
      <c r="E16" s="1566"/>
      <c r="F16" s="1566"/>
      <c r="G16" s="1566"/>
      <c r="H16" s="1566"/>
      <c r="I16" s="1566"/>
      <c r="J16" s="1566"/>
      <c r="K16" s="1567"/>
      <c r="L16" s="990"/>
      <c r="M16" s="990"/>
      <c r="N16" s="990"/>
      <c r="O16" s="758"/>
      <c r="P16" s="758"/>
    </row>
    <row r="17" spans="1:16" s="989" customFormat="1" ht="64.5" customHeight="1">
      <c r="A17" s="1275" t="s">
        <v>7</v>
      </c>
      <c r="B17" s="1273">
        <v>4</v>
      </c>
      <c r="C17" s="1275" t="s">
        <v>71</v>
      </c>
      <c r="D17" s="1275">
        <v>244</v>
      </c>
      <c r="E17" s="1275">
        <v>225</v>
      </c>
      <c r="F17" s="146" t="s">
        <v>148</v>
      </c>
      <c r="G17" s="764">
        <v>535089.69999999995</v>
      </c>
      <c r="H17" s="202"/>
      <c r="I17" s="202">
        <v>-3000</v>
      </c>
      <c r="J17" s="764">
        <f t="shared" ref="J17:J19" si="0">G17+I17</f>
        <v>532089.69999999995</v>
      </c>
      <c r="K17" s="1589" t="s">
        <v>1012</v>
      </c>
      <c r="O17" s="758"/>
      <c r="P17" s="758"/>
    </row>
    <row r="18" spans="1:16" s="989" customFormat="1" ht="33" customHeight="1">
      <c r="A18" s="1273" t="s">
        <v>7</v>
      </c>
      <c r="B18" s="1273">
        <v>4</v>
      </c>
      <c r="C18" s="1273" t="s">
        <v>71</v>
      </c>
      <c r="D18" s="1273">
        <v>244</v>
      </c>
      <c r="E18" s="161">
        <v>226</v>
      </c>
      <c r="F18" s="1276" t="s">
        <v>170</v>
      </c>
      <c r="G18" s="764">
        <v>440998.66</v>
      </c>
      <c r="H18" s="202"/>
      <c r="I18" s="202">
        <v>2200</v>
      </c>
      <c r="J18" s="764">
        <f t="shared" ref="J18" si="1">G18+I18</f>
        <v>443198.66</v>
      </c>
      <c r="K18" s="1590"/>
    </row>
    <row r="19" spans="1:16" s="989" customFormat="1" ht="83.25" customHeight="1">
      <c r="A19" s="1273" t="s">
        <v>7</v>
      </c>
      <c r="B19" s="1273">
        <v>4</v>
      </c>
      <c r="C19" s="1273" t="s">
        <v>71</v>
      </c>
      <c r="D19" s="1273">
        <v>852</v>
      </c>
      <c r="E19" s="161">
        <v>291</v>
      </c>
      <c r="F19" s="1276" t="s">
        <v>1010</v>
      </c>
      <c r="G19" s="764">
        <v>0</v>
      </c>
      <c r="H19" s="202"/>
      <c r="I19" s="202">
        <v>800</v>
      </c>
      <c r="J19" s="764">
        <f t="shared" si="0"/>
        <v>800</v>
      </c>
      <c r="K19" s="1591"/>
    </row>
    <row r="20" spans="1:16" s="763" customFormat="1" ht="23.25">
      <c r="A20" s="1511" t="s">
        <v>17</v>
      </c>
      <c r="B20" s="1512"/>
      <c r="C20" s="1512"/>
      <c r="D20" s="1512"/>
      <c r="E20" s="1512"/>
      <c r="F20" s="1513"/>
      <c r="G20" s="198">
        <f>SUM(G17:G19)</f>
        <v>976088.36</v>
      </c>
      <c r="H20" s="198">
        <f>SUM(H17:H19)</f>
        <v>0</v>
      </c>
      <c r="I20" s="198">
        <f>SUM(I17:I19)</f>
        <v>0</v>
      </c>
      <c r="J20" s="198">
        <f>SUM(J17:J19)</f>
        <v>976088.36</v>
      </c>
      <c r="K20" s="1274"/>
      <c r="O20" s="758"/>
      <c r="P20" s="758"/>
    </row>
    <row r="21" spans="1:16" s="989" customFormat="1" ht="24" customHeight="1">
      <c r="A21" s="1565" t="s">
        <v>793</v>
      </c>
      <c r="B21" s="1566"/>
      <c r="C21" s="1566"/>
      <c r="D21" s="1566"/>
      <c r="E21" s="1566"/>
      <c r="F21" s="1566"/>
      <c r="G21" s="1566"/>
      <c r="H21" s="1566"/>
      <c r="I21" s="1566"/>
      <c r="J21" s="1566"/>
      <c r="K21" s="1567"/>
      <c r="L21" s="990"/>
      <c r="M21" s="990"/>
      <c r="N21" s="990"/>
      <c r="O21" s="758"/>
      <c r="P21" s="758"/>
    </row>
    <row r="22" spans="1:16" s="989" customFormat="1" ht="42" customHeight="1">
      <c r="A22" s="1275" t="s">
        <v>23</v>
      </c>
      <c r="B22" s="1273">
        <v>2</v>
      </c>
      <c r="C22" s="1275" t="s">
        <v>71</v>
      </c>
      <c r="D22" s="1275">
        <v>244</v>
      </c>
      <c r="E22" s="1275">
        <v>226</v>
      </c>
      <c r="F22" s="146" t="s">
        <v>538</v>
      </c>
      <c r="G22" s="764">
        <v>622720</v>
      </c>
      <c r="H22" s="202"/>
      <c r="I22" s="202">
        <f>-481598.16-500</f>
        <v>-482098.16</v>
      </c>
      <c r="J22" s="764">
        <f t="shared" ref="J22:J27" si="2">G22+I22</f>
        <v>140621.84</v>
      </c>
      <c r="K22" s="1543" t="s">
        <v>1019</v>
      </c>
      <c r="O22" s="758"/>
      <c r="P22" s="758"/>
    </row>
    <row r="23" spans="1:16" s="989" customFormat="1" ht="42" customHeight="1">
      <c r="A23" s="1275" t="s">
        <v>23</v>
      </c>
      <c r="B23" s="1273">
        <v>2</v>
      </c>
      <c r="C23" s="1275" t="s">
        <v>71</v>
      </c>
      <c r="D23" s="1275">
        <v>244</v>
      </c>
      <c r="E23" s="1275">
        <v>349</v>
      </c>
      <c r="F23" s="146" t="s">
        <v>526</v>
      </c>
      <c r="G23" s="764">
        <v>303473.64</v>
      </c>
      <c r="H23" s="202"/>
      <c r="I23" s="202">
        <v>-247989.64</v>
      </c>
      <c r="J23" s="764">
        <f t="shared" si="2"/>
        <v>55484</v>
      </c>
      <c r="K23" s="1544"/>
      <c r="O23" s="758"/>
      <c r="P23" s="758"/>
    </row>
    <row r="24" spans="1:16" s="989" customFormat="1" ht="42" customHeight="1">
      <c r="A24" s="1275" t="s">
        <v>23</v>
      </c>
      <c r="B24" s="1273">
        <v>2</v>
      </c>
      <c r="C24" s="1275" t="s">
        <v>71</v>
      </c>
      <c r="D24" s="1275">
        <v>244</v>
      </c>
      <c r="E24" s="1275">
        <v>349</v>
      </c>
      <c r="F24" s="146" t="s">
        <v>525</v>
      </c>
      <c r="G24" s="764">
        <v>117600</v>
      </c>
      <c r="H24" s="202"/>
      <c r="I24" s="202">
        <v>-49560</v>
      </c>
      <c r="J24" s="764">
        <f t="shared" si="2"/>
        <v>68040</v>
      </c>
      <c r="K24" s="1545"/>
      <c r="O24" s="758"/>
      <c r="P24" s="758"/>
    </row>
    <row r="25" spans="1:16" s="989" customFormat="1" ht="161.25" customHeight="1">
      <c r="A25" s="1283" t="s">
        <v>23</v>
      </c>
      <c r="B25" s="1273">
        <v>2</v>
      </c>
      <c r="C25" s="1275" t="s">
        <v>1007</v>
      </c>
      <c r="D25" s="1275">
        <v>244</v>
      </c>
      <c r="E25" s="1275">
        <v>226</v>
      </c>
      <c r="F25" s="146" t="s">
        <v>307</v>
      </c>
      <c r="G25" s="764">
        <v>0</v>
      </c>
      <c r="H25" s="202"/>
      <c r="I25" s="202">
        <v>750000</v>
      </c>
      <c r="J25" s="764">
        <f t="shared" si="2"/>
        <v>750000</v>
      </c>
      <c r="K25" s="1240" t="s">
        <v>1016</v>
      </c>
      <c r="O25" s="758"/>
      <c r="P25" s="758"/>
    </row>
    <row r="26" spans="1:16" s="989" customFormat="1" ht="48" customHeight="1">
      <c r="A26" s="1285" t="s">
        <v>23</v>
      </c>
      <c r="B26" s="1284">
        <v>2</v>
      </c>
      <c r="C26" s="1285" t="s">
        <v>71</v>
      </c>
      <c r="D26" s="1285">
        <v>853</v>
      </c>
      <c r="E26" s="1285">
        <v>295</v>
      </c>
      <c r="F26" s="146" t="s">
        <v>795</v>
      </c>
      <c r="G26" s="764">
        <v>590500.68000000005</v>
      </c>
      <c r="H26" s="202"/>
      <c r="I26" s="202">
        <v>29147.8</v>
      </c>
      <c r="J26" s="764">
        <f t="shared" ref="J26" si="3">G26+I26</f>
        <v>619648.48</v>
      </c>
      <c r="K26" s="1240" t="s">
        <v>1015</v>
      </c>
      <c r="O26" s="758"/>
      <c r="P26" s="758"/>
    </row>
    <row r="27" spans="1:16" s="989" customFormat="1" ht="66" customHeight="1">
      <c r="A27" s="1275" t="s">
        <v>23</v>
      </c>
      <c r="B27" s="1273">
        <v>2</v>
      </c>
      <c r="C27" s="1275" t="s">
        <v>71</v>
      </c>
      <c r="D27" s="1275">
        <v>112</v>
      </c>
      <c r="E27" s="1275">
        <v>212</v>
      </c>
      <c r="F27" s="146" t="s">
        <v>785</v>
      </c>
      <c r="G27" s="764">
        <v>13300</v>
      </c>
      <c r="H27" s="202"/>
      <c r="I27" s="202">
        <v>500</v>
      </c>
      <c r="J27" s="764">
        <f t="shared" si="2"/>
        <v>13800</v>
      </c>
      <c r="K27" s="1240" t="s">
        <v>1020</v>
      </c>
      <c r="O27" s="758"/>
      <c r="P27" s="758"/>
    </row>
    <row r="28" spans="1:16" s="763" customFormat="1" ht="21">
      <c r="A28" s="1511" t="s">
        <v>17</v>
      </c>
      <c r="B28" s="1512"/>
      <c r="C28" s="1512"/>
      <c r="D28" s="1512"/>
      <c r="E28" s="1512"/>
      <c r="F28" s="1513"/>
      <c r="G28" s="198">
        <f>SUM(G22:G27)</f>
        <v>1647594.32</v>
      </c>
      <c r="H28" s="198">
        <f>SUM(H22:H27)</f>
        <v>0</v>
      </c>
      <c r="I28" s="198">
        <f>SUM(I22:I27)</f>
        <v>0</v>
      </c>
      <c r="J28" s="198">
        <f>SUM(J22:J27)</f>
        <v>1647594.32</v>
      </c>
      <c r="K28" s="766"/>
      <c r="O28" s="758"/>
      <c r="P28" s="758"/>
    </row>
    <row r="29" spans="1:16" s="989" customFormat="1" ht="24" customHeight="1">
      <c r="A29" s="1592" t="s">
        <v>913</v>
      </c>
      <c r="B29" s="1593"/>
      <c r="C29" s="1593"/>
      <c r="D29" s="1593"/>
      <c r="E29" s="1593"/>
      <c r="F29" s="1593"/>
      <c r="G29" s="1593"/>
      <c r="H29" s="1593"/>
      <c r="I29" s="1593"/>
      <c r="J29" s="1593"/>
      <c r="K29" s="1594"/>
      <c r="L29" s="990"/>
      <c r="M29" s="990"/>
      <c r="N29" s="990"/>
      <c r="O29" s="758"/>
      <c r="P29" s="758"/>
    </row>
    <row r="30" spans="1:16" s="989" customFormat="1" ht="56.25" customHeight="1">
      <c r="A30" s="1280" t="s">
        <v>877</v>
      </c>
      <c r="B30" s="1279">
        <v>5</v>
      </c>
      <c r="C30" s="1280" t="s">
        <v>136</v>
      </c>
      <c r="D30" s="1280">
        <v>244</v>
      </c>
      <c r="E30" s="1239">
        <v>226</v>
      </c>
      <c r="F30" s="146" t="s">
        <v>15</v>
      </c>
      <c r="G30" s="764">
        <v>0</v>
      </c>
      <c r="H30" s="202"/>
      <c r="I30" s="202">
        <v>264510.61</v>
      </c>
      <c r="J30" s="764">
        <f>G30+I30</f>
        <v>264510.61</v>
      </c>
      <c r="K30" s="1589" t="s">
        <v>995</v>
      </c>
      <c r="O30" s="758"/>
      <c r="P30" s="758"/>
    </row>
    <row r="31" spans="1:16" s="989" customFormat="1" ht="56.25" customHeight="1">
      <c r="A31" s="1280" t="s">
        <v>877</v>
      </c>
      <c r="B31" s="1279">
        <v>5</v>
      </c>
      <c r="C31" s="1280" t="s">
        <v>136</v>
      </c>
      <c r="D31" s="1280">
        <v>244</v>
      </c>
      <c r="E31" s="1239">
        <v>346</v>
      </c>
      <c r="F31" s="146" t="s">
        <v>109</v>
      </c>
      <c r="G31" s="764">
        <v>0</v>
      </c>
      <c r="H31" s="202"/>
      <c r="I31" s="202">
        <v>182587.93</v>
      </c>
      <c r="J31" s="764">
        <f>G31+I31</f>
        <v>182587.93</v>
      </c>
      <c r="K31" s="1590"/>
      <c r="O31" s="758"/>
      <c r="P31" s="758"/>
    </row>
    <row r="32" spans="1:16" s="989" customFormat="1" ht="65.25" customHeight="1">
      <c r="A32" s="1280" t="s">
        <v>877</v>
      </c>
      <c r="B32" s="1279">
        <v>5</v>
      </c>
      <c r="C32" s="1280" t="s">
        <v>136</v>
      </c>
      <c r="D32" s="1280">
        <v>244</v>
      </c>
      <c r="E32" s="1239">
        <v>349</v>
      </c>
      <c r="F32" s="146" t="s">
        <v>992</v>
      </c>
      <c r="G32" s="764">
        <v>0</v>
      </c>
      <c r="H32" s="202"/>
      <c r="I32" s="202">
        <v>171156.8</v>
      </c>
      <c r="J32" s="764">
        <f>G32+I32</f>
        <v>171156.8</v>
      </c>
      <c r="K32" s="1590"/>
    </row>
    <row r="33" spans="1:15" s="989" customFormat="1" ht="56.25" customHeight="1">
      <c r="A33" s="1280" t="s">
        <v>877</v>
      </c>
      <c r="B33" s="1279">
        <v>5</v>
      </c>
      <c r="C33" s="1280" t="s">
        <v>136</v>
      </c>
      <c r="D33" s="1280">
        <v>244</v>
      </c>
      <c r="E33" s="1239">
        <v>310</v>
      </c>
      <c r="F33" s="146" t="s">
        <v>532</v>
      </c>
      <c r="G33" s="764">
        <v>1476439</v>
      </c>
      <c r="H33" s="202"/>
      <c r="I33" s="202">
        <v>81744.66</v>
      </c>
      <c r="J33" s="764">
        <f>G33+I33</f>
        <v>1558183.66</v>
      </c>
      <c r="K33" s="1591"/>
    </row>
    <row r="34" spans="1:15" s="763" customFormat="1" ht="21">
      <c r="A34" s="1511" t="s">
        <v>17</v>
      </c>
      <c r="B34" s="1512"/>
      <c r="C34" s="1512"/>
      <c r="D34" s="1512"/>
      <c r="E34" s="1512"/>
      <c r="F34" s="1513"/>
      <c r="G34" s="198">
        <f>SUM(G30:G33)</f>
        <v>1476439</v>
      </c>
      <c r="H34" s="198">
        <f t="shared" ref="H34:J34" si="4">SUM(H30:H33)</f>
        <v>0</v>
      </c>
      <c r="I34" s="198">
        <f t="shared" si="4"/>
        <v>700000</v>
      </c>
      <c r="J34" s="198">
        <f t="shared" si="4"/>
        <v>2176439</v>
      </c>
      <c r="K34" s="766"/>
    </row>
    <row r="35" spans="1:15" s="763" customFormat="1" ht="21">
      <c r="A35" s="1511" t="s">
        <v>24</v>
      </c>
      <c r="B35" s="1512"/>
      <c r="C35" s="1512"/>
      <c r="D35" s="1512"/>
      <c r="E35" s="1512"/>
      <c r="F35" s="1513"/>
      <c r="G35" s="198">
        <f>G28+G34</f>
        <v>3124033.32</v>
      </c>
      <c r="H35" s="198">
        <f t="shared" ref="H35:J35" si="5">H28+H34</f>
        <v>0</v>
      </c>
      <c r="I35" s="198">
        <f t="shared" si="5"/>
        <v>700000</v>
      </c>
      <c r="J35" s="198">
        <f t="shared" si="5"/>
        <v>3824033.32</v>
      </c>
      <c r="K35" s="766"/>
    </row>
    <row r="36" spans="1:15" ht="29.25" customHeight="1">
      <c r="A36" s="980"/>
      <c r="B36" s="980"/>
      <c r="C36" s="980"/>
      <c r="D36" s="980"/>
      <c r="E36" s="982"/>
      <c r="F36" s="982"/>
      <c r="G36" s="982"/>
      <c r="H36" s="980"/>
      <c r="I36" s="980"/>
      <c r="J36" s="980"/>
      <c r="K36" s="983"/>
    </row>
    <row r="37" spans="1:15" s="768" customFormat="1" ht="40.5" customHeight="1">
      <c r="A37" s="768" t="s">
        <v>88</v>
      </c>
      <c r="F37" s="769"/>
      <c r="J37" s="768" t="s">
        <v>89</v>
      </c>
      <c r="K37" s="1172"/>
      <c r="L37" s="134"/>
      <c r="M37" s="134"/>
      <c r="N37" s="134"/>
      <c r="O37" s="134"/>
    </row>
    <row r="38" spans="1:15" ht="20.25">
      <c r="A38" s="980"/>
      <c r="B38" s="980"/>
      <c r="C38" s="980"/>
      <c r="D38" s="980"/>
      <c r="E38" s="980"/>
      <c r="F38" s="980"/>
      <c r="G38" s="980"/>
      <c r="H38" s="980"/>
      <c r="I38" s="980"/>
      <c r="J38" s="980"/>
      <c r="K38" s="983"/>
    </row>
    <row r="39" spans="1:15" ht="24" hidden="1" customHeight="1">
      <c r="A39" s="980"/>
      <c r="B39" s="980"/>
      <c r="C39" s="980"/>
      <c r="D39" s="980"/>
      <c r="E39" s="980"/>
      <c r="F39" s="980"/>
      <c r="G39" s="980"/>
      <c r="H39" s="980"/>
      <c r="I39" s="980"/>
      <c r="J39" s="980"/>
      <c r="K39" s="983"/>
    </row>
    <row r="40" spans="1:15" ht="25.5" hidden="1" customHeight="1">
      <c r="A40" s="980"/>
      <c r="B40" s="980"/>
      <c r="C40" s="980"/>
      <c r="D40" s="980"/>
      <c r="E40" s="980"/>
      <c r="F40" s="980"/>
      <c r="G40" s="980"/>
      <c r="H40" s="980"/>
      <c r="I40" s="980"/>
      <c r="J40" s="980"/>
      <c r="K40" s="983"/>
    </row>
    <row r="41" spans="1:15" ht="24" hidden="1" customHeight="1">
      <c r="A41" s="980"/>
      <c r="B41" s="980"/>
      <c r="C41" s="980"/>
      <c r="D41" s="980"/>
      <c r="E41" s="980"/>
      <c r="F41" s="980"/>
      <c r="G41" s="980"/>
      <c r="H41" s="980"/>
      <c r="I41" s="980"/>
      <c r="J41" s="980"/>
      <c r="K41" s="983"/>
    </row>
    <row r="42" spans="1:15" ht="49.5" customHeight="1">
      <c r="A42" s="980"/>
      <c r="B42" s="980"/>
      <c r="C42" s="980"/>
      <c r="D42" s="980"/>
      <c r="E42" s="980"/>
      <c r="F42" s="980"/>
      <c r="G42" s="980"/>
      <c r="H42" s="980"/>
      <c r="I42" s="980"/>
      <c r="J42" s="980"/>
      <c r="K42" s="983"/>
    </row>
    <row r="43" spans="1:15" s="758" customFormat="1" ht="21">
      <c r="A43" s="983" t="s">
        <v>90</v>
      </c>
      <c r="B43" s="983"/>
      <c r="C43" s="983"/>
      <c r="D43" s="983"/>
      <c r="E43" s="983"/>
      <c r="F43" s="983"/>
      <c r="G43" s="983"/>
      <c r="H43" s="983"/>
      <c r="I43" s="983"/>
      <c r="J43" s="983"/>
      <c r="K43" s="983"/>
      <c r="L43"/>
      <c r="M43"/>
      <c r="N43"/>
      <c r="O43"/>
    </row>
    <row r="44" spans="1:15" s="758" customFormat="1" ht="21">
      <c r="A44" s="983" t="s">
        <v>433</v>
      </c>
      <c r="B44" s="983"/>
      <c r="C44" s="983"/>
      <c r="D44" s="983"/>
      <c r="E44" s="983"/>
      <c r="F44" s="983"/>
      <c r="G44" s="983"/>
      <c r="H44" s="983"/>
      <c r="I44" s="983"/>
      <c r="J44" s="983"/>
      <c r="K44" s="983"/>
      <c r="L44"/>
      <c r="M44"/>
      <c r="N44"/>
      <c r="O44"/>
    </row>
    <row r="45" spans="1:15" s="758" customFormat="1" ht="21">
      <c r="A45" s="983" t="s">
        <v>27</v>
      </c>
      <c r="B45" s="983"/>
      <c r="C45" s="983"/>
      <c r="D45" s="983"/>
      <c r="E45" s="983"/>
      <c r="F45" s="983"/>
      <c r="G45" s="983"/>
      <c r="H45" s="983"/>
      <c r="I45" s="983"/>
      <c r="J45" s="983"/>
      <c r="K45" s="983"/>
      <c r="L45"/>
      <c r="M45"/>
      <c r="N45"/>
      <c r="O45"/>
    </row>
    <row r="46" spans="1:15" ht="24" customHeight="1">
      <c r="K46" s="983"/>
    </row>
    <row r="47" spans="1:15" ht="24" customHeight="1">
      <c r="K47" s="983"/>
    </row>
    <row r="48" spans="1:15" ht="24" customHeight="1">
      <c r="K48" s="983"/>
    </row>
    <row r="49" spans="11:11" ht="24" customHeight="1">
      <c r="K49" s="983"/>
    </row>
  </sheetData>
  <mergeCells count="17">
    <mergeCell ref="A28:F28"/>
    <mergeCell ref="A35:F35"/>
    <mergeCell ref="A14:K14"/>
    <mergeCell ref="A29:K29"/>
    <mergeCell ref="K30:K33"/>
    <mergeCell ref="A34:F34"/>
    <mergeCell ref="A13:F13"/>
    <mergeCell ref="A21:K21"/>
    <mergeCell ref="K22:K24"/>
    <mergeCell ref="A7:K7"/>
    <mergeCell ref="C9:E9"/>
    <mergeCell ref="A10:K10"/>
    <mergeCell ref="A11:K11"/>
    <mergeCell ref="C12:E12"/>
    <mergeCell ref="A16:K16"/>
    <mergeCell ref="K17:K19"/>
    <mergeCell ref="A20:F20"/>
  </mergeCells>
  <printOptions horizontalCentered="1"/>
  <pageMargins left="0.39370078740157483" right="0.39370078740157483" top="0.39370078740157483" bottom="0.19685039370078741" header="0.31496062992125984" footer="0.31496062992125984"/>
  <pageSetup paperSize="9" scale="31"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66"/>
    <pageSetUpPr fitToPage="1"/>
  </sheetPr>
  <dimension ref="A1:N58"/>
  <sheetViews>
    <sheetView view="pageBreakPreview" topLeftCell="A24" zoomScale="55" zoomScaleNormal="75" zoomScaleSheetLayoutView="55" zoomScalePageLayoutView="85" workbookViewId="0">
      <selection activeCell="K39" sqref="K39:K42"/>
    </sheetView>
  </sheetViews>
  <sheetFormatPr defaultRowHeight="24" customHeight="1"/>
  <cols>
    <col min="1" max="1" width="19.28515625" style="1319" customWidth="1"/>
    <col min="2" max="2" width="12.42578125" style="1319" customWidth="1"/>
    <col min="3" max="3" width="36.7109375" style="1319" customWidth="1"/>
    <col min="4" max="4" width="9.7109375" style="1319" customWidth="1"/>
    <col min="5" max="5" width="13" style="1319" customWidth="1"/>
    <col min="6" max="6" width="59.7109375" style="1319" customWidth="1"/>
    <col min="7" max="7" width="21.5703125" style="1319" customWidth="1"/>
    <col min="8" max="8" width="16.85546875" style="1319" hidden="1" customWidth="1"/>
    <col min="9" max="10" width="21.5703125" style="1319" customWidth="1"/>
    <col min="11" max="11" width="141.5703125" style="1328" customWidth="1"/>
    <col min="12" max="12" width="10.5703125" style="1319" bestFit="1" customWidth="1"/>
    <col min="13" max="13" width="56.85546875" style="1319" customWidth="1"/>
    <col min="14" max="14" width="19.42578125" style="1319" customWidth="1"/>
    <col min="15" max="16384" width="9.140625" style="1319"/>
  </cols>
  <sheetData>
    <row r="1" spans="1:12" s="1316" customFormat="1" ht="44.25" customHeight="1">
      <c r="A1" s="753" t="s">
        <v>475</v>
      </c>
      <c r="B1" s="1313"/>
      <c r="C1" s="1313"/>
      <c r="D1" s="1313"/>
      <c r="E1" s="1314"/>
      <c r="F1" s="1314"/>
      <c r="G1" s="1314"/>
      <c r="H1" s="1314"/>
      <c r="I1" s="1314"/>
      <c r="J1" s="1314"/>
      <c r="K1" s="1315"/>
    </row>
    <row r="2" spans="1:12" s="1316" customFormat="1" ht="33" customHeight="1">
      <c r="A2" s="757" t="s">
        <v>781</v>
      </c>
      <c r="B2" s="1313"/>
      <c r="C2" s="1313"/>
      <c r="D2" s="1313"/>
      <c r="E2" s="1314"/>
      <c r="F2" s="1314"/>
      <c r="G2" s="1314"/>
      <c r="H2" s="1314"/>
      <c r="I2" s="1314"/>
      <c r="J2" s="1314"/>
      <c r="K2" s="1315"/>
    </row>
    <row r="3" spans="1:12" s="1316" customFormat="1" ht="37.5" customHeight="1">
      <c r="A3" s="757" t="s">
        <v>782</v>
      </c>
      <c r="B3" s="1313"/>
      <c r="C3" s="1313"/>
      <c r="D3" s="1313"/>
      <c r="E3" s="1314"/>
      <c r="F3" s="1314"/>
      <c r="G3" s="1314"/>
      <c r="H3" s="1314"/>
      <c r="I3" s="1314"/>
      <c r="J3" s="1314"/>
      <c r="K3" s="1315"/>
    </row>
    <row r="4" spans="1:12" s="1316" customFormat="1" ht="60.75" customHeight="1">
      <c r="A4" s="757" t="s">
        <v>106</v>
      </c>
      <c r="B4" s="1313"/>
      <c r="C4" s="1313"/>
      <c r="D4" s="1313"/>
      <c r="E4" s="1314"/>
      <c r="F4" s="1314"/>
      <c r="G4" s="1314"/>
      <c r="H4" s="1314"/>
      <c r="I4" s="1314"/>
      <c r="J4" s="1314"/>
      <c r="K4" s="1315"/>
    </row>
    <row r="5" spans="1:12" s="1316" customFormat="1" ht="42" customHeight="1">
      <c r="A5" s="757" t="s">
        <v>437</v>
      </c>
      <c r="B5" s="1313"/>
      <c r="C5" s="1313"/>
      <c r="D5" s="1313"/>
      <c r="E5" s="1314"/>
      <c r="F5" s="1314"/>
      <c r="G5" s="1314"/>
      <c r="H5" s="1314"/>
      <c r="I5" s="1314"/>
      <c r="J5" s="1314"/>
      <c r="K5" s="1315"/>
    </row>
    <row r="6" spans="1:12" ht="24" customHeight="1">
      <c r="A6" s="1317"/>
      <c r="B6" s="1317"/>
      <c r="C6" s="1317"/>
      <c r="D6" s="1318"/>
      <c r="E6" s="1318"/>
      <c r="F6" s="1318"/>
      <c r="G6" s="1318"/>
      <c r="H6" s="1318"/>
      <c r="I6" s="1318"/>
      <c r="J6" s="1318"/>
      <c r="K6" s="1315"/>
    </row>
    <row r="7" spans="1:12" ht="69" customHeight="1">
      <c r="A7" s="1595" t="s">
        <v>791</v>
      </c>
      <c r="B7" s="1595"/>
      <c r="C7" s="1595"/>
      <c r="D7" s="1595"/>
      <c r="E7" s="1595"/>
      <c r="F7" s="1595"/>
      <c r="G7" s="1595"/>
      <c r="H7" s="1595"/>
      <c r="I7" s="1595"/>
      <c r="J7" s="1595"/>
      <c r="K7" s="1595"/>
    </row>
    <row r="8" spans="1:12" ht="24" customHeight="1">
      <c r="A8" s="1318"/>
      <c r="B8" s="1318"/>
      <c r="C8" s="1318"/>
      <c r="D8" s="1318"/>
      <c r="E8" s="1318"/>
      <c r="F8" s="1318"/>
      <c r="G8" s="1318"/>
      <c r="H8" s="1318"/>
      <c r="I8" s="1318"/>
      <c r="J8" s="1318"/>
      <c r="K8" s="1315"/>
    </row>
    <row r="9" spans="1:12" s="989" customFormat="1" ht="68.25" customHeight="1">
      <c r="A9" s="1307" t="s">
        <v>1</v>
      </c>
      <c r="B9" s="1307" t="s">
        <v>2</v>
      </c>
      <c r="C9" s="1522" t="s">
        <v>80</v>
      </c>
      <c r="D9" s="1522"/>
      <c r="E9" s="1522"/>
      <c r="F9" s="1307" t="s">
        <v>81</v>
      </c>
      <c r="G9" s="1307" t="s">
        <v>82</v>
      </c>
      <c r="H9" s="1307"/>
      <c r="I9" s="1307" t="s">
        <v>83</v>
      </c>
      <c r="J9" s="1307" t="s">
        <v>84</v>
      </c>
      <c r="K9" s="1307" t="s">
        <v>85</v>
      </c>
      <c r="L9" s="990"/>
    </row>
    <row r="10" spans="1:12" s="989" customFormat="1" ht="21">
      <c r="A10" s="1523" t="s">
        <v>86</v>
      </c>
      <c r="B10" s="1523"/>
      <c r="C10" s="1523"/>
      <c r="D10" s="1523"/>
      <c r="E10" s="1523"/>
      <c r="F10" s="1523"/>
      <c r="G10" s="1523"/>
      <c r="H10" s="1523"/>
      <c r="I10" s="1523"/>
      <c r="J10" s="1523"/>
      <c r="K10" s="1523"/>
    </row>
    <row r="11" spans="1:12" s="989" customFormat="1" ht="23.25" customHeight="1">
      <c r="A11" s="1524" t="s">
        <v>788</v>
      </c>
      <c r="B11" s="1524"/>
      <c r="C11" s="1524"/>
      <c r="D11" s="1524"/>
      <c r="E11" s="1524"/>
      <c r="F11" s="1524"/>
      <c r="G11" s="1524"/>
      <c r="H11" s="1524"/>
      <c r="I11" s="1524"/>
      <c r="J11" s="1524"/>
      <c r="K11" s="1524"/>
    </row>
    <row r="12" spans="1:12" s="989" customFormat="1" ht="34.5" customHeight="1">
      <c r="A12" s="1309" t="s">
        <v>31</v>
      </c>
      <c r="B12" s="1307">
        <v>4</v>
      </c>
      <c r="C12" s="1528" t="s">
        <v>787</v>
      </c>
      <c r="D12" s="1529"/>
      <c r="E12" s="1530"/>
      <c r="F12" s="1537" t="s">
        <v>849</v>
      </c>
      <c r="G12" s="764">
        <v>795400</v>
      </c>
      <c r="H12" s="202"/>
      <c r="I12" s="202">
        <v>41.5</v>
      </c>
      <c r="J12" s="764">
        <f t="shared" ref="J12:J13" si="0">G12+I12</f>
        <v>795441.5</v>
      </c>
      <c r="K12" s="1525" t="s">
        <v>846</v>
      </c>
    </row>
    <row r="13" spans="1:12" s="989" customFormat="1" ht="34.5" customHeight="1">
      <c r="A13" s="1309" t="s">
        <v>7</v>
      </c>
      <c r="B13" s="1307">
        <v>4</v>
      </c>
      <c r="C13" s="1534"/>
      <c r="D13" s="1535"/>
      <c r="E13" s="1536"/>
      <c r="F13" s="1539"/>
      <c r="G13" s="764">
        <v>59805.26</v>
      </c>
      <c r="H13" s="202"/>
      <c r="I13" s="202">
        <v>2.19</v>
      </c>
      <c r="J13" s="764">
        <f t="shared" si="0"/>
        <v>59807.45</v>
      </c>
      <c r="K13" s="1527"/>
    </row>
    <row r="14" spans="1:12" s="1320" customFormat="1" ht="21">
      <c r="A14" s="1514" t="s">
        <v>104</v>
      </c>
      <c r="B14" s="1515"/>
      <c r="C14" s="1515"/>
      <c r="D14" s="1515"/>
      <c r="E14" s="1515"/>
      <c r="F14" s="1516"/>
      <c r="G14" s="198">
        <f>SUM(G12:G13)</f>
        <v>855205.26</v>
      </c>
      <c r="H14" s="198">
        <f>SUM(H12:H13)</f>
        <v>0</v>
      </c>
      <c r="I14" s="198">
        <f>SUM(I12:I13)</f>
        <v>43.69</v>
      </c>
      <c r="J14" s="198">
        <f>SUM(J12:J13)</f>
        <v>855248.95</v>
      </c>
      <c r="K14" s="762"/>
    </row>
    <row r="15" spans="1:12" s="989" customFormat="1" ht="23.25" customHeight="1">
      <c r="A15" s="1524" t="s">
        <v>1127</v>
      </c>
      <c r="B15" s="1524"/>
      <c r="C15" s="1524"/>
      <c r="D15" s="1524"/>
      <c r="E15" s="1524"/>
      <c r="F15" s="1524"/>
      <c r="G15" s="1524"/>
      <c r="H15" s="1524"/>
      <c r="I15" s="1524"/>
      <c r="J15" s="1524"/>
      <c r="K15" s="1524"/>
    </row>
    <row r="16" spans="1:12" s="989" customFormat="1" ht="102.75" customHeight="1">
      <c r="A16" s="1309"/>
      <c r="B16" s="1309">
        <v>2</v>
      </c>
      <c r="C16" s="1550" t="s">
        <v>787</v>
      </c>
      <c r="D16" s="1550"/>
      <c r="E16" s="1550"/>
      <c r="F16" s="1309" t="s">
        <v>1126</v>
      </c>
      <c r="G16" s="173">
        <v>0</v>
      </c>
      <c r="H16" s="173"/>
      <c r="I16" s="173">
        <f>6000+30000</f>
        <v>36000</v>
      </c>
      <c r="J16" s="173">
        <f>G16+I16</f>
        <v>36000</v>
      </c>
      <c r="K16" s="1311" t="s">
        <v>1135</v>
      </c>
    </row>
    <row r="17" spans="1:13" s="989" customFormat="1" ht="94.5" customHeight="1">
      <c r="A17" s="1309"/>
      <c r="B17" s="1309">
        <v>2</v>
      </c>
      <c r="C17" s="1550" t="s">
        <v>103</v>
      </c>
      <c r="D17" s="1550"/>
      <c r="E17" s="1550"/>
      <c r="F17" s="1309" t="s">
        <v>1126</v>
      </c>
      <c r="G17" s="173">
        <v>0</v>
      </c>
      <c r="H17" s="173"/>
      <c r="I17" s="173">
        <v>850000</v>
      </c>
      <c r="J17" s="173">
        <f>G17+I17</f>
        <v>850000</v>
      </c>
      <c r="K17" s="1311" t="s">
        <v>1167</v>
      </c>
    </row>
    <row r="18" spans="1:13" s="1320" customFormat="1" ht="21">
      <c r="A18" s="1306"/>
      <c r="B18" s="1306"/>
      <c r="C18" s="1308" t="s">
        <v>104</v>
      </c>
      <c r="D18" s="1306"/>
      <c r="E18" s="760"/>
      <c r="F18" s="761"/>
      <c r="G18" s="198">
        <f t="shared" ref="G18:H18" si="1">SUM(G16:G17)</f>
        <v>0</v>
      </c>
      <c r="H18" s="198">
        <f t="shared" si="1"/>
        <v>0</v>
      </c>
      <c r="I18" s="198">
        <f>SUM(I16:I17)</f>
        <v>886000</v>
      </c>
      <c r="J18" s="198">
        <f>SUM(J16:J17)</f>
        <v>886000</v>
      </c>
      <c r="K18" s="762"/>
    </row>
    <row r="19" spans="1:13" s="989" customFormat="1" ht="27.75" customHeight="1">
      <c r="A19" s="1523" t="s">
        <v>87</v>
      </c>
      <c r="B19" s="1523"/>
      <c r="C19" s="1523"/>
      <c r="D19" s="1523"/>
      <c r="E19" s="1523"/>
      <c r="F19" s="1523"/>
      <c r="G19" s="1523"/>
      <c r="H19" s="1523"/>
      <c r="I19" s="1523"/>
      <c r="J19" s="1523"/>
      <c r="K19" s="1523"/>
    </row>
    <row r="20" spans="1:13" s="989" customFormat="1" ht="65.25" customHeight="1">
      <c r="A20" s="1307" t="s">
        <v>1</v>
      </c>
      <c r="B20" s="1307" t="s">
        <v>2</v>
      </c>
      <c r="C20" s="1307" t="s">
        <v>3</v>
      </c>
      <c r="D20" s="1307" t="s">
        <v>4</v>
      </c>
      <c r="E20" s="1307" t="s">
        <v>5</v>
      </c>
      <c r="F20" s="1307" t="s">
        <v>6</v>
      </c>
      <c r="G20" s="1307" t="s">
        <v>82</v>
      </c>
      <c r="H20" s="1307"/>
      <c r="I20" s="1307" t="s">
        <v>83</v>
      </c>
      <c r="J20" s="1307" t="s">
        <v>84</v>
      </c>
      <c r="K20" s="1307" t="s">
        <v>85</v>
      </c>
    </row>
    <row r="21" spans="1:13" s="989" customFormat="1" ht="24" customHeight="1">
      <c r="A21" s="1565" t="s">
        <v>908</v>
      </c>
      <c r="B21" s="1566"/>
      <c r="C21" s="1566"/>
      <c r="D21" s="1566"/>
      <c r="E21" s="1566"/>
      <c r="F21" s="1566"/>
      <c r="G21" s="1566"/>
      <c r="H21" s="1566"/>
      <c r="I21" s="1566"/>
      <c r="J21" s="1566"/>
      <c r="K21" s="1567"/>
      <c r="L21" s="990"/>
      <c r="M21" s="990"/>
    </row>
    <row r="22" spans="1:13" s="989" customFormat="1" ht="54" customHeight="1">
      <c r="A22" s="1334" t="s">
        <v>7</v>
      </c>
      <c r="B22" s="1333">
        <v>4</v>
      </c>
      <c r="C22" s="1333" t="s">
        <v>69</v>
      </c>
      <c r="D22" s="1334">
        <v>111</v>
      </c>
      <c r="E22" s="1334">
        <v>211</v>
      </c>
      <c r="F22" s="146" t="s">
        <v>8</v>
      </c>
      <c r="G22" s="764">
        <v>30127705.329999998</v>
      </c>
      <c r="H22" s="202"/>
      <c r="I22" s="202">
        <v>1000000</v>
      </c>
      <c r="J22" s="764">
        <f>G22+I22</f>
        <v>31127705.329999998</v>
      </c>
      <c r="K22" s="1599" t="s">
        <v>1174</v>
      </c>
      <c r="L22" s="990"/>
      <c r="M22" s="990"/>
    </row>
    <row r="23" spans="1:13" s="989" customFormat="1" ht="60.75" customHeight="1">
      <c r="A23" s="1334" t="s">
        <v>7</v>
      </c>
      <c r="B23" s="1333">
        <v>4</v>
      </c>
      <c r="C23" s="1334" t="s">
        <v>71</v>
      </c>
      <c r="D23" s="1334">
        <v>244</v>
      </c>
      <c r="E23" s="1334">
        <v>223</v>
      </c>
      <c r="F23" s="146" t="s">
        <v>1173</v>
      </c>
      <c r="G23" s="764">
        <v>1044506.81</v>
      </c>
      <c r="H23" s="202"/>
      <c r="I23" s="202">
        <v>-500000</v>
      </c>
      <c r="J23" s="764">
        <f>G23+I23</f>
        <v>544506.81000000006</v>
      </c>
      <c r="K23" s="1600"/>
      <c r="L23" s="990"/>
      <c r="M23" s="990"/>
    </row>
    <row r="24" spans="1:13" s="989" customFormat="1" ht="60.75" customHeight="1">
      <c r="A24" s="1334" t="s">
        <v>7</v>
      </c>
      <c r="B24" s="1333">
        <v>4</v>
      </c>
      <c r="C24" s="1334" t="s">
        <v>71</v>
      </c>
      <c r="D24" s="1334">
        <v>244</v>
      </c>
      <c r="E24" s="1334">
        <v>224</v>
      </c>
      <c r="F24" s="146" t="s">
        <v>151</v>
      </c>
      <c r="G24" s="764">
        <v>12428476.800000001</v>
      </c>
      <c r="H24" s="202"/>
      <c r="I24" s="202">
        <v>-500000</v>
      </c>
      <c r="J24" s="764">
        <f>G24+I24</f>
        <v>11928476.800000001</v>
      </c>
      <c r="K24" s="1601"/>
      <c r="L24" s="990"/>
      <c r="M24" s="990"/>
    </row>
    <row r="25" spans="1:13" s="989" customFormat="1" ht="42.75" customHeight="1">
      <c r="A25" s="1309" t="s">
        <v>31</v>
      </c>
      <c r="B25" s="1307">
        <v>4</v>
      </c>
      <c r="C25" s="1309" t="s">
        <v>47</v>
      </c>
      <c r="D25" s="1309">
        <v>244</v>
      </c>
      <c r="E25" s="1309">
        <v>310</v>
      </c>
      <c r="F25" s="146" t="s">
        <v>532</v>
      </c>
      <c r="G25" s="764">
        <v>795400</v>
      </c>
      <c r="H25" s="202"/>
      <c r="I25" s="202">
        <v>41.5</v>
      </c>
      <c r="J25" s="764">
        <f t="shared" ref="J25:J26" si="2">G25+I25</f>
        <v>795441.5</v>
      </c>
      <c r="K25" s="1525" t="s">
        <v>1132</v>
      </c>
    </row>
    <row r="26" spans="1:13" s="989" customFormat="1" ht="42.75" customHeight="1">
      <c r="A26" s="1309" t="s">
        <v>7</v>
      </c>
      <c r="B26" s="1307">
        <v>4</v>
      </c>
      <c r="C26" s="1309" t="s">
        <v>47</v>
      </c>
      <c r="D26" s="1309">
        <v>244</v>
      </c>
      <c r="E26" s="1309">
        <v>310</v>
      </c>
      <c r="F26" s="146" t="s">
        <v>532</v>
      </c>
      <c r="G26" s="764">
        <v>59805.26</v>
      </c>
      <c r="H26" s="202"/>
      <c r="I26" s="202">
        <v>2.19</v>
      </c>
      <c r="J26" s="764">
        <f t="shared" si="2"/>
        <v>59807.45</v>
      </c>
      <c r="K26" s="1527"/>
    </row>
    <row r="27" spans="1:13" s="989" customFormat="1" ht="69.75" customHeight="1">
      <c r="A27" s="1309" t="s">
        <v>7</v>
      </c>
      <c r="B27" s="1307">
        <v>4</v>
      </c>
      <c r="C27" s="1309" t="s">
        <v>71</v>
      </c>
      <c r="D27" s="1309">
        <v>119</v>
      </c>
      <c r="E27" s="765">
        <v>213</v>
      </c>
      <c r="F27" s="146" t="s">
        <v>1171</v>
      </c>
      <c r="G27" s="173">
        <v>80866.679999999993</v>
      </c>
      <c r="H27" s="173"/>
      <c r="I27" s="173">
        <v>-61236.68</v>
      </c>
      <c r="J27" s="173">
        <f t="shared" ref="J27:J32" si="3">G27+I27</f>
        <v>19630</v>
      </c>
      <c r="K27" s="1596" t="s">
        <v>1175</v>
      </c>
    </row>
    <row r="28" spans="1:13" s="989" customFormat="1" ht="114.75" customHeight="1">
      <c r="A28" s="1309" t="s">
        <v>7</v>
      </c>
      <c r="B28" s="1307">
        <v>4</v>
      </c>
      <c r="C28" s="1309" t="s">
        <v>71</v>
      </c>
      <c r="D28" s="1309">
        <v>119</v>
      </c>
      <c r="E28" s="765">
        <v>266</v>
      </c>
      <c r="F28" s="1332" t="s">
        <v>408</v>
      </c>
      <c r="G28" s="173">
        <v>0</v>
      </c>
      <c r="H28" s="173"/>
      <c r="I28" s="173">
        <v>61236.68</v>
      </c>
      <c r="J28" s="173">
        <f t="shared" si="3"/>
        <v>61236.68</v>
      </c>
      <c r="K28" s="1597"/>
    </row>
    <row r="29" spans="1:13" s="989" customFormat="1" ht="33.75" customHeight="1">
      <c r="A29" s="1330" t="s">
        <v>7</v>
      </c>
      <c r="B29" s="1329">
        <v>4</v>
      </c>
      <c r="C29" s="1330" t="s">
        <v>70</v>
      </c>
      <c r="D29" s="1330">
        <v>244</v>
      </c>
      <c r="E29" s="1330">
        <v>226</v>
      </c>
      <c r="F29" s="146" t="s">
        <v>307</v>
      </c>
      <c r="G29" s="764">
        <v>2100099.31</v>
      </c>
      <c r="H29" s="202"/>
      <c r="I29" s="202">
        <v>-96312.07</v>
      </c>
      <c r="J29" s="764">
        <f t="shared" ref="J29:J30" si="4">G29+I29</f>
        <v>2003787.24</v>
      </c>
      <c r="K29" s="1525" t="s">
        <v>1176</v>
      </c>
    </row>
    <row r="30" spans="1:13" s="989" customFormat="1" ht="51.75" customHeight="1">
      <c r="A30" s="1330" t="s">
        <v>7</v>
      </c>
      <c r="B30" s="1329">
        <v>4</v>
      </c>
      <c r="C30" s="1330" t="s">
        <v>70</v>
      </c>
      <c r="D30" s="1330">
        <v>244</v>
      </c>
      <c r="E30" s="1330">
        <v>346</v>
      </c>
      <c r="F30" s="146" t="s">
        <v>306</v>
      </c>
      <c r="G30" s="764">
        <v>359298.91</v>
      </c>
      <c r="H30" s="202"/>
      <c r="I30" s="202">
        <v>96312.07</v>
      </c>
      <c r="J30" s="764">
        <f t="shared" si="4"/>
        <v>455610.98</v>
      </c>
      <c r="K30" s="1527"/>
    </row>
    <row r="31" spans="1:13" s="989" customFormat="1" ht="89.25" customHeight="1">
      <c r="A31" s="1309" t="s">
        <v>7</v>
      </c>
      <c r="B31" s="1307">
        <v>4</v>
      </c>
      <c r="C31" s="1309" t="s">
        <v>71</v>
      </c>
      <c r="D31" s="1309">
        <v>119</v>
      </c>
      <c r="E31" s="1309">
        <v>266</v>
      </c>
      <c r="F31" s="146" t="s">
        <v>514</v>
      </c>
      <c r="G31" s="764">
        <v>250000</v>
      </c>
      <c r="H31" s="202"/>
      <c r="I31" s="202">
        <v>-100000</v>
      </c>
      <c r="J31" s="764">
        <f t="shared" si="3"/>
        <v>150000</v>
      </c>
      <c r="K31" s="1525" t="s">
        <v>1170</v>
      </c>
    </row>
    <row r="32" spans="1:13" s="989" customFormat="1" ht="116.25" customHeight="1">
      <c r="A32" s="1309" t="s">
        <v>7</v>
      </c>
      <c r="B32" s="1307">
        <v>4</v>
      </c>
      <c r="C32" s="1309" t="s">
        <v>71</v>
      </c>
      <c r="D32" s="1309">
        <v>111</v>
      </c>
      <c r="E32" s="1309">
        <v>266</v>
      </c>
      <c r="F32" s="146" t="s">
        <v>537</v>
      </c>
      <c r="G32" s="764">
        <v>208770.48</v>
      </c>
      <c r="H32" s="202"/>
      <c r="I32" s="202">
        <v>100000</v>
      </c>
      <c r="J32" s="764">
        <f t="shared" si="3"/>
        <v>308770.48</v>
      </c>
      <c r="K32" s="1527"/>
    </row>
    <row r="33" spans="1:14" s="1320" customFormat="1" ht="23.25">
      <c r="A33" s="1511" t="s">
        <v>17</v>
      </c>
      <c r="B33" s="1512"/>
      <c r="C33" s="1512"/>
      <c r="D33" s="1512"/>
      <c r="E33" s="1512"/>
      <c r="F33" s="1513"/>
      <c r="G33" s="198">
        <f>SUM(G25:G32)</f>
        <v>3854240.64</v>
      </c>
      <c r="H33" s="198">
        <f>SUM(H25:H32)</f>
        <v>0</v>
      </c>
      <c r="I33" s="198">
        <f>SUM(I25:I32)</f>
        <v>43.69</v>
      </c>
      <c r="J33" s="198">
        <f>SUM(J25:J32)</f>
        <v>3854284.33</v>
      </c>
      <c r="K33" s="1331"/>
      <c r="N33" s="989"/>
    </row>
    <row r="34" spans="1:14" s="989" customFormat="1" ht="24" customHeight="1">
      <c r="A34" s="1565" t="s">
        <v>1156</v>
      </c>
      <c r="B34" s="1566"/>
      <c r="C34" s="1566"/>
      <c r="D34" s="1566"/>
      <c r="E34" s="1566"/>
      <c r="F34" s="1566"/>
      <c r="G34" s="1566"/>
      <c r="H34" s="1566"/>
      <c r="I34" s="1566"/>
      <c r="J34" s="1566"/>
      <c r="K34" s="1567"/>
      <c r="L34" s="990"/>
      <c r="M34" s="990"/>
    </row>
    <row r="35" spans="1:14" s="1298" customFormat="1" ht="35.25" customHeight="1">
      <c r="A35" s="1307" t="s">
        <v>23</v>
      </c>
      <c r="B35" s="1307">
        <v>2</v>
      </c>
      <c r="C35" s="1307" t="s">
        <v>69</v>
      </c>
      <c r="D35" s="1307">
        <v>111</v>
      </c>
      <c r="E35" s="161">
        <v>211</v>
      </c>
      <c r="F35" s="1310" t="s">
        <v>8</v>
      </c>
      <c r="G35" s="173">
        <v>5063110.87</v>
      </c>
      <c r="H35" s="1307"/>
      <c r="I35" s="173">
        <f>136538.34+4608.14</f>
        <v>141146.48000000001</v>
      </c>
      <c r="J35" s="173">
        <f>G35+I35</f>
        <v>5204257.3499999996</v>
      </c>
      <c r="K35" s="1558" t="s">
        <v>1168</v>
      </c>
    </row>
    <row r="36" spans="1:14" s="989" customFormat="1" ht="47.25" customHeight="1">
      <c r="A36" s="1307" t="s">
        <v>23</v>
      </c>
      <c r="B36" s="1307">
        <v>2</v>
      </c>
      <c r="C36" s="1307" t="s">
        <v>71</v>
      </c>
      <c r="D36" s="1307">
        <v>112</v>
      </c>
      <c r="E36" s="161">
        <v>212</v>
      </c>
      <c r="F36" s="1310" t="s">
        <v>785</v>
      </c>
      <c r="G36" s="173">
        <v>13800</v>
      </c>
      <c r="H36" s="1307"/>
      <c r="I36" s="173">
        <v>12000</v>
      </c>
      <c r="J36" s="173">
        <f>G36+I36</f>
        <v>25800</v>
      </c>
      <c r="K36" s="1558"/>
    </row>
    <row r="37" spans="1:14" s="989" customFormat="1" ht="45" customHeight="1">
      <c r="A37" s="1309" t="s">
        <v>23</v>
      </c>
      <c r="B37" s="1307">
        <v>2</v>
      </c>
      <c r="C37" s="1309" t="s">
        <v>69</v>
      </c>
      <c r="D37" s="1309">
        <v>119</v>
      </c>
      <c r="E37" s="765">
        <v>213</v>
      </c>
      <c r="F37" s="146" t="s">
        <v>10</v>
      </c>
      <c r="G37" s="173">
        <v>1488234.59</v>
      </c>
      <c r="H37" s="173"/>
      <c r="I37" s="173">
        <v>41272.879999999997</v>
      </c>
      <c r="J37" s="173">
        <f t="shared" ref="J37" si="5">G37+I37</f>
        <v>1529507.47</v>
      </c>
      <c r="K37" s="1558"/>
      <c r="M37" s="1321"/>
      <c r="N37" s="1321"/>
    </row>
    <row r="38" spans="1:14" s="989" customFormat="1" ht="45.75" customHeight="1">
      <c r="A38" s="1307" t="s">
        <v>23</v>
      </c>
      <c r="B38" s="1307">
        <v>2</v>
      </c>
      <c r="C38" s="1307" t="s">
        <v>71</v>
      </c>
      <c r="D38" s="1307">
        <v>112</v>
      </c>
      <c r="E38" s="161">
        <v>226</v>
      </c>
      <c r="F38" s="1310" t="s">
        <v>1157</v>
      </c>
      <c r="G38" s="173">
        <v>39692</v>
      </c>
      <c r="H38" s="173"/>
      <c r="I38" s="173">
        <v>101376</v>
      </c>
      <c r="J38" s="173">
        <f>G38+I38</f>
        <v>141068</v>
      </c>
      <c r="K38" s="1558"/>
      <c r="M38" s="1321"/>
      <c r="N38" s="1321"/>
    </row>
    <row r="39" spans="1:14" s="989" customFormat="1" ht="230.25" customHeight="1">
      <c r="A39" s="1309" t="s">
        <v>23</v>
      </c>
      <c r="B39" s="1307">
        <v>2</v>
      </c>
      <c r="C39" s="1309" t="s">
        <v>71</v>
      </c>
      <c r="D39" s="1309">
        <v>244</v>
      </c>
      <c r="E39" s="765">
        <v>226</v>
      </c>
      <c r="F39" s="146" t="s">
        <v>538</v>
      </c>
      <c r="G39" s="173">
        <v>1803554.78</v>
      </c>
      <c r="H39" s="173"/>
      <c r="I39" s="173">
        <v>106192.64</v>
      </c>
      <c r="J39" s="173">
        <f>G39+I39</f>
        <v>1909747.42</v>
      </c>
      <c r="K39" s="1596" t="s">
        <v>1169</v>
      </c>
      <c r="M39" s="1321"/>
      <c r="N39" s="1321"/>
    </row>
    <row r="40" spans="1:14" s="989" customFormat="1" ht="230.25" customHeight="1">
      <c r="A40" s="1309" t="s">
        <v>23</v>
      </c>
      <c r="B40" s="1307">
        <v>2</v>
      </c>
      <c r="C40" s="1309" t="s">
        <v>71</v>
      </c>
      <c r="D40" s="1309">
        <v>244</v>
      </c>
      <c r="E40" s="1309">
        <v>310</v>
      </c>
      <c r="F40" s="146" t="s">
        <v>532</v>
      </c>
      <c r="G40" s="764">
        <v>107978</v>
      </c>
      <c r="H40" s="202"/>
      <c r="I40" s="202">
        <v>420494</v>
      </c>
      <c r="J40" s="764">
        <f t="shared" ref="J40:J42" si="6">G40+I40</f>
        <v>528472</v>
      </c>
      <c r="K40" s="1598"/>
      <c r="M40" s="1321"/>
      <c r="N40" s="1321"/>
    </row>
    <row r="41" spans="1:14" s="989" customFormat="1" ht="230.25" customHeight="1">
      <c r="A41" s="1309" t="s">
        <v>23</v>
      </c>
      <c r="B41" s="1307">
        <v>2</v>
      </c>
      <c r="C41" s="1309" t="s">
        <v>71</v>
      </c>
      <c r="D41" s="1309">
        <v>244</v>
      </c>
      <c r="E41" s="1309">
        <v>346</v>
      </c>
      <c r="F41" s="146" t="s">
        <v>379</v>
      </c>
      <c r="G41" s="764">
        <v>86176.639999999999</v>
      </c>
      <c r="H41" s="202"/>
      <c r="I41" s="202">
        <v>20000</v>
      </c>
      <c r="J41" s="764">
        <f t="shared" si="6"/>
        <v>106176.64</v>
      </c>
      <c r="K41" s="1598"/>
      <c r="M41" s="1321"/>
      <c r="N41" s="1321"/>
    </row>
    <row r="42" spans="1:14" s="989" customFormat="1" ht="230.25" customHeight="1">
      <c r="A42" s="1309" t="s">
        <v>23</v>
      </c>
      <c r="B42" s="1307">
        <v>2</v>
      </c>
      <c r="C42" s="1309" t="s">
        <v>71</v>
      </c>
      <c r="D42" s="1309">
        <v>244</v>
      </c>
      <c r="E42" s="1309">
        <v>346</v>
      </c>
      <c r="F42" s="146" t="s">
        <v>499</v>
      </c>
      <c r="G42" s="764">
        <v>150687</v>
      </c>
      <c r="H42" s="202"/>
      <c r="I42" s="202">
        <v>43518</v>
      </c>
      <c r="J42" s="764">
        <f t="shared" si="6"/>
        <v>194205</v>
      </c>
      <c r="K42" s="1598"/>
      <c r="M42" s="1321"/>
      <c r="N42" s="1321"/>
    </row>
    <row r="43" spans="1:14" s="1320" customFormat="1" ht="21">
      <c r="A43" s="1511" t="s">
        <v>17</v>
      </c>
      <c r="B43" s="1512"/>
      <c r="C43" s="1512"/>
      <c r="D43" s="1512"/>
      <c r="E43" s="1512"/>
      <c r="F43" s="1513"/>
      <c r="G43" s="198">
        <f>SUM(G35:G42)</f>
        <v>8753233.8800000008</v>
      </c>
      <c r="H43" s="198">
        <f>SUM(H35:H42)</f>
        <v>0</v>
      </c>
      <c r="I43" s="198">
        <f>SUM(I35:I42)</f>
        <v>886000</v>
      </c>
      <c r="J43" s="198">
        <f>SUM(J35:J42)</f>
        <v>9639233.8800000008</v>
      </c>
      <c r="K43" s="766"/>
      <c r="N43" s="989"/>
    </row>
    <row r="44" spans="1:14" s="1320" customFormat="1" ht="21">
      <c r="A44" s="1511" t="s">
        <v>24</v>
      </c>
      <c r="B44" s="1512"/>
      <c r="C44" s="1512"/>
      <c r="D44" s="1512"/>
      <c r="E44" s="1512"/>
      <c r="F44" s="1513"/>
      <c r="G44" s="198">
        <f>G33+G43</f>
        <v>12607474.52</v>
      </c>
      <c r="H44" s="198">
        <f>H33+H43</f>
        <v>0</v>
      </c>
      <c r="I44" s="198">
        <f>I33+I43</f>
        <v>886043.69</v>
      </c>
      <c r="J44" s="198">
        <f>J33+J43</f>
        <v>13493518.210000001</v>
      </c>
      <c r="K44" s="766"/>
    </row>
    <row r="45" spans="1:14" ht="29.25" customHeight="1">
      <c r="A45" s="1318"/>
      <c r="B45" s="1318"/>
      <c r="C45" s="1318"/>
      <c r="D45" s="1318"/>
      <c r="E45" s="1322"/>
      <c r="F45" s="1322"/>
      <c r="G45" s="1322"/>
      <c r="H45" s="1318"/>
      <c r="I45" s="1318"/>
      <c r="J45" s="1318"/>
      <c r="K45" s="1323"/>
    </row>
    <row r="46" spans="1:14" s="1324" customFormat="1" ht="40.5" customHeight="1">
      <c r="A46" s="1324" t="s">
        <v>1133</v>
      </c>
      <c r="F46" s="1325"/>
      <c r="J46" s="1324" t="s">
        <v>32</v>
      </c>
      <c r="K46" s="1326"/>
      <c r="L46" s="1327"/>
      <c r="M46" s="1327"/>
    </row>
    <row r="47" spans="1:14" ht="20.25">
      <c r="A47" s="1318"/>
      <c r="B47" s="1318"/>
      <c r="C47" s="1318"/>
      <c r="D47" s="1318"/>
      <c r="E47" s="1318"/>
      <c r="F47" s="1318"/>
      <c r="G47" s="1318"/>
      <c r="H47" s="1318"/>
      <c r="I47" s="1318"/>
      <c r="J47" s="1318"/>
      <c r="K47" s="1323"/>
    </row>
    <row r="48" spans="1:14" ht="24" hidden="1" customHeight="1">
      <c r="A48" s="1318"/>
      <c r="B48" s="1318"/>
      <c r="C48" s="1318"/>
      <c r="D48" s="1318"/>
      <c r="E48" s="1318"/>
      <c r="F48" s="1318"/>
      <c r="G48" s="1318"/>
      <c r="H48" s="1318"/>
      <c r="I48" s="1318"/>
      <c r="J48" s="1318"/>
      <c r="K48" s="1323"/>
    </row>
    <row r="49" spans="1:13" ht="25.5" hidden="1" customHeight="1">
      <c r="A49" s="1318"/>
      <c r="B49" s="1318"/>
      <c r="C49" s="1318"/>
      <c r="D49" s="1318"/>
      <c r="E49" s="1318"/>
      <c r="F49" s="1318"/>
      <c r="G49" s="1318"/>
      <c r="H49" s="1318"/>
      <c r="I49" s="1318"/>
      <c r="J49" s="1318"/>
      <c r="K49" s="1323"/>
    </row>
    <row r="50" spans="1:13" ht="24" hidden="1" customHeight="1">
      <c r="A50" s="1318"/>
      <c r="B50" s="1318"/>
      <c r="C50" s="1318"/>
      <c r="D50" s="1318"/>
      <c r="E50" s="1318"/>
      <c r="F50" s="1318"/>
      <c r="G50" s="1318"/>
      <c r="H50" s="1318"/>
      <c r="I50" s="1318"/>
      <c r="J50" s="1318"/>
      <c r="K50" s="1323"/>
    </row>
    <row r="51" spans="1:13" ht="49.5" customHeight="1">
      <c r="A51" s="1318"/>
      <c r="B51" s="1318"/>
      <c r="C51" s="1318"/>
      <c r="D51" s="1318"/>
      <c r="E51" s="1318"/>
      <c r="F51" s="1318"/>
      <c r="G51" s="1318"/>
      <c r="H51" s="1318"/>
      <c r="I51" s="1318"/>
      <c r="J51" s="1318"/>
      <c r="K51" s="1323"/>
    </row>
    <row r="52" spans="1:13" s="989" customFormat="1" ht="21">
      <c r="A52" s="1323" t="s">
        <v>90</v>
      </c>
      <c r="B52" s="1323"/>
      <c r="C52" s="1323"/>
      <c r="D52" s="1323"/>
      <c r="E52" s="1323"/>
      <c r="F52" s="1323"/>
      <c r="G52" s="1323"/>
      <c r="H52" s="1323"/>
      <c r="I52" s="1323"/>
      <c r="J52" s="1323"/>
      <c r="K52" s="1323"/>
      <c r="L52" s="1319"/>
      <c r="M52" s="1319"/>
    </row>
    <row r="53" spans="1:13" s="989" customFormat="1" ht="21">
      <c r="A53" s="1323" t="s">
        <v>1134</v>
      </c>
      <c r="B53" s="1323"/>
      <c r="C53" s="1323"/>
      <c r="D53" s="1323"/>
      <c r="E53" s="1323"/>
      <c r="F53" s="1323"/>
      <c r="G53" s="1323"/>
      <c r="H53" s="1323"/>
      <c r="I53" s="1323"/>
      <c r="J53" s="1323"/>
      <c r="K53" s="1323"/>
      <c r="L53" s="1319"/>
      <c r="M53" s="1319"/>
    </row>
    <row r="54" spans="1:13" s="989" customFormat="1" ht="21">
      <c r="A54" s="1323" t="s">
        <v>27</v>
      </c>
      <c r="B54" s="1323"/>
      <c r="C54" s="1323"/>
      <c r="D54" s="1323"/>
      <c r="E54" s="1323"/>
      <c r="F54" s="1323"/>
      <c r="G54" s="1323"/>
      <c r="H54" s="1323"/>
      <c r="I54" s="1323"/>
      <c r="J54" s="1323"/>
      <c r="K54" s="1323"/>
      <c r="L54" s="1319"/>
      <c r="M54" s="1319"/>
    </row>
    <row r="55" spans="1:13" ht="24" customHeight="1">
      <c r="K55" s="1323"/>
    </row>
    <row r="56" spans="1:13" ht="24" customHeight="1">
      <c r="K56" s="1323"/>
    </row>
    <row r="57" spans="1:13" ht="24" customHeight="1">
      <c r="K57" s="1323"/>
    </row>
    <row r="58" spans="1:13" ht="24" customHeight="1">
      <c r="K58" s="1323"/>
    </row>
  </sheetData>
  <mergeCells count="24">
    <mergeCell ref="A44:F44"/>
    <mergeCell ref="A19:K19"/>
    <mergeCell ref="A21:K21"/>
    <mergeCell ref="A33:F33"/>
    <mergeCell ref="A34:K34"/>
    <mergeCell ref="K35:K38"/>
    <mergeCell ref="K31:K32"/>
    <mergeCell ref="A43:F43"/>
    <mergeCell ref="K25:K26"/>
    <mergeCell ref="K27:K28"/>
    <mergeCell ref="K39:K42"/>
    <mergeCell ref="K22:K24"/>
    <mergeCell ref="A7:K7"/>
    <mergeCell ref="C9:E9"/>
    <mergeCell ref="A10:K10"/>
    <mergeCell ref="A11:K11"/>
    <mergeCell ref="K12:K13"/>
    <mergeCell ref="C17:E17"/>
    <mergeCell ref="K29:K30"/>
    <mergeCell ref="A14:F14"/>
    <mergeCell ref="C12:E13"/>
    <mergeCell ref="F12:F13"/>
    <mergeCell ref="A15:K15"/>
    <mergeCell ref="C16:E16"/>
  </mergeCells>
  <printOptions horizontalCentered="1"/>
  <pageMargins left="0.39370078740157483" right="0.39370078740157483" top="0.39370078740157483" bottom="0.19685039370078741" header="0.31496062992125984" footer="0.31496062992125984"/>
  <pageSetup paperSize="9" scale="38"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66"/>
    <pageSetUpPr fitToPage="1"/>
  </sheetPr>
  <dimension ref="A1:N58"/>
  <sheetViews>
    <sheetView view="pageBreakPreview" topLeftCell="A16" zoomScale="55" zoomScaleNormal="75" zoomScaleSheetLayoutView="55" zoomScalePageLayoutView="85" workbookViewId="0">
      <selection activeCell="K21" sqref="K21:K23"/>
    </sheetView>
  </sheetViews>
  <sheetFormatPr defaultRowHeight="24" customHeight="1"/>
  <cols>
    <col min="1" max="1" width="19.28515625" style="1319" customWidth="1"/>
    <col min="2" max="2" width="12.42578125" style="1319" customWidth="1"/>
    <col min="3" max="3" width="36.7109375" style="1319" customWidth="1"/>
    <col min="4" max="4" width="9.7109375" style="1319" customWidth="1"/>
    <col min="5" max="5" width="13" style="1319" customWidth="1"/>
    <col min="6" max="6" width="59.7109375" style="1319" customWidth="1"/>
    <col min="7" max="7" width="21.5703125" style="1319" customWidth="1"/>
    <col min="8" max="8" width="16.85546875" style="1319" hidden="1" customWidth="1"/>
    <col min="9" max="10" width="21.5703125" style="1319" customWidth="1"/>
    <col min="11" max="11" width="141.5703125" style="1328" customWidth="1"/>
    <col min="12" max="12" width="10.5703125" style="1319" bestFit="1" customWidth="1"/>
    <col min="13" max="13" width="56.85546875" style="1319" customWidth="1"/>
    <col min="14" max="14" width="19.42578125" style="1319" customWidth="1"/>
    <col min="15" max="16384" width="9.140625" style="1319"/>
  </cols>
  <sheetData>
    <row r="1" spans="1:12" s="1316" customFormat="1" ht="44.25" customHeight="1">
      <c r="A1" s="753" t="s">
        <v>475</v>
      </c>
      <c r="B1" s="1313"/>
      <c r="C1" s="1313"/>
      <c r="D1" s="1313"/>
      <c r="E1" s="1314"/>
      <c r="F1" s="1314"/>
      <c r="G1" s="1314"/>
      <c r="H1" s="1314"/>
      <c r="I1" s="1314"/>
      <c r="J1" s="1314"/>
      <c r="K1" s="1315"/>
    </row>
    <row r="2" spans="1:12" s="1316" customFormat="1" ht="33" customHeight="1">
      <c r="A2" s="757" t="s">
        <v>781</v>
      </c>
      <c r="B2" s="1313"/>
      <c r="C2" s="1313"/>
      <c r="D2" s="1313"/>
      <c r="E2" s="1314"/>
      <c r="F2" s="1314"/>
      <c r="G2" s="1314"/>
      <c r="H2" s="1314"/>
      <c r="I2" s="1314"/>
      <c r="J2" s="1314"/>
      <c r="K2" s="1315"/>
    </row>
    <row r="3" spans="1:12" s="1316" customFormat="1" ht="37.5" customHeight="1">
      <c r="A3" s="757" t="s">
        <v>782</v>
      </c>
      <c r="B3" s="1313"/>
      <c r="C3" s="1313"/>
      <c r="D3" s="1313"/>
      <c r="E3" s="1314"/>
      <c r="F3" s="1314"/>
      <c r="G3" s="1314"/>
      <c r="H3" s="1314"/>
      <c r="I3" s="1314"/>
      <c r="J3" s="1314"/>
      <c r="K3" s="1315"/>
    </row>
    <row r="4" spans="1:12" s="1316" customFormat="1" ht="60.75" customHeight="1">
      <c r="A4" s="757" t="s">
        <v>106</v>
      </c>
      <c r="B4" s="1313"/>
      <c r="C4" s="1313"/>
      <c r="D4" s="1313"/>
      <c r="E4" s="1314"/>
      <c r="F4" s="1314"/>
      <c r="G4" s="1314"/>
      <c r="H4" s="1314"/>
      <c r="I4" s="1314"/>
      <c r="J4" s="1314"/>
      <c r="K4" s="1315"/>
    </row>
    <row r="5" spans="1:12" s="1316" customFormat="1" ht="42" customHeight="1">
      <c r="A5" s="757" t="s">
        <v>437</v>
      </c>
      <c r="B5" s="1313"/>
      <c r="C5" s="1313"/>
      <c r="D5" s="1313"/>
      <c r="E5" s="1314"/>
      <c r="F5" s="1314"/>
      <c r="G5" s="1314"/>
      <c r="H5" s="1314"/>
      <c r="I5" s="1314"/>
      <c r="J5" s="1314"/>
      <c r="K5" s="1315"/>
    </row>
    <row r="6" spans="1:12" ht="24" customHeight="1">
      <c r="A6" s="1317"/>
      <c r="B6" s="1317"/>
      <c r="C6" s="1317"/>
      <c r="D6" s="1318"/>
      <c r="E6" s="1318"/>
      <c r="F6" s="1318"/>
      <c r="G6" s="1318"/>
      <c r="H6" s="1318"/>
      <c r="I6" s="1318"/>
      <c r="J6" s="1318"/>
      <c r="K6" s="1315"/>
    </row>
    <row r="7" spans="1:12" ht="69" customHeight="1">
      <c r="A7" s="1595" t="s">
        <v>791</v>
      </c>
      <c r="B7" s="1595"/>
      <c r="C7" s="1595"/>
      <c r="D7" s="1595"/>
      <c r="E7" s="1595"/>
      <c r="F7" s="1595"/>
      <c r="G7" s="1595"/>
      <c r="H7" s="1595"/>
      <c r="I7" s="1595"/>
      <c r="J7" s="1595"/>
      <c r="K7" s="1595"/>
    </row>
    <row r="8" spans="1:12" ht="24" customHeight="1">
      <c r="A8" s="1318"/>
      <c r="B8" s="1318"/>
      <c r="C8" s="1318"/>
      <c r="D8" s="1318"/>
      <c r="E8" s="1318"/>
      <c r="F8" s="1318"/>
      <c r="G8" s="1318"/>
      <c r="H8" s="1318"/>
      <c r="I8" s="1318"/>
      <c r="J8" s="1318"/>
      <c r="K8" s="1315"/>
    </row>
    <row r="9" spans="1:12" s="989" customFormat="1" ht="68.25" customHeight="1">
      <c r="A9" s="1336" t="s">
        <v>1</v>
      </c>
      <c r="B9" s="1336" t="s">
        <v>2</v>
      </c>
      <c r="C9" s="1522" t="s">
        <v>80</v>
      </c>
      <c r="D9" s="1522"/>
      <c r="E9" s="1522"/>
      <c r="F9" s="1336" t="s">
        <v>81</v>
      </c>
      <c r="G9" s="1336" t="s">
        <v>82</v>
      </c>
      <c r="H9" s="1336"/>
      <c r="I9" s="1336" t="s">
        <v>83</v>
      </c>
      <c r="J9" s="1336" t="s">
        <v>84</v>
      </c>
      <c r="K9" s="1336" t="s">
        <v>85</v>
      </c>
      <c r="L9" s="990"/>
    </row>
    <row r="10" spans="1:12" s="989" customFormat="1" ht="21">
      <c r="A10" s="1523" t="s">
        <v>86</v>
      </c>
      <c r="B10" s="1523"/>
      <c r="C10" s="1523"/>
      <c r="D10" s="1523"/>
      <c r="E10" s="1523"/>
      <c r="F10" s="1523"/>
      <c r="G10" s="1523"/>
      <c r="H10" s="1523"/>
      <c r="I10" s="1523"/>
      <c r="J10" s="1523"/>
      <c r="K10" s="1523"/>
    </row>
    <row r="11" spans="1:12" s="989" customFormat="1" ht="23.25" customHeight="1">
      <c r="A11" s="1524" t="s">
        <v>788</v>
      </c>
      <c r="B11" s="1524"/>
      <c r="C11" s="1524"/>
      <c r="D11" s="1524"/>
      <c r="E11" s="1524"/>
      <c r="F11" s="1524"/>
      <c r="G11" s="1524"/>
      <c r="H11" s="1524"/>
      <c r="I11" s="1524"/>
      <c r="J11" s="1524"/>
      <c r="K11" s="1524"/>
    </row>
    <row r="12" spans="1:12" s="989" customFormat="1" ht="34.5" customHeight="1">
      <c r="A12" s="1339" t="s">
        <v>31</v>
      </c>
      <c r="B12" s="1336">
        <v>4</v>
      </c>
      <c r="C12" s="1528" t="s">
        <v>787</v>
      </c>
      <c r="D12" s="1529"/>
      <c r="E12" s="1530"/>
      <c r="F12" s="1537" t="s">
        <v>849</v>
      </c>
      <c r="G12" s="764">
        <v>795400</v>
      </c>
      <c r="H12" s="202"/>
      <c r="I12" s="202">
        <v>41.5</v>
      </c>
      <c r="J12" s="764">
        <f t="shared" ref="J12:J13" si="0">G12+I12</f>
        <v>795441.5</v>
      </c>
      <c r="K12" s="1525" t="s">
        <v>846</v>
      </c>
    </row>
    <row r="13" spans="1:12" s="989" customFormat="1" ht="34.5" customHeight="1">
      <c r="A13" s="1339" t="s">
        <v>7</v>
      </c>
      <c r="B13" s="1336">
        <v>4</v>
      </c>
      <c r="C13" s="1534"/>
      <c r="D13" s="1535"/>
      <c r="E13" s="1536"/>
      <c r="F13" s="1539"/>
      <c r="G13" s="764">
        <v>59805.26</v>
      </c>
      <c r="H13" s="202"/>
      <c r="I13" s="202">
        <v>2.19</v>
      </c>
      <c r="J13" s="764">
        <f t="shared" si="0"/>
        <v>59807.45</v>
      </c>
      <c r="K13" s="1527"/>
    </row>
    <row r="14" spans="1:12" s="1320" customFormat="1" ht="21">
      <c r="A14" s="1514" t="s">
        <v>104</v>
      </c>
      <c r="B14" s="1515"/>
      <c r="C14" s="1515"/>
      <c r="D14" s="1515"/>
      <c r="E14" s="1515"/>
      <c r="F14" s="1516"/>
      <c r="G14" s="198">
        <f>SUM(G12:G13)</f>
        <v>855205.26</v>
      </c>
      <c r="H14" s="198">
        <f>SUM(H12:H13)</f>
        <v>0</v>
      </c>
      <c r="I14" s="198">
        <f>SUM(I12:I13)</f>
        <v>43.69</v>
      </c>
      <c r="J14" s="198">
        <f>SUM(J12:J13)</f>
        <v>855248.95</v>
      </c>
      <c r="K14" s="762"/>
    </row>
    <row r="15" spans="1:12" s="989" customFormat="1" ht="23.25" customHeight="1">
      <c r="A15" s="1524" t="s">
        <v>1127</v>
      </c>
      <c r="B15" s="1524"/>
      <c r="C15" s="1524"/>
      <c r="D15" s="1524"/>
      <c r="E15" s="1524"/>
      <c r="F15" s="1524"/>
      <c r="G15" s="1524"/>
      <c r="H15" s="1524"/>
      <c r="I15" s="1524"/>
      <c r="J15" s="1524"/>
      <c r="K15" s="1524"/>
    </row>
    <row r="16" spans="1:12" s="989" customFormat="1" ht="94.5" customHeight="1">
      <c r="A16" s="1339"/>
      <c r="B16" s="1339">
        <v>2</v>
      </c>
      <c r="C16" s="1550" t="s">
        <v>103</v>
      </c>
      <c r="D16" s="1550"/>
      <c r="E16" s="1550"/>
      <c r="F16" s="1339" t="s">
        <v>1126</v>
      </c>
      <c r="G16" s="173">
        <v>0</v>
      </c>
      <c r="H16" s="173"/>
      <c r="I16" s="173">
        <v>850000</v>
      </c>
      <c r="J16" s="173">
        <f>G16+I16</f>
        <v>850000</v>
      </c>
      <c r="K16" s="1341" t="s">
        <v>1167</v>
      </c>
    </row>
    <row r="17" spans="1:14" s="1320" customFormat="1" ht="21">
      <c r="A17" s="1335"/>
      <c r="B17" s="1335"/>
      <c r="C17" s="1337" t="s">
        <v>104</v>
      </c>
      <c r="D17" s="1335"/>
      <c r="E17" s="760"/>
      <c r="F17" s="761"/>
      <c r="G17" s="198">
        <f>SUM(G16:G16)</f>
        <v>0</v>
      </c>
      <c r="H17" s="198">
        <f>SUM(H16:H16)</f>
        <v>0</v>
      </c>
      <c r="I17" s="198">
        <f>SUM(I16:I16)</f>
        <v>850000</v>
      </c>
      <c r="J17" s="198">
        <f>SUM(J16:J16)</f>
        <v>850000</v>
      </c>
      <c r="K17" s="762"/>
    </row>
    <row r="18" spans="1:14" s="989" customFormat="1" ht="27.75" customHeight="1">
      <c r="A18" s="1523" t="s">
        <v>87</v>
      </c>
      <c r="B18" s="1523"/>
      <c r="C18" s="1523"/>
      <c r="D18" s="1523"/>
      <c r="E18" s="1523"/>
      <c r="F18" s="1523"/>
      <c r="G18" s="1523"/>
      <c r="H18" s="1523"/>
      <c r="I18" s="1523"/>
      <c r="J18" s="1523"/>
      <c r="K18" s="1523"/>
    </row>
    <row r="19" spans="1:14" s="989" customFormat="1" ht="65.25" customHeight="1">
      <c r="A19" s="1336" t="s">
        <v>1</v>
      </c>
      <c r="B19" s="1336" t="s">
        <v>2</v>
      </c>
      <c r="C19" s="1336" t="s">
        <v>3</v>
      </c>
      <c r="D19" s="1336" t="s">
        <v>4</v>
      </c>
      <c r="E19" s="1336" t="s">
        <v>5</v>
      </c>
      <c r="F19" s="1336" t="s">
        <v>6</v>
      </c>
      <c r="G19" s="1336" t="s">
        <v>82</v>
      </c>
      <c r="H19" s="1336"/>
      <c r="I19" s="1336" t="s">
        <v>83</v>
      </c>
      <c r="J19" s="1336" t="s">
        <v>84</v>
      </c>
      <c r="K19" s="1336" t="s">
        <v>85</v>
      </c>
    </row>
    <row r="20" spans="1:14" s="989" customFormat="1" ht="24" customHeight="1">
      <c r="A20" s="1565" t="s">
        <v>908</v>
      </c>
      <c r="B20" s="1566"/>
      <c r="C20" s="1566"/>
      <c r="D20" s="1566"/>
      <c r="E20" s="1566"/>
      <c r="F20" s="1566"/>
      <c r="G20" s="1566"/>
      <c r="H20" s="1566"/>
      <c r="I20" s="1566"/>
      <c r="J20" s="1566"/>
      <c r="K20" s="1567"/>
      <c r="L20" s="990"/>
      <c r="M20" s="990"/>
    </row>
    <row r="21" spans="1:14" s="989" customFormat="1" ht="54" customHeight="1">
      <c r="A21" s="1339" t="s">
        <v>7</v>
      </c>
      <c r="B21" s="1336">
        <v>4</v>
      </c>
      <c r="C21" s="1336" t="s">
        <v>69</v>
      </c>
      <c r="D21" s="1339">
        <v>111</v>
      </c>
      <c r="E21" s="1339">
        <v>211</v>
      </c>
      <c r="F21" s="146" t="s">
        <v>8</v>
      </c>
      <c r="G21" s="764">
        <v>30127705.329999998</v>
      </c>
      <c r="H21" s="202"/>
      <c r="I21" s="202">
        <v>1000000</v>
      </c>
      <c r="J21" s="764">
        <f>G21+I21</f>
        <v>31127705.329999998</v>
      </c>
      <c r="K21" s="1599" t="s">
        <v>1174</v>
      </c>
      <c r="L21" s="990"/>
      <c r="M21" s="990"/>
    </row>
    <row r="22" spans="1:14" s="989" customFormat="1" ht="60.75" customHeight="1">
      <c r="A22" s="1339" t="s">
        <v>7</v>
      </c>
      <c r="B22" s="1336">
        <v>4</v>
      </c>
      <c r="C22" s="1339" t="s">
        <v>71</v>
      </c>
      <c r="D22" s="1339">
        <v>244</v>
      </c>
      <c r="E22" s="1339">
        <v>223</v>
      </c>
      <c r="F22" s="146" t="s">
        <v>1173</v>
      </c>
      <c r="G22" s="764">
        <v>1044506.81</v>
      </c>
      <c r="H22" s="202"/>
      <c r="I22" s="202">
        <v>-500000</v>
      </c>
      <c r="J22" s="764">
        <f>G22+I22</f>
        <v>544506.81000000006</v>
      </c>
      <c r="K22" s="1600"/>
      <c r="L22" s="990"/>
      <c r="M22" s="990"/>
    </row>
    <row r="23" spans="1:14" s="989" customFormat="1" ht="60.75" customHeight="1">
      <c r="A23" s="1339" t="s">
        <v>7</v>
      </c>
      <c r="B23" s="1336">
        <v>4</v>
      </c>
      <c r="C23" s="1339" t="s">
        <v>71</v>
      </c>
      <c r="D23" s="1339">
        <v>244</v>
      </c>
      <c r="E23" s="1339">
        <v>224</v>
      </c>
      <c r="F23" s="146" t="s">
        <v>151</v>
      </c>
      <c r="G23" s="764">
        <v>12428476.800000001</v>
      </c>
      <c r="H23" s="202"/>
      <c r="I23" s="202">
        <v>-500000</v>
      </c>
      <c r="J23" s="764">
        <f>G23+I23</f>
        <v>11928476.800000001</v>
      </c>
      <c r="K23" s="1601"/>
      <c r="L23" s="990"/>
      <c r="M23" s="990"/>
    </row>
    <row r="24" spans="1:14" s="989" customFormat="1" ht="42.75" customHeight="1">
      <c r="A24" s="1339" t="s">
        <v>31</v>
      </c>
      <c r="B24" s="1336">
        <v>4</v>
      </c>
      <c r="C24" s="1339" t="s">
        <v>47</v>
      </c>
      <c r="D24" s="1339">
        <v>244</v>
      </c>
      <c r="E24" s="1339">
        <v>310</v>
      </c>
      <c r="F24" s="146" t="s">
        <v>532</v>
      </c>
      <c r="G24" s="764">
        <v>795400</v>
      </c>
      <c r="H24" s="202"/>
      <c r="I24" s="202">
        <v>41.5</v>
      </c>
      <c r="J24" s="764">
        <f t="shared" ref="J24:J31" si="1">G24+I24</f>
        <v>795441.5</v>
      </c>
      <c r="K24" s="1525" t="s">
        <v>1132</v>
      </c>
    </row>
    <row r="25" spans="1:14" s="989" customFormat="1" ht="42.75" customHeight="1">
      <c r="A25" s="1339" t="s">
        <v>7</v>
      </c>
      <c r="B25" s="1336">
        <v>4</v>
      </c>
      <c r="C25" s="1339" t="s">
        <v>47</v>
      </c>
      <c r="D25" s="1339">
        <v>244</v>
      </c>
      <c r="E25" s="1339">
        <v>310</v>
      </c>
      <c r="F25" s="146" t="s">
        <v>532</v>
      </c>
      <c r="G25" s="764">
        <v>59805.26</v>
      </c>
      <c r="H25" s="202"/>
      <c r="I25" s="202">
        <v>2.19</v>
      </c>
      <c r="J25" s="764">
        <f t="shared" si="1"/>
        <v>59807.45</v>
      </c>
      <c r="K25" s="1527"/>
    </row>
    <row r="26" spans="1:14" s="989" customFormat="1" ht="69.75" customHeight="1">
      <c r="A26" s="1339" t="s">
        <v>7</v>
      </c>
      <c r="B26" s="1336">
        <v>4</v>
      </c>
      <c r="C26" s="1339" t="s">
        <v>71</v>
      </c>
      <c r="D26" s="1339">
        <v>119</v>
      </c>
      <c r="E26" s="765">
        <v>213</v>
      </c>
      <c r="F26" s="146" t="s">
        <v>1171</v>
      </c>
      <c r="G26" s="173">
        <v>80866.679999999993</v>
      </c>
      <c r="H26" s="173"/>
      <c r="I26" s="173">
        <v>-61236.68</v>
      </c>
      <c r="J26" s="173">
        <f t="shared" si="1"/>
        <v>19630</v>
      </c>
      <c r="K26" s="1596" t="s">
        <v>1175</v>
      </c>
    </row>
    <row r="27" spans="1:14" s="989" customFormat="1" ht="114.75" customHeight="1">
      <c r="A27" s="1339" t="s">
        <v>7</v>
      </c>
      <c r="B27" s="1336">
        <v>4</v>
      </c>
      <c r="C27" s="1339" t="s">
        <v>71</v>
      </c>
      <c r="D27" s="1339">
        <v>119</v>
      </c>
      <c r="E27" s="765">
        <v>266</v>
      </c>
      <c r="F27" s="1338" t="s">
        <v>408</v>
      </c>
      <c r="G27" s="173">
        <v>0</v>
      </c>
      <c r="H27" s="173"/>
      <c r="I27" s="173">
        <v>61236.68</v>
      </c>
      <c r="J27" s="173">
        <f t="shared" si="1"/>
        <v>61236.68</v>
      </c>
      <c r="K27" s="1597"/>
    </row>
    <row r="28" spans="1:14" s="989" customFormat="1" ht="33.75" customHeight="1">
      <c r="A28" s="1345" t="s">
        <v>7</v>
      </c>
      <c r="B28" s="1344">
        <v>4</v>
      </c>
      <c r="C28" s="1345" t="s">
        <v>70</v>
      </c>
      <c r="D28" s="1345">
        <v>244</v>
      </c>
      <c r="E28" s="1345">
        <v>226</v>
      </c>
      <c r="F28" s="146" t="s">
        <v>307</v>
      </c>
      <c r="G28" s="764">
        <v>2100099.31</v>
      </c>
      <c r="H28" s="202"/>
      <c r="I28" s="202">
        <v>-96312.07</v>
      </c>
      <c r="J28" s="764">
        <f t="shared" si="1"/>
        <v>2003787.24</v>
      </c>
      <c r="K28" s="1602" t="s">
        <v>1176</v>
      </c>
    </row>
    <row r="29" spans="1:14" s="989" customFormat="1" ht="51.75" customHeight="1">
      <c r="A29" s="1345" t="s">
        <v>7</v>
      </c>
      <c r="B29" s="1344">
        <v>4</v>
      </c>
      <c r="C29" s="1345" t="s">
        <v>70</v>
      </c>
      <c r="D29" s="1345">
        <v>244</v>
      </c>
      <c r="E29" s="1345">
        <v>346</v>
      </c>
      <c r="F29" s="146" t="s">
        <v>306</v>
      </c>
      <c r="G29" s="764">
        <v>359298.91</v>
      </c>
      <c r="H29" s="202"/>
      <c r="I29" s="202">
        <v>96312.07</v>
      </c>
      <c r="J29" s="764">
        <f t="shared" si="1"/>
        <v>455610.98</v>
      </c>
      <c r="K29" s="1602"/>
    </row>
    <row r="30" spans="1:14" s="989" customFormat="1" ht="89.25" customHeight="1">
      <c r="A30" s="1339" t="s">
        <v>7</v>
      </c>
      <c r="B30" s="1336">
        <v>4</v>
      </c>
      <c r="C30" s="1339" t="s">
        <v>71</v>
      </c>
      <c r="D30" s="1339">
        <v>119</v>
      </c>
      <c r="E30" s="1339">
        <v>266</v>
      </c>
      <c r="F30" s="146" t="s">
        <v>514</v>
      </c>
      <c r="G30" s="764">
        <v>250000</v>
      </c>
      <c r="H30" s="202"/>
      <c r="I30" s="202">
        <v>-100000</v>
      </c>
      <c r="J30" s="764">
        <f t="shared" si="1"/>
        <v>150000</v>
      </c>
      <c r="K30" s="1525" t="s">
        <v>1170</v>
      </c>
    </row>
    <row r="31" spans="1:14" s="989" customFormat="1" ht="116.25" customHeight="1">
      <c r="A31" s="1339" t="s">
        <v>7</v>
      </c>
      <c r="B31" s="1336">
        <v>4</v>
      </c>
      <c r="C31" s="1339" t="s">
        <v>71</v>
      </c>
      <c r="D31" s="1339">
        <v>111</v>
      </c>
      <c r="E31" s="1339">
        <v>266</v>
      </c>
      <c r="F31" s="146" t="s">
        <v>537</v>
      </c>
      <c r="G31" s="764">
        <v>208770.48</v>
      </c>
      <c r="H31" s="202"/>
      <c r="I31" s="202">
        <v>100000</v>
      </c>
      <c r="J31" s="764">
        <f t="shared" si="1"/>
        <v>308770.48</v>
      </c>
      <c r="K31" s="1527"/>
    </row>
    <row r="32" spans="1:14" s="1320" customFormat="1" ht="23.25">
      <c r="A32" s="1511" t="s">
        <v>17</v>
      </c>
      <c r="B32" s="1512"/>
      <c r="C32" s="1512"/>
      <c r="D32" s="1512"/>
      <c r="E32" s="1512"/>
      <c r="F32" s="1513"/>
      <c r="G32" s="198">
        <f>SUM(G24:G31)</f>
        <v>3854240.64</v>
      </c>
      <c r="H32" s="198">
        <f>SUM(H24:H31)</f>
        <v>0</v>
      </c>
      <c r="I32" s="198">
        <f>SUM(I24:I31)</f>
        <v>43.69</v>
      </c>
      <c r="J32" s="198">
        <f>SUM(J24:J31)</f>
        <v>3854284.33</v>
      </c>
      <c r="K32" s="1343"/>
      <c r="N32" s="989"/>
    </row>
    <row r="33" spans="1:14" s="989" customFormat="1" ht="24" customHeight="1">
      <c r="A33" s="1565" t="s">
        <v>1156</v>
      </c>
      <c r="B33" s="1566"/>
      <c r="C33" s="1566"/>
      <c r="D33" s="1566"/>
      <c r="E33" s="1566"/>
      <c r="F33" s="1566"/>
      <c r="G33" s="1566"/>
      <c r="H33" s="1566"/>
      <c r="I33" s="1566"/>
      <c r="J33" s="1566"/>
      <c r="K33" s="1567"/>
      <c r="L33" s="990"/>
      <c r="M33" s="990"/>
    </row>
    <row r="34" spans="1:14" s="1298" customFormat="1" ht="35.25" customHeight="1">
      <c r="A34" s="1336" t="s">
        <v>23</v>
      </c>
      <c r="B34" s="1336">
        <v>2</v>
      </c>
      <c r="C34" s="1336" t="s">
        <v>69</v>
      </c>
      <c r="D34" s="1336">
        <v>111</v>
      </c>
      <c r="E34" s="161">
        <v>211</v>
      </c>
      <c r="F34" s="1340" t="s">
        <v>8</v>
      </c>
      <c r="G34" s="173">
        <v>5063110.87</v>
      </c>
      <c r="H34" s="1336"/>
      <c r="I34" s="173">
        <f>136538.34</f>
        <v>136538.34</v>
      </c>
      <c r="J34" s="173">
        <f>G34+I34</f>
        <v>5199649.21</v>
      </c>
      <c r="K34" s="1558" t="s">
        <v>1168</v>
      </c>
    </row>
    <row r="35" spans="1:14" s="989" customFormat="1" ht="47.25" customHeight="1">
      <c r="A35" s="1336" t="s">
        <v>23</v>
      </c>
      <c r="B35" s="1336">
        <v>2</v>
      </c>
      <c r="C35" s="1336" t="s">
        <v>71</v>
      </c>
      <c r="D35" s="1336">
        <v>112</v>
      </c>
      <c r="E35" s="161">
        <v>212</v>
      </c>
      <c r="F35" s="1340" t="s">
        <v>785</v>
      </c>
      <c r="G35" s="173">
        <v>13800</v>
      </c>
      <c r="H35" s="1336"/>
      <c r="I35" s="173">
        <v>12000</v>
      </c>
      <c r="J35" s="173">
        <f>G35+I35</f>
        <v>25800</v>
      </c>
      <c r="K35" s="1558"/>
    </row>
    <row r="36" spans="1:14" s="989" customFormat="1" ht="45" customHeight="1">
      <c r="A36" s="1339" t="s">
        <v>23</v>
      </c>
      <c r="B36" s="1336">
        <v>2</v>
      </c>
      <c r="C36" s="1339" t="s">
        <v>69</v>
      </c>
      <c r="D36" s="1339">
        <v>119</v>
      </c>
      <c r="E36" s="765">
        <v>213</v>
      </c>
      <c r="F36" s="146" t="s">
        <v>10</v>
      </c>
      <c r="G36" s="173">
        <v>1488234.59</v>
      </c>
      <c r="H36" s="173"/>
      <c r="I36" s="173">
        <v>39881.019999999997</v>
      </c>
      <c r="J36" s="173">
        <f t="shared" ref="J36" si="2">G36+I36</f>
        <v>1528115.61</v>
      </c>
      <c r="K36" s="1558"/>
      <c r="M36" s="1321"/>
      <c r="N36" s="1321"/>
    </row>
    <row r="37" spans="1:14" s="989" customFormat="1" ht="45.75" customHeight="1">
      <c r="A37" s="1336" t="s">
        <v>23</v>
      </c>
      <c r="B37" s="1336">
        <v>2</v>
      </c>
      <c r="C37" s="1336" t="s">
        <v>71</v>
      </c>
      <c r="D37" s="1336">
        <v>112</v>
      </c>
      <c r="E37" s="161">
        <v>226</v>
      </c>
      <c r="F37" s="1340" t="s">
        <v>1157</v>
      </c>
      <c r="G37" s="173">
        <v>39692</v>
      </c>
      <c r="H37" s="173"/>
      <c r="I37" s="173">
        <v>101376</v>
      </c>
      <c r="J37" s="173">
        <f>G37+I37</f>
        <v>141068</v>
      </c>
      <c r="K37" s="1558"/>
      <c r="M37" s="1321"/>
      <c r="N37" s="1321"/>
    </row>
    <row r="38" spans="1:14" s="989" customFormat="1" ht="75.75" customHeight="1">
      <c r="A38" s="1336" t="s">
        <v>23</v>
      </c>
      <c r="B38" s="1336">
        <v>2</v>
      </c>
      <c r="C38" s="1336" t="s">
        <v>71</v>
      </c>
      <c r="D38" s="1336">
        <v>244</v>
      </c>
      <c r="E38" s="161">
        <v>223</v>
      </c>
      <c r="F38" s="1340" t="s">
        <v>13</v>
      </c>
      <c r="G38" s="173">
        <v>191189.05</v>
      </c>
      <c r="H38" s="173"/>
      <c r="I38" s="173">
        <f>-80707.36</f>
        <v>-80707.360000000001</v>
      </c>
      <c r="J38" s="173">
        <f>G38+I38</f>
        <v>110481.69</v>
      </c>
      <c r="K38" s="1342" t="s">
        <v>1178</v>
      </c>
      <c r="M38" s="1321"/>
      <c r="N38" s="1321"/>
    </row>
    <row r="39" spans="1:14" s="989" customFormat="1" ht="141" customHeight="1">
      <c r="A39" s="1336" t="s">
        <v>23</v>
      </c>
      <c r="B39" s="1336">
        <v>2</v>
      </c>
      <c r="C39" s="1336" t="s">
        <v>71</v>
      </c>
      <c r="D39" s="1336">
        <v>853</v>
      </c>
      <c r="E39" s="161">
        <v>295</v>
      </c>
      <c r="F39" s="1340" t="s">
        <v>1177</v>
      </c>
      <c r="G39" s="173">
        <v>619648.48</v>
      </c>
      <c r="H39" s="173"/>
      <c r="I39" s="173">
        <f>502248.64+80707.36</f>
        <v>582956</v>
      </c>
      <c r="J39" s="173">
        <f>G39+I39</f>
        <v>1202604.48</v>
      </c>
      <c r="K39" s="1342" t="s">
        <v>1180</v>
      </c>
      <c r="M39" s="1321"/>
      <c r="N39" s="1321"/>
    </row>
    <row r="40" spans="1:14" s="989" customFormat="1" ht="66" customHeight="1">
      <c r="A40" s="1339" t="s">
        <v>23</v>
      </c>
      <c r="B40" s="1336">
        <v>2</v>
      </c>
      <c r="C40" s="1339" t="s">
        <v>71</v>
      </c>
      <c r="D40" s="1339">
        <v>244</v>
      </c>
      <c r="E40" s="765">
        <v>226</v>
      </c>
      <c r="F40" s="146" t="s">
        <v>538</v>
      </c>
      <c r="G40" s="173">
        <v>1803554.78</v>
      </c>
      <c r="H40" s="173"/>
      <c r="I40" s="173">
        <f>23398/2</f>
        <v>11699</v>
      </c>
      <c r="J40" s="173">
        <f>G40+I40</f>
        <v>1815253.78</v>
      </c>
      <c r="K40" s="1561" t="s">
        <v>1181</v>
      </c>
      <c r="M40" s="1321"/>
      <c r="N40" s="1321"/>
    </row>
    <row r="41" spans="1:14" s="989" customFormat="1" ht="66" customHeight="1">
      <c r="A41" s="1339" t="s">
        <v>23</v>
      </c>
      <c r="B41" s="1336">
        <v>2</v>
      </c>
      <c r="C41" s="1339" t="s">
        <v>71</v>
      </c>
      <c r="D41" s="1339">
        <v>244</v>
      </c>
      <c r="E41" s="1339">
        <v>310</v>
      </c>
      <c r="F41" s="146" t="s">
        <v>532</v>
      </c>
      <c r="G41" s="764">
        <v>107978</v>
      </c>
      <c r="H41" s="202"/>
      <c r="I41" s="173">
        <f>(67998/2)+(31497/3)</f>
        <v>44498</v>
      </c>
      <c r="J41" s="764">
        <f t="shared" ref="J41:J42" si="3">G41+I41</f>
        <v>152476</v>
      </c>
      <c r="K41" s="1603"/>
      <c r="M41" s="1321"/>
      <c r="N41" s="1321"/>
    </row>
    <row r="42" spans="1:14" s="989" customFormat="1" ht="66" customHeight="1">
      <c r="A42" s="1339" t="s">
        <v>23</v>
      </c>
      <c r="B42" s="1336">
        <v>2</v>
      </c>
      <c r="C42" s="1339" t="s">
        <v>71</v>
      </c>
      <c r="D42" s="1339">
        <v>244</v>
      </c>
      <c r="E42" s="1339">
        <v>346</v>
      </c>
      <c r="F42" s="146" t="s">
        <v>499</v>
      </c>
      <c r="G42" s="764">
        <v>150687</v>
      </c>
      <c r="H42" s="202"/>
      <c r="I42" s="173">
        <f>(1920+1598)/2</f>
        <v>1759</v>
      </c>
      <c r="J42" s="764">
        <f t="shared" si="3"/>
        <v>152446</v>
      </c>
      <c r="K42" s="1562"/>
      <c r="M42" s="1321"/>
      <c r="N42" s="1321"/>
    </row>
    <row r="43" spans="1:14" s="1320" customFormat="1" ht="21">
      <c r="A43" s="1511" t="s">
        <v>17</v>
      </c>
      <c r="B43" s="1512"/>
      <c r="C43" s="1512"/>
      <c r="D43" s="1512"/>
      <c r="E43" s="1512"/>
      <c r="F43" s="1513"/>
      <c r="G43" s="198">
        <f>SUM(G34:G42)</f>
        <v>9477894.7699999996</v>
      </c>
      <c r="H43" s="198">
        <f>SUM(H34:H42)</f>
        <v>0</v>
      </c>
      <c r="I43" s="198">
        <f>SUM(I34:I42)</f>
        <v>850000</v>
      </c>
      <c r="J43" s="198">
        <f>SUM(J34:J42)</f>
        <v>10327894.77</v>
      </c>
      <c r="K43" s="766"/>
      <c r="N43" s="989"/>
    </row>
    <row r="44" spans="1:14" s="1320" customFormat="1" ht="21">
      <c r="A44" s="1511" t="s">
        <v>24</v>
      </c>
      <c r="B44" s="1512"/>
      <c r="C44" s="1512"/>
      <c r="D44" s="1512"/>
      <c r="E44" s="1512"/>
      <c r="F44" s="1513"/>
      <c r="G44" s="198">
        <f>G32+G43</f>
        <v>13332135.41</v>
      </c>
      <c r="H44" s="198">
        <f>H32+H43</f>
        <v>0</v>
      </c>
      <c r="I44" s="198">
        <f>I32+I43</f>
        <v>850043.69</v>
      </c>
      <c r="J44" s="198">
        <f>J32+J43</f>
        <v>14182179.1</v>
      </c>
      <c r="K44" s="766"/>
    </row>
    <row r="45" spans="1:14" ht="29.25" customHeight="1">
      <c r="A45" s="1318"/>
      <c r="B45" s="1318"/>
      <c r="C45" s="1318"/>
      <c r="D45" s="1318"/>
      <c r="E45" s="1322"/>
      <c r="F45" s="1322"/>
      <c r="G45" s="1322"/>
      <c r="H45" s="1318"/>
      <c r="I45" s="1318"/>
      <c r="J45" s="1318"/>
      <c r="K45" s="1323"/>
    </row>
    <row r="46" spans="1:14" s="1324" customFormat="1" ht="40.5" customHeight="1">
      <c r="A46" s="1324" t="s">
        <v>1133</v>
      </c>
      <c r="F46" s="1325"/>
      <c r="J46" s="1324" t="s">
        <v>32</v>
      </c>
      <c r="K46" s="1326"/>
      <c r="L46" s="1327"/>
      <c r="M46" s="1327"/>
    </row>
    <row r="47" spans="1:14" ht="20.25">
      <c r="A47" s="1318"/>
      <c r="B47" s="1318"/>
      <c r="C47" s="1318"/>
      <c r="D47" s="1318"/>
      <c r="E47" s="1318"/>
      <c r="F47" s="1318"/>
      <c r="G47" s="1318"/>
      <c r="H47" s="1318"/>
      <c r="I47" s="1318"/>
      <c r="J47" s="1318"/>
      <c r="K47" s="1323"/>
    </row>
    <row r="48" spans="1:14" ht="24" hidden="1" customHeight="1">
      <c r="A48" s="1318"/>
      <c r="B48" s="1318"/>
      <c r="C48" s="1318"/>
      <c r="D48" s="1318"/>
      <c r="E48" s="1318"/>
      <c r="F48" s="1318"/>
      <c r="G48" s="1318"/>
      <c r="H48" s="1318"/>
      <c r="I48" s="1318"/>
      <c r="J48" s="1318"/>
      <c r="K48" s="1323"/>
    </row>
    <row r="49" spans="1:13" ht="25.5" hidden="1" customHeight="1">
      <c r="A49" s="1318"/>
      <c r="B49" s="1318"/>
      <c r="C49" s="1318"/>
      <c r="D49" s="1318"/>
      <c r="E49" s="1318"/>
      <c r="F49" s="1318"/>
      <c r="G49" s="1318"/>
      <c r="H49" s="1318"/>
      <c r="I49" s="1318"/>
      <c r="J49" s="1318"/>
      <c r="K49" s="1323"/>
    </row>
    <row r="50" spans="1:13" ht="24" hidden="1" customHeight="1">
      <c r="A50" s="1318"/>
      <c r="B50" s="1318"/>
      <c r="C50" s="1318"/>
      <c r="D50" s="1318"/>
      <c r="E50" s="1318"/>
      <c r="F50" s="1318"/>
      <c r="G50" s="1318"/>
      <c r="H50" s="1318"/>
      <c r="I50" s="1318"/>
      <c r="J50" s="1318"/>
      <c r="K50" s="1323"/>
    </row>
    <row r="51" spans="1:13" ht="49.5" customHeight="1">
      <c r="A51" s="1318"/>
      <c r="B51" s="1318"/>
      <c r="C51" s="1318"/>
      <c r="D51" s="1318"/>
      <c r="E51" s="1318"/>
      <c r="F51" s="1318"/>
      <c r="G51" s="1318"/>
      <c r="H51" s="1318"/>
      <c r="I51" s="1318"/>
      <c r="J51" s="1318"/>
      <c r="K51" s="1323"/>
    </row>
    <row r="52" spans="1:13" s="989" customFormat="1" ht="21">
      <c r="A52" s="1323" t="s">
        <v>90</v>
      </c>
      <c r="B52" s="1323"/>
      <c r="C52" s="1323"/>
      <c r="D52" s="1323"/>
      <c r="E52" s="1323"/>
      <c r="F52" s="1323"/>
      <c r="G52" s="1323"/>
      <c r="H52" s="1323"/>
      <c r="I52" s="1323"/>
      <c r="J52" s="1323"/>
      <c r="K52" s="1323"/>
      <c r="L52" s="1319"/>
      <c r="M52" s="1319"/>
    </row>
    <row r="53" spans="1:13" s="989" customFormat="1" ht="21">
      <c r="A53" s="1323" t="s">
        <v>1134</v>
      </c>
      <c r="B53" s="1323"/>
      <c r="C53" s="1323"/>
      <c r="D53" s="1323"/>
      <c r="E53" s="1323"/>
      <c r="F53" s="1323"/>
      <c r="G53" s="1323"/>
      <c r="H53" s="1323"/>
      <c r="I53" s="1323"/>
      <c r="J53" s="1323"/>
      <c r="K53" s="1323"/>
      <c r="L53" s="1319"/>
      <c r="M53" s="1319"/>
    </row>
    <row r="54" spans="1:13" s="989" customFormat="1" ht="21">
      <c r="A54" s="1323" t="s">
        <v>27</v>
      </c>
      <c r="B54" s="1323"/>
      <c r="C54" s="1323"/>
      <c r="D54" s="1323"/>
      <c r="E54" s="1323"/>
      <c r="F54" s="1323"/>
      <c r="G54" s="1323"/>
      <c r="H54" s="1323"/>
      <c r="I54" s="1323"/>
      <c r="J54" s="1323"/>
      <c r="K54" s="1323"/>
      <c r="L54" s="1319"/>
      <c r="M54" s="1319"/>
    </row>
    <row r="55" spans="1:13" ht="24" customHeight="1">
      <c r="K55" s="1323"/>
    </row>
    <row r="56" spans="1:13" ht="24" customHeight="1">
      <c r="K56" s="1323"/>
    </row>
    <row r="57" spans="1:13" ht="24" customHeight="1">
      <c r="K57" s="1323"/>
    </row>
    <row r="58" spans="1:13" ht="24" customHeight="1">
      <c r="K58" s="1323"/>
    </row>
  </sheetData>
  <mergeCells count="23">
    <mergeCell ref="A33:K33"/>
    <mergeCell ref="K34:K37"/>
    <mergeCell ref="K40:K42"/>
    <mergeCell ref="A43:F43"/>
    <mergeCell ref="A44:F44"/>
    <mergeCell ref="A32:F32"/>
    <mergeCell ref="A14:F14"/>
    <mergeCell ref="A15:K15"/>
    <mergeCell ref="C16:E16"/>
    <mergeCell ref="A18:K18"/>
    <mergeCell ref="A20:K20"/>
    <mergeCell ref="K21:K23"/>
    <mergeCell ref="K24:K25"/>
    <mergeCell ref="K26:K27"/>
    <mergeCell ref="K28:K29"/>
    <mergeCell ref="K30:K31"/>
    <mergeCell ref="A7:K7"/>
    <mergeCell ref="C9:E9"/>
    <mergeCell ref="A10:K10"/>
    <mergeCell ref="A11:K11"/>
    <mergeCell ref="C12:E13"/>
    <mergeCell ref="F12:F13"/>
    <mergeCell ref="K12:K13"/>
  </mergeCells>
  <printOptions horizontalCentered="1"/>
  <pageMargins left="0.39370078740157483" right="0.39370078740157483" top="0.39370078740157483" bottom="0.19685039370078741" header="0.31496062992125984" footer="0.31496062992125984"/>
  <pageSetup paperSize="9" scale="38" fitToHeight="0" orientation="landscape" horizontalDpi="4294967295" verticalDpi="4294967295" r:id="rId1"/>
  <rowBreaks count="1" manualBreakCount="1">
    <brk id="29" max="10"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66"/>
    <pageSetUpPr fitToPage="1"/>
  </sheetPr>
  <dimension ref="A1:N43"/>
  <sheetViews>
    <sheetView view="pageBreakPreview" topLeftCell="A11" zoomScale="55" zoomScaleNormal="75" zoomScaleSheetLayoutView="55" zoomScalePageLayoutView="85" workbookViewId="0">
      <selection activeCell="A23" sqref="A23:K23"/>
    </sheetView>
  </sheetViews>
  <sheetFormatPr defaultRowHeight="24" customHeight="1"/>
  <cols>
    <col min="1" max="1" width="19.28515625" style="1319" customWidth="1"/>
    <col min="2" max="2" width="12.42578125" style="1319" customWidth="1"/>
    <col min="3" max="3" width="36.7109375" style="1319" customWidth="1"/>
    <col min="4" max="4" width="9.7109375" style="1319" customWidth="1"/>
    <col min="5" max="5" width="13" style="1319" customWidth="1"/>
    <col min="6" max="6" width="59.7109375" style="1319" customWidth="1"/>
    <col min="7" max="7" width="21.5703125" style="1319" customWidth="1"/>
    <col min="8" max="8" width="16.85546875" style="1319" hidden="1" customWidth="1"/>
    <col min="9" max="10" width="21.5703125" style="1319" customWidth="1"/>
    <col min="11" max="11" width="141.5703125" style="1328" customWidth="1"/>
    <col min="12" max="12" width="10.5703125" style="1319" bestFit="1" customWidth="1"/>
    <col min="13" max="13" width="56.85546875" style="1319" customWidth="1"/>
    <col min="14" max="14" width="19.42578125" style="1319" customWidth="1"/>
    <col min="15" max="16384" width="9.140625" style="1319"/>
  </cols>
  <sheetData>
    <row r="1" spans="1:13" s="1316" customFormat="1" ht="44.25" customHeight="1">
      <c r="A1" s="753" t="s">
        <v>475</v>
      </c>
      <c r="B1" s="1313"/>
      <c r="C1" s="1313"/>
      <c r="D1" s="1313"/>
      <c r="E1" s="1314"/>
      <c r="F1" s="1314"/>
      <c r="G1" s="1314"/>
      <c r="H1" s="1314"/>
      <c r="I1" s="1314"/>
      <c r="J1" s="1314"/>
      <c r="K1" s="1315"/>
    </row>
    <row r="2" spans="1:13" s="1316" customFormat="1" ht="33" customHeight="1">
      <c r="A2" s="757" t="s">
        <v>1201</v>
      </c>
      <c r="B2" s="1313"/>
      <c r="C2" s="1313"/>
      <c r="D2" s="1313"/>
      <c r="E2" s="1314"/>
      <c r="F2" s="1314"/>
      <c r="G2" s="1314"/>
      <c r="H2" s="1314"/>
      <c r="I2" s="1314"/>
      <c r="J2" s="1314"/>
      <c r="K2" s="1315"/>
    </row>
    <row r="3" spans="1:13" s="1316" customFormat="1" ht="37.5" customHeight="1">
      <c r="A3" s="757" t="s">
        <v>782</v>
      </c>
      <c r="B3" s="1313"/>
      <c r="C3" s="1313"/>
      <c r="D3" s="1313"/>
      <c r="E3" s="1314"/>
      <c r="F3" s="1314"/>
      <c r="G3" s="1314"/>
      <c r="H3" s="1314"/>
      <c r="I3" s="1314"/>
      <c r="J3" s="1314"/>
      <c r="K3" s="1315"/>
    </row>
    <row r="4" spans="1:13" s="1316" customFormat="1" ht="60.75" customHeight="1">
      <c r="A4" s="757" t="s">
        <v>1202</v>
      </c>
      <c r="B4" s="1313"/>
      <c r="C4" s="1313"/>
      <c r="D4" s="1313"/>
      <c r="E4" s="1314"/>
      <c r="F4" s="1314"/>
      <c r="G4" s="1314"/>
      <c r="H4" s="1314"/>
      <c r="I4" s="1314"/>
      <c r="J4" s="1314"/>
      <c r="K4" s="1315"/>
    </row>
    <row r="5" spans="1:13" s="1316" customFormat="1" ht="42" customHeight="1">
      <c r="A5" s="757" t="s">
        <v>437</v>
      </c>
      <c r="B5" s="1313"/>
      <c r="C5" s="1313"/>
      <c r="D5" s="1313"/>
      <c r="E5" s="1314"/>
      <c r="F5" s="1314"/>
      <c r="G5" s="1314"/>
      <c r="H5" s="1314"/>
      <c r="I5" s="1314"/>
      <c r="J5" s="1314"/>
      <c r="K5" s="1315"/>
    </row>
    <row r="6" spans="1:13" ht="24" customHeight="1">
      <c r="A6" s="1317"/>
      <c r="B6" s="1317"/>
      <c r="C6" s="1317"/>
      <c r="D6" s="1318"/>
      <c r="E6" s="1318"/>
      <c r="F6" s="1318"/>
      <c r="G6" s="1318"/>
      <c r="H6" s="1318"/>
      <c r="I6" s="1318"/>
      <c r="J6" s="1318"/>
      <c r="K6" s="1315"/>
    </row>
    <row r="7" spans="1:13" ht="69" customHeight="1">
      <c r="A7" s="1595" t="s">
        <v>791</v>
      </c>
      <c r="B7" s="1595"/>
      <c r="C7" s="1595"/>
      <c r="D7" s="1595"/>
      <c r="E7" s="1595"/>
      <c r="F7" s="1595"/>
      <c r="G7" s="1595"/>
      <c r="H7" s="1595"/>
      <c r="I7" s="1595"/>
      <c r="J7" s="1595"/>
      <c r="K7" s="1595"/>
    </row>
    <row r="8" spans="1:13" ht="24" customHeight="1">
      <c r="A8" s="1318"/>
      <c r="B8" s="1318"/>
      <c r="C8" s="1318"/>
      <c r="D8" s="1318"/>
      <c r="E8" s="1318"/>
      <c r="F8" s="1318"/>
      <c r="G8" s="1318"/>
      <c r="H8" s="1318"/>
      <c r="I8" s="1318"/>
      <c r="J8" s="1318"/>
      <c r="K8" s="1315"/>
    </row>
    <row r="9" spans="1:13" s="989" customFormat="1" ht="68.25" customHeight="1">
      <c r="A9" s="1349" t="s">
        <v>1</v>
      </c>
      <c r="B9" s="1349" t="s">
        <v>2</v>
      </c>
      <c r="C9" s="1522" t="s">
        <v>80</v>
      </c>
      <c r="D9" s="1522"/>
      <c r="E9" s="1522"/>
      <c r="F9" s="1349" t="s">
        <v>81</v>
      </c>
      <c r="G9" s="1349" t="s">
        <v>82</v>
      </c>
      <c r="H9" s="1349"/>
      <c r="I9" s="1349" t="s">
        <v>83</v>
      </c>
      <c r="J9" s="1349" t="s">
        <v>84</v>
      </c>
      <c r="K9" s="1349" t="s">
        <v>85</v>
      </c>
      <c r="L9" s="990"/>
    </row>
    <row r="10" spans="1:13" s="989" customFormat="1" ht="21">
      <c r="A10" s="1523" t="s">
        <v>86</v>
      </c>
      <c r="B10" s="1523"/>
      <c r="C10" s="1523"/>
      <c r="D10" s="1523"/>
      <c r="E10" s="1523"/>
      <c r="F10" s="1523"/>
      <c r="G10" s="1523"/>
      <c r="H10" s="1523"/>
      <c r="I10" s="1523"/>
      <c r="J10" s="1523"/>
      <c r="K10" s="1523"/>
    </row>
    <row r="11" spans="1:13" s="989" customFormat="1" ht="23.25" customHeight="1">
      <c r="A11" s="1524" t="s">
        <v>788</v>
      </c>
      <c r="B11" s="1524"/>
      <c r="C11" s="1524"/>
      <c r="D11" s="1524"/>
      <c r="E11" s="1524"/>
      <c r="F11" s="1524"/>
      <c r="G11" s="1524"/>
      <c r="H11" s="1524"/>
      <c r="I11" s="1524"/>
      <c r="J11" s="1524"/>
      <c r="K11" s="1524"/>
    </row>
    <row r="12" spans="1:13" s="989" customFormat="1" ht="64.5" customHeight="1">
      <c r="A12" s="1351" t="s">
        <v>7</v>
      </c>
      <c r="B12" s="1349">
        <v>4</v>
      </c>
      <c r="C12" s="1606" t="s">
        <v>787</v>
      </c>
      <c r="D12" s="1607"/>
      <c r="E12" s="1608"/>
      <c r="F12" s="1359" t="s">
        <v>849</v>
      </c>
      <c r="G12" s="764">
        <v>59963886.18</v>
      </c>
      <c r="H12" s="202"/>
      <c r="I12" s="202">
        <v>12571648.619999999</v>
      </c>
      <c r="J12" s="764">
        <f>G12+I12</f>
        <v>72535534.799999997</v>
      </c>
      <c r="K12" s="1350" t="s">
        <v>1189</v>
      </c>
    </row>
    <row r="13" spans="1:13" s="1320" customFormat="1" ht="21">
      <c r="A13" s="1514" t="s">
        <v>104</v>
      </c>
      <c r="B13" s="1515"/>
      <c r="C13" s="1515"/>
      <c r="D13" s="1515"/>
      <c r="E13" s="1515"/>
      <c r="F13" s="1516"/>
      <c r="G13" s="198">
        <f>SUM(G12:G12)</f>
        <v>59963886.18</v>
      </c>
      <c r="H13" s="198">
        <f>SUM(H12:H12)</f>
        <v>0</v>
      </c>
      <c r="I13" s="198">
        <f>SUM(I12:I12)</f>
        <v>12571648.619999999</v>
      </c>
      <c r="J13" s="198">
        <f>SUM(J12:J12)</f>
        <v>72535534.799999997</v>
      </c>
      <c r="K13" s="762"/>
    </row>
    <row r="14" spans="1:13" s="989" customFormat="1" ht="27.75" customHeight="1">
      <c r="A14" s="1523" t="s">
        <v>87</v>
      </c>
      <c r="B14" s="1523"/>
      <c r="C14" s="1523"/>
      <c r="D14" s="1523"/>
      <c r="E14" s="1523"/>
      <c r="F14" s="1523"/>
      <c r="G14" s="1523"/>
      <c r="H14" s="1523"/>
      <c r="I14" s="1523"/>
      <c r="J14" s="1523"/>
      <c r="K14" s="1523"/>
    </row>
    <row r="15" spans="1:13" s="989" customFormat="1" ht="65.25" customHeight="1">
      <c r="A15" s="1349" t="s">
        <v>1</v>
      </c>
      <c r="B15" s="1349" t="s">
        <v>2</v>
      </c>
      <c r="C15" s="1349" t="s">
        <v>3</v>
      </c>
      <c r="D15" s="1349" t="s">
        <v>4</v>
      </c>
      <c r="E15" s="1349" t="s">
        <v>5</v>
      </c>
      <c r="F15" s="1349" t="s">
        <v>6</v>
      </c>
      <c r="G15" s="1349" t="s">
        <v>82</v>
      </c>
      <c r="H15" s="1349"/>
      <c r="I15" s="1349" t="s">
        <v>83</v>
      </c>
      <c r="J15" s="1349" t="s">
        <v>84</v>
      </c>
      <c r="K15" s="1349" t="s">
        <v>85</v>
      </c>
    </row>
    <row r="16" spans="1:13" s="989" customFormat="1" ht="24" customHeight="1">
      <c r="A16" s="1565" t="s">
        <v>908</v>
      </c>
      <c r="B16" s="1566"/>
      <c r="C16" s="1566"/>
      <c r="D16" s="1566"/>
      <c r="E16" s="1566"/>
      <c r="F16" s="1566"/>
      <c r="G16" s="1566"/>
      <c r="H16" s="1566"/>
      <c r="I16" s="1566"/>
      <c r="J16" s="1566"/>
      <c r="K16" s="1567"/>
      <c r="L16" s="990"/>
      <c r="M16" s="990"/>
    </row>
    <row r="17" spans="1:14" s="989" customFormat="1" ht="54" customHeight="1">
      <c r="A17" s="1351" t="s">
        <v>7</v>
      </c>
      <c r="B17" s="1349">
        <v>4</v>
      </c>
      <c r="C17" s="1349" t="s">
        <v>69</v>
      </c>
      <c r="D17" s="1351">
        <v>111</v>
      </c>
      <c r="E17" s="1351">
        <v>211</v>
      </c>
      <c r="F17" s="146" t="s">
        <v>8</v>
      </c>
      <c r="G17" s="764">
        <v>31127705.329999998</v>
      </c>
      <c r="H17" s="202"/>
      <c r="I17" s="202">
        <f>7635615.03+960000</f>
        <v>8595615.0299999993</v>
      </c>
      <c r="J17" s="764">
        <f t="shared" ref="J17:J21" si="0">G17+I17</f>
        <v>39723320.359999999</v>
      </c>
      <c r="K17" s="1609" t="s">
        <v>1203</v>
      </c>
      <c r="L17" s="990"/>
      <c r="M17" s="990"/>
    </row>
    <row r="18" spans="1:14" s="989" customFormat="1" ht="54" customHeight="1">
      <c r="A18" s="1351" t="s">
        <v>7</v>
      </c>
      <c r="B18" s="1349">
        <v>4</v>
      </c>
      <c r="C18" s="1349" t="s">
        <v>69</v>
      </c>
      <c r="D18" s="1351">
        <v>119</v>
      </c>
      <c r="E18" s="1351">
        <v>213</v>
      </c>
      <c r="F18" s="146" t="s">
        <v>10</v>
      </c>
      <c r="G18" s="764">
        <v>8392821.8800000008</v>
      </c>
      <c r="H18" s="202"/>
      <c r="I18" s="202">
        <f>2399225.37+181926.81</f>
        <v>2581152.1800000002</v>
      </c>
      <c r="J18" s="764">
        <f t="shared" si="0"/>
        <v>10973974.060000001</v>
      </c>
      <c r="K18" s="1609"/>
      <c r="L18" s="990"/>
      <c r="M18" s="990"/>
    </row>
    <row r="19" spans="1:14" s="989" customFormat="1" ht="60.75" customHeight="1">
      <c r="A19" s="1351" t="s">
        <v>7</v>
      </c>
      <c r="B19" s="1349">
        <v>4</v>
      </c>
      <c r="C19" s="1351" t="s">
        <v>71</v>
      </c>
      <c r="D19" s="1351">
        <v>244</v>
      </c>
      <c r="E19" s="1351">
        <v>223</v>
      </c>
      <c r="F19" s="146" t="s">
        <v>1173</v>
      </c>
      <c r="G19" s="764">
        <v>544506.81000000006</v>
      </c>
      <c r="H19" s="202"/>
      <c r="I19" s="202">
        <v>83726.64</v>
      </c>
      <c r="J19" s="764">
        <f t="shared" si="0"/>
        <v>628233.44999999995</v>
      </c>
      <c r="K19" s="1609" t="s">
        <v>1204</v>
      </c>
      <c r="L19" s="990"/>
      <c r="M19" s="990"/>
    </row>
    <row r="20" spans="1:14" s="989" customFormat="1" ht="60.75" customHeight="1">
      <c r="A20" s="1351" t="s">
        <v>7</v>
      </c>
      <c r="B20" s="1349">
        <v>4</v>
      </c>
      <c r="C20" s="1351" t="s">
        <v>71</v>
      </c>
      <c r="D20" s="1351">
        <v>244</v>
      </c>
      <c r="E20" s="1351">
        <v>224</v>
      </c>
      <c r="F20" s="146" t="s">
        <v>151</v>
      </c>
      <c r="G20" s="764">
        <v>11928476.800000001</v>
      </c>
      <c r="H20" s="202"/>
      <c r="I20" s="202">
        <v>500000</v>
      </c>
      <c r="J20" s="764">
        <f t="shared" si="0"/>
        <v>12428476.800000001</v>
      </c>
      <c r="K20" s="1609"/>
      <c r="L20" s="990"/>
      <c r="M20" s="990"/>
    </row>
    <row r="21" spans="1:14" s="989" customFormat="1" ht="114.75" customHeight="1">
      <c r="A21" s="1357" t="s">
        <v>7</v>
      </c>
      <c r="B21" s="1355">
        <v>4</v>
      </c>
      <c r="C21" s="1422" t="s">
        <v>71</v>
      </c>
      <c r="D21" s="1357">
        <v>244</v>
      </c>
      <c r="E21" s="1357">
        <v>346</v>
      </c>
      <c r="F21" s="146" t="s">
        <v>1194</v>
      </c>
      <c r="G21" s="764">
        <v>65398.55</v>
      </c>
      <c r="H21" s="202"/>
      <c r="I21" s="202">
        <f>64999.71+16290</f>
        <v>81289.710000000006</v>
      </c>
      <c r="J21" s="764">
        <f t="shared" si="0"/>
        <v>146688.26</v>
      </c>
      <c r="K21" s="1356" t="s">
        <v>1195</v>
      </c>
    </row>
    <row r="22" spans="1:14" s="989" customFormat="1" ht="114.75" customHeight="1">
      <c r="A22" s="1351" t="s">
        <v>7</v>
      </c>
      <c r="B22" s="1349">
        <v>4</v>
      </c>
      <c r="C22" s="1422" t="s">
        <v>71</v>
      </c>
      <c r="D22" s="1351">
        <v>244</v>
      </c>
      <c r="E22" s="1351">
        <v>226</v>
      </c>
      <c r="F22" s="146" t="s">
        <v>170</v>
      </c>
      <c r="G22" s="764">
        <v>718968.61</v>
      </c>
      <c r="H22" s="202"/>
      <c r="I22" s="202">
        <f>277886.7+156000+295978.36</f>
        <v>729865.06</v>
      </c>
      <c r="J22" s="764">
        <f t="shared" ref="J22" si="1">G22+I22</f>
        <v>1448833.67</v>
      </c>
      <c r="K22" s="1350" t="s">
        <v>1205</v>
      </c>
    </row>
    <row r="23" spans="1:14" s="1320" customFormat="1" ht="23.25">
      <c r="A23" s="1511" t="s">
        <v>17</v>
      </c>
      <c r="B23" s="1512"/>
      <c r="C23" s="1512"/>
      <c r="D23" s="1512"/>
      <c r="E23" s="1512"/>
      <c r="F23" s="1513"/>
      <c r="G23" s="198">
        <f>SUM(G17:G22)</f>
        <v>52777877.979999997</v>
      </c>
      <c r="H23" s="198">
        <f>SUM(H17:H22)</f>
        <v>0</v>
      </c>
      <c r="I23" s="198">
        <f>SUM(I17:I22)</f>
        <v>12571648.619999999</v>
      </c>
      <c r="J23" s="198">
        <f>SUM(J17:J22)</f>
        <v>65349526.600000001</v>
      </c>
      <c r="K23" s="1353"/>
      <c r="N23" s="989"/>
    </row>
    <row r="24" spans="1:14" s="989" customFormat="1" ht="24" customHeight="1">
      <c r="A24" s="1565" t="s">
        <v>1156</v>
      </c>
      <c r="B24" s="1566"/>
      <c r="C24" s="1566"/>
      <c r="D24" s="1566"/>
      <c r="E24" s="1566"/>
      <c r="F24" s="1566"/>
      <c r="G24" s="1566"/>
      <c r="H24" s="1566"/>
      <c r="I24" s="1566"/>
      <c r="J24" s="1566"/>
      <c r="K24" s="1567"/>
      <c r="L24" s="990"/>
      <c r="M24" s="990"/>
    </row>
    <row r="25" spans="1:14" s="989" customFormat="1" ht="39.75" customHeight="1">
      <c r="A25" s="1349" t="s">
        <v>23</v>
      </c>
      <c r="B25" s="1349">
        <v>2</v>
      </c>
      <c r="C25" s="1349" t="s">
        <v>71</v>
      </c>
      <c r="D25" s="1349">
        <v>244</v>
      </c>
      <c r="E25" s="161">
        <v>223</v>
      </c>
      <c r="F25" s="1352" t="s">
        <v>13</v>
      </c>
      <c r="G25" s="173">
        <v>110481.69</v>
      </c>
      <c r="H25" s="173"/>
      <c r="I25" s="173">
        <v>-10000</v>
      </c>
      <c r="J25" s="173">
        <f>G25+I25</f>
        <v>100481.69</v>
      </c>
      <c r="K25" s="1604" t="s">
        <v>1199</v>
      </c>
      <c r="M25" s="1321"/>
      <c r="N25" s="1321"/>
    </row>
    <row r="26" spans="1:14" s="989" customFormat="1" ht="54" customHeight="1">
      <c r="A26" s="1355" t="s">
        <v>23</v>
      </c>
      <c r="B26" s="1355">
        <v>2</v>
      </c>
      <c r="C26" s="1355" t="s">
        <v>71</v>
      </c>
      <c r="D26" s="1355">
        <v>244</v>
      </c>
      <c r="E26" s="161">
        <v>342</v>
      </c>
      <c r="F26" s="1358" t="s">
        <v>498</v>
      </c>
      <c r="G26" s="173">
        <v>12350</v>
      </c>
      <c r="H26" s="173"/>
      <c r="I26" s="173">
        <v>10000</v>
      </c>
      <c r="J26" s="173">
        <f t="shared" ref="J26:J28" si="2">G26+I26</f>
        <v>22350</v>
      </c>
      <c r="K26" s="1605"/>
      <c r="M26" s="1321"/>
      <c r="N26" s="1321"/>
    </row>
    <row r="27" spans="1:14" s="989" customFormat="1" ht="46.5" customHeight="1">
      <c r="A27" s="1355" t="s">
        <v>23</v>
      </c>
      <c r="B27" s="1355">
        <v>2</v>
      </c>
      <c r="C27" s="1355" t="s">
        <v>71</v>
      </c>
      <c r="D27" s="1355">
        <v>244</v>
      </c>
      <c r="E27" s="161">
        <v>226</v>
      </c>
      <c r="F27" s="1358" t="s">
        <v>170</v>
      </c>
      <c r="G27" s="173">
        <v>2173450.87</v>
      </c>
      <c r="H27" s="173"/>
      <c r="I27" s="173">
        <v>-588894.12</v>
      </c>
      <c r="J27" s="173">
        <f t="shared" si="2"/>
        <v>1584556.75</v>
      </c>
      <c r="K27" s="1561" t="s">
        <v>1200</v>
      </c>
      <c r="M27" s="1321"/>
      <c r="N27" s="1321"/>
    </row>
    <row r="28" spans="1:14" s="989" customFormat="1" ht="119.25" customHeight="1">
      <c r="A28" s="1355" t="s">
        <v>23</v>
      </c>
      <c r="B28" s="1355">
        <v>2</v>
      </c>
      <c r="C28" s="1355" t="s">
        <v>71</v>
      </c>
      <c r="D28" s="1355">
        <v>853</v>
      </c>
      <c r="E28" s="161">
        <v>295</v>
      </c>
      <c r="F28" s="1358" t="s">
        <v>1177</v>
      </c>
      <c r="G28" s="173">
        <v>1202604.48</v>
      </c>
      <c r="H28" s="173"/>
      <c r="I28" s="173">
        <v>588894.12</v>
      </c>
      <c r="J28" s="173">
        <f t="shared" si="2"/>
        <v>1791498.6</v>
      </c>
      <c r="K28" s="1562"/>
      <c r="M28" s="1321"/>
      <c r="N28" s="1321"/>
    </row>
    <row r="29" spans="1:14" s="1320" customFormat="1" ht="21">
      <c r="A29" s="1511" t="s">
        <v>17</v>
      </c>
      <c r="B29" s="1512"/>
      <c r="C29" s="1512"/>
      <c r="D29" s="1512"/>
      <c r="E29" s="1512"/>
      <c r="F29" s="1513"/>
      <c r="G29" s="198">
        <f>SUM(G25:G28)</f>
        <v>3498887.04</v>
      </c>
      <c r="H29" s="198">
        <f>SUM(H25:H28)</f>
        <v>0</v>
      </c>
      <c r="I29" s="198">
        <f>SUM(I25:I28)</f>
        <v>0</v>
      </c>
      <c r="J29" s="198">
        <f>SUM(J25:J28)</f>
        <v>3498887.04</v>
      </c>
      <c r="K29" s="766"/>
      <c r="N29" s="989"/>
    </row>
    <row r="30" spans="1:14" s="1320" customFormat="1" ht="21">
      <c r="A30" s="1511" t="s">
        <v>24</v>
      </c>
      <c r="B30" s="1512"/>
      <c r="C30" s="1512"/>
      <c r="D30" s="1512"/>
      <c r="E30" s="1512"/>
      <c r="F30" s="1513"/>
      <c r="G30" s="198">
        <f>G23+G29</f>
        <v>56276765.020000003</v>
      </c>
      <c r="H30" s="198">
        <f>H23+H29</f>
        <v>0</v>
      </c>
      <c r="I30" s="198">
        <f>I23+I29</f>
        <v>12571648.619999999</v>
      </c>
      <c r="J30" s="198">
        <f>J23+J29</f>
        <v>68848413.640000001</v>
      </c>
      <c r="K30" s="766"/>
    </row>
    <row r="31" spans="1:14" ht="29.25" customHeight="1">
      <c r="A31" s="1318"/>
      <c r="B31" s="1318"/>
      <c r="C31" s="1318"/>
      <c r="D31" s="1318"/>
      <c r="E31" s="1322"/>
      <c r="F31" s="1322"/>
      <c r="G31" s="1322"/>
      <c r="H31" s="1318"/>
      <c r="I31" s="1318"/>
      <c r="J31" s="1318"/>
      <c r="K31" s="1323"/>
    </row>
    <row r="32" spans="1:14" s="1324" customFormat="1" ht="40.5" customHeight="1">
      <c r="A32" s="1324" t="s">
        <v>1133</v>
      </c>
      <c r="F32" s="1325"/>
      <c r="J32" s="1324" t="s">
        <v>32</v>
      </c>
      <c r="K32" s="1326"/>
      <c r="L32" s="1327"/>
      <c r="M32" s="1327"/>
    </row>
    <row r="33" spans="1:13" ht="20.25">
      <c r="A33" s="1318"/>
      <c r="B33" s="1318"/>
      <c r="C33" s="1318"/>
      <c r="D33" s="1318"/>
      <c r="E33" s="1318"/>
      <c r="F33" s="1318"/>
      <c r="G33" s="1318"/>
      <c r="H33" s="1318"/>
      <c r="I33" s="1318"/>
      <c r="J33" s="1318"/>
      <c r="K33" s="1323"/>
    </row>
    <row r="34" spans="1:13" ht="24" customHeight="1">
      <c r="A34" s="1318"/>
      <c r="B34" s="1318"/>
      <c r="C34" s="1318"/>
      <c r="D34" s="1318"/>
      <c r="E34" s="1318"/>
      <c r="F34" s="1318"/>
      <c r="G34" s="1318"/>
      <c r="H34" s="1318"/>
      <c r="I34" s="1318"/>
      <c r="J34" s="1318"/>
      <c r="K34" s="1323"/>
    </row>
    <row r="35" spans="1:13" ht="25.5" customHeight="1">
      <c r="A35" s="1318"/>
      <c r="B35" s="1318"/>
      <c r="C35" s="1318"/>
      <c r="D35" s="1318"/>
      <c r="E35" s="1318"/>
      <c r="F35" s="1318"/>
      <c r="G35" s="1318"/>
      <c r="H35" s="1318"/>
      <c r="I35" s="1318"/>
      <c r="J35" s="1318"/>
      <c r="K35" s="1323"/>
    </row>
    <row r="36" spans="1:13" ht="24" customHeight="1">
      <c r="A36" s="1318"/>
      <c r="B36" s="1318"/>
      <c r="C36" s="1318"/>
      <c r="D36" s="1318"/>
      <c r="E36" s="1318"/>
      <c r="F36" s="1318"/>
      <c r="G36" s="1318"/>
      <c r="H36" s="1318"/>
      <c r="I36" s="1318"/>
      <c r="J36" s="1318"/>
      <c r="K36" s="1323"/>
    </row>
    <row r="37" spans="1:13" s="989" customFormat="1" ht="21">
      <c r="A37" s="1323" t="s">
        <v>90</v>
      </c>
      <c r="B37" s="1323"/>
      <c r="C37" s="1323"/>
      <c r="D37" s="1323"/>
      <c r="E37" s="1323"/>
      <c r="F37" s="1323"/>
      <c r="G37" s="1323"/>
      <c r="H37" s="1323"/>
      <c r="I37" s="1323"/>
      <c r="J37" s="1323"/>
      <c r="K37" s="1323"/>
      <c r="L37" s="1319"/>
      <c r="M37" s="1319"/>
    </row>
    <row r="38" spans="1:13" s="989" customFormat="1" ht="21">
      <c r="A38" s="1323" t="s">
        <v>1134</v>
      </c>
      <c r="B38" s="1323"/>
      <c r="C38" s="1323"/>
      <c r="D38" s="1323"/>
      <c r="E38" s="1323"/>
      <c r="F38" s="1323"/>
      <c r="G38" s="1323"/>
      <c r="H38" s="1323"/>
      <c r="I38" s="1323"/>
      <c r="J38" s="1323"/>
      <c r="K38" s="1323"/>
      <c r="L38" s="1319"/>
      <c r="M38" s="1319"/>
    </row>
    <row r="39" spans="1:13" s="989" customFormat="1" ht="21">
      <c r="A39" s="1323" t="s">
        <v>27</v>
      </c>
      <c r="B39" s="1323"/>
      <c r="C39" s="1323"/>
      <c r="D39" s="1323"/>
      <c r="E39" s="1323"/>
      <c r="F39" s="1323"/>
      <c r="G39" s="1323"/>
      <c r="H39" s="1323"/>
      <c r="I39" s="1323"/>
      <c r="J39" s="1323"/>
      <c r="K39" s="1323"/>
      <c r="L39" s="1319"/>
      <c r="M39" s="1319"/>
    </row>
    <row r="40" spans="1:13" ht="24" customHeight="1">
      <c r="K40" s="1323"/>
    </row>
    <row r="41" spans="1:13" ht="24" customHeight="1">
      <c r="K41" s="1323"/>
    </row>
    <row r="42" spans="1:13" ht="24" customHeight="1">
      <c r="K42" s="1323"/>
    </row>
    <row r="43" spans="1:13" ht="24" customHeight="1">
      <c r="K43" s="1323"/>
    </row>
  </sheetData>
  <mergeCells count="16">
    <mergeCell ref="A29:F29"/>
    <mergeCell ref="A30:F30"/>
    <mergeCell ref="C12:E12"/>
    <mergeCell ref="K17:K18"/>
    <mergeCell ref="K19:K20"/>
    <mergeCell ref="A23:F23"/>
    <mergeCell ref="A24:K24"/>
    <mergeCell ref="A13:F13"/>
    <mergeCell ref="A14:K14"/>
    <mergeCell ref="A16:K16"/>
    <mergeCell ref="K27:K28"/>
    <mergeCell ref="A7:K7"/>
    <mergeCell ref="C9:E9"/>
    <mergeCell ref="A10:K10"/>
    <mergeCell ref="A11:K11"/>
    <mergeCell ref="K25:K26"/>
  </mergeCells>
  <printOptions horizontalCentered="1"/>
  <pageMargins left="0.39370078740157483" right="0.39370078740157483" top="0.39370078740157483" bottom="0.19685039370078741" header="0.31496062992125984" footer="0.31496062992125984"/>
  <pageSetup paperSize="9" scale="38" fitToHeight="0" orientation="landscape" horizontalDpi="4294967295" verticalDpi="4294967295" r:id="rId1"/>
  <rowBreaks count="1" manualBreakCount="1">
    <brk id="23" max="10"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66"/>
    <pageSetUpPr fitToPage="1"/>
  </sheetPr>
  <dimension ref="A1:N44"/>
  <sheetViews>
    <sheetView view="pageBreakPreview" topLeftCell="A7" zoomScale="55" zoomScaleNormal="75" zoomScaleSheetLayoutView="55" zoomScalePageLayoutView="85" workbookViewId="0">
      <selection activeCell="F24" sqref="F24"/>
    </sheetView>
  </sheetViews>
  <sheetFormatPr defaultRowHeight="24" customHeight="1"/>
  <cols>
    <col min="1" max="1" width="19.28515625" style="1319" customWidth="1"/>
    <col min="2" max="2" width="12.42578125" style="1319" customWidth="1"/>
    <col min="3" max="3" width="39.85546875" style="1319" customWidth="1"/>
    <col min="4" max="4" width="9.7109375" style="1319" customWidth="1"/>
    <col min="5" max="5" width="13" style="1319" customWidth="1"/>
    <col min="6" max="6" width="62.5703125" style="1319" customWidth="1"/>
    <col min="7" max="7" width="21.5703125" style="1319" customWidth="1"/>
    <col min="8" max="8" width="16.85546875" style="1319" hidden="1" customWidth="1"/>
    <col min="9" max="10" width="21.5703125" style="1319" customWidth="1"/>
    <col min="11" max="11" width="148.85546875" style="1328" customWidth="1"/>
    <col min="12" max="12" width="10.5703125" style="1319" bestFit="1" customWidth="1"/>
    <col min="13" max="13" width="56.85546875" style="1319" customWidth="1"/>
    <col min="14" max="14" width="19.42578125" style="1319" customWidth="1"/>
    <col min="15" max="16384" width="9.140625" style="1319"/>
  </cols>
  <sheetData>
    <row r="1" spans="1:13" s="1316" customFormat="1" ht="44.25" customHeight="1">
      <c r="A1" s="753" t="s">
        <v>475</v>
      </c>
      <c r="B1" s="1313"/>
      <c r="C1" s="1313"/>
      <c r="D1" s="1313"/>
      <c r="E1" s="1314"/>
      <c r="F1" s="1314"/>
      <c r="G1" s="1314"/>
      <c r="H1" s="1314"/>
      <c r="I1" s="1314"/>
      <c r="J1" s="1314"/>
      <c r="K1" s="1315"/>
    </row>
    <row r="2" spans="1:13" s="1316" customFormat="1" ht="33" customHeight="1">
      <c r="A2" s="757" t="s">
        <v>781</v>
      </c>
      <c r="B2" s="1313"/>
      <c r="C2" s="1313"/>
      <c r="D2" s="1313"/>
      <c r="E2" s="1314"/>
      <c r="F2" s="1314"/>
      <c r="G2" s="1314"/>
      <c r="H2" s="1314"/>
      <c r="I2" s="1314"/>
      <c r="J2" s="1314"/>
      <c r="K2" s="1315"/>
    </row>
    <row r="3" spans="1:13" s="1316" customFormat="1" ht="37.5" customHeight="1">
      <c r="A3" s="757" t="s">
        <v>782</v>
      </c>
      <c r="B3" s="1313"/>
      <c r="C3" s="1313"/>
      <c r="D3" s="1313"/>
      <c r="E3" s="1314"/>
      <c r="F3" s="1314"/>
      <c r="G3" s="1314"/>
      <c r="H3" s="1314"/>
      <c r="I3" s="1314"/>
      <c r="J3" s="1314"/>
      <c r="K3" s="1315"/>
    </row>
    <row r="4" spans="1:13" s="1316" customFormat="1" ht="60.75" customHeight="1">
      <c r="A4" s="757" t="s">
        <v>106</v>
      </c>
      <c r="B4" s="1313"/>
      <c r="C4" s="1313"/>
      <c r="D4" s="1313"/>
      <c r="E4" s="1314"/>
      <c r="F4" s="1314"/>
      <c r="G4" s="1314"/>
      <c r="H4" s="1314"/>
      <c r="I4" s="1314"/>
      <c r="J4" s="1314"/>
      <c r="K4" s="1315"/>
    </row>
    <row r="5" spans="1:13" s="1316" customFormat="1" ht="42" customHeight="1">
      <c r="A5" s="757" t="s">
        <v>437</v>
      </c>
      <c r="B5" s="1313"/>
      <c r="C5" s="1313"/>
      <c r="D5" s="1313"/>
      <c r="E5" s="1314"/>
      <c r="F5" s="1314"/>
      <c r="G5" s="1314"/>
      <c r="H5" s="1314"/>
      <c r="I5" s="1314"/>
      <c r="J5" s="1314"/>
      <c r="K5" s="1315"/>
    </row>
    <row r="6" spans="1:13" ht="24" customHeight="1">
      <c r="A6" s="1317"/>
      <c r="B6" s="1317"/>
      <c r="C6" s="1317"/>
      <c r="D6" s="1318"/>
      <c r="E6" s="1318"/>
      <c r="F6" s="1318"/>
      <c r="G6" s="1318"/>
      <c r="H6" s="1318"/>
      <c r="I6" s="1318"/>
      <c r="J6" s="1318"/>
      <c r="K6" s="1315"/>
    </row>
    <row r="7" spans="1:13" ht="69" customHeight="1">
      <c r="A7" s="1595" t="s">
        <v>791</v>
      </c>
      <c r="B7" s="1595"/>
      <c r="C7" s="1595"/>
      <c r="D7" s="1595"/>
      <c r="E7" s="1595"/>
      <c r="F7" s="1595"/>
      <c r="G7" s="1595"/>
      <c r="H7" s="1595"/>
      <c r="I7" s="1595"/>
      <c r="J7" s="1595"/>
      <c r="K7" s="1595"/>
    </row>
    <row r="8" spans="1:13" ht="24" customHeight="1">
      <c r="A8" s="1318"/>
      <c r="B8" s="1318"/>
      <c r="C8" s="1318"/>
      <c r="D8" s="1318"/>
      <c r="E8" s="1318"/>
      <c r="F8" s="1318"/>
      <c r="G8" s="1318"/>
      <c r="H8" s="1318"/>
      <c r="I8" s="1318"/>
      <c r="J8" s="1318"/>
      <c r="K8" s="1315"/>
    </row>
    <row r="9" spans="1:13" s="989" customFormat="1" ht="68.25" customHeight="1">
      <c r="A9" s="1424" t="s">
        <v>1</v>
      </c>
      <c r="B9" s="1424" t="s">
        <v>2</v>
      </c>
      <c r="C9" s="1522" t="s">
        <v>80</v>
      </c>
      <c r="D9" s="1522"/>
      <c r="E9" s="1522"/>
      <c r="F9" s="1424" t="s">
        <v>81</v>
      </c>
      <c r="G9" s="1424" t="s">
        <v>82</v>
      </c>
      <c r="H9" s="1424"/>
      <c r="I9" s="1424" t="s">
        <v>83</v>
      </c>
      <c r="J9" s="1424" t="s">
        <v>84</v>
      </c>
      <c r="K9" s="1424" t="s">
        <v>85</v>
      </c>
      <c r="L9" s="990"/>
    </row>
    <row r="10" spans="1:13" s="989" customFormat="1" ht="21">
      <c r="A10" s="1523" t="s">
        <v>86</v>
      </c>
      <c r="B10" s="1523"/>
      <c r="C10" s="1523"/>
      <c r="D10" s="1523"/>
      <c r="E10" s="1523"/>
      <c r="F10" s="1523"/>
      <c r="G10" s="1523"/>
      <c r="H10" s="1523"/>
      <c r="I10" s="1523"/>
      <c r="J10" s="1523"/>
      <c r="K10" s="1523"/>
    </row>
    <row r="11" spans="1:13" s="989" customFormat="1" ht="23.25" customHeight="1">
      <c r="A11" s="1524" t="s">
        <v>788</v>
      </c>
      <c r="B11" s="1524"/>
      <c r="C11" s="1524"/>
      <c r="D11" s="1524"/>
      <c r="E11" s="1524"/>
      <c r="F11" s="1524"/>
      <c r="G11" s="1524"/>
      <c r="H11" s="1524"/>
      <c r="I11" s="1524"/>
      <c r="J11" s="1524"/>
      <c r="K11" s="1524"/>
    </row>
    <row r="12" spans="1:13" s="989" customFormat="1" ht="64.5" customHeight="1">
      <c r="A12" s="1425" t="s">
        <v>7</v>
      </c>
      <c r="B12" s="1424">
        <v>4</v>
      </c>
      <c r="C12" s="1550" t="s">
        <v>787</v>
      </c>
      <c r="D12" s="1550"/>
      <c r="E12" s="1550"/>
      <c r="F12" s="1429" t="s">
        <v>849</v>
      </c>
      <c r="G12" s="764">
        <v>59963886.18</v>
      </c>
      <c r="H12" s="202"/>
      <c r="I12" s="202">
        <v>12571648.619999999</v>
      </c>
      <c r="J12" s="764">
        <f>G12+I12</f>
        <v>72535534.799999997</v>
      </c>
      <c r="K12" s="1426" t="s">
        <v>1189</v>
      </c>
    </row>
    <row r="13" spans="1:13" s="1320" customFormat="1" ht="21">
      <c r="A13" s="1610" t="s">
        <v>104</v>
      </c>
      <c r="B13" s="1610"/>
      <c r="C13" s="1610"/>
      <c r="D13" s="1610"/>
      <c r="E13" s="1610"/>
      <c r="F13" s="1610"/>
      <c r="G13" s="198">
        <f>SUM(G12:G12)</f>
        <v>59963886.18</v>
      </c>
      <c r="H13" s="198">
        <f>SUM(H12:H12)</f>
        <v>0</v>
      </c>
      <c r="I13" s="198">
        <f>SUM(I12:I12)</f>
        <v>12571648.619999999</v>
      </c>
      <c r="J13" s="198">
        <f>SUM(J12:J12)</f>
        <v>72535534.799999997</v>
      </c>
      <c r="K13" s="762"/>
    </row>
    <row r="14" spans="1:13" s="989" customFormat="1" ht="27.75" customHeight="1">
      <c r="A14" s="1523" t="s">
        <v>87</v>
      </c>
      <c r="B14" s="1523"/>
      <c r="C14" s="1523"/>
      <c r="D14" s="1523"/>
      <c r="E14" s="1523"/>
      <c r="F14" s="1523"/>
      <c r="G14" s="1523"/>
      <c r="H14" s="1523"/>
      <c r="I14" s="1523"/>
      <c r="J14" s="1523"/>
      <c r="K14" s="1523"/>
    </row>
    <row r="15" spans="1:13" s="989" customFormat="1" ht="65.25" customHeight="1">
      <c r="A15" s="1424" t="s">
        <v>1</v>
      </c>
      <c r="B15" s="1424" t="s">
        <v>2</v>
      </c>
      <c r="C15" s="1424" t="s">
        <v>3</v>
      </c>
      <c r="D15" s="1424" t="s">
        <v>4</v>
      </c>
      <c r="E15" s="1424" t="s">
        <v>5</v>
      </c>
      <c r="F15" s="1424" t="s">
        <v>6</v>
      </c>
      <c r="G15" s="1424" t="s">
        <v>82</v>
      </c>
      <c r="H15" s="1424"/>
      <c r="I15" s="1424" t="s">
        <v>83</v>
      </c>
      <c r="J15" s="1424" t="s">
        <v>84</v>
      </c>
      <c r="K15" s="1424" t="s">
        <v>85</v>
      </c>
    </row>
    <row r="16" spans="1:13" s="989" customFormat="1" ht="24" customHeight="1">
      <c r="A16" s="1506" t="s">
        <v>908</v>
      </c>
      <c r="B16" s="1506"/>
      <c r="C16" s="1506"/>
      <c r="D16" s="1506"/>
      <c r="E16" s="1506"/>
      <c r="F16" s="1506"/>
      <c r="G16" s="1506"/>
      <c r="H16" s="1506"/>
      <c r="I16" s="1506"/>
      <c r="J16" s="1506"/>
      <c r="K16" s="1506"/>
      <c r="L16" s="990"/>
      <c r="M16" s="990"/>
    </row>
    <row r="17" spans="1:14" s="989" customFormat="1" ht="54" customHeight="1">
      <c r="A17" s="1431" t="s">
        <v>7</v>
      </c>
      <c r="B17" s="1430">
        <v>4</v>
      </c>
      <c r="C17" s="1430" t="s">
        <v>69</v>
      </c>
      <c r="D17" s="1431">
        <v>111</v>
      </c>
      <c r="E17" s="1431">
        <v>211</v>
      </c>
      <c r="F17" s="146" t="s">
        <v>8</v>
      </c>
      <c r="G17" s="764">
        <v>31967705.329999998</v>
      </c>
      <c r="H17" s="202"/>
      <c r="I17" s="202">
        <v>7756068.0300000003</v>
      </c>
      <c r="J17" s="764">
        <f>G17+I17</f>
        <v>39723773.359999999</v>
      </c>
      <c r="K17" s="1609" t="s">
        <v>1203</v>
      </c>
      <c r="L17" s="990"/>
      <c r="M17" s="990"/>
    </row>
    <row r="18" spans="1:14" s="989" customFormat="1" ht="54" customHeight="1">
      <c r="A18" s="1431" t="s">
        <v>7</v>
      </c>
      <c r="B18" s="1430">
        <v>4</v>
      </c>
      <c r="C18" s="1430" t="s">
        <v>69</v>
      </c>
      <c r="D18" s="1431">
        <v>119</v>
      </c>
      <c r="E18" s="1431">
        <v>213</v>
      </c>
      <c r="F18" s="146" t="s">
        <v>10</v>
      </c>
      <c r="G18" s="764">
        <v>9042821.8800000008</v>
      </c>
      <c r="H18" s="202"/>
      <c r="I18" s="202">
        <v>1932887.77</v>
      </c>
      <c r="J18" s="764">
        <f t="shared" ref="J18:J29" si="0">G18+I18</f>
        <v>10975709.65</v>
      </c>
      <c r="K18" s="1609"/>
      <c r="L18" s="990"/>
      <c r="M18" s="990" t="s">
        <v>1208</v>
      </c>
    </row>
    <row r="19" spans="1:14" s="989" customFormat="1" ht="54" customHeight="1">
      <c r="A19" s="1431" t="s">
        <v>7</v>
      </c>
      <c r="B19" s="1430">
        <v>4</v>
      </c>
      <c r="C19" s="1430" t="s">
        <v>69</v>
      </c>
      <c r="D19" s="1431">
        <v>119</v>
      </c>
      <c r="E19" s="1431">
        <v>266</v>
      </c>
      <c r="F19" s="146" t="s">
        <v>124</v>
      </c>
      <c r="G19" s="764">
        <v>211236.68</v>
      </c>
      <c r="H19" s="202"/>
      <c r="I19" s="202">
        <v>-150000</v>
      </c>
      <c r="J19" s="764">
        <f t="shared" si="0"/>
        <v>61236.68</v>
      </c>
      <c r="K19" s="1433" t="s">
        <v>1210</v>
      </c>
      <c r="L19" s="990"/>
      <c r="M19" s="990"/>
    </row>
    <row r="20" spans="1:14" s="989" customFormat="1" ht="54" customHeight="1">
      <c r="A20" s="1431" t="s">
        <v>7</v>
      </c>
      <c r="B20" s="1430">
        <v>4</v>
      </c>
      <c r="C20" s="1430" t="s">
        <v>69</v>
      </c>
      <c r="D20" s="1431">
        <v>112</v>
      </c>
      <c r="E20" s="1431">
        <v>214</v>
      </c>
      <c r="F20" s="146" t="s">
        <v>1206</v>
      </c>
      <c r="G20" s="764">
        <v>1442073.12</v>
      </c>
      <c r="H20" s="202"/>
      <c r="I20" s="202">
        <v>-100000</v>
      </c>
      <c r="J20" s="764">
        <f t="shared" si="0"/>
        <v>1342073.1200000001</v>
      </c>
      <c r="K20" s="1433" t="s">
        <v>1213</v>
      </c>
      <c r="L20" s="990"/>
      <c r="M20" s="990"/>
    </row>
    <row r="21" spans="1:14" s="989" customFormat="1" ht="33" customHeight="1">
      <c r="A21" s="1431" t="s">
        <v>7</v>
      </c>
      <c r="B21" s="1430">
        <v>4</v>
      </c>
      <c r="C21" s="1430" t="s">
        <v>71</v>
      </c>
      <c r="D21" s="1431">
        <v>244</v>
      </c>
      <c r="E21" s="1431">
        <v>222</v>
      </c>
      <c r="F21" s="146" t="s">
        <v>12</v>
      </c>
      <c r="G21" s="764">
        <v>137727.94</v>
      </c>
      <c r="H21" s="202"/>
      <c r="I21" s="202">
        <v>18000</v>
      </c>
      <c r="J21" s="764">
        <f t="shared" si="0"/>
        <v>155727.94</v>
      </c>
      <c r="K21" s="1433" t="s">
        <v>1211</v>
      </c>
      <c r="L21" s="990"/>
      <c r="M21" s="990"/>
    </row>
    <row r="22" spans="1:14" s="989" customFormat="1" ht="21">
      <c r="A22" s="1431" t="s">
        <v>7</v>
      </c>
      <c r="B22" s="1430">
        <v>4</v>
      </c>
      <c r="C22" s="1431" t="s">
        <v>71</v>
      </c>
      <c r="D22" s="1431">
        <v>244</v>
      </c>
      <c r="E22" s="1431">
        <v>223</v>
      </c>
      <c r="F22" s="146" t="s">
        <v>1173</v>
      </c>
      <c r="G22" s="764">
        <v>544506.81000000006</v>
      </c>
      <c r="H22" s="202"/>
      <c r="I22" s="202">
        <v>83726.64</v>
      </c>
      <c r="J22" s="764">
        <f t="shared" si="0"/>
        <v>628233.44999999995</v>
      </c>
      <c r="K22" s="1609" t="s">
        <v>1204</v>
      </c>
      <c r="L22" s="990"/>
      <c r="M22" s="990"/>
    </row>
    <row r="23" spans="1:14" s="989" customFormat="1" ht="21">
      <c r="A23" s="1431" t="s">
        <v>7</v>
      </c>
      <c r="B23" s="1430">
        <v>4</v>
      </c>
      <c r="C23" s="1431" t="s">
        <v>71</v>
      </c>
      <c r="D23" s="1431">
        <v>244</v>
      </c>
      <c r="E23" s="1431">
        <v>224</v>
      </c>
      <c r="F23" s="146" t="s">
        <v>151</v>
      </c>
      <c r="G23" s="764">
        <v>10438476.800000001</v>
      </c>
      <c r="H23" s="202"/>
      <c r="I23" s="202">
        <v>1990000</v>
      </c>
      <c r="J23" s="764">
        <f t="shared" si="0"/>
        <v>12428476.800000001</v>
      </c>
      <c r="K23" s="1609"/>
      <c r="L23" s="990"/>
      <c r="M23" s="990"/>
    </row>
    <row r="24" spans="1:14" s="989" customFormat="1" ht="108" customHeight="1">
      <c r="A24" s="1431" t="s">
        <v>7</v>
      </c>
      <c r="B24" s="1430">
        <v>4</v>
      </c>
      <c r="C24" s="1431" t="s">
        <v>71</v>
      </c>
      <c r="D24" s="1431">
        <v>244</v>
      </c>
      <c r="E24" s="1431">
        <v>226</v>
      </c>
      <c r="F24" s="146" t="s">
        <v>170</v>
      </c>
      <c r="G24" s="764">
        <v>718968.61</v>
      </c>
      <c r="H24" s="202"/>
      <c r="I24" s="202">
        <f>727676.47+232000</f>
        <v>959676.47</v>
      </c>
      <c r="J24" s="764">
        <f t="shared" si="0"/>
        <v>1678645.08</v>
      </c>
      <c r="K24" s="1432" t="s">
        <v>1209</v>
      </c>
      <c r="M24" s="989">
        <f>277886.7+156000+525789.77</f>
        <v>959676.47</v>
      </c>
      <c r="N24" s="1428"/>
    </row>
    <row r="25" spans="1:14" s="989" customFormat="1" ht="44.25" customHeight="1">
      <c r="A25" s="1431" t="s">
        <v>7</v>
      </c>
      <c r="B25" s="1430">
        <v>4</v>
      </c>
      <c r="C25" s="1431" t="s">
        <v>70</v>
      </c>
      <c r="D25" s="1431">
        <v>244</v>
      </c>
      <c r="E25" s="1431">
        <v>226</v>
      </c>
      <c r="F25" s="146" t="s">
        <v>170</v>
      </c>
      <c r="G25" s="764">
        <v>2003787.24</v>
      </c>
      <c r="H25" s="202"/>
      <c r="I25" s="202">
        <v>34083.300000000003</v>
      </c>
      <c r="J25" s="764">
        <f>G25+I25</f>
        <v>2037870.54</v>
      </c>
      <c r="K25" s="1611" t="s">
        <v>1214</v>
      </c>
    </row>
    <row r="26" spans="1:14" s="989" customFormat="1" ht="44.25" customHeight="1">
      <c r="A26" s="1431" t="s">
        <v>7</v>
      </c>
      <c r="B26" s="1430">
        <v>4</v>
      </c>
      <c r="C26" s="1431" t="s">
        <v>70</v>
      </c>
      <c r="D26" s="1431">
        <v>244</v>
      </c>
      <c r="E26" s="1431">
        <v>346</v>
      </c>
      <c r="F26" s="146" t="s">
        <v>1194</v>
      </c>
      <c r="G26" s="764">
        <v>455610.98</v>
      </c>
      <c r="H26" s="202"/>
      <c r="I26" s="202">
        <v>-34083.300000000003</v>
      </c>
      <c r="J26" s="764">
        <f>G26+I26</f>
        <v>421527.68</v>
      </c>
      <c r="K26" s="1611"/>
    </row>
    <row r="27" spans="1:14" s="989" customFormat="1" ht="87.75" customHeight="1">
      <c r="A27" s="1431" t="s">
        <v>7</v>
      </c>
      <c r="B27" s="1430">
        <v>4</v>
      </c>
      <c r="C27" s="1431" t="s">
        <v>71</v>
      </c>
      <c r="D27" s="1431">
        <v>244</v>
      </c>
      <c r="E27" s="1431">
        <v>346</v>
      </c>
      <c r="F27" s="146" t="s">
        <v>1194</v>
      </c>
      <c r="G27" s="764">
        <v>65398.55</v>
      </c>
      <c r="H27" s="202"/>
      <c r="I27" s="202">
        <f>64999.71+16290</f>
        <v>81289.710000000006</v>
      </c>
      <c r="J27" s="764">
        <f t="shared" si="0"/>
        <v>146688.26</v>
      </c>
      <c r="K27" s="1432" t="s">
        <v>1195</v>
      </c>
      <c r="M27" s="989">
        <f>64999.71+16290</f>
        <v>81289.710000000006</v>
      </c>
    </row>
    <row r="28" spans="1:14" s="989" customFormat="1" ht="42.75" customHeight="1">
      <c r="A28" s="1431" t="s">
        <v>7</v>
      </c>
      <c r="B28" s="1430">
        <v>4</v>
      </c>
      <c r="C28" s="1431" t="s">
        <v>47</v>
      </c>
      <c r="D28" s="1431">
        <v>244</v>
      </c>
      <c r="E28" s="1431">
        <v>310</v>
      </c>
      <c r="F28" s="146" t="s">
        <v>532</v>
      </c>
      <c r="G28" s="764">
        <v>59807.45</v>
      </c>
      <c r="H28" s="202"/>
      <c r="I28" s="202">
        <v>-2.19</v>
      </c>
      <c r="J28" s="764">
        <f t="shared" si="0"/>
        <v>59805.26</v>
      </c>
      <c r="K28" s="1612" t="s">
        <v>1212</v>
      </c>
    </row>
    <row r="29" spans="1:14" s="989" customFormat="1" ht="43.5" customHeight="1">
      <c r="A29" s="1431" t="s">
        <v>31</v>
      </c>
      <c r="B29" s="1430">
        <v>4</v>
      </c>
      <c r="C29" s="1431" t="s">
        <v>47</v>
      </c>
      <c r="D29" s="1431">
        <v>244</v>
      </c>
      <c r="E29" s="1431">
        <v>310</v>
      </c>
      <c r="F29" s="146" t="s">
        <v>532</v>
      </c>
      <c r="G29" s="764">
        <v>795441.5</v>
      </c>
      <c r="H29" s="202"/>
      <c r="I29" s="202">
        <v>-41.5</v>
      </c>
      <c r="J29" s="764">
        <f t="shared" si="0"/>
        <v>795400</v>
      </c>
      <c r="K29" s="1613"/>
    </row>
    <row r="30" spans="1:14" s="1320" customFormat="1" ht="23.25">
      <c r="A30" s="1511" t="s">
        <v>17</v>
      </c>
      <c r="B30" s="1512"/>
      <c r="C30" s="1512"/>
      <c r="D30" s="1512"/>
      <c r="E30" s="1512"/>
      <c r="F30" s="1513"/>
      <c r="G30" s="198">
        <f>SUM(G17:G24)</f>
        <v>54503517.170000002</v>
      </c>
      <c r="H30" s="198">
        <f>SUM(H17:H24)</f>
        <v>0</v>
      </c>
      <c r="I30" s="198">
        <f>SUM(I17:I29)</f>
        <v>12571604.93</v>
      </c>
      <c r="J30" s="198">
        <f>SUM(J17:J24)</f>
        <v>66993876.079999998</v>
      </c>
      <c r="K30" s="1423"/>
      <c r="N30" s="989"/>
    </row>
    <row r="31" spans="1:14" s="1320" customFormat="1" ht="21" hidden="1">
      <c r="A31" s="1511" t="s">
        <v>24</v>
      </c>
      <c r="B31" s="1512"/>
      <c r="C31" s="1512"/>
      <c r="D31" s="1512"/>
      <c r="E31" s="1512"/>
      <c r="F31" s="1513"/>
      <c r="G31" s="198">
        <f>G30</f>
        <v>54503517.170000002</v>
      </c>
      <c r="H31" s="198">
        <f t="shared" ref="H31:J31" si="1">H30</f>
        <v>0</v>
      </c>
      <c r="I31" s="198">
        <f t="shared" si="1"/>
        <v>12571604.93</v>
      </c>
      <c r="J31" s="198">
        <f t="shared" si="1"/>
        <v>66993876.079999998</v>
      </c>
      <c r="K31" s="766"/>
    </row>
    <row r="32" spans="1:14" ht="29.25" customHeight="1">
      <c r="A32" s="1318"/>
      <c r="B32" s="1318"/>
      <c r="C32" s="1318"/>
      <c r="D32" s="1318"/>
      <c r="E32" s="1322"/>
      <c r="F32" s="1322"/>
      <c r="G32" s="1322"/>
      <c r="H32" s="1318"/>
      <c r="I32" s="1318"/>
      <c r="J32" s="1318"/>
      <c r="K32" s="1323"/>
    </row>
    <row r="33" spans="1:13" s="1324" customFormat="1" ht="40.5" customHeight="1">
      <c r="A33" s="1324" t="s">
        <v>1133</v>
      </c>
      <c r="F33" s="1325"/>
      <c r="J33" s="1324" t="s">
        <v>32</v>
      </c>
      <c r="K33" s="1326"/>
      <c r="L33" s="1327"/>
      <c r="M33" s="1327"/>
    </row>
    <row r="34" spans="1:13" ht="20.25">
      <c r="A34" s="1318"/>
      <c r="B34" s="1318"/>
      <c r="C34" s="1318"/>
      <c r="D34" s="1318"/>
      <c r="E34" s="1318"/>
      <c r="F34" s="1318"/>
      <c r="G34" s="1318"/>
      <c r="H34" s="1318"/>
      <c r="I34" s="1318"/>
      <c r="J34" s="1318"/>
      <c r="K34" s="1323"/>
    </row>
    <row r="35" spans="1:13" ht="24" hidden="1" customHeight="1">
      <c r="A35" s="1318"/>
      <c r="B35" s="1318"/>
      <c r="C35" s="1318"/>
      <c r="D35" s="1318"/>
      <c r="E35" s="1318"/>
      <c r="F35" s="1318"/>
      <c r="G35" s="1318"/>
      <c r="H35" s="1318"/>
      <c r="I35" s="1318"/>
      <c r="J35" s="1318"/>
      <c r="K35" s="1323"/>
    </row>
    <row r="36" spans="1:13" ht="25.5" hidden="1" customHeight="1">
      <c r="A36" s="1318"/>
      <c r="B36" s="1318"/>
      <c r="C36" s="1318"/>
      <c r="D36" s="1318"/>
      <c r="E36" s="1318"/>
      <c r="F36" s="1318"/>
      <c r="G36" s="1318"/>
      <c r="H36" s="1318"/>
      <c r="I36" s="1322"/>
      <c r="J36" s="1318"/>
      <c r="K36" s="1323"/>
    </row>
    <row r="37" spans="1:13" ht="24" customHeight="1">
      <c r="A37" s="1318"/>
      <c r="B37" s="1318"/>
      <c r="C37" s="1318"/>
      <c r="D37" s="1318"/>
      <c r="E37" s="1318"/>
      <c r="F37" s="1318"/>
      <c r="G37" s="1318"/>
      <c r="H37" s="1318"/>
      <c r="I37" s="1318"/>
      <c r="J37" s="1318"/>
      <c r="K37" s="1323"/>
    </row>
    <row r="38" spans="1:13" s="989" customFormat="1" ht="21">
      <c r="A38" s="1323" t="s">
        <v>90</v>
      </c>
      <c r="B38" s="1323"/>
      <c r="C38" s="1323"/>
      <c r="D38" s="1323"/>
      <c r="E38" s="1323"/>
      <c r="F38" s="1323"/>
      <c r="G38" s="1323"/>
      <c r="H38" s="1323"/>
      <c r="I38" s="1323"/>
      <c r="J38" s="1323"/>
      <c r="K38" s="1323"/>
      <c r="L38" s="1319"/>
      <c r="M38" s="1319"/>
    </row>
    <row r="39" spans="1:13" s="989" customFormat="1" ht="21">
      <c r="A39" s="1323" t="s">
        <v>1207</v>
      </c>
      <c r="B39" s="1323"/>
      <c r="C39" s="1323"/>
      <c r="D39" s="1323"/>
      <c r="E39" s="1323"/>
      <c r="F39" s="1323"/>
      <c r="G39" s="1323"/>
      <c r="H39" s="1323"/>
      <c r="I39" s="1323"/>
      <c r="J39" s="1323"/>
      <c r="K39" s="1323"/>
      <c r="L39" s="1319"/>
      <c r="M39" s="1319"/>
    </row>
    <row r="40" spans="1:13" s="989" customFormat="1" ht="21">
      <c r="A40" s="1323" t="s">
        <v>27</v>
      </c>
      <c r="B40" s="1323"/>
      <c r="C40" s="1323"/>
      <c r="D40" s="1323"/>
      <c r="E40" s="1323"/>
      <c r="F40" s="1323"/>
      <c r="G40" s="1323"/>
      <c r="H40" s="1323"/>
      <c r="I40" s="1323"/>
      <c r="J40" s="1323"/>
      <c r="K40" s="1323"/>
      <c r="L40" s="1319"/>
      <c r="M40" s="1319"/>
    </row>
    <row r="41" spans="1:13" ht="24" customHeight="1">
      <c r="I41" s="1427">
        <f>I17+I18+I22+I23+I24+I27-232000</f>
        <v>12571648.619999999</v>
      </c>
      <c r="K41" s="1323"/>
    </row>
    <row r="42" spans="1:13" ht="24" customHeight="1">
      <c r="I42" s="1427">
        <f>I41-I30</f>
        <v>43.69</v>
      </c>
      <c r="K42" s="1323"/>
    </row>
    <row r="43" spans="1:13" ht="24" customHeight="1">
      <c r="K43" s="1323"/>
    </row>
    <row r="44" spans="1:13" ht="24" customHeight="1">
      <c r="K44" s="1323"/>
    </row>
  </sheetData>
  <mergeCells count="14">
    <mergeCell ref="A31:F31"/>
    <mergeCell ref="A14:K14"/>
    <mergeCell ref="A16:K16"/>
    <mergeCell ref="K17:K18"/>
    <mergeCell ref="K22:K23"/>
    <mergeCell ref="A30:F30"/>
    <mergeCell ref="K25:K26"/>
    <mergeCell ref="K28:K29"/>
    <mergeCell ref="A13:F13"/>
    <mergeCell ref="A7:K7"/>
    <mergeCell ref="C9:E9"/>
    <mergeCell ref="A10:K10"/>
    <mergeCell ref="A11:K11"/>
    <mergeCell ref="C12:E12"/>
  </mergeCells>
  <printOptions horizontalCentered="1"/>
  <pageMargins left="0.39370078740157483" right="0.39370078740157483" top="0.39370078740157483" bottom="0.19685039370078741" header="0.31496062992125984" footer="0.31496062992125984"/>
  <pageSetup paperSize="9" scale="37" fitToHeight="0"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66"/>
    <pageSetUpPr fitToPage="1"/>
  </sheetPr>
  <dimension ref="A1:N55"/>
  <sheetViews>
    <sheetView view="pageBreakPreview" topLeftCell="A28" zoomScale="55" zoomScaleNormal="75" zoomScaleSheetLayoutView="55" zoomScalePageLayoutView="85" workbookViewId="0">
      <selection activeCell="J39" sqref="J39"/>
    </sheetView>
  </sheetViews>
  <sheetFormatPr defaultRowHeight="24" customHeight="1"/>
  <cols>
    <col min="1" max="1" width="19.28515625" style="1319" customWidth="1"/>
    <col min="2" max="2" width="12.42578125" style="1319" customWidth="1"/>
    <col min="3" max="3" width="36.7109375" style="1319" customWidth="1"/>
    <col min="4" max="4" width="9.7109375" style="1319" customWidth="1"/>
    <col min="5" max="5" width="13" style="1319" customWidth="1"/>
    <col min="6" max="6" width="59.7109375" style="1319" customWidth="1"/>
    <col min="7" max="7" width="21.5703125" style="1319" customWidth="1"/>
    <col min="8" max="8" width="16.85546875" style="1319" hidden="1" customWidth="1"/>
    <col min="9" max="10" width="21.5703125" style="1319" customWidth="1"/>
    <col min="11" max="11" width="141.5703125" style="1328" customWidth="1"/>
    <col min="12" max="12" width="10.5703125" style="1319" bestFit="1" customWidth="1"/>
    <col min="13" max="13" width="56.85546875" style="1319" customWidth="1"/>
    <col min="14" max="14" width="19.42578125" style="1319" customWidth="1"/>
    <col min="15" max="16384" width="9.140625" style="1319"/>
  </cols>
  <sheetData>
    <row r="1" spans="1:12" s="1316" customFormat="1" ht="44.25" customHeight="1">
      <c r="A1" s="753" t="s">
        <v>475</v>
      </c>
      <c r="B1" s="1313"/>
      <c r="C1" s="1313"/>
      <c r="D1" s="1313"/>
      <c r="E1" s="1314"/>
      <c r="F1" s="1314"/>
      <c r="G1" s="1314"/>
      <c r="H1" s="1314"/>
      <c r="I1" s="1314"/>
      <c r="J1" s="1314"/>
      <c r="K1" s="1315"/>
    </row>
    <row r="2" spans="1:12" s="1316" customFormat="1" ht="33" customHeight="1">
      <c r="A2" s="757" t="s">
        <v>781</v>
      </c>
      <c r="B2" s="1313"/>
      <c r="C2" s="1313"/>
      <c r="D2" s="1313"/>
      <c r="E2" s="1314"/>
      <c r="F2" s="1314"/>
      <c r="G2" s="1314"/>
      <c r="H2" s="1314"/>
      <c r="I2" s="1314"/>
      <c r="J2" s="1314"/>
      <c r="K2" s="1315"/>
    </row>
    <row r="3" spans="1:12" s="1316" customFormat="1" ht="37.5" customHeight="1">
      <c r="A3" s="757" t="s">
        <v>782</v>
      </c>
      <c r="B3" s="1313"/>
      <c r="C3" s="1313"/>
      <c r="D3" s="1313"/>
      <c r="E3" s="1314"/>
      <c r="F3" s="1314"/>
      <c r="G3" s="1314"/>
      <c r="H3" s="1314"/>
      <c r="I3" s="1314"/>
      <c r="J3" s="1314"/>
      <c r="K3" s="1315"/>
    </row>
    <row r="4" spans="1:12" s="1316" customFormat="1" ht="60.75" customHeight="1">
      <c r="A4" s="757" t="s">
        <v>106</v>
      </c>
      <c r="B4" s="1313"/>
      <c r="C4" s="1313"/>
      <c r="D4" s="1313"/>
      <c r="E4" s="1314"/>
      <c r="F4" s="1314"/>
      <c r="G4" s="1314"/>
      <c r="H4" s="1314"/>
      <c r="I4" s="1314"/>
      <c r="J4" s="1314"/>
      <c r="K4" s="1315"/>
    </row>
    <row r="5" spans="1:12" s="1316" customFormat="1" ht="42" customHeight="1">
      <c r="A5" s="757" t="s">
        <v>437</v>
      </c>
      <c r="B5" s="1313"/>
      <c r="C5" s="1313"/>
      <c r="D5" s="1313"/>
      <c r="E5" s="1314"/>
      <c r="F5" s="1314"/>
      <c r="G5" s="1314"/>
      <c r="H5" s="1314"/>
      <c r="I5" s="1314"/>
      <c r="J5" s="1314"/>
      <c r="K5" s="1315"/>
    </row>
    <row r="6" spans="1:12" ht="24" customHeight="1">
      <c r="A6" s="1317"/>
      <c r="B6" s="1317"/>
      <c r="C6" s="1317"/>
      <c r="D6" s="1318"/>
      <c r="E6" s="1318"/>
      <c r="F6" s="1318"/>
      <c r="G6" s="1318"/>
      <c r="H6" s="1318"/>
      <c r="I6" s="1318"/>
      <c r="J6" s="1318"/>
      <c r="K6" s="1315"/>
    </row>
    <row r="7" spans="1:12" ht="69" customHeight="1">
      <c r="A7" s="1595" t="s">
        <v>791</v>
      </c>
      <c r="B7" s="1595"/>
      <c r="C7" s="1595"/>
      <c r="D7" s="1595"/>
      <c r="E7" s="1595"/>
      <c r="F7" s="1595"/>
      <c r="G7" s="1595"/>
      <c r="H7" s="1595"/>
      <c r="I7" s="1595"/>
      <c r="J7" s="1595"/>
      <c r="K7" s="1595"/>
    </row>
    <row r="8" spans="1:12" ht="24" customHeight="1">
      <c r="A8" s="1318"/>
      <c r="B8" s="1318"/>
      <c r="C8" s="1318"/>
      <c r="D8" s="1318"/>
      <c r="E8" s="1318"/>
      <c r="F8" s="1318"/>
      <c r="G8" s="1318"/>
      <c r="H8" s="1318"/>
      <c r="I8" s="1318"/>
      <c r="J8" s="1318"/>
      <c r="K8" s="1315"/>
    </row>
    <row r="9" spans="1:12" s="989" customFormat="1" ht="68.25" customHeight="1">
      <c r="A9" s="1336" t="s">
        <v>1</v>
      </c>
      <c r="B9" s="1336" t="s">
        <v>2</v>
      </c>
      <c r="C9" s="1522" t="s">
        <v>80</v>
      </c>
      <c r="D9" s="1522"/>
      <c r="E9" s="1522"/>
      <c r="F9" s="1336" t="s">
        <v>81</v>
      </c>
      <c r="G9" s="1336" t="s">
        <v>82</v>
      </c>
      <c r="H9" s="1336"/>
      <c r="I9" s="1336" t="s">
        <v>83</v>
      </c>
      <c r="J9" s="1336" t="s">
        <v>84</v>
      </c>
      <c r="K9" s="1336" t="s">
        <v>85</v>
      </c>
      <c r="L9" s="990"/>
    </row>
    <row r="10" spans="1:12" s="989" customFormat="1" ht="21">
      <c r="A10" s="1523" t="s">
        <v>86</v>
      </c>
      <c r="B10" s="1523"/>
      <c r="C10" s="1523"/>
      <c r="D10" s="1523"/>
      <c r="E10" s="1523"/>
      <c r="F10" s="1523"/>
      <c r="G10" s="1523"/>
      <c r="H10" s="1523"/>
      <c r="I10" s="1523"/>
      <c r="J10" s="1523"/>
      <c r="K10" s="1523"/>
    </row>
    <row r="11" spans="1:12" s="989" customFormat="1" ht="23.25" customHeight="1">
      <c r="A11" s="1524" t="s">
        <v>788</v>
      </c>
      <c r="B11" s="1524"/>
      <c r="C11" s="1524"/>
      <c r="D11" s="1524"/>
      <c r="E11" s="1524"/>
      <c r="F11" s="1524"/>
      <c r="G11" s="1524"/>
      <c r="H11" s="1524"/>
      <c r="I11" s="1524"/>
      <c r="J11" s="1524"/>
      <c r="K11" s="1524"/>
    </row>
    <row r="12" spans="1:12" s="989" customFormat="1" ht="34.5" customHeight="1">
      <c r="A12" s="1339" t="s">
        <v>31</v>
      </c>
      <c r="B12" s="1336">
        <v>4</v>
      </c>
      <c r="C12" s="1528" t="s">
        <v>787</v>
      </c>
      <c r="D12" s="1529"/>
      <c r="E12" s="1530"/>
      <c r="F12" s="1537" t="s">
        <v>849</v>
      </c>
      <c r="G12" s="764">
        <v>795400</v>
      </c>
      <c r="H12" s="202"/>
      <c r="I12" s="202">
        <v>41.5</v>
      </c>
      <c r="J12" s="764">
        <f t="shared" ref="J12:J13" si="0">G12+I12</f>
        <v>795441.5</v>
      </c>
      <c r="K12" s="1525" t="s">
        <v>846</v>
      </c>
    </row>
    <row r="13" spans="1:12" s="989" customFormat="1" ht="34.5" customHeight="1">
      <c r="A13" s="1339" t="s">
        <v>7</v>
      </c>
      <c r="B13" s="1336">
        <v>4</v>
      </c>
      <c r="C13" s="1534"/>
      <c r="D13" s="1535"/>
      <c r="E13" s="1536"/>
      <c r="F13" s="1539"/>
      <c r="G13" s="764">
        <v>59805.26</v>
      </c>
      <c r="H13" s="202"/>
      <c r="I13" s="202">
        <v>2.19</v>
      </c>
      <c r="J13" s="764">
        <f t="shared" si="0"/>
        <v>59807.45</v>
      </c>
      <c r="K13" s="1527"/>
    </row>
    <row r="14" spans="1:12" s="1320" customFormat="1" ht="21">
      <c r="A14" s="1514" t="s">
        <v>104</v>
      </c>
      <c r="B14" s="1515"/>
      <c r="C14" s="1515"/>
      <c r="D14" s="1515"/>
      <c r="E14" s="1515"/>
      <c r="F14" s="1516"/>
      <c r="G14" s="198">
        <f>SUM(G12:G13)</f>
        <v>855205.26</v>
      </c>
      <c r="H14" s="198">
        <f>SUM(H12:H13)</f>
        <v>0</v>
      </c>
      <c r="I14" s="198">
        <f>SUM(I12:I13)</f>
        <v>43.69</v>
      </c>
      <c r="J14" s="198">
        <f>SUM(J12:J13)</f>
        <v>855248.95</v>
      </c>
      <c r="K14" s="762"/>
    </row>
    <row r="15" spans="1:12" s="989" customFormat="1" ht="23.25" customHeight="1">
      <c r="A15" s="1524" t="s">
        <v>1127</v>
      </c>
      <c r="B15" s="1524"/>
      <c r="C15" s="1524"/>
      <c r="D15" s="1524"/>
      <c r="E15" s="1524"/>
      <c r="F15" s="1524"/>
      <c r="G15" s="1524"/>
      <c r="H15" s="1524"/>
      <c r="I15" s="1524"/>
      <c r="J15" s="1524"/>
      <c r="K15" s="1524"/>
    </row>
    <row r="16" spans="1:12" s="989" customFormat="1" ht="94.5" customHeight="1">
      <c r="A16" s="1339"/>
      <c r="B16" s="1339">
        <v>2</v>
      </c>
      <c r="C16" s="1550" t="s">
        <v>103</v>
      </c>
      <c r="D16" s="1550"/>
      <c r="E16" s="1550"/>
      <c r="F16" s="1339" t="s">
        <v>1126</v>
      </c>
      <c r="G16" s="173">
        <v>0</v>
      </c>
      <c r="H16" s="173"/>
      <c r="I16" s="173">
        <v>850000</v>
      </c>
      <c r="J16" s="173">
        <f>G16+I16</f>
        <v>850000</v>
      </c>
      <c r="K16" s="1341" t="s">
        <v>1167</v>
      </c>
    </row>
    <row r="17" spans="1:14" s="1320" customFormat="1" ht="21">
      <c r="A17" s="1335"/>
      <c r="B17" s="1335"/>
      <c r="C17" s="1337" t="s">
        <v>104</v>
      </c>
      <c r="D17" s="1335"/>
      <c r="E17" s="760"/>
      <c r="F17" s="761"/>
      <c r="G17" s="198">
        <f>SUM(G16:G16)</f>
        <v>0</v>
      </c>
      <c r="H17" s="198">
        <f>SUM(H16:H16)</f>
        <v>0</v>
      </c>
      <c r="I17" s="198">
        <f>SUM(I16:I16)</f>
        <v>850000</v>
      </c>
      <c r="J17" s="198">
        <f>SUM(J16:J16)</f>
        <v>850000</v>
      </c>
      <c r="K17" s="762"/>
    </row>
    <row r="18" spans="1:14" s="989" customFormat="1" ht="27.75" customHeight="1">
      <c r="A18" s="1523" t="s">
        <v>87</v>
      </c>
      <c r="B18" s="1523"/>
      <c r="C18" s="1523"/>
      <c r="D18" s="1523"/>
      <c r="E18" s="1523"/>
      <c r="F18" s="1523"/>
      <c r="G18" s="1523"/>
      <c r="H18" s="1523"/>
      <c r="I18" s="1523"/>
      <c r="J18" s="1523"/>
      <c r="K18" s="1523"/>
    </row>
    <row r="19" spans="1:14" s="989" customFormat="1" ht="65.25" customHeight="1">
      <c r="A19" s="1336" t="s">
        <v>1</v>
      </c>
      <c r="B19" s="1336" t="s">
        <v>2</v>
      </c>
      <c r="C19" s="1336" t="s">
        <v>3</v>
      </c>
      <c r="D19" s="1336" t="s">
        <v>4</v>
      </c>
      <c r="E19" s="1336" t="s">
        <v>5</v>
      </c>
      <c r="F19" s="1336" t="s">
        <v>6</v>
      </c>
      <c r="G19" s="1336" t="s">
        <v>82</v>
      </c>
      <c r="H19" s="1336"/>
      <c r="I19" s="1336" t="s">
        <v>83</v>
      </c>
      <c r="J19" s="1336" t="s">
        <v>84</v>
      </c>
      <c r="K19" s="1336" t="s">
        <v>85</v>
      </c>
    </row>
    <row r="20" spans="1:14" s="989" customFormat="1" ht="24" customHeight="1">
      <c r="A20" s="1565" t="s">
        <v>908</v>
      </c>
      <c r="B20" s="1566"/>
      <c r="C20" s="1566"/>
      <c r="D20" s="1566"/>
      <c r="E20" s="1566"/>
      <c r="F20" s="1566"/>
      <c r="G20" s="1566"/>
      <c r="H20" s="1566"/>
      <c r="I20" s="1566"/>
      <c r="J20" s="1566"/>
      <c r="K20" s="1567"/>
      <c r="L20" s="990"/>
      <c r="M20" s="990"/>
    </row>
    <row r="21" spans="1:14" s="989" customFormat="1" ht="54" customHeight="1">
      <c r="A21" s="1339" t="s">
        <v>7</v>
      </c>
      <c r="B21" s="1336">
        <v>4</v>
      </c>
      <c r="C21" s="1336" t="s">
        <v>69</v>
      </c>
      <c r="D21" s="1339">
        <v>111</v>
      </c>
      <c r="E21" s="1339">
        <v>211</v>
      </c>
      <c r="F21" s="146" t="s">
        <v>8</v>
      </c>
      <c r="G21" s="764">
        <v>30127705.329999998</v>
      </c>
      <c r="H21" s="202"/>
      <c r="I21" s="202">
        <v>1000000</v>
      </c>
      <c r="J21" s="764">
        <f>G21+I21</f>
        <v>31127705.329999998</v>
      </c>
      <c r="K21" s="1599" t="s">
        <v>1174</v>
      </c>
      <c r="L21" s="990"/>
      <c r="M21" s="990"/>
    </row>
    <row r="22" spans="1:14" s="989" customFormat="1" ht="60.75" customHeight="1">
      <c r="A22" s="1339" t="s">
        <v>7</v>
      </c>
      <c r="B22" s="1336">
        <v>4</v>
      </c>
      <c r="C22" s="1339" t="s">
        <v>71</v>
      </c>
      <c r="D22" s="1339">
        <v>244</v>
      </c>
      <c r="E22" s="1339">
        <v>223</v>
      </c>
      <c r="F22" s="146" t="s">
        <v>1173</v>
      </c>
      <c r="G22" s="764">
        <v>1044506.81</v>
      </c>
      <c r="H22" s="202"/>
      <c r="I22" s="202">
        <v>-500000</v>
      </c>
      <c r="J22" s="764">
        <f>G22+I22</f>
        <v>544506.81000000006</v>
      </c>
      <c r="K22" s="1600"/>
      <c r="L22" s="990"/>
      <c r="M22" s="990"/>
    </row>
    <row r="23" spans="1:14" s="989" customFormat="1" ht="60.75" customHeight="1">
      <c r="A23" s="1339" t="s">
        <v>7</v>
      </c>
      <c r="B23" s="1336">
        <v>4</v>
      </c>
      <c r="C23" s="1339" t="s">
        <v>71</v>
      </c>
      <c r="D23" s="1339">
        <v>244</v>
      </c>
      <c r="E23" s="1339">
        <v>224</v>
      </c>
      <c r="F23" s="146" t="s">
        <v>151</v>
      </c>
      <c r="G23" s="764">
        <v>12428476.800000001</v>
      </c>
      <c r="H23" s="202"/>
      <c r="I23" s="202">
        <v>-500000</v>
      </c>
      <c r="J23" s="764">
        <f>G23+I23</f>
        <v>11928476.800000001</v>
      </c>
      <c r="K23" s="1601"/>
      <c r="L23" s="990"/>
      <c r="M23" s="990"/>
    </row>
    <row r="24" spans="1:14" s="989" customFormat="1" ht="42.75" customHeight="1">
      <c r="A24" s="1339" t="s">
        <v>31</v>
      </c>
      <c r="B24" s="1336">
        <v>4</v>
      </c>
      <c r="C24" s="1339" t="s">
        <v>47</v>
      </c>
      <c r="D24" s="1339">
        <v>244</v>
      </c>
      <c r="E24" s="1339">
        <v>310</v>
      </c>
      <c r="F24" s="146" t="s">
        <v>532</v>
      </c>
      <c r="G24" s="764">
        <v>795400</v>
      </c>
      <c r="H24" s="202"/>
      <c r="I24" s="202">
        <v>41.5</v>
      </c>
      <c r="J24" s="764">
        <f t="shared" ref="J24:J31" si="1">G24+I24</f>
        <v>795441.5</v>
      </c>
      <c r="K24" s="1525" t="s">
        <v>1132</v>
      </c>
    </row>
    <row r="25" spans="1:14" s="989" customFormat="1" ht="42.75" customHeight="1">
      <c r="A25" s="1339" t="s">
        <v>7</v>
      </c>
      <c r="B25" s="1336">
        <v>4</v>
      </c>
      <c r="C25" s="1339" t="s">
        <v>47</v>
      </c>
      <c r="D25" s="1339">
        <v>244</v>
      </c>
      <c r="E25" s="1339">
        <v>310</v>
      </c>
      <c r="F25" s="146" t="s">
        <v>532</v>
      </c>
      <c r="G25" s="764">
        <v>59805.26</v>
      </c>
      <c r="H25" s="202"/>
      <c r="I25" s="202">
        <v>2.19</v>
      </c>
      <c r="J25" s="764">
        <f t="shared" si="1"/>
        <v>59807.45</v>
      </c>
      <c r="K25" s="1527"/>
    </row>
    <row r="26" spans="1:14" s="989" customFormat="1" ht="69.75" customHeight="1">
      <c r="A26" s="1339" t="s">
        <v>7</v>
      </c>
      <c r="B26" s="1336">
        <v>4</v>
      </c>
      <c r="C26" s="1339" t="s">
        <v>71</v>
      </c>
      <c r="D26" s="1339">
        <v>119</v>
      </c>
      <c r="E26" s="765">
        <v>213</v>
      </c>
      <c r="F26" s="146" t="s">
        <v>1171</v>
      </c>
      <c r="G26" s="173">
        <v>80866.679999999993</v>
      </c>
      <c r="H26" s="173"/>
      <c r="I26" s="173">
        <v>-61236.68</v>
      </c>
      <c r="J26" s="173">
        <f t="shared" si="1"/>
        <v>19630</v>
      </c>
      <c r="K26" s="1596" t="s">
        <v>1175</v>
      </c>
    </row>
    <row r="27" spans="1:14" s="989" customFormat="1" ht="114.75" customHeight="1">
      <c r="A27" s="1339" t="s">
        <v>7</v>
      </c>
      <c r="B27" s="1336">
        <v>4</v>
      </c>
      <c r="C27" s="1339" t="s">
        <v>71</v>
      </c>
      <c r="D27" s="1339">
        <v>119</v>
      </c>
      <c r="E27" s="765">
        <v>266</v>
      </c>
      <c r="F27" s="1338" t="s">
        <v>408</v>
      </c>
      <c r="G27" s="173">
        <v>0</v>
      </c>
      <c r="H27" s="173"/>
      <c r="I27" s="173">
        <v>61236.68</v>
      </c>
      <c r="J27" s="173">
        <f t="shared" si="1"/>
        <v>61236.68</v>
      </c>
      <c r="K27" s="1597"/>
    </row>
    <row r="28" spans="1:14" s="989" customFormat="1" ht="33.75" customHeight="1">
      <c r="A28" s="1339" t="s">
        <v>7</v>
      </c>
      <c r="B28" s="1336">
        <v>4</v>
      </c>
      <c r="C28" s="1339" t="s">
        <v>70</v>
      </c>
      <c r="D28" s="1339">
        <v>244</v>
      </c>
      <c r="E28" s="1339">
        <v>226</v>
      </c>
      <c r="F28" s="146" t="s">
        <v>307</v>
      </c>
      <c r="G28" s="764">
        <v>2100099.31</v>
      </c>
      <c r="H28" s="202"/>
      <c r="I28" s="202">
        <v>-96312.07</v>
      </c>
      <c r="J28" s="764">
        <f t="shared" si="1"/>
        <v>2003787.24</v>
      </c>
      <c r="K28" s="1525" t="s">
        <v>1176</v>
      </c>
    </row>
    <row r="29" spans="1:14" s="989" customFormat="1" ht="51.75" customHeight="1">
      <c r="A29" s="1339" t="s">
        <v>7</v>
      </c>
      <c r="B29" s="1336">
        <v>4</v>
      </c>
      <c r="C29" s="1339" t="s">
        <v>70</v>
      </c>
      <c r="D29" s="1339">
        <v>244</v>
      </c>
      <c r="E29" s="1339">
        <v>346</v>
      </c>
      <c r="F29" s="146" t="s">
        <v>306</v>
      </c>
      <c r="G29" s="764">
        <v>359298.91</v>
      </c>
      <c r="H29" s="202"/>
      <c r="I29" s="202">
        <v>96312.07</v>
      </c>
      <c r="J29" s="764">
        <f t="shared" si="1"/>
        <v>455610.98</v>
      </c>
      <c r="K29" s="1527"/>
    </row>
    <row r="30" spans="1:14" s="989" customFormat="1" ht="89.25" customHeight="1">
      <c r="A30" s="1339" t="s">
        <v>7</v>
      </c>
      <c r="B30" s="1336">
        <v>4</v>
      </c>
      <c r="C30" s="1339" t="s">
        <v>71</v>
      </c>
      <c r="D30" s="1339">
        <v>119</v>
      </c>
      <c r="E30" s="1339">
        <v>266</v>
      </c>
      <c r="F30" s="146" t="s">
        <v>514</v>
      </c>
      <c r="G30" s="764">
        <v>250000</v>
      </c>
      <c r="H30" s="202"/>
      <c r="I30" s="202">
        <v>-100000</v>
      </c>
      <c r="J30" s="764">
        <f t="shared" si="1"/>
        <v>150000</v>
      </c>
      <c r="K30" s="1525" t="s">
        <v>1170</v>
      </c>
    </row>
    <row r="31" spans="1:14" s="989" customFormat="1" ht="116.25" customHeight="1">
      <c r="A31" s="1339" t="s">
        <v>7</v>
      </c>
      <c r="B31" s="1336">
        <v>4</v>
      </c>
      <c r="C31" s="1339" t="s">
        <v>71</v>
      </c>
      <c r="D31" s="1339">
        <v>111</v>
      </c>
      <c r="E31" s="1339">
        <v>266</v>
      </c>
      <c r="F31" s="146" t="s">
        <v>537</v>
      </c>
      <c r="G31" s="764">
        <v>208770.48</v>
      </c>
      <c r="H31" s="202"/>
      <c r="I31" s="202">
        <v>100000</v>
      </c>
      <c r="J31" s="764">
        <f t="shared" si="1"/>
        <v>308770.48</v>
      </c>
      <c r="K31" s="1527"/>
    </row>
    <row r="32" spans="1:14" s="1320" customFormat="1" ht="23.25">
      <c r="A32" s="1511" t="s">
        <v>17</v>
      </c>
      <c r="B32" s="1512"/>
      <c r="C32" s="1512"/>
      <c r="D32" s="1512"/>
      <c r="E32" s="1512"/>
      <c r="F32" s="1513"/>
      <c r="G32" s="198">
        <f>SUM(G24:G31)</f>
        <v>3854240.64</v>
      </c>
      <c r="H32" s="198">
        <f>SUM(H24:H31)</f>
        <v>0</v>
      </c>
      <c r="I32" s="198">
        <f>SUM(I24:I31)</f>
        <v>43.69</v>
      </c>
      <c r="J32" s="198">
        <f>SUM(J24:J31)</f>
        <v>3854284.33</v>
      </c>
      <c r="K32" s="1343"/>
      <c r="N32" s="989"/>
    </row>
    <row r="33" spans="1:14" s="989" customFormat="1" ht="24" customHeight="1">
      <c r="A33" s="1565" t="s">
        <v>1156</v>
      </c>
      <c r="B33" s="1566"/>
      <c r="C33" s="1566"/>
      <c r="D33" s="1566"/>
      <c r="E33" s="1566"/>
      <c r="F33" s="1566"/>
      <c r="G33" s="1566"/>
      <c r="H33" s="1566"/>
      <c r="I33" s="1566"/>
      <c r="J33" s="1566"/>
      <c r="K33" s="1567"/>
      <c r="L33" s="990"/>
      <c r="M33" s="990"/>
    </row>
    <row r="34" spans="1:14" s="1298" customFormat="1" ht="35.25" customHeight="1">
      <c r="A34" s="1336" t="s">
        <v>23</v>
      </c>
      <c r="B34" s="1336">
        <v>2</v>
      </c>
      <c r="C34" s="1336" t="s">
        <v>69</v>
      </c>
      <c r="D34" s="1336">
        <v>111</v>
      </c>
      <c r="E34" s="161">
        <v>211</v>
      </c>
      <c r="F34" s="1340" t="s">
        <v>8</v>
      </c>
      <c r="G34" s="173">
        <v>5063110.87</v>
      </c>
      <c r="H34" s="1336"/>
      <c r="I34" s="173">
        <f>136538.34</f>
        <v>136538.34</v>
      </c>
      <c r="J34" s="173">
        <f>G34+I34</f>
        <v>5199649.21</v>
      </c>
      <c r="K34" s="1558" t="s">
        <v>1168</v>
      </c>
    </row>
    <row r="35" spans="1:14" s="989" customFormat="1" ht="47.25" customHeight="1">
      <c r="A35" s="1336" t="s">
        <v>23</v>
      </c>
      <c r="B35" s="1336">
        <v>2</v>
      </c>
      <c r="C35" s="1336" t="s">
        <v>71</v>
      </c>
      <c r="D35" s="1336">
        <v>112</v>
      </c>
      <c r="E35" s="161">
        <v>212</v>
      </c>
      <c r="F35" s="1340" t="s">
        <v>785</v>
      </c>
      <c r="G35" s="173">
        <v>13800</v>
      </c>
      <c r="H35" s="1336"/>
      <c r="I35" s="173">
        <v>12000</v>
      </c>
      <c r="J35" s="173">
        <f>G35+I35</f>
        <v>25800</v>
      </c>
      <c r="K35" s="1558"/>
    </row>
    <row r="36" spans="1:14" s="989" customFormat="1" ht="45" customHeight="1">
      <c r="A36" s="1339" t="s">
        <v>23</v>
      </c>
      <c r="B36" s="1336">
        <v>2</v>
      </c>
      <c r="C36" s="1339" t="s">
        <v>69</v>
      </c>
      <c r="D36" s="1339">
        <v>119</v>
      </c>
      <c r="E36" s="765">
        <v>213</v>
      </c>
      <c r="F36" s="146" t="s">
        <v>10</v>
      </c>
      <c r="G36" s="173">
        <v>1488234.59</v>
      </c>
      <c r="H36" s="173"/>
      <c r="I36" s="173">
        <f>41272.88-1391.86</f>
        <v>39881.019999999997</v>
      </c>
      <c r="J36" s="173">
        <f t="shared" ref="J36" si="2">G36+I36</f>
        <v>1528115.61</v>
      </c>
      <c r="K36" s="1558"/>
      <c r="M36" s="1321"/>
      <c r="N36" s="1321"/>
    </row>
    <row r="37" spans="1:14" s="989" customFormat="1" ht="45.75" customHeight="1">
      <c r="A37" s="1336" t="s">
        <v>23</v>
      </c>
      <c r="B37" s="1336">
        <v>2</v>
      </c>
      <c r="C37" s="1336" t="s">
        <v>71</v>
      </c>
      <c r="D37" s="1336">
        <v>112</v>
      </c>
      <c r="E37" s="161">
        <v>226</v>
      </c>
      <c r="F37" s="1340" t="s">
        <v>1157</v>
      </c>
      <c r="G37" s="173">
        <v>39692</v>
      </c>
      <c r="H37" s="173"/>
      <c r="I37" s="173">
        <v>101376</v>
      </c>
      <c r="J37" s="173">
        <f>G37+I37</f>
        <v>141068</v>
      </c>
      <c r="K37" s="1558"/>
      <c r="M37" s="1321"/>
      <c r="N37" s="1321"/>
    </row>
    <row r="38" spans="1:14" s="989" customFormat="1" ht="75.75" customHeight="1">
      <c r="A38" s="1336" t="s">
        <v>23</v>
      </c>
      <c r="B38" s="1336">
        <v>2</v>
      </c>
      <c r="C38" s="1336" t="s">
        <v>71</v>
      </c>
      <c r="D38" s="1336">
        <v>244</v>
      </c>
      <c r="E38" s="161">
        <v>223</v>
      </c>
      <c r="F38" s="1340" t="s">
        <v>13</v>
      </c>
      <c r="G38" s="173">
        <v>191189.05</v>
      </c>
      <c r="H38" s="173"/>
      <c r="I38" s="173">
        <v>-22751.360000000001</v>
      </c>
      <c r="J38" s="173">
        <f>G38+I38</f>
        <v>168437.69</v>
      </c>
      <c r="K38" s="1342" t="s">
        <v>1178</v>
      </c>
      <c r="M38" s="1321"/>
      <c r="N38" s="1321"/>
    </row>
    <row r="39" spans="1:14" s="989" customFormat="1" ht="149.25" customHeight="1">
      <c r="A39" s="1336" t="s">
        <v>23</v>
      </c>
      <c r="B39" s="1336">
        <v>2</v>
      </c>
      <c r="C39" s="1336" t="s">
        <v>71</v>
      </c>
      <c r="D39" s="1336">
        <v>853</v>
      </c>
      <c r="E39" s="161">
        <v>295</v>
      </c>
      <c r="F39" s="1340" t="s">
        <v>1177</v>
      </c>
      <c r="G39" s="173">
        <v>619648.48</v>
      </c>
      <c r="H39" s="173"/>
      <c r="I39" s="173">
        <f>560204.64+22751.36</f>
        <v>582956</v>
      </c>
      <c r="J39" s="173">
        <f>G39+I39</f>
        <v>1202604.48</v>
      </c>
      <c r="K39" s="1342" t="s">
        <v>1179</v>
      </c>
      <c r="M39" s="1321"/>
      <c r="N39" s="1321"/>
    </row>
    <row r="40" spans="1:14" s="1320" customFormat="1" ht="21">
      <c r="A40" s="1511" t="s">
        <v>17</v>
      </c>
      <c r="B40" s="1512"/>
      <c r="C40" s="1512"/>
      <c r="D40" s="1512"/>
      <c r="E40" s="1512"/>
      <c r="F40" s="1513"/>
      <c r="G40" s="198">
        <f>SUM(G34:G39)</f>
        <v>7415674.9900000002</v>
      </c>
      <c r="H40" s="198">
        <f>SUM(H34:H39)</f>
        <v>0</v>
      </c>
      <c r="I40" s="198">
        <f>SUM(I34:I39)</f>
        <v>850000</v>
      </c>
      <c r="J40" s="198">
        <f>SUM(J34:J39)</f>
        <v>8265674.9900000002</v>
      </c>
      <c r="K40" s="766"/>
      <c r="N40" s="989"/>
    </row>
    <row r="41" spans="1:14" s="1320" customFormat="1" ht="21">
      <c r="A41" s="1511" t="s">
        <v>24</v>
      </c>
      <c r="B41" s="1512"/>
      <c r="C41" s="1512"/>
      <c r="D41" s="1512"/>
      <c r="E41" s="1512"/>
      <c r="F41" s="1513"/>
      <c r="G41" s="198">
        <f>G32+G40</f>
        <v>11269915.630000001</v>
      </c>
      <c r="H41" s="198">
        <f>H32+H40</f>
        <v>0</v>
      </c>
      <c r="I41" s="198">
        <f>I32+I40</f>
        <v>850043.69</v>
      </c>
      <c r="J41" s="198">
        <f>J32+J40</f>
        <v>12119959.32</v>
      </c>
      <c r="K41" s="766"/>
    </row>
    <row r="42" spans="1:14" ht="29.25" customHeight="1">
      <c r="A42" s="1318"/>
      <c r="B42" s="1318"/>
      <c r="C42" s="1318"/>
      <c r="D42" s="1318"/>
      <c r="E42" s="1322"/>
      <c r="F42" s="1322"/>
      <c r="G42" s="1322"/>
      <c r="H42" s="1318"/>
      <c r="I42" s="1318"/>
      <c r="J42" s="1318"/>
      <c r="K42" s="1323"/>
    </row>
    <row r="43" spans="1:14" s="1324" customFormat="1" ht="40.5" customHeight="1">
      <c r="A43" s="1324" t="s">
        <v>1133</v>
      </c>
      <c r="F43" s="1325"/>
      <c r="J43" s="1324" t="s">
        <v>32</v>
      </c>
      <c r="K43" s="1326"/>
      <c r="L43" s="1327"/>
      <c r="M43" s="1327"/>
    </row>
    <row r="44" spans="1:14" ht="20.25">
      <c r="A44" s="1318"/>
      <c r="B44" s="1318"/>
      <c r="C44" s="1318"/>
      <c r="D44" s="1318"/>
      <c r="E44" s="1318"/>
      <c r="F44" s="1318"/>
      <c r="G44" s="1318"/>
      <c r="H44" s="1318"/>
      <c r="I44" s="1318"/>
      <c r="J44" s="1318"/>
      <c r="K44" s="1323"/>
    </row>
    <row r="45" spans="1:14" ht="24" hidden="1" customHeight="1">
      <c r="A45" s="1318"/>
      <c r="B45" s="1318"/>
      <c r="C45" s="1318"/>
      <c r="D45" s="1318"/>
      <c r="E45" s="1318"/>
      <c r="F45" s="1318"/>
      <c r="G45" s="1318"/>
      <c r="H45" s="1318"/>
      <c r="I45" s="1318"/>
      <c r="J45" s="1318"/>
      <c r="K45" s="1323"/>
    </row>
    <row r="46" spans="1:14" ht="25.5" hidden="1" customHeight="1">
      <c r="A46" s="1318"/>
      <c r="B46" s="1318"/>
      <c r="C46" s="1318"/>
      <c r="D46" s="1318"/>
      <c r="E46" s="1318"/>
      <c r="F46" s="1318"/>
      <c r="G46" s="1318"/>
      <c r="H46" s="1318"/>
      <c r="I46" s="1318"/>
      <c r="J46" s="1318"/>
      <c r="K46" s="1323"/>
    </row>
    <row r="47" spans="1:14" ht="24" hidden="1" customHeight="1">
      <c r="A47" s="1318"/>
      <c r="B47" s="1318"/>
      <c r="C47" s="1318"/>
      <c r="D47" s="1318"/>
      <c r="E47" s="1318"/>
      <c r="F47" s="1318"/>
      <c r="G47" s="1318"/>
      <c r="H47" s="1318"/>
      <c r="I47" s="1318"/>
      <c r="J47" s="1318"/>
      <c r="K47" s="1323"/>
    </row>
    <row r="48" spans="1:14" ht="49.5" customHeight="1">
      <c r="A48" s="1318"/>
      <c r="B48" s="1318"/>
      <c r="C48" s="1318"/>
      <c r="D48" s="1318"/>
      <c r="E48" s="1318"/>
      <c r="F48" s="1318"/>
      <c r="G48" s="1318"/>
      <c r="H48" s="1318"/>
      <c r="I48" s="1318"/>
      <c r="J48" s="1318"/>
      <c r="K48" s="1323"/>
    </row>
    <row r="49" spans="1:13" s="989" customFormat="1" ht="21">
      <c r="A49" s="1323" t="s">
        <v>90</v>
      </c>
      <c r="B49" s="1323"/>
      <c r="C49" s="1323"/>
      <c r="D49" s="1323"/>
      <c r="E49" s="1323"/>
      <c r="F49" s="1323"/>
      <c r="G49" s="1323"/>
      <c r="H49" s="1323"/>
      <c r="I49" s="1323"/>
      <c r="J49" s="1323"/>
      <c r="K49" s="1323"/>
      <c r="L49" s="1319"/>
      <c r="M49" s="1319"/>
    </row>
    <row r="50" spans="1:13" s="989" customFormat="1" ht="21">
      <c r="A50" s="1323" t="s">
        <v>1134</v>
      </c>
      <c r="B50" s="1323"/>
      <c r="C50" s="1323"/>
      <c r="D50" s="1323"/>
      <c r="E50" s="1323"/>
      <c r="F50" s="1323"/>
      <c r="G50" s="1323"/>
      <c r="H50" s="1323"/>
      <c r="I50" s="1323"/>
      <c r="J50" s="1323"/>
      <c r="K50" s="1323"/>
      <c r="L50" s="1319"/>
      <c r="M50" s="1319"/>
    </row>
    <row r="51" spans="1:13" s="989" customFormat="1" ht="21">
      <c r="A51" s="1323" t="s">
        <v>27</v>
      </c>
      <c r="B51" s="1323"/>
      <c r="C51" s="1323"/>
      <c r="D51" s="1323"/>
      <c r="E51" s="1323"/>
      <c r="F51" s="1323"/>
      <c r="G51" s="1323"/>
      <c r="H51" s="1323"/>
      <c r="I51" s="1323"/>
      <c r="J51" s="1323"/>
      <c r="K51" s="1323"/>
      <c r="L51" s="1319"/>
      <c r="M51" s="1319"/>
    </row>
    <row r="52" spans="1:13" ht="24" customHeight="1">
      <c r="K52" s="1323"/>
    </row>
    <row r="53" spans="1:13" ht="24" customHeight="1">
      <c r="K53" s="1323"/>
    </row>
    <row r="54" spans="1:13" ht="24" customHeight="1">
      <c r="K54" s="1323"/>
    </row>
    <row r="55" spans="1:13" ht="24" customHeight="1">
      <c r="K55" s="1323"/>
    </row>
  </sheetData>
  <mergeCells count="22">
    <mergeCell ref="K34:K37"/>
    <mergeCell ref="A40:F40"/>
    <mergeCell ref="A41:F41"/>
    <mergeCell ref="K24:K25"/>
    <mergeCell ref="K26:K27"/>
    <mergeCell ref="K28:K29"/>
    <mergeCell ref="K30:K31"/>
    <mergeCell ref="A32:F32"/>
    <mergeCell ref="A33:K33"/>
    <mergeCell ref="K21:K23"/>
    <mergeCell ref="A7:K7"/>
    <mergeCell ref="C9:E9"/>
    <mergeCell ref="A10:K10"/>
    <mergeCell ref="A11:K11"/>
    <mergeCell ref="C12:E13"/>
    <mergeCell ref="F12:F13"/>
    <mergeCell ref="K12:K13"/>
    <mergeCell ref="A14:F14"/>
    <mergeCell ref="A15:K15"/>
    <mergeCell ref="C16:E16"/>
    <mergeCell ref="A18:K18"/>
    <mergeCell ref="A20:K20"/>
  </mergeCells>
  <printOptions horizontalCentered="1"/>
  <pageMargins left="0.39370078740157483" right="0.39370078740157483" top="0.39370078740157483" bottom="0.19685039370078741" header="0.31496062992125984" footer="0.31496062992125984"/>
  <pageSetup paperSize="9" scale="38" fitToHeight="0" orientation="landscape" horizontalDpi="4294967295" verticalDpi="4294967295" r:id="rId1"/>
  <rowBreaks count="1" manualBreakCount="1">
    <brk id="29" max="10"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tabSelected="1" topLeftCell="A39" workbookViewId="0">
      <selection activeCell="F50" sqref="F50"/>
    </sheetView>
  </sheetViews>
  <sheetFormatPr defaultColWidth="25.5703125" defaultRowHeight="28.5"/>
  <cols>
    <col min="1" max="1" width="26.5703125" style="1434" customWidth="1"/>
    <col min="2" max="2" width="18.85546875" style="1434" customWidth="1"/>
    <col min="3" max="3" width="42.5703125" style="1434" customWidth="1"/>
    <col min="4" max="5" width="25.5703125" style="1434"/>
    <col min="6" max="6" width="56.85546875" style="1434" customWidth="1"/>
    <col min="7" max="7" width="27.5703125" style="1434" customWidth="1"/>
    <col min="8" max="8" width="29.42578125" style="1434" customWidth="1"/>
    <col min="9" max="9" width="33.42578125" style="1434" customWidth="1"/>
    <col min="10" max="10" width="95" style="1434" customWidth="1"/>
    <col min="11" max="16384" width="25.5703125" style="1434"/>
  </cols>
  <sheetData>
    <row r="1" spans="1:15" ht="104.25" customHeight="1">
      <c r="A1" s="1623" t="s">
        <v>1231</v>
      </c>
      <c r="B1" s="1623"/>
      <c r="C1" s="1623"/>
      <c r="D1" s="1623"/>
      <c r="E1" s="1623"/>
      <c r="F1" s="1623"/>
      <c r="G1" s="1623"/>
      <c r="H1" s="1623"/>
      <c r="I1" s="1623"/>
      <c r="J1" s="1623"/>
      <c r="K1" s="1466"/>
      <c r="L1" s="1466"/>
    </row>
    <row r="2" spans="1:15">
      <c r="A2" s="1623"/>
      <c r="B2" s="1623"/>
      <c r="C2" s="1623"/>
      <c r="D2" s="1623"/>
      <c r="E2" s="1623"/>
      <c r="F2" s="1623"/>
      <c r="G2" s="1623"/>
      <c r="H2" s="1623"/>
      <c r="I2" s="1623"/>
      <c r="J2" s="1623"/>
      <c r="K2" s="1466"/>
      <c r="L2" s="1466"/>
    </row>
    <row r="3" spans="1:15">
      <c r="A3" s="1624" t="s">
        <v>1232</v>
      </c>
      <c r="B3" s="1624"/>
      <c r="C3" s="1624"/>
      <c r="D3" s="1624"/>
      <c r="E3" s="1624"/>
      <c r="F3" s="1624"/>
      <c r="G3" s="1624"/>
      <c r="H3" s="1624"/>
      <c r="I3" s="1624"/>
      <c r="J3" s="1624"/>
      <c r="K3" s="1466"/>
      <c r="L3" s="1466"/>
    </row>
    <row r="4" spans="1:15" ht="38.25" customHeight="1">
      <c r="A4" s="1625" t="s">
        <v>86</v>
      </c>
      <c r="B4" s="1625"/>
      <c r="C4" s="1625"/>
      <c r="D4" s="1625"/>
      <c r="E4" s="1625"/>
      <c r="F4" s="1625"/>
      <c r="G4" s="1625"/>
      <c r="H4" s="1625"/>
      <c r="I4" s="1625"/>
      <c r="J4" s="1625"/>
      <c r="K4" s="1466"/>
      <c r="L4" s="1466"/>
    </row>
    <row r="5" spans="1:15" ht="81">
      <c r="A5" s="1465" t="s">
        <v>1</v>
      </c>
      <c r="B5" s="1465" t="s">
        <v>2</v>
      </c>
      <c r="C5" s="1622" t="s">
        <v>1216</v>
      </c>
      <c r="D5" s="1622"/>
      <c r="E5" s="1465" t="s">
        <v>80</v>
      </c>
      <c r="F5" s="1465" t="s">
        <v>81</v>
      </c>
      <c r="G5" s="1465" t="s">
        <v>82</v>
      </c>
      <c r="H5" s="1465" t="s">
        <v>1242</v>
      </c>
      <c r="I5" s="1465" t="s">
        <v>1236</v>
      </c>
      <c r="J5" s="1465" t="s">
        <v>85</v>
      </c>
      <c r="K5" s="1466"/>
      <c r="L5" s="1466"/>
    </row>
    <row r="6" spans="1:15" ht="28.5" customHeight="1">
      <c r="A6" s="1622" t="s">
        <v>1237</v>
      </c>
      <c r="B6" s="1622"/>
      <c r="C6" s="1622"/>
      <c r="D6" s="1622"/>
      <c r="E6" s="1622"/>
      <c r="F6" s="1622"/>
      <c r="G6" s="1622"/>
      <c r="H6" s="1622"/>
      <c r="I6" s="1622"/>
      <c r="J6" s="1622"/>
      <c r="K6" s="1466"/>
      <c r="L6" s="1466"/>
    </row>
    <row r="7" spans="1:15" ht="149.25" customHeight="1">
      <c r="A7" s="1435" t="s">
        <v>1239</v>
      </c>
      <c r="B7" s="1436">
        <v>5</v>
      </c>
      <c r="C7" s="1620" t="s">
        <v>1217</v>
      </c>
      <c r="D7" s="1621"/>
      <c r="E7" s="1468" t="s">
        <v>1233</v>
      </c>
      <c r="F7" s="1468" t="s">
        <v>1221</v>
      </c>
      <c r="G7" s="1437">
        <v>1500000</v>
      </c>
      <c r="H7" s="1437">
        <v>350000</v>
      </c>
      <c r="I7" s="1437">
        <f>G7+H7</f>
        <v>1850000</v>
      </c>
      <c r="J7" s="1469" t="s">
        <v>1243</v>
      </c>
      <c r="K7" s="1466"/>
      <c r="L7" s="1466"/>
    </row>
    <row r="8" spans="1:15" ht="28.5" customHeight="1">
      <c r="A8" s="1615" t="s">
        <v>104</v>
      </c>
      <c r="B8" s="1615"/>
      <c r="C8" s="1615"/>
      <c r="D8" s="1615"/>
      <c r="E8" s="1615"/>
      <c r="F8" s="1615"/>
      <c r="G8" s="1439">
        <f>SUM(G7:G7)</f>
        <v>1500000</v>
      </c>
      <c r="H8" s="1439">
        <f>SUM(H7:H7)</f>
        <v>350000</v>
      </c>
      <c r="I8" s="1439">
        <f>SUM(I7:I7)</f>
        <v>1850000</v>
      </c>
      <c r="J8" s="1465"/>
      <c r="K8" s="1466"/>
      <c r="L8" s="1466"/>
    </row>
    <row r="9" spans="1:15" ht="28.5" customHeight="1">
      <c r="A9" s="1622" t="s">
        <v>1215</v>
      </c>
      <c r="B9" s="1622"/>
      <c r="C9" s="1622"/>
      <c r="D9" s="1622"/>
      <c r="E9" s="1622"/>
      <c r="F9" s="1622"/>
      <c r="G9" s="1622"/>
      <c r="H9" s="1622"/>
      <c r="I9" s="1622"/>
      <c r="J9" s="1622"/>
      <c r="K9" s="1466"/>
      <c r="L9" s="1466"/>
    </row>
    <row r="10" spans="1:15" ht="187.5" customHeight="1">
      <c r="A10" s="1436" t="s">
        <v>1224</v>
      </c>
      <c r="B10" s="1436">
        <v>2</v>
      </c>
      <c r="C10" s="1614" t="s">
        <v>1217</v>
      </c>
      <c r="D10" s="1614"/>
      <c r="E10" s="1468" t="s">
        <v>1233</v>
      </c>
      <c r="F10" s="1436" t="s">
        <v>1221</v>
      </c>
      <c r="G10" s="1440">
        <v>3609431.4</v>
      </c>
      <c r="H10" s="1440">
        <v>435000</v>
      </c>
      <c r="I10" s="1440">
        <f>G10+H10</f>
        <v>4044431.4</v>
      </c>
      <c r="J10" s="1457" t="s">
        <v>1256</v>
      </c>
      <c r="K10" s="1466"/>
      <c r="L10" s="1466"/>
    </row>
    <row r="11" spans="1:15" ht="150" customHeight="1">
      <c r="A11" s="1436" t="s">
        <v>1224</v>
      </c>
      <c r="B11" s="1436">
        <v>2</v>
      </c>
      <c r="C11" s="1614" t="s">
        <v>1217</v>
      </c>
      <c r="D11" s="1614"/>
      <c r="E11" s="1474" t="s">
        <v>1225</v>
      </c>
      <c r="F11" s="1474" t="s">
        <v>1226</v>
      </c>
      <c r="G11" s="1440">
        <v>18304450</v>
      </c>
      <c r="H11" s="1440">
        <v>240000</v>
      </c>
      <c r="I11" s="1440">
        <f>G11+H11</f>
        <v>18544450</v>
      </c>
      <c r="J11" s="1457" t="s">
        <v>1257</v>
      </c>
      <c r="K11" s="1475"/>
      <c r="L11" s="1475"/>
    </row>
    <row r="12" spans="1:15" ht="32.25" customHeight="1">
      <c r="A12" s="1615" t="s">
        <v>104</v>
      </c>
      <c r="B12" s="1615"/>
      <c r="C12" s="1615"/>
      <c r="D12" s="1615"/>
      <c r="E12" s="1615"/>
      <c r="F12" s="1615"/>
      <c r="G12" s="1439">
        <f>SUM(G10:G11)</f>
        <v>21913881.399999999</v>
      </c>
      <c r="H12" s="1439">
        <f t="shared" ref="H12:I12" si="0">SUM(H10:H11)</f>
        <v>675000</v>
      </c>
      <c r="I12" s="1439">
        <f t="shared" si="0"/>
        <v>22588881.399999999</v>
      </c>
      <c r="J12" s="1465"/>
      <c r="K12" s="1466"/>
      <c r="L12" s="1466"/>
    </row>
    <row r="13" spans="1:15" ht="35.25" customHeight="1">
      <c r="A13" s="1616" t="s">
        <v>87</v>
      </c>
      <c r="B13" s="1616"/>
      <c r="C13" s="1616"/>
      <c r="D13" s="1616"/>
      <c r="E13" s="1616"/>
      <c r="F13" s="1616"/>
      <c r="G13" s="1616"/>
      <c r="H13" s="1616"/>
      <c r="I13" s="1616"/>
      <c r="J13" s="1616"/>
      <c r="K13" s="1466"/>
      <c r="L13" s="1466"/>
    </row>
    <row r="14" spans="1:15" s="1443" customFormat="1" ht="45" customHeight="1">
      <c r="A14" s="1617" t="s">
        <v>1235</v>
      </c>
      <c r="B14" s="1618"/>
      <c r="C14" s="1618"/>
      <c r="D14" s="1618"/>
      <c r="E14" s="1618"/>
      <c r="F14" s="1618"/>
      <c r="G14" s="1618"/>
      <c r="H14" s="1618"/>
      <c r="I14" s="1618"/>
      <c r="J14" s="1619"/>
      <c r="K14" s="1442"/>
      <c r="L14" s="1442"/>
      <c r="O14" s="1434"/>
    </row>
    <row r="15" spans="1:15" s="1443" customFormat="1" ht="85.5" customHeight="1">
      <c r="A15" s="1465" t="s">
        <v>1</v>
      </c>
      <c r="B15" s="1465" t="s">
        <v>1227</v>
      </c>
      <c r="C15" s="1465" t="s">
        <v>3</v>
      </c>
      <c r="D15" s="1465" t="s">
        <v>4</v>
      </c>
      <c r="E15" s="1465" t="s">
        <v>5</v>
      </c>
      <c r="F15" s="1465" t="s">
        <v>6</v>
      </c>
      <c r="G15" s="1465" t="s">
        <v>82</v>
      </c>
      <c r="H15" s="1465" t="s">
        <v>1242</v>
      </c>
      <c r="I15" s="1465" t="s">
        <v>1236</v>
      </c>
      <c r="J15" s="1465" t="s">
        <v>85</v>
      </c>
      <c r="K15" s="1442"/>
      <c r="L15" s="1442"/>
      <c r="O15" s="1434"/>
    </row>
    <row r="16" spans="1:15" s="1443" customFormat="1" ht="100.5" customHeight="1">
      <c r="A16" s="1435" t="s">
        <v>1239</v>
      </c>
      <c r="B16" s="1436">
        <v>5</v>
      </c>
      <c r="C16" s="1444" t="s">
        <v>136</v>
      </c>
      <c r="D16" s="1436">
        <v>244</v>
      </c>
      <c r="E16" s="1445">
        <v>310</v>
      </c>
      <c r="F16" s="1468" t="s">
        <v>20</v>
      </c>
      <c r="G16" s="1437">
        <v>0</v>
      </c>
      <c r="H16" s="1440">
        <v>350000</v>
      </c>
      <c r="I16" s="1437">
        <f t="shared" ref="I16:I23" si="1">G16+H16</f>
        <v>350000</v>
      </c>
      <c r="J16" s="1441" t="s">
        <v>1244</v>
      </c>
      <c r="K16" s="1442"/>
      <c r="L16" s="1442"/>
      <c r="O16" s="1434"/>
    </row>
    <row r="17" spans="1:15" s="1443" customFormat="1" ht="35.25" customHeight="1">
      <c r="A17" s="1467"/>
      <c r="B17" s="1467"/>
      <c r="C17" s="1467"/>
      <c r="D17" s="1467"/>
      <c r="E17" s="1467"/>
      <c r="F17" s="1467" t="s">
        <v>17</v>
      </c>
      <c r="G17" s="1439">
        <f>SUM(G16:G16)</f>
        <v>0</v>
      </c>
      <c r="H17" s="1439">
        <f>SUM(H16:H16)</f>
        <v>350000</v>
      </c>
      <c r="I17" s="1439">
        <f>SUM(I16:I16)</f>
        <v>350000</v>
      </c>
      <c r="J17" s="1448"/>
      <c r="K17" s="1442"/>
      <c r="L17" s="1442"/>
      <c r="O17" s="1434"/>
    </row>
    <row r="18" spans="1:15" s="1443" customFormat="1" ht="35.25" customHeight="1">
      <c r="A18" s="1617" t="s">
        <v>1238</v>
      </c>
      <c r="B18" s="1618"/>
      <c r="C18" s="1618"/>
      <c r="D18" s="1618"/>
      <c r="E18" s="1618"/>
      <c r="F18" s="1618"/>
      <c r="G18" s="1618"/>
      <c r="H18" s="1618"/>
      <c r="I18" s="1618"/>
      <c r="J18" s="1619"/>
      <c r="K18" s="1442"/>
      <c r="L18" s="1442"/>
      <c r="O18" s="1434"/>
    </row>
    <row r="19" spans="1:15" s="1443" customFormat="1" ht="159" customHeight="1">
      <c r="A19" s="1447" t="s">
        <v>1220</v>
      </c>
      <c r="B19" s="1444">
        <v>4</v>
      </c>
      <c r="C19" s="1444" t="s">
        <v>1222</v>
      </c>
      <c r="D19" s="1444">
        <v>244</v>
      </c>
      <c r="E19" s="1446">
        <v>226</v>
      </c>
      <c r="F19" s="1462" t="s">
        <v>15</v>
      </c>
      <c r="G19" s="1440">
        <v>749989.88</v>
      </c>
      <c r="H19" s="1440">
        <v>-270</v>
      </c>
      <c r="I19" s="1440">
        <f t="shared" ref="I19" si="2">G19+H19</f>
        <v>749719.88</v>
      </c>
      <c r="J19" s="1470" t="s">
        <v>1245</v>
      </c>
      <c r="K19" s="1442"/>
      <c r="L19" s="1442"/>
      <c r="O19" s="1434"/>
    </row>
    <row r="20" spans="1:15" s="1443" customFormat="1" ht="174.75" customHeight="1">
      <c r="A20" s="1447" t="s">
        <v>1220</v>
      </c>
      <c r="B20" s="1444">
        <v>4</v>
      </c>
      <c r="C20" s="1444" t="s">
        <v>1222</v>
      </c>
      <c r="D20" s="1444">
        <v>111</v>
      </c>
      <c r="E20" s="1446">
        <v>266</v>
      </c>
      <c r="F20" s="1462" t="s">
        <v>124</v>
      </c>
      <c r="G20" s="1440">
        <v>250000</v>
      </c>
      <c r="H20" s="1440">
        <v>-45000</v>
      </c>
      <c r="I20" s="1440">
        <f t="shared" si="1"/>
        <v>205000</v>
      </c>
      <c r="J20" s="1470" t="s">
        <v>1246</v>
      </c>
      <c r="K20" s="1442"/>
      <c r="L20" s="1442"/>
      <c r="O20" s="1434"/>
    </row>
    <row r="21" spans="1:15" s="1443" customFormat="1" ht="114.75" customHeight="1">
      <c r="A21" s="1447" t="s">
        <v>1220</v>
      </c>
      <c r="B21" s="1444">
        <v>4</v>
      </c>
      <c r="C21" s="1444" t="s">
        <v>1222</v>
      </c>
      <c r="D21" s="1444">
        <v>244</v>
      </c>
      <c r="E21" s="1446">
        <v>222</v>
      </c>
      <c r="F21" s="1462" t="s">
        <v>12</v>
      </c>
      <c r="G21" s="1440">
        <v>0</v>
      </c>
      <c r="H21" s="1440">
        <v>45270</v>
      </c>
      <c r="I21" s="1440">
        <f t="shared" si="1"/>
        <v>45270</v>
      </c>
      <c r="J21" s="1470" t="s">
        <v>1248</v>
      </c>
      <c r="K21" s="1442"/>
      <c r="L21" s="1442"/>
      <c r="O21" s="1434"/>
    </row>
    <row r="22" spans="1:15" s="1443" customFormat="1" ht="154.5" customHeight="1">
      <c r="A22" s="1447" t="s">
        <v>1219</v>
      </c>
      <c r="B22" s="1444">
        <v>4</v>
      </c>
      <c r="C22" s="1444" t="s">
        <v>1223</v>
      </c>
      <c r="D22" s="1444">
        <v>244</v>
      </c>
      <c r="E22" s="1446">
        <v>340</v>
      </c>
      <c r="F22" s="1462" t="s">
        <v>16</v>
      </c>
      <c r="G22" s="1440">
        <v>244048.75</v>
      </c>
      <c r="H22" s="1440">
        <v>-36664.75</v>
      </c>
      <c r="I22" s="1440">
        <f t="shared" si="1"/>
        <v>207384</v>
      </c>
      <c r="J22" s="1470" t="s">
        <v>1247</v>
      </c>
      <c r="K22" s="1442"/>
      <c r="L22" s="1442"/>
      <c r="O22" s="1434"/>
    </row>
    <row r="23" spans="1:15" s="1443" customFormat="1" ht="103.5" customHeight="1">
      <c r="A23" s="1447" t="s">
        <v>1219</v>
      </c>
      <c r="B23" s="1444">
        <v>4</v>
      </c>
      <c r="C23" s="1444" t="s">
        <v>1223</v>
      </c>
      <c r="D23" s="1444">
        <v>244</v>
      </c>
      <c r="E23" s="1446">
        <v>222</v>
      </c>
      <c r="F23" s="1462" t="s">
        <v>12</v>
      </c>
      <c r="G23" s="1440">
        <v>444751.25</v>
      </c>
      <c r="H23" s="1440">
        <v>36664.75</v>
      </c>
      <c r="I23" s="1440">
        <f t="shared" si="1"/>
        <v>481416</v>
      </c>
      <c r="J23" s="1470" t="s">
        <v>1248</v>
      </c>
      <c r="K23" s="1442"/>
      <c r="L23" s="1442"/>
      <c r="O23" s="1434"/>
    </row>
    <row r="24" spans="1:15" s="1443" customFormat="1" ht="24.75" customHeight="1">
      <c r="A24" s="1467"/>
      <c r="B24" s="1467"/>
      <c r="C24" s="1467"/>
      <c r="D24" s="1467"/>
      <c r="E24" s="1467"/>
      <c r="F24" s="1467" t="s">
        <v>17</v>
      </c>
      <c r="G24" s="1439">
        <f>SUM(G19:G23)</f>
        <v>1688789.88</v>
      </c>
      <c r="H24" s="1439">
        <f t="shared" ref="H24:I24" si="3">SUM(H19:H23)</f>
        <v>0</v>
      </c>
      <c r="I24" s="1439">
        <f t="shared" si="3"/>
        <v>1688789.88</v>
      </c>
      <c r="J24" s="1448"/>
      <c r="K24" s="1442"/>
      <c r="L24" s="1442"/>
      <c r="O24" s="1434"/>
    </row>
    <row r="25" spans="1:15" s="1443" customFormat="1" ht="30.75" customHeight="1">
      <c r="A25" s="1617" t="s">
        <v>1228</v>
      </c>
      <c r="B25" s="1618"/>
      <c r="C25" s="1618"/>
      <c r="D25" s="1618"/>
      <c r="E25" s="1618"/>
      <c r="F25" s="1618"/>
      <c r="G25" s="1618"/>
      <c r="H25" s="1618"/>
      <c r="I25" s="1618"/>
      <c r="J25" s="1619"/>
      <c r="K25" s="1450" t="e">
        <f>#REF!+#REF!+#REF!+#REF!+#REF!+#REF!+#REF!+#REF!+#REF!+#REF!+#REF!</f>
        <v>#REF!</v>
      </c>
      <c r="L25" s="1442"/>
      <c r="O25" s="1434"/>
    </row>
    <row r="26" spans="1:15" s="1443" customFormat="1" ht="30.75" customHeight="1">
      <c r="A26" s="1471"/>
      <c r="B26" s="1472"/>
      <c r="C26" s="1472"/>
      <c r="D26" s="1472"/>
      <c r="E26" s="1472"/>
      <c r="F26" s="1472"/>
      <c r="G26" s="1472"/>
      <c r="H26" s="1472"/>
      <c r="I26" s="1472"/>
      <c r="J26" s="1473"/>
      <c r="K26" s="1450"/>
      <c r="L26" s="1442"/>
      <c r="O26" s="1434"/>
    </row>
    <row r="27" spans="1:15" s="1443" customFormat="1" ht="234" customHeight="1">
      <c r="A27" s="1449" t="s">
        <v>1229</v>
      </c>
      <c r="B27" s="1436">
        <v>2</v>
      </c>
      <c r="C27" s="1444" t="s">
        <v>1222</v>
      </c>
      <c r="D27" s="1463">
        <v>112</v>
      </c>
      <c r="E27" s="1436">
        <v>214</v>
      </c>
      <c r="F27" s="1436" t="s">
        <v>1218</v>
      </c>
      <c r="G27" s="1437">
        <v>340000</v>
      </c>
      <c r="H27" s="1437">
        <v>-45964.74</v>
      </c>
      <c r="I27" s="1437">
        <f t="shared" ref="I27:I34" si="4">G27+H27</f>
        <v>294035.26</v>
      </c>
      <c r="J27" s="1464" t="s">
        <v>1250</v>
      </c>
      <c r="K27" s="1450"/>
      <c r="L27" s="1442"/>
      <c r="O27" s="1434"/>
    </row>
    <row r="28" spans="1:15" s="1443" customFormat="1" ht="180.75" customHeight="1">
      <c r="A28" s="1449" t="s">
        <v>1229</v>
      </c>
      <c r="B28" s="1436">
        <v>2</v>
      </c>
      <c r="C28" s="1444" t="s">
        <v>1222</v>
      </c>
      <c r="D28" s="1436">
        <v>244</v>
      </c>
      <c r="E28" s="1445">
        <v>310</v>
      </c>
      <c r="F28" s="1468" t="s">
        <v>20</v>
      </c>
      <c r="G28" s="1440">
        <v>556500.75</v>
      </c>
      <c r="H28" s="1437">
        <v>-141725</v>
      </c>
      <c r="I28" s="1437">
        <f t="shared" si="4"/>
        <v>414775.75</v>
      </c>
      <c r="J28" s="1438" t="s">
        <v>1251</v>
      </c>
      <c r="K28" s="1450"/>
      <c r="L28" s="1442"/>
      <c r="O28" s="1434"/>
    </row>
    <row r="29" spans="1:15" s="1443" customFormat="1" ht="89.25" customHeight="1">
      <c r="A29" s="1449" t="s">
        <v>1229</v>
      </c>
      <c r="B29" s="1436">
        <v>2</v>
      </c>
      <c r="C29" s="1444" t="s">
        <v>1222</v>
      </c>
      <c r="D29" s="1463">
        <v>112</v>
      </c>
      <c r="E29" s="1436">
        <v>226</v>
      </c>
      <c r="F29" s="1468" t="s">
        <v>15</v>
      </c>
      <c r="G29" s="1440">
        <v>462194.61</v>
      </c>
      <c r="H29" s="1437">
        <v>120000</v>
      </c>
      <c r="I29" s="1437">
        <f t="shared" si="4"/>
        <v>582194.61</v>
      </c>
      <c r="J29" s="1470" t="s">
        <v>1249</v>
      </c>
      <c r="K29" s="1450"/>
      <c r="L29" s="1442"/>
      <c r="O29" s="1434"/>
    </row>
    <row r="30" spans="1:15" s="1443" customFormat="1" ht="85.5" customHeight="1">
      <c r="A30" s="1449" t="s">
        <v>1229</v>
      </c>
      <c r="B30" s="1436">
        <v>2</v>
      </c>
      <c r="C30" s="1444" t="s">
        <v>1222</v>
      </c>
      <c r="D30" s="1436">
        <v>244</v>
      </c>
      <c r="E30" s="1445">
        <v>340</v>
      </c>
      <c r="F30" s="1468" t="s">
        <v>16</v>
      </c>
      <c r="G30" s="1440">
        <v>760097.6</v>
      </c>
      <c r="H30" s="1437">
        <v>30000</v>
      </c>
      <c r="I30" s="1437">
        <f t="shared" si="4"/>
        <v>790097.6</v>
      </c>
      <c r="J30" s="1470" t="s">
        <v>1252</v>
      </c>
      <c r="K30" s="1450"/>
      <c r="L30" s="1442"/>
      <c r="O30" s="1434"/>
    </row>
    <row r="31" spans="1:15" s="1443" customFormat="1" ht="274.5" customHeight="1">
      <c r="A31" s="1449" t="s">
        <v>1229</v>
      </c>
      <c r="B31" s="1436">
        <v>2</v>
      </c>
      <c r="C31" s="1444" t="s">
        <v>1222</v>
      </c>
      <c r="D31" s="1436">
        <v>244</v>
      </c>
      <c r="E31" s="1436">
        <v>226</v>
      </c>
      <c r="F31" s="1468" t="s">
        <v>15</v>
      </c>
      <c r="G31" s="1440">
        <v>2769801.08</v>
      </c>
      <c r="H31" s="1437">
        <f>37689.74+240000</f>
        <v>277689.74</v>
      </c>
      <c r="I31" s="1437">
        <f t="shared" si="4"/>
        <v>3047490.82</v>
      </c>
      <c r="J31" s="1470" t="s">
        <v>1258</v>
      </c>
      <c r="K31" s="1450"/>
      <c r="L31" s="1442"/>
      <c r="O31" s="1434"/>
    </row>
    <row r="32" spans="1:15" s="1443" customFormat="1" ht="168.75" customHeight="1">
      <c r="A32" s="1449" t="s">
        <v>1229</v>
      </c>
      <c r="B32" s="1436">
        <v>2</v>
      </c>
      <c r="C32" s="1444" t="s">
        <v>1234</v>
      </c>
      <c r="D32" s="1436">
        <v>244</v>
      </c>
      <c r="E32" s="1436">
        <v>226</v>
      </c>
      <c r="F32" s="1468" t="s">
        <v>15</v>
      </c>
      <c r="G32" s="1440">
        <v>99500</v>
      </c>
      <c r="H32" s="1437">
        <v>358732.5</v>
      </c>
      <c r="I32" s="1437">
        <f t="shared" si="4"/>
        <v>458232.5</v>
      </c>
      <c r="J32" s="1470" t="s">
        <v>1253</v>
      </c>
      <c r="K32" s="1450"/>
      <c r="L32" s="1442"/>
      <c r="O32" s="1434"/>
    </row>
    <row r="33" spans="1:15" s="1443" customFormat="1" ht="128.25" customHeight="1">
      <c r="A33" s="1449" t="s">
        <v>1229</v>
      </c>
      <c r="B33" s="1436">
        <v>2</v>
      </c>
      <c r="C33" s="1444" t="s">
        <v>1234</v>
      </c>
      <c r="D33" s="1436">
        <v>244</v>
      </c>
      <c r="E33" s="1436">
        <v>310</v>
      </c>
      <c r="F33" s="1468" t="s">
        <v>20</v>
      </c>
      <c r="G33" s="1440">
        <v>815953.34</v>
      </c>
      <c r="H33" s="1437">
        <v>16102.5</v>
      </c>
      <c r="I33" s="1437">
        <f t="shared" si="4"/>
        <v>832055.84</v>
      </c>
      <c r="J33" s="1470" t="s">
        <v>1254</v>
      </c>
      <c r="K33" s="1450"/>
      <c r="L33" s="1442"/>
      <c r="O33" s="1434"/>
    </row>
    <row r="34" spans="1:15" s="1443" customFormat="1" ht="128.25" customHeight="1">
      <c r="A34" s="1449" t="s">
        <v>1229</v>
      </c>
      <c r="B34" s="1436">
        <v>2</v>
      </c>
      <c r="C34" s="1444" t="s">
        <v>1234</v>
      </c>
      <c r="D34" s="1436">
        <v>244</v>
      </c>
      <c r="E34" s="1436">
        <v>340</v>
      </c>
      <c r="F34" s="1468" t="s">
        <v>16</v>
      </c>
      <c r="G34" s="1440">
        <v>184546.66</v>
      </c>
      <c r="H34" s="1437">
        <v>60165</v>
      </c>
      <c r="I34" s="1437">
        <f t="shared" si="4"/>
        <v>244711.66</v>
      </c>
      <c r="J34" s="1470" t="s">
        <v>1255</v>
      </c>
      <c r="K34" s="1450"/>
      <c r="L34" s="1442"/>
      <c r="O34" s="1434"/>
    </row>
    <row r="35" spans="1:15" s="1443" customFormat="1" ht="26.25" customHeight="1">
      <c r="A35" s="1467"/>
      <c r="B35" s="1467"/>
      <c r="C35" s="1467"/>
      <c r="D35" s="1467"/>
      <c r="E35" s="1467"/>
      <c r="F35" s="1467" t="s">
        <v>17</v>
      </c>
      <c r="G35" s="1439">
        <f>SUM(G27:G34)</f>
        <v>5988594.04</v>
      </c>
      <c r="H35" s="1439">
        <f t="shared" ref="H35:I35" si="5">SUM(H27:H34)</f>
        <v>675000</v>
      </c>
      <c r="I35" s="1439">
        <f t="shared" si="5"/>
        <v>6663594.04</v>
      </c>
      <c r="J35" s="1448"/>
      <c r="K35" s="1450"/>
      <c r="L35" s="1442"/>
      <c r="O35" s="1434"/>
    </row>
    <row r="36" spans="1:15" s="1443" customFormat="1" ht="26.25" customHeight="1">
      <c r="A36" s="1458"/>
      <c r="B36" s="1458"/>
      <c r="C36" s="1458"/>
      <c r="D36" s="1458"/>
      <c r="E36" s="1458"/>
      <c r="F36" s="1458"/>
      <c r="G36" s="1442"/>
      <c r="H36" s="1442"/>
      <c r="I36" s="1442"/>
      <c r="J36" s="1459"/>
      <c r="K36" s="1450"/>
      <c r="L36" s="1442"/>
      <c r="O36" s="1434"/>
    </row>
    <row r="37" spans="1:15" s="1443" customFormat="1" ht="26.25" customHeight="1">
      <c r="A37" s="1458"/>
      <c r="B37" s="1458"/>
      <c r="C37" s="1458"/>
      <c r="D37" s="1458"/>
      <c r="E37" s="1458"/>
      <c r="F37" s="1458"/>
      <c r="G37" s="1442"/>
      <c r="H37" s="1442"/>
      <c r="I37" s="1442"/>
      <c r="J37" s="1459"/>
      <c r="K37" s="1450"/>
      <c r="L37" s="1442"/>
      <c r="O37" s="1434"/>
    </row>
    <row r="38" spans="1:15" s="1443" customFormat="1" ht="26.25" customHeight="1">
      <c r="A38" s="1458"/>
      <c r="B38" s="1458"/>
      <c r="C38" s="1458"/>
      <c r="D38" s="1458"/>
      <c r="E38" s="1458"/>
      <c r="F38" s="1458"/>
      <c r="G38" s="1442"/>
      <c r="H38" s="1442"/>
      <c r="I38" s="1442"/>
      <c r="J38" s="1459"/>
      <c r="K38" s="1450"/>
      <c r="L38" s="1442"/>
      <c r="O38" s="1434"/>
    </row>
    <row r="39" spans="1:15" s="1443" customFormat="1" ht="26.25" customHeight="1">
      <c r="A39" s="1458"/>
      <c r="B39" s="1458"/>
      <c r="C39" s="1458"/>
      <c r="D39" s="1458"/>
      <c r="E39" s="1458"/>
      <c r="F39" s="1458"/>
      <c r="G39" s="1442"/>
      <c r="H39" s="1442"/>
      <c r="I39" s="1442"/>
      <c r="J39" s="1459"/>
      <c r="K39" s="1450"/>
      <c r="L39" s="1442"/>
      <c r="O39" s="1434"/>
    </row>
    <row r="40" spans="1:15" s="1443" customFormat="1" ht="26.25" customHeight="1">
      <c r="A40" s="1458"/>
      <c r="B40" s="1458"/>
      <c r="C40" s="1458"/>
      <c r="D40" s="1458"/>
      <c r="E40" s="1458"/>
      <c r="F40" s="1458"/>
      <c r="G40" s="1442"/>
      <c r="H40" s="1442"/>
      <c r="I40" s="1442"/>
      <c r="J40" s="1459"/>
      <c r="K40" s="1450"/>
      <c r="L40" s="1442"/>
      <c r="O40" s="1434"/>
    </row>
    <row r="41" spans="1:15" s="1443" customFormat="1" ht="26.25" customHeight="1">
      <c r="A41" s="1458"/>
      <c r="B41" s="1458"/>
      <c r="C41" s="1458"/>
      <c r="D41" s="1458"/>
      <c r="E41" s="1458"/>
      <c r="F41" s="1458"/>
      <c r="G41" s="1442"/>
      <c r="H41" s="1442"/>
      <c r="I41" s="1442"/>
      <c r="J41" s="1459"/>
      <c r="K41" s="1450"/>
      <c r="L41" s="1442"/>
      <c r="O41" s="1434"/>
    </row>
    <row r="42" spans="1:15" s="1443" customFormat="1" ht="26.25" customHeight="1">
      <c r="A42" s="1458"/>
      <c r="B42" s="1458"/>
      <c r="C42" s="1458"/>
      <c r="D42" s="1458"/>
      <c r="E42" s="1458"/>
      <c r="F42" s="1458"/>
      <c r="G42" s="1442"/>
      <c r="H42" s="1442"/>
      <c r="I42" s="1442"/>
      <c r="J42" s="1459"/>
      <c r="K42" s="1450"/>
      <c r="L42" s="1442"/>
      <c r="O42" s="1434"/>
    </row>
    <row r="43" spans="1:15" s="1443" customFormat="1" ht="26.25" customHeight="1">
      <c r="A43" s="1458"/>
      <c r="B43" s="1458"/>
      <c r="C43" s="1458"/>
      <c r="D43" s="1458"/>
      <c r="E43" s="1458"/>
      <c r="F43" s="1458"/>
      <c r="G43" s="1442"/>
      <c r="H43" s="1442"/>
      <c r="I43" s="1442"/>
      <c r="J43" s="1459"/>
      <c r="K43" s="1450"/>
      <c r="L43" s="1442"/>
      <c r="O43" s="1434"/>
    </row>
    <row r="44" spans="1:15">
      <c r="A44" s="1458"/>
      <c r="B44" s="1458"/>
      <c r="C44" s="1458"/>
      <c r="D44" s="1458"/>
      <c r="E44" s="1458"/>
      <c r="F44" s="1458"/>
      <c r="G44" s="1442"/>
      <c r="H44" s="1442"/>
      <c r="I44" s="1442"/>
      <c r="J44" s="1459"/>
      <c r="K44" s="1451"/>
      <c r="L44" s="1451"/>
    </row>
    <row r="45" spans="1:15">
      <c r="A45" s="1451"/>
      <c r="B45" s="1451"/>
      <c r="C45" s="1451"/>
      <c r="D45" s="1451"/>
      <c r="E45" s="1452"/>
      <c r="F45" s="1452"/>
      <c r="G45" s="1452"/>
      <c r="H45" s="1451"/>
      <c r="I45" s="1451"/>
      <c r="J45" s="1451"/>
      <c r="K45" s="1451"/>
      <c r="L45" s="1451"/>
    </row>
    <row r="46" spans="1:15">
      <c r="A46" s="1453" t="s">
        <v>88</v>
      </c>
      <c r="B46" s="1453"/>
      <c r="C46" s="1453"/>
      <c r="D46" s="1453"/>
      <c r="E46" s="1453"/>
      <c r="F46" s="1454"/>
      <c r="G46" s="1453"/>
      <c r="H46" s="1453"/>
      <c r="I46" s="1453" t="s">
        <v>89</v>
      </c>
      <c r="J46" s="1453"/>
      <c r="K46" s="1451"/>
      <c r="L46" s="1451"/>
    </row>
    <row r="47" spans="1:15" s="1453" customFormat="1">
      <c r="A47" s="1451"/>
      <c r="B47" s="1451"/>
      <c r="C47" s="1451"/>
      <c r="D47" s="1451"/>
      <c r="E47" s="1451"/>
      <c r="F47" s="1451"/>
      <c r="G47" s="1451"/>
      <c r="H47" s="1451"/>
      <c r="I47" s="1451"/>
      <c r="J47" s="1452"/>
      <c r="M47" s="1455"/>
      <c r="N47" s="1455"/>
    </row>
    <row r="48" spans="1:15">
      <c r="A48" s="1323" t="s">
        <v>90</v>
      </c>
      <c r="B48" s="1323"/>
      <c r="C48" s="1323"/>
      <c r="D48" s="1451"/>
      <c r="E48" s="1451"/>
      <c r="F48" s="1451"/>
      <c r="G48" s="1451"/>
      <c r="H48" s="1451"/>
      <c r="I48" s="1451"/>
      <c r="J48" s="1451"/>
      <c r="K48" s="1452"/>
      <c r="L48" s="1452"/>
    </row>
    <row r="49" spans="1:12">
      <c r="A49" s="1323" t="s">
        <v>1240</v>
      </c>
      <c r="B49" s="1323"/>
      <c r="C49" s="1323"/>
      <c r="D49" s="1451"/>
      <c r="E49" s="1451"/>
      <c r="F49" s="1451"/>
      <c r="G49" s="1451"/>
      <c r="H49" s="1451"/>
      <c r="I49" s="1451"/>
      <c r="J49" s="1451"/>
      <c r="K49" s="1451"/>
      <c r="L49" s="1451"/>
    </row>
    <row r="50" spans="1:12">
      <c r="A50" s="1323" t="s">
        <v>1241</v>
      </c>
      <c r="B50" s="1323"/>
      <c r="C50" s="1323"/>
      <c r="D50" s="1451"/>
      <c r="E50" s="1451"/>
      <c r="F50" s="1451"/>
      <c r="G50" s="1451"/>
      <c r="H50" s="1451"/>
      <c r="I50" s="1451"/>
      <c r="J50" s="1451"/>
      <c r="K50" s="1451"/>
      <c r="L50" s="1451"/>
    </row>
    <row r="51" spans="1:12">
      <c r="A51" s="1323" t="s">
        <v>1230</v>
      </c>
      <c r="B51" s="1323"/>
      <c r="C51" s="1323"/>
      <c r="D51" s="1451"/>
      <c r="E51" s="1451"/>
      <c r="F51" s="1451"/>
      <c r="G51" s="1451"/>
      <c r="H51" s="1451"/>
      <c r="I51" s="1451"/>
      <c r="J51" s="1451"/>
      <c r="K51" s="1451"/>
      <c r="L51" s="1451"/>
    </row>
    <row r="52" spans="1:12">
      <c r="H52" s="1456"/>
      <c r="J52" s="1451"/>
      <c r="K52" s="1451"/>
      <c r="L52" s="1451"/>
    </row>
    <row r="53" spans="1:12">
      <c r="J53" s="1451"/>
      <c r="K53" s="1451"/>
      <c r="L53" s="1451"/>
    </row>
    <row r="54" spans="1:12">
      <c r="K54" s="1451"/>
      <c r="L54" s="1451"/>
    </row>
    <row r="55" spans="1:12">
      <c r="F55" s="1460"/>
      <c r="G55" s="1460"/>
      <c r="H55" s="1461"/>
    </row>
    <row r="56" spans="1:12">
      <c r="F56" s="1460"/>
      <c r="G56" s="1460"/>
      <c r="H56" s="1461"/>
    </row>
    <row r="57" spans="1:12">
      <c r="F57" s="1460"/>
      <c r="G57" s="1460"/>
      <c r="H57" s="1461"/>
      <c r="I57" s="1456"/>
    </row>
    <row r="58" spans="1:12">
      <c r="H58" s="1461"/>
    </row>
  </sheetData>
  <mergeCells count="16">
    <mergeCell ref="A14:J14"/>
    <mergeCell ref="A18:J18"/>
    <mergeCell ref="A25:J25"/>
    <mergeCell ref="C7:D7"/>
    <mergeCell ref="A8:F8"/>
    <mergeCell ref="A9:J9"/>
    <mergeCell ref="C10:D10"/>
    <mergeCell ref="A12:F12"/>
    <mergeCell ref="A13:J13"/>
    <mergeCell ref="A6:J6"/>
    <mergeCell ref="C11:D11"/>
    <mergeCell ref="A1:J1"/>
    <mergeCell ref="A2:J2"/>
    <mergeCell ref="A3:J3"/>
    <mergeCell ref="A4:J4"/>
    <mergeCell ref="C5:D5"/>
  </mergeCells>
  <pageMargins left="0.7" right="0.7" top="0.75" bottom="0.75" header="0.3" footer="0.3"/>
  <pageSetup paperSize="9" scale="3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60</vt:i4>
      </vt:variant>
    </vt:vector>
  </HeadingPairs>
  <TitlesOfParts>
    <vt:vector size="94" baseType="lpstr">
      <vt:lpstr>показатели от 10.06.2019    (3</vt:lpstr>
      <vt:lpstr>показатели  01.01.2020</vt:lpstr>
      <vt:lpstr>показатели  01.01.2020 (2)</vt:lpstr>
      <vt:lpstr>показатели  31.12.2019</vt:lpstr>
      <vt:lpstr>показатели 25.02.2020</vt:lpstr>
      <vt:lpstr>показатели 30.04.2020</vt:lpstr>
      <vt:lpstr>показатели 08.06.2020</vt:lpstr>
      <vt:lpstr>2021-2023</vt:lpstr>
      <vt:lpstr>2021-2023 (2)</vt:lpstr>
      <vt:lpstr>2021-2023 (3)</vt:lpstr>
      <vt:lpstr>добавятся в 2021</vt:lpstr>
      <vt:lpstr>2021-2023 (до 15.02)</vt:lpstr>
      <vt:lpstr>2021-2023 (к 25.02.21)</vt:lpstr>
      <vt:lpstr>пояснительная 25.02.2021</vt:lpstr>
      <vt:lpstr>2021-2023 (утв с 25.02)</vt:lpstr>
      <vt:lpstr>2021-2023 (утв с 10.06)</vt:lpstr>
      <vt:lpstr>2021-2023 (утв с 17.09 до Мероп</vt:lpstr>
      <vt:lpstr>пояснительная 10.06.2021 ФедСуб</vt:lpstr>
      <vt:lpstr>пояснительная 02.06.2021</vt:lpstr>
      <vt:lpstr>пояснительная 16.04.2021</vt:lpstr>
      <vt:lpstr>пояснительная 12.01.21</vt:lpstr>
      <vt:lpstr>доп пояснит 12.01.21</vt:lpstr>
      <vt:lpstr>Лист1 (2)</vt:lpstr>
      <vt:lpstr>Лист1</vt:lpstr>
      <vt:lpstr>отправили для наблюдательного</vt:lpstr>
      <vt:lpstr>пояснительная 10.08.2021 Депут</vt:lpstr>
      <vt:lpstr>2021-2023 (утв с 17.09послМероп</vt:lpstr>
      <vt:lpstr>пояснительная 15.09.21 Деп Кукл</vt:lpstr>
      <vt:lpstr>пояснительная 15.09.21 850т.р</vt:lpstr>
      <vt:lpstr>пояснительная 14.10.2021</vt:lpstr>
      <vt:lpstr>пояснительная 22.10.2021</vt:lpstr>
      <vt:lpstr>пояснительная .2021</vt:lpstr>
      <vt:lpstr>пояснительная 14.10.2021 (2)</vt:lpstr>
      <vt:lpstr>12.Поясн.записка на 12.10.2026</vt:lpstr>
      <vt:lpstr>'2021-2023'!Print_Area</vt:lpstr>
      <vt:lpstr>'2021-2023 (2)'!Print_Area</vt:lpstr>
      <vt:lpstr>'2021-2023 (3)'!Print_Area</vt:lpstr>
      <vt:lpstr>'2021-2023 (до 15.02)'!Print_Area</vt:lpstr>
      <vt:lpstr>'2021-2023 (к 25.02.21)'!Print_Area</vt:lpstr>
      <vt:lpstr>'2021-2023 (утв с 10.06)'!Print_Area</vt:lpstr>
      <vt:lpstr>'2021-2023 (утв с 17.09 до Мероп'!Print_Area</vt:lpstr>
      <vt:lpstr>'2021-2023 (утв с 17.09послМероп'!Print_Area</vt:lpstr>
      <vt:lpstr>'2021-2023 (утв с 25.02)'!Print_Area</vt:lpstr>
      <vt:lpstr>'доп пояснит 12.01.21'!Print_Area</vt:lpstr>
      <vt:lpstr>'Лист1 (2)'!Print_Area</vt:lpstr>
      <vt:lpstr>'отправили для наблюдательного'!Print_Area</vt:lpstr>
      <vt:lpstr>'показатели  01.01.2020'!Print_Area</vt:lpstr>
      <vt:lpstr>'показатели  01.01.2020 (2)'!Print_Area</vt:lpstr>
      <vt:lpstr>'показатели  31.12.2019'!Print_Area</vt:lpstr>
      <vt:lpstr>'показатели 08.06.2020'!Print_Area</vt:lpstr>
      <vt:lpstr>'показатели 25.02.2020'!Print_Area</vt:lpstr>
      <vt:lpstr>'показатели 30.04.2020'!Print_Area</vt:lpstr>
      <vt:lpstr>'показатели от 10.06.2019    (3'!Print_Area</vt:lpstr>
      <vt:lpstr>'пояснительная .2021'!Print_Area</vt:lpstr>
      <vt:lpstr>'пояснительная 02.06.2021'!Print_Area</vt:lpstr>
      <vt:lpstr>'пояснительная 10.06.2021 ФедСуб'!Print_Area</vt:lpstr>
      <vt:lpstr>'пояснительная 10.08.2021 Депут'!Print_Area</vt:lpstr>
      <vt:lpstr>'пояснительная 12.01.21'!Print_Area</vt:lpstr>
      <vt:lpstr>'пояснительная 14.10.2021'!Print_Area</vt:lpstr>
      <vt:lpstr>'пояснительная 14.10.2021 (2)'!Print_Area</vt:lpstr>
      <vt:lpstr>'пояснительная 15.09.21 850т.р'!Print_Area</vt:lpstr>
      <vt:lpstr>'пояснительная 15.09.21 Деп Кукл'!Print_Area</vt:lpstr>
      <vt:lpstr>'пояснительная 16.04.2021'!Print_Area</vt:lpstr>
      <vt:lpstr>'пояснительная 22.10.2021'!Print_Area</vt:lpstr>
      <vt:lpstr>'пояснительная 25.02.2021'!Print_Area</vt:lpstr>
      <vt:lpstr>'2021-2023'!Print_Titles</vt:lpstr>
      <vt:lpstr>'2021-2023 (2)'!Print_Titles</vt:lpstr>
      <vt:lpstr>'2021-2023 (3)'!Print_Titles</vt:lpstr>
      <vt:lpstr>'2021-2023 (до 15.02)'!Print_Titles</vt:lpstr>
      <vt:lpstr>'2021-2023 (к 25.02.21)'!Print_Titles</vt:lpstr>
      <vt:lpstr>'2021-2023 (утв с 10.06)'!Print_Titles</vt:lpstr>
      <vt:lpstr>'2021-2023 (утв с 17.09 до Мероп'!Print_Titles</vt:lpstr>
      <vt:lpstr>'2021-2023 (утв с 17.09послМероп'!Print_Titles</vt:lpstr>
      <vt:lpstr>'2021-2023 (утв с 25.02)'!Print_Titles</vt:lpstr>
      <vt:lpstr>'доп пояснит 12.01.21'!Print_Titles</vt:lpstr>
      <vt:lpstr>'Лист1 (2)'!Print_Titles</vt:lpstr>
      <vt:lpstr>'отправили для наблюдательного'!Print_Titles</vt:lpstr>
      <vt:lpstr>'показатели  01.01.2020'!Print_Titles</vt:lpstr>
      <vt:lpstr>'показатели  01.01.2020 (2)'!Print_Titles</vt:lpstr>
      <vt:lpstr>'показатели  31.12.2019'!Print_Titles</vt:lpstr>
      <vt:lpstr>'показатели 08.06.2020'!Print_Titles</vt:lpstr>
      <vt:lpstr>'показатели 25.02.2020'!Print_Titles</vt:lpstr>
      <vt:lpstr>'показатели 30.04.2020'!Print_Titles</vt:lpstr>
      <vt:lpstr>'показатели от 10.06.2019    (3'!Print_Titles</vt:lpstr>
      <vt:lpstr>'пояснительная 12.01.21'!Print_Titles</vt:lpstr>
      <vt:lpstr>'2021-2023 (утв с 10.06)'!Область_печати</vt:lpstr>
      <vt:lpstr>'2021-2023 (утв с 17.09 до Мероп'!Область_печати</vt:lpstr>
      <vt:lpstr>'2021-2023 (утв с 17.09послМероп'!Область_печати</vt:lpstr>
      <vt:lpstr>'пояснительная .2021'!Область_печати</vt:lpstr>
      <vt:lpstr>'пояснительная 14.10.2021'!Область_печати</vt:lpstr>
      <vt:lpstr>'пояснительная 14.10.2021 (2)'!Область_печати</vt:lpstr>
      <vt:lpstr>'пояснительная 15.09.21 850т.р'!Область_печати</vt:lpstr>
      <vt:lpstr>'пояснительная 15.09.21 Деп Кукл'!Область_печати</vt:lpstr>
      <vt:lpstr>'пояснительная 22.10.2021'!Область_печати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Economist</dc:creator>
  <cp:lastModifiedBy>Экономист</cp:lastModifiedBy>
  <cp:lastPrinted>2026-10-12T05:05:11Z</cp:lastPrinted>
  <dcterms:created xsi:type="dcterms:W3CDTF">2016-02-18T11:42:03Z</dcterms:created>
  <dcterms:modified xsi:type="dcterms:W3CDTF">2026-10-12T06:59:58Z</dcterms:modified>
</cp:coreProperties>
</file>